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Parcels" sheetId="2" r:id="rId2"/>
    <sheet name="Summary by town" sheetId="3" r:id="rId3"/>
    <sheet name="Listings found" sheetId="4" r:id="rId4"/>
    <sheet name="Zoning districts" sheetId="5" r:id="rId5"/>
    <sheet name="Coverage" sheetId="6" r:id="rId6"/>
  </sheets>
  <definedNames>
    <definedName name="_xlnm._FilterDatabase" localSheetId="5" hidden="1">Coverage!$A$1:$E$42</definedName>
    <definedName name="_xlnm._FilterDatabase" localSheetId="3" hidden="1">'Listings found'!$A$1:$G$75</definedName>
    <definedName name="_xlnm._FilterDatabase" localSheetId="1" hidden="1">Parcels!$A$1:$AF$7596</definedName>
    <definedName name="_xlnm._FilterDatabase" localSheetId="2" hidden="1">'Summary by town'!$A$1:$H$26</definedName>
    <definedName name="_xlnm._FilterDatabase" localSheetId="4" hidden="1">'Zoning districts'!$A$1:$E$103</definedName>
  </definedNames>
  <calcPr calcId="124519" fullCalcOnLoad="1"/>
</workbook>
</file>

<file path=xl/sharedStrings.xml><?xml version="1.0" encoding="utf-8"?>
<sst xmlns="http://schemas.openxmlformats.org/spreadsheetml/2006/main" count="117749" uniqueCount="28161">
  <si>
    <t>Item</t>
  </si>
  <si>
    <t>DuPage County parcels zoned for apartments, currently vacant or single-family</t>
  </si>
  <si>
    <t>Built</t>
  </si>
  <si>
    <t/>
  </si>
  <si>
    <t>WHAT IS INCLUDED</t>
  </si>
  <si>
    <t>Zoning</t>
  </si>
  <si>
    <t>Zoning categories</t>
  </si>
  <si>
    <t>Current use: Vacant land</t>
  </si>
  <si>
    <t>Current use: Single-family home</t>
  </si>
  <si>
    <t>FLAGS</t>
  </si>
  <si>
    <t>review: house footprint crosses a lot line</t>
  </si>
  <si>
    <t>building footprint present</t>
  </si>
  <si>
    <t>vacant lot owned by the owner of an adjoining improved parcel</t>
  </si>
  <si>
    <t>SOURCES</t>
  </si>
  <si>
    <t>Parcels &amp; assessment</t>
  </si>
  <si>
    <t>Sales</t>
  </si>
  <si>
    <t>Deed type codes</t>
  </si>
  <si>
    <t>Listing found (web search)</t>
  </si>
  <si>
    <t>For sale</t>
  </si>
  <si>
    <t>Building footprints</t>
  </si>
  <si>
    <t>District rules</t>
  </si>
  <si>
    <t>LIMITATIONS</t>
  </si>
  <si>
    <t>Towns not covered</t>
  </si>
  <si>
    <t>Planned developments</t>
  </si>
  <si>
    <t>Small multi-unit buildings</t>
  </si>
  <si>
    <t>Zoning classification</t>
  </si>
  <si>
    <t>Clarendon Hills</t>
  </si>
  <si>
    <t>Data currency</t>
  </si>
  <si>
    <t>Detail</t>
  </si>
  <si>
    <t>2026-10-15</t>
  </si>
  <si>
    <t>Parcels in (a) a multi-family residential district or (b) a commercial / downtown / mixed-use district whose code allows dwelling units (often above the ground floor, some by special use). See the 'Zoning districts' sheet for every district counted and why.</t>
  </si>
  <si>
    <t>Multi-family (apartments) = district permits apartment/condo buildings. Multi-family (townhouse/attached) = 'general residence' style districts where multi-unit housing is mainly townhouses/attached, apartments limited. Commercial/mixed-use allowing apartments = business districts that allow residential units.</t>
  </si>
  <si>
    <t>Assessed building value = $0, assessed land value &gt;= $1,000, taxable class (residential, commercial, industrial, farm), lot &gt;= 2,500 sq ft. Excludes exempt/public land, utility corridors (ComEd, Nicor, etc.), homeowner-association/common areas, and land-only PINs of existing apartment complexes.</t>
  </si>
  <si>
    <t>Assessor class R (residential) with building value &gt; $0, lot &gt;= 3,000 sq ft, not a condo unit (stacked PINs or unit numbers in the address), and not part of an attached building. Townhouses/duplex halves are removed using FEMA/ORNL USA Structures building footprints: a footprint spread across 3+ parcels, or split at least 25/75 between two parcels, is treated as attached.</t>
  </si>
  <si>
    <t>The house footprint overlaps a neighboring parcel by 10–25%. Usually mapping offset, sometimes a duplex. Check before relying on it.</t>
  </si>
  <si>
    <t>Vacant by assessment, but a building footprint sits on the lot. Often new construction not yet assessed, or a garage/shed.</t>
  </si>
  <si>
    <t>Likely a side yard or extra lot held with a house or business next door.</t>
  </si>
  <si>
    <t>DuPage County GIS, ParcelsWithRealEstateCC: https://gis.dupageco.org/arcgis/rest/services/DuPage_County_IL/ParcelsWithRealEstateCC/FeatureServer/0 (assessed values are 1/3 of market value).</t>
  </si>
  <si>
    <t>Each municipality's own published zoning layer, plus DuPage County unincorporated zoning. Layer URLs are on the 'Coverage' sheet.</t>
  </si>
  <si>
    <t>Most recent recorded transfer from the DuPage County Property Lookup portal (https://propertylookup.dupagecounty.gov), Sales page per PIN. Includes non-market transfers (quitclaim, trustee and other deeds, often at $0 or $10); check the deed type before treating a price as market value.</t>
  </si>
  <si>
    <t>WD warranty deed, SW special warranty deed, TD trustee's deed, ED executor's deed, QC quitclaim deed, TR trust transfer, BI beneficial interest assignment, OT other. WD/SW sales are usually market sales.</t>
  </si>
  <si>
    <t>TRUE where a land/development listing for the parcel's address turned up in town-by-town web searches run on the build date (sheet 'Listings found' has all 74 listings found, matched or not). Blank means no listing was found, not that the parcel is off the market. Searches covered land listings, so houses are rarely matched.</t>
  </si>
  <si>
    <t>No free, permitted source of active listings exists (listings come from the MLS; Zillow/Redfin/LoopNet prohibit automated collection). 'Check for sale' opens a Zillow search for the address. Vacant parcels without a street address have no link.</t>
  </si>
  <si>
    <t>USA Structures (FEMA/ORNL), FIPS 17043: https://services2.arcgis.com/FiaPA4ga0iQKduv3/arcgis/rest/services/USA_Structures_View/FeatureServer/0</t>
  </si>
  <si>
    <t>Municipal zoning codes (via Zoneomics code mirror and municipal PDFs) and district names/descriptions in the towns' GIS layers.</t>
  </si>
  <si>
    <t>No public GIS zoning layer was found for: Addison, Hinsdale, Itasca, Winfield, Oakbrook Terrace, Wayne, Bolingbrook, Chicago, St Charles, Elk Grove, Lemont, Schaumburg, Batavia. Their zoning is only available as PDF maps, so their parcels are not analyzed. Addison (~11,700 parcels) and Hinsdale (~5,700) are the largest gaps.</t>
  </si>
  <si>
    <t>PUD/PD overlays whose uses are set by an individual ordinance (e.g. Aurora PDD, Bartlett PD, Bloomingdale Stratford PD, Warrenville SD) are not counted, even though some allow apartments.</t>
  </si>
  <si>
    <t>The assessor classes some 2–4 unit buildings as residential (R). Where the footprint dataset doesn't tag them multi-family they can appear as 'single-family home'.</t>
  </si>
  <si>
    <t>District calls marked 'inferred' follow the district's name and were not confirmed in the code text. Verify with the municipality before acting on any parcel.</t>
  </si>
  <si>
    <t>That town's layer stores generalized class names (e.g. 'Multi-Family Residential', 'General Sale') instead of district codes; they are mapped to R-3 and the downtown B districts.</t>
  </si>
  <si>
    <t>Layers downloaded 2026-10-15. Zoning layers are updated by each town on its own schedule and may lag recent rezonings.</t>
  </si>
  <si>
    <t>PIN</t>
  </si>
  <si>
    <t>0716400046</t>
  </si>
  <si>
    <t>0721401105</t>
  </si>
  <si>
    <t>0102214023</t>
  </si>
  <si>
    <t>0111206004</t>
  </si>
  <si>
    <t>0111207031</t>
  </si>
  <si>
    <t>0111207029</t>
  </si>
  <si>
    <t>0111206024</t>
  </si>
  <si>
    <t>0111206003</t>
  </si>
  <si>
    <t>0111105004</t>
  </si>
  <si>
    <t>0111104016</t>
  </si>
  <si>
    <t>0111104010</t>
  </si>
  <si>
    <t>0111207042</t>
  </si>
  <si>
    <t>0111206025</t>
  </si>
  <si>
    <t>0111206023</t>
  </si>
  <si>
    <t>0111104001</t>
  </si>
  <si>
    <t>0111206008</t>
  </si>
  <si>
    <t>0111104015</t>
  </si>
  <si>
    <t>0111207043</t>
  </si>
  <si>
    <t>0111207026</t>
  </si>
  <si>
    <t>0111105003</t>
  </si>
  <si>
    <t>0111104024</t>
  </si>
  <si>
    <t>0111206019</t>
  </si>
  <si>
    <t>0111206013</t>
  </si>
  <si>
    <t>0111206009</t>
  </si>
  <si>
    <t>0111207050</t>
  </si>
  <si>
    <t>0111206014</t>
  </si>
  <si>
    <t>0111206018</t>
  </si>
  <si>
    <t>0111207016</t>
  </si>
  <si>
    <t>0111207017</t>
  </si>
  <si>
    <t>0111207021</t>
  </si>
  <si>
    <t>0111207022</t>
  </si>
  <si>
    <t>0111104005</t>
  </si>
  <si>
    <t>0111105001</t>
  </si>
  <si>
    <t>0111206001</t>
  </si>
  <si>
    <t>0111207037</t>
  </si>
  <si>
    <t>0111206002</t>
  </si>
  <si>
    <t>0111104002</t>
  </si>
  <si>
    <t>0111206007</t>
  </si>
  <si>
    <t>0111206006</t>
  </si>
  <si>
    <t>0111206005</t>
  </si>
  <si>
    <t>0111104004</t>
  </si>
  <si>
    <t>0111207039</t>
  </si>
  <si>
    <t>0111207027</t>
  </si>
  <si>
    <t>0111207024</t>
  </si>
  <si>
    <t>0111207023</t>
  </si>
  <si>
    <t>0111104006</t>
  </si>
  <si>
    <t>0111104014</t>
  </si>
  <si>
    <t>0111105002</t>
  </si>
  <si>
    <t>0111207014</t>
  </si>
  <si>
    <t>0111207015</t>
  </si>
  <si>
    <t>0111104011</t>
  </si>
  <si>
    <t>0111207049</t>
  </si>
  <si>
    <t>0111207048</t>
  </si>
  <si>
    <t>0111104007</t>
  </si>
  <si>
    <t>0111207034</t>
  </si>
  <si>
    <t>0111207036</t>
  </si>
  <si>
    <t>0111207046</t>
  </si>
  <si>
    <t>0111207041</t>
  </si>
  <si>
    <t>0111207028</t>
  </si>
  <si>
    <t>0111104003</t>
  </si>
  <si>
    <t>0111207013</t>
  </si>
  <si>
    <t>0111207011</t>
  </si>
  <si>
    <t>0111207003</t>
  </si>
  <si>
    <t>0111207012</t>
  </si>
  <si>
    <t>0111206010</t>
  </si>
  <si>
    <t>0111206015</t>
  </si>
  <si>
    <t>0111207004</t>
  </si>
  <si>
    <t>0111207005</t>
  </si>
  <si>
    <t>0111206020</t>
  </si>
  <si>
    <t>0111206021</t>
  </si>
  <si>
    <t>0111206022</t>
  </si>
  <si>
    <t>0111206012</t>
  </si>
  <si>
    <t>0111206016</t>
  </si>
  <si>
    <t>0111206011</t>
  </si>
  <si>
    <t>0111206017</t>
  </si>
  <si>
    <t>0111104021</t>
  </si>
  <si>
    <t>0111104022</t>
  </si>
  <si>
    <t>0111104023</t>
  </si>
  <si>
    <t>0111207025</t>
  </si>
  <si>
    <t>0111207018</t>
  </si>
  <si>
    <t>0111104012</t>
  </si>
  <si>
    <t>0111207047</t>
  </si>
  <si>
    <t>0111104013</t>
  </si>
  <si>
    <t>0111207030</t>
  </si>
  <si>
    <t>0111207040</t>
  </si>
  <si>
    <t>0111207035</t>
  </si>
  <si>
    <t>0111207032</t>
  </si>
  <si>
    <t>0111207033</t>
  </si>
  <si>
    <t>0111207038</t>
  </si>
  <si>
    <t>0314213050</t>
  </si>
  <si>
    <t>0313316002</t>
  </si>
  <si>
    <t>0325200017</t>
  </si>
  <si>
    <t>0325200012</t>
  </si>
  <si>
    <t>0326204024</t>
  </si>
  <si>
    <t>0314117066</t>
  </si>
  <si>
    <t>0314118001</t>
  </si>
  <si>
    <t>0325200013</t>
  </si>
  <si>
    <t>0325200010</t>
  </si>
  <si>
    <t>0314209025</t>
  </si>
  <si>
    <t>0324301017</t>
  </si>
  <si>
    <t>0303203011</t>
  </si>
  <si>
    <t>0310208004</t>
  </si>
  <si>
    <t>0315232014</t>
  </si>
  <si>
    <t>0314210004</t>
  </si>
  <si>
    <t>0314210040</t>
  </si>
  <si>
    <t>0314210014</t>
  </si>
  <si>
    <t>0315222012</t>
  </si>
  <si>
    <t>0315223024</t>
  </si>
  <si>
    <t>0315223031</t>
  </si>
  <si>
    <t>0326204020</t>
  </si>
  <si>
    <t>0313315001</t>
  </si>
  <si>
    <t>0314211001</t>
  </si>
  <si>
    <t>0314209037</t>
  </si>
  <si>
    <t>0314210042</t>
  </si>
  <si>
    <t>0315214044</t>
  </si>
  <si>
    <t>0314205026</t>
  </si>
  <si>
    <t>0315222002</t>
  </si>
  <si>
    <t>0314213018</t>
  </si>
  <si>
    <t>0314406011</t>
  </si>
  <si>
    <t>0315214045</t>
  </si>
  <si>
    <t>0323213019</t>
  </si>
  <si>
    <t>0323213018</t>
  </si>
  <si>
    <t>0315215020</t>
  </si>
  <si>
    <t>0314406008</t>
  </si>
  <si>
    <t>0314403003</t>
  </si>
  <si>
    <t>0314413017</t>
  </si>
  <si>
    <t>0314415016</t>
  </si>
  <si>
    <t>0314414032</t>
  </si>
  <si>
    <t>0310421005</t>
  </si>
  <si>
    <t>0315232004</t>
  </si>
  <si>
    <t>0315223022</t>
  </si>
  <si>
    <t>0326204008</t>
  </si>
  <si>
    <t>0323213020</t>
  </si>
  <si>
    <t>0315223028</t>
  </si>
  <si>
    <t>0315223023</t>
  </si>
  <si>
    <t>0315222013</t>
  </si>
  <si>
    <t>0314209032</t>
  </si>
  <si>
    <t>0315223002</t>
  </si>
  <si>
    <t>0315223016</t>
  </si>
  <si>
    <t>0315223018</t>
  </si>
  <si>
    <t>0315223029</t>
  </si>
  <si>
    <t>0315232002</t>
  </si>
  <si>
    <t>0315232003</t>
  </si>
  <si>
    <t>0315232006</t>
  </si>
  <si>
    <t>0315232005</t>
  </si>
  <si>
    <t>0315223019</t>
  </si>
  <si>
    <t>0314415001</t>
  </si>
  <si>
    <t>0314204025</t>
  </si>
  <si>
    <t>0314205005</t>
  </si>
  <si>
    <t>0314205007</t>
  </si>
  <si>
    <t>0314205004</t>
  </si>
  <si>
    <t>0326102017</t>
  </si>
  <si>
    <t>0324110065</t>
  </si>
  <si>
    <t>0323213016</t>
  </si>
  <si>
    <t>0324300047</t>
  </si>
  <si>
    <t>0313314004</t>
  </si>
  <si>
    <t>0324111002</t>
  </si>
  <si>
    <t>0314205028</t>
  </si>
  <si>
    <t>0323213015</t>
  </si>
  <si>
    <t>0323213014</t>
  </si>
  <si>
    <t>0313327001</t>
  </si>
  <si>
    <t>0313327002</t>
  </si>
  <si>
    <t>0323213012</t>
  </si>
  <si>
    <t>0314211033</t>
  </si>
  <si>
    <t>0313325036</t>
  </si>
  <si>
    <t>0324119010</t>
  </si>
  <si>
    <t>0314117072</t>
  </si>
  <si>
    <t>0324119002</t>
  </si>
  <si>
    <t>0324300046</t>
  </si>
  <si>
    <t>0324119001</t>
  </si>
  <si>
    <t>0323213013</t>
  </si>
  <si>
    <t>0324110001</t>
  </si>
  <si>
    <t>0215111019</t>
  </si>
  <si>
    <t>0215203020</t>
  </si>
  <si>
    <t>0215104082</t>
  </si>
  <si>
    <t>0215113018</t>
  </si>
  <si>
    <t>0215204016</t>
  </si>
  <si>
    <t>0215111017</t>
  </si>
  <si>
    <t>0215204029</t>
  </si>
  <si>
    <t>0215200003</t>
  </si>
  <si>
    <t>0215113017</t>
  </si>
  <si>
    <t>0215104010</t>
  </si>
  <si>
    <t>0215104014</t>
  </si>
  <si>
    <t>0215204020</t>
  </si>
  <si>
    <t>0215204021</t>
  </si>
  <si>
    <t>0215104008</t>
  </si>
  <si>
    <t>0215104007</t>
  </si>
  <si>
    <t>0215113003</t>
  </si>
  <si>
    <t>0215113004</t>
  </si>
  <si>
    <t>0215111010</t>
  </si>
  <si>
    <t>0215111011</t>
  </si>
  <si>
    <t>0215113005</t>
  </si>
  <si>
    <t>0215113006</t>
  </si>
  <si>
    <t>0215104009</t>
  </si>
  <si>
    <t>0215111002</t>
  </si>
  <si>
    <t>0215204027</t>
  </si>
  <si>
    <t>0215203022</t>
  </si>
  <si>
    <t>0215203023</t>
  </si>
  <si>
    <t>0215203014</t>
  </si>
  <si>
    <t>0215203019</t>
  </si>
  <si>
    <t>0215203017</t>
  </si>
  <si>
    <t>0215204014</t>
  </si>
  <si>
    <t>0215101026</t>
  </si>
  <si>
    <t>0215104071</t>
  </si>
  <si>
    <t>0215204015</t>
  </si>
  <si>
    <t>0215114005</t>
  </si>
  <si>
    <t>0215204028</t>
  </si>
  <si>
    <t>0215204003</t>
  </si>
  <si>
    <t>0215104070</t>
  </si>
  <si>
    <t>0215204023</t>
  </si>
  <si>
    <t>0215204022</t>
  </si>
  <si>
    <t>0215203018</t>
  </si>
  <si>
    <t>0215104012</t>
  </si>
  <si>
    <t>0215111015</t>
  </si>
  <si>
    <t>0215203016</t>
  </si>
  <si>
    <t>0223405053</t>
  </si>
  <si>
    <t>0223405052</t>
  </si>
  <si>
    <t>0223404066</t>
  </si>
  <si>
    <t>0216208055</t>
  </si>
  <si>
    <t>0215412012</t>
  </si>
  <si>
    <t>0215410017</t>
  </si>
  <si>
    <t>0215412016</t>
  </si>
  <si>
    <t>0215409030</t>
  </si>
  <si>
    <t>0208302026</t>
  </si>
  <si>
    <t>0215410016</t>
  </si>
  <si>
    <t>0215411028</t>
  </si>
  <si>
    <t>0215402032</t>
  </si>
  <si>
    <t>0215409031</t>
  </si>
  <si>
    <t>0208302013</t>
  </si>
  <si>
    <t>0215411010</t>
  </si>
  <si>
    <t>0215412017</t>
  </si>
  <si>
    <t>0208304016</t>
  </si>
  <si>
    <t>0215409026</t>
  </si>
  <si>
    <t>0215402044</t>
  </si>
  <si>
    <t>0215410014</t>
  </si>
  <si>
    <t>0215410013</t>
  </si>
  <si>
    <t>0215402035</t>
  </si>
  <si>
    <t>0215409025</t>
  </si>
  <si>
    <t>0215410028</t>
  </si>
  <si>
    <t>0215409032</t>
  </si>
  <si>
    <t>0215402045</t>
  </si>
  <si>
    <t>0215412018</t>
  </si>
  <si>
    <t>0215412013</t>
  </si>
  <si>
    <t>0215411005</t>
  </si>
  <si>
    <t>0215409015</t>
  </si>
  <si>
    <t>0215410020</t>
  </si>
  <si>
    <t>0215409016</t>
  </si>
  <si>
    <t>0215402036</t>
  </si>
  <si>
    <t>0215410019</t>
  </si>
  <si>
    <t>0208303041</t>
  </si>
  <si>
    <t>0215410009</t>
  </si>
  <si>
    <t>0215409034</t>
  </si>
  <si>
    <t>0215408006</t>
  </si>
  <si>
    <t>0215409014</t>
  </si>
  <si>
    <t>0215412035</t>
  </si>
  <si>
    <t>0215412007</t>
  </si>
  <si>
    <t>0208303050</t>
  </si>
  <si>
    <t>0208303009</t>
  </si>
  <si>
    <t>0215409027</t>
  </si>
  <si>
    <t>0215410001</t>
  </si>
  <si>
    <t>0215402040</t>
  </si>
  <si>
    <t>0208303015</t>
  </si>
  <si>
    <t>0208305001</t>
  </si>
  <si>
    <t>0208302027</t>
  </si>
  <si>
    <t>0208304017</t>
  </si>
  <si>
    <t>0215408007</t>
  </si>
  <si>
    <t>0208304022</t>
  </si>
  <si>
    <t>0215408011</t>
  </si>
  <si>
    <t>0215411020</t>
  </si>
  <si>
    <t>0215408001</t>
  </si>
  <si>
    <t>0208302018</t>
  </si>
  <si>
    <t>0215410010</t>
  </si>
  <si>
    <t>0215410015</t>
  </si>
  <si>
    <t>0215402011</t>
  </si>
  <si>
    <t>0215412001</t>
  </si>
  <si>
    <t>0215409024</t>
  </si>
  <si>
    <t>0215402031</t>
  </si>
  <si>
    <t>0215409013</t>
  </si>
  <si>
    <t>0208302014</t>
  </si>
  <si>
    <t>0215402030</t>
  </si>
  <si>
    <t>0215412015</t>
  </si>
  <si>
    <t>0208302025</t>
  </si>
  <si>
    <t>0208303034</t>
  </si>
  <si>
    <t>0215412008</t>
  </si>
  <si>
    <t>0215402022</t>
  </si>
  <si>
    <t>0208303033</t>
  </si>
  <si>
    <t>0208302007</t>
  </si>
  <si>
    <t>0208303012</t>
  </si>
  <si>
    <t>0215409023</t>
  </si>
  <si>
    <t>0215409003</t>
  </si>
  <si>
    <t>0215411004</t>
  </si>
  <si>
    <t>0208302017</t>
  </si>
  <si>
    <t>0215411007</t>
  </si>
  <si>
    <t>0208302038</t>
  </si>
  <si>
    <t>0215409001</t>
  </si>
  <si>
    <t>0208302001</t>
  </si>
  <si>
    <t>0215411008</t>
  </si>
  <si>
    <t>0215402021</t>
  </si>
  <si>
    <t>0215411018</t>
  </si>
  <si>
    <t>0215411011</t>
  </si>
  <si>
    <t>0215410005</t>
  </si>
  <si>
    <t>0208303036</t>
  </si>
  <si>
    <t>0215412014</t>
  </si>
  <si>
    <t>0215408009</t>
  </si>
  <si>
    <t>0208302016</t>
  </si>
  <si>
    <t>0215409005</t>
  </si>
  <si>
    <t>0215411015</t>
  </si>
  <si>
    <t>0215411006</t>
  </si>
  <si>
    <t>0215409004</t>
  </si>
  <si>
    <t>0208303024</t>
  </si>
  <si>
    <t>0215412027</t>
  </si>
  <si>
    <t>0208303017</t>
  </si>
  <si>
    <t>0208302008</t>
  </si>
  <si>
    <t>0215411016</t>
  </si>
  <si>
    <t>0215412021</t>
  </si>
  <si>
    <t>0208303001</t>
  </si>
  <si>
    <t>0208302033</t>
  </si>
  <si>
    <t>0208303048</t>
  </si>
  <si>
    <t>0215410012</t>
  </si>
  <si>
    <t>0208304009</t>
  </si>
  <si>
    <t>0208303018</t>
  </si>
  <si>
    <t>0208302024</t>
  </si>
  <si>
    <t>0215411001</t>
  </si>
  <si>
    <t>0215409017</t>
  </si>
  <si>
    <t>0208303029</t>
  </si>
  <si>
    <t>0215402029</t>
  </si>
  <si>
    <t>0208303028</t>
  </si>
  <si>
    <t>0208305009</t>
  </si>
  <si>
    <t>0215412028</t>
  </si>
  <si>
    <t>0215411019</t>
  </si>
  <si>
    <t>0215410004</t>
  </si>
  <si>
    <t>0215409018</t>
  </si>
  <si>
    <t>0208304008</t>
  </si>
  <si>
    <t>0208304001</t>
  </si>
  <si>
    <t>0215411012</t>
  </si>
  <si>
    <t>0215412019</t>
  </si>
  <si>
    <t>0215411017</t>
  </si>
  <si>
    <t>0208303035</t>
  </si>
  <si>
    <t>0215412020</t>
  </si>
  <si>
    <t>0215408010</t>
  </si>
  <si>
    <t>0215411014</t>
  </si>
  <si>
    <t>0215409006</t>
  </si>
  <si>
    <t>0215412029</t>
  </si>
  <si>
    <t>0208302034</t>
  </si>
  <si>
    <t>0215409012</t>
  </si>
  <si>
    <t>0215411026</t>
  </si>
  <si>
    <t>0208304002</t>
  </si>
  <si>
    <t>0215411027</t>
  </si>
  <si>
    <t>0208302023</t>
  </si>
  <si>
    <t>0215409019</t>
  </si>
  <si>
    <t>0208303032</t>
  </si>
  <si>
    <t>0208303013</t>
  </si>
  <si>
    <t>0208303014</t>
  </si>
  <si>
    <t>0215412010</t>
  </si>
  <si>
    <t>0215411023</t>
  </si>
  <si>
    <t>0208302020</t>
  </si>
  <si>
    <t>0215412026</t>
  </si>
  <si>
    <t>0215411013</t>
  </si>
  <si>
    <t>0208305018</t>
  </si>
  <si>
    <t>0208303044</t>
  </si>
  <si>
    <t>0208304018</t>
  </si>
  <si>
    <t>0215410008</t>
  </si>
  <si>
    <t>0208302029</t>
  </si>
  <si>
    <t>0208302019</t>
  </si>
  <si>
    <t>0208303043</t>
  </si>
  <si>
    <t>0215409033</t>
  </si>
  <si>
    <t>0208304019</t>
  </si>
  <si>
    <t>0208303040</t>
  </si>
  <si>
    <t>0215408005</t>
  </si>
  <si>
    <t>0208302022</t>
  </si>
  <si>
    <t>0215411022</t>
  </si>
  <si>
    <t>0208303030</t>
  </si>
  <si>
    <t>0208305011</t>
  </si>
  <si>
    <t>0208303042</t>
  </si>
  <si>
    <t>0208302015</t>
  </si>
  <si>
    <t>0208303037</t>
  </si>
  <si>
    <t>0215411009</t>
  </si>
  <si>
    <t>0208303047</t>
  </si>
  <si>
    <t>0215409002</t>
  </si>
  <si>
    <t>0208303010</t>
  </si>
  <si>
    <t>0208305012</t>
  </si>
  <si>
    <t>0215408004</t>
  </si>
  <si>
    <t>0215410007</t>
  </si>
  <si>
    <t>0215410006</t>
  </si>
  <si>
    <t>0215410018</t>
  </si>
  <si>
    <t>0208303046</t>
  </si>
  <si>
    <t>0215412011</t>
  </si>
  <si>
    <t>0215409010</t>
  </si>
  <si>
    <t>0215412023</t>
  </si>
  <si>
    <t>0208302021</t>
  </si>
  <si>
    <t>0208304020</t>
  </si>
  <si>
    <t>0208304021</t>
  </si>
  <si>
    <t>0208305013</t>
  </si>
  <si>
    <t>0215408008</t>
  </si>
  <si>
    <t>0208304014</t>
  </si>
  <si>
    <t>0208303008</t>
  </si>
  <si>
    <t>0208304004</t>
  </si>
  <si>
    <t>0208302012</t>
  </si>
  <si>
    <t>0215412022</t>
  </si>
  <si>
    <t>0215412025</t>
  </si>
  <si>
    <t>0215412030</t>
  </si>
  <si>
    <t>0215410021</t>
  </si>
  <si>
    <t>0215402037</t>
  </si>
  <si>
    <t>0215402026</t>
  </si>
  <si>
    <t>0215410011</t>
  </si>
  <si>
    <t>0215410002</t>
  </si>
  <si>
    <t>0215409007</t>
  </si>
  <si>
    <t>0215410024</t>
  </si>
  <si>
    <t>0208303049</t>
  </si>
  <si>
    <t>0215409009</t>
  </si>
  <si>
    <t>0208304015</t>
  </si>
  <si>
    <t>0208303021</t>
  </si>
  <si>
    <t>0208303020</t>
  </si>
  <si>
    <t>0208303019</t>
  </si>
  <si>
    <t>0215402025</t>
  </si>
  <si>
    <t>0215410022</t>
  </si>
  <si>
    <t>0208305014</t>
  </si>
  <si>
    <t>0208303023</t>
  </si>
  <si>
    <t>0215410003</t>
  </si>
  <si>
    <t>0215402038</t>
  </si>
  <si>
    <t>0215410026</t>
  </si>
  <si>
    <t>0215412024</t>
  </si>
  <si>
    <t>0215410025</t>
  </si>
  <si>
    <t>0208305015</t>
  </si>
  <si>
    <t>0208303027</t>
  </si>
  <si>
    <t>0215410027</t>
  </si>
  <si>
    <t>0208304007</t>
  </si>
  <si>
    <t>0215402028</t>
  </si>
  <si>
    <t>0215412009</t>
  </si>
  <si>
    <t>0215410023</t>
  </si>
  <si>
    <t>0208305017</t>
  </si>
  <si>
    <t>0215408003</t>
  </si>
  <si>
    <t>0215409022</t>
  </si>
  <si>
    <t>0215409008</t>
  </si>
  <si>
    <t>0215402027</t>
  </si>
  <si>
    <t>0208305003</t>
  </si>
  <si>
    <t>0208302037</t>
  </si>
  <si>
    <t>0215402039</t>
  </si>
  <si>
    <t>0208305008</t>
  </si>
  <si>
    <t>0215412031</t>
  </si>
  <si>
    <t>0208305019</t>
  </si>
  <si>
    <t>0215412033</t>
  </si>
  <si>
    <t>0215412034</t>
  </si>
  <si>
    <t>0215402016</t>
  </si>
  <si>
    <t>0215402015</t>
  </si>
  <si>
    <t>0215402014</t>
  </si>
  <si>
    <t>0215402013</t>
  </si>
  <si>
    <t>0215402012</t>
  </si>
  <si>
    <t>0215408002</t>
  </si>
  <si>
    <t>0208303025</t>
  </si>
  <si>
    <t>0208305007</t>
  </si>
  <si>
    <t>0208303022</t>
  </si>
  <si>
    <t>0208303004</t>
  </si>
  <si>
    <t>0208303002</t>
  </si>
  <si>
    <t>0208303007</t>
  </si>
  <si>
    <t>0208303005</t>
  </si>
  <si>
    <t>0208303006</t>
  </si>
  <si>
    <t>0208303003</t>
  </si>
  <si>
    <t>0208302003</t>
  </si>
  <si>
    <t>0208302002</t>
  </si>
  <si>
    <t>0208305004</t>
  </si>
  <si>
    <t>0208304005</t>
  </si>
  <si>
    <t>0208302035</t>
  </si>
  <si>
    <t>0215412032</t>
  </si>
  <si>
    <t>0208305006</t>
  </si>
  <si>
    <t>0208305016</t>
  </si>
  <si>
    <t>0208304006</t>
  </si>
  <si>
    <t>0208302036</t>
  </si>
  <si>
    <t>0208303011</t>
  </si>
  <si>
    <t>0208303038</t>
  </si>
  <si>
    <t>0208304013</t>
  </si>
  <si>
    <t>0208303031</t>
  </si>
  <si>
    <t>0223124037</t>
  </si>
  <si>
    <t>0208305005</t>
  </si>
  <si>
    <t>0223131018</t>
  </si>
  <si>
    <t>0208303016</t>
  </si>
  <si>
    <t>0208305010</t>
  </si>
  <si>
    <t>0208305002</t>
  </si>
  <si>
    <t>0208303039</t>
  </si>
  <si>
    <t>0208302030</t>
  </si>
  <si>
    <t>0208302011</t>
  </si>
  <si>
    <t>0215409011</t>
  </si>
  <si>
    <t>0208304012</t>
  </si>
  <si>
    <t>0208302010</t>
  </si>
  <si>
    <t>0208302009</t>
  </si>
  <si>
    <t>0208303026</t>
  </si>
  <si>
    <t>0223131035</t>
  </si>
  <si>
    <t>0223129011</t>
  </si>
  <si>
    <t>0223129027</t>
  </si>
  <si>
    <t>0223133054</t>
  </si>
  <si>
    <t>0223133038</t>
  </si>
  <si>
    <t>0223129033</t>
  </si>
  <si>
    <t>0223133062</t>
  </si>
  <si>
    <t>0223133043</t>
  </si>
  <si>
    <t>0223106001</t>
  </si>
  <si>
    <t>0223106012</t>
  </si>
  <si>
    <t>0223106018</t>
  </si>
  <si>
    <t>0223114019</t>
  </si>
  <si>
    <t>0223102021</t>
  </si>
  <si>
    <t>0223110021</t>
  </si>
  <si>
    <t>0223105008</t>
  </si>
  <si>
    <t>0223103001</t>
  </si>
  <si>
    <t>0223109011</t>
  </si>
  <si>
    <t>0223124068</t>
  </si>
  <si>
    <t>0223124065</t>
  </si>
  <si>
    <t>0214107042</t>
  </si>
  <si>
    <t>0223124067</t>
  </si>
  <si>
    <t>0220304001</t>
  </si>
  <si>
    <t>0124301014</t>
  </si>
  <si>
    <t>0220304017</t>
  </si>
  <si>
    <t>0124301001</t>
  </si>
  <si>
    <t>0220304002</t>
  </si>
  <si>
    <t>0220304004</t>
  </si>
  <si>
    <t>0123403055</t>
  </si>
  <si>
    <t>0124308011</t>
  </si>
  <si>
    <t>0220304005</t>
  </si>
  <si>
    <t>0220304028</t>
  </si>
  <si>
    <t>0124402014</t>
  </si>
  <si>
    <t>0123403041</t>
  </si>
  <si>
    <t>0220304006</t>
  </si>
  <si>
    <t>0123404010</t>
  </si>
  <si>
    <t>0123400033</t>
  </si>
  <si>
    <t>0220304019</t>
  </si>
  <si>
    <t>0220304007</t>
  </si>
  <si>
    <t>0220304016</t>
  </si>
  <si>
    <t>0219414008</t>
  </si>
  <si>
    <t>0123404011</t>
  </si>
  <si>
    <t>0220304008</t>
  </si>
  <si>
    <t>0123404094</t>
  </si>
  <si>
    <t>0123404006</t>
  </si>
  <si>
    <t>0220304027</t>
  </si>
  <si>
    <t>0220304026</t>
  </si>
  <si>
    <t>0220304025</t>
  </si>
  <si>
    <t>0220304024</t>
  </si>
  <si>
    <t>0220304023</t>
  </si>
  <si>
    <t>0220304022</t>
  </si>
  <si>
    <t>0220304021</t>
  </si>
  <si>
    <t>0219417001</t>
  </si>
  <si>
    <t>0123403043</t>
  </si>
  <si>
    <t>0220304009</t>
  </si>
  <si>
    <t>0220304015</t>
  </si>
  <si>
    <t>0220304014</t>
  </si>
  <si>
    <t>0220304010</t>
  </si>
  <si>
    <t>0220304012</t>
  </si>
  <si>
    <t>0220304011</t>
  </si>
  <si>
    <t>0220304013</t>
  </si>
  <si>
    <t>0123404018</t>
  </si>
  <si>
    <t>0124308009</t>
  </si>
  <si>
    <t>0123403042</t>
  </si>
  <si>
    <t>0123404102</t>
  </si>
  <si>
    <t>0124309011</t>
  </si>
  <si>
    <t>0123214024</t>
  </si>
  <si>
    <t>0123404013</t>
  </si>
  <si>
    <t>0124402013</t>
  </si>
  <si>
    <t>0123404007</t>
  </si>
  <si>
    <t>0124308001</t>
  </si>
  <si>
    <t>0219414010</t>
  </si>
  <si>
    <t>0123404093</t>
  </si>
  <si>
    <t>0124308008</t>
  </si>
  <si>
    <t>0123407003</t>
  </si>
  <si>
    <t>0123404017</t>
  </si>
  <si>
    <t>0219414013</t>
  </si>
  <si>
    <t>0123407021</t>
  </si>
  <si>
    <t>0123403028</t>
  </si>
  <si>
    <t>0219414011</t>
  </si>
  <si>
    <t>0123404047</t>
  </si>
  <si>
    <t>0124220037</t>
  </si>
  <si>
    <t>0124309010</t>
  </si>
  <si>
    <t>0124402001</t>
  </si>
  <si>
    <t>0124308007</t>
  </si>
  <si>
    <t>0123404002</t>
  </si>
  <si>
    <t>0219414012</t>
  </si>
  <si>
    <t>0124308010</t>
  </si>
  <si>
    <t>0124308005</t>
  </si>
  <si>
    <t>0124308006</t>
  </si>
  <si>
    <t>0124308004</t>
  </si>
  <si>
    <t>0124308003</t>
  </si>
  <si>
    <t>0123407004</t>
  </si>
  <si>
    <t>0232305016</t>
  </si>
  <si>
    <t>0123403044</t>
  </si>
  <si>
    <t>0123403045</t>
  </si>
  <si>
    <t>0123403046</t>
  </si>
  <si>
    <t>0123403047</t>
  </si>
  <si>
    <t>0123409034</t>
  </si>
  <si>
    <t>0123403048</t>
  </si>
  <si>
    <t>0123403049</t>
  </si>
  <si>
    <t>0123403050</t>
  </si>
  <si>
    <t>0123404008</t>
  </si>
  <si>
    <t>0123403051</t>
  </si>
  <si>
    <t>0123403052</t>
  </si>
  <si>
    <t>0123215006</t>
  </si>
  <si>
    <t>0123403054</t>
  </si>
  <si>
    <t>0123404009</t>
  </si>
  <si>
    <t>0124402012</t>
  </si>
  <si>
    <t>0123403053</t>
  </si>
  <si>
    <t>0123404005</t>
  </si>
  <si>
    <t>0124219007</t>
  </si>
  <si>
    <t>0124219006</t>
  </si>
  <si>
    <t>0123406001</t>
  </si>
  <si>
    <t>0123407022</t>
  </si>
  <si>
    <t>0123404015</t>
  </si>
  <si>
    <t>0232302141</t>
  </si>
  <si>
    <t>0123407005</t>
  </si>
  <si>
    <t>0124308002</t>
  </si>
  <si>
    <t>0124309001</t>
  </si>
  <si>
    <t>0123404003</t>
  </si>
  <si>
    <t>0229116018</t>
  </si>
  <si>
    <t>0219414009</t>
  </si>
  <si>
    <t>0219417002</t>
  </si>
  <si>
    <t>0123404109</t>
  </si>
  <si>
    <t>0124401001</t>
  </si>
  <si>
    <t>0123403034</t>
  </si>
  <si>
    <t>0123403032</t>
  </si>
  <si>
    <t>0123403036</t>
  </si>
  <si>
    <t>0123403033</t>
  </si>
  <si>
    <t>0123403029</t>
  </si>
  <si>
    <t>0123403031</t>
  </si>
  <si>
    <t>0123403035</t>
  </si>
  <si>
    <t>0123403030</t>
  </si>
  <si>
    <t>0123403037</t>
  </si>
  <si>
    <t>0123404014</t>
  </si>
  <si>
    <t>0123407006</t>
  </si>
  <si>
    <t>0124402007</t>
  </si>
  <si>
    <t>0124402004</t>
  </si>
  <si>
    <t>0124402008</t>
  </si>
  <si>
    <t>0124402002</t>
  </si>
  <si>
    <t>0124402010</t>
  </si>
  <si>
    <t>0124402003</t>
  </si>
  <si>
    <t>0124402009</t>
  </si>
  <si>
    <t>0124402005</t>
  </si>
  <si>
    <t>0124402006</t>
  </si>
  <si>
    <t>0123403039</t>
  </si>
  <si>
    <t>0123404004</t>
  </si>
  <si>
    <t>0123409030</t>
  </si>
  <si>
    <t>0123403038</t>
  </si>
  <si>
    <t>0123409040</t>
  </si>
  <si>
    <t>0124402011</t>
  </si>
  <si>
    <t>0123404012</t>
  </si>
  <si>
    <t>0123407002</t>
  </si>
  <si>
    <t>0123404027</t>
  </si>
  <si>
    <t>0124309002</t>
  </si>
  <si>
    <t>0123214028</t>
  </si>
  <si>
    <t>0123404111</t>
  </si>
  <si>
    <t>0123404110</t>
  </si>
  <si>
    <t>0123407001</t>
  </si>
  <si>
    <t>0123207006</t>
  </si>
  <si>
    <t>0123207007</t>
  </si>
  <si>
    <t>0124309009</t>
  </si>
  <si>
    <t>0123404001</t>
  </si>
  <si>
    <t>0123214036</t>
  </si>
  <si>
    <t>0123409036</t>
  </si>
  <si>
    <t>0123409035</t>
  </si>
  <si>
    <t>0123404101</t>
  </si>
  <si>
    <t>0124309003</t>
  </si>
  <si>
    <t>0124309004</t>
  </si>
  <si>
    <t>0124309005</t>
  </si>
  <si>
    <t>0124309006</t>
  </si>
  <si>
    <t>0123411016</t>
  </si>
  <si>
    <t>0123404016</t>
  </si>
  <si>
    <t>0124309007</t>
  </si>
  <si>
    <t>0124309008</t>
  </si>
  <si>
    <t>0123404108</t>
  </si>
  <si>
    <t>0123214027</t>
  </si>
  <si>
    <t>0123409028</t>
  </si>
  <si>
    <t>0123407014</t>
  </si>
  <si>
    <t>0123407010</t>
  </si>
  <si>
    <t>0123407018</t>
  </si>
  <si>
    <t>0123210009</t>
  </si>
  <si>
    <t>0123407007</t>
  </si>
  <si>
    <t>0123407008</t>
  </si>
  <si>
    <t>0123407011</t>
  </si>
  <si>
    <t>0123407017</t>
  </si>
  <si>
    <t>0123407009</t>
  </si>
  <si>
    <t>0123407013</t>
  </si>
  <si>
    <t>0123407015</t>
  </si>
  <si>
    <t>0123407012</t>
  </si>
  <si>
    <t>0123407020</t>
  </si>
  <si>
    <t>0123407016</t>
  </si>
  <si>
    <t>0123407019</t>
  </si>
  <si>
    <t>0123214029</t>
  </si>
  <si>
    <t>0123404090</t>
  </si>
  <si>
    <t>0123210015</t>
  </si>
  <si>
    <t>0123404112</t>
  </si>
  <si>
    <t>0123404021</t>
  </si>
  <si>
    <t>0123215010</t>
  </si>
  <si>
    <t>0123409039</t>
  </si>
  <si>
    <t>0123404113</t>
  </si>
  <si>
    <t>0123404023</t>
  </si>
  <si>
    <t>0123404022</t>
  </si>
  <si>
    <t>0123404114</t>
  </si>
  <si>
    <t>0123404025</t>
  </si>
  <si>
    <t>0123215009</t>
  </si>
  <si>
    <t>0123214033</t>
  </si>
  <si>
    <t>0123409037</t>
  </si>
  <si>
    <t>0123404019</t>
  </si>
  <si>
    <t>0123404024</t>
  </si>
  <si>
    <t>0123215008</t>
  </si>
  <si>
    <t>0123409033</t>
  </si>
  <si>
    <t>0232305014</t>
  </si>
  <si>
    <t>0232305002</t>
  </si>
  <si>
    <t>0123214030</t>
  </si>
  <si>
    <t>0232305013</t>
  </si>
  <si>
    <t>0232305010</t>
  </si>
  <si>
    <t>0232305011</t>
  </si>
  <si>
    <t>0232305012</t>
  </si>
  <si>
    <t>0232302008</t>
  </si>
  <si>
    <t>0232302003</t>
  </si>
  <si>
    <t>0232302004</t>
  </si>
  <si>
    <t>0232302006</t>
  </si>
  <si>
    <t>0123409041</t>
  </si>
  <si>
    <t>0232305006</t>
  </si>
  <si>
    <t>0232305004</t>
  </si>
  <si>
    <t>0123214031</t>
  </si>
  <si>
    <t>0232302009</t>
  </si>
  <si>
    <t>0232305007</t>
  </si>
  <si>
    <t>0232302005</t>
  </si>
  <si>
    <t>0232302007</t>
  </si>
  <si>
    <t>0232305003</t>
  </si>
  <si>
    <t>0232305005</t>
  </si>
  <si>
    <t>0232305009</t>
  </si>
  <si>
    <t>0123214026</t>
  </si>
  <si>
    <t>0123409032</t>
  </si>
  <si>
    <t>0232305015</t>
  </si>
  <si>
    <t>0123404084</t>
  </si>
  <si>
    <t>0123404107</t>
  </si>
  <si>
    <t>0123405002</t>
  </si>
  <si>
    <t>0123214039</t>
  </si>
  <si>
    <t>0123404087</t>
  </si>
  <si>
    <t>0123409031</t>
  </si>
  <si>
    <t>0123214023</t>
  </si>
  <si>
    <t>0123214040</t>
  </si>
  <si>
    <t>0123404088</t>
  </si>
  <si>
    <t>0123404091</t>
  </si>
  <si>
    <t>0123214038</t>
  </si>
  <si>
    <t>0123214025</t>
  </si>
  <si>
    <t>0219405025</t>
  </si>
  <si>
    <t>0123409024</t>
  </si>
  <si>
    <t>0123409042</t>
  </si>
  <si>
    <t>0123215007</t>
  </si>
  <si>
    <t>0123404085</t>
  </si>
  <si>
    <t>0123404086</t>
  </si>
  <si>
    <t>0123214041</t>
  </si>
  <si>
    <t>0123404106</t>
  </si>
  <si>
    <t>0123404098</t>
  </si>
  <si>
    <t>0123404096</t>
  </si>
  <si>
    <t>0123404097</t>
  </si>
  <si>
    <t>0123404099</t>
  </si>
  <si>
    <t>0123404105</t>
  </si>
  <si>
    <t>0123406002</t>
  </si>
  <si>
    <t>0123404104</t>
  </si>
  <si>
    <t>0123406003</t>
  </si>
  <si>
    <t>0123214037</t>
  </si>
  <si>
    <t>0123210013</t>
  </si>
  <si>
    <t>0123406004</t>
  </si>
  <si>
    <t>0123404103</t>
  </si>
  <si>
    <t>0123409038</t>
  </si>
  <si>
    <t>0123409025</t>
  </si>
  <si>
    <t>0123214042</t>
  </si>
  <si>
    <t>0123214035</t>
  </si>
  <si>
    <t>0123214034</t>
  </si>
  <si>
    <t>0123406009</t>
  </si>
  <si>
    <t>0123406010</t>
  </si>
  <si>
    <t>0124220041</t>
  </si>
  <si>
    <t>0123404095</t>
  </si>
  <si>
    <t>0123404100</t>
  </si>
  <si>
    <t>0123409027</t>
  </si>
  <si>
    <t>0123409026</t>
  </si>
  <si>
    <t>0123212047</t>
  </si>
  <si>
    <t>0123404092</t>
  </si>
  <si>
    <t>0123210012</t>
  </si>
  <si>
    <t>0123210014</t>
  </si>
  <si>
    <t>0123210011</t>
  </si>
  <si>
    <t>0124220038</t>
  </si>
  <si>
    <t>0123210010</t>
  </si>
  <si>
    <t>0123202012</t>
  </si>
  <si>
    <t>0123209032</t>
  </si>
  <si>
    <t>0123209122</t>
  </si>
  <si>
    <t>0123411027</t>
  </si>
  <si>
    <t>0123411026</t>
  </si>
  <si>
    <t>0123411032</t>
  </si>
  <si>
    <t>0123216013</t>
  </si>
  <si>
    <t>0123208007</t>
  </si>
  <si>
    <t>0123209131</t>
  </si>
  <si>
    <t>0123208011</t>
  </si>
  <si>
    <t>0123413012</t>
  </si>
  <si>
    <t>0123413006</t>
  </si>
  <si>
    <t>0123209059</t>
  </si>
  <si>
    <t>0123209063</t>
  </si>
  <si>
    <t>0124201064</t>
  </si>
  <si>
    <t>0504304085</t>
  </si>
  <si>
    <t>0124217043</t>
  </si>
  <si>
    <t>0124217037</t>
  </si>
  <si>
    <t>0124217036</t>
  </si>
  <si>
    <t>0124217038</t>
  </si>
  <si>
    <t>0504302022</t>
  </si>
  <si>
    <t>0504302017</t>
  </si>
  <si>
    <t>0915200007</t>
  </si>
  <si>
    <t>0903403031</t>
  </si>
  <si>
    <t>0914100059</t>
  </si>
  <si>
    <t>0915200005</t>
  </si>
  <si>
    <t>0914100020</t>
  </si>
  <si>
    <t>0915200006</t>
  </si>
  <si>
    <t>0911302001</t>
  </si>
  <si>
    <t>0910226006</t>
  </si>
  <si>
    <t>0911109010</t>
  </si>
  <si>
    <t>0910414023</t>
  </si>
  <si>
    <t>0928410044</t>
  </si>
  <si>
    <t>0933112048</t>
  </si>
  <si>
    <t>0933304009</t>
  </si>
  <si>
    <t>0933112051</t>
  </si>
  <si>
    <t>1004112011</t>
  </si>
  <si>
    <t>0933112050</t>
  </si>
  <si>
    <t>0933112052</t>
  </si>
  <si>
    <t>0933302008</t>
  </si>
  <si>
    <t>1004112010</t>
  </si>
  <si>
    <t>0928315054</t>
  </si>
  <si>
    <t>1004111014</t>
  </si>
  <si>
    <t>0933302006</t>
  </si>
  <si>
    <t>0933302017</t>
  </si>
  <si>
    <t>0933306003</t>
  </si>
  <si>
    <t>1004111009</t>
  </si>
  <si>
    <t>1004100005</t>
  </si>
  <si>
    <t>0933405017</t>
  </si>
  <si>
    <t>1004103009</t>
  </si>
  <si>
    <t>1004111018</t>
  </si>
  <si>
    <t>0933406012</t>
  </si>
  <si>
    <t>0934210017</t>
  </si>
  <si>
    <t>0933404003</t>
  </si>
  <si>
    <t>0933207007</t>
  </si>
  <si>
    <t>0933406013</t>
  </si>
  <si>
    <t>0933302019</t>
  </si>
  <si>
    <t>1004111011</t>
  </si>
  <si>
    <t>0933304005</t>
  </si>
  <si>
    <t>0933404007</t>
  </si>
  <si>
    <t>1004112003</t>
  </si>
  <si>
    <t>1004112012</t>
  </si>
  <si>
    <t>0933305010</t>
  </si>
  <si>
    <t>1004100027</t>
  </si>
  <si>
    <t>0933406011</t>
  </si>
  <si>
    <t>1004112004</t>
  </si>
  <si>
    <t>1004111003</t>
  </si>
  <si>
    <t>0933306002</t>
  </si>
  <si>
    <t>1004111013</t>
  </si>
  <si>
    <t>0933406010</t>
  </si>
  <si>
    <t>1004112013</t>
  </si>
  <si>
    <t>0933301003</t>
  </si>
  <si>
    <t>0933405002</t>
  </si>
  <si>
    <t>0933406009</t>
  </si>
  <si>
    <t>1004111004</t>
  </si>
  <si>
    <t>1004100013</t>
  </si>
  <si>
    <t>0933304004</t>
  </si>
  <si>
    <t>0933301006</t>
  </si>
  <si>
    <t>0933304002</t>
  </si>
  <si>
    <t>0933305005</t>
  </si>
  <si>
    <t>0933302032</t>
  </si>
  <si>
    <t>1004103005</t>
  </si>
  <si>
    <t>1004100010</t>
  </si>
  <si>
    <t>1004100012</t>
  </si>
  <si>
    <t>0933305009</t>
  </si>
  <si>
    <t>0933406014</t>
  </si>
  <si>
    <t>0933302007</t>
  </si>
  <si>
    <t>0933404009</t>
  </si>
  <si>
    <t>0933404004</t>
  </si>
  <si>
    <t>0933305002</t>
  </si>
  <si>
    <t>1004102007</t>
  </si>
  <si>
    <t>1004102005</t>
  </si>
  <si>
    <t>1004100006</t>
  </si>
  <si>
    <t>0933305004</t>
  </si>
  <si>
    <t>0933304007</t>
  </si>
  <si>
    <t>0933302001</t>
  </si>
  <si>
    <t>0933302018</t>
  </si>
  <si>
    <t>0933302021</t>
  </si>
  <si>
    <t>0933304008</t>
  </si>
  <si>
    <t>0933304003</t>
  </si>
  <si>
    <t>0933306001</t>
  </si>
  <si>
    <t>0933305008</t>
  </si>
  <si>
    <t>0933305007</t>
  </si>
  <si>
    <t>1004103008</t>
  </si>
  <si>
    <t>0933305006</t>
  </si>
  <si>
    <t>0933302015</t>
  </si>
  <si>
    <t>0933404008</t>
  </si>
  <si>
    <t>1004103004</t>
  </si>
  <si>
    <t>0933302044</t>
  </si>
  <si>
    <t>0928315047</t>
  </si>
  <si>
    <t>0928315049</t>
  </si>
  <si>
    <t>0933306004</t>
  </si>
  <si>
    <t>0933400013</t>
  </si>
  <si>
    <t>0933400014</t>
  </si>
  <si>
    <t>0933406008</t>
  </si>
  <si>
    <t>1004101001</t>
  </si>
  <si>
    <t>0933301007</t>
  </si>
  <si>
    <t>0933406001</t>
  </si>
  <si>
    <t>1004111012</t>
  </si>
  <si>
    <t>1004111008</t>
  </si>
  <si>
    <t>1004100011</t>
  </si>
  <si>
    <t>0933302045</t>
  </si>
  <si>
    <t>0933304010</t>
  </si>
  <si>
    <t>0928315053</t>
  </si>
  <si>
    <t>0933305001</t>
  </si>
  <si>
    <t>0928315038</t>
  </si>
  <si>
    <t>1004100007</t>
  </si>
  <si>
    <t>0933302009</t>
  </si>
  <si>
    <t>1004100026</t>
  </si>
  <si>
    <t>0928315042</t>
  </si>
  <si>
    <t>0933405010</t>
  </si>
  <si>
    <t>0933306005</t>
  </si>
  <si>
    <t>0933301013</t>
  </si>
  <si>
    <t>0933302022</t>
  </si>
  <si>
    <t>0933302024</t>
  </si>
  <si>
    <t>1004100025</t>
  </si>
  <si>
    <t>0933302042</t>
  </si>
  <si>
    <t>0933302014</t>
  </si>
  <si>
    <t>0933306006</t>
  </si>
  <si>
    <t>0933303003</t>
  </si>
  <si>
    <t>0933306007</t>
  </si>
  <si>
    <t>0933302012</t>
  </si>
  <si>
    <t>0933305003</t>
  </si>
  <si>
    <t>0933306008</t>
  </si>
  <si>
    <t>0933302020</t>
  </si>
  <si>
    <t>1004101009</t>
  </si>
  <si>
    <t>0933303002</t>
  </si>
  <si>
    <t>0933306011</t>
  </si>
  <si>
    <t>0934210013</t>
  </si>
  <si>
    <t>0933302010</t>
  </si>
  <si>
    <t>1004101005</t>
  </si>
  <si>
    <t>0933306009</t>
  </si>
  <si>
    <t>0933302046</t>
  </si>
  <si>
    <t>1004111016</t>
  </si>
  <si>
    <t>1004100009</t>
  </si>
  <si>
    <t>1004100008</t>
  </si>
  <si>
    <t>1004101004</t>
  </si>
  <si>
    <t>0933302011</t>
  </si>
  <si>
    <t>0933302043</t>
  </si>
  <si>
    <t>0933405011</t>
  </si>
  <si>
    <t>0933404002</t>
  </si>
  <si>
    <t>0922301032</t>
  </si>
  <si>
    <t>0933301014</t>
  </si>
  <si>
    <t>0933301004</t>
  </si>
  <si>
    <t>1004112009</t>
  </si>
  <si>
    <t>0933301002</t>
  </si>
  <si>
    <t>0933302025</t>
  </si>
  <si>
    <t>1004112014</t>
  </si>
  <si>
    <t>1004101006</t>
  </si>
  <si>
    <t>0933301012</t>
  </si>
  <si>
    <t>1004111015</t>
  </si>
  <si>
    <t>0933304006</t>
  </si>
  <si>
    <t>0933306010</t>
  </si>
  <si>
    <t>1004101008</t>
  </si>
  <si>
    <t>1004103011</t>
  </si>
  <si>
    <t>0933208015</t>
  </si>
  <si>
    <t>0933406007</t>
  </si>
  <si>
    <t>0933405009</t>
  </si>
  <si>
    <t>0933406002</t>
  </si>
  <si>
    <t>0933207029</t>
  </si>
  <si>
    <t>0933406004</t>
  </si>
  <si>
    <t>0933406003</t>
  </si>
  <si>
    <t>0933302016</t>
  </si>
  <si>
    <t>0933406006</t>
  </si>
  <si>
    <t>1004100017</t>
  </si>
  <si>
    <t>1004100014</t>
  </si>
  <si>
    <t>1004100016</t>
  </si>
  <si>
    <t>1004100018</t>
  </si>
  <si>
    <t>1004100015</t>
  </si>
  <si>
    <t>1004111010</t>
  </si>
  <si>
    <t>1004101007</t>
  </si>
  <si>
    <t>0933405001</t>
  </si>
  <si>
    <t>0933406005</t>
  </si>
  <si>
    <t>1004103013</t>
  </si>
  <si>
    <t>1004100019</t>
  </si>
  <si>
    <t>1004103007</t>
  </si>
  <si>
    <t>0933301016</t>
  </si>
  <si>
    <t>0933303010</t>
  </si>
  <si>
    <t>0933207003</t>
  </si>
  <si>
    <t>1004101002</t>
  </si>
  <si>
    <t>0933405003</t>
  </si>
  <si>
    <t>0933405013</t>
  </si>
  <si>
    <t>0933405006</t>
  </si>
  <si>
    <t>0933405015</t>
  </si>
  <si>
    <t>0933301017</t>
  </si>
  <si>
    <t>0933405014</t>
  </si>
  <si>
    <t>0933405007</t>
  </si>
  <si>
    <t>0933405012</t>
  </si>
  <si>
    <t>0933405005</t>
  </si>
  <si>
    <t>0933405016</t>
  </si>
  <si>
    <t>0933405004</t>
  </si>
  <si>
    <t>0933404015</t>
  </si>
  <si>
    <t>1004112008</t>
  </si>
  <si>
    <t>0933404010</t>
  </si>
  <si>
    <t>0922301031</t>
  </si>
  <si>
    <t>0922301035</t>
  </si>
  <si>
    <t>0922301033</t>
  </si>
  <si>
    <t>0934210019</t>
  </si>
  <si>
    <t>0933301005</t>
  </si>
  <si>
    <t>1004102012</t>
  </si>
  <si>
    <t>1004112005</t>
  </si>
  <si>
    <t>1004111005</t>
  </si>
  <si>
    <t>1004111002</t>
  </si>
  <si>
    <t>1004111007</t>
  </si>
  <si>
    <t>1004111006</t>
  </si>
  <si>
    <t>1004111001</t>
  </si>
  <si>
    <t>0933404006</t>
  </si>
  <si>
    <t>0933301015</t>
  </si>
  <si>
    <t>0933303001</t>
  </si>
  <si>
    <t>0933303008</t>
  </si>
  <si>
    <t>0933208007</t>
  </si>
  <si>
    <t>0933302002</t>
  </si>
  <si>
    <t>1004101003</t>
  </si>
  <si>
    <t>1004112006</t>
  </si>
  <si>
    <t>0933207017</t>
  </si>
  <si>
    <t>0933404011</t>
  </si>
  <si>
    <t>0933404013</t>
  </si>
  <si>
    <t>0933404014</t>
  </si>
  <si>
    <t>0933404012</t>
  </si>
  <si>
    <t>0933301008</t>
  </si>
  <si>
    <t>1004102001</t>
  </si>
  <si>
    <t>0933303004</t>
  </si>
  <si>
    <t>0933302026</t>
  </si>
  <si>
    <t>0933303009</t>
  </si>
  <si>
    <t>0933404005</t>
  </si>
  <si>
    <t>0933303007</t>
  </si>
  <si>
    <t>0933207004</t>
  </si>
  <si>
    <t>0922301034</t>
  </si>
  <si>
    <t>0933208021</t>
  </si>
  <si>
    <t>0933302034</t>
  </si>
  <si>
    <t>0933301001</t>
  </si>
  <si>
    <t>0933207002</t>
  </si>
  <si>
    <t>1004102006</t>
  </si>
  <si>
    <t>0933301011</t>
  </si>
  <si>
    <t>1004112007</t>
  </si>
  <si>
    <t>0933302035</t>
  </si>
  <si>
    <t>0933207031</t>
  </si>
  <si>
    <t>0933302028</t>
  </si>
  <si>
    <t>0933302036</t>
  </si>
  <si>
    <t>0922301041</t>
  </si>
  <si>
    <t>0933208020</t>
  </si>
  <si>
    <t>0933303005</t>
  </si>
  <si>
    <t>0933302037</t>
  </si>
  <si>
    <t>0933301009</t>
  </si>
  <si>
    <t>0933302027</t>
  </si>
  <si>
    <t>0933207001</t>
  </si>
  <si>
    <t>0933302038</t>
  </si>
  <si>
    <t>0928305037</t>
  </si>
  <si>
    <t>1004103006</t>
  </si>
  <si>
    <t>0933302039</t>
  </si>
  <si>
    <t>0933302033</t>
  </si>
  <si>
    <t>1004102008</t>
  </si>
  <si>
    <t>0933302029</t>
  </si>
  <si>
    <t>0933302040</t>
  </si>
  <si>
    <t>1004102004</t>
  </si>
  <si>
    <t>0933302023</t>
  </si>
  <si>
    <t>0933303006</t>
  </si>
  <si>
    <t>0933208027</t>
  </si>
  <si>
    <t>1004102002</t>
  </si>
  <si>
    <t>0927418010</t>
  </si>
  <si>
    <t>1004103012</t>
  </si>
  <si>
    <t>1004103010</t>
  </si>
  <si>
    <t>0928315046</t>
  </si>
  <si>
    <t>0933302030</t>
  </si>
  <si>
    <t>0928315050</t>
  </si>
  <si>
    <t>0933301010</t>
  </si>
  <si>
    <t>0928315045</t>
  </si>
  <si>
    <t>0928315051</t>
  </si>
  <si>
    <t>1004102003</t>
  </si>
  <si>
    <t>0934400012</t>
  </si>
  <si>
    <t>0933207030</t>
  </si>
  <si>
    <t>1004102009</t>
  </si>
  <si>
    <t>1004102011</t>
  </si>
  <si>
    <t>0922301026</t>
  </si>
  <si>
    <t>0933207013</t>
  </si>
  <si>
    <t>0933302031</t>
  </si>
  <si>
    <t>0928315044</t>
  </si>
  <si>
    <t>0933208016</t>
  </si>
  <si>
    <t>0933302005</t>
  </si>
  <si>
    <t>0933302003</t>
  </si>
  <si>
    <t>0933207025</t>
  </si>
  <si>
    <t>0922301030</t>
  </si>
  <si>
    <t>0927418021</t>
  </si>
  <si>
    <t>0933302041</t>
  </si>
  <si>
    <t>0933404001</t>
  </si>
  <si>
    <t>0922301027</t>
  </si>
  <si>
    <t>0933302013</t>
  </si>
  <si>
    <t>0933208026</t>
  </si>
  <si>
    <t>0922301036</t>
  </si>
  <si>
    <t>0922301038</t>
  </si>
  <si>
    <t>0934210025</t>
  </si>
  <si>
    <t>0927419009</t>
  </si>
  <si>
    <t>0933208029</t>
  </si>
  <si>
    <t>0922301028</t>
  </si>
  <si>
    <t>0922301025</t>
  </si>
  <si>
    <t>0933208014</t>
  </si>
  <si>
    <t>0933207005</t>
  </si>
  <si>
    <t>0933207008</t>
  </si>
  <si>
    <t>0933207032</t>
  </si>
  <si>
    <t>0933302004</t>
  </si>
  <si>
    <t>0928315039</t>
  </si>
  <si>
    <t>0928315040</t>
  </si>
  <si>
    <t>0933208005</t>
  </si>
  <si>
    <t>0933207019</t>
  </si>
  <si>
    <t>0933207009</t>
  </si>
  <si>
    <t>0928315043</t>
  </si>
  <si>
    <t>0933207020</t>
  </si>
  <si>
    <t>0933208009</t>
  </si>
  <si>
    <t>0933207036</t>
  </si>
  <si>
    <t>0934210016</t>
  </si>
  <si>
    <t>0933207014</t>
  </si>
  <si>
    <t>0933207006</t>
  </si>
  <si>
    <t>0933207010</t>
  </si>
  <si>
    <t>0922301039</t>
  </si>
  <si>
    <t>0934210024</t>
  </si>
  <si>
    <t>0927419016</t>
  </si>
  <si>
    <t>0927419008</t>
  </si>
  <si>
    <t>0933207018</t>
  </si>
  <si>
    <t>0922301022</t>
  </si>
  <si>
    <t>0933207023</t>
  </si>
  <si>
    <t>0933207022</t>
  </si>
  <si>
    <t>0922301017</t>
  </si>
  <si>
    <t>0922301019</t>
  </si>
  <si>
    <t>0922301020</t>
  </si>
  <si>
    <t>0922301021</t>
  </si>
  <si>
    <t>0922301024</t>
  </si>
  <si>
    <t>0922301018</t>
  </si>
  <si>
    <t>0934210023</t>
  </si>
  <si>
    <t>0933207021</t>
  </si>
  <si>
    <t>0933208004</t>
  </si>
  <si>
    <t>0922301023</t>
  </si>
  <si>
    <t>0933208022</t>
  </si>
  <si>
    <t>0928315041</t>
  </si>
  <si>
    <t>0933208008</t>
  </si>
  <si>
    <t>0933208006</t>
  </si>
  <si>
    <t>0928315048</t>
  </si>
  <si>
    <t>0933208001</t>
  </si>
  <si>
    <t>0928305004</t>
  </si>
  <si>
    <t>0933208025</t>
  </si>
  <si>
    <t>0933208017</t>
  </si>
  <si>
    <t>0927419001</t>
  </si>
  <si>
    <t>0933208023</t>
  </si>
  <si>
    <t>0933207024</t>
  </si>
  <si>
    <t>0933208003</t>
  </si>
  <si>
    <t>0933208002</t>
  </si>
  <si>
    <t>0933207016</t>
  </si>
  <si>
    <t>0933208013</t>
  </si>
  <si>
    <t>0933208019</t>
  </si>
  <si>
    <t>0933208010</t>
  </si>
  <si>
    <t>0933207012</t>
  </si>
  <si>
    <t>0933208028</t>
  </si>
  <si>
    <t>0933207028</t>
  </si>
  <si>
    <t>0933208024</t>
  </si>
  <si>
    <t>0933207015</t>
  </si>
  <si>
    <t>0933208011</t>
  </si>
  <si>
    <t>0933208018</t>
  </si>
  <si>
    <t>0933207027</t>
  </si>
  <si>
    <t>0933208012</t>
  </si>
  <si>
    <t>0933207011</t>
  </si>
  <si>
    <t>0933207026</t>
  </si>
  <si>
    <t>0933207034</t>
  </si>
  <si>
    <t>0933207035</t>
  </si>
  <si>
    <t>0934210020</t>
  </si>
  <si>
    <t>0934210022</t>
  </si>
  <si>
    <t>0933207033</t>
  </si>
  <si>
    <t>0928305021</t>
  </si>
  <si>
    <t>0927418017</t>
  </si>
  <si>
    <t>0927418019</t>
  </si>
  <si>
    <t>0928305023</t>
  </si>
  <si>
    <t>0928305027</t>
  </si>
  <si>
    <t>0928305033</t>
  </si>
  <si>
    <t>0928305032</t>
  </si>
  <si>
    <t>0928305025</t>
  </si>
  <si>
    <t>0928305034</t>
  </si>
  <si>
    <t>0928305029</t>
  </si>
  <si>
    <t>0928305031</t>
  </si>
  <si>
    <t>0928305028</t>
  </si>
  <si>
    <t>0928305026</t>
  </si>
  <si>
    <t>0928305030</t>
  </si>
  <si>
    <t>0934210015</t>
  </si>
  <si>
    <t>0928305024</t>
  </si>
  <si>
    <t>0928305035</t>
  </si>
  <si>
    <t>0928305022</t>
  </si>
  <si>
    <t>0927418014</t>
  </si>
  <si>
    <t>0927418013</t>
  </si>
  <si>
    <t>0927418015</t>
  </si>
  <si>
    <t>0927418001</t>
  </si>
  <si>
    <t>0927418016</t>
  </si>
  <si>
    <t>0927418011</t>
  </si>
  <si>
    <t>0934210021</t>
  </si>
  <si>
    <t>0927418018</t>
  </si>
  <si>
    <t>0927418020</t>
  </si>
  <si>
    <t>0927419002</t>
  </si>
  <si>
    <t>0927419007</t>
  </si>
  <si>
    <t>0927419010</t>
  </si>
  <si>
    <t>0927419015</t>
  </si>
  <si>
    <t>0927419011</t>
  </si>
  <si>
    <t>0927419013</t>
  </si>
  <si>
    <t>0927419014</t>
  </si>
  <si>
    <t>0927419012</t>
  </si>
  <si>
    <t>0927419004</t>
  </si>
  <si>
    <t>0927419005</t>
  </si>
  <si>
    <t>0927419003</t>
  </si>
  <si>
    <t>0927419006</t>
  </si>
  <si>
    <t>0927418012</t>
  </si>
  <si>
    <t>0927418009</t>
  </si>
  <si>
    <t>0927418003</t>
  </si>
  <si>
    <t>0927418008</t>
  </si>
  <si>
    <t>0927418004</t>
  </si>
  <si>
    <t>0927418002</t>
  </si>
  <si>
    <t>0927418006</t>
  </si>
  <si>
    <t>0927418005</t>
  </si>
  <si>
    <t>0927418007</t>
  </si>
  <si>
    <t>0934112015</t>
  </si>
  <si>
    <t>0934112014</t>
  </si>
  <si>
    <t>0934112024</t>
  </si>
  <si>
    <t>0934112022</t>
  </si>
  <si>
    <t>0934115003</t>
  </si>
  <si>
    <t>0934115008</t>
  </si>
  <si>
    <t>0934114005</t>
  </si>
  <si>
    <t>0934115007</t>
  </si>
  <si>
    <t>0934115012</t>
  </si>
  <si>
    <t>0934112033</t>
  </si>
  <si>
    <t>0934114004</t>
  </si>
  <si>
    <t>0934113032</t>
  </si>
  <si>
    <t>0934112019</t>
  </si>
  <si>
    <t>0934116004</t>
  </si>
  <si>
    <t>0934117009</t>
  </si>
  <si>
    <t>0934114014</t>
  </si>
  <si>
    <t>0934112008</t>
  </si>
  <si>
    <t>0934113025</t>
  </si>
  <si>
    <t>0934112025</t>
  </si>
  <si>
    <t>0934112020</t>
  </si>
  <si>
    <t>0934114010</t>
  </si>
  <si>
    <t>0934113029</t>
  </si>
  <si>
    <t>0934113030</t>
  </si>
  <si>
    <t>0933213049</t>
  </si>
  <si>
    <t>0933213045</t>
  </si>
  <si>
    <t>0934113033</t>
  </si>
  <si>
    <t>0934112013</t>
  </si>
  <si>
    <t>0934112031</t>
  </si>
  <si>
    <t>0934112018</t>
  </si>
  <si>
    <t>0934114006</t>
  </si>
  <si>
    <t>0934113020</t>
  </si>
  <si>
    <t>0934112021</t>
  </si>
  <si>
    <t>0934112026</t>
  </si>
  <si>
    <t>0934114007</t>
  </si>
  <si>
    <t>0934113015</t>
  </si>
  <si>
    <t>0934117004</t>
  </si>
  <si>
    <t>0934112027</t>
  </si>
  <si>
    <t>0934113018</t>
  </si>
  <si>
    <t>0934113012</t>
  </si>
  <si>
    <t>0934113014</t>
  </si>
  <si>
    <t>0934116008</t>
  </si>
  <si>
    <t>0934112032</t>
  </si>
  <si>
    <t>0934113013</t>
  </si>
  <si>
    <t>0934113028</t>
  </si>
  <si>
    <t>0934112016</t>
  </si>
  <si>
    <t>0934113021</t>
  </si>
  <si>
    <t>0934113016</t>
  </si>
  <si>
    <t>0934113019</t>
  </si>
  <si>
    <t>0934113024</t>
  </si>
  <si>
    <t>0934115009</t>
  </si>
  <si>
    <t>0934115006</t>
  </si>
  <si>
    <t>0934115004</t>
  </si>
  <si>
    <t>0934115010</t>
  </si>
  <si>
    <t>0934113009</t>
  </si>
  <si>
    <t>0934115005</t>
  </si>
  <si>
    <t>0934115011</t>
  </si>
  <si>
    <t>0934113022</t>
  </si>
  <si>
    <t>0934113017</t>
  </si>
  <si>
    <t>0934112028</t>
  </si>
  <si>
    <t>0934112029</t>
  </si>
  <si>
    <t>0934114012</t>
  </si>
  <si>
    <t>0934117006</t>
  </si>
  <si>
    <t>0934113011</t>
  </si>
  <si>
    <t>0934116007</t>
  </si>
  <si>
    <t>0934116006</t>
  </si>
  <si>
    <t>0934117008</t>
  </si>
  <si>
    <t>0934117007</t>
  </si>
  <si>
    <t>0934113023</t>
  </si>
  <si>
    <t>0934113026</t>
  </si>
  <si>
    <t>0934117005</t>
  </si>
  <si>
    <t>0934116005</t>
  </si>
  <si>
    <t>0934113010</t>
  </si>
  <si>
    <t>0934112011</t>
  </si>
  <si>
    <t>0934112030</t>
  </si>
  <si>
    <t>0934112012</t>
  </si>
  <si>
    <t>0934114011</t>
  </si>
  <si>
    <t>0934112009</t>
  </si>
  <si>
    <t>0934114008</t>
  </si>
  <si>
    <t>0934113031</t>
  </si>
  <si>
    <t>0934114013</t>
  </si>
  <si>
    <t>0934113027</t>
  </si>
  <si>
    <t>0934112010</t>
  </si>
  <si>
    <t>0934112017</t>
  </si>
  <si>
    <t>0934114009</t>
  </si>
  <si>
    <t>0933213048</t>
  </si>
  <si>
    <t>0933213047</t>
  </si>
  <si>
    <t>0928410014</t>
  </si>
  <si>
    <t>0928410043</t>
  </si>
  <si>
    <t>0933112045</t>
  </si>
  <si>
    <t>0933112054</t>
  </si>
  <si>
    <t>0907220029</t>
  </si>
  <si>
    <t>0907218013</t>
  </si>
  <si>
    <t>0908411001</t>
  </si>
  <si>
    <t>0908411002</t>
  </si>
  <si>
    <t>0908410011</t>
  </si>
  <si>
    <t>0907220027</t>
  </si>
  <si>
    <t>0908305018</t>
  </si>
  <si>
    <t>0908217014</t>
  </si>
  <si>
    <t>0908305019</t>
  </si>
  <si>
    <t>0908305017</t>
  </si>
  <si>
    <t>0908125013</t>
  </si>
  <si>
    <t>0908305026</t>
  </si>
  <si>
    <t>0908305005</t>
  </si>
  <si>
    <t>0908305025</t>
  </si>
  <si>
    <t>0907220028</t>
  </si>
  <si>
    <t>0908225019</t>
  </si>
  <si>
    <t>0908217020</t>
  </si>
  <si>
    <t>0908217015</t>
  </si>
  <si>
    <t>0908217023</t>
  </si>
  <si>
    <t>0909109012</t>
  </si>
  <si>
    <t>0907410005</t>
  </si>
  <si>
    <t>0908310016</t>
  </si>
  <si>
    <t>0907410001</t>
  </si>
  <si>
    <t>0908114010</t>
  </si>
  <si>
    <t>0909110007</t>
  </si>
  <si>
    <t>0908114011</t>
  </si>
  <si>
    <t>0908310019</t>
  </si>
  <si>
    <t>0909110006</t>
  </si>
  <si>
    <t>0907410002</t>
  </si>
  <si>
    <t>0907410003</t>
  </si>
  <si>
    <t>0908225023</t>
  </si>
  <si>
    <t>0908307009</t>
  </si>
  <si>
    <t>0908305001</t>
  </si>
  <si>
    <t>0908124009</t>
  </si>
  <si>
    <t>0908308002</t>
  </si>
  <si>
    <t>0909110005</t>
  </si>
  <si>
    <t>0908310017</t>
  </si>
  <si>
    <t>0908310020</t>
  </si>
  <si>
    <t>0908203001</t>
  </si>
  <si>
    <t>0908203007</t>
  </si>
  <si>
    <t>0908125006</t>
  </si>
  <si>
    <t>0908125015</t>
  </si>
  <si>
    <t>0908125005</t>
  </si>
  <si>
    <t>0909109008</t>
  </si>
  <si>
    <t>0908308003</t>
  </si>
  <si>
    <t>0908305003</t>
  </si>
  <si>
    <t>0908205020</t>
  </si>
  <si>
    <t>0908205011</t>
  </si>
  <si>
    <t>0909110004</t>
  </si>
  <si>
    <t>0907217019</t>
  </si>
  <si>
    <t>0908125003</t>
  </si>
  <si>
    <t>0908305002</t>
  </si>
  <si>
    <t>0908125007</t>
  </si>
  <si>
    <t>0908125021</t>
  </si>
  <si>
    <t>0908225021</t>
  </si>
  <si>
    <t>0908225022</t>
  </si>
  <si>
    <t>0908225013</t>
  </si>
  <si>
    <t>0908217019</t>
  </si>
  <si>
    <t>0908217016</t>
  </si>
  <si>
    <t>0908217017</t>
  </si>
  <si>
    <t>0908217018</t>
  </si>
  <si>
    <t>0909110013</t>
  </si>
  <si>
    <t>0909110012</t>
  </si>
  <si>
    <t>0909110011</t>
  </si>
  <si>
    <t>0908115006</t>
  </si>
  <si>
    <t>0908115009</t>
  </si>
  <si>
    <t>0908115007</t>
  </si>
  <si>
    <t>0908115008</t>
  </si>
  <si>
    <t>0909110010</t>
  </si>
  <si>
    <t>0908313021</t>
  </si>
  <si>
    <t>0908313022</t>
  </si>
  <si>
    <t>0907411003</t>
  </si>
  <si>
    <t>0908125010</t>
  </si>
  <si>
    <t>0908125019</t>
  </si>
  <si>
    <t>0908125011</t>
  </si>
  <si>
    <t>0908125018</t>
  </si>
  <si>
    <t>0908125017</t>
  </si>
  <si>
    <t>0908203009</t>
  </si>
  <si>
    <t>0908203004</t>
  </si>
  <si>
    <t>0908203002</t>
  </si>
  <si>
    <t>0908203003</t>
  </si>
  <si>
    <t>0908203006</t>
  </si>
  <si>
    <t>0908310023</t>
  </si>
  <si>
    <t>0907411002</t>
  </si>
  <si>
    <t>0907411001</t>
  </si>
  <si>
    <t>0908125012</t>
  </si>
  <si>
    <t>0908310022</t>
  </si>
  <si>
    <t>0908124006</t>
  </si>
  <si>
    <t>0908124008</t>
  </si>
  <si>
    <t>0909110015</t>
  </si>
  <si>
    <t>0908301009</t>
  </si>
  <si>
    <t>0908310021</t>
  </si>
  <si>
    <t>0908306040</t>
  </si>
  <si>
    <t>0908206009</t>
  </si>
  <si>
    <t>0908206008</t>
  </si>
  <si>
    <t>0908117049</t>
  </si>
  <si>
    <t>0908206004</t>
  </si>
  <si>
    <t>0909109001</t>
  </si>
  <si>
    <t>0908116029</t>
  </si>
  <si>
    <t>0909111026</t>
  </si>
  <si>
    <t>0907217015</t>
  </si>
  <si>
    <t>0909111024</t>
  </si>
  <si>
    <t>0909111023</t>
  </si>
  <si>
    <t>0909111025</t>
  </si>
  <si>
    <t>0908306041</t>
  </si>
  <si>
    <t>0908310018</t>
  </si>
  <si>
    <t>0909109013</t>
  </si>
  <si>
    <t>0908217043</t>
  </si>
  <si>
    <t>0908305023</t>
  </si>
  <si>
    <t>0907217021</t>
  </si>
  <si>
    <t>0907217020</t>
  </si>
  <si>
    <t>0908225014</t>
  </si>
  <si>
    <t>0909109019</t>
  </si>
  <si>
    <t>0908116004</t>
  </si>
  <si>
    <t>0908116018</t>
  </si>
  <si>
    <t>0908115011</t>
  </si>
  <si>
    <t>0908124020</t>
  </si>
  <si>
    <t>0908124002</t>
  </si>
  <si>
    <t>0909109015</t>
  </si>
  <si>
    <t>0909109016</t>
  </si>
  <si>
    <t>0908117003</t>
  </si>
  <si>
    <t>0908124004</t>
  </si>
  <si>
    <t>0908305028</t>
  </si>
  <si>
    <t>0908129009</t>
  </si>
  <si>
    <t>0909110016</t>
  </si>
  <si>
    <t>0909109017</t>
  </si>
  <si>
    <t>0908225018</t>
  </si>
  <si>
    <t>0908225017</t>
  </si>
  <si>
    <t>0908225016</t>
  </si>
  <si>
    <t>0908310040</t>
  </si>
  <si>
    <t>0908227008</t>
  </si>
  <si>
    <t>0908314025</t>
  </si>
  <si>
    <t>0908310039</t>
  </si>
  <si>
    <t>0904300031</t>
  </si>
  <si>
    <t>0908411026</t>
  </si>
  <si>
    <t>0812212009</t>
  </si>
  <si>
    <t>0909111009</t>
  </si>
  <si>
    <t>0908118008</t>
  </si>
  <si>
    <t>0812209018</t>
  </si>
  <si>
    <t>0908119020</t>
  </si>
  <si>
    <t>0906408006</t>
  </si>
  <si>
    <t>0906408005</t>
  </si>
  <si>
    <t>0906408009</t>
  </si>
  <si>
    <t>0908118009</t>
  </si>
  <si>
    <t>0908119024</t>
  </si>
  <si>
    <t>0908119022</t>
  </si>
  <si>
    <t>0908411048</t>
  </si>
  <si>
    <t>0801405033</t>
  </si>
  <si>
    <t>0801405034</t>
  </si>
  <si>
    <t>0801405035</t>
  </si>
  <si>
    <t>0801405036</t>
  </si>
  <si>
    <t>0908224028</t>
  </si>
  <si>
    <t>0920302010</t>
  </si>
  <si>
    <t>0919420017</t>
  </si>
  <si>
    <t>0920302009</t>
  </si>
  <si>
    <t>0907220024</t>
  </si>
  <si>
    <t>0930106013</t>
  </si>
  <si>
    <t>0908117019</t>
  </si>
  <si>
    <t>0907220026</t>
  </si>
  <si>
    <t>0905119005</t>
  </si>
  <si>
    <t>0929115008</t>
  </si>
  <si>
    <t>0929115009</t>
  </si>
  <si>
    <t>0907220025</t>
  </si>
  <si>
    <t>0909111005</t>
  </si>
  <si>
    <t>0909111004</t>
  </si>
  <si>
    <t>0930105055</t>
  </si>
  <si>
    <t>0908117015</t>
  </si>
  <si>
    <t>0930103043</t>
  </si>
  <si>
    <t>0909110008</t>
  </si>
  <si>
    <t>0930103054</t>
  </si>
  <si>
    <t>0904300045</t>
  </si>
  <si>
    <t>0904300046</t>
  </si>
  <si>
    <t>0909111003</t>
  </si>
  <si>
    <t>0930103032</t>
  </si>
  <si>
    <t>0930103041</t>
  </si>
  <si>
    <t>0930105035</t>
  </si>
  <si>
    <t>0930209020</t>
  </si>
  <si>
    <t>0930103052</t>
  </si>
  <si>
    <t>0919418021</t>
  </si>
  <si>
    <t>0930107018</t>
  </si>
  <si>
    <t>0919420016</t>
  </si>
  <si>
    <t>0930106021</t>
  </si>
  <si>
    <t>0929116007</t>
  </si>
  <si>
    <t>0930202019</t>
  </si>
  <si>
    <t>0929116016</t>
  </si>
  <si>
    <t>0929116008</t>
  </si>
  <si>
    <t>0930203043</t>
  </si>
  <si>
    <t>0929116015</t>
  </si>
  <si>
    <t>0909108012</t>
  </si>
  <si>
    <t>0930206031</t>
  </si>
  <si>
    <t>0930209004</t>
  </si>
  <si>
    <t>0929116020</t>
  </si>
  <si>
    <t>0930107001</t>
  </si>
  <si>
    <t>0929116021</t>
  </si>
  <si>
    <t>0930105037</t>
  </si>
  <si>
    <t>0909111018</t>
  </si>
  <si>
    <t>0930200016</t>
  </si>
  <si>
    <t>0930107023</t>
  </si>
  <si>
    <t>0930106012</t>
  </si>
  <si>
    <t>0930204035</t>
  </si>
  <si>
    <t>0930203044</t>
  </si>
  <si>
    <t>0930203039</t>
  </si>
  <si>
    <t>0909111007</t>
  </si>
  <si>
    <t>0929115007</t>
  </si>
  <si>
    <t>0930106011</t>
  </si>
  <si>
    <t>0909111008</t>
  </si>
  <si>
    <t>0909111021</t>
  </si>
  <si>
    <t>0930105030</t>
  </si>
  <si>
    <t>0909110001</t>
  </si>
  <si>
    <t>0930107017</t>
  </si>
  <si>
    <t>0930107022</t>
  </si>
  <si>
    <t>0930103053</t>
  </si>
  <si>
    <t>0919417003</t>
  </si>
  <si>
    <t>0930107019</t>
  </si>
  <si>
    <t>0919418018</t>
  </si>
  <si>
    <t>0929116014</t>
  </si>
  <si>
    <t>0930106017</t>
  </si>
  <si>
    <t>0929117002</t>
  </si>
  <si>
    <t>0908114004</t>
  </si>
  <si>
    <t>0930204037</t>
  </si>
  <si>
    <t>0930203003</t>
  </si>
  <si>
    <t>0930103042</t>
  </si>
  <si>
    <t>0908114001</t>
  </si>
  <si>
    <t>0930207019</t>
  </si>
  <si>
    <t>0930103038</t>
  </si>
  <si>
    <t>0930204038</t>
  </si>
  <si>
    <t>0930203005</t>
  </si>
  <si>
    <t>0930209021</t>
  </si>
  <si>
    <t>0930103031</t>
  </si>
  <si>
    <t>0930103021</t>
  </si>
  <si>
    <t>0930203004</t>
  </si>
  <si>
    <t>0930105038</t>
  </si>
  <si>
    <t>0930208004</t>
  </si>
  <si>
    <t>0930106014</t>
  </si>
  <si>
    <t>0930105036</t>
  </si>
  <si>
    <t>0930106022</t>
  </si>
  <si>
    <t>0930103022</t>
  </si>
  <si>
    <t>0930200017</t>
  </si>
  <si>
    <t>0930203046</t>
  </si>
  <si>
    <t>0909111013</t>
  </si>
  <si>
    <t>0930202010</t>
  </si>
  <si>
    <t>0930204013</t>
  </si>
  <si>
    <t>0930203019</t>
  </si>
  <si>
    <t>0930106010</t>
  </si>
  <si>
    <t>0930103029</t>
  </si>
  <si>
    <t>0930103027</t>
  </si>
  <si>
    <t>0930103025</t>
  </si>
  <si>
    <t>0930202020</t>
  </si>
  <si>
    <t>0930103037</t>
  </si>
  <si>
    <t>0930103039</t>
  </si>
  <si>
    <t>0930204036</t>
  </si>
  <si>
    <t>0930203055</t>
  </si>
  <si>
    <t>0930200018</t>
  </si>
  <si>
    <t>0930200020</t>
  </si>
  <si>
    <t>0930200019</t>
  </si>
  <si>
    <t>0930203020</t>
  </si>
  <si>
    <t>0930103035</t>
  </si>
  <si>
    <t>0930106016</t>
  </si>
  <si>
    <t>0919418014</t>
  </si>
  <si>
    <t>0930106001</t>
  </si>
  <si>
    <t>0930107003</t>
  </si>
  <si>
    <t>0917308006</t>
  </si>
  <si>
    <t>0917308002</t>
  </si>
  <si>
    <t>0930204034</t>
  </si>
  <si>
    <t>0919417004</t>
  </si>
  <si>
    <t>0919418015</t>
  </si>
  <si>
    <t>0930203006</t>
  </si>
  <si>
    <t>0930107004</t>
  </si>
  <si>
    <t>0930105033</t>
  </si>
  <si>
    <t>0930203031</t>
  </si>
  <si>
    <t>0930203007</t>
  </si>
  <si>
    <t>0908117016</t>
  </si>
  <si>
    <t>0930203047</t>
  </si>
  <si>
    <t>0930103036</t>
  </si>
  <si>
    <t>0930202011</t>
  </si>
  <si>
    <t>0919417001</t>
  </si>
  <si>
    <t>0909110023</t>
  </si>
  <si>
    <t>0930105063</t>
  </si>
  <si>
    <t>0930202002</t>
  </si>
  <si>
    <t>0908117013</t>
  </si>
  <si>
    <t>0930103059</t>
  </si>
  <si>
    <t>0930204012</t>
  </si>
  <si>
    <t>0930105044</t>
  </si>
  <si>
    <t>0930206030</t>
  </si>
  <si>
    <t>0930204017</t>
  </si>
  <si>
    <t>0930203045</t>
  </si>
  <si>
    <t>0930107021</t>
  </si>
  <si>
    <t>0930203040</t>
  </si>
  <si>
    <t>0930105032</t>
  </si>
  <si>
    <t>0930203042</t>
  </si>
  <si>
    <t>0919418019</t>
  </si>
  <si>
    <t>0930105029</t>
  </si>
  <si>
    <t>0929116010</t>
  </si>
  <si>
    <t>0930103047</t>
  </si>
  <si>
    <t>0930202006</t>
  </si>
  <si>
    <t>0919418022</t>
  </si>
  <si>
    <t>0930203026</t>
  </si>
  <si>
    <t>0930103055</t>
  </si>
  <si>
    <t>0919418016</t>
  </si>
  <si>
    <t>0919418017</t>
  </si>
  <si>
    <t>0908405002</t>
  </si>
  <si>
    <t>0930202033</t>
  </si>
  <si>
    <t>0930209005</t>
  </si>
  <si>
    <t>0930105056</t>
  </si>
  <si>
    <t>0930204039</t>
  </si>
  <si>
    <t>0930204010</t>
  </si>
  <si>
    <t>0930107010</t>
  </si>
  <si>
    <t>0930103048</t>
  </si>
  <si>
    <t>0930103044</t>
  </si>
  <si>
    <t>0930106023</t>
  </si>
  <si>
    <t>0930207020</t>
  </si>
  <si>
    <t>0930204007</t>
  </si>
  <si>
    <t>0930203001</t>
  </si>
  <si>
    <t>0930107002</t>
  </si>
  <si>
    <t>0930203012</t>
  </si>
  <si>
    <t>0930106024</t>
  </si>
  <si>
    <t>0929100131</t>
  </si>
  <si>
    <t>0930107020</t>
  </si>
  <si>
    <t>0930203029</t>
  </si>
  <si>
    <t>0929116005</t>
  </si>
  <si>
    <t>0929116004</t>
  </si>
  <si>
    <t>0930103014</t>
  </si>
  <si>
    <t>0930203028</t>
  </si>
  <si>
    <t>0930204019</t>
  </si>
  <si>
    <t>0930107024</t>
  </si>
  <si>
    <t>0930203008</t>
  </si>
  <si>
    <t>0930204001</t>
  </si>
  <si>
    <t>0930105045</t>
  </si>
  <si>
    <t>0904300013</t>
  </si>
  <si>
    <t>0930204031</t>
  </si>
  <si>
    <t>0919417005</t>
  </si>
  <si>
    <t>0930106020</t>
  </si>
  <si>
    <t>0930204027</t>
  </si>
  <si>
    <t>0930105028</t>
  </si>
  <si>
    <t>0930203035</t>
  </si>
  <si>
    <t>0909111014</t>
  </si>
  <si>
    <t>0930200021</t>
  </si>
  <si>
    <t>0909111015</t>
  </si>
  <si>
    <t>0909111016</t>
  </si>
  <si>
    <t>0930207001</t>
  </si>
  <si>
    <t>0909111017</t>
  </si>
  <si>
    <t>0930204030</t>
  </si>
  <si>
    <t>0930203018</t>
  </si>
  <si>
    <t>0930103034</t>
  </si>
  <si>
    <t>0930105024</t>
  </si>
  <si>
    <t>0919418008</t>
  </si>
  <si>
    <t>0930208009</t>
  </si>
  <si>
    <t>0930106015</t>
  </si>
  <si>
    <t>0930106006</t>
  </si>
  <si>
    <t>0930106003</t>
  </si>
  <si>
    <t>0930203025</t>
  </si>
  <si>
    <t>0930106007</t>
  </si>
  <si>
    <t>0930106002</t>
  </si>
  <si>
    <t>0930205005</t>
  </si>
  <si>
    <t>0930203013</t>
  </si>
  <si>
    <t>0930207005</t>
  </si>
  <si>
    <t>0930204014</t>
  </si>
  <si>
    <t>0930205001</t>
  </si>
  <si>
    <t>0930103028</t>
  </si>
  <si>
    <t>0930103026</t>
  </si>
  <si>
    <t>0930103024</t>
  </si>
  <si>
    <t>0930207014</t>
  </si>
  <si>
    <t>0930207013</t>
  </si>
  <si>
    <t>0930105023</t>
  </si>
  <si>
    <t>0930203048</t>
  </si>
  <si>
    <t>0930103030</t>
  </si>
  <si>
    <t>0930203041</t>
  </si>
  <si>
    <t>0930105027</t>
  </si>
  <si>
    <t>0930203027</t>
  </si>
  <si>
    <t>0930208006</t>
  </si>
  <si>
    <t>0930105022</t>
  </si>
  <si>
    <t>0930207003</t>
  </si>
  <si>
    <t>0930207004</t>
  </si>
  <si>
    <t>0930204011</t>
  </si>
  <si>
    <t>0930206020</t>
  </si>
  <si>
    <t>0930105031</t>
  </si>
  <si>
    <t>0930206021</t>
  </si>
  <si>
    <t>0919417006</t>
  </si>
  <si>
    <t>0930203032</t>
  </si>
  <si>
    <t>0930103023</t>
  </si>
  <si>
    <t>0930209001</t>
  </si>
  <si>
    <t>0930206008</t>
  </si>
  <si>
    <t>0930203030</t>
  </si>
  <si>
    <t>0919418009</t>
  </si>
  <si>
    <t>0930207021</t>
  </si>
  <si>
    <t>0930105025</t>
  </si>
  <si>
    <t>0930204002</t>
  </si>
  <si>
    <t>0908114014</t>
  </si>
  <si>
    <t>0930208001</t>
  </si>
  <si>
    <t>0930208005</t>
  </si>
  <si>
    <t>0930202012</t>
  </si>
  <si>
    <t>0930105034</t>
  </si>
  <si>
    <t>0930204006</t>
  </si>
  <si>
    <t>0930103045</t>
  </si>
  <si>
    <t>0919418011</t>
  </si>
  <si>
    <t>0919418010</t>
  </si>
  <si>
    <t>0930206036</t>
  </si>
  <si>
    <t>0930206001</t>
  </si>
  <si>
    <t>0930203021</t>
  </si>
  <si>
    <t>0908117014</t>
  </si>
  <si>
    <t>0930204008</t>
  </si>
  <si>
    <t>0929117001</t>
  </si>
  <si>
    <t>0930106029</t>
  </si>
  <si>
    <t>0909108003</t>
  </si>
  <si>
    <t>0930103050</t>
  </si>
  <si>
    <t>0930103040</t>
  </si>
  <si>
    <t>0929116009</t>
  </si>
  <si>
    <t>0919417002</t>
  </si>
  <si>
    <t>0919418013</t>
  </si>
  <si>
    <t>0919418012</t>
  </si>
  <si>
    <t>0930103051</t>
  </si>
  <si>
    <t>0930103033</t>
  </si>
  <si>
    <t>0930209003</t>
  </si>
  <si>
    <t>0930204016</t>
  </si>
  <si>
    <t>0930204015</t>
  </si>
  <si>
    <t>0930105026</t>
  </si>
  <si>
    <t>0930107011</t>
  </si>
  <si>
    <t>0930105047</t>
  </si>
  <si>
    <t>0930105042</t>
  </si>
  <si>
    <t>0930103018</t>
  </si>
  <si>
    <t>0930105039</t>
  </si>
  <si>
    <t>0930103019</t>
  </si>
  <si>
    <t>0930105052</t>
  </si>
  <si>
    <t>0930202014</t>
  </si>
  <si>
    <t>0930105040</t>
  </si>
  <si>
    <t>0930103017</t>
  </si>
  <si>
    <t>0930105049</t>
  </si>
  <si>
    <t>0930105051</t>
  </si>
  <si>
    <t>0930105050</t>
  </si>
  <si>
    <t>0930105046</t>
  </si>
  <si>
    <t>0930103015</t>
  </si>
  <si>
    <t>0930202016</t>
  </si>
  <si>
    <t>0930105048</t>
  </si>
  <si>
    <t>0930103016</t>
  </si>
  <si>
    <t>0930105053</t>
  </si>
  <si>
    <t>0930105043</t>
  </si>
  <si>
    <t>0930105041</t>
  </si>
  <si>
    <t>0930202017</t>
  </si>
  <si>
    <t>0930202015</t>
  </si>
  <si>
    <t>0930202013</t>
  </si>
  <si>
    <t>0930103046</t>
  </si>
  <si>
    <t>0930103058</t>
  </si>
  <si>
    <t>0930103057</t>
  </si>
  <si>
    <t>0930204033</t>
  </si>
  <si>
    <t>0930204040</t>
  </si>
  <si>
    <t>0919418023</t>
  </si>
  <si>
    <t>0929115001</t>
  </si>
  <si>
    <t>0930106018</t>
  </si>
  <si>
    <t>0930106019</t>
  </si>
  <si>
    <t>0930103056</t>
  </si>
  <si>
    <t>0930204005</t>
  </si>
  <si>
    <t>0930202018</t>
  </si>
  <si>
    <t>0930202009</t>
  </si>
  <si>
    <t>0930103020</t>
  </si>
  <si>
    <t>0929115010</t>
  </si>
  <si>
    <t>0929116013</t>
  </si>
  <si>
    <t>0929115011</t>
  </si>
  <si>
    <t>0929116012</t>
  </si>
  <si>
    <t>0929116011</t>
  </si>
  <si>
    <t>0929115012</t>
  </si>
  <si>
    <t>0930209019</t>
  </si>
  <si>
    <t>0930105054</t>
  </si>
  <si>
    <t>0930203009</t>
  </si>
  <si>
    <t>0930203002</t>
  </si>
  <si>
    <t>0930107015</t>
  </si>
  <si>
    <t>0930107005</t>
  </si>
  <si>
    <t>0930107009</t>
  </si>
  <si>
    <t>0930107012</t>
  </si>
  <si>
    <t>0930105059</t>
  </si>
  <si>
    <t>0930105057</t>
  </si>
  <si>
    <t>0930107013</t>
  </si>
  <si>
    <t>0930105062</t>
  </si>
  <si>
    <t>0930105060</t>
  </si>
  <si>
    <t>0930107008</t>
  </si>
  <si>
    <t>0930107007</t>
  </si>
  <si>
    <t>0930202007</t>
  </si>
  <si>
    <t>0930107014</t>
  </si>
  <si>
    <t>0930107006</t>
  </si>
  <si>
    <t>0930202008</t>
  </si>
  <si>
    <t>0930105058</t>
  </si>
  <si>
    <t>0930202005</t>
  </si>
  <si>
    <t>0930105061</t>
  </si>
  <si>
    <t>0930107016</t>
  </si>
  <si>
    <t>0930202004</t>
  </si>
  <si>
    <t>0930106005</t>
  </si>
  <si>
    <t>0930204003</t>
  </si>
  <si>
    <t>0930106004</t>
  </si>
  <si>
    <t>0930204004</t>
  </si>
  <si>
    <t>0930106008</t>
  </si>
  <si>
    <t>0930106009</t>
  </si>
  <si>
    <t>0930202003</t>
  </si>
  <si>
    <t>0930202021</t>
  </si>
  <si>
    <t>0930203038</t>
  </si>
  <si>
    <t>0930106025</t>
  </si>
  <si>
    <t>0930106027</t>
  </si>
  <si>
    <t>0930106028</t>
  </si>
  <si>
    <t>0930106026</t>
  </si>
  <si>
    <t>0930203010</t>
  </si>
  <si>
    <t>0929116001</t>
  </si>
  <si>
    <t>0930204032</t>
  </si>
  <si>
    <t>0929116006</t>
  </si>
  <si>
    <t>0930208007</t>
  </si>
  <si>
    <t>0930206032</t>
  </si>
  <si>
    <t>0930205004</t>
  </si>
  <si>
    <t>0930205003</t>
  </si>
  <si>
    <t>0930205002</t>
  </si>
  <si>
    <t>0930203017</t>
  </si>
  <si>
    <t>0930103049</t>
  </si>
  <si>
    <t>0930203016</t>
  </si>
  <si>
    <t>0929115006</t>
  </si>
  <si>
    <t>0930203015</t>
  </si>
  <si>
    <t>0930203014</t>
  </si>
  <si>
    <t>0909110003</t>
  </si>
  <si>
    <t>0930203011</t>
  </si>
  <si>
    <t>0930203051</t>
  </si>
  <si>
    <t>0930203053</t>
  </si>
  <si>
    <t>0930202027</t>
  </si>
  <si>
    <t>0930202025</t>
  </si>
  <si>
    <t>0930202026</t>
  </si>
  <si>
    <t>0930202022</t>
  </si>
  <si>
    <t>0930203049</t>
  </si>
  <si>
    <t>0930202031</t>
  </si>
  <si>
    <t>0930203033</t>
  </si>
  <si>
    <t>0930203054</t>
  </si>
  <si>
    <t>0930203052</t>
  </si>
  <si>
    <t>0930202032</t>
  </si>
  <si>
    <t>0930203050</t>
  </si>
  <si>
    <t>0930202024</t>
  </si>
  <si>
    <t>0930203037</t>
  </si>
  <si>
    <t>0930203036</t>
  </si>
  <si>
    <t>0930202030</t>
  </si>
  <si>
    <t>0930202023</t>
  </si>
  <si>
    <t>0930202028</t>
  </si>
  <si>
    <t>0930203034</t>
  </si>
  <si>
    <t>0930202029</t>
  </si>
  <si>
    <t>0930203024</t>
  </si>
  <si>
    <t>0930203023</t>
  </si>
  <si>
    <t>0930203022</t>
  </si>
  <si>
    <t>0930204028</t>
  </si>
  <si>
    <t>0930204029</t>
  </si>
  <si>
    <t>0930206003</t>
  </si>
  <si>
    <t>0930206006</t>
  </si>
  <si>
    <t>0930206035</t>
  </si>
  <si>
    <t>0930206034</t>
  </si>
  <si>
    <t>0930206002</t>
  </si>
  <si>
    <t>0930206005</t>
  </si>
  <si>
    <t>0930206033</t>
  </si>
  <si>
    <t>0930206007</t>
  </si>
  <si>
    <t>0930206004</t>
  </si>
  <si>
    <t>0930204020</t>
  </si>
  <si>
    <t>0930204022</t>
  </si>
  <si>
    <t>0930204023</t>
  </si>
  <si>
    <t>0930204025</t>
  </si>
  <si>
    <t>0930204024</t>
  </si>
  <si>
    <t>0930204026</t>
  </si>
  <si>
    <t>0930204021</t>
  </si>
  <si>
    <t>0908117017</t>
  </si>
  <si>
    <t>0930204041</t>
  </si>
  <si>
    <t>0930204043</t>
  </si>
  <si>
    <t>0930204042</t>
  </si>
  <si>
    <t>0908313001</t>
  </si>
  <si>
    <t>0930207002</t>
  </si>
  <si>
    <t>0929115003</t>
  </si>
  <si>
    <t>0929115004</t>
  </si>
  <si>
    <t>0929115005</t>
  </si>
  <si>
    <t>0929116002</t>
  </si>
  <si>
    <t>0930208003</t>
  </si>
  <si>
    <t>0929115002</t>
  </si>
  <si>
    <t>0908405003</t>
  </si>
  <si>
    <t>0930206010</t>
  </si>
  <si>
    <t>0930206011</t>
  </si>
  <si>
    <t>0930206009</t>
  </si>
  <si>
    <t>0930208002</t>
  </si>
  <si>
    <t>0929116003</t>
  </si>
  <si>
    <t>0930208008</t>
  </si>
  <si>
    <t>0930207008</t>
  </si>
  <si>
    <t>0930207007</t>
  </si>
  <si>
    <t>0930207006</t>
  </si>
  <si>
    <t>0930207012</t>
  </si>
  <si>
    <t>0930207015</t>
  </si>
  <si>
    <t>0930207009</t>
  </si>
  <si>
    <t>0930207011</t>
  </si>
  <si>
    <t>0930207010</t>
  </si>
  <si>
    <t>0930207016</t>
  </si>
  <si>
    <t>0930206014</t>
  </si>
  <si>
    <t>0930206026</t>
  </si>
  <si>
    <t>0930206013</t>
  </si>
  <si>
    <t>0930206025</t>
  </si>
  <si>
    <t>0930206016</t>
  </si>
  <si>
    <t>0930206018</t>
  </si>
  <si>
    <t>0930206028</t>
  </si>
  <si>
    <t>0930206023</t>
  </si>
  <si>
    <t>0930206017</t>
  </si>
  <si>
    <t>0930206029</t>
  </si>
  <si>
    <t>0930206012</t>
  </si>
  <si>
    <t>0930206024</t>
  </si>
  <si>
    <t>0930206015</t>
  </si>
  <si>
    <t>0930206019</t>
  </si>
  <si>
    <t>0930206027</t>
  </si>
  <si>
    <t>0930206022</t>
  </si>
  <si>
    <t>0930209018</t>
  </si>
  <si>
    <t>0930209017</t>
  </si>
  <si>
    <t>0930209002</t>
  </si>
  <si>
    <t>0930209015</t>
  </si>
  <si>
    <t>0930207017</t>
  </si>
  <si>
    <t>0930209016</t>
  </si>
  <si>
    <t>0930209014</t>
  </si>
  <si>
    <t>0930209013</t>
  </si>
  <si>
    <t>0930209012</t>
  </si>
  <si>
    <t>0930209011</t>
  </si>
  <si>
    <t>0930209010</t>
  </si>
  <si>
    <t>0930204044</t>
  </si>
  <si>
    <t>0930209009</t>
  </si>
  <si>
    <t>0930209008</t>
  </si>
  <si>
    <t>0930209026</t>
  </si>
  <si>
    <t>0930209025</t>
  </si>
  <si>
    <t>0930209007</t>
  </si>
  <si>
    <t>0930209006</t>
  </si>
  <si>
    <t>0930209024</t>
  </si>
  <si>
    <t>0930209023</t>
  </si>
  <si>
    <t>0930209022</t>
  </si>
  <si>
    <t>0930207018</t>
  </si>
  <si>
    <t>0909107025</t>
  </si>
  <si>
    <t>0909107019</t>
  </si>
  <si>
    <t>0909107021</t>
  </si>
  <si>
    <t>0909107026</t>
  </si>
  <si>
    <t>0909107020</t>
  </si>
  <si>
    <t>0909107017</t>
  </si>
  <si>
    <t>0908313002</t>
  </si>
  <si>
    <t>0908117021</t>
  </si>
  <si>
    <t>0908114008</t>
  </si>
  <si>
    <t>0929100127</t>
  </si>
  <si>
    <t>0908117018</t>
  </si>
  <si>
    <t>0908405015</t>
  </si>
  <si>
    <t>0929100128</t>
  </si>
  <si>
    <t>0929100126</t>
  </si>
  <si>
    <t>0907217018</t>
  </si>
  <si>
    <t>0907217017</t>
  </si>
  <si>
    <t>0908405016</t>
  </si>
  <si>
    <t>0907217016</t>
  </si>
  <si>
    <t>0908114009</t>
  </si>
  <si>
    <t>0908405004</t>
  </si>
  <si>
    <t>0929100129</t>
  </si>
  <si>
    <t>0929100130</t>
  </si>
  <si>
    <t>0929105018</t>
  </si>
  <si>
    <t>0929100123</t>
  </si>
  <si>
    <t>0929117004</t>
  </si>
  <si>
    <t>0929116017</t>
  </si>
  <si>
    <t>0929117003</t>
  </si>
  <si>
    <t>0929116018</t>
  </si>
  <si>
    <t>0909108004</t>
  </si>
  <si>
    <t>0908117022</t>
  </si>
  <si>
    <t>0908114013</t>
  </si>
  <si>
    <t>0602205058</t>
  </si>
  <si>
    <t>0601114038</t>
  </si>
  <si>
    <t>0601114037</t>
  </si>
  <si>
    <t>0602213015</t>
  </si>
  <si>
    <t>0601125028</t>
  </si>
  <si>
    <t>0602407005</t>
  </si>
  <si>
    <t>0602214044</t>
  </si>
  <si>
    <t>0602214043</t>
  </si>
  <si>
    <t>0602219018</t>
  </si>
  <si>
    <t>0602231031</t>
  </si>
  <si>
    <t>0602221051</t>
  </si>
  <si>
    <t>0602221059</t>
  </si>
  <si>
    <t>0602220016</t>
  </si>
  <si>
    <t>0614409061</t>
  </si>
  <si>
    <t>0335208032</t>
  </si>
  <si>
    <t>0325300002</t>
  </si>
  <si>
    <t>0602100014</t>
  </si>
  <si>
    <t>0602114016</t>
  </si>
  <si>
    <t>0611225050</t>
  </si>
  <si>
    <t>0602216014</t>
  </si>
  <si>
    <t>0611225045</t>
  </si>
  <si>
    <t>0335208028</t>
  </si>
  <si>
    <t>0335208029</t>
  </si>
  <si>
    <t>0335208025</t>
  </si>
  <si>
    <t>0335208024</t>
  </si>
  <si>
    <t>0611225041</t>
  </si>
  <si>
    <t>0611225049</t>
  </si>
  <si>
    <t>0611225053</t>
  </si>
  <si>
    <t>0611225044</t>
  </si>
  <si>
    <t>0611225043</t>
  </si>
  <si>
    <t>0611225042</t>
  </si>
  <si>
    <t>0325107015</t>
  </si>
  <si>
    <t>0611225055</t>
  </si>
  <si>
    <t>0611225047</t>
  </si>
  <si>
    <t>0611225048</t>
  </si>
  <si>
    <t>0611225046</t>
  </si>
  <si>
    <t>0611225051</t>
  </si>
  <si>
    <t>0611225054</t>
  </si>
  <si>
    <t>0613300039</t>
  </si>
  <si>
    <t>0325107003</t>
  </si>
  <si>
    <t>0611225030</t>
  </si>
  <si>
    <t>0613300050</t>
  </si>
  <si>
    <t>0611225029</t>
  </si>
  <si>
    <t>0613300040</t>
  </si>
  <si>
    <t>0613300041</t>
  </si>
  <si>
    <t>0613300042</t>
  </si>
  <si>
    <t>0335208043</t>
  </si>
  <si>
    <t>0614409006</t>
  </si>
  <si>
    <t>0335215003</t>
  </si>
  <si>
    <t>0602316073</t>
  </si>
  <si>
    <t>0336313029</t>
  </si>
  <si>
    <t>0601306038</t>
  </si>
  <si>
    <t>0511310022</t>
  </si>
  <si>
    <t>0510410029</t>
  </si>
  <si>
    <t>0511326035</t>
  </si>
  <si>
    <t>0511310084</t>
  </si>
  <si>
    <t>0510410018</t>
  </si>
  <si>
    <t>0511329038</t>
  </si>
  <si>
    <t>0511320013</t>
  </si>
  <si>
    <t>0511322023</t>
  </si>
  <si>
    <t>0511327003</t>
  </si>
  <si>
    <t>0510410032</t>
  </si>
  <si>
    <t>0510411041</t>
  </si>
  <si>
    <t>0510411035</t>
  </si>
  <si>
    <t>0511318005</t>
  </si>
  <si>
    <t>0511311011</t>
  </si>
  <si>
    <t>0511326001</t>
  </si>
  <si>
    <t>0511317021</t>
  </si>
  <si>
    <t>0511322015</t>
  </si>
  <si>
    <t>0511317019</t>
  </si>
  <si>
    <t>0511310031</t>
  </si>
  <si>
    <t>0511310032</t>
  </si>
  <si>
    <t>0511320012</t>
  </si>
  <si>
    <t>0511320011</t>
  </si>
  <si>
    <t>0511314006</t>
  </si>
  <si>
    <t>0511312013</t>
  </si>
  <si>
    <t>0510419045</t>
  </si>
  <si>
    <t>0510409037</t>
  </si>
  <si>
    <t>0511312008</t>
  </si>
  <si>
    <t>0510411008</t>
  </si>
  <si>
    <t>0510415021</t>
  </si>
  <si>
    <t>0511312001</t>
  </si>
  <si>
    <t>0511312002</t>
  </si>
  <si>
    <t>0511312007</t>
  </si>
  <si>
    <t>0511412008</t>
  </si>
  <si>
    <t>0235214029</t>
  </si>
  <si>
    <t>0235311005</t>
  </si>
  <si>
    <t>0235308038</t>
  </si>
  <si>
    <t>0235311009</t>
  </si>
  <si>
    <t>0235311006</t>
  </si>
  <si>
    <t>0235311007</t>
  </si>
  <si>
    <t>0235311008</t>
  </si>
  <si>
    <t>0235308037</t>
  </si>
  <si>
    <t>0222423010</t>
  </si>
  <si>
    <t>0222419016</t>
  </si>
  <si>
    <t>0222417008</t>
  </si>
  <si>
    <t>0222421009</t>
  </si>
  <si>
    <t>0222412028</t>
  </si>
  <si>
    <t>0233206054</t>
  </si>
  <si>
    <t>0222424008</t>
  </si>
  <si>
    <t>0222417009</t>
  </si>
  <si>
    <t>0222412023</t>
  </si>
  <si>
    <t>0222417012</t>
  </si>
  <si>
    <t>0222423011</t>
  </si>
  <si>
    <t>0235217029</t>
  </si>
  <si>
    <t>0227203008</t>
  </si>
  <si>
    <t>0227203004</t>
  </si>
  <si>
    <t>0222407068</t>
  </si>
  <si>
    <t>0222401022</t>
  </si>
  <si>
    <t>0222409055</t>
  </si>
  <si>
    <t>0222423016</t>
  </si>
  <si>
    <t>0222425011</t>
  </si>
  <si>
    <t>0233402012</t>
  </si>
  <si>
    <t>0228402105</t>
  </si>
  <si>
    <t>0228402104</t>
  </si>
  <si>
    <t>0228402106</t>
  </si>
  <si>
    <t>0221403053</t>
  </si>
  <si>
    <t>0228405048</t>
  </si>
  <si>
    <t>0228405046</t>
  </si>
  <si>
    <t>0228406061</t>
  </si>
  <si>
    <t>0228406062</t>
  </si>
  <si>
    <t>0228402092</t>
  </si>
  <si>
    <t>0228406069</t>
  </si>
  <si>
    <t>0228406056</t>
  </si>
  <si>
    <t>0228402103</t>
  </si>
  <si>
    <t>0221403075</t>
  </si>
  <si>
    <t>0228402102</t>
  </si>
  <si>
    <t>0228405052</t>
  </si>
  <si>
    <t>0228405053</t>
  </si>
  <si>
    <t>0228405051</t>
  </si>
  <si>
    <t>0228405047</t>
  </si>
  <si>
    <t>0228405049</t>
  </si>
  <si>
    <t>0228405050</t>
  </si>
  <si>
    <t>0221404038</t>
  </si>
  <si>
    <t>0228402098</t>
  </si>
  <si>
    <t>0228406059</t>
  </si>
  <si>
    <t>0228406066</t>
  </si>
  <si>
    <t>0228406068</t>
  </si>
  <si>
    <t>0228406060</t>
  </si>
  <si>
    <t>0228406067</t>
  </si>
  <si>
    <t>0228402094</t>
  </si>
  <si>
    <t>0228406055</t>
  </si>
  <si>
    <t>0228406064</t>
  </si>
  <si>
    <t>0228402093</t>
  </si>
  <si>
    <t>0228406057</t>
  </si>
  <si>
    <t>0228406065</t>
  </si>
  <si>
    <t>0228406063</t>
  </si>
  <si>
    <t>0228406058</t>
  </si>
  <si>
    <t>0228406054</t>
  </si>
  <si>
    <t>0228402095</t>
  </si>
  <si>
    <t>0228402096</t>
  </si>
  <si>
    <t>0228402091</t>
  </si>
  <si>
    <t>0228402099</t>
  </si>
  <si>
    <t>0228402100</t>
  </si>
  <si>
    <t>0228402101</t>
  </si>
  <si>
    <t>0228402097</t>
  </si>
  <si>
    <t>0221400073</t>
  </si>
  <si>
    <t>0221403069</t>
  </si>
  <si>
    <t>0221403051</t>
  </si>
  <si>
    <t>0221403043</t>
  </si>
  <si>
    <t>0221400079</t>
  </si>
  <si>
    <t>0228201047</t>
  </si>
  <si>
    <t>0228409039</t>
  </si>
  <si>
    <t>0221400067</t>
  </si>
  <si>
    <t>0221400069</t>
  </si>
  <si>
    <t>0221400083</t>
  </si>
  <si>
    <t>0221400081</t>
  </si>
  <si>
    <t>0221404051</t>
  </si>
  <si>
    <t>0221404057</t>
  </si>
  <si>
    <t>0221400059</t>
  </si>
  <si>
    <t>0228400049</t>
  </si>
  <si>
    <t>0234311047</t>
  </si>
  <si>
    <t>0101105007</t>
  </si>
  <si>
    <t>0101105004</t>
  </si>
  <si>
    <t>0101100019</t>
  </si>
  <si>
    <t>0101204013</t>
  </si>
  <si>
    <t>0101100017</t>
  </si>
  <si>
    <t>0101201006</t>
  </si>
  <si>
    <t>0101211003</t>
  </si>
  <si>
    <t>0101211002</t>
  </si>
  <si>
    <t>0101207001</t>
  </si>
  <si>
    <t>0112210033</t>
  </si>
  <si>
    <t>0112210025</t>
  </si>
  <si>
    <t>0112214009</t>
  </si>
  <si>
    <t>0112114003</t>
  </si>
  <si>
    <t>0112215043</t>
  </si>
  <si>
    <t>0112214004</t>
  </si>
  <si>
    <t>0112214003</t>
  </si>
  <si>
    <t>0101207004</t>
  </si>
  <si>
    <t>0112211017</t>
  </si>
  <si>
    <t>0112214005</t>
  </si>
  <si>
    <t>0101205057</t>
  </si>
  <si>
    <t>0112214006</t>
  </si>
  <si>
    <t>0112210034</t>
  </si>
  <si>
    <t>0112213013</t>
  </si>
  <si>
    <t>0112215044</t>
  </si>
  <si>
    <t>0112214016</t>
  </si>
  <si>
    <t>0112215100</t>
  </si>
  <si>
    <t>0112214011</t>
  </si>
  <si>
    <t>0112210024</t>
  </si>
  <si>
    <t>0112115003</t>
  </si>
  <si>
    <t>0112214010</t>
  </si>
  <si>
    <t>0112210040</t>
  </si>
  <si>
    <t>0112213001</t>
  </si>
  <si>
    <t>0112214014</t>
  </si>
  <si>
    <t>0112214012</t>
  </si>
  <si>
    <t>0112214013</t>
  </si>
  <si>
    <t>0112213002</t>
  </si>
  <si>
    <t>0112210015</t>
  </si>
  <si>
    <t>0112215042</t>
  </si>
  <si>
    <t>0112213019</t>
  </si>
  <si>
    <t>0112215101</t>
  </si>
  <si>
    <t>0112210031</t>
  </si>
  <si>
    <t>0112213015</t>
  </si>
  <si>
    <t>0112213004</t>
  </si>
  <si>
    <t>0112213006</t>
  </si>
  <si>
    <t>0112214001</t>
  </si>
  <si>
    <t>0112215066</t>
  </si>
  <si>
    <t>0112210017</t>
  </si>
  <si>
    <t>0112215046</t>
  </si>
  <si>
    <t>0112215048</t>
  </si>
  <si>
    <t>0112213014</t>
  </si>
  <si>
    <t>0112214015</t>
  </si>
  <si>
    <t>0112212001</t>
  </si>
  <si>
    <t>0112114002</t>
  </si>
  <si>
    <t>0112114015</t>
  </si>
  <si>
    <t>0112213016</t>
  </si>
  <si>
    <t>0112114008</t>
  </si>
  <si>
    <t>0112210036</t>
  </si>
  <si>
    <t>0112215099</t>
  </si>
  <si>
    <t>0112115001</t>
  </si>
  <si>
    <t>0112215073</t>
  </si>
  <si>
    <t>0112210016</t>
  </si>
  <si>
    <t>0112116001</t>
  </si>
  <si>
    <t>0112210039</t>
  </si>
  <si>
    <t>0112114009</t>
  </si>
  <si>
    <t>0112210035</t>
  </si>
  <si>
    <t>0112215041</t>
  </si>
  <si>
    <t>0112213003</t>
  </si>
  <si>
    <t>0112215045</t>
  </si>
  <si>
    <t>0112215047</t>
  </si>
  <si>
    <t>0112213018</t>
  </si>
  <si>
    <t>0112215072</t>
  </si>
  <si>
    <t>0112211016</t>
  </si>
  <si>
    <t>0112215068</t>
  </si>
  <si>
    <t>0112213010</t>
  </si>
  <si>
    <t>0112114004</t>
  </si>
  <si>
    <t>0112215069</t>
  </si>
  <si>
    <t>0112210041</t>
  </si>
  <si>
    <t>0112213011</t>
  </si>
  <si>
    <t>0112211018</t>
  </si>
  <si>
    <t>0112210042</t>
  </si>
  <si>
    <t>0112215070</t>
  </si>
  <si>
    <t>0112210038</t>
  </si>
  <si>
    <t>0112210037</t>
  </si>
  <si>
    <t>0112210030</t>
  </si>
  <si>
    <t>0112210029</t>
  </si>
  <si>
    <t>0112114005</t>
  </si>
  <si>
    <t>0112213012</t>
  </si>
  <si>
    <t>0112215036</t>
  </si>
  <si>
    <t>0112210023</t>
  </si>
  <si>
    <t>0112210020</t>
  </si>
  <si>
    <t>0112214002</t>
  </si>
  <si>
    <t>0112214008</t>
  </si>
  <si>
    <t>0112210019</t>
  </si>
  <si>
    <t>0112210021</t>
  </si>
  <si>
    <t>0112214007</t>
  </si>
  <si>
    <t>0112215067</t>
  </si>
  <si>
    <t>0112210018</t>
  </si>
  <si>
    <t>0112215037</t>
  </si>
  <si>
    <t>0112213009</t>
  </si>
  <si>
    <t>0112114001</t>
  </si>
  <si>
    <t>0112212008</t>
  </si>
  <si>
    <t>0112115002</t>
  </si>
  <si>
    <t>0112114006</t>
  </si>
  <si>
    <t>0112213008</t>
  </si>
  <si>
    <t>0112211015</t>
  </si>
  <si>
    <t>0101206001</t>
  </si>
  <si>
    <t>0112211021</t>
  </si>
  <si>
    <t>0101205012</t>
  </si>
  <si>
    <t>0112213023</t>
  </si>
  <si>
    <t>0112211020</t>
  </si>
  <si>
    <t>0112212007</t>
  </si>
  <si>
    <t>0112213022</t>
  </si>
  <si>
    <t>0112114007</t>
  </si>
  <si>
    <t>0112212003</t>
  </si>
  <si>
    <t>0112212006</t>
  </si>
  <si>
    <t>0112212005</t>
  </si>
  <si>
    <t>0112211014</t>
  </si>
  <si>
    <t>0112211010</t>
  </si>
  <si>
    <t>0112211012</t>
  </si>
  <si>
    <t>0112116002</t>
  </si>
  <si>
    <t>0112211006</t>
  </si>
  <si>
    <t>0112211007</t>
  </si>
  <si>
    <t>0112211009</t>
  </si>
  <si>
    <t>0112211013</t>
  </si>
  <si>
    <t>0112211011</t>
  </si>
  <si>
    <t>0112116006</t>
  </si>
  <si>
    <t>0112211005</t>
  </si>
  <si>
    <t>0112211008</t>
  </si>
  <si>
    <t>0112114011</t>
  </si>
  <si>
    <t>0112114010</t>
  </si>
  <si>
    <t>0112114013</t>
  </si>
  <si>
    <t>0112114012</t>
  </si>
  <si>
    <t>0112213021</t>
  </si>
  <si>
    <t>0112213020</t>
  </si>
  <si>
    <t>0101206022</t>
  </si>
  <si>
    <t>0101206011</t>
  </si>
  <si>
    <t>0101205020</t>
  </si>
  <si>
    <t>0101205019</t>
  </si>
  <si>
    <t>0101205018</t>
  </si>
  <si>
    <t>0101205017</t>
  </si>
  <si>
    <t>0101205016</t>
  </si>
  <si>
    <t>0101205015</t>
  </si>
  <si>
    <t>0101205014</t>
  </si>
  <si>
    <t>0101206006</t>
  </si>
  <si>
    <t>0101206005</t>
  </si>
  <si>
    <t>0101206004</t>
  </si>
  <si>
    <t>0101206014</t>
  </si>
  <si>
    <t>0101206003</t>
  </si>
  <si>
    <t>0101206013</t>
  </si>
  <si>
    <t>0206404120</t>
  </si>
  <si>
    <t>0101212005</t>
  </si>
  <si>
    <t>0206403058</t>
  </si>
  <si>
    <t>0206102034</t>
  </si>
  <si>
    <t>0101205011</t>
  </si>
  <si>
    <t>0101206021</t>
  </si>
  <si>
    <t>0101206010</t>
  </si>
  <si>
    <t>0101206026</t>
  </si>
  <si>
    <t>0101206012</t>
  </si>
  <si>
    <t>0101208014</t>
  </si>
  <si>
    <t>0101203006</t>
  </si>
  <si>
    <t>0101105001</t>
  </si>
  <si>
    <t>0101204009</t>
  </si>
  <si>
    <t>0803415020</t>
  </si>
  <si>
    <t>0811100008</t>
  </si>
  <si>
    <t>0810214005</t>
  </si>
  <si>
    <t>0803419015</t>
  </si>
  <si>
    <t>0803425007</t>
  </si>
  <si>
    <t>0810221010</t>
  </si>
  <si>
    <t>0810205011</t>
  </si>
  <si>
    <t>0810204032</t>
  </si>
  <si>
    <t>0810217019</t>
  </si>
  <si>
    <t>0810205001</t>
  </si>
  <si>
    <t>0803416001</t>
  </si>
  <si>
    <t>0811101004</t>
  </si>
  <si>
    <t>0810221004</t>
  </si>
  <si>
    <t>0810221003</t>
  </si>
  <si>
    <t>0803415019</t>
  </si>
  <si>
    <t>0810217015</t>
  </si>
  <si>
    <t>0810217017</t>
  </si>
  <si>
    <t>0810217018</t>
  </si>
  <si>
    <t>0810220013</t>
  </si>
  <si>
    <t>0803420022</t>
  </si>
  <si>
    <t>0810217022</t>
  </si>
  <si>
    <t>0803427007</t>
  </si>
  <si>
    <t>0803416005</t>
  </si>
  <si>
    <t>0803419014</t>
  </si>
  <si>
    <t>0803419011</t>
  </si>
  <si>
    <t>0810217009</t>
  </si>
  <si>
    <t>0810217011</t>
  </si>
  <si>
    <t>0803419013</t>
  </si>
  <si>
    <t>0803419012</t>
  </si>
  <si>
    <t>0802312006</t>
  </si>
  <si>
    <t>0803419010</t>
  </si>
  <si>
    <t>0810215003</t>
  </si>
  <si>
    <t>0809103033</t>
  </si>
  <si>
    <t>0811109025</t>
  </si>
  <si>
    <t>0811109022</t>
  </si>
  <si>
    <t>0815408001</t>
  </si>
  <si>
    <t>0815408023</t>
  </si>
  <si>
    <t>0815408002</t>
  </si>
  <si>
    <t>0815408003</t>
  </si>
  <si>
    <t>0815408007</t>
  </si>
  <si>
    <t>0815408008</t>
  </si>
  <si>
    <t>0815408004</t>
  </si>
  <si>
    <t>0815404006</t>
  </si>
  <si>
    <t>0815408006</t>
  </si>
  <si>
    <t>0815404010</t>
  </si>
  <si>
    <t>0815404008</t>
  </si>
  <si>
    <t>0815404009</t>
  </si>
  <si>
    <t>0815404007</t>
  </si>
  <si>
    <t>0803104010</t>
  </si>
  <si>
    <t>0810103009</t>
  </si>
  <si>
    <t>0810218019</t>
  </si>
  <si>
    <t>0811200021</t>
  </si>
  <si>
    <t>0811200022</t>
  </si>
  <si>
    <t>0811109026</t>
  </si>
  <si>
    <t>0810218007</t>
  </si>
  <si>
    <t>0810218016</t>
  </si>
  <si>
    <t>0811109027</t>
  </si>
  <si>
    <t>0607204024</t>
  </si>
  <si>
    <t>0607203021</t>
  </si>
  <si>
    <t>0607203035</t>
  </si>
  <si>
    <t>0607403007</t>
  </si>
  <si>
    <t>0608104010</t>
  </si>
  <si>
    <t>0608301004</t>
  </si>
  <si>
    <t>0608104008</t>
  </si>
  <si>
    <t>0608104009</t>
  </si>
  <si>
    <t>0607209023</t>
  </si>
  <si>
    <t>0607204032</t>
  </si>
  <si>
    <t>0608121010</t>
  </si>
  <si>
    <t>0609114035</t>
  </si>
  <si>
    <t>0607219003</t>
  </si>
  <si>
    <t>0618418018</t>
  </si>
  <si>
    <t>0607202043</t>
  </si>
  <si>
    <t>0607202021</t>
  </si>
  <si>
    <t>0524406038</t>
  </si>
  <si>
    <t>0524406033</t>
  </si>
  <si>
    <t>0524406041</t>
  </si>
  <si>
    <t>0524406032</t>
  </si>
  <si>
    <t>0607202019</t>
  </si>
  <si>
    <t>0524404013</t>
  </si>
  <si>
    <t>0524406037</t>
  </si>
  <si>
    <t>0524403021</t>
  </si>
  <si>
    <t>0607202018</t>
  </si>
  <si>
    <t>0524406030</t>
  </si>
  <si>
    <t>0607208011</t>
  </si>
  <si>
    <t>0607208005</t>
  </si>
  <si>
    <t>0524406034</t>
  </si>
  <si>
    <t>0607208020</t>
  </si>
  <si>
    <t>0607208008</t>
  </si>
  <si>
    <t>0524412008</t>
  </si>
  <si>
    <t>0524412007</t>
  </si>
  <si>
    <t>0524404005</t>
  </si>
  <si>
    <t>0524404004</t>
  </si>
  <si>
    <t>0524412006</t>
  </si>
  <si>
    <t>0524406036</t>
  </si>
  <si>
    <t>0609310003</t>
  </si>
  <si>
    <t>0618418005</t>
  </si>
  <si>
    <t>0524404015</t>
  </si>
  <si>
    <t>0524402029</t>
  </si>
  <si>
    <t>0607105010</t>
  </si>
  <si>
    <t>0524406031</t>
  </si>
  <si>
    <t>0524412022</t>
  </si>
  <si>
    <t>0524407005</t>
  </si>
  <si>
    <t>0619302006</t>
  </si>
  <si>
    <t>0524406035</t>
  </si>
  <si>
    <t>0524402026</t>
  </si>
  <si>
    <t>0524404014</t>
  </si>
  <si>
    <t>0524406039</t>
  </si>
  <si>
    <t>0524412028</t>
  </si>
  <si>
    <t>0524412015</t>
  </si>
  <si>
    <t>0524407006</t>
  </si>
  <si>
    <t>0524407014</t>
  </si>
  <si>
    <t>0524406040</t>
  </si>
  <si>
    <t>0524406029</t>
  </si>
  <si>
    <t>0524412002</t>
  </si>
  <si>
    <t>0524407003</t>
  </si>
  <si>
    <t>0524412011</t>
  </si>
  <si>
    <t>0524412009</t>
  </si>
  <si>
    <t>0524402028</t>
  </si>
  <si>
    <t>0524402027</t>
  </si>
  <si>
    <t>0524412010</t>
  </si>
  <si>
    <t>0524412023</t>
  </si>
  <si>
    <t>0524407001</t>
  </si>
  <si>
    <t>0524412019</t>
  </si>
  <si>
    <t>0607202035</t>
  </si>
  <si>
    <t>0607202042</t>
  </si>
  <si>
    <t>0607202036</t>
  </si>
  <si>
    <t>0524412014</t>
  </si>
  <si>
    <t>0524412013</t>
  </si>
  <si>
    <t>0524403014</t>
  </si>
  <si>
    <t>0524403032</t>
  </si>
  <si>
    <t>0524412003</t>
  </si>
  <si>
    <t>0618410008</t>
  </si>
  <si>
    <t>0524405002</t>
  </si>
  <si>
    <t>0618410010</t>
  </si>
  <si>
    <t>0524412018</t>
  </si>
  <si>
    <t>0524405001</t>
  </si>
  <si>
    <t>0524403034</t>
  </si>
  <si>
    <t>0524412004</t>
  </si>
  <si>
    <t>0524406011</t>
  </si>
  <si>
    <t>0524404009</t>
  </si>
  <si>
    <t>0524403036</t>
  </si>
  <si>
    <t>0524406018</t>
  </si>
  <si>
    <t>0524412005</t>
  </si>
  <si>
    <t>0524412027</t>
  </si>
  <si>
    <t>0524406020</t>
  </si>
  <si>
    <t>0524412020</t>
  </si>
  <si>
    <t>0524406012</t>
  </si>
  <si>
    <t>0619301005</t>
  </si>
  <si>
    <t>0524412024</t>
  </si>
  <si>
    <t>0524412021</t>
  </si>
  <si>
    <t>0524402006</t>
  </si>
  <si>
    <t>0524406010</t>
  </si>
  <si>
    <t>0607403005</t>
  </si>
  <si>
    <t>0524406021</t>
  </si>
  <si>
    <t>0524404003</t>
  </si>
  <si>
    <t>0524404016</t>
  </si>
  <si>
    <t>0524407004</t>
  </si>
  <si>
    <t>0524402014</t>
  </si>
  <si>
    <t>0618421005</t>
  </si>
  <si>
    <t>0618421004</t>
  </si>
  <si>
    <t>0524406013</t>
  </si>
  <si>
    <t>0524403044</t>
  </si>
  <si>
    <t>0619302005</t>
  </si>
  <si>
    <t>0524412012</t>
  </si>
  <si>
    <t>0524406044</t>
  </si>
  <si>
    <t>0524403040</t>
  </si>
  <si>
    <t>0524406042</t>
  </si>
  <si>
    <t>0524406028</t>
  </si>
  <si>
    <t>0607202033</t>
  </si>
  <si>
    <t>0524404008</t>
  </si>
  <si>
    <t>0524408012</t>
  </si>
  <si>
    <t>0524403025</t>
  </si>
  <si>
    <t>0524406019</t>
  </si>
  <si>
    <t>0524406025</t>
  </si>
  <si>
    <t>0524403043</t>
  </si>
  <si>
    <t>0524404012</t>
  </si>
  <si>
    <t>0524412026</t>
  </si>
  <si>
    <t>0619302002</t>
  </si>
  <si>
    <t>0608405004</t>
  </si>
  <si>
    <t>0524412025</t>
  </si>
  <si>
    <t>0524403011</t>
  </si>
  <si>
    <t>0524406024</t>
  </si>
  <si>
    <t>0524403031</t>
  </si>
  <si>
    <t>0524406027</t>
  </si>
  <si>
    <t>0524403039</t>
  </si>
  <si>
    <t>0524406026</t>
  </si>
  <si>
    <t>0524406022</t>
  </si>
  <si>
    <t>0524402001</t>
  </si>
  <si>
    <t>0524403035</t>
  </si>
  <si>
    <t>0524408002</t>
  </si>
  <si>
    <t>0524404017</t>
  </si>
  <si>
    <t>0629104013</t>
  </si>
  <si>
    <t>0619302004</t>
  </si>
  <si>
    <t>0619302003</t>
  </si>
  <si>
    <t>0524403005</t>
  </si>
  <si>
    <t>0619301004</t>
  </si>
  <si>
    <t>0524407016</t>
  </si>
  <si>
    <t>0524403037</t>
  </si>
  <si>
    <t>0524402002</t>
  </si>
  <si>
    <t>0524402003</t>
  </si>
  <si>
    <t>0524402004</t>
  </si>
  <si>
    <t>0524406001</t>
  </si>
  <si>
    <t>0524402005</t>
  </si>
  <si>
    <t>0524403042</t>
  </si>
  <si>
    <t>0619301003</t>
  </si>
  <si>
    <t>0629104025</t>
  </si>
  <si>
    <t>0524407007</t>
  </si>
  <si>
    <t>0524407002</t>
  </si>
  <si>
    <t>0524403006</t>
  </si>
  <si>
    <t>0524403004</t>
  </si>
  <si>
    <t>0524408011</t>
  </si>
  <si>
    <t>0524406002</t>
  </si>
  <si>
    <t>0524403015</t>
  </si>
  <si>
    <t>0524412016</t>
  </si>
  <si>
    <t>0524406043</t>
  </si>
  <si>
    <t>0524406023</t>
  </si>
  <si>
    <t>0524412017</t>
  </si>
  <si>
    <t>0524403038</t>
  </si>
  <si>
    <t>0524403030</t>
  </si>
  <si>
    <t>0524404018</t>
  </si>
  <si>
    <t>0524403008</t>
  </si>
  <si>
    <t>0524408001</t>
  </si>
  <si>
    <t>0524403007</t>
  </si>
  <si>
    <t>0524404021</t>
  </si>
  <si>
    <t>0524404022</t>
  </si>
  <si>
    <t>0524404023</t>
  </si>
  <si>
    <t>0524404020</t>
  </si>
  <si>
    <t>0524404001</t>
  </si>
  <si>
    <t>0524404019</t>
  </si>
  <si>
    <t>0524404002</t>
  </si>
  <si>
    <t>0524404024</t>
  </si>
  <si>
    <t>0524403041</t>
  </si>
  <si>
    <t>0524404006</t>
  </si>
  <si>
    <t>0524403003</t>
  </si>
  <si>
    <t>0524403009</t>
  </si>
  <si>
    <t>0524407015</t>
  </si>
  <si>
    <t>0524407008</t>
  </si>
  <si>
    <t>0524408007</t>
  </si>
  <si>
    <t>0524408008</t>
  </si>
  <si>
    <t>0524403045</t>
  </si>
  <si>
    <t>0524408013</t>
  </si>
  <si>
    <t>0524408024</t>
  </si>
  <si>
    <t>0524402012</t>
  </si>
  <si>
    <t>0629105024</t>
  </si>
  <si>
    <t>0524403026</t>
  </si>
  <si>
    <t>0524408018</t>
  </si>
  <si>
    <t>0524403024</t>
  </si>
  <si>
    <t>0524407013</t>
  </si>
  <si>
    <t>0524408017</t>
  </si>
  <si>
    <t>0524402007</t>
  </si>
  <si>
    <t>0524406006</t>
  </si>
  <si>
    <t>0524408019</t>
  </si>
  <si>
    <t>0524403016</t>
  </si>
  <si>
    <t>0524408020</t>
  </si>
  <si>
    <t>0524402011</t>
  </si>
  <si>
    <t>0524406007</t>
  </si>
  <si>
    <t>0524402017</t>
  </si>
  <si>
    <t>0524402016</t>
  </si>
  <si>
    <t>0524404010</t>
  </si>
  <si>
    <t>0524404011</t>
  </si>
  <si>
    <t>0524408006</t>
  </si>
  <si>
    <t>0524402018</t>
  </si>
  <si>
    <t>0524408016</t>
  </si>
  <si>
    <t>0524408014</t>
  </si>
  <si>
    <t>0524408015</t>
  </si>
  <si>
    <t>0524408005</t>
  </si>
  <si>
    <t>0524408021</t>
  </si>
  <si>
    <t>0524408004</t>
  </si>
  <si>
    <t>0524408003</t>
  </si>
  <si>
    <t>0524403012</t>
  </si>
  <si>
    <t>0524403029</t>
  </si>
  <si>
    <t>0524408009</t>
  </si>
  <si>
    <t>0524403033</t>
  </si>
  <si>
    <t>0524402013</t>
  </si>
  <si>
    <t>0524402019</t>
  </si>
  <si>
    <t>0524403017</t>
  </si>
  <si>
    <t>0524403002</t>
  </si>
  <si>
    <t>0524408022</t>
  </si>
  <si>
    <t>0524406014</t>
  </si>
  <si>
    <t>0524402008</t>
  </si>
  <si>
    <t>0524403027</t>
  </si>
  <si>
    <t>0524403010</t>
  </si>
  <si>
    <t>0524406009</t>
  </si>
  <si>
    <t>0524403013</t>
  </si>
  <si>
    <t>0524403046</t>
  </si>
  <si>
    <t>0524403047</t>
  </si>
  <si>
    <t>0524403023</t>
  </si>
  <si>
    <t>0524408010</t>
  </si>
  <si>
    <t>0524406016</t>
  </si>
  <si>
    <t>0524406005</t>
  </si>
  <si>
    <t>0524402021</t>
  </si>
  <si>
    <t>0524403001</t>
  </si>
  <si>
    <t>0524407011</t>
  </si>
  <si>
    <t>0524406004</t>
  </si>
  <si>
    <t>0524403022</t>
  </si>
  <si>
    <t>0524403028</t>
  </si>
  <si>
    <t>0524403019</t>
  </si>
  <si>
    <t>0524406015</t>
  </si>
  <si>
    <t>0524406017</t>
  </si>
  <si>
    <t>0524407009</t>
  </si>
  <si>
    <t>0524402020</t>
  </si>
  <si>
    <t>0524402022</t>
  </si>
  <si>
    <t>0524407012</t>
  </si>
  <si>
    <t>0524406008</t>
  </si>
  <si>
    <t>0524403020</t>
  </si>
  <si>
    <t>0524407010</t>
  </si>
  <si>
    <t>0524408023</t>
  </si>
  <si>
    <t>0524402009</t>
  </si>
  <si>
    <t>0524402010</t>
  </si>
  <si>
    <t>0524406003</t>
  </si>
  <si>
    <t>0524403018</t>
  </si>
  <si>
    <t>0524404007</t>
  </si>
  <si>
    <t>0608103014</t>
  </si>
  <si>
    <t>0619302001</t>
  </si>
  <si>
    <t>0607206053</t>
  </si>
  <si>
    <t>0607206050</t>
  </si>
  <si>
    <t>0607202022</t>
  </si>
  <si>
    <t>0607202020</t>
  </si>
  <si>
    <t>0501408009</t>
  </si>
  <si>
    <t>0620405022</t>
  </si>
  <si>
    <t>0620405023</t>
  </si>
  <si>
    <t>0606300032</t>
  </si>
  <si>
    <t>0620405025</t>
  </si>
  <si>
    <t>0501401068</t>
  </si>
  <si>
    <t>0620405024</t>
  </si>
  <si>
    <t>0618414004</t>
  </si>
  <si>
    <t>0524405003</t>
  </si>
  <si>
    <t>0629103026</t>
  </si>
  <si>
    <t>0609109040</t>
  </si>
  <si>
    <t>0609109005</t>
  </si>
  <si>
    <t>0609109006</t>
  </si>
  <si>
    <t>0609104080</t>
  </si>
  <si>
    <t>0609104087</t>
  </si>
  <si>
    <t>0609104131</t>
  </si>
  <si>
    <t>0609107009</t>
  </si>
  <si>
    <t>0609104128</t>
  </si>
  <si>
    <t>0609104130</t>
  </si>
  <si>
    <t>0609114004</t>
  </si>
  <si>
    <t>0609109023</t>
  </si>
  <si>
    <t>0609104132</t>
  </si>
  <si>
    <t>0609104133</t>
  </si>
  <si>
    <t>0501204069</t>
  </si>
  <si>
    <t>0501204070</t>
  </si>
  <si>
    <t>0713421018</t>
  </si>
  <si>
    <t>0713426018</t>
  </si>
  <si>
    <t>0713410007</t>
  </si>
  <si>
    <t>0713410013</t>
  </si>
  <si>
    <t>0828301073</t>
  </si>
  <si>
    <t>0828301062</t>
  </si>
  <si>
    <t>0713227004</t>
  </si>
  <si>
    <t>0828301066</t>
  </si>
  <si>
    <t>0828301072</t>
  </si>
  <si>
    <t>0828301078</t>
  </si>
  <si>
    <t>0828301064</t>
  </si>
  <si>
    <t>0828301065</t>
  </si>
  <si>
    <t>0828301063</t>
  </si>
  <si>
    <t>0828301079</t>
  </si>
  <si>
    <t>0828301067</t>
  </si>
  <si>
    <t>0828301068</t>
  </si>
  <si>
    <t>0828301075</t>
  </si>
  <si>
    <t>0828301071</t>
  </si>
  <si>
    <t>0828301055</t>
  </si>
  <si>
    <t>0828301070</t>
  </si>
  <si>
    <t>0828301057</t>
  </si>
  <si>
    <t>0828301060</t>
  </si>
  <si>
    <t>0828301074</t>
  </si>
  <si>
    <t>0828301076</t>
  </si>
  <si>
    <t>0828301058</t>
  </si>
  <si>
    <t>0828301061</t>
  </si>
  <si>
    <t>0828301054</t>
  </si>
  <si>
    <t>0828301069</t>
  </si>
  <si>
    <t>0828301059</t>
  </si>
  <si>
    <t>0828301077</t>
  </si>
  <si>
    <t>0828301056</t>
  </si>
  <si>
    <t>0712209025</t>
  </si>
  <si>
    <t>0713418007</t>
  </si>
  <si>
    <t>0713443011</t>
  </si>
  <si>
    <t>0713420006</t>
  </si>
  <si>
    <t>0713430024</t>
  </si>
  <si>
    <t>0713420005</t>
  </si>
  <si>
    <t>0713440012</t>
  </si>
  <si>
    <t>0713442023</t>
  </si>
  <si>
    <t>0713422026</t>
  </si>
  <si>
    <t>0713420004</t>
  </si>
  <si>
    <t>0713418006</t>
  </si>
  <si>
    <t>0713418005</t>
  </si>
  <si>
    <t>0713418004</t>
  </si>
  <si>
    <t>0713421025</t>
  </si>
  <si>
    <t>0713411011</t>
  </si>
  <si>
    <t>0713421022</t>
  </si>
  <si>
    <t>0713421023</t>
  </si>
  <si>
    <t>0713421024</t>
  </si>
  <si>
    <t>0713418013</t>
  </si>
  <si>
    <t>0713424004</t>
  </si>
  <si>
    <t>0713429010</t>
  </si>
  <si>
    <t>0709304013</t>
  </si>
  <si>
    <t>0709304014</t>
  </si>
  <si>
    <t>0723410088</t>
  </si>
  <si>
    <t>0726208007</t>
  </si>
  <si>
    <t>0709304008</t>
  </si>
  <si>
    <t>0709410024</t>
  </si>
  <si>
    <t>0709304007</t>
  </si>
  <si>
    <t>0723311018</t>
  </si>
  <si>
    <t>0723305008</t>
  </si>
  <si>
    <t>0723311019</t>
  </si>
  <si>
    <t>0723310005</t>
  </si>
  <si>
    <t>0709200012</t>
  </si>
  <si>
    <t>0723305011</t>
  </si>
  <si>
    <t>0714109003</t>
  </si>
  <si>
    <t>0722407004</t>
  </si>
  <si>
    <t>0709200011</t>
  </si>
  <si>
    <t>0709410016</t>
  </si>
  <si>
    <t>0723410089</t>
  </si>
  <si>
    <t>0726208008</t>
  </si>
  <si>
    <t>0723311006</t>
  </si>
  <si>
    <t>0723310002</t>
  </si>
  <si>
    <t>0808315004</t>
  </si>
  <si>
    <t>0723310004</t>
  </si>
  <si>
    <t>0723310006</t>
  </si>
  <si>
    <t>0723311004</t>
  </si>
  <si>
    <t>0715206008</t>
  </si>
  <si>
    <t>0723304017</t>
  </si>
  <si>
    <t>0723304016</t>
  </si>
  <si>
    <t>0726207010</t>
  </si>
  <si>
    <t>0727211011</t>
  </si>
  <si>
    <t>0722405015</t>
  </si>
  <si>
    <t>0723311009</t>
  </si>
  <si>
    <t>0723311003</t>
  </si>
  <si>
    <t>0723311002</t>
  </si>
  <si>
    <t>0709410019</t>
  </si>
  <si>
    <t>0723303006</t>
  </si>
  <si>
    <t>0723303007</t>
  </si>
  <si>
    <t>0709304019</t>
  </si>
  <si>
    <t>0722407032</t>
  </si>
  <si>
    <t>0726207009</t>
  </si>
  <si>
    <t>0723300003</t>
  </si>
  <si>
    <t>0709410017</t>
  </si>
  <si>
    <t>0709410014</t>
  </si>
  <si>
    <t>0808315003</t>
  </si>
  <si>
    <t>0726208027</t>
  </si>
  <si>
    <t>0727201054</t>
  </si>
  <si>
    <t>0709304020</t>
  </si>
  <si>
    <t>0723304011</t>
  </si>
  <si>
    <t>0709410012</t>
  </si>
  <si>
    <t>0727206038</t>
  </si>
  <si>
    <t>0727201044</t>
  </si>
  <si>
    <t>0709411029</t>
  </si>
  <si>
    <t>0727201064</t>
  </si>
  <si>
    <t>0723410097</t>
  </si>
  <si>
    <t>0726205011</t>
  </si>
  <si>
    <t>0723410091</t>
  </si>
  <si>
    <t>0723305013</t>
  </si>
  <si>
    <t>0723310010</t>
  </si>
  <si>
    <t>0715206015</t>
  </si>
  <si>
    <t>0709411028</t>
  </si>
  <si>
    <t>0722407016</t>
  </si>
  <si>
    <t>0709410026</t>
  </si>
  <si>
    <t>0726207012</t>
  </si>
  <si>
    <t>0723302002</t>
  </si>
  <si>
    <t>0723305029</t>
  </si>
  <si>
    <t>0709411034</t>
  </si>
  <si>
    <t>0716106015</t>
  </si>
  <si>
    <t>0709304018</t>
  </si>
  <si>
    <t>0722404022</t>
  </si>
  <si>
    <t>0722404032</t>
  </si>
  <si>
    <t>0727206031</t>
  </si>
  <si>
    <t>0723310008</t>
  </si>
  <si>
    <t>0832117014</t>
  </si>
  <si>
    <t>0726208023</t>
  </si>
  <si>
    <t>0709303026</t>
  </si>
  <si>
    <t>0727205050</t>
  </si>
  <si>
    <t>0723311010</t>
  </si>
  <si>
    <t>0723304006</t>
  </si>
  <si>
    <t>0726205006</t>
  </si>
  <si>
    <t>0726208024</t>
  </si>
  <si>
    <t>0723303008</t>
  </si>
  <si>
    <t>0722407003</t>
  </si>
  <si>
    <t>0723303005</t>
  </si>
  <si>
    <t>0726207011</t>
  </si>
  <si>
    <t>0723305012</t>
  </si>
  <si>
    <t>0722407017</t>
  </si>
  <si>
    <t>0709200027</t>
  </si>
  <si>
    <t>0726208025</t>
  </si>
  <si>
    <t>0723306024</t>
  </si>
  <si>
    <t>0723310001</t>
  </si>
  <si>
    <t>0727201066</t>
  </si>
  <si>
    <t>0709304021</t>
  </si>
  <si>
    <t>0709410040</t>
  </si>
  <si>
    <t>0726208009</t>
  </si>
  <si>
    <t>0726208026</t>
  </si>
  <si>
    <t>0808314017</t>
  </si>
  <si>
    <t>0723304029</t>
  </si>
  <si>
    <t>0723304023</t>
  </si>
  <si>
    <t>0723310003</t>
  </si>
  <si>
    <t>0726206014</t>
  </si>
  <si>
    <t>0727205022</t>
  </si>
  <si>
    <t>0722407033</t>
  </si>
  <si>
    <t>0832115028</t>
  </si>
  <si>
    <t>0723311016</t>
  </si>
  <si>
    <t>0723311021</t>
  </si>
  <si>
    <t>0727209011</t>
  </si>
  <si>
    <t>0709410027</t>
  </si>
  <si>
    <t>0715203013</t>
  </si>
  <si>
    <t>0726205001</t>
  </si>
  <si>
    <t>0723310009</t>
  </si>
  <si>
    <t>0832114068</t>
  </si>
  <si>
    <t>0722304002</t>
  </si>
  <si>
    <t>0723310007</t>
  </si>
  <si>
    <t>0709411020</t>
  </si>
  <si>
    <t>0709410020</t>
  </si>
  <si>
    <t>0723305019</t>
  </si>
  <si>
    <t>0723303001</t>
  </si>
  <si>
    <t>0723304021</t>
  </si>
  <si>
    <t>0723303002</t>
  </si>
  <si>
    <t>0723303011</t>
  </si>
  <si>
    <t>0723304012</t>
  </si>
  <si>
    <t>0727209008</t>
  </si>
  <si>
    <t>0727210014</t>
  </si>
  <si>
    <t>0832114072</t>
  </si>
  <si>
    <t>0709303024</t>
  </si>
  <si>
    <t>0709200013</t>
  </si>
  <si>
    <t>0716106016</t>
  </si>
  <si>
    <t>0727204016</t>
  </si>
  <si>
    <t>0726206001</t>
  </si>
  <si>
    <t>0723311001</t>
  </si>
  <si>
    <t>0709221019</t>
  </si>
  <si>
    <t>0709200028</t>
  </si>
  <si>
    <t>0723304015</t>
  </si>
  <si>
    <t>0716106014</t>
  </si>
  <si>
    <t>0808315001</t>
  </si>
  <si>
    <t>0709221009</t>
  </si>
  <si>
    <t>0723304014</t>
  </si>
  <si>
    <t>0709200008</t>
  </si>
  <si>
    <t>0726205005</t>
  </si>
  <si>
    <t>0727201067</t>
  </si>
  <si>
    <t>0722407034</t>
  </si>
  <si>
    <t>0723311017</t>
  </si>
  <si>
    <t>0832117022</t>
  </si>
  <si>
    <t>0709307001</t>
  </si>
  <si>
    <t>0709200020</t>
  </si>
  <si>
    <t>0716106017</t>
  </si>
  <si>
    <t>0723311005</t>
  </si>
  <si>
    <t>0709304010</t>
  </si>
  <si>
    <t>0808314002</t>
  </si>
  <si>
    <t>0709221007</t>
  </si>
  <si>
    <t>0723305006</t>
  </si>
  <si>
    <t>0723305005</t>
  </si>
  <si>
    <t>0723311020</t>
  </si>
  <si>
    <t>0709411046</t>
  </si>
  <si>
    <t>0722407037</t>
  </si>
  <si>
    <t>0723310016</t>
  </si>
  <si>
    <t>0709304017</t>
  </si>
  <si>
    <t>0709413015</t>
  </si>
  <si>
    <t>0715206044</t>
  </si>
  <si>
    <t>0723310021</t>
  </si>
  <si>
    <t>0723310022</t>
  </si>
  <si>
    <t>0727210022</t>
  </si>
  <si>
    <t>0726205014</t>
  </si>
  <si>
    <t>0723310020</t>
  </si>
  <si>
    <t>0709304009</t>
  </si>
  <si>
    <t>0723304025</t>
  </si>
  <si>
    <t>0723304027</t>
  </si>
  <si>
    <t>0722404002</t>
  </si>
  <si>
    <t>0726208006</t>
  </si>
  <si>
    <t>0723310015</t>
  </si>
  <si>
    <t>0726206013</t>
  </si>
  <si>
    <t>0722407050</t>
  </si>
  <si>
    <t>0818202008</t>
  </si>
  <si>
    <t>0709200025</t>
  </si>
  <si>
    <t>0723303009</t>
  </si>
  <si>
    <t>0723310023</t>
  </si>
  <si>
    <t>0709413001</t>
  </si>
  <si>
    <t>0709221011</t>
  </si>
  <si>
    <t>0723413006</t>
  </si>
  <si>
    <t>0722410005</t>
  </si>
  <si>
    <t>0715206045</t>
  </si>
  <si>
    <t>0709410032</t>
  </si>
  <si>
    <t>0723303004</t>
  </si>
  <si>
    <t>0726206023</t>
  </si>
  <si>
    <t>0723306033</t>
  </si>
  <si>
    <t>0727210020</t>
  </si>
  <si>
    <t>0832115044</t>
  </si>
  <si>
    <t>0727205047</t>
  </si>
  <si>
    <t>0723310017</t>
  </si>
  <si>
    <t>0726206011</t>
  </si>
  <si>
    <t>0723306034</t>
  </si>
  <si>
    <t>0726205007</t>
  </si>
  <si>
    <t>0709303025</t>
  </si>
  <si>
    <t>0726208022</t>
  </si>
  <si>
    <t>0723306032</t>
  </si>
  <si>
    <t>0709221001</t>
  </si>
  <si>
    <t>0709410025</t>
  </si>
  <si>
    <t>0709200026</t>
  </si>
  <si>
    <t>0723311011</t>
  </si>
  <si>
    <t>0715206010</t>
  </si>
  <si>
    <t>0832114071</t>
  </si>
  <si>
    <t>0715206028</t>
  </si>
  <si>
    <t>0709411033</t>
  </si>
  <si>
    <t>0722410009</t>
  </si>
  <si>
    <t>0723304018</t>
  </si>
  <si>
    <t>0727206001</t>
  </si>
  <si>
    <t>0727206029</t>
  </si>
  <si>
    <t>0727201040</t>
  </si>
  <si>
    <t>0723305009</t>
  </si>
  <si>
    <t>0727211012</t>
  </si>
  <si>
    <t>0709200024</t>
  </si>
  <si>
    <t>0722406025</t>
  </si>
  <si>
    <t>0723306026</t>
  </si>
  <si>
    <t>0726205004</t>
  </si>
  <si>
    <t>0723305010</t>
  </si>
  <si>
    <t>0709304016</t>
  </si>
  <si>
    <t>0726204023</t>
  </si>
  <si>
    <t>0715206012</t>
  </si>
  <si>
    <t>0727204019</t>
  </si>
  <si>
    <t>0726205010</t>
  </si>
  <si>
    <t>0723311015</t>
  </si>
  <si>
    <t>0723310014</t>
  </si>
  <si>
    <t>0723410087</t>
  </si>
  <si>
    <t>0715203005</t>
  </si>
  <si>
    <t>0715206031</t>
  </si>
  <si>
    <t>0709411036</t>
  </si>
  <si>
    <t>0727201065</t>
  </si>
  <si>
    <t>0715203006</t>
  </si>
  <si>
    <t>0723304026</t>
  </si>
  <si>
    <t>0723304024</t>
  </si>
  <si>
    <t>0723304028</t>
  </si>
  <si>
    <t>0726208001</t>
  </si>
  <si>
    <t>0726206010</t>
  </si>
  <si>
    <t>0808314016</t>
  </si>
  <si>
    <t>0726205003</t>
  </si>
  <si>
    <t>0726209001</t>
  </si>
  <si>
    <t>0726208010</t>
  </si>
  <si>
    <t>0726206012</t>
  </si>
  <si>
    <t>0726207006</t>
  </si>
  <si>
    <t>0727209009</t>
  </si>
  <si>
    <t>0709221006</t>
  </si>
  <si>
    <t>0726205018</t>
  </si>
  <si>
    <t>0709303023</t>
  </si>
  <si>
    <t>0723306027</t>
  </si>
  <si>
    <t>0726203001</t>
  </si>
  <si>
    <t>0723410096</t>
  </si>
  <si>
    <t>0723306025</t>
  </si>
  <si>
    <t>0715206013</t>
  </si>
  <si>
    <t>0715206004</t>
  </si>
  <si>
    <t>0727201039</t>
  </si>
  <si>
    <t>0727201053</t>
  </si>
  <si>
    <t>0832117019</t>
  </si>
  <si>
    <t>0709304005</t>
  </si>
  <si>
    <t>0832104066</t>
  </si>
  <si>
    <t>0709221005</t>
  </si>
  <si>
    <t>0716106013</t>
  </si>
  <si>
    <t>0723311008</t>
  </si>
  <si>
    <t>0726204026</t>
  </si>
  <si>
    <t>0726207020</t>
  </si>
  <si>
    <t>0726207002</t>
  </si>
  <si>
    <t>0726204001</t>
  </si>
  <si>
    <t>0723413007</t>
  </si>
  <si>
    <t>0726208011</t>
  </si>
  <si>
    <t>0727203043</t>
  </si>
  <si>
    <t>0726204022</t>
  </si>
  <si>
    <t>0709200019</t>
  </si>
  <si>
    <t>0727203030</t>
  </si>
  <si>
    <t>0722404021</t>
  </si>
  <si>
    <t>0723305007</t>
  </si>
  <si>
    <t>0723305014</t>
  </si>
  <si>
    <t>0710412005</t>
  </si>
  <si>
    <t>0723305004</t>
  </si>
  <si>
    <t>0723304009</t>
  </si>
  <si>
    <t>0723305003</t>
  </si>
  <si>
    <t>0723305015</t>
  </si>
  <si>
    <t>0723304008</t>
  </si>
  <si>
    <t>0723304005</t>
  </si>
  <si>
    <t>0723304020</t>
  </si>
  <si>
    <t>0723304007</t>
  </si>
  <si>
    <t>0723305018</t>
  </si>
  <si>
    <t>0723303003</t>
  </si>
  <si>
    <t>0723305017</t>
  </si>
  <si>
    <t>0723304010</t>
  </si>
  <si>
    <t>0723310012</t>
  </si>
  <si>
    <t>0723304002</t>
  </si>
  <si>
    <t>0723310013</t>
  </si>
  <si>
    <t>0723310011</t>
  </si>
  <si>
    <t>0723304013</t>
  </si>
  <si>
    <t>0723304001</t>
  </si>
  <si>
    <t>0723305016</t>
  </si>
  <si>
    <t>0723302001</t>
  </si>
  <si>
    <t>0723306036</t>
  </si>
  <si>
    <t>0723303010</t>
  </si>
  <si>
    <t>0727211013</t>
  </si>
  <si>
    <t>0709221002</t>
  </si>
  <si>
    <t>0709411044</t>
  </si>
  <si>
    <t>0727201020</t>
  </si>
  <si>
    <t>0715203015</t>
  </si>
  <si>
    <t>0727203044</t>
  </si>
  <si>
    <t>0723311014</t>
  </si>
  <si>
    <t>0709410015</t>
  </si>
  <si>
    <t>0722404046</t>
  </si>
  <si>
    <t>0723306028</t>
  </si>
  <si>
    <t>0709411045</t>
  </si>
  <si>
    <t>0726208018</t>
  </si>
  <si>
    <t>0723306029</t>
  </si>
  <si>
    <t>0723304019</t>
  </si>
  <si>
    <t>0726205002</t>
  </si>
  <si>
    <t>0723302022</t>
  </si>
  <si>
    <t>0723302023</t>
  </si>
  <si>
    <t>0723306031</t>
  </si>
  <si>
    <t>0723302024</t>
  </si>
  <si>
    <t>0723302025</t>
  </si>
  <si>
    <t>0709304011</t>
  </si>
  <si>
    <t>0723302026</t>
  </si>
  <si>
    <t>0723306030</t>
  </si>
  <si>
    <t>0710412007</t>
  </si>
  <si>
    <t>0723302027</t>
  </si>
  <si>
    <t>0710412006</t>
  </si>
  <si>
    <t>0723311007</t>
  </si>
  <si>
    <t>0723302028</t>
  </si>
  <si>
    <t>0723302029</t>
  </si>
  <si>
    <t>0726206005</t>
  </si>
  <si>
    <t>0727204018</t>
  </si>
  <si>
    <t>0832115035</t>
  </si>
  <si>
    <t>0722304001</t>
  </si>
  <si>
    <t>0723302030</t>
  </si>
  <si>
    <t>0709410018</t>
  </si>
  <si>
    <t>0808315002</t>
  </si>
  <si>
    <t>0726206022</t>
  </si>
  <si>
    <t>0723311013</t>
  </si>
  <si>
    <t>0726204005</t>
  </si>
  <si>
    <t>0727203045</t>
  </si>
  <si>
    <t>0727211014</t>
  </si>
  <si>
    <t>0723311012</t>
  </si>
  <si>
    <t>0727211015</t>
  </si>
  <si>
    <t>0727211016</t>
  </si>
  <si>
    <t>0723306038</t>
  </si>
  <si>
    <t>0723306037</t>
  </si>
  <si>
    <t>0723302033</t>
  </si>
  <si>
    <t>0726103012</t>
  </si>
  <si>
    <t>0727206032</t>
  </si>
  <si>
    <t>0709221004</t>
  </si>
  <si>
    <t>0726203004</t>
  </si>
  <si>
    <t>0715206011</t>
  </si>
  <si>
    <t>0709410023</t>
  </si>
  <si>
    <t>0726203005</t>
  </si>
  <si>
    <t>0722405011</t>
  </si>
  <si>
    <t>0726206006</t>
  </si>
  <si>
    <t>0715203009</t>
  </si>
  <si>
    <t>0716106012</t>
  </si>
  <si>
    <t>0722407027</t>
  </si>
  <si>
    <t>0726205008</t>
  </si>
  <si>
    <t>0716106011</t>
  </si>
  <si>
    <t>0832104075</t>
  </si>
  <si>
    <t>0722406023</t>
  </si>
  <si>
    <t>0709221003</t>
  </si>
  <si>
    <t>0709410028</t>
  </si>
  <si>
    <t>0726207007</t>
  </si>
  <si>
    <t>0722404004</t>
  </si>
  <si>
    <t>0727208017</t>
  </si>
  <si>
    <t>0727203025</t>
  </si>
  <si>
    <t>0709304015</t>
  </si>
  <si>
    <t>0726206002</t>
  </si>
  <si>
    <t>0832116004</t>
  </si>
  <si>
    <t>0726206007</t>
  </si>
  <si>
    <t>0715206014</t>
  </si>
  <si>
    <t>0715205017</t>
  </si>
  <si>
    <t>0722404029</t>
  </si>
  <si>
    <t>0716106010</t>
  </si>
  <si>
    <t>0727203026</t>
  </si>
  <si>
    <t>0709413014</t>
  </si>
  <si>
    <t>0709200023</t>
  </si>
  <si>
    <t>0709221008</t>
  </si>
  <si>
    <t>0726204004</t>
  </si>
  <si>
    <t>0709411043</t>
  </si>
  <si>
    <t>0726205015</t>
  </si>
  <si>
    <t>0709200021</t>
  </si>
  <si>
    <t>0726207008</t>
  </si>
  <si>
    <t>0818202006</t>
  </si>
  <si>
    <t>0832117015</t>
  </si>
  <si>
    <t>0715206016</t>
  </si>
  <si>
    <t>0722404036</t>
  </si>
  <si>
    <t>0709200009</t>
  </si>
  <si>
    <t>0722404023</t>
  </si>
  <si>
    <t>0808314012</t>
  </si>
  <si>
    <t>0709413002</t>
  </si>
  <si>
    <t>0709413007</t>
  </si>
  <si>
    <t>0709410030</t>
  </si>
  <si>
    <t>0722406026</t>
  </si>
  <si>
    <t>0715206030</t>
  </si>
  <si>
    <t>0722305001</t>
  </si>
  <si>
    <t>0726204003</t>
  </si>
  <si>
    <t>0709413008</t>
  </si>
  <si>
    <t>0726205017</t>
  </si>
  <si>
    <t>0709410022</t>
  </si>
  <si>
    <t>0709410034</t>
  </si>
  <si>
    <t>0709410021</t>
  </si>
  <si>
    <t>0726208019</t>
  </si>
  <si>
    <t>0709413006</t>
  </si>
  <si>
    <t>0709413004</t>
  </si>
  <si>
    <t>0709413003</t>
  </si>
  <si>
    <t>0709413005</t>
  </si>
  <si>
    <t>0727206039</t>
  </si>
  <si>
    <t>0726207005</t>
  </si>
  <si>
    <t>0709413010</t>
  </si>
  <si>
    <t>0709413012</t>
  </si>
  <si>
    <t>0709413011</t>
  </si>
  <si>
    <t>0709413013</t>
  </si>
  <si>
    <t>0722406024</t>
  </si>
  <si>
    <t>0722404031</t>
  </si>
  <si>
    <t>0722407030</t>
  </si>
  <si>
    <t>0722404034</t>
  </si>
  <si>
    <t>0727203013</t>
  </si>
  <si>
    <t>0727201043</t>
  </si>
  <si>
    <t>0727201008</t>
  </si>
  <si>
    <t>0709200014</t>
  </si>
  <si>
    <t>0727203036</t>
  </si>
  <si>
    <t>0722409018</t>
  </si>
  <si>
    <t>0722405013</t>
  </si>
  <si>
    <t>0727206041</t>
  </si>
  <si>
    <t>0709200010</t>
  </si>
  <si>
    <t>0726208015</t>
  </si>
  <si>
    <t>0722410006</t>
  </si>
  <si>
    <t>0726205009</t>
  </si>
  <si>
    <t>0722404003</t>
  </si>
  <si>
    <t>0808314013</t>
  </si>
  <si>
    <t>0722405008</t>
  </si>
  <si>
    <t>0727204015</t>
  </si>
  <si>
    <t>0727201019</t>
  </si>
  <si>
    <t>0722405012</t>
  </si>
  <si>
    <t>0722410001</t>
  </si>
  <si>
    <t>0709200022</t>
  </si>
  <si>
    <t>0709221010</t>
  </si>
  <si>
    <t>0709410029</t>
  </si>
  <si>
    <t>0726207015</t>
  </si>
  <si>
    <t>0726207016</t>
  </si>
  <si>
    <t>0726204025</t>
  </si>
  <si>
    <t>0709410039</t>
  </si>
  <si>
    <t>0726204002</t>
  </si>
  <si>
    <t>0726204024</t>
  </si>
  <si>
    <t>0709413009</t>
  </si>
  <si>
    <t>0726208021</t>
  </si>
  <si>
    <t>0723410075</t>
  </si>
  <si>
    <t>0723410080</t>
  </si>
  <si>
    <t>0723410077</t>
  </si>
  <si>
    <t>0723410076</t>
  </si>
  <si>
    <t>0709304012</t>
  </si>
  <si>
    <t>0723410081</t>
  </si>
  <si>
    <t>0723410079</t>
  </si>
  <si>
    <t>0723410078</t>
  </si>
  <si>
    <t>0722410007</t>
  </si>
  <si>
    <t>0723410083</t>
  </si>
  <si>
    <t>0723410084</t>
  </si>
  <si>
    <t>0723410082</t>
  </si>
  <si>
    <t>0723410086</t>
  </si>
  <si>
    <t>0723410085</t>
  </si>
  <si>
    <t>0726203002</t>
  </si>
  <si>
    <t>0726203003</t>
  </si>
  <si>
    <t>0727201041</t>
  </si>
  <si>
    <t>0727205020</t>
  </si>
  <si>
    <t>0722407038</t>
  </si>
  <si>
    <t>0709411042</t>
  </si>
  <si>
    <t>0726208016</t>
  </si>
  <si>
    <t>0726207013</t>
  </si>
  <si>
    <t>0709410031</t>
  </si>
  <si>
    <t>0722409039</t>
  </si>
  <si>
    <t>0726208017</t>
  </si>
  <si>
    <t>0709411021</t>
  </si>
  <si>
    <t>0727206028</t>
  </si>
  <si>
    <t>0715206007</t>
  </si>
  <si>
    <t>0727209010</t>
  </si>
  <si>
    <t>0726209004</t>
  </si>
  <si>
    <t>0726209002</t>
  </si>
  <si>
    <t>0726209003</t>
  </si>
  <si>
    <t>0722404045</t>
  </si>
  <si>
    <t>0709200030</t>
  </si>
  <si>
    <t>0726207014</t>
  </si>
  <si>
    <t>0726208014</t>
  </si>
  <si>
    <t>0726208012</t>
  </si>
  <si>
    <t>0726208013</t>
  </si>
  <si>
    <t>0726204007</t>
  </si>
  <si>
    <t>0726207004</t>
  </si>
  <si>
    <t>0726204018</t>
  </si>
  <si>
    <t>0726206003</t>
  </si>
  <si>
    <t>0723410093</t>
  </si>
  <si>
    <t>0726206015</t>
  </si>
  <si>
    <t>0726208005</t>
  </si>
  <si>
    <t>0726204021</t>
  </si>
  <si>
    <t>0726208003</t>
  </si>
  <si>
    <t>0726204017</t>
  </si>
  <si>
    <t>0726204015</t>
  </si>
  <si>
    <t>0723410094</t>
  </si>
  <si>
    <t>0726208020</t>
  </si>
  <si>
    <t>0726206019</t>
  </si>
  <si>
    <t>0726207003</t>
  </si>
  <si>
    <t>0726206008</t>
  </si>
  <si>
    <t>0726204009</t>
  </si>
  <si>
    <t>0726206024</t>
  </si>
  <si>
    <t>0726206009</t>
  </si>
  <si>
    <t>0726206004</t>
  </si>
  <si>
    <t>0726207017</t>
  </si>
  <si>
    <t>0726207019</t>
  </si>
  <si>
    <t>0723410095</t>
  </si>
  <si>
    <t>0726206017</t>
  </si>
  <si>
    <t>0726204006</t>
  </si>
  <si>
    <t>0726205013</t>
  </si>
  <si>
    <t>0726206020</t>
  </si>
  <si>
    <t>0726204027</t>
  </si>
  <si>
    <t>0726204020</t>
  </si>
  <si>
    <t>0726207018</t>
  </si>
  <si>
    <t>0726204014</t>
  </si>
  <si>
    <t>0723302032</t>
  </si>
  <si>
    <t>0726204013</t>
  </si>
  <si>
    <t>0726204008</t>
  </si>
  <si>
    <t>0726206021</t>
  </si>
  <si>
    <t>0726206018</t>
  </si>
  <si>
    <t>0726204010</t>
  </si>
  <si>
    <t>0726204011</t>
  </si>
  <si>
    <t>0726204019</t>
  </si>
  <si>
    <t>0726206016</t>
  </si>
  <si>
    <t>0726204016</t>
  </si>
  <si>
    <t>0726208004</t>
  </si>
  <si>
    <t>0723413003</t>
  </si>
  <si>
    <t>0723413004</t>
  </si>
  <si>
    <t>0723413001</t>
  </si>
  <si>
    <t>0726204012</t>
  </si>
  <si>
    <t>0726205012</t>
  </si>
  <si>
    <t>0723413009</t>
  </si>
  <si>
    <t>0726208002</t>
  </si>
  <si>
    <t>0726205016</t>
  </si>
  <si>
    <t>0723413005</t>
  </si>
  <si>
    <t>0723413002</t>
  </si>
  <si>
    <t>0723413008</t>
  </si>
  <si>
    <t>0832114087</t>
  </si>
  <si>
    <t>0722407036</t>
  </si>
  <si>
    <t>0709221015</t>
  </si>
  <si>
    <t>0709200029</t>
  </si>
  <si>
    <t>0727203029</t>
  </si>
  <si>
    <t>0727209014</t>
  </si>
  <si>
    <t>0709200017</t>
  </si>
  <si>
    <t>0709301019</t>
  </si>
  <si>
    <t>0727201037</t>
  </si>
  <si>
    <t>0709411041</t>
  </si>
  <si>
    <t>0727206030</t>
  </si>
  <si>
    <t>0709411026</t>
  </si>
  <si>
    <t>0709200031</t>
  </si>
  <si>
    <t>0727201038</t>
  </si>
  <si>
    <t>0722404001</t>
  </si>
  <si>
    <t>0709411030</t>
  </si>
  <si>
    <t>0832117001</t>
  </si>
  <si>
    <t>0727210023</t>
  </si>
  <si>
    <t>0722406020</t>
  </si>
  <si>
    <t>0722407051</t>
  </si>
  <si>
    <t>0709200016</t>
  </si>
  <si>
    <t>0709200015</t>
  </si>
  <si>
    <t>0727201017</t>
  </si>
  <si>
    <t>0722404033</t>
  </si>
  <si>
    <t>0832114048</t>
  </si>
  <si>
    <t>0727206026</t>
  </si>
  <si>
    <t>0709411031</t>
  </si>
  <si>
    <t>0709411032</t>
  </si>
  <si>
    <t>0709411022</t>
  </si>
  <si>
    <t>0709411023</t>
  </si>
  <si>
    <t>0709411025</t>
  </si>
  <si>
    <t>0709411024</t>
  </si>
  <si>
    <t>0709411039</t>
  </si>
  <si>
    <t>0709411037</t>
  </si>
  <si>
    <t>0709411040</t>
  </si>
  <si>
    <t>0709411038</t>
  </si>
  <si>
    <t>0709221014</t>
  </si>
  <si>
    <t>0709221013</t>
  </si>
  <si>
    <t>0709411027</t>
  </si>
  <si>
    <t>0727201021</t>
  </si>
  <si>
    <t>0832116003</t>
  </si>
  <si>
    <t>0727201022</t>
  </si>
  <si>
    <t>0727206040</t>
  </si>
  <si>
    <t>0715203017</t>
  </si>
  <si>
    <t>0832114074</t>
  </si>
  <si>
    <t>0709410013</t>
  </si>
  <si>
    <t>0832117016</t>
  </si>
  <si>
    <t>0715203001</t>
  </si>
  <si>
    <t>0727201018</t>
  </si>
  <si>
    <t>0709221018</t>
  </si>
  <si>
    <t>0709410038</t>
  </si>
  <si>
    <t>0709410036</t>
  </si>
  <si>
    <t>0709410037</t>
  </si>
  <si>
    <t>0709221017</t>
  </si>
  <si>
    <t>0709221016</t>
  </si>
  <si>
    <t>0727201063</t>
  </si>
  <si>
    <t>0727203033</t>
  </si>
  <si>
    <t>0727203032</t>
  </si>
  <si>
    <t>0709221012</t>
  </si>
  <si>
    <t>0727207013</t>
  </si>
  <si>
    <t>0832115029</t>
  </si>
  <si>
    <t>0715203003</t>
  </si>
  <si>
    <t>0727206043</t>
  </si>
  <si>
    <t>0722406007</t>
  </si>
  <si>
    <t>0715203023</t>
  </si>
  <si>
    <t>0722407031</t>
  </si>
  <si>
    <t>0832115043</t>
  </si>
  <si>
    <t>0832116005</t>
  </si>
  <si>
    <t>0722407028</t>
  </si>
  <si>
    <t>0715206046</t>
  </si>
  <si>
    <t>0727201042</t>
  </si>
  <si>
    <t>0727202011</t>
  </si>
  <si>
    <t>0727206042</t>
  </si>
  <si>
    <t>0808314015</t>
  </si>
  <si>
    <t>0715206003</t>
  </si>
  <si>
    <t>0727204020</t>
  </si>
  <si>
    <t>0808314014</t>
  </si>
  <si>
    <t>0715205014</t>
  </si>
  <si>
    <t>0727205013</t>
  </si>
  <si>
    <t>0722410008</t>
  </si>
  <si>
    <t>0727201010</t>
  </si>
  <si>
    <t>0715206029</t>
  </si>
  <si>
    <t>0727201009</t>
  </si>
  <si>
    <t>0727201060</t>
  </si>
  <si>
    <t>0808314008</t>
  </si>
  <si>
    <t>0808314009</t>
  </si>
  <si>
    <t>0808314010</t>
  </si>
  <si>
    <t>0808314003</t>
  </si>
  <si>
    <t>0808314011</t>
  </si>
  <si>
    <t>0727204025</t>
  </si>
  <si>
    <t>0808314007</t>
  </si>
  <si>
    <t>0808314004</t>
  </si>
  <si>
    <t>0722407025</t>
  </si>
  <si>
    <t>0722405010</t>
  </si>
  <si>
    <t>0727203014</t>
  </si>
  <si>
    <t>0722410011</t>
  </si>
  <si>
    <t>0727206044</t>
  </si>
  <si>
    <t>0727201027</t>
  </si>
  <si>
    <t>0727201026</t>
  </si>
  <si>
    <t>0727201025</t>
  </si>
  <si>
    <t>0722404030</t>
  </si>
  <si>
    <t>0722407047</t>
  </si>
  <si>
    <t>0727202005</t>
  </si>
  <si>
    <t>0727201045</t>
  </si>
  <si>
    <t>0727210015</t>
  </si>
  <si>
    <t>0722404028</t>
  </si>
  <si>
    <t>0715203012</t>
  </si>
  <si>
    <t>0722407007</t>
  </si>
  <si>
    <t>0715206040</t>
  </si>
  <si>
    <t>0832116006</t>
  </si>
  <si>
    <t>0727203034</t>
  </si>
  <si>
    <t>0722407014</t>
  </si>
  <si>
    <t>0715206043</t>
  </si>
  <si>
    <t>0715206032</t>
  </si>
  <si>
    <t>0715206001</t>
  </si>
  <si>
    <t>0727201034</t>
  </si>
  <si>
    <t>0727201011</t>
  </si>
  <si>
    <t>0727206025</t>
  </si>
  <si>
    <t>0722409020</t>
  </si>
  <si>
    <t>0722405016</t>
  </si>
  <si>
    <t>0727201007</t>
  </si>
  <si>
    <t>0722410004</t>
  </si>
  <si>
    <t>0727201055</t>
  </si>
  <si>
    <t>0727203031</t>
  </si>
  <si>
    <t>0716106009</t>
  </si>
  <si>
    <t>0715206033</t>
  </si>
  <si>
    <t>0832115036</t>
  </si>
  <si>
    <t>0722404014</t>
  </si>
  <si>
    <t>0715206041</t>
  </si>
  <si>
    <t>0722409041</t>
  </si>
  <si>
    <t>0715206009</t>
  </si>
  <si>
    <t>0722406028</t>
  </si>
  <si>
    <t>0727209018</t>
  </si>
  <si>
    <t>0722405014</t>
  </si>
  <si>
    <t>0709304006</t>
  </si>
  <si>
    <t>0722404027</t>
  </si>
  <si>
    <t>0715206017</t>
  </si>
  <si>
    <t>0722407039</t>
  </si>
  <si>
    <t>0715206042</t>
  </si>
  <si>
    <t>0727210021</t>
  </si>
  <si>
    <t>0727201024</t>
  </si>
  <si>
    <t>0727207004</t>
  </si>
  <si>
    <t>0722404011</t>
  </si>
  <si>
    <t>0727201004</t>
  </si>
  <si>
    <t>0715204013</t>
  </si>
  <si>
    <t>0727209024</t>
  </si>
  <si>
    <t>0727201031</t>
  </si>
  <si>
    <t>0727210017</t>
  </si>
  <si>
    <t>0715203002</t>
  </si>
  <si>
    <t>0832115030</t>
  </si>
  <si>
    <t>0722410033</t>
  </si>
  <si>
    <t>0722305002</t>
  </si>
  <si>
    <t>0727208018</t>
  </si>
  <si>
    <t>0727201013</t>
  </si>
  <si>
    <t>0715205001</t>
  </si>
  <si>
    <t>0818202003</t>
  </si>
  <si>
    <t>0715205007</t>
  </si>
  <si>
    <t>0722407066</t>
  </si>
  <si>
    <t>0727204017</t>
  </si>
  <si>
    <t>0727204001</t>
  </si>
  <si>
    <t>0727205021</t>
  </si>
  <si>
    <t>0715205015</t>
  </si>
  <si>
    <t>0715203014</t>
  </si>
  <si>
    <t>0727201052</t>
  </si>
  <si>
    <t>0832117018</t>
  </si>
  <si>
    <t>0722405021</t>
  </si>
  <si>
    <t>0715205013</t>
  </si>
  <si>
    <t>0832114073</t>
  </si>
  <si>
    <t>0832115042</t>
  </si>
  <si>
    <t>0722406008</t>
  </si>
  <si>
    <t>0722410010</t>
  </si>
  <si>
    <t>0722409021</t>
  </si>
  <si>
    <t>0722405022</t>
  </si>
  <si>
    <t>0722405003</t>
  </si>
  <si>
    <t>0722405002</t>
  </si>
  <si>
    <t>0715205012</t>
  </si>
  <si>
    <t>0715205021</t>
  </si>
  <si>
    <t>0722407015</t>
  </si>
  <si>
    <t>0727208022</t>
  </si>
  <si>
    <t>0727201070</t>
  </si>
  <si>
    <t>0727203023</t>
  </si>
  <si>
    <t>0715203010</t>
  </si>
  <si>
    <t>0727203016</t>
  </si>
  <si>
    <t>0722405001</t>
  </si>
  <si>
    <t>0727206009</t>
  </si>
  <si>
    <t>0722404044</t>
  </si>
  <si>
    <t>0832115033</t>
  </si>
  <si>
    <t>0832114080</t>
  </si>
  <si>
    <t>0722404010</t>
  </si>
  <si>
    <t>0727205023</t>
  </si>
  <si>
    <t>0722407052</t>
  </si>
  <si>
    <t>0722404037</t>
  </si>
  <si>
    <t>0715205016</t>
  </si>
  <si>
    <t>0722406009</t>
  </si>
  <si>
    <t>0722404005</t>
  </si>
  <si>
    <t>0715206027</t>
  </si>
  <si>
    <t>0715204001</t>
  </si>
  <si>
    <t>0832114067</t>
  </si>
  <si>
    <t>0832117013</t>
  </si>
  <si>
    <t>0727205041</t>
  </si>
  <si>
    <t>0832117023</t>
  </si>
  <si>
    <t>0727210013</t>
  </si>
  <si>
    <t>0727204010</t>
  </si>
  <si>
    <t>0722405009</t>
  </si>
  <si>
    <t>0727208009</t>
  </si>
  <si>
    <t>0727202001</t>
  </si>
  <si>
    <t>0715205005</t>
  </si>
  <si>
    <t>0727202012</t>
  </si>
  <si>
    <t>0727203001</t>
  </si>
  <si>
    <t>0727209012</t>
  </si>
  <si>
    <t>0715203018</t>
  </si>
  <si>
    <t>0727202015</t>
  </si>
  <si>
    <t>0722409025</t>
  </si>
  <si>
    <t>0722407002</t>
  </si>
  <si>
    <t>0722407026</t>
  </si>
  <si>
    <t>0722410003</t>
  </si>
  <si>
    <t>0722406015</t>
  </si>
  <si>
    <t>0832115041</t>
  </si>
  <si>
    <t>0722409012</t>
  </si>
  <si>
    <t>0715203011</t>
  </si>
  <si>
    <t>0715206005</t>
  </si>
  <si>
    <t>0727203024</t>
  </si>
  <si>
    <t>0722406014</t>
  </si>
  <si>
    <t>0727203010</t>
  </si>
  <si>
    <t>0727201036</t>
  </si>
  <si>
    <t>0722305003</t>
  </si>
  <si>
    <t>0727208021</t>
  </si>
  <si>
    <t>0832115032</t>
  </si>
  <si>
    <t>0722407046</t>
  </si>
  <si>
    <t>0722409013</t>
  </si>
  <si>
    <t>0727211001</t>
  </si>
  <si>
    <t>0722406027</t>
  </si>
  <si>
    <t>0715205018</t>
  </si>
  <si>
    <t>0715206039</t>
  </si>
  <si>
    <t>0727205031</t>
  </si>
  <si>
    <t>0715204018</t>
  </si>
  <si>
    <t>0727208019</t>
  </si>
  <si>
    <t>0727201014</t>
  </si>
  <si>
    <t>0727210007</t>
  </si>
  <si>
    <t>0727209001</t>
  </si>
  <si>
    <t>0722407019</t>
  </si>
  <si>
    <t>0727201028</t>
  </si>
  <si>
    <t>0722407013</t>
  </si>
  <si>
    <t>0727211010</t>
  </si>
  <si>
    <t>0715203016</t>
  </si>
  <si>
    <t>0832114083</t>
  </si>
  <si>
    <t>0727201023</t>
  </si>
  <si>
    <t>0832117021</t>
  </si>
  <si>
    <t>0727208027</t>
  </si>
  <si>
    <t>0722409011</t>
  </si>
  <si>
    <t>0832115040</t>
  </si>
  <si>
    <t>0722406019</t>
  </si>
  <si>
    <t>0722410012</t>
  </si>
  <si>
    <t>0727204014</t>
  </si>
  <si>
    <t>0832117028</t>
  </si>
  <si>
    <t>0832115031</t>
  </si>
  <si>
    <t>0727201012</t>
  </si>
  <si>
    <t>0722407008</t>
  </si>
  <si>
    <t>0715204016</t>
  </si>
  <si>
    <t>0722305006</t>
  </si>
  <si>
    <t>0722406016</t>
  </si>
  <si>
    <t>0832114060</t>
  </si>
  <si>
    <t>0832114059</t>
  </si>
  <si>
    <t>0832114079</t>
  </si>
  <si>
    <t>0715205004</t>
  </si>
  <si>
    <t>0722305004</t>
  </si>
  <si>
    <t>0722406013</t>
  </si>
  <si>
    <t>0722409026</t>
  </si>
  <si>
    <t>0722406001</t>
  </si>
  <si>
    <t>0722305005</t>
  </si>
  <si>
    <t>0727207015</t>
  </si>
  <si>
    <t>0727201032</t>
  </si>
  <si>
    <t>0722404013</t>
  </si>
  <si>
    <t>0727209013</t>
  </si>
  <si>
    <t>0715204012</t>
  </si>
  <si>
    <t>0727202006</t>
  </si>
  <si>
    <t>0727201061</t>
  </si>
  <si>
    <t>0722404012</t>
  </si>
  <si>
    <t>0722409024</t>
  </si>
  <si>
    <t>0727206018</t>
  </si>
  <si>
    <t>0727210006</t>
  </si>
  <si>
    <t>0727205012</t>
  </si>
  <si>
    <t>0727206027</t>
  </si>
  <si>
    <t>0727203015</t>
  </si>
  <si>
    <t>0727206006</t>
  </si>
  <si>
    <t>0722405017</t>
  </si>
  <si>
    <t>0727205056</t>
  </si>
  <si>
    <t>0832115039</t>
  </si>
  <si>
    <t>0727205051</t>
  </si>
  <si>
    <t>0727204022</t>
  </si>
  <si>
    <t>0715205020</t>
  </si>
  <si>
    <t>0722406021</t>
  </si>
  <si>
    <t>0727209021</t>
  </si>
  <si>
    <t>0715205019</t>
  </si>
  <si>
    <t>0727205024</t>
  </si>
  <si>
    <t>0715203008</t>
  </si>
  <si>
    <t>0832117020</t>
  </si>
  <si>
    <t>0727205037</t>
  </si>
  <si>
    <t>0715205006</t>
  </si>
  <si>
    <t>0727206037</t>
  </si>
  <si>
    <t>0727203019</t>
  </si>
  <si>
    <t>0722404009</t>
  </si>
  <si>
    <t>0832114084</t>
  </si>
  <si>
    <t>0722409022</t>
  </si>
  <si>
    <t>0722404015</t>
  </si>
  <si>
    <t>0727210003</t>
  </si>
  <si>
    <t>0722405004</t>
  </si>
  <si>
    <t>0727206034</t>
  </si>
  <si>
    <t>0727204030</t>
  </si>
  <si>
    <t>0727209019</t>
  </si>
  <si>
    <t>0727203017</t>
  </si>
  <si>
    <t>0727204026</t>
  </si>
  <si>
    <t>0727209025</t>
  </si>
  <si>
    <t>0832116002</t>
  </si>
  <si>
    <t>0715204024</t>
  </si>
  <si>
    <t>0727201016</t>
  </si>
  <si>
    <t>0715204027</t>
  </si>
  <si>
    <t>0727206019</t>
  </si>
  <si>
    <t>0727205038</t>
  </si>
  <si>
    <t>0832115038</t>
  </si>
  <si>
    <t>0727206046</t>
  </si>
  <si>
    <t>0715206034</t>
  </si>
  <si>
    <t>0727204008</t>
  </si>
  <si>
    <t>0727206021</t>
  </si>
  <si>
    <t>0832117002</t>
  </si>
  <si>
    <t>0722409023</t>
  </si>
  <si>
    <t>0727208001</t>
  </si>
  <si>
    <t>0727205019</t>
  </si>
  <si>
    <t>0727208012</t>
  </si>
  <si>
    <t>0832114075</t>
  </si>
  <si>
    <t>0722407009</t>
  </si>
  <si>
    <t>0727203011</t>
  </si>
  <si>
    <t>0715203019</t>
  </si>
  <si>
    <t>0727201046</t>
  </si>
  <si>
    <t>0722407010</t>
  </si>
  <si>
    <t>0727207012</t>
  </si>
  <si>
    <t>0727203021</t>
  </si>
  <si>
    <t>0727206024</t>
  </si>
  <si>
    <t>0715204023</t>
  </si>
  <si>
    <t>0715203022</t>
  </si>
  <si>
    <t>0715206036</t>
  </si>
  <si>
    <t>0722410015</t>
  </si>
  <si>
    <t>0727209020</t>
  </si>
  <si>
    <t>0715206026</t>
  </si>
  <si>
    <t>0722409014</t>
  </si>
  <si>
    <t>0727207014</t>
  </si>
  <si>
    <t>0722404008</t>
  </si>
  <si>
    <t>0715203007</t>
  </si>
  <si>
    <t>0727206036</t>
  </si>
  <si>
    <t>0727201069</t>
  </si>
  <si>
    <t>0722407053</t>
  </si>
  <si>
    <t>0727209007</t>
  </si>
  <si>
    <t>0727206007</t>
  </si>
  <si>
    <t>0727201015</t>
  </si>
  <si>
    <t>0727204009</t>
  </si>
  <si>
    <t>0832115037</t>
  </si>
  <si>
    <t>0715203021</t>
  </si>
  <si>
    <t>0727201049</t>
  </si>
  <si>
    <t>0727201048</t>
  </si>
  <si>
    <t>0727201047</t>
  </si>
  <si>
    <t>0715204022</t>
  </si>
  <si>
    <t>0722407044</t>
  </si>
  <si>
    <t>0722407045</t>
  </si>
  <si>
    <t>0727205045</t>
  </si>
  <si>
    <t>0722407043</t>
  </si>
  <si>
    <t>0722407042</t>
  </si>
  <si>
    <t>0727207005</t>
  </si>
  <si>
    <t>0715206002</t>
  </si>
  <si>
    <t>0727206045</t>
  </si>
  <si>
    <t>0722409006</t>
  </si>
  <si>
    <t>0727208020</t>
  </si>
  <si>
    <t>0727207003</t>
  </si>
  <si>
    <t>0727205036</t>
  </si>
  <si>
    <t>0722409027</t>
  </si>
  <si>
    <t>0727201029</t>
  </si>
  <si>
    <t>0727203042</t>
  </si>
  <si>
    <t>0727203039</t>
  </si>
  <si>
    <t>0832114086</t>
  </si>
  <si>
    <t>0727203041</t>
  </si>
  <si>
    <t>0727203040</t>
  </si>
  <si>
    <t>0727205002</t>
  </si>
  <si>
    <t>0722409007</t>
  </si>
  <si>
    <t>0727208024</t>
  </si>
  <si>
    <t>0715204008</t>
  </si>
  <si>
    <t>0832114085</t>
  </si>
  <si>
    <t>0727201062</t>
  </si>
  <si>
    <t>0727205018</t>
  </si>
  <si>
    <t>0722410013</t>
  </si>
  <si>
    <t>0715204021</t>
  </si>
  <si>
    <t>0727203018</t>
  </si>
  <si>
    <t>0722407065</t>
  </si>
  <si>
    <t>0722407060</t>
  </si>
  <si>
    <t>0722407063</t>
  </si>
  <si>
    <t>0722407059</t>
  </si>
  <si>
    <t>0722407058</t>
  </si>
  <si>
    <t>0722407064</t>
  </si>
  <si>
    <t>0727208015</t>
  </si>
  <si>
    <t>0722404043</t>
  </si>
  <si>
    <t>0832115034</t>
  </si>
  <si>
    <t>0722405023</t>
  </si>
  <si>
    <t>0722407029</t>
  </si>
  <si>
    <t>0715204007</t>
  </si>
  <si>
    <t>0722404038</t>
  </si>
  <si>
    <t>0727206002</t>
  </si>
  <si>
    <t>0727205014</t>
  </si>
  <si>
    <t>0727206004</t>
  </si>
  <si>
    <t>0727206005</t>
  </si>
  <si>
    <t>0832114082</t>
  </si>
  <si>
    <t>0727206003</t>
  </si>
  <si>
    <t>0715204017</t>
  </si>
  <si>
    <t>0727208016</t>
  </si>
  <si>
    <t>0832116007</t>
  </si>
  <si>
    <t>0715203020</t>
  </si>
  <si>
    <t>0722305007</t>
  </si>
  <si>
    <t>0722409005</t>
  </si>
  <si>
    <t>0715204006</t>
  </si>
  <si>
    <t>0715204020</t>
  </si>
  <si>
    <t>0727208011</t>
  </si>
  <si>
    <t>0727208025</t>
  </si>
  <si>
    <t>0715206022</t>
  </si>
  <si>
    <t>0715206020</t>
  </si>
  <si>
    <t>0727201068</t>
  </si>
  <si>
    <t>0715206019</t>
  </si>
  <si>
    <t>0715206021</t>
  </si>
  <si>
    <t>0715206023</t>
  </si>
  <si>
    <t>0715206018</t>
  </si>
  <si>
    <t>0715205010</t>
  </si>
  <si>
    <t>0722409019</t>
  </si>
  <si>
    <t>0722407018</t>
  </si>
  <si>
    <t>0727208010</t>
  </si>
  <si>
    <t>0722410014</t>
  </si>
  <si>
    <t>0727205006</t>
  </si>
  <si>
    <t>0727205046</t>
  </si>
  <si>
    <t>0727205007</t>
  </si>
  <si>
    <t>0715204019</t>
  </si>
  <si>
    <t>0727202008</t>
  </si>
  <si>
    <t>0715204005</t>
  </si>
  <si>
    <t>0727202009</t>
  </si>
  <si>
    <t>0727209026</t>
  </si>
  <si>
    <t>0832104063</t>
  </si>
  <si>
    <t>0715204003</t>
  </si>
  <si>
    <t>0727202010</t>
  </si>
  <si>
    <t>0727202013</t>
  </si>
  <si>
    <t>0727202014</t>
  </si>
  <si>
    <t>0832116001</t>
  </si>
  <si>
    <t>0727202007</t>
  </si>
  <si>
    <t>0727203020</t>
  </si>
  <si>
    <t>0727205042</t>
  </si>
  <si>
    <t>0715204002</t>
  </si>
  <si>
    <t>0727205032</t>
  </si>
  <si>
    <t>0727205025</t>
  </si>
  <si>
    <t>0715204026</t>
  </si>
  <si>
    <t>0722406003</t>
  </si>
  <si>
    <t>0722406004</t>
  </si>
  <si>
    <t>0722405024</t>
  </si>
  <si>
    <t>0715204025</t>
  </si>
  <si>
    <t>0727209028</t>
  </si>
  <si>
    <t>0727204013</t>
  </si>
  <si>
    <t>0727210004</t>
  </si>
  <si>
    <t>0832117005</t>
  </si>
  <si>
    <t>0722406002</t>
  </si>
  <si>
    <t>0727205003</t>
  </si>
  <si>
    <t>0715204004</t>
  </si>
  <si>
    <t>0722406010</t>
  </si>
  <si>
    <t>0722407021</t>
  </si>
  <si>
    <t>0722410023</t>
  </si>
  <si>
    <t>0727204024</t>
  </si>
  <si>
    <t>0727204029</t>
  </si>
  <si>
    <t>0727209027</t>
  </si>
  <si>
    <t>0715205003</t>
  </si>
  <si>
    <t>0722404016</t>
  </si>
  <si>
    <t>0722410024</t>
  </si>
  <si>
    <t>0722410022</t>
  </si>
  <si>
    <t>0727202003</t>
  </si>
  <si>
    <t>0727204028</t>
  </si>
  <si>
    <t>0727202004</t>
  </si>
  <si>
    <t>0727204027</t>
  </si>
  <si>
    <t>0727202002</t>
  </si>
  <si>
    <t>0832114066</t>
  </si>
  <si>
    <t>0715204011</t>
  </si>
  <si>
    <t>0832117017</t>
  </si>
  <si>
    <t>0727205001</t>
  </si>
  <si>
    <t>0727204011</t>
  </si>
  <si>
    <t>0727205004</t>
  </si>
  <si>
    <t>0727205005</t>
  </si>
  <si>
    <t>0722409040</t>
  </si>
  <si>
    <t>0727207006</t>
  </si>
  <si>
    <t>0727208013</t>
  </si>
  <si>
    <t>0722409008</t>
  </si>
  <si>
    <t>0715203004</t>
  </si>
  <si>
    <t>0832117026</t>
  </si>
  <si>
    <t>0722409010</t>
  </si>
  <si>
    <t>0832114081</t>
  </si>
  <si>
    <t>0727205017</t>
  </si>
  <si>
    <t>0727206010</t>
  </si>
  <si>
    <t>0727208008</t>
  </si>
  <si>
    <t>0722407020</t>
  </si>
  <si>
    <t>0727203002</t>
  </si>
  <si>
    <t>0727208026</t>
  </si>
  <si>
    <t>0727209029</t>
  </si>
  <si>
    <t>0832117006</t>
  </si>
  <si>
    <t>0722409009</t>
  </si>
  <si>
    <t>0727203003</t>
  </si>
  <si>
    <t>0722409015</t>
  </si>
  <si>
    <t>0727203004</t>
  </si>
  <si>
    <t>0722409016</t>
  </si>
  <si>
    <t>0727208002</t>
  </si>
  <si>
    <t>0727203007</t>
  </si>
  <si>
    <t>0727210005</t>
  </si>
  <si>
    <t>0727208014</t>
  </si>
  <si>
    <t>0727211009</t>
  </si>
  <si>
    <t>0727201030</t>
  </si>
  <si>
    <t>0727207008</t>
  </si>
  <si>
    <t>0727204006</t>
  </si>
  <si>
    <t>0727207007</t>
  </si>
  <si>
    <t>0727204002</t>
  </si>
  <si>
    <t>0727207009</t>
  </si>
  <si>
    <t>0727207002</t>
  </si>
  <si>
    <t>0727205016</t>
  </si>
  <si>
    <t>0727206022</t>
  </si>
  <si>
    <t>0727204005</t>
  </si>
  <si>
    <t>0727205030</t>
  </si>
  <si>
    <t>0727206023</t>
  </si>
  <si>
    <t>0727206020</t>
  </si>
  <si>
    <t>0727207011</t>
  </si>
  <si>
    <t>0727205026</t>
  </si>
  <si>
    <t>0727207010</t>
  </si>
  <si>
    <t>0727204007</t>
  </si>
  <si>
    <t>0727206017</t>
  </si>
  <si>
    <t>0727204004</t>
  </si>
  <si>
    <t>0727206016</t>
  </si>
  <si>
    <t>0727206014</t>
  </si>
  <si>
    <t>0727206008</t>
  </si>
  <si>
    <t>0727206015</t>
  </si>
  <si>
    <t>0727205029</t>
  </si>
  <si>
    <t>0727205028</t>
  </si>
  <si>
    <t>0715206006</t>
  </si>
  <si>
    <t>0727205027</t>
  </si>
  <si>
    <t>0727204003</t>
  </si>
  <si>
    <t>0727201033</t>
  </si>
  <si>
    <t>0727205015</t>
  </si>
  <si>
    <t>0715205002</t>
  </si>
  <si>
    <t>0727205011</t>
  </si>
  <si>
    <t>0722410017</t>
  </si>
  <si>
    <t>0727205010</t>
  </si>
  <si>
    <t>0727205008</t>
  </si>
  <si>
    <t>0832117027</t>
  </si>
  <si>
    <t>0832114050</t>
  </si>
  <si>
    <t>0832114051</t>
  </si>
  <si>
    <t>0727205009</t>
  </si>
  <si>
    <t>0832114076</t>
  </si>
  <si>
    <t>0832117007</t>
  </si>
  <si>
    <t>0727205053</t>
  </si>
  <si>
    <t>0727205052</t>
  </si>
  <si>
    <t>0832114077</t>
  </si>
  <si>
    <t>0727205054</t>
  </si>
  <si>
    <t>0727208007</t>
  </si>
  <si>
    <t>0832117008</t>
  </si>
  <si>
    <t>0722409017</t>
  </si>
  <si>
    <t>0727209017</t>
  </si>
  <si>
    <t>0727205055</t>
  </si>
  <si>
    <t>0727208006</t>
  </si>
  <si>
    <t>0727208004</t>
  </si>
  <si>
    <t>0722409002</t>
  </si>
  <si>
    <t>0722409003</t>
  </si>
  <si>
    <t>0832114078</t>
  </si>
  <si>
    <t>0722409004</t>
  </si>
  <si>
    <t>0727208003</t>
  </si>
  <si>
    <t>0722409001</t>
  </si>
  <si>
    <t>0727208005</t>
  </si>
  <si>
    <t>0722405018</t>
  </si>
  <si>
    <t>0722406012</t>
  </si>
  <si>
    <t>0727209030</t>
  </si>
  <si>
    <t>0727209002</t>
  </si>
  <si>
    <t>0727210016</t>
  </si>
  <si>
    <t>0727209003</t>
  </si>
  <si>
    <t>0727209004</t>
  </si>
  <si>
    <t>0727211003</t>
  </si>
  <si>
    <t>0727211002</t>
  </si>
  <si>
    <t>0722410002</t>
  </si>
  <si>
    <t>0727211007</t>
  </si>
  <si>
    <t>0727209005</t>
  </si>
  <si>
    <t>0727211008</t>
  </si>
  <si>
    <t>0727211006</t>
  </si>
  <si>
    <t>0727209006</t>
  </si>
  <si>
    <t>0832117009</t>
  </si>
  <si>
    <t>0727210012</t>
  </si>
  <si>
    <t>0727210011</t>
  </si>
  <si>
    <t>0727210010</t>
  </si>
  <si>
    <t>0832114065</t>
  </si>
  <si>
    <t>0727204021</t>
  </si>
  <si>
    <t>0727204012</t>
  </si>
  <si>
    <t>0722409032</t>
  </si>
  <si>
    <t>0722410025</t>
  </si>
  <si>
    <t>0722404042</t>
  </si>
  <si>
    <t>0722406017</t>
  </si>
  <si>
    <t>0722406018</t>
  </si>
  <si>
    <t>0722404039</t>
  </si>
  <si>
    <t>0832114054</t>
  </si>
  <si>
    <t>0832114058</t>
  </si>
  <si>
    <t>0832114061</t>
  </si>
  <si>
    <t>0832114062</t>
  </si>
  <si>
    <t>0832114057</t>
  </si>
  <si>
    <t>0832114052</t>
  </si>
  <si>
    <t>0832114064</t>
  </si>
  <si>
    <t>0832114055</t>
  </si>
  <si>
    <t>0832114053</t>
  </si>
  <si>
    <t>0832114063</t>
  </si>
  <si>
    <t>0832114056</t>
  </si>
  <si>
    <t>0722410032</t>
  </si>
  <si>
    <t>0722409031</t>
  </si>
  <si>
    <t>0727206033</t>
  </si>
  <si>
    <t>0722406011</t>
  </si>
  <si>
    <t>0727205034</t>
  </si>
  <si>
    <t>0727208023</t>
  </si>
  <si>
    <t>0722409028</t>
  </si>
  <si>
    <t>0715205011</t>
  </si>
  <si>
    <t>0722404040</t>
  </si>
  <si>
    <t>0727204023</t>
  </si>
  <si>
    <t>0722404041</t>
  </si>
  <si>
    <t>0722409038</t>
  </si>
  <si>
    <t>0727205033</t>
  </si>
  <si>
    <t>0722409033</t>
  </si>
  <si>
    <t>0722409037</t>
  </si>
  <si>
    <t>0722409036</t>
  </si>
  <si>
    <t>0722410030</t>
  </si>
  <si>
    <t>0722410016</t>
  </si>
  <si>
    <t>0722409034</t>
  </si>
  <si>
    <t>0722409030</t>
  </si>
  <si>
    <t>0722410018</t>
  </si>
  <si>
    <t>0722410020</t>
  </si>
  <si>
    <t>0722410027</t>
  </si>
  <si>
    <t>0722409029</t>
  </si>
  <si>
    <t>0722410029</t>
  </si>
  <si>
    <t>0722410028</t>
  </si>
  <si>
    <t>0722410026</t>
  </si>
  <si>
    <t>0722410021</t>
  </si>
  <si>
    <t>0722410019</t>
  </si>
  <si>
    <t>0832114049</t>
  </si>
  <si>
    <t>0722410031</t>
  </si>
  <si>
    <t>0832104067</t>
  </si>
  <si>
    <t>0832104061</t>
  </si>
  <si>
    <t>0832104070</t>
  </si>
  <si>
    <t>0832114024</t>
  </si>
  <si>
    <t>0832104064</t>
  </si>
  <si>
    <t>0832104065</t>
  </si>
  <si>
    <t>0832104078</t>
  </si>
  <si>
    <t>0832104074</t>
  </si>
  <si>
    <t>0832104071</t>
  </si>
  <si>
    <t>0832104062</t>
  </si>
  <si>
    <t>0712403005</t>
  </si>
  <si>
    <t>0722407024</t>
  </si>
  <si>
    <t>0818206065</t>
  </si>
  <si>
    <t>0713415019</t>
  </si>
  <si>
    <t>0713415031</t>
  </si>
  <si>
    <t>0713415027</t>
  </si>
  <si>
    <t>0818136001</t>
  </si>
  <si>
    <t>0818315003</t>
  </si>
  <si>
    <t>0818409011</t>
  </si>
  <si>
    <t>0724202006</t>
  </si>
  <si>
    <t>0818212001</t>
  </si>
  <si>
    <t>0818206066</t>
  </si>
  <si>
    <t>0807415002</t>
  </si>
  <si>
    <t>0709311065</t>
  </si>
  <si>
    <t>0807313002</t>
  </si>
  <si>
    <t>0818122001</t>
  </si>
  <si>
    <t>0713413009</t>
  </si>
  <si>
    <t>0818319015</t>
  </si>
  <si>
    <t>0713106003</t>
  </si>
  <si>
    <t>0709109028</t>
  </si>
  <si>
    <t>0818323004</t>
  </si>
  <si>
    <t>0818322007</t>
  </si>
  <si>
    <t>0713224019</t>
  </si>
  <si>
    <t>0818132006</t>
  </si>
  <si>
    <t>0818410005</t>
  </si>
  <si>
    <t>0818315005</t>
  </si>
  <si>
    <t>0818110004</t>
  </si>
  <si>
    <t>0818321013</t>
  </si>
  <si>
    <t>0818323005</t>
  </si>
  <si>
    <t>0724202025</t>
  </si>
  <si>
    <t>0709102037</t>
  </si>
  <si>
    <t>0818310004</t>
  </si>
  <si>
    <t>0713224021</t>
  </si>
  <si>
    <t>0818417041</t>
  </si>
  <si>
    <t>0818313013</t>
  </si>
  <si>
    <t>0709311066</t>
  </si>
  <si>
    <t>0709311090</t>
  </si>
  <si>
    <t>0818133001</t>
  </si>
  <si>
    <t>0818322001</t>
  </si>
  <si>
    <t>0818321001</t>
  </si>
  <si>
    <t>0818321003</t>
  </si>
  <si>
    <t>0818321017</t>
  </si>
  <si>
    <t>0709109026</t>
  </si>
  <si>
    <t>0713416022</t>
  </si>
  <si>
    <t>0818319012</t>
  </si>
  <si>
    <t>0709105015</t>
  </si>
  <si>
    <t>0818316010</t>
  </si>
  <si>
    <t>0713311014</t>
  </si>
  <si>
    <t>0807310030</t>
  </si>
  <si>
    <t>0709311099</t>
  </si>
  <si>
    <t>0818203001</t>
  </si>
  <si>
    <t>0724203031</t>
  </si>
  <si>
    <t>0709105029</t>
  </si>
  <si>
    <t>0713410015</t>
  </si>
  <si>
    <t>0818206053</t>
  </si>
  <si>
    <t>0807310031</t>
  </si>
  <si>
    <t>0818410008</t>
  </si>
  <si>
    <t>0818118003</t>
  </si>
  <si>
    <t>0713415018</t>
  </si>
  <si>
    <t>0709105030</t>
  </si>
  <si>
    <t>0713415030</t>
  </si>
  <si>
    <t>0713415013</t>
  </si>
  <si>
    <t>0713415028</t>
  </si>
  <si>
    <t>0818403008</t>
  </si>
  <si>
    <t>0818118004</t>
  </si>
  <si>
    <t>0818132015</t>
  </si>
  <si>
    <t>0709311093</t>
  </si>
  <si>
    <t>0818409004</t>
  </si>
  <si>
    <t>0713311015</t>
  </si>
  <si>
    <t>0712102008</t>
  </si>
  <si>
    <t>0807311007</t>
  </si>
  <si>
    <t>0709311063</t>
  </si>
  <si>
    <t>0807311031</t>
  </si>
  <si>
    <t>0818328023</t>
  </si>
  <si>
    <t>0713103022</t>
  </si>
  <si>
    <t>0713314009</t>
  </si>
  <si>
    <t>0709311091</t>
  </si>
  <si>
    <t>0709110003</t>
  </si>
  <si>
    <t>0713101017</t>
  </si>
  <si>
    <t>0818328024</t>
  </si>
  <si>
    <t>0709109016</t>
  </si>
  <si>
    <t>0709109048</t>
  </si>
  <si>
    <t>0709109046</t>
  </si>
  <si>
    <t>0818316007</t>
  </si>
  <si>
    <t>0713224018</t>
  </si>
  <si>
    <t>0713304001</t>
  </si>
  <si>
    <t>0807314001</t>
  </si>
  <si>
    <t>0709111005</t>
  </si>
  <si>
    <t>0713401010</t>
  </si>
  <si>
    <t>0818316012</t>
  </si>
  <si>
    <t>0709110002</t>
  </si>
  <si>
    <t>0709110015</t>
  </si>
  <si>
    <t>0709311067</t>
  </si>
  <si>
    <t>0713415017</t>
  </si>
  <si>
    <t>0712102005</t>
  </si>
  <si>
    <t>0709102020</t>
  </si>
  <si>
    <t>0709105019</t>
  </si>
  <si>
    <t>0818417037</t>
  </si>
  <si>
    <t>0709109047</t>
  </si>
  <si>
    <t>0709105014</t>
  </si>
  <si>
    <t>0807310025</t>
  </si>
  <si>
    <t>0709105018</t>
  </si>
  <si>
    <t>0709102040</t>
  </si>
  <si>
    <t>0713314010</t>
  </si>
  <si>
    <t>0709114004</t>
  </si>
  <si>
    <t>0709105023</t>
  </si>
  <si>
    <t>0818137007</t>
  </si>
  <si>
    <t>0818317014</t>
  </si>
  <si>
    <t>0818317016</t>
  </si>
  <si>
    <t>0709102039</t>
  </si>
  <si>
    <t>0713415007</t>
  </si>
  <si>
    <t>0818139006</t>
  </si>
  <si>
    <t>0818137005</t>
  </si>
  <si>
    <t>0818136012</t>
  </si>
  <si>
    <t>0709105031</t>
  </si>
  <si>
    <t>0709110008</t>
  </si>
  <si>
    <t>0818321011</t>
  </si>
  <si>
    <t>0818321012</t>
  </si>
  <si>
    <t>0818314014</t>
  </si>
  <si>
    <t>0709113004</t>
  </si>
  <si>
    <t>0818118002</t>
  </si>
  <si>
    <t>0713305004</t>
  </si>
  <si>
    <t>0807310011</t>
  </si>
  <si>
    <t>0709311098</t>
  </si>
  <si>
    <t>0724202024</t>
  </si>
  <si>
    <t>0713304005</t>
  </si>
  <si>
    <t>0818301017</t>
  </si>
  <si>
    <t>0709311095</t>
  </si>
  <si>
    <t>0713425001</t>
  </si>
  <si>
    <t>0818409010</t>
  </si>
  <si>
    <t>0818318006</t>
  </si>
  <si>
    <t>0713425003</t>
  </si>
  <si>
    <t>0713425002</t>
  </si>
  <si>
    <t>0818118001</t>
  </si>
  <si>
    <t>0807310009</t>
  </si>
  <si>
    <t>0709102036</t>
  </si>
  <si>
    <t>0818106012</t>
  </si>
  <si>
    <t>0532300062</t>
  </si>
  <si>
    <t>0818130004</t>
  </si>
  <si>
    <t>0818323002</t>
  </si>
  <si>
    <t>0818323003</t>
  </si>
  <si>
    <t>0807310008</t>
  </si>
  <si>
    <t>0818106010</t>
  </si>
  <si>
    <t>0807313008</t>
  </si>
  <si>
    <t>0818209011</t>
  </si>
  <si>
    <t>0818408003</t>
  </si>
  <si>
    <t>0713426016</t>
  </si>
  <si>
    <t>0818408005</t>
  </si>
  <si>
    <t>0807310007</t>
  </si>
  <si>
    <t>0713427006</t>
  </si>
  <si>
    <t>0713426004</t>
  </si>
  <si>
    <t>0713426005</t>
  </si>
  <si>
    <t>0818404005</t>
  </si>
  <si>
    <t>0713403012</t>
  </si>
  <si>
    <t>0713403001</t>
  </si>
  <si>
    <t>0818404011</t>
  </si>
  <si>
    <t>0713403009</t>
  </si>
  <si>
    <t>0709105016</t>
  </si>
  <si>
    <t>0818411010</t>
  </si>
  <si>
    <t>0709113002</t>
  </si>
  <si>
    <t>0712102007</t>
  </si>
  <si>
    <t>0709105032</t>
  </si>
  <si>
    <t>0713311008</t>
  </si>
  <si>
    <t>0713311009</t>
  </si>
  <si>
    <t>0713401004</t>
  </si>
  <si>
    <t>0713223004</t>
  </si>
  <si>
    <t>0713223003</t>
  </si>
  <si>
    <t>0713223002</t>
  </si>
  <si>
    <t>0713401003</t>
  </si>
  <si>
    <t>0713223001</t>
  </si>
  <si>
    <t>0818310003</t>
  </si>
  <si>
    <t>0713402006</t>
  </si>
  <si>
    <t>0713402011</t>
  </si>
  <si>
    <t>0713402007</t>
  </si>
  <si>
    <t>0713402008</t>
  </si>
  <si>
    <t>0818312003</t>
  </si>
  <si>
    <t>0818211017</t>
  </si>
  <si>
    <t>0818311008</t>
  </si>
  <si>
    <t>0713311003</t>
  </si>
  <si>
    <t>0713311001</t>
  </si>
  <si>
    <t>0713311023</t>
  </si>
  <si>
    <t>0713311004</t>
  </si>
  <si>
    <t>0709102038</t>
  </si>
  <si>
    <t>0709311092</t>
  </si>
  <si>
    <t>0713417004</t>
  </si>
  <si>
    <t>0713416023</t>
  </si>
  <si>
    <t>0713415024</t>
  </si>
  <si>
    <t>0713417003</t>
  </si>
  <si>
    <t>0818112016</t>
  </si>
  <si>
    <t>0713415025</t>
  </si>
  <si>
    <t>0713416021</t>
  </si>
  <si>
    <t>0713415021</t>
  </si>
  <si>
    <t>0713417012</t>
  </si>
  <si>
    <t>0713217018</t>
  </si>
  <si>
    <t>0713217016</t>
  </si>
  <si>
    <t>0713217017</t>
  </si>
  <si>
    <t>0713417011</t>
  </si>
  <si>
    <t>0709109049</t>
  </si>
  <si>
    <t>0724204010</t>
  </si>
  <si>
    <t>0709311097</t>
  </si>
  <si>
    <t>0532305003</t>
  </si>
  <si>
    <t>0713103023</t>
  </si>
  <si>
    <t>0532300055</t>
  </si>
  <si>
    <t>0724203032</t>
  </si>
  <si>
    <t>0709311086</t>
  </si>
  <si>
    <t>0709311087</t>
  </si>
  <si>
    <t>0709311088</t>
  </si>
  <si>
    <t>0713417005</t>
  </si>
  <si>
    <t>0818410011</t>
  </si>
  <si>
    <t>0818410012</t>
  </si>
  <si>
    <t>0712102006</t>
  </si>
  <si>
    <t>0709311096</t>
  </si>
  <si>
    <t>0709110009</t>
  </si>
  <si>
    <t>0709112008</t>
  </si>
  <si>
    <t>0709102031</t>
  </si>
  <si>
    <t>0818321002</t>
  </si>
  <si>
    <t>0709105024</t>
  </si>
  <si>
    <t>0818108006</t>
  </si>
  <si>
    <t>0818206062</t>
  </si>
  <si>
    <t>0713312007</t>
  </si>
  <si>
    <t>0532300063</t>
  </si>
  <si>
    <t>0807316004</t>
  </si>
  <si>
    <t>0709102021</t>
  </si>
  <si>
    <t>0818133003</t>
  </si>
  <si>
    <t>0713101019</t>
  </si>
  <si>
    <t>0818139022</t>
  </si>
  <si>
    <t>0532300073</t>
  </si>
  <si>
    <t>0709111001</t>
  </si>
  <si>
    <t>0807316005</t>
  </si>
  <si>
    <t>0709105020</t>
  </si>
  <si>
    <t>0818200004</t>
  </si>
  <si>
    <t>0818200005</t>
  </si>
  <si>
    <t>0818200006</t>
  </si>
  <si>
    <t>0709107020</t>
  </si>
  <si>
    <t>0818107002</t>
  </si>
  <si>
    <t>0818200007</t>
  </si>
  <si>
    <t>0709311064</t>
  </si>
  <si>
    <t>0818200008</t>
  </si>
  <si>
    <t>0532300060</t>
  </si>
  <si>
    <t>0709112013</t>
  </si>
  <si>
    <t>0532300045</t>
  </si>
  <si>
    <t>0807316006</t>
  </si>
  <si>
    <t>0713304002</t>
  </si>
  <si>
    <t>0713101018</t>
  </si>
  <si>
    <t>0818139021</t>
  </si>
  <si>
    <t>0713407015</t>
  </si>
  <si>
    <t>0807317014</t>
  </si>
  <si>
    <t>0709114003</t>
  </si>
  <si>
    <t>0713413008</t>
  </si>
  <si>
    <t>0709105049</t>
  </si>
  <si>
    <t>0807316007</t>
  </si>
  <si>
    <t>0532300108</t>
  </si>
  <si>
    <t>0709105021</t>
  </si>
  <si>
    <t>0713304014</t>
  </si>
  <si>
    <t>0818130003</t>
  </si>
  <si>
    <t>0709114002</t>
  </si>
  <si>
    <t>0818114003</t>
  </si>
  <si>
    <t>0818114004</t>
  </si>
  <si>
    <t>0709107016</t>
  </si>
  <si>
    <t>0709112007</t>
  </si>
  <si>
    <t>0709110014</t>
  </si>
  <si>
    <t>0532300044</t>
  </si>
  <si>
    <t>0709107006</t>
  </si>
  <si>
    <t>0709107017</t>
  </si>
  <si>
    <t>0818206060</t>
  </si>
  <si>
    <t>0709311038</t>
  </si>
  <si>
    <t>0713106026</t>
  </si>
  <si>
    <t>0709109044</t>
  </si>
  <si>
    <t>0807316008</t>
  </si>
  <si>
    <t>0709311094</t>
  </si>
  <si>
    <t>0818206061</t>
  </si>
  <si>
    <t>0724203024</t>
  </si>
  <si>
    <t>0818206063</t>
  </si>
  <si>
    <t>0807310003</t>
  </si>
  <si>
    <t>0818300003</t>
  </si>
  <si>
    <t>0532300061</t>
  </si>
  <si>
    <t>0818206064</t>
  </si>
  <si>
    <t>0709109061</t>
  </si>
  <si>
    <t>0532300072</t>
  </si>
  <si>
    <t>0818321018</t>
  </si>
  <si>
    <t>0713401011</t>
  </si>
  <si>
    <t>0807316009</t>
  </si>
  <si>
    <t>0713415029</t>
  </si>
  <si>
    <t>0709305043</t>
  </si>
  <si>
    <t>0709114014</t>
  </si>
  <si>
    <t>0818319007</t>
  </si>
  <si>
    <t>0713416018</t>
  </si>
  <si>
    <t>0713222016</t>
  </si>
  <si>
    <t>0709107005</t>
  </si>
  <si>
    <t>0818114001</t>
  </si>
  <si>
    <t>0713103024</t>
  </si>
  <si>
    <t>0709112010</t>
  </si>
  <si>
    <t>0709311071</t>
  </si>
  <si>
    <t>0532300043</t>
  </si>
  <si>
    <t>0818411021</t>
  </si>
  <si>
    <t>0532300056</t>
  </si>
  <si>
    <t>0532304004</t>
  </si>
  <si>
    <t>0532300054</t>
  </si>
  <si>
    <t>0818139014</t>
  </si>
  <si>
    <t>0818131033</t>
  </si>
  <si>
    <t>0818114002</t>
  </si>
  <si>
    <t>0709108006</t>
  </si>
  <si>
    <t>0532302004</t>
  </si>
  <si>
    <t>0818107003</t>
  </si>
  <si>
    <t>0724204011</t>
  </si>
  <si>
    <t>0709311062</t>
  </si>
  <si>
    <t>0713416029</t>
  </si>
  <si>
    <t>0713416002</t>
  </si>
  <si>
    <t>0818131028</t>
  </si>
  <si>
    <t>0709114006</t>
  </si>
  <si>
    <t>0709102022</t>
  </si>
  <si>
    <t>0818116014</t>
  </si>
  <si>
    <t>0709311089</t>
  </si>
  <si>
    <t>0709105033</t>
  </si>
  <si>
    <t>0709105028</t>
  </si>
  <si>
    <t>0709102030</t>
  </si>
  <si>
    <t>0713408016</t>
  </si>
  <si>
    <t>0709311056</t>
  </si>
  <si>
    <t>0709105022</t>
  </si>
  <si>
    <t>0818115002</t>
  </si>
  <si>
    <t>0713312006</t>
  </si>
  <si>
    <t>0709311057</t>
  </si>
  <si>
    <t>0818122005</t>
  </si>
  <si>
    <t>0709113007</t>
  </si>
  <si>
    <t>0818116008</t>
  </si>
  <si>
    <t>0818206056</t>
  </si>
  <si>
    <t>0818206057</t>
  </si>
  <si>
    <t>0818206058</t>
  </si>
  <si>
    <t>0818204003</t>
  </si>
  <si>
    <t>0818301018</t>
  </si>
  <si>
    <t>0724203022</t>
  </si>
  <si>
    <t>0709108003</t>
  </si>
  <si>
    <t>0818204011</t>
  </si>
  <si>
    <t>0818204009</t>
  </si>
  <si>
    <t>0713101021</t>
  </si>
  <si>
    <t>0818204008</t>
  </si>
  <si>
    <t>0532300074</t>
  </si>
  <si>
    <t>0818204007</t>
  </si>
  <si>
    <t>0818112009</t>
  </si>
  <si>
    <t>0818112010</t>
  </si>
  <si>
    <t>0818115003</t>
  </si>
  <si>
    <t>0818314005</t>
  </si>
  <si>
    <t>0724202023</t>
  </si>
  <si>
    <t>0724203008</t>
  </si>
  <si>
    <t>0724203007</t>
  </si>
  <si>
    <t>0724203019</t>
  </si>
  <si>
    <t>0818136013</t>
  </si>
  <si>
    <t>0709105017</t>
  </si>
  <si>
    <t>0709311040</t>
  </si>
  <si>
    <t>0709114007</t>
  </si>
  <si>
    <t>0818206054</t>
  </si>
  <si>
    <t>0724203023</t>
  </si>
  <si>
    <t>0818206055</t>
  </si>
  <si>
    <t>0532305001</t>
  </si>
  <si>
    <t>0709114029</t>
  </si>
  <si>
    <t>0709110012</t>
  </si>
  <si>
    <t>0818115004</t>
  </si>
  <si>
    <t>0532300066</t>
  </si>
  <si>
    <t>0713103025</t>
  </si>
  <si>
    <t>0709109051</t>
  </si>
  <si>
    <t>0713314001</t>
  </si>
  <si>
    <t>0709305027</t>
  </si>
  <si>
    <t>0709113005</t>
  </si>
  <si>
    <t>0818132005</t>
  </si>
  <si>
    <t>0713103026</t>
  </si>
  <si>
    <t>0818401010</t>
  </si>
  <si>
    <t>0713101020</t>
  </si>
  <si>
    <t>0818314015</t>
  </si>
  <si>
    <t>0709112009</t>
  </si>
  <si>
    <t>0709102033</t>
  </si>
  <si>
    <t>0709113003</t>
  </si>
  <si>
    <t>0818318001</t>
  </si>
  <si>
    <t>0818116010</t>
  </si>
  <si>
    <t>0709110013</t>
  </si>
  <si>
    <t>0709105039</t>
  </si>
  <si>
    <t>0713414002</t>
  </si>
  <si>
    <t>0818115005</t>
  </si>
  <si>
    <t>0818322016</t>
  </si>
  <si>
    <t>0818400012</t>
  </si>
  <si>
    <t>0709112001</t>
  </si>
  <si>
    <t>0709114012</t>
  </si>
  <si>
    <t>0713314003</t>
  </si>
  <si>
    <t>0818206059</t>
  </si>
  <si>
    <t>0818408001</t>
  </si>
  <si>
    <t>0807310017</t>
  </si>
  <si>
    <t>0818131032</t>
  </si>
  <si>
    <t>0818311010</t>
  </si>
  <si>
    <t>0709113001</t>
  </si>
  <si>
    <t>0818411018</t>
  </si>
  <si>
    <t>0713312001</t>
  </si>
  <si>
    <t>0818316009</t>
  </si>
  <si>
    <t>0709102035</t>
  </si>
  <si>
    <t>0713216015</t>
  </si>
  <si>
    <t>0818400021</t>
  </si>
  <si>
    <t>0532300053</t>
  </si>
  <si>
    <t>0818115006</t>
  </si>
  <si>
    <t>0818402008</t>
  </si>
  <si>
    <t>0709112006</t>
  </si>
  <si>
    <t>0709311055</t>
  </si>
  <si>
    <t>0807313004</t>
  </si>
  <si>
    <t>0709311068</t>
  </si>
  <si>
    <t>0807310032</t>
  </si>
  <si>
    <t>0713400004</t>
  </si>
  <si>
    <t>0532300046</t>
  </si>
  <si>
    <t>0532300049</t>
  </si>
  <si>
    <t>0532300048</t>
  </si>
  <si>
    <t>0709311041</t>
  </si>
  <si>
    <t>0713413005</t>
  </si>
  <si>
    <t>0709102023</t>
  </si>
  <si>
    <t>0818136014</t>
  </si>
  <si>
    <t>0818136009</t>
  </si>
  <si>
    <t>0532303011</t>
  </si>
  <si>
    <t>0818143001</t>
  </si>
  <si>
    <t>0713103014</t>
  </si>
  <si>
    <t>0713409008</t>
  </si>
  <si>
    <t>0713409014</t>
  </si>
  <si>
    <t>0713409005</t>
  </si>
  <si>
    <t>0713409001</t>
  </si>
  <si>
    <t>0713409012</t>
  </si>
  <si>
    <t>0713409011</t>
  </si>
  <si>
    <t>0713407011</t>
  </si>
  <si>
    <t>0713222007</t>
  </si>
  <si>
    <t>0713407007</t>
  </si>
  <si>
    <t>0713407002</t>
  </si>
  <si>
    <t>0713407006</t>
  </si>
  <si>
    <t>0713407004</t>
  </si>
  <si>
    <t>0713407013</t>
  </si>
  <si>
    <t>0713407012</t>
  </si>
  <si>
    <t>0713407016</t>
  </si>
  <si>
    <t>0713407001</t>
  </si>
  <si>
    <t>0713407003</t>
  </si>
  <si>
    <t>0713408008</t>
  </si>
  <si>
    <t>0713408010</t>
  </si>
  <si>
    <t>0713408004</t>
  </si>
  <si>
    <t>0713408005</t>
  </si>
  <si>
    <t>0713408007</t>
  </si>
  <si>
    <t>0713221002</t>
  </si>
  <si>
    <t>0818401011</t>
  </si>
  <si>
    <t>0818140006</t>
  </si>
  <si>
    <t>0818115007</t>
  </si>
  <si>
    <t>0709109029</t>
  </si>
  <si>
    <t>0713411003</t>
  </si>
  <si>
    <t>0713411004</t>
  </si>
  <si>
    <t>0818139004</t>
  </si>
  <si>
    <t>0709108007</t>
  </si>
  <si>
    <t>0713220008</t>
  </si>
  <si>
    <t>0713415006</t>
  </si>
  <si>
    <t>0532300076</t>
  </si>
  <si>
    <t>0709112005</t>
  </si>
  <si>
    <t>0713106016</t>
  </si>
  <si>
    <t>0713421007</t>
  </si>
  <si>
    <t>0713415002</t>
  </si>
  <si>
    <t>0713415001</t>
  </si>
  <si>
    <t>0818139008</t>
  </si>
  <si>
    <t>0818136017</t>
  </si>
  <si>
    <t>0818139007</t>
  </si>
  <si>
    <t>0807310021</t>
  </si>
  <si>
    <t>0807316018</t>
  </si>
  <si>
    <t>0709108002</t>
  </si>
  <si>
    <t>0532301009</t>
  </si>
  <si>
    <t>0807316017</t>
  </si>
  <si>
    <t>0807316016</t>
  </si>
  <si>
    <t>0713224014</t>
  </si>
  <si>
    <t>0807316015</t>
  </si>
  <si>
    <t>0807316014</t>
  </si>
  <si>
    <t>0713220007</t>
  </si>
  <si>
    <t>0532300039</t>
  </si>
  <si>
    <t>0532301001</t>
  </si>
  <si>
    <t>0532300068</t>
  </si>
  <si>
    <t>0807316013</t>
  </si>
  <si>
    <t>0713413002</t>
  </si>
  <si>
    <t>0818302012</t>
  </si>
  <si>
    <t>0532300042</t>
  </si>
  <si>
    <t>0713221005</t>
  </si>
  <si>
    <t>0532300071</t>
  </si>
  <si>
    <t>0713413003</t>
  </si>
  <si>
    <t>0713107008</t>
  </si>
  <si>
    <t>0532301004</t>
  </si>
  <si>
    <t>0709105038</t>
  </si>
  <si>
    <t>0807311014</t>
  </si>
  <si>
    <t>0818122004</t>
  </si>
  <si>
    <t>0713417010</t>
  </si>
  <si>
    <t>0709311059</t>
  </si>
  <si>
    <t>0709112011</t>
  </si>
  <si>
    <t>0532300059</t>
  </si>
  <si>
    <t>0713225003</t>
  </si>
  <si>
    <t>0713225012</t>
  </si>
  <si>
    <t>0709114027</t>
  </si>
  <si>
    <t>0709114005</t>
  </si>
  <si>
    <t>0818203005</t>
  </si>
  <si>
    <t>0713225004</t>
  </si>
  <si>
    <t>0713225013</t>
  </si>
  <si>
    <t>0818406005</t>
  </si>
  <si>
    <t>0709114020</t>
  </si>
  <si>
    <t>0713225014</t>
  </si>
  <si>
    <t>0818406001</t>
  </si>
  <si>
    <t>0713225015</t>
  </si>
  <si>
    <t>0709105037</t>
  </si>
  <si>
    <t>0709105036</t>
  </si>
  <si>
    <t>0713225016</t>
  </si>
  <si>
    <t>0532302002</t>
  </si>
  <si>
    <t>0713225017</t>
  </si>
  <si>
    <t>0532303005</t>
  </si>
  <si>
    <t>0709105048</t>
  </si>
  <si>
    <t>0709105027</t>
  </si>
  <si>
    <t>0713316005</t>
  </si>
  <si>
    <t>0709105040</t>
  </si>
  <si>
    <t>0818405005</t>
  </si>
  <si>
    <t>0807318009</t>
  </si>
  <si>
    <t>0807311012</t>
  </si>
  <si>
    <t>0532307001</t>
  </si>
  <si>
    <t>0818405001</t>
  </si>
  <si>
    <t>0807311011</t>
  </si>
  <si>
    <t>0818404010</t>
  </si>
  <si>
    <t>0713220005</t>
  </si>
  <si>
    <t>0807311021</t>
  </si>
  <si>
    <t>0818404006</t>
  </si>
  <si>
    <t>0709311039</t>
  </si>
  <si>
    <t>0713400001</t>
  </si>
  <si>
    <t>0807311008</t>
  </si>
  <si>
    <t>0807311018</t>
  </si>
  <si>
    <t>0713403019</t>
  </si>
  <si>
    <t>0713222014</t>
  </si>
  <si>
    <t>0807311017</t>
  </si>
  <si>
    <t>0713222013</t>
  </si>
  <si>
    <t>0807311016</t>
  </si>
  <si>
    <t>0818140007</t>
  </si>
  <si>
    <t>0807311015</t>
  </si>
  <si>
    <t>0818129001</t>
  </si>
  <si>
    <t>0532303006</t>
  </si>
  <si>
    <t>0818126001</t>
  </si>
  <si>
    <t>0807317009</t>
  </si>
  <si>
    <t>0709114019</t>
  </si>
  <si>
    <t>0713225019</t>
  </si>
  <si>
    <t>0709112004</t>
  </si>
  <si>
    <t>0709112002</t>
  </si>
  <si>
    <t>0713221001</t>
  </si>
  <si>
    <t>0818412001</t>
  </si>
  <si>
    <t>0713217026</t>
  </si>
  <si>
    <t>0713410016</t>
  </si>
  <si>
    <t>0709112003</t>
  </si>
  <si>
    <t>0807318005</t>
  </si>
  <si>
    <t>0807318007</t>
  </si>
  <si>
    <t>0807318008</t>
  </si>
  <si>
    <t>0709311070</t>
  </si>
  <si>
    <t>0807318012</t>
  </si>
  <si>
    <t>0818411012</t>
  </si>
  <si>
    <t>0818115013</t>
  </si>
  <si>
    <t>0807317011</t>
  </si>
  <si>
    <t>0807317005</t>
  </si>
  <si>
    <t>0807317012</t>
  </si>
  <si>
    <t>0807317006</t>
  </si>
  <si>
    <t>0807317008</t>
  </si>
  <si>
    <t>0713416028</t>
  </si>
  <si>
    <t>0709111006</t>
  </si>
  <si>
    <t>0818322002</t>
  </si>
  <si>
    <t>0713107005</t>
  </si>
  <si>
    <t>0709109050</t>
  </si>
  <si>
    <t>0818209004</t>
  </si>
  <si>
    <t>0713107006</t>
  </si>
  <si>
    <t>0818205001</t>
  </si>
  <si>
    <t>0713107007</t>
  </si>
  <si>
    <t>0709112012</t>
  </si>
  <si>
    <t>0709109025</t>
  </si>
  <si>
    <t>0532301005</t>
  </si>
  <si>
    <t>0818401012</t>
  </si>
  <si>
    <t>0709110011</t>
  </si>
  <si>
    <t>0709107025</t>
  </si>
  <si>
    <t>0709114016</t>
  </si>
  <si>
    <t>0818136016</t>
  </si>
  <si>
    <t>0818408006</t>
  </si>
  <si>
    <t>0709105041</t>
  </si>
  <si>
    <t>0724204003</t>
  </si>
  <si>
    <t>0713107001</t>
  </si>
  <si>
    <t>0713416027</t>
  </si>
  <si>
    <t>0713217022</t>
  </si>
  <si>
    <t>0818319014</t>
  </si>
  <si>
    <t>0709114013</t>
  </si>
  <si>
    <t>0713107002</t>
  </si>
  <si>
    <t>0709110022</t>
  </si>
  <si>
    <t>0724204004</t>
  </si>
  <si>
    <t>0532303001</t>
  </si>
  <si>
    <t>0713220006</t>
  </si>
  <si>
    <t>0532300052</t>
  </si>
  <si>
    <t>0724204005</t>
  </si>
  <si>
    <t>0709109030</t>
  </si>
  <si>
    <t>0532300050</t>
  </si>
  <si>
    <t>0709102025</t>
  </si>
  <si>
    <t>0709102024</t>
  </si>
  <si>
    <t>0532300077</t>
  </si>
  <si>
    <t>0818112001</t>
  </si>
  <si>
    <t>0709102026</t>
  </si>
  <si>
    <t>0709108001</t>
  </si>
  <si>
    <t>0709102034</t>
  </si>
  <si>
    <t>0532302005</t>
  </si>
  <si>
    <t>0713401009</t>
  </si>
  <si>
    <t>0532300036</t>
  </si>
  <si>
    <t>0532302003</t>
  </si>
  <si>
    <t>0713408003</t>
  </si>
  <si>
    <t>0709102027</t>
  </si>
  <si>
    <t>0807416030</t>
  </si>
  <si>
    <t>0532303002</t>
  </si>
  <si>
    <t>0532304001</t>
  </si>
  <si>
    <t>0709114015</t>
  </si>
  <si>
    <t>0709311075</t>
  </si>
  <si>
    <t>0709107024</t>
  </si>
  <si>
    <t>0709107021</t>
  </si>
  <si>
    <t>0724203021</t>
  </si>
  <si>
    <t>0713312004</t>
  </si>
  <si>
    <t>0818301002</t>
  </si>
  <si>
    <t>0709113008</t>
  </si>
  <si>
    <t>0532302014</t>
  </si>
  <si>
    <t>0532300019</t>
  </si>
  <si>
    <t>0709311058</t>
  </si>
  <si>
    <t>0709105025</t>
  </si>
  <si>
    <t>0709109024</t>
  </si>
  <si>
    <t>0709105026</t>
  </si>
  <si>
    <t>0818106006</t>
  </si>
  <si>
    <t>0709109018</t>
  </si>
  <si>
    <t>0713403007</t>
  </si>
  <si>
    <t>0807312011</t>
  </si>
  <si>
    <t>0709107015</t>
  </si>
  <si>
    <t>0709108005</t>
  </si>
  <si>
    <t>0532304002</t>
  </si>
  <si>
    <t>0713305001</t>
  </si>
  <si>
    <t>0709105045</t>
  </si>
  <si>
    <t>0709105047</t>
  </si>
  <si>
    <t>0709105046</t>
  </si>
  <si>
    <t>0709105043</t>
  </si>
  <si>
    <t>0709105044</t>
  </si>
  <si>
    <t>0709105042</t>
  </si>
  <si>
    <t>0709114025</t>
  </si>
  <si>
    <t>0532303007</t>
  </si>
  <si>
    <t>0709114026</t>
  </si>
  <si>
    <t>0709114022</t>
  </si>
  <si>
    <t>0709114024</t>
  </si>
  <si>
    <t>0709113006</t>
  </si>
  <si>
    <t>0709114028</t>
  </si>
  <si>
    <t>0709114021</t>
  </si>
  <si>
    <t>0818322015</t>
  </si>
  <si>
    <t>0709114023</t>
  </si>
  <si>
    <t>0709114017</t>
  </si>
  <si>
    <t>0709311054</t>
  </si>
  <si>
    <t>0709114018</t>
  </si>
  <si>
    <t>0709311052</t>
  </si>
  <si>
    <t>0709311050</t>
  </si>
  <si>
    <t>0709311049</t>
  </si>
  <si>
    <t>0709311051</t>
  </si>
  <si>
    <t>0709111002</t>
  </si>
  <si>
    <t>0709311053</t>
  </si>
  <si>
    <t>0709311047</t>
  </si>
  <si>
    <t>0709311045</t>
  </si>
  <si>
    <t>0709311046</t>
  </si>
  <si>
    <t>0709311044</t>
  </si>
  <si>
    <t>0709311048</t>
  </si>
  <si>
    <t>0709311042</t>
  </si>
  <si>
    <t>0709311043</t>
  </si>
  <si>
    <t>0818115012</t>
  </si>
  <si>
    <t>0709311074</t>
  </si>
  <si>
    <t>0709102029</t>
  </si>
  <si>
    <t>0709102028</t>
  </si>
  <si>
    <t>0724204007</t>
  </si>
  <si>
    <t>0713409013</t>
  </si>
  <si>
    <t>0709109017</t>
  </si>
  <si>
    <t>0818316005</t>
  </si>
  <si>
    <t>0724204008</t>
  </si>
  <si>
    <t>0532305007</t>
  </si>
  <si>
    <t>0532305004</t>
  </si>
  <si>
    <t>0709110001</t>
  </si>
  <si>
    <t>0724204009</t>
  </si>
  <si>
    <t>0709107022</t>
  </si>
  <si>
    <t>0709305045</t>
  </si>
  <si>
    <t>0818137006</t>
  </si>
  <si>
    <t>0818137009</t>
  </si>
  <si>
    <t>0709110023</t>
  </si>
  <si>
    <t>0818140005</t>
  </si>
  <si>
    <t>0818317003</t>
  </si>
  <si>
    <t>0709110024</t>
  </si>
  <si>
    <t>0709110025</t>
  </si>
  <si>
    <t>0532300035</t>
  </si>
  <si>
    <t>0818140004</t>
  </si>
  <si>
    <t>0532301008</t>
  </si>
  <si>
    <t>0532301003</t>
  </si>
  <si>
    <t>0532301002</t>
  </si>
  <si>
    <t>0532300069</t>
  </si>
  <si>
    <t>0532300047</t>
  </si>
  <si>
    <t>0532300041</t>
  </si>
  <si>
    <t>0532300040</t>
  </si>
  <si>
    <t>0532301007</t>
  </si>
  <si>
    <t>0713442018</t>
  </si>
  <si>
    <t>0532300070</t>
  </si>
  <si>
    <t>0532300064</t>
  </si>
  <si>
    <t>0818140003</t>
  </si>
  <si>
    <t>0532300065</t>
  </si>
  <si>
    <t>0807312010</t>
  </si>
  <si>
    <t>0818300002</t>
  </si>
  <si>
    <t>0818132003</t>
  </si>
  <si>
    <t>0532300058</t>
  </si>
  <si>
    <t>0724204006</t>
  </si>
  <si>
    <t>0532300057</t>
  </si>
  <si>
    <t>0532300075</t>
  </si>
  <si>
    <t>0818401016</t>
  </si>
  <si>
    <t>0818401017</t>
  </si>
  <si>
    <t>0818401018</t>
  </si>
  <si>
    <t>0709107007</t>
  </si>
  <si>
    <t>0818401002</t>
  </si>
  <si>
    <t>0818314010</t>
  </si>
  <si>
    <t>0818139010</t>
  </si>
  <si>
    <t>0818139011</t>
  </si>
  <si>
    <t>0818401003</t>
  </si>
  <si>
    <t>0818108004</t>
  </si>
  <si>
    <t>0818401005</t>
  </si>
  <si>
    <t>0818401007</t>
  </si>
  <si>
    <t>0818401006</t>
  </si>
  <si>
    <t>0807310012</t>
  </si>
  <si>
    <t>0818401008</t>
  </si>
  <si>
    <t>0709311073</t>
  </si>
  <si>
    <t>0709109019</t>
  </si>
  <si>
    <t>0709109020</t>
  </si>
  <si>
    <t>0818108007</t>
  </si>
  <si>
    <t>0709109023</t>
  </si>
  <si>
    <t>0709109021</t>
  </si>
  <si>
    <t>0818108008</t>
  </si>
  <si>
    <t>0709109022</t>
  </si>
  <si>
    <t>0818127003</t>
  </si>
  <si>
    <t>0532304008</t>
  </si>
  <si>
    <t>0532304005</t>
  </si>
  <si>
    <t>0818300008</t>
  </si>
  <si>
    <t>0818211001</t>
  </si>
  <si>
    <t>0818129002</t>
  </si>
  <si>
    <t>0818319006</t>
  </si>
  <si>
    <t>0818127002</t>
  </si>
  <si>
    <t>0818129003</t>
  </si>
  <si>
    <t>0818126006</t>
  </si>
  <si>
    <t>0807315006</t>
  </si>
  <si>
    <t>0818126005</t>
  </si>
  <si>
    <t>0818126004</t>
  </si>
  <si>
    <t>0807315008</t>
  </si>
  <si>
    <t>0807315007</t>
  </si>
  <si>
    <t>0818127001</t>
  </si>
  <si>
    <t>0807315015</t>
  </si>
  <si>
    <t>0807315010</t>
  </si>
  <si>
    <t>0807315013</t>
  </si>
  <si>
    <t>0818110002</t>
  </si>
  <si>
    <t>0807315016</t>
  </si>
  <si>
    <t>0818319005</t>
  </si>
  <si>
    <t>0807315014</t>
  </si>
  <si>
    <t>0807315011</t>
  </si>
  <si>
    <t>0818110003</t>
  </si>
  <si>
    <t>0532300099</t>
  </si>
  <si>
    <t>0818321014</t>
  </si>
  <si>
    <t>0818319004</t>
  </si>
  <si>
    <t>0709109015</t>
  </si>
  <si>
    <t>0818209005</t>
  </si>
  <si>
    <t>0818411017</t>
  </si>
  <si>
    <t>0709107023</t>
  </si>
  <si>
    <t>0818411006</t>
  </si>
  <si>
    <t>0818411016</t>
  </si>
  <si>
    <t>0818411005</t>
  </si>
  <si>
    <t>0818301005</t>
  </si>
  <si>
    <t>0818400003</t>
  </si>
  <si>
    <t>0818411015</t>
  </si>
  <si>
    <t>0532304010</t>
  </si>
  <si>
    <t>0818411004</t>
  </si>
  <si>
    <t>0818411014</t>
  </si>
  <si>
    <t>0818301011</t>
  </si>
  <si>
    <t>0818319003</t>
  </si>
  <si>
    <t>0818412004</t>
  </si>
  <si>
    <t>0818406003</t>
  </si>
  <si>
    <t>0807312009</t>
  </si>
  <si>
    <t>0818400004</t>
  </si>
  <si>
    <t>0818412005</t>
  </si>
  <si>
    <t>0818411013</t>
  </si>
  <si>
    <t>0709107004</t>
  </si>
  <si>
    <t>0818130005</t>
  </si>
  <si>
    <t>0818311003</t>
  </si>
  <si>
    <t>0818301003</t>
  </si>
  <si>
    <t>0818406002</t>
  </si>
  <si>
    <t>0818400005</t>
  </si>
  <si>
    <t>0818400013</t>
  </si>
  <si>
    <t>0818106013</t>
  </si>
  <si>
    <t>0709114010</t>
  </si>
  <si>
    <t>0709114008</t>
  </si>
  <si>
    <t>0818400006</t>
  </si>
  <si>
    <t>0818319002</t>
  </si>
  <si>
    <t>0818107015</t>
  </si>
  <si>
    <t>0818322014</t>
  </si>
  <si>
    <t>0709114009</t>
  </si>
  <si>
    <t>0818111007</t>
  </si>
  <si>
    <t>0709109031</t>
  </si>
  <si>
    <t>0532302001</t>
  </si>
  <si>
    <t>0818111005</t>
  </si>
  <si>
    <t>0818210006</t>
  </si>
  <si>
    <t>0818111006</t>
  </si>
  <si>
    <t>0709109033</t>
  </si>
  <si>
    <t>0818322005</t>
  </si>
  <si>
    <t>0807313007</t>
  </si>
  <si>
    <t>0818111004</t>
  </si>
  <si>
    <t>0818111002</t>
  </si>
  <si>
    <t>0818106001</t>
  </si>
  <si>
    <t>0818322006</t>
  </si>
  <si>
    <t>0709110007</t>
  </si>
  <si>
    <t>0818106002</t>
  </si>
  <si>
    <t>0818111003</t>
  </si>
  <si>
    <t>0818210001</t>
  </si>
  <si>
    <t>0818322004</t>
  </si>
  <si>
    <t>0818400007</t>
  </si>
  <si>
    <t>0818111008</t>
  </si>
  <si>
    <t>0818322003</t>
  </si>
  <si>
    <t>0709110005</t>
  </si>
  <si>
    <t>0532300027</t>
  </si>
  <si>
    <t>0709109032</t>
  </si>
  <si>
    <t>0818400016</t>
  </si>
  <si>
    <t>0709110006</t>
  </si>
  <si>
    <t>0818111001</t>
  </si>
  <si>
    <t>0818106011</t>
  </si>
  <si>
    <t>0818407005</t>
  </si>
  <si>
    <t>0818405008</t>
  </si>
  <si>
    <t>0818410006</t>
  </si>
  <si>
    <t>0818106003</t>
  </si>
  <si>
    <t>0709110004</t>
  </si>
  <si>
    <t>0818407007</t>
  </si>
  <si>
    <t>0818130001</t>
  </si>
  <si>
    <t>0818400008</t>
  </si>
  <si>
    <t>0818407006</t>
  </si>
  <si>
    <t>0709109041</t>
  </si>
  <si>
    <t>0818319001</t>
  </si>
  <si>
    <t>0818400017</t>
  </si>
  <si>
    <t>0709109038</t>
  </si>
  <si>
    <t>0818408012</t>
  </si>
  <si>
    <t>0709109037</t>
  </si>
  <si>
    <t>0709109039</t>
  </si>
  <si>
    <t>0709109040</t>
  </si>
  <si>
    <t>0709109036</t>
  </si>
  <si>
    <t>0709109035</t>
  </si>
  <si>
    <t>0818111009</t>
  </si>
  <si>
    <t>0709109042</t>
  </si>
  <si>
    <t>0709109043</t>
  </si>
  <si>
    <t>0818400009</t>
  </si>
  <si>
    <t>0818101020</t>
  </si>
  <si>
    <t>0709110017</t>
  </si>
  <si>
    <t>0709110016</t>
  </si>
  <si>
    <t>0818101015</t>
  </si>
  <si>
    <t>0818102014</t>
  </si>
  <si>
    <t>0818101010</t>
  </si>
  <si>
    <t>0818301001</t>
  </si>
  <si>
    <t>0818101014</t>
  </si>
  <si>
    <t>0818101011</t>
  </si>
  <si>
    <t>0818302002</t>
  </si>
  <si>
    <t>0818101019</t>
  </si>
  <si>
    <t>0818408011</t>
  </si>
  <si>
    <t>0709110020</t>
  </si>
  <si>
    <t>0818400018</t>
  </si>
  <si>
    <t>0818111010</t>
  </si>
  <si>
    <t>0818102012</t>
  </si>
  <si>
    <t>0818101009</t>
  </si>
  <si>
    <t>0818322010</t>
  </si>
  <si>
    <t>0709109060</t>
  </si>
  <si>
    <t>0818106009</t>
  </si>
  <si>
    <t>0709110021</t>
  </si>
  <si>
    <t>0709110019</t>
  </si>
  <si>
    <t>0709109056</t>
  </si>
  <si>
    <t>0807314010</t>
  </si>
  <si>
    <t>0709109058</t>
  </si>
  <si>
    <t>0818408002</t>
  </si>
  <si>
    <t>0818400010</t>
  </si>
  <si>
    <t>0818408010</t>
  </si>
  <si>
    <t>0709109055</t>
  </si>
  <si>
    <t>0709109054</t>
  </si>
  <si>
    <t>0818205002</t>
  </si>
  <si>
    <t>0709109059</t>
  </si>
  <si>
    <t>0709109052</t>
  </si>
  <si>
    <t>0709109053</t>
  </si>
  <si>
    <t>0818102011</t>
  </si>
  <si>
    <t>0818400019</t>
  </si>
  <si>
    <t>0818113007</t>
  </si>
  <si>
    <t>0818113001</t>
  </si>
  <si>
    <t>0818405002</t>
  </si>
  <si>
    <t>0818408013</t>
  </si>
  <si>
    <t>0807313009</t>
  </si>
  <si>
    <t>0709110010</t>
  </si>
  <si>
    <t>0818400011</t>
  </si>
  <si>
    <t>0818106008</t>
  </si>
  <si>
    <t>0818133004</t>
  </si>
  <si>
    <t>0532303012</t>
  </si>
  <si>
    <t>0807314008</t>
  </si>
  <si>
    <t>0807314006</t>
  </si>
  <si>
    <t>0807314005</t>
  </si>
  <si>
    <t>0709107028</t>
  </si>
  <si>
    <t>0807314015</t>
  </si>
  <si>
    <t>0807314007</t>
  </si>
  <si>
    <t>0807314002</t>
  </si>
  <si>
    <t>0818105001</t>
  </si>
  <si>
    <t>0818105002</t>
  </si>
  <si>
    <t>0807314016</t>
  </si>
  <si>
    <t>0818400020</t>
  </si>
  <si>
    <t>0818302006</t>
  </si>
  <si>
    <t>0818404009</t>
  </si>
  <si>
    <t>0818111013</t>
  </si>
  <si>
    <t>0818408007</t>
  </si>
  <si>
    <t>0818404008</t>
  </si>
  <si>
    <t>0818111014</t>
  </si>
  <si>
    <t>0532302009</t>
  </si>
  <si>
    <t>0818107008</t>
  </si>
  <si>
    <t>0818302008</t>
  </si>
  <si>
    <t>0818107009</t>
  </si>
  <si>
    <t>0818107010</t>
  </si>
  <si>
    <t>0818100002</t>
  </si>
  <si>
    <t>0818402007</t>
  </si>
  <si>
    <t>0709107002</t>
  </si>
  <si>
    <t>0818402006</t>
  </si>
  <si>
    <t>0818307001</t>
  </si>
  <si>
    <t>0818203002</t>
  </si>
  <si>
    <t>0818402005</t>
  </si>
  <si>
    <t>0713407017</t>
  </si>
  <si>
    <t>0709107026</t>
  </si>
  <si>
    <t>0713401007</t>
  </si>
  <si>
    <t>0713401005</t>
  </si>
  <si>
    <t>0713223005</t>
  </si>
  <si>
    <t>0532307018</t>
  </si>
  <si>
    <t>0713401006</t>
  </si>
  <si>
    <t>0818402004</t>
  </si>
  <si>
    <t>0818402003</t>
  </si>
  <si>
    <t>0818301006</t>
  </si>
  <si>
    <t>0818211002</t>
  </si>
  <si>
    <t>0818310008</t>
  </si>
  <si>
    <t>0807312008</t>
  </si>
  <si>
    <t>0713306008</t>
  </si>
  <si>
    <t>0713411005</t>
  </si>
  <si>
    <t>0709311076</t>
  </si>
  <si>
    <t>0818112004</t>
  </si>
  <si>
    <t>0818310009</t>
  </si>
  <si>
    <t>0709311083</t>
  </si>
  <si>
    <t>0818112007</t>
  </si>
  <si>
    <t>0818112008</t>
  </si>
  <si>
    <t>0818310010</t>
  </si>
  <si>
    <t>0818209007</t>
  </si>
  <si>
    <t>0818209009</t>
  </si>
  <si>
    <t>0818209008</t>
  </si>
  <si>
    <t>0818209006</t>
  </si>
  <si>
    <t>0709111003</t>
  </si>
  <si>
    <t>0532304011</t>
  </si>
  <si>
    <t>0818112012</t>
  </si>
  <si>
    <t>0818112011</t>
  </si>
  <si>
    <t>0818112013</t>
  </si>
  <si>
    <t>0818112014</t>
  </si>
  <si>
    <t>0818210009</t>
  </si>
  <si>
    <t>0818210002</t>
  </si>
  <si>
    <t>0532300025</t>
  </si>
  <si>
    <t>0818210003</t>
  </si>
  <si>
    <t>0818210010</t>
  </si>
  <si>
    <t>0807309013</t>
  </si>
  <si>
    <t>0807309014</t>
  </si>
  <si>
    <t>0532300028</t>
  </si>
  <si>
    <t>0709107019</t>
  </si>
  <si>
    <t>0532303004</t>
  </si>
  <si>
    <t>0818410009</t>
  </si>
  <si>
    <t>0818113008</t>
  </si>
  <si>
    <t>0818113002</t>
  </si>
  <si>
    <t>0818113003</t>
  </si>
  <si>
    <t>0818113009</t>
  </si>
  <si>
    <t>0807312007</t>
  </si>
  <si>
    <t>0818113004</t>
  </si>
  <si>
    <t>0818113010</t>
  </si>
  <si>
    <t>0818103010</t>
  </si>
  <si>
    <t>0818113011</t>
  </si>
  <si>
    <t>0818113005</t>
  </si>
  <si>
    <t>0818314003</t>
  </si>
  <si>
    <t>0818139017</t>
  </si>
  <si>
    <t>0818142007</t>
  </si>
  <si>
    <t>0818204002</t>
  </si>
  <si>
    <t>0709107027</t>
  </si>
  <si>
    <t>0818142002</t>
  </si>
  <si>
    <t>0818142001</t>
  </si>
  <si>
    <t>0818142005</t>
  </si>
  <si>
    <t>0818142006</t>
  </si>
  <si>
    <t>0709108004</t>
  </si>
  <si>
    <t>0818106007</t>
  </si>
  <si>
    <t>0709108008</t>
  </si>
  <si>
    <t>0532302013</t>
  </si>
  <si>
    <t>0713314002</t>
  </si>
  <si>
    <t>0807312006</t>
  </si>
  <si>
    <t>0818129009</t>
  </si>
  <si>
    <t>0713306004</t>
  </si>
  <si>
    <t>0818115014</t>
  </si>
  <si>
    <t>0713416010</t>
  </si>
  <si>
    <t>0713222015</t>
  </si>
  <si>
    <t>0807309023</t>
  </si>
  <si>
    <t>0532304007</t>
  </si>
  <si>
    <t>0532304006</t>
  </si>
  <si>
    <t>0532302010</t>
  </si>
  <si>
    <t>0532300026</t>
  </si>
  <si>
    <t>0709305042</t>
  </si>
  <si>
    <t>0709305041</t>
  </si>
  <si>
    <t>0712107001</t>
  </si>
  <si>
    <t>0709305040</t>
  </si>
  <si>
    <t>0709305039</t>
  </si>
  <si>
    <t>0709109002</t>
  </si>
  <si>
    <t>0709311061</t>
  </si>
  <si>
    <t>0709109004</t>
  </si>
  <si>
    <t>0709305037</t>
  </si>
  <si>
    <t>0709305038</t>
  </si>
  <si>
    <t>0709109003</t>
  </si>
  <si>
    <t>0709109005</t>
  </si>
  <si>
    <t>0709305036</t>
  </si>
  <si>
    <t>0709109006</t>
  </si>
  <si>
    <t>0709107003</t>
  </si>
  <si>
    <t>0709305035</t>
  </si>
  <si>
    <t>0709109007</t>
  </si>
  <si>
    <t>0709305034</t>
  </si>
  <si>
    <t>0709109008</t>
  </si>
  <si>
    <t>0709311060</t>
  </si>
  <si>
    <t>0709305033</t>
  </si>
  <si>
    <t>0709109009</t>
  </si>
  <si>
    <t>0709305032</t>
  </si>
  <si>
    <t>0709311077</t>
  </si>
  <si>
    <t>0709109011</t>
  </si>
  <si>
    <t>0709109010</t>
  </si>
  <si>
    <t>0709311078</t>
  </si>
  <si>
    <t>0532300078</t>
  </si>
  <si>
    <t>0709107010</t>
  </si>
  <si>
    <t>0709107014</t>
  </si>
  <si>
    <t>0709107009</t>
  </si>
  <si>
    <t>0709107012</t>
  </si>
  <si>
    <t>0709107013</t>
  </si>
  <si>
    <t>0709305031</t>
  </si>
  <si>
    <t>0709107008</t>
  </si>
  <si>
    <t>0709109012</t>
  </si>
  <si>
    <t>0713217027</t>
  </si>
  <si>
    <t>0709107011</t>
  </si>
  <si>
    <t>0709305030</t>
  </si>
  <si>
    <t>0709109013</t>
  </si>
  <si>
    <t>0713404020</t>
  </si>
  <si>
    <t>0709109014</t>
  </si>
  <si>
    <t>0709305029</t>
  </si>
  <si>
    <t>0709311069</t>
  </si>
  <si>
    <t>0709311079</t>
  </si>
  <si>
    <t>0709311080</t>
  </si>
  <si>
    <t>0709305028</t>
  </si>
  <si>
    <t>0532305002</t>
  </si>
  <si>
    <t>0709311081</t>
  </si>
  <si>
    <t>0709305044</t>
  </si>
  <si>
    <t>0709311082</t>
  </si>
  <si>
    <t>0807312005</t>
  </si>
  <si>
    <t>0709311072</t>
  </si>
  <si>
    <t>0532303016</t>
  </si>
  <si>
    <t>0713421001</t>
  </si>
  <si>
    <t>0713421021</t>
  </si>
  <si>
    <t>0532303015</t>
  </si>
  <si>
    <t>0532303014</t>
  </si>
  <si>
    <t>0713410004</t>
  </si>
  <si>
    <t>0713410006</t>
  </si>
  <si>
    <t>0532303013</t>
  </si>
  <si>
    <t>0532300029</t>
  </si>
  <si>
    <t>0532300080</t>
  </si>
  <si>
    <t>0713401008</t>
  </si>
  <si>
    <t>0807312003</t>
  </si>
  <si>
    <t>0532304003</t>
  </si>
  <si>
    <t>0532303003</t>
  </si>
  <si>
    <t>0818403009</t>
  </si>
  <si>
    <t>0532303009</t>
  </si>
  <si>
    <t>0713417002</t>
  </si>
  <si>
    <t>0532303010</t>
  </si>
  <si>
    <t>0532303008</t>
  </si>
  <si>
    <t>0713417018</t>
  </si>
  <si>
    <t>0713410003</t>
  </si>
  <si>
    <t>0818131011</t>
  </si>
  <si>
    <t>0713410005</t>
  </si>
  <si>
    <t>0818122009</t>
  </si>
  <si>
    <t>0807312004</t>
  </si>
  <si>
    <t>0532300034</t>
  </si>
  <si>
    <t>0818131010</t>
  </si>
  <si>
    <t>0712107008</t>
  </si>
  <si>
    <t>0724205001</t>
  </si>
  <si>
    <t>0713417006</t>
  </si>
  <si>
    <t>0713316008</t>
  </si>
  <si>
    <t>0713406014</t>
  </si>
  <si>
    <t>0818204001</t>
  </si>
  <si>
    <t>0724205002</t>
  </si>
  <si>
    <t>0532304009</t>
  </si>
  <si>
    <t>0532302006</t>
  </si>
  <si>
    <t>0532302008</t>
  </si>
  <si>
    <t>0532302007</t>
  </si>
  <si>
    <t>0532300037</t>
  </si>
  <si>
    <t>0724205003</t>
  </si>
  <si>
    <t>0807416029</t>
  </si>
  <si>
    <t>0807317015</t>
  </si>
  <si>
    <t>0818129008</t>
  </si>
  <si>
    <t>0818136015</t>
  </si>
  <si>
    <t>0818129010</t>
  </si>
  <si>
    <t>0818301014</t>
  </si>
  <si>
    <t>0532305006</t>
  </si>
  <si>
    <t>0532305005</t>
  </si>
  <si>
    <t>0532300096</t>
  </si>
  <si>
    <t>0532300097</t>
  </si>
  <si>
    <t>0532300095</t>
  </si>
  <si>
    <t>0532300094</t>
  </si>
  <si>
    <t>0532300093</t>
  </si>
  <si>
    <t>0532300092</t>
  </si>
  <si>
    <t>0532300091</t>
  </si>
  <si>
    <t>0532300090</t>
  </si>
  <si>
    <t>0532300089</t>
  </si>
  <si>
    <t>0532300087</t>
  </si>
  <si>
    <t>0532300088</t>
  </si>
  <si>
    <t>0532300086</t>
  </si>
  <si>
    <t>0532300085</t>
  </si>
  <si>
    <t>0532300084</t>
  </si>
  <si>
    <t>0532300083</t>
  </si>
  <si>
    <t>0532300082</t>
  </si>
  <si>
    <t>0532300081</t>
  </si>
  <si>
    <t>0532300079</t>
  </si>
  <si>
    <t>0818211020</t>
  </si>
  <si>
    <t>0532300106</t>
  </si>
  <si>
    <t>0532307008</t>
  </si>
  <si>
    <t>0532307006</t>
  </si>
  <si>
    <t>0532307010</t>
  </si>
  <si>
    <t>0532307002</t>
  </si>
  <si>
    <t>0532302015</t>
  </si>
  <si>
    <t>0532307014</t>
  </si>
  <si>
    <t>0532300101</t>
  </si>
  <si>
    <t>0532300100</t>
  </si>
  <si>
    <t>0532300103</t>
  </si>
  <si>
    <t>0532307004</t>
  </si>
  <si>
    <t>0532300104</t>
  </si>
  <si>
    <t>0532307009</t>
  </si>
  <si>
    <t>0532307015</t>
  </si>
  <si>
    <t>0532307011</t>
  </si>
  <si>
    <t>0532307003</t>
  </si>
  <si>
    <t>0532307017</t>
  </si>
  <si>
    <t>0532307013</t>
  </si>
  <si>
    <t>0532307005</t>
  </si>
  <si>
    <t>0532307007</t>
  </si>
  <si>
    <t>0532307016</t>
  </si>
  <si>
    <t>0532300102</t>
  </si>
  <si>
    <t>0532307012</t>
  </si>
  <si>
    <t>0532300105</t>
  </si>
  <si>
    <t>0818132004</t>
  </si>
  <si>
    <t>0532302012</t>
  </si>
  <si>
    <t>0532302011</t>
  </si>
  <si>
    <t>0818314008</t>
  </si>
  <si>
    <t>0532300030</t>
  </si>
  <si>
    <t>0532300031</t>
  </si>
  <si>
    <t>0532300032</t>
  </si>
  <si>
    <t>0532300033</t>
  </si>
  <si>
    <t>0724205008</t>
  </si>
  <si>
    <t>0532300024</t>
  </si>
  <si>
    <t>0713224008</t>
  </si>
  <si>
    <t>0532300023</t>
  </si>
  <si>
    <t>0532300022</t>
  </si>
  <si>
    <t>0532300021</t>
  </si>
  <si>
    <t>0532300020</t>
  </si>
  <si>
    <t>0712107007</t>
  </si>
  <si>
    <t>0713404021</t>
  </si>
  <si>
    <t>0713224013</t>
  </si>
  <si>
    <t>0807309009</t>
  </si>
  <si>
    <t>0713421008</t>
  </si>
  <si>
    <t>0724205009</t>
  </si>
  <si>
    <t>0712107004</t>
  </si>
  <si>
    <t>0712107003</t>
  </si>
  <si>
    <t>0712107002</t>
  </si>
  <si>
    <t>0807416031</t>
  </si>
  <si>
    <t>0818311009</t>
  </si>
  <si>
    <t>0724205026</t>
  </si>
  <si>
    <t>0818107012</t>
  </si>
  <si>
    <t>0807416034</t>
  </si>
  <si>
    <t>0713222010</t>
  </si>
  <si>
    <t>0818301010</t>
  </si>
  <si>
    <t>0818131006</t>
  </si>
  <si>
    <t>0818116020</t>
  </si>
  <si>
    <t>0713224012</t>
  </si>
  <si>
    <t>0807314021</t>
  </si>
  <si>
    <t>0807416035</t>
  </si>
  <si>
    <t>0818411001</t>
  </si>
  <si>
    <t>0807416033</t>
  </si>
  <si>
    <t>0713409006</t>
  </si>
  <si>
    <t>0807416027</t>
  </si>
  <si>
    <t>0818405009</t>
  </si>
  <si>
    <t>0818322008</t>
  </si>
  <si>
    <t>0818407002</t>
  </si>
  <si>
    <t>0818411011</t>
  </si>
  <si>
    <t>0807416028</t>
  </si>
  <si>
    <t>0807416032</t>
  </si>
  <si>
    <t>0713224022</t>
  </si>
  <si>
    <t>0713224011</t>
  </si>
  <si>
    <t>0713410017</t>
  </si>
  <si>
    <t>0713224009</t>
  </si>
  <si>
    <t>0807416036</t>
  </si>
  <si>
    <t>0818301016</t>
  </si>
  <si>
    <t>0818411002</t>
  </si>
  <si>
    <t>0818301007</t>
  </si>
  <si>
    <t>0713316009</t>
  </si>
  <si>
    <t>0818211019</t>
  </si>
  <si>
    <t>0713403016</t>
  </si>
  <si>
    <t>0713411001</t>
  </si>
  <si>
    <t>0713417008</t>
  </si>
  <si>
    <t>0807313020</t>
  </si>
  <si>
    <t>0807313018</t>
  </si>
  <si>
    <t>0818116019</t>
  </si>
  <si>
    <t>0807313019</t>
  </si>
  <si>
    <t>0807313017</t>
  </si>
  <si>
    <t>0818410007</t>
  </si>
  <si>
    <t>0713409007</t>
  </si>
  <si>
    <t>0818403006</t>
  </si>
  <si>
    <t>0807311035</t>
  </si>
  <si>
    <t>0807311034</t>
  </si>
  <si>
    <t>0818307010</t>
  </si>
  <si>
    <t>0818405016</t>
  </si>
  <si>
    <t>0713411002</t>
  </si>
  <si>
    <t>0818137008</t>
  </si>
  <si>
    <t>0532307049</t>
  </si>
  <si>
    <t>0818301013</t>
  </si>
  <si>
    <t>0818132001</t>
  </si>
  <si>
    <t>0818403005</t>
  </si>
  <si>
    <t>0532307031</t>
  </si>
  <si>
    <t>0532307032</t>
  </si>
  <si>
    <t>0818405017</t>
  </si>
  <si>
    <t>0532307027</t>
  </si>
  <si>
    <t>0818310011</t>
  </si>
  <si>
    <t>0532307042</t>
  </si>
  <si>
    <t>0532307037</t>
  </si>
  <si>
    <t>0532307036</t>
  </si>
  <si>
    <t>0532307043</t>
  </si>
  <si>
    <t>0532307048</t>
  </si>
  <si>
    <t>0713402002</t>
  </si>
  <si>
    <t>0532307053</t>
  </si>
  <si>
    <t>0818131036</t>
  </si>
  <si>
    <t>0818207067</t>
  </si>
  <si>
    <t>0713216008</t>
  </si>
  <si>
    <t>0713316003</t>
  </si>
  <si>
    <t>0713217014</t>
  </si>
  <si>
    <t>0724202007</t>
  </si>
  <si>
    <t>0724203033</t>
  </si>
  <si>
    <t>0724202010</t>
  </si>
  <si>
    <t>0713404015</t>
  </si>
  <si>
    <t>0713216011</t>
  </si>
  <si>
    <t>0818204006</t>
  </si>
  <si>
    <t>0713216009</t>
  </si>
  <si>
    <t>0713408009</t>
  </si>
  <si>
    <t>0713216006</t>
  </si>
  <si>
    <t>0713216014</t>
  </si>
  <si>
    <t>0818143002</t>
  </si>
  <si>
    <t>0818401019</t>
  </si>
  <si>
    <t>0713216003</t>
  </si>
  <si>
    <t>0818401004</t>
  </si>
  <si>
    <t>0818401009</t>
  </si>
  <si>
    <t>0818406004</t>
  </si>
  <si>
    <t>0818111011</t>
  </si>
  <si>
    <t>0818131012</t>
  </si>
  <si>
    <t>0713217031</t>
  </si>
  <si>
    <t>0818322013</t>
  </si>
  <si>
    <t>0713217012</t>
  </si>
  <si>
    <t>0713216005</t>
  </si>
  <si>
    <t>0713216022</t>
  </si>
  <si>
    <t>0818111015</t>
  </si>
  <si>
    <t>0818111016</t>
  </si>
  <si>
    <t>0818403004</t>
  </si>
  <si>
    <t>0818112003</t>
  </si>
  <si>
    <t>0202306034</t>
  </si>
  <si>
    <t>0202307013</t>
  </si>
  <si>
    <t>0203404014</t>
  </si>
  <si>
    <t>0202301002</t>
  </si>
  <si>
    <t>0202307010</t>
  </si>
  <si>
    <t>0203402008</t>
  </si>
  <si>
    <t>0210200020</t>
  </si>
  <si>
    <t>0204101030</t>
  </si>
  <si>
    <t>0204101033</t>
  </si>
  <si>
    <t>0204101032</t>
  </si>
  <si>
    <t>0209202073</t>
  </si>
  <si>
    <t>0204311011</t>
  </si>
  <si>
    <t>0204101074</t>
  </si>
  <si>
    <t>0209114014</t>
  </si>
  <si>
    <t>0203311019</t>
  </si>
  <si>
    <t>0204101057</t>
  </si>
  <si>
    <t>0204311014</t>
  </si>
  <si>
    <t>0204101080</t>
  </si>
  <si>
    <t>0205401030</t>
  </si>
  <si>
    <t>0209211005</t>
  </si>
  <si>
    <t>0205401032</t>
  </si>
  <si>
    <t>0204101081</t>
  </si>
  <si>
    <t>0204101044</t>
  </si>
  <si>
    <t>0209202077</t>
  </si>
  <si>
    <t>0203205011</t>
  </si>
  <si>
    <t>0209305012</t>
  </si>
  <si>
    <t>0209101028</t>
  </si>
  <si>
    <t>0204101040</t>
  </si>
  <si>
    <t>0204101075</t>
  </si>
  <si>
    <t>0205232001</t>
  </si>
  <si>
    <t>0209116007</t>
  </si>
  <si>
    <t>0204101031</t>
  </si>
  <si>
    <t>0204101082</t>
  </si>
  <si>
    <t>0204101039</t>
  </si>
  <si>
    <t>0209202080</t>
  </si>
  <si>
    <t>0204101028</t>
  </si>
  <si>
    <t>0204101079</t>
  </si>
  <si>
    <t>0209202075</t>
  </si>
  <si>
    <t>0204309036</t>
  </si>
  <si>
    <t>0209211011</t>
  </si>
  <si>
    <t>0203400005</t>
  </si>
  <si>
    <t>0204101083</t>
  </si>
  <si>
    <t>0209211010</t>
  </si>
  <si>
    <t>0209101026</t>
  </si>
  <si>
    <t>0203206005</t>
  </si>
  <si>
    <t>0204101034</t>
  </si>
  <si>
    <t>0209202082</t>
  </si>
  <si>
    <t>0209211014</t>
  </si>
  <si>
    <t>0204311015</t>
  </si>
  <si>
    <t>0204309040</t>
  </si>
  <si>
    <t>0205231006</t>
  </si>
  <si>
    <t>0209120019</t>
  </si>
  <si>
    <t>0209202078</t>
  </si>
  <si>
    <t>0204101045</t>
  </si>
  <si>
    <t>0204103006</t>
  </si>
  <si>
    <t>0205232002</t>
  </si>
  <si>
    <t>0204101041</t>
  </si>
  <si>
    <t>0204101042</t>
  </si>
  <si>
    <t>0204101029</t>
  </si>
  <si>
    <t>0205403014</t>
  </si>
  <si>
    <t>0204101078</t>
  </si>
  <si>
    <t>0205406007</t>
  </si>
  <si>
    <t>0209124003</t>
  </si>
  <si>
    <t>0205405015</t>
  </si>
  <si>
    <t>0205402008</t>
  </si>
  <si>
    <t>0204103021</t>
  </si>
  <si>
    <t>0204101048</t>
  </si>
  <si>
    <t>0205402017</t>
  </si>
  <si>
    <t>0209203029</t>
  </si>
  <si>
    <t>0204309035</t>
  </si>
  <si>
    <t>0209213001</t>
  </si>
  <si>
    <t>0204103005</t>
  </si>
  <si>
    <t>0204101058</t>
  </si>
  <si>
    <t>0203311017</t>
  </si>
  <si>
    <t>0208205027</t>
  </si>
  <si>
    <t>0204103010</t>
  </si>
  <si>
    <t>0205232005</t>
  </si>
  <si>
    <t>0205401053</t>
  </si>
  <si>
    <t>0209202074</t>
  </si>
  <si>
    <t>0209101009</t>
  </si>
  <si>
    <t>0205232003</t>
  </si>
  <si>
    <t>0204104015</t>
  </si>
  <si>
    <t>0205406002</t>
  </si>
  <si>
    <t>0209202076</t>
  </si>
  <si>
    <t>0205409013</t>
  </si>
  <si>
    <t>0204103011</t>
  </si>
  <si>
    <t>0204104011</t>
  </si>
  <si>
    <t>0209119031</t>
  </si>
  <si>
    <t>0205401058</t>
  </si>
  <si>
    <t>0209202079</t>
  </si>
  <si>
    <t>0209203030</t>
  </si>
  <si>
    <t>0209211009</t>
  </si>
  <si>
    <t>0205401033</t>
  </si>
  <si>
    <t>0204101068</t>
  </si>
  <si>
    <t>0204101069</t>
  </si>
  <si>
    <t>0204104001</t>
  </si>
  <si>
    <t>0209211001</t>
  </si>
  <si>
    <t>0209305005</t>
  </si>
  <si>
    <t>0205232015</t>
  </si>
  <si>
    <t>0204101056</t>
  </si>
  <si>
    <t>0204101043</t>
  </si>
  <si>
    <t>0209202035</t>
  </si>
  <si>
    <t>0204103002</t>
  </si>
  <si>
    <t>0204103016</t>
  </si>
  <si>
    <t>0209203025</t>
  </si>
  <si>
    <t>0204101038</t>
  </si>
  <si>
    <t>0205231007</t>
  </si>
  <si>
    <t>0209123002</t>
  </si>
  <si>
    <t>0209120016</t>
  </si>
  <si>
    <t>0208215012</t>
  </si>
  <si>
    <t>0205231010</t>
  </si>
  <si>
    <t>0204101076</t>
  </si>
  <si>
    <t>0204101077</t>
  </si>
  <si>
    <t>0204101067</t>
  </si>
  <si>
    <t>0204101070</t>
  </si>
  <si>
    <t>0208219026</t>
  </si>
  <si>
    <t>0205401052</t>
  </si>
  <si>
    <t>0205401024</t>
  </si>
  <si>
    <t>0209114013</t>
  </si>
  <si>
    <t>0204104012</t>
  </si>
  <si>
    <t>0209101036</t>
  </si>
  <si>
    <t>0204104002</t>
  </si>
  <si>
    <t>0205401022</t>
  </si>
  <si>
    <t>0204104009</t>
  </si>
  <si>
    <t>0209213015</t>
  </si>
  <si>
    <t>0204101049</t>
  </si>
  <si>
    <t>0205403013</t>
  </si>
  <si>
    <t>0204104013</t>
  </si>
  <si>
    <t>0204302005</t>
  </si>
  <si>
    <t>0209213005</t>
  </si>
  <si>
    <t>0204101036</t>
  </si>
  <si>
    <t>0208205022</t>
  </si>
  <si>
    <t>0209115001</t>
  </si>
  <si>
    <t>0204103020</t>
  </si>
  <si>
    <t>0205401057</t>
  </si>
  <si>
    <t>0204103007</t>
  </si>
  <si>
    <t>0205232009</t>
  </si>
  <si>
    <t>0209116010</t>
  </si>
  <si>
    <t>0204309061</t>
  </si>
  <si>
    <t>0209116021</t>
  </si>
  <si>
    <t>0204103004</t>
  </si>
  <si>
    <t>0204101062</t>
  </si>
  <si>
    <t>0204101061</t>
  </si>
  <si>
    <t>0204101063</t>
  </si>
  <si>
    <t>0204101064</t>
  </si>
  <si>
    <t>0204101065</t>
  </si>
  <si>
    <t>0205405011</t>
  </si>
  <si>
    <t>0209116009</t>
  </si>
  <si>
    <t>0205232010</t>
  </si>
  <si>
    <t>0208204009</t>
  </si>
  <si>
    <t>0204101071</t>
  </si>
  <si>
    <t>0204101066</t>
  </si>
  <si>
    <t>0204101059</t>
  </si>
  <si>
    <t>0209120018</t>
  </si>
  <si>
    <t>0204101060</t>
  </si>
  <si>
    <t>0208204011</t>
  </si>
  <si>
    <t>0208219027</t>
  </si>
  <si>
    <t>0205401031</t>
  </si>
  <si>
    <t>0204311012</t>
  </si>
  <si>
    <t>0204104014</t>
  </si>
  <si>
    <t>0209115011</t>
  </si>
  <si>
    <t>0204313022</t>
  </si>
  <si>
    <t>0204101037</t>
  </si>
  <si>
    <t>0208204008</t>
  </si>
  <si>
    <t>0209203026</t>
  </si>
  <si>
    <t>0204311013</t>
  </si>
  <si>
    <t>0204101072</t>
  </si>
  <si>
    <t>0205405009</t>
  </si>
  <si>
    <t>0208204010</t>
  </si>
  <si>
    <t>0204103019</t>
  </si>
  <si>
    <t>0209304001</t>
  </si>
  <si>
    <t>0205403016</t>
  </si>
  <si>
    <t>0205232008</t>
  </si>
  <si>
    <t>0204313021</t>
  </si>
  <si>
    <t>0209116018</t>
  </si>
  <si>
    <t>0209211013</t>
  </si>
  <si>
    <t>0204309060</t>
  </si>
  <si>
    <t>0204103001</t>
  </si>
  <si>
    <t>0205403017</t>
  </si>
  <si>
    <t>0205403015</t>
  </si>
  <si>
    <t>0209101039</t>
  </si>
  <si>
    <t>0205231005</t>
  </si>
  <si>
    <t>0209211008</t>
  </si>
  <si>
    <t>0209116008</t>
  </si>
  <si>
    <t>0209101025</t>
  </si>
  <si>
    <t>0205403018</t>
  </si>
  <si>
    <t>0205404007</t>
  </si>
  <si>
    <t>0205401028</t>
  </si>
  <si>
    <t>0205231009</t>
  </si>
  <si>
    <t>0209206030</t>
  </si>
  <si>
    <t>0205232012</t>
  </si>
  <si>
    <t>0209123012</t>
  </si>
  <si>
    <t>0205401027</t>
  </si>
  <si>
    <t>0205232007</t>
  </si>
  <si>
    <t>0205232014</t>
  </si>
  <si>
    <t>0205232006</t>
  </si>
  <si>
    <t>0205232013</t>
  </si>
  <si>
    <t>0205231008</t>
  </si>
  <si>
    <t>0205232004</t>
  </si>
  <si>
    <t>0205231002</t>
  </si>
  <si>
    <t>0205402016</t>
  </si>
  <si>
    <t>0205231003</t>
  </si>
  <si>
    <t>0205231004</t>
  </si>
  <si>
    <t>0204104005</t>
  </si>
  <si>
    <t>0205401021</t>
  </si>
  <si>
    <t>0205405012</t>
  </si>
  <si>
    <t>0204313023</t>
  </si>
  <si>
    <t>0205406015</t>
  </si>
  <si>
    <t>0205405007</t>
  </si>
  <si>
    <t>0204101035</t>
  </si>
  <si>
    <t>0208205020</t>
  </si>
  <si>
    <t>0205406001</t>
  </si>
  <si>
    <t>0209213006</t>
  </si>
  <si>
    <t>0204103003</t>
  </si>
  <si>
    <t>0209213004</t>
  </si>
  <si>
    <t>0204302011</t>
  </si>
  <si>
    <t>0204103014</t>
  </si>
  <si>
    <t>0209209019</t>
  </si>
  <si>
    <t>0205403021</t>
  </si>
  <si>
    <t>0209115004</t>
  </si>
  <si>
    <t>0205409014</t>
  </si>
  <si>
    <t>0205404008</t>
  </si>
  <si>
    <t>0208204007</t>
  </si>
  <si>
    <t>0209305011</t>
  </si>
  <si>
    <t>0209202027</t>
  </si>
  <si>
    <t>0204311016</t>
  </si>
  <si>
    <t>0209102017</t>
  </si>
  <si>
    <t>0204103013</t>
  </si>
  <si>
    <t>0204103012</t>
  </si>
  <si>
    <t>0204312015</t>
  </si>
  <si>
    <t>0209115012</t>
  </si>
  <si>
    <t>0209120015</t>
  </si>
  <si>
    <t>0205401041</t>
  </si>
  <si>
    <t>0204101052</t>
  </si>
  <si>
    <t>0204101051</t>
  </si>
  <si>
    <t>0204101055</t>
  </si>
  <si>
    <t>0204101053</t>
  </si>
  <si>
    <t>0204101054</t>
  </si>
  <si>
    <t>0204101050</t>
  </si>
  <si>
    <t>0205401060</t>
  </si>
  <si>
    <t>0205406016</t>
  </si>
  <si>
    <t>0205404001</t>
  </si>
  <si>
    <t>0209213007</t>
  </si>
  <si>
    <t>0203206006</t>
  </si>
  <si>
    <t>0205401025</t>
  </si>
  <si>
    <t>0205405003</t>
  </si>
  <si>
    <t>0209123001</t>
  </si>
  <si>
    <t>0205401003</t>
  </si>
  <si>
    <t>0204103008</t>
  </si>
  <si>
    <t>0204309050</t>
  </si>
  <si>
    <t>0205409012</t>
  </si>
  <si>
    <t>0208215006</t>
  </si>
  <si>
    <t>0205401014</t>
  </si>
  <si>
    <t>0205407016</t>
  </si>
  <si>
    <t>0205407012</t>
  </si>
  <si>
    <t>0209123007</t>
  </si>
  <si>
    <t>0205409001</t>
  </si>
  <si>
    <t>0204309037</t>
  </si>
  <si>
    <t>0209101027</t>
  </si>
  <si>
    <t>0204103009</t>
  </si>
  <si>
    <t>0209109010</t>
  </si>
  <si>
    <t>0208205015</t>
  </si>
  <si>
    <t>0208204003</t>
  </si>
  <si>
    <t>0204309041</t>
  </si>
  <si>
    <t>0205409015</t>
  </si>
  <si>
    <t>0205401046</t>
  </si>
  <si>
    <t>0205401012</t>
  </si>
  <si>
    <t>0209120008</t>
  </si>
  <si>
    <t>0205401013</t>
  </si>
  <si>
    <t>0204104006</t>
  </si>
  <si>
    <t>0209115003</t>
  </si>
  <si>
    <t>0204104008</t>
  </si>
  <si>
    <t>0209108021</t>
  </si>
  <si>
    <t>0205407010</t>
  </si>
  <si>
    <t>0208204012</t>
  </si>
  <si>
    <t>0208204006</t>
  </si>
  <si>
    <t>0204311017</t>
  </si>
  <si>
    <t>0204309034</t>
  </si>
  <si>
    <t>0209116020</t>
  </si>
  <si>
    <t>0204103015</t>
  </si>
  <si>
    <t>0205403011</t>
  </si>
  <si>
    <t>0209305006</t>
  </si>
  <si>
    <t>0209203033</t>
  </si>
  <si>
    <t>0209211004</t>
  </si>
  <si>
    <t>0205402013</t>
  </si>
  <si>
    <t>0209211006</t>
  </si>
  <si>
    <t>0209202036</t>
  </si>
  <si>
    <t>0209110053</t>
  </si>
  <si>
    <t>0209110052</t>
  </si>
  <si>
    <t>0209206026</t>
  </si>
  <si>
    <t>0205401065</t>
  </si>
  <si>
    <t>0209213014</t>
  </si>
  <si>
    <t>0204302010</t>
  </si>
  <si>
    <t>0204104007</t>
  </si>
  <si>
    <t>0205401011</t>
  </si>
  <si>
    <t>0209209006</t>
  </si>
  <si>
    <t>0209115005</t>
  </si>
  <si>
    <t>0209101007</t>
  </si>
  <si>
    <t>0205406017</t>
  </si>
  <si>
    <t>0205409010</t>
  </si>
  <si>
    <t>0205401002</t>
  </si>
  <si>
    <t>0205402014</t>
  </si>
  <si>
    <t>0209212001</t>
  </si>
  <si>
    <t>0205406009</t>
  </si>
  <si>
    <t>0209212012</t>
  </si>
  <si>
    <t>0204309077</t>
  </si>
  <si>
    <t>0205402005</t>
  </si>
  <si>
    <t>0205405001</t>
  </si>
  <si>
    <t>0208215013</t>
  </si>
  <si>
    <t>0209107018</t>
  </si>
  <si>
    <t>0209213018</t>
  </si>
  <si>
    <t>0205401061</t>
  </si>
  <si>
    <t>0209114001</t>
  </si>
  <si>
    <t>0205402015</t>
  </si>
  <si>
    <t>0205401056</t>
  </si>
  <si>
    <t>0205401068</t>
  </si>
  <si>
    <t>0209202020</t>
  </si>
  <si>
    <t>0209102016</t>
  </si>
  <si>
    <t>0205407002</t>
  </si>
  <si>
    <t>0209103007</t>
  </si>
  <si>
    <t>0205401015</t>
  </si>
  <si>
    <t>0205406006</t>
  </si>
  <si>
    <t>0205401010</t>
  </si>
  <si>
    <t>0209206028</t>
  </si>
  <si>
    <t>0208205028</t>
  </si>
  <si>
    <t>0209113005</t>
  </si>
  <si>
    <t>0209116017</t>
  </si>
  <si>
    <t>0209109001</t>
  </si>
  <si>
    <t>0205409009</t>
  </si>
  <si>
    <t>0209109023</t>
  </si>
  <si>
    <t>0205407013</t>
  </si>
  <si>
    <t>0209116001</t>
  </si>
  <si>
    <t>0205403012</t>
  </si>
  <si>
    <t>0209120009</t>
  </si>
  <si>
    <t>0205402006</t>
  </si>
  <si>
    <t>0209304008</t>
  </si>
  <si>
    <t>0209206029</t>
  </si>
  <si>
    <t>0209111018</t>
  </si>
  <si>
    <t>0205401062</t>
  </si>
  <si>
    <t>0209111009</t>
  </si>
  <si>
    <t>0209206034</t>
  </si>
  <si>
    <t>0209202037</t>
  </si>
  <si>
    <t>0208204013</t>
  </si>
  <si>
    <t>0209116002</t>
  </si>
  <si>
    <t>0205403006</t>
  </si>
  <si>
    <t>0209206031</t>
  </si>
  <si>
    <t>0208204047</t>
  </si>
  <si>
    <t>0209120014</t>
  </si>
  <si>
    <t>0208204015</t>
  </si>
  <si>
    <t>0209115009</t>
  </si>
  <si>
    <t>0209209012</t>
  </si>
  <si>
    <t>0209111010</t>
  </si>
  <si>
    <t>0204311002</t>
  </si>
  <si>
    <t>0209119029</t>
  </si>
  <si>
    <t>0209117017</t>
  </si>
  <si>
    <t>0205405004</t>
  </si>
  <si>
    <t>0209111001</t>
  </si>
  <si>
    <t>0205401029</t>
  </si>
  <si>
    <t>0205401063</t>
  </si>
  <si>
    <t>0209121010</t>
  </si>
  <si>
    <t>0205401016</t>
  </si>
  <si>
    <t>0205409011</t>
  </si>
  <si>
    <t>0205402007</t>
  </si>
  <si>
    <t>0204309039</t>
  </si>
  <si>
    <t>0209115008</t>
  </si>
  <si>
    <t>0205401009</t>
  </si>
  <si>
    <t>0209202041</t>
  </si>
  <si>
    <t>0205407007</t>
  </si>
  <si>
    <t>0205407001</t>
  </si>
  <si>
    <t>0205401020</t>
  </si>
  <si>
    <t>0209209015</t>
  </si>
  <si>
    <t>0204309067</t>
  </si>
  <si>
    <t>0208204043</t>
  </si>
  <si>
    <t>0205405010</t>
  </si>
  <si>
    <t>0209113011</t>
  </si>
  <si>
    <t>0209206032</t>
  </si>
  <si>
    <t>0209119008</t>
  </si>
  <si>
    <t>0209209018</t>
  </si>
  <si>
    <t>0205402012</t>
  </si>
  <si>
    <t>0203303007</t>
  </si>
  <si>
    <t>0209117018</t>
  </si>
  <si>
    <t>0205403007</t>
  </si>
  <si>
    <t>0209112018</t>
  </si>
  <si>
    <t>0209110001</t>
  </si>
  <si>
    <t>0204104010</t>
  </si>
  <si>
    <t>0205405006</t>
  </si>
  <si>
    <t>0205401017</t>
  </si>
  <si>
    <t>0209120010</t>
  </si>
  <si>
    <t>0209213016</t>
  </si>
  <si>
    <t>0209209014</t>
  </si>
  <si>
    <t>0209119015</t>
  </si>
  <si>
    <t>0204313019</t>
  </si>
  <si>
    <t>0209206027</t>
  </si>
  <si>
    <t>0209209013</t>
  </si>
  <si>
    <t>0209101012</t>
  </si>
  <si>
    <t>0209101010</t>
  </si>
  <si>
    <t>0209211003</t>
  </si>
  <si>
    <t>0208205019</t>
  </si>
  <si>
    <t>0209116016</t>
  </si>
  <si>
    <t>0209104009</t>
  </si>
  <si>
    <t>0208215001</t>
  </si>
  <si>
    <t>0209202034</t>
  </si>
  <si>
    <t>0209101035</t>
  </si>
  <si>
    <t>0209212011</t>
  </si>
  <si>
    <t>0209213013</t>
  </si>
  <si>
    <t>0209202028</t>
  </si>
  <si>
    <t>0208204014</t>
  </si>
  <si>
    <t>0205401008</t>
  </si>
  <si>
    <t>0209206033</t>
  </si>
  <si>
    <t>0209109011</t>
  </si>
  <si>
    <t>0209113008</t>
  </si>
  <si>
    <t>0209213003</t>
  </si>
  <si>
    <t>0203400021</t>
  </si>
  <si>
    <t>0205401042</t>
  </si>
  <si>
    <t>0209202026</t>
  </si>
  <si>
    <t>0209114012</t>
  </si>
  <si>
    <t>0209113009</t>
  </si>
  <si>
    <t>0205401004</t>
  </si>
  <si>
    <t>0204312009</t>
  </si>
  <si>
    <t>0209211007</t>
  </si>
  <si>
    <t>0208210003</t>
  </si>
  <si>
    <t>0209120006</t>
  </si>
  <si>
    <t>0209209016</t>
  </si>
  <si>
    <t>0205401018</t>
  </si>
  <si>
    <t>0205401035</t>
  </si>
  <si>
    <t>0205407008</t>
  </si>
  <si>
    <t>0205403019</t>
  </si>
  <si>
    <t>0208205012</t>
  </si>
  <si>
    <t>0205406014</t>
  </si>
  <si>
    <t>0209112001</t>
  </si>
  <si>
    <t>0205403009</t>
  </si>
  <si>
    <t>0205401059</t>
  </si>
  <si>
    <t>0209113006</t>
  </si>
  <si>
    <t>0209123003</t>
  </si>
  <si>
    <t>0208205021</t>
  </si>
  <si>
    <t>0205405005</t>
  </si>
  <si>
    <t>0209116019</t>
  </si>
  <si>
    <t>0209116004</t>
  </si>
  <si>
    <t>0204313001</t>
  </si>
  <si>
    <t>0204309070</t>
  </si>
  <si>
    <t>0209115006</t>
  </si>
  <si>
    <t>0205401026</t>
  </si>
  <si>
    <t>0205402001</t>
  </si>
  <si>
    <t>0209101029</t>
  </si>
  <si>
    <t>0208205010</t>
  </si>
  <si>
    <t>0205405002</t>
  </si>
  <si>
    <t>0205401064</t>
  </si>
  <si>
    <t>0204312003</t>
  </si>
  <si>
    <t>0209119007</t>
  </si>
  <si>
    <t>0208204038</t>
  </si>
  <si>
    <t>0209212018</t>
  </si>
  <si>
    <t>0209102019</t>
  </si>
  <si>
    <t>0205403008</t>
  </si>
  <si>
    <t>0205401007</t>
  </si>
  <si>
    <t>0209112013</t>
  </si>
  <si>
    <t>0209120017</t>
  </si>
  <si>
    <t>0209109012</t>
  </si>
  <si>
    <t>0208204005</t>
  </si>
  <si>
    <t>0205401019</t>
  </si>
  <si>
    <t>0209304002</t>
  </si>
  <si>
    <t>0209115016</t>
  </si>
  <si>
    <t>0205401066</t>
  </si>
  <si>
    <t>0205407009</t>
  </si>
  <si>
    <t>0209121019</t>
  </si>
  <si>
    <t>0209212007</t>
  </si>
  <si>
    <t>0209211002</t>
  </si>
  <si>
    <t>0205402010</t>
  </si>
  <si>
    <t>0208209012</t>
  </si>
  <si>
    <t>0209113010</t>
  </si>
  <si>
    <t>0204312001</t>
  </si>
  <si>
    <t>0205403001</t>
  </si>
  <si>
    <t>0209120007</t>
  </si>
  <si>
    <t>0204309069</t>
  </si>
  <si>
    <t>0209202040</t>
  </si>
  <si>
    <t>0205401051</t>
  </si>
  <si>
    <t>0209202038</t>
  </si>
  <si>
    <t>0209202039</t>
  </si>
  <si>
    <t>0209124011</t>
  </si>
  <si>
    <t>0205404003</t>
  </si>
  <si>
    <t>0205407004</t>
  </si>
  <si>
    <t>0209213012</t>
  </si>
  <si>
    <t>0204313024</t>
  </si>
  <si>
    <t>0209203027</t>
  </si>
  <si>
    <t>0209108008</t>
  </si>
  <si>
    <t>0209103005</t>
  </si>
  <si>
    <t>0205407011</t>
  </si>
  <si>
    <t>0209113001</t>
  </si>
  <si>
    <t>0205401034</t>
  </si>
  <si>
    <t>0209118003</t>
  </si>
  <si>
    <t>0208210006</t>
  </si>
  <si>
    <t>0209213002</t>
  </si>
  <si>
    <t>0209121009</t>
  </si>
  <si>
    <t>0209121008</t>
  </si>
  <si>
    <t>0209110019</t>
  </si>
  <si>
    <t>0205401006</t>
  </si>
  <si>
    <t>0209116003</t>
  </si>
  <si>
    <t>0209120005</t>
  </si>
  <si>
    <t>0204309076</t>
  </si>
  <si>
    <t>0205405008</t>
  </si>
  <si>
    <t>0209213011</t>
  </si>
  <si>
    <t>0209113004</t>
  </si>
  <si>
    <t>0205409002</t>
  </si>
  <si>
    <t>0209305007</t>
  </si>
  <si>
    <t>0209305004</t>
  </si>
  <si>
    <t>0205409005</t>
  </si>
  <si>
    <t>0205409006</t>
  </si>
  <si>
    <t>0205409007</t>
  </si>
  <si>
    <t>0205409008</t>
  </si>
  <si>
    <t>0208205026</t>
  </si>
  <si>
    <t>0205402011</t>
  </si>
  <si>
    <t>0209213009</t>
  </si>
  <si>
    <t>0209120013</t>
  </si>
  <si>
    <t>0209209017</t>
  </si>
  <si>
    <t>0208204004</t>
  </si>
  <si>
    <t>0209116015</t>
  </si>
  <si>
    <t>0209115007</t>
  </si>
  <si>
    <t>0205406004</t>
  </si>
  <si>
    <t>0205404002</t>
  </si>
  <si>
    <t>0204312012</t>
  </si>
  <si>
    <t>0205402002</t>
  </si>
  <si>
    <t>0208215011</t>
  </si>
  <si>
    <t>0205404006</t>
  </si>
  <si>
    <t>0209115002</t>
  </si>
  <si>
    <t>0205403010</t>
  </si>
  <si>
    <t>0204312005</t>
  </si>
  <si>
    <t>0209119027</t>
  </si>
  <si>
    <t>0209106018</t>
  </si>
  <si>
    <t>0208205014</t>
  </si>
  <si>
    <t>0208205013</t>
  </si>
  <si>
    <t>0205403005</t>
  </si>
  <si>
    <t>0204309038</t>
  </si>
  <si>
    <t>0209119006</t>
  </si>
  <si>
    <t>0205403020</t>
  </si>
  <si>
    <t>0208204048</t>
  </si>
  <si>
    <t>0205401067</t>
  </si>
  <si>
    <t>0208209005</t>
  </si>
  <si>
    <t>0209212021</t>
  </si>
  <si>
    <t>0209115015</t>
  </si>
  <si>
    <t>0209211012</t>
  </si>
  <si>
    <t>0205406005</t>
  </si>
  <si>
    <t>0205401005</t>
  </si>
  <si>
    <t>0209110051</t>
  </si>
  <si>
    <t>0209119030</t>
  </si>
  <si>
    <t>0205402004</t>
  </si>
  <si>
    <t>0209112019</t>
  </si>
  <si>
    <t>0209119028</t>
  </si>
  <si>
    <t>0205406003</t>
  </si>
  <si>
    <t>0209116014</t>
  </si>
  <si>
    <t>0205401038</t>
  </si>
  <si>
    <t>0204312010</t>
  </si>
  <si>
    <t>0209212008</t>
  </si>
  <si>
    <t>0208208004</t>
  </si>
  <si>
    <t>0205402003</t>
  </si>
  <si>
    <t>0209119017</t>
  </si>
  <si>
    <t>0204309031</t>
  </si>
  <si>
    <t>0209105002</t>
  </si>
  <si>
    <t>0209107011</t>
  </si>
  <si>
    <t>0209115010</t>
  </si>
  <si>
    <t>0209121024</t>
  </si>
  <si>
    <t>0204313020</t>
  </si>
  <si>
    <t>0209202025</t>
  </si>
  <si>
    <t>0209203032</t>
  </si>
  <si>
    <t>0209124002</t>
  </si>
  <si>
    <t>0209110033</t>
  </si>
  <si>
    <t>0208211002</t>
  </si>
  <si>
    <t>0209101040</t>
  </si>
  <si>
    <t>0208214003</t>
  </si>
  <si>
    <t>0208214007</t>
  </si>
  <si>
    <t>0209213010</t>
  </si>
  <si>
    <t>0204309045</t>
  </si>
  <si>
    <t>0205407015</t>
  </si>
  <si>
    <t>0209110034</t>
  </si>
  <si>
    <t>0209110044</t>
  </si>
  <si>
    <t>0209304013</t>
  </si>
  <si>
    <t>0209105008</t>
  </si>
  <si>
    <t>0209203031</t>
  </si>
  <si>
    <t>0204313025</t>
  </si>
  <si>
    <t>0209116013</t>
  </si>
  <si>
    <t>0209305010</t>
  </si>
  <si>
    <t>0209202033</t>
  </si>
  <si>
    <t>0209304004</t>
  </si>
  <si>
    <t>0204312013</t>
  </si>
  <si>
    <t>0208209001</t>
  </si>
  <si>
    <t>0208209009</t>
  </si>
  <si>
    <t>0208205025</t>
  </si>
  <si>
    <t>0209212020</t>
  </si>
  <si>
    <t>0209108009</t>
  </si>
  <si>
    <t>0204312014</t>
  </si>
  <si>
    <t>0204312004</t>
  </si>
  <si>
    <t>0204312008</t>
  </si>
  <si>
    <t>0204312006</t>
  </si>
  <si>
    <t>0204312007</t>
  </si>
  <si>
    <t>0209212009</t>
  </si>
  <si>
    <t>0205401023</t>
  </si>
  <si>
    <t>0204309023</t>
  </si>
  <si>
    <t>0209117010</t>
  </si>
  <si>
    <t>0204309027</t>
  </si>
  <si>
    <t>0204309026</t>
  </si>
  <si>
    <t>0204309025</t>
  </si>
  <si>
    <t>0204309024</t>
  </si>
  <si>
    <t>0209212010</t>
  </si>
  <si>
    <t>0204311003</t>
  </si>
  <si>
    <t>0209119014</t>
  </si>
  <si>
    <t>0204309042</t>
  </si>
  <si>
    <t>0205406012</t>
  </si>
  <si>
    <t>0204309029</t>
  </si>
  <si>
    <t>0209212013</t>
  </si>
  <si>
    <t>0204309043</t>
  </si>
  <si>
    <t>0205406013</t>
  </si>
  <si>
    <t>0209213008</t>
  </si>
  <si>
    <t>0209212019</t>
  </si>
  <si>
    <t>0204309044</t>
  </si>
  <si>
    <t>0209202029</t>
  </si>
  <si>
    <t>0209212002</t>
  </si>
  <si>
    <t>0205405014</t>
  </si>
  <si>
    <t>0205405013</t>
  </si>
  <si>
    <t>0209212003</t>
  </si>
  <si>
    <t>0204309030</t>
  </si>
  <si>
    <t>0204312002</t>
  </si>
  <si>
    <t>0209104021</t>
  </si>
  <si>
    <t>0205404005</t>
  </si>
  <si>
    <t>0205404004</t>
  </si>
  <si>
    <t>0205401047</t>
  </si>
  <si>
    <t>0204312011</t>
  </si>
  <si>
    <t>0209202030</t>
  </si>
  <si>
    <t>0209117001</t>
  </si>
  <si>
    <t>0205401055</t>
  </si>
  <si>
    <t>0209213017</t>
  </si>
  <si>
    <t>0205401054</t>
  </si>
  <si>
    <t>0205401044</t>
  </si>
  <si>
    <t>0209114006</t>
  </si>
  <si>
    <t>0209114002</t>
  </si>
  <si>
    <t>0209114011</t>
  </si>
  <si>
    <t>0209106010</t>
  </si>
  <si>
    <t>0209114007</t>
  </si>
  <si>
    <t>0209114010</t>
  </si>
  <si>
    <t>0209106001</t>
  </si>
  <si>
    <t>0209114009</t>
  </si>
  <si>
    <t>0209114005</t>
  </si>
  <si>
    <t>0205401043</t>
  </si>
  <si>
    <t>0209114008</t>
  </si>
  <si>
    <t>0205407014</t>
  </si>
  <si>
    <t>0209202031</t>
  </si>
  <si>
    <t>0209202023</t>
  </si>
  <si>
    <t>0209202021</t>
  </si>
  <si>
    <t>0209202022</t>
  </si>
  <si>
    <t>0209202024</t>
  </si>
  <si>
    <t>0208215002</t>
  </si>
  <si>
    <t>0205407005</t>
  </si>
  <si>
    <t>0209124004</t>
  </si>
  <si>
    <t>0205407006</t>
  </si>
  <si>
    <t>0209202032</t>
  </si>
  <si>
    <t>0209110049</t>
  </si>
  <si>
    <t>0209119009</t>
  </si>
  <si>
    <t>0205407003</t>
  </si>
  <si>
    <t>0208205011</t>
  </si>
  <si>
    <t>0204309047</t>
  </si>
  <si>
    <t>0209119010</t>
  </si>
  <si>
    <t>0204313009</t>
  </si>
  <si>
    <t>0204313008</t>
  </si>
  <si>
    <t>0204309062</t>
  </si>
  <si>
    <t>0204309046</t>
  </si>
  <si>
    <t>0208205018</t>
  </si>
  <si>
    <t>0204309066</t>
  </si>
  <si>
    <t>0209117016</t>
  </si>
  <si>
    <t>0208214002</t>
  </si>
  <si>
    <t>0209110030</t>
  </si>
  <si>
    <t>0209304009</t>
  </si>
  <si>
    <t>0208214001</t>
  </si>
  <si>
    <t>0209119026</t>
  </si>
  <si>
    <t>0204309071</t>
  </si>
  <si>
    <t>0209118019</t>
  </si>
  <si>
    <t>0209107010</t>
  </si>
  <si>
    <t>0204309063</t>
  </si>
  <si>
    <t>0209119011</t>
  </si>
  <si>
    <t>0209102011</t>
  </si>
  <si>
    <t>0209109002</t>
  </si>
  <si>
    <t>0208208006</t>
  </si>
  <si>
    <t>0209120011</t>
  </si>
  <si>
    <t>0209119003</t>
  </si>
  <si>
    <t>0209112017</t>
  </si>
  <si>
    <t>0209110048</t>
  </si>
  <si>
    <t>0205401050</t>
  </si>
  <si>
    <t>0208215007</t>
  </si>
  <si>
    <t>0204309068</t>
  </si>
  <si>
    <t>0209118001</t>
  </si>
  <si>
    <t>0204313018</t>
  </si>
  <si>
    <t>0208215008</t>
  </si>
  <si>
    <t>0205401045</t>
  </si>
  <si>
    <t>0209110050</t>
  </si>
  <si>
    <t>0204309058</t>
  </si>
  <si>
    <t>0209102015</t>
  </si>
  <si>
    <t>0209119018</t>
  </si>
  <si>
    <t>0208208001</t>
  </si>
  <si>
    <t>0208204046</t>
  </si>
  <si>
    <t>0208215009</t>
  </si>
  <si>
    <t>0209119032</t>
  </si>
  <si>
    <t>0209120002</t>
  </si>
  <si>
    <t>0208215010</t>
  </si>
  <si>
    <t>0205401037</t>
  </si>
  <si>
    <t>0209101034</t>
  </si>
  <si>
    <t>0205401036</t>
  </si>
  <si>
    <t>0209123006</t>
  </si>
  <si>
    <t>0209121021</t>
  </si>
  <si>
    <t>0208205029</t>
  </si>
  <si>
    <t>0209101008</t>
  </si>
  <si>
    <t>0209123008</t>
  </si>
  <si>
    <t>0209121033</t>
  </si>
  <si>
    <t>0209121030</t>
  </si>
  <si>
    <t>0209121027</t>
  </si>
  <si>
    <t>0209123009</t>
  </si>
  <si>
    <t>0208215003</t>
  </si>
  <si>
    <t>0208215005</t>
  </si>
  <si>
    <t>0209121025</t>
  </si>
  <si>
    <t>0209123011</t>
  </si>
  <si>
    <t>0209121031</t>
  </si>
  <si>
    <t>0209121032</t>
  </si>
  <si>
    <t>0209121026</t>
  </si>
  <si>
    <t>0209123010</t>
  </si>
  <si>
    <t>0209121028</t>
  </si>
  <si>
    <t>0209121029</t>
  </si>
  <si>
    <t>0208215004</t>
  </si>
  <si>
    <t>0209203028</t>
  </si>
  <si>
    <t>0209121017</t>
  </si>
  <si>
    <t>0209101037</t>
  </si>
  <si>
    <t>0209110031</t>
  </si>
  <si>
    <t>0209108016</t>
  </si>
  <si>
    <t>0208208008</t>
  </si>
  <si>
    <t>0209108020</t>
  </si>
  <si>
    <t>0209120001</t>
  </si>
  <si>
    <t>0209110046</t>
  </si>
  <si>
    <t>0209110032</t>
  </si>
  <si>
    <t>0209108015</t>
  </si>
  <si>
    <t>0209108017</t>
  </si>
  <si>
    <t>0209108019</t>
  </si>
  <si>
    <t>0209108018</t>
  </si>
  <si>
    <t>0209110045</t>
  </si>
  <si>
    <t>0209119023</t>
  </si>
  <si>
    <t>0208214005</t>
  </si>
  <si>
    <t>0209124005</t>
  </si>
  <si>
    <t>0208214006</t>
  </si>
  <si>
    <t>0208214004</t>
  </si>
  <si>
    <t>0209113007</t>
  </si>
  <si>
    <t>0209118004</t>
  </si>
  <si>
    <t>0208205017</t>
  </si>
  <si>
    <t>0208204042</t>
  </si>
  <si>
    <t>0209119022</t>
  </si>
  <si>
    <t>0209112007</t>
  </si>
  <si>
    <t>0208205016</t>
  </si>
  <si>
    <t>0209120012</t>
  </si>
  <si>
    <t>0209305009</t>
  </si>
  <si>
    <t>0209304005</t>
  </si>
  <si>
    <t>0205403002</t>
  </si>
  <si>
    <t>0209110047</t>
  </si>
  <si>
    <t>0209119016</t>
  </si>
  <si>
    <t>0208204041</t>
  </si>
  <si>
    <t>0208204039</t>
  </si>
  <si>
    <t>0208204040</t>
  </si>
  <si>
    <t>0209121037</t>
  </si>
  <si>
    <t>0209118009</t>
  </si>
  <si>
    <t>0208207023</t>
  </si>
  <si>
    <t>0209106009</t>
  </si>
  <si>
    <t>0209110043</t>
  </si>
  <si>
    <t>0209119012</t>
  </si>
  <si>
    <t>0209101019</t>
  </si>
  <si>
    <t>0209101020</t>
  </si>
  <si>
    <t>0208205034</t>
  </si>
  <si>
    <t>0209108007</t>
  </si>
  <si>
    <t>0209121018</t>
  </si>
  <si>
    <t>0209119019</t>
  </si>
  <si>
    <t>0209117005</t>
  </si>
  <si>
    <t>0209110040</t>
  </si>
  <si>
    <t>0209110035</t>
  </si>
  <si>
    <t>0209110038</t>
  </si>
  <si>
    <t>0209110042</t>
  </si>
  <si>
    <t>0209110039</t>
  </si>
  <si>
    <t>0209110036</t>
  </si>
  <si>
    <t>0209110041</t>
  </si>
  <si>
    <t>0209110037</t>
  </si>
  <si>
    <t>0208205033</t>
  </si>
  <si>
    <t>0209103002</t>
  </si>
  <si>
    <t>0209118010</t>
  </si>
  <si>
    <t>0209103001</t>
  </si>
  <si>
    <t>0209121013</t>
  </si>
  <si>
    <t>0209112016</t>
  </si>
  <si>
    <t>0209101013</t>
  </si>
  <si>
    <t>0208205030</t>
  </si>
  <si>
    <t>0209121014</t>
  </si>
  <si>
    <t>0209112008</t>
  </si>
  <si>
    <t>0209119013</t>
  </si>
  <si>
    <t>0204309059</t>
  </si>
  <si>
    <t>0209103003</t>
  </si>
  <si>
    <t>0208205035</t>
  </si>
  <si>
    <t>0208205032</t>
  </si>
  <si>
    <t>0209304003</t>
  </si>
  <si>
    <t>0209112006</t>
  </si>
  <si>
    <t>0209118002</t>
  </si>
  <si>
    <t>0208209004</t>
  </si>
  <si>
    <t>0204313017</t>
  </si>
  <si>
    <t>0208205031</t>
  </si>
  <si>
    <t>0204302004</t>
  </si>
  <si>
    <t>0209110014</t>
  </si>
  <si>
    <t>0209110013</t>
  </si>
  <si>
    <t>0209118011</t>
  </si>
  <si>
    <t>0209102018</t>
  </si>
  <si>
    <t>0209104007</t>
  </si>
  <si>
    <t>0208207001</t>
  </si>
  <si>
    <t>0208208007</t>
  </si>
  <si>
    <t>0209305008</t>
  </si>
  <si>
    <t>0209121007</t>
  </si>
  <si>
    <t>0209117006</t>
  </si>
  <si>
    <t>0204313003</t>
  </si>
  <si>
    <t>0208209003</t>
  </si>
  <si>
    <t>0208209008</t>
  </si>
  <si>
    <t>0208207022</t>
  </si>
  <si>
    <t>0209124001</t>
  </si>
  <si>
    <t>0209305003</t>
  </si>
  <si>
    <t>0209110020</t>
  </si>
  <si>
    <t>0209110021</t>
  </si>
  <si>
    <t>0209121034</t>
  </si>
  <si>
    <t>0209112005</t>
  </si>
  <si>
    <t>0208209007</t>
  </si>
  <si>
    <t>0209110024</t>
  </si>
  <si>
    <t>0209112020</t>
  </si>
  <si>
    <t>0208208003</t>
  </si>
  <si>
    <t>0209117015</t>
  </si>
  <si>
    <t>0209304010</t>
  </si>
  <si>
    <t>0209108004</t>
  </si>
  <si>
    <t>0204313004</t>
  </si>
  <si>
    <t>0209108005</t>
  </si>
  <si>
    <t>0209103004</t>
  </si>
  <si>
    <t>0209101033</t>
  </si>
  <si>
    <t>0204309065</t>
  </si>
  <si>
    <t>0209121006</t>
  </si>
  <si>
    <t>0209108006</t>
  </si>
  <si>
    <t>0209104002</t>
  </si>
  <si>
    <t>0204313012</t>
  </si>
  <si>
    <t>0209121003</t>
  </si>
  <si>
    <t>0209112009</t>
  </si>
  <si>
    <t>0208207041</t>
  </si>
  <si>
    <t>0209108001</t>
  </si>
  <si>
    <t>0209104005</t>
  </si>
  <si>
    <t>0209104003</t>
  </si>
  <si>
    <t>0209101032</t>
  </si>
  <si>
    <t>0209103006</t>
  </si>
  <si>
    <t>0209124006</t>
  </si>
  <si>
    <t>0209104004</t>
  </si>
  <si>
    <t>0209124010</t>
  </si>
  <si>
    <t>0209124009</t>
  </si>
  <si>
    <t>0209110025</t>
  </si>
  <si>
    <t>0209121005</t>
  </si>
  <si>
    <t>0209104006</t>
  </si>
  <si>
    <t>0209118005</t>
  </si>
  <si>
    <t>0209104001</t>
  </si>
  <si>
    <t>0208209002</t>
  </si>
  <si>
    <t>0209117007</t>
  </si>
  <si>
    <t>0209110023</t>
  </si>
  <si>
    <t>0209117003</t>
  </si>
  <si>
    <t>0209121022</t>
  </si>
  <si>
    <t>0208204044</t>
  </si>
  <si>
    <t>0209107015</t>
  </si>
  <si>
    <t>0209110004</t>
  </si>
  <si>
    <t>0208208009</t>
  </si>
  <si>
    <t>0204313006</t>
  </si>
  <si>
    <t>0209107009</t>
  </si>
  <si>
    <t>0209121023</t>
  </si>
  <si>
    <t>0208204045</t>
  </si>
  <si>
    <t>0204309072</t>
  </si>
  <si>
    <t>0209104015</t>
  </si>
  <si>
    <t>0209101041</t>
  </si>
  <si>
    <t>0209104017</t>
  </si>
  <si>
    <t>0209104013</t>
  </si>
  <si>
    <t>0204309057</t>
  </si>
  <si>
    <t>0204313015</t>
  </si>
  <si>
    <t>0209121004</t>
  </si>
  <si>
    <t>0209112010</t>
  </si>
  <si>
    <t>0209304006</t>
  </si>
  <si>
    <t>0204309064</t>
  </si>
  <si>
    <t>0209107014</t>
  </si>
  <si>
    <t>0208207035</t>
  </si>
  <si>
    <t>0209112004</t>
  </si>
  <si>
    <t>0209101014</t>
  </si>
  <si>
    <t>0209110006</t>
  </si>
  <si>
    <t>0209108003</t>
  </si>
  <si>
    <t>0204313007</t>
  </si>
  <si>
    <t>0208207038</t>
  </si>
  <si>
    <t>0209209001</t>
  </si>
  <si>
    <t>0208207036</t>
  </si>
  <si>
    <t>0208207031</t>
  </si>
  <si>
    <t>0208207033</t>
  </si>
  <si>
    <t>0208207026</t>
  </si>
  <si>
    <t>0209117013</t>
  </si>
  <si>
    <t>0209117009</t>
  </si>
  <si>
    <t>0208207028</t>
  </si>
  <si>
    <t>0208207029</t>
  </si>
  <si>
    <t>0209304007</t>
  </si>
  <si>
    <t>0209112011</t>
  </si>
  <si>
    <t>0209104008</t>
  </si>
  <si>
    <t>0208207039</t>
  </si>
  <si>
    <t>0208207024</t>
  </si>
  <si>
    <t>0208207037</t>
  </si>
  <si>
    <t>0209107016</t>
  </si>
  <si>
    <t>0208207032</t>
  </si>
  <si>
    <t>0208207030</t>
  </si>
  <si>
    <t>0208207027</t>
  </si>
  <si>
    <t>0209304011</t>
  </si>
  <si>
    <t>0204313013</t>
  </si>
  <si>
    <t>0208207025</t>
  </si>
  <si>
    <t>0208208005</t>
  </si>
  <si>
    <t>0209112012</t>
  </si>
  <si>
    <t>0209102014</t>
  </si>
  <si>
    <t>0209117008</t>
  </si>
  <si>
    <t>0208207034</t>
  </si>
  <si>
    <t>0204313010</t>
  </si>
  <si>
    <t>0204313014</t>
  </si>
  <si>
    <t>0209117014</t>
  </si>
  <si>
    <t>0209101042</t>
  </si>
  <si>
    <t>0209104012</t>
  </si>
  <si>
    <t>0209104016</t>
  </si>
  <si>
    <t>0209101043</t>
  </si>
  <si>
    <t>0209104014</t>
  </si>
  <si>
    <t>0209101044</t>
  </si>
  <si>
    <t>0209104011</t>
  </si>
  <si>
    <t>0209117004</t>
  </si>
  <si>
    <t>0209101045</t>
  </si>
  <si>
    <t>0209101046</t>
  </si>
  <si>
    <t>0209104018</t>
  </si>
  <si>
    <t>0209101048</t>
  </si>
  <si>
    <t>0209101047</t>
  </si>
  <si>
    <t>0209117002</t>
  </si>
  <si>
    <t>0209101049</t>
  </si>
  <si>
    <t>0209109022</t>
  </si>
  <si>
    <t>0209110005</t>
  </si>
  <si>
    <t>0209305002</t>
  </si>
  <si>
    <t>0209111017</t>
  </si>
  <si>
    <t>0209111008</t>
  </si>
  <si>
    <t>0209111016</t>
  </si>
  <si>
    <t>0209111015</t>
  </si>
  <si>
    <t>0209111007</t>
  </si>
  <si>
    <t>0209305001</t>
  </si>
  <si>
    <t>0209111006</t>
  </si>
  <si>
    <t>0209111014</t>
  </si>
  <si>
    <t>0209109021</t>
  </si>
  <si>
    <t>0209109018</t>
  </si>
  <si>
    <t>0209111013</t>
  </si>
  <si>
    <t>0209109014</t>
  </si>
  <si>
    <t>0209111005</t>
  </si>
  <si>
    <t>0209111004</t>
  </si>
  <si>
    <t>0209109013</t>
  </si>
  <si>
    <t>0209111012</t>
  </si>
  <si>
    <t>0209111011</t>
  </si>
  <si>
    <t>0209109017</t>
  </si>
  <si>
    <t>0209112021</t>
  </si>
  <si>
    <t>0204313005</t>
  </si>
  <si>
    <t>0209110007</t>
  </si>
  <si>
    <t>0209101023</t>
  </si>
  <si>
    <t>0209101017</t>
  </si>
  <si>
    <t>0209101022</t>
  </si>
  <si>
    <t>0209101024</t>
  </si>
  <si>
    <t>0209101021</t>
  </si>
  <si>
    <t>0209101015</t>
  </si>
  <si>
    <t>0209101016</t>
  </si>
  <si>
    <t>0204309051</t>
  </si>
  <si>
    <t>0209104020</t>
  </si>
  <si>
    <t>0209101018</t>
  </si>
  <si>
    <t>0208207040</t>
  </si>
  <si>
    <t>0208207013</t>
  </si>
  <si>
    <t>0208207015</t>
  </si>
  <si>
    <t>0208207004</t>
  </si>
  <si>
    <t>0208207002</t>
  </si>
  <si>
    <t>0208207005</t>
  </si>
  <si>
    <t>0209109004</t>
  </si>
  <si>
    <t>0208207017</t>
  </si>
  <si>
    <t>0208207007</t>
  </si>
  <si>
    <t>0209109006</t>
  </si>
  <si>
    <t>0208207012</t>
  </si>
  <si>
    <t>0208207010</t>
  </si>
  <si>
    <t>0208207008</t>
  </si>
  <si>
    <t>0209110022</t>
  </si>
  <si>
    <t>0208210005</t>
  </si>
  <si>
    <t>0208207021</t>
  </si>
  <si>
    <t>0209304012</t>
  </si>
  <si>
    <t>0208210004</t>
  </si>
  <si>
    <t>0208210002</t>
  </si>
  <si>
    <t>0205408001</t>
  </si>
  <si>
    <t>0205408003</t>
  </si>
  <si>
    <t>0205408002</t>
  </si>
  <si>
    <t>0209109005</t>
  </si>
  <si>
    <t>0209109003</t>
  </si>
  <si>
    <t>0204313011</t>
  </si>
  <si>
    <t>0204309055</t>
  </si>
  <si>
    <t>0209104010</t>
  </si>
  <si>
    <t>0209118018</t>
  </si>
  <si>
    <t>0204313002</t>
  </si>
  <si>
    <t>0209108013</t>
  </si>
  <si>
    <t>0209108014</t>
  </si>
  <si>
    <t>0209113003</t>
  </si>
  <si>
    <t>0209104019</t>
  </si>
  <si>
    <t>0209117012</t>
  </si>
  <si>
    <t>0209113002</t>
  </si>
  <si>
    <t>0209107013</t>
  </si>
  <si>
    <t>0209110015</t>
  </si>
  <si>
    <t>0209110009</t>
  </si>
  <si>
    <t>0209110012</t>
  </si>
  <si>
    <t>0209110008</t>
  </si>
  <si>
    <t>0209110028</t>
  </si>
  <si>
    <t>0209110011</t>
  </si>
  <si>
    <t>0209110016</t>
  </si>
  <si>
    <t>0209110010</t>
  </si>
  <si>
    <t>0209110017</t>
  </si>
  <si>
    <t>0208208002</t>
  </si>
  <si>
    <t>0209110027</t>
  </si>
  <si>
    <t>0204309056</t>
  </si>
  <si>
    <t>0209110002</t>
  </si>
  <si>
    <t>0209101031</t>
  </si>
  <si>
    <t>0208207009</t>
  </si>
  <si>
    <t>0209110003</t>
  </si>
  <si>
    <t>0209110026</t>
  </si>
  <si>
    <t>0208207006</t>
  </si>
  <si>
    <t>0208207016</t>
  </si>
  <si>
    <t>0208207018</t>
  </si>
  <si>
    <t>0209118012</t>
  </si>
  <si>
    <t>0209118017</t>
  </si>
  <si>
    <t>0209118015</t>
  </si>
  <si>
    <t>0209118014</t>
  </si>
  <si>
    <t>0208207003</t>
  </si>
  <si>
    <t>0209118006</t>
  </si>
  <si>
    <t>0209118013</t>
  </si>
  <si>
    <t>0209118008</t>
  </si>
  <si>
    <t>0209118007</t>
  </si>
  <si>
    <t>0208207014</t>
  </si>
  <si>
    <t>0209118016</t>
  </si>
  <si>
    <t>0208207011</t>
  </si>
  <si>
    <t>0209108002</t>
  </si>
  <si>
    <t>0209106008</t>
  </si>
  <si>
    <t>0209107012</t>
  </si>
  <si>
    <t>0209102012</t>
  </si>
  <si>
    <t>0208209006</t>
  </si>
  <si>
    <t>0209101011</t>
  </si>
  <si>
    <t>0209107007</t>
  </si>
  <si>
    <t>0209107017</t>
  </si>
  <si>
    <t>0209107008</t>
  </si>
  <si>
    <t>0209102013</t>
  </si>
  <si>
    <t>0209117011</t>
  </si>
  <si>
    <t>0209105007</t>
  </si>
  <si>
    <t>0209105003</t>
  </si>
  <si>
    <t>0209105006</t>
  </si>
  <si>
    <t>0204302003</t>
  </si>
  <si>
    <t>0209101030</t>
  </si>
  <si>
    <t>0209106002</t>
  </si>
  <si>
    <t>0209106015</t>
  </si>
  <si>
    <t>0209106013</t>
  </si>
  <si>
    <t>0209106007</t>
  </si>
  <si>
    <t>0204309052</t>
  </si>
  <si>
    <t>0209106014</t>
  </si>
  <si>
    <t>0209106003</t>
  </si>
  <si>
    <t>0209106006</t>
  </si>
  <si>
    <t>0208219025</t>
  </si>
  <si>
    <t>0209112022</t>
  </si>
  <si>
    <t>0208219023</t>
  </si>
  <si>
    <t>0208219024</t>
  </si>
  <si>
    <t>0208219032</t>
  </si>
  <si>
    <t>0208219028</t>
  </si>
  <si>
    <t>0208219031</t>
  </si>
  <si>
    <t>0208219029</t>
  </si>
  <si>
    <t>0208219030</t>
  </si>
  <si>
    <t>0209101038</t>
  </si>
  <si>
    <t>0203311020</t>
  </si>
  <si>
    <t>0204313016</t>
  </si>
  <si>
    <t>0613312002</t>
  </si>
  <si>
    <t>0212103012</t>
  </si>
  <si>
    <t>0212103018</t>
  </si>
  <si>
    <t>0213409034</t>
  </si>
  <si>
    <t>0212102009</t>
  </si>
  <si>
    <t>0212104020</t>
  </si>
  <si>
    <t>0212104023</t>
  </si>
  <si>
    <t>0932207022</t>
  </si>
  <si>
    <t>0212105032</t>
  </si>
  <si>
    <t>0915201021</t>
  </si>
  <si>
    <t>0212105033</t>
  </si>
  <si>
    <t>0212103005</t>
  </si>
  <si>
    <t>0914102026</t>
  </si>
  <si>
    <t>0914101009</t>
  </si>
  <si>
    <t>0914102009</t>
  </si>
  <si>
    <t>0212105011</t>
  </si>
  <si>
    <t>0914101034</t>
  </si>
  <si>
    <t>0914101033</t>
  </si>
  <si>
    <t>0212102007</t>
  </si>
  <si>
    <t>0709201070</t>
  </si>
  <si>
    <t>0709201081</t>
  </si>
  <si>
    <t>0621409001</t>
  </si>
  <si>
    <t>0212103015</t>
  </si>
  <si>
    <t>0212104021</t>
  </si>
  <si>
    <t>0212101009</t>
  </si>
  <si>
    <t>0212103001</t>
  </si>
  <si>
    <t>0212101008</t>
  </si>
  <si>
    <t>0212102002</t>
  </si>
  <si>
    <t>0212102001</t>
  </si>
  <si>
    <t>0212102006</t>
  </si>
  <si>
    <t>0212102005</t>
  </si>
  <si>
    <t>0212103002</t>
  </si>
  <si>
    <t>0212103003</t>
  </si>
  <si>
    <t>0212103004</t>
  </si>
  <si>
    <t>0212104003</t>
  </si>
  <si>
    <t>0212104006</t>
  </si>
  <si>
    <t>0212102008</t>
  </si>
  <si>
    <t>0212102004</t>
  </si>
  <si>
    <t>0325109010</t>
  </si>
  <si>
    <t>0212105004</t>
  </si>
  <si>
    <t>0212104010</t>
  </si>
  <si>
    <t>0212104009</t>
  </si>
  <si>
    <t>0212105005</t>
  </si>
  <si>
    <t>0212104007</t>
  </si>
  <si>
    <t>0212102015</t>
  </si>
  <si>
    <t>0914101022</t>
  </si>
  <si>
    <t>0212102011</t>
  </si>
  <si>
    <t>0212102012</t>
  </si>
  <si>
    <t>0212102014</t>
  </si>
  <si>
    <t>0212103007</t>
  </si>
  <si>
    <t>0212103008</t>
  </si>
  <si>
    <t>0212103009</t>
  </si>
  <si>
    <t>0212103010</t>
  </si>
  <si>
    <t>0212105012</t>
  </si>
  <si>
    <t>0212105013</t>
  </si>
  <si>
    <t>1011400005</t>
  </si>
  <si>
    <t>0526307119</t>
  </si>
  <si>
    <t>0526307124</t>
  </si>
  <si>
    <t>0526307118</t>
  </si>
  <si>
    <t>0526307113</t>
  </si>
  <si>
    <t>0526307114</t>
  </si>
  <si>
    <t>0526307107</t>
  </si>
  <si>
    <t>1011301001</t>
  </si>
  <si>
    <t>0935401002</t>
  </si>
  <si>
    <t>0935401001</t>
  </si>
  <si>
    <t>1011400004</t>
  </si>
  <si>
    <t>0934314003</t>
  </si>
  <si>
    <t>0934314004</t>
  </si>
  <si>
    <t>0934314002</t>
  </si>
  <si>
    <t>0934314005</t>
  </si>
  <si>
    <t>0609218002</t>
  </si>
  <si>
    <t>0610101016</t>
  </si>
  <si>
    <t>0609201005</t>
  </si>
  <si>
    <t>0609201006</t>
  </si>
  <si>
    <t>0604323016</t>
  </si>
  <si>
    <t>0603300006</t>
  </si>
  <si>
    <t>0609200005</t>
  </si>
  <si>
    <t>0603122016</t>
  </si>
  <si>
    <t>0610105010</t>
  </si>
  <si>
    <t>0610100005</t>
  </si>
  <si>
    <t>0610105002</t>
  </si>
  <si>
    <t>0610201034</t>
  </si>
  <si>
    <t>0603122001</t>
  </si>
  <si>
    <t>0609200017</t>
  </si>
  <si>
    <t>0610200006</t>
  </si>
  <si>
    <t>0610200009</t>
  </si>
  <si>
    <t>0610200013</t>
  </si>
  <si>
    <t>0610200012</t>
  </si>
  <si>
    <t>0610200005</t>
  </si>
  <si>
    <t>0609220001</t>
  </si>
  <si>
    <t>0610105005</t>
  </si>
  <si>
    <t>0610116003</t>
  </si>
  <si>
    <t>0609220014</t>
  </si>
  <si>
    <t>0609201008</t>
  </si>
  <si>
    <t>0610119002</t>
  </si>
  <si>
    <t>0609200019</t>
  </si>
  <si>
    <t>0610201013</t>
  </si>
  <si>
    <t>0610201004</t>
  </si>
  <si>
    <t>0604322017</t>
  </si>
  <si>
    <t>0603313022</t>
  </si>
  <si>
    <t>0609201007</t>
  </si>
  <si>
    <t>0604412033</t>
  </si>
  <si>
    <t>0610105011</t>
  </si>
  <si>
    <t>0603314023</t>
  </si>
  <si>
    <t>0610104001</t>
  </si>
  <si>
    <t>0610103003</t>
  </si>
  <si>
    <t>0604322020</t>
  </si>
  <si>
    <t>0604321016</t>
  </si>
  <si>
    <t>0610116008</t>
  </si>
  <si>
    <t>0609202003</t>
  </si>
  <si>
    <t>0603122012</t>
  </si>
  <si>
    <t>0609220002</t>
  </si>
  <si>
    <t>0603122009</t>
  </si>
  <si>
    <t>0610201003</t>
  </si>
  <si>
    <t>0603122015</t>
  </si>
  <si>
    <t>0603122014</t>
  </si>
  <si>
    <t>0603122013</t>
  </si>
  <si>
    <t>0603122010</t>
  </si>
  <si>
    <t>0610118016</t>
  </si>
  <si>
    <t>0610101014</t>
  </si>
  <si>
    <t>0604414023</t>
  </si>
  <si>
    <t>0604414022</t>
  </si>
  <si>
    <t>0604410038</t>
  </si>
  <si>
    <t>0609202029</t>
  </si>
  <si>
    <t>0609202030</t>
  </si>
  <si>
    <t>0610200019</t>
  </si>
  <si>
    <t>0603126006</t>
  </si>
  <si>
    <t>0604102023</t>
  </si>
  <si>
    <t>0603121007</t>
  </si>
  <si>
    <t>0604102020</t>
  </si>
  <si>
    <t>0604102018</t>
  </si>
  <si>
    <t>0604102017</t>
  </si>
  <si>
    <t>0603128008</t>
  </si>
  <si>
    <t>0604102019</t>
  </si>
  <si>
    <t>0604102021</t>
  </si>
  <si>
    <t>0604102022</t>
  </si>
  <si>
    <t>0603128007</t>
  </si>
  <si>
    <t>0603127010</t>
  </si>
  <si>
    <t>0603127011</t>
  </si>
  <si>
    <t>0603128009</t>
  </si>
  <si>
    <t>0603128010</t>
  </si>
  <si>
    <t>0603126007</t>
  </si>
  <si>
    <t>0603304004</t>
  </si>
  <si>
    <t>0610123004</t>
  </si>
  <si>
    <t>0604225020</t>
  </si>
  <si>
    <t>0610217004</t>
  </si>
  <si>
    <t>0603304002</t>
  </si>
  <si>
    <t>0610114011</t>
  </si>
  <si>
    <t>0603303019</t>
  </si>
  <si>
    <t>0603303020</t>
  </si>
  <si>
    <t>0604403014</t>
  </si>
  <si>
    <t>0604225023</t>
  </si>
  <si>
    <t>0604225022</t>
  </si>
  <si>
    <t>0610114010</t>
  </si>
  <si>
    <t>0610114009</t>
  </si>
  <si>
    <t>0404412012</t>
  </si>
  <si>
    <t>0409201007</t>
  </si>
  <si>
    <t>0410120032</t>
  </si>
  <si>
    <t>0410120028</t>
  </si>
  <si>
    <t>0410120036</t>
  </si>
  <si>
    <t>0410106012</t>
  </si>
  <si>
    <t>0409201009</t>
  </si>
  <si>
    <t>0409203003</t>
  </si>
  <si>
    <t>0410106009</t>
  </si>
  <si>
    <t>0410106011</t>
  </si>
  <si>
    <t>0410119034</t>
  </si>
  <si>
    <t>0410106010</t>
  </si>
  <si>
    <t>0410120029</t>
  </si>
  <si>
    <t>0409203005</t>
  </si>
  <si>
    <t>0410109001</t>
  </si>
  <si>
    <t>0409223008</t>
  </si>
  <si>
    <t>0404413007</t>
  </si>
  <si>
    <t>0409210006</t>
  </si>
  <si>
    <t>0404413008</t>
  </si>
  <si>
    <t>0409223007</t>
  </si>
  <si>
    <t>0409223005</t>
  </si>
  <si>
    <t>0409223001</t>
  </si>
  <si>
    <t>0409210012</t>
  </si>
  <si>
    <t>0410121001</t>
  </si>
  <si>
    <t>0409223003</t>
  </si>
  <si>
    <t>0410119012</t>
  </si>
  <si>
    <t>0409210002</t>
  </si>
  <si>
    <t>0410129008</t>
  </si>
  <si>
    <t>0410122020</t>
  </si>
  <si>
    <t>0404413004</t>
  </si>
  <si>
    <t>0410129007</t>
  </si>
  <si>
    <t>0410119058</t>
  </si>
  <si>
    <t>0410128019</t>
  </si>
  <si>
    <t>0410128020</t>
  </si>
  <si>
    <t>0410121016</t>
  </si>
  <si>
    <t>0410121015</t>
  </si>
  <si>
    <t>0410121017</t>
  </si>
  <si>
    <t>0410123006</t>
  </si>
  <si>
    <t>0410123013</t>
  </si>
  <si>
    <t>0410122021</t>
  </si>
  <si>
    <t>0410128021</t>
  </si>
  <si>
    <t>0409210013</t>
  </si>
  <si>
    <t>0128300009</t>
  </si>
  <si>
    <t>0410202064</t>
  </si>
  <si>
    <t>0410202060</t>
  </si>
  <si>
    <t>0410202061</t>
  </si>
  <si>
    <t>0410202062</t>
  </si>
  <si>
    <t>0410202065</t>
  </si>
  <si>
    <t>0410202063</t>
  </si>
  <si>
    <t>0410202059</t>
  </si>
  <si>
    <t>0410123010</t>
  </si>
  <si>
    <t>0410122010</t>
  </si>
  <si>
    <t>0409223009</t>
  </si>
  <si>
    <t>0910306012</t>
  </si>
  <si>
    <t>0910306011</t>
  </si>
  <si>
    <t>0910303008</t>
  </si>
  <si>
    <t>0909222011</t>
  </si>
  <si>
    <t>0910100001</t>
  </si>
  <si>
    <t>0903308026</t>
  </si>
  <si>
    <t>0903308025</t>
  </si>
  <si>
    <t>0909221022</t>
  </si>
  <si>
    <t>0909222024</t>
  </si>
  <si>
    <t>0909414013</t>
  </si>
  <si>
    <t>0909215017</t>
  </si>
  <si>
    <t>0909215014</t>
  </si>
  <si>
    <t>0909211038</t>
  </si>
  <si>
    <t>0909211029</t>
  </si>
  <si>
    <t>0909211026</t>
  </si>
  <si>
    <t>0909211028</t>
  </si>
  <si>
    <t>0909211021</t>
  </si>
  <si>
    <t>0910100024</t>
  </si>
  <si>
    <t>0910112003</t>
  </si>
  <si>
    <t>0910100010</t>
  </si>
  <si>
    <t>0910100014</t>
  </si>
  <si>
    <t>0910112007</t>
  </si>
  <si>
    <t>0910100011</t>
  </si>
  <si>
    <t>0910100015</t>
  </si>
  <si>
    <t>0910100006</t>
  </si>
  <si>
    <t>0909221018</t>
  </si>
  <si>
    <t>0909204003</t>
  </si>
  <si>
    <t>0903304008</t>
  </si>
  <si>
    <t>0910310006</t>
  </si>
  <si>
    <t>0904409010</t>
  </si>
  <si>
    <t>0904409011</t>
  </si>
  <si>
    <t>0915106003</t>
  </si>
  <si>
    <t>0903314001</t>
  </si>
  <si>
    <t>0916207012</t>
  </si>
  <si>
    <t>0910310005</t>
  </si>
  <si>
    <t>0915102042</t>
  </si>
  <si>
    <t>0634300033</t>
  </si>
  <si>
    <t>0903308006</t>
  </si>
  <si>
    <t>0910315005</t>
  </si>
  <si>
    <t>0915102041</t>
  </si>
  <si>
    <t>0910310008</t>
  </si>
  <si>
    <t>0910315004</t>
  </si>
  <si>
    <t>0910315003</t>
  </si>
  <si>
    <t>0910315002</t>
  </si>
  <si>
    <t>0910315001</t>
  </si>
  <si>
    <t>0904409025</t>
  </si>
  <si>
    <t>0915102043</t>
  </si>
  <si>
    <t>0915102025</t>
  </si>
  <si>
    <t>0910310003</t>
  </si>
  <si>
    <t>0910310002</t>
  </si>
  <si>
    <t>0916205034</t>
  </si>
  <si>
    <t>0915105004</t>
  </si>
  <si>
    <t>0904409035</t>
  </si>
  <si>
    <t>0915102028</t>
  </si>
  <si>
    <t>0916204032</t>
  </si>
  <si>
    <t>0904409026</t>
  </si>
  <si>
    <t>0909403005</t>
  </si>
  <si>
    <t>0909402005</t>
  </si>
  <si>
    <t>0916205035</t>
  </si>
  <si>
    <t>0909219021</t>
  </si>
  <si>
    <t>0909218021</t>
  </si>
  <si>
    <t>0915105001</t>
  </si>
  <si>
    <t>0634300034</t>
  </si>
  <si>
    <t>0916204039</t>
  </si>
  <si>
    <t>0915105002</t>
  </si>
  <si>
    <t>0916206027</t>
  </si>
  <si>
    <t>0909421019</t>
  </si>
  <si>
    <t>0909421015</t>
  </si>
  <si>
    <t>0909428015</t>
  </si>
  <si>
    <t>0910315007</t>
  </si>
  <si>
    <t>0910315006</t>
  </si>
  <si>
    <t>0910315008</t>
  </si>
  <si>
    <t>0916206029</t>
  </si>
  <si>
    <t>0916206028</t>
  </si>
  <si>
    <t>0916206030</t>
  </si>
  <si>
    <t>0909428024</t>
  </si>
  <si>
    <t>0910114017</t>
  </si>
  <si>
    <t>0634300031</t>
  </si>
  <si>
    <t>0916206031</t>
  </si>
  <si>
    <t>0915105003</t>
  </si>
  <si>
    <t>0909400005</t>
  </si>
  <si>
    <t>0909403001</t>
  </si>
  <si>
    <t>0909403003</t>
  </si>
  <si>
    <t>0909400004</t>
  </si>
  <si>
    <t>0909401004</t>
  </si>
  <si>
    <t>0909400003</t>
  </si>
  <si>
    <t>0909403002</t>
  </si>
  <si>
    <t>0909402004</t>
  </si>
  <si>
    <t>0909400002</t>
  </si>
  <si>
    <t>0909402003</t>
  </si>
  <si>
    <t>0909401001</t>
  </si>
  <si>
    <t>0909217025</t>
  </si>
  <si>
    <t>0909217020</t>
  </si>
  <si>
    <t>0909218017</t>
  </si>
  <si>
    <t>0909219016</t>
  </si>
  <si>
    <t>0909220016</t>
  </si>
  <si>
    <t>0904409028</t>
  </si>
  <si>
    <t>0904409030</t>
  </si>
  <si>
    <t>0904409029</t>
  </si>
  <si>
    <t>0904409027</t>
  </si>
  <si>
    <t>0916205031</t>
  </si>
  <si>
    <t>0634300025</t>
  </si>
  <si>
    <t>0916205033</t>
  </si>
  <si>
    <t>0910114016</t>
  </si>
  <si>
    <t>0909404001</t>
  </si>
  <si>
    <t>0915100012</t>
  </si>
  <si>
    <t>0915100026</t>
  </si>
  <si>
    <t>0909220023</t>
  </si>
  <si>
    <t>0915100025</t>
  </si>
  <si>
    <t>0909404007</t>
  </si>
  <si>
    <t>0910114015</t>
  </si>
  <si>
    <t>0910114014</t>
  </si>
  <si>
    <t>0910114013</t>
  </si>
  <si>
    <t>0909217024</t>
  </si>
  <si>
    <t>0909404004</t>
  </si>
  <si>
    <t>0909421032</t>
  </si>
  <si>
    <t>0909421031</t>
  </si>
  <si>
    <t>0909401002</t>
  </si>
  <si>
    <t>0909218022</t>
  </si>
  <si>
    <t>0909219017</t>
  </si>
  <si>
    <t>0909218018</t>
  </si>
  <si>
    <t>0909220017</t>
  </si>
  <si>
    <t>0909217021</t>
  </si>
  <si>
    <t>0909219018</t>
  </si>
  <si>
    <t>0909217017</t>
  </si>
  <si>
    <t>0909220018</t>
  </si>
  <si>
    <t>0921102047</t>
  </si>
  <si>
    <t>0922102045</t>
  </si>
  <si>
    <t>0922101081</t>
  </si>
  <si>
    <t>0903308008</t>
  </si>
  <si>
    <t>0903308007</t>
  </si>
  <si>
    <t>0903304028</t>
  </si>
  <si>
    <t>0903304006</t>
  </si>
  <si>
    <t>0904409036</t>
  </si>
  <si>
    <t>0916205032</t>
  </si>
  <si>
    <t>0910310004</t>
  </si>
  <si>
    <t>0910315009</t>
  </si>
  <si>
    <t>0909401003</t>
  </si>
  <si>
    <t>0909220020</t>
  </si>
  <si>
    <t>0909216020</t>
  </si>
  <si>
    <t>0909217016</t>
  </si>
  <si>
    <t>0634300036</t>
  </si>
  <si>
    <t>0521102016</t>
  </si>
  <si>
    <t>0521101015</t>
  </si>
  <si>
    <t>0521101017</t>
  </si>
  <si>
    <t>0521101016</t>
  </si>
  <si>
    <t>0516422024</t>
  </si>
  <si>
    <t>0516422022</t>
  </si>
  <si>
    <t>0516337019</t>
  </si>
  <si>
    <t>0516422023</t>
  </si>
  <si>
    <t>0516422014</t>
  </si>
  <si>
    <t>0521101014</t>
  </si>
  <si>
    <t>0521101018</t>
  </si>
  <si>
    <t>0516329018</t>
  </si>
  <si>
    <t>0516336019</t>
  </si>
  <si>
    <t>0521102005</t>
  </si>
  <si>
    <t>0521102021</t>
  </si>
  <si>
    <t>0521102022</t>
  </si>
  <si>
    <t>0517420023</t>
  </si>
  <si>
    <t>0516323010</t>
  </si>
  <si>
    <t>0516323003</t>
  </si>
  <si>
    <t>0516336017</t>
  </si>
  <si>
    <t>0516336018</t>
  </si>
  <si>
    <t>0520205042</t>
  </si>
  <si>
    <t>0516300001</t>
  </si>
  <si>
    <t>0517403019</t>
  </si>
  <si>
    <t>0516322014</t>
  </si>
  <si>
    <t>0516322018</t>
  </si>
  <si>
    <t>0516337022</t>
  </si>
  <si>
    <t>0521103038</t>
  </si>
  <si>
    <t>0521201050</t>
  </si>
  <si>
    <t>0520205054</t>
  </si>
  <si>
    <t>0521103039</t>
  </si>
  <si>
    <t>0516424031</t>
  </si>
  <si>
    <t>0521201049</t>
  </si>
  <si>
    <t>0521200075</t>
  </si>
  <si>
    <t>0515324020</t>
  </si>
  <si>
    <t>0516136026</t>
  </si>
  <si>
    <t>0516300017</t>
  </si>
  <si>
    <t>0517417058</t>
  </si>
  <si>
    <t>0516303025</t>
  </si>
  <si>
    <t>0517411006</t>
  </si>
  <si>
    <t>0522200028</t>
  </si>
  <si>
    <t>0516316012</t>
  </si>
  <si>
    <t>0515327038</t>
  </si>
  <si>
    <t>0515327036</t>
  </si>
  <si>
    <t>0515326026</t>
  </si>
  <si>
    <t>0515327037</t>
  </si>
  <si>
    <t>0515417040</t>
  </si>
  <si>
    <t>0517420073</t>
  </si>
  <si>
    <t>0517411003</t>
  </si>
  <si>
    <t>0522102011</t>
  </si>
  <si>
    <t>0522102012</t>
  </si>
  <si>
    <t>0516336015</t>
  </si>
  <si>
    <t>0522103013</t>
  </si>
  <si>
    <t>0522103014</t>
  </si>
  <si>
    <t>0522200006</t>
  </si>
  <si>
    <t>0522103015</t>
  </si>
  <si>
    <t>0517420072</t>
  </si>
  <si>
    <t>0516323006</t>
  </si>
  <si>
    <t>0522103022</t>
  </si>
  <si>
    <t>0522103020</t>
  </si>
  <si>
    <t>0522200023</t>
  </si>
  <si>
    <t>0522103023</t>
  </si>
  <si>
    <t>0522200021</t>
  </si>
  <si>
    <t>0516136027</t>
  </si>
  <si>
    <t>0515417032</t>
  </si>
  <si>
    <t>0516315007</t>
  </si>
  <si>
    <t>0521100019</t>
  </si>
  <si>
    <t>0516418009</t>
  </si>
  <si>
    <t>0516302068</t>
  </si>
  <si>
    <t>0516303020</t>
  </si>
  <si>
    <t>0516323007</t>
  </si>
  <si>
    <t>0516329015</t>
  </si>
  <si>
    <t>0516303005</t>
  </si>
  <si>
    <t>0517403021</t>
  </si>
  <si>
    <t>0516323008</t>
  </si>
  <si>
    <t>0522200027</t>
  </si>
  <si>
    <t>0517231007</t>
  </si>
  <si>
    <t>0517231008</t>
  </si>
  <si>
    <t>0516320014</t>
  </si>
  <si>
    <t>0516320013</t>
  </si>
  <si>
    <t>0517231012</t>
  </si>
  <si>
    <t>0517402001</t>
  </si>
  <si>
    <t>0509301005</t>
  </si>
  <si>
    <t>0517231009</t>
  </si>
  <si>
    <t>0517231011</t>
  </si>
  <si>
    <t>0517404002</t>
  </si>
  <si>
    <t>0517232008</t>
  </si>
  <si>
    <t>0517232009</t>
  </si>
  <si>
    <t>0517404001</t>
  </si>
  <si>
    <t>0517402005</t>
  </si>
  <si>
    <t>0517402007</t>
  </si>
  <si>
    <t>0517232025</t>
  </si>
  <si>
    <t>0517232024</t>
  </si>
  <si>
    <t>0517232014</t>
  </si>
  <si>
    <t>0517232015</t>
  </si>
  <si>
    <t>0517232026</t>
  </si>
  <si>
    <t>0517232016</t>
  </si>
  <si>
    <t>0517232033</t>
  </si>
  <si>
    <t>0517402012</t>
  </si>
  <si>
    <t>0517232031</t>
  </si>
  <si>
    <t>0517232029</t>
  </si>
  <si>
    <t>0517232032</t>
  </si>
  <si>
    <t>0516127009</t>
  </si>
  <si>
    <t>0516127006</t>
  </si>
  <si>
    <t>0509307024</t>
  </si>
  <si>
    <t>0509305005</t>
  </si>
  <si>
    <t>0509305015</t>
  </si>
  <si>
    <t>0522204003</t>
  </si>
  <si>
    <t>0522204002</t>
  </si>
  <si>
    <t>0517227015</t>
  </si>
  <si>
    <t>0516320026</t>
  </si>
  <si>
    <t>0509217050</t>
  </si>
  <si>
    <t>0516328012</t>
  </si>
  <si>
    <t>0516327015</t>
  </si>
  <si>
    <t>0519305045</t>
  </si>
  <si>
    <t>0517215018</t>
  </si>
  <si>
    <t>0516401012</t>
  </si>
  <si>
    <t>0516401026</t>
  </si>
  <si>
    <t>0516332010</t>
  </si>
  <si>
    <t>0519305026</t>
  </si>
  <si>
    <t>0519101019</t>
  </si>
  <si>
    <t>0519305025</t>
  </si>
  <si>
    <t>0519305028</t>
  </si>
  <si>
    <t>0516328005</t>
  </si>
  <si>
    <t>0516328006</t>
  </si>
  <si>
    <t>0516332003</t>
  </si>
  <si>
    <t>0516332002</t>
  </si>
  <si>
    <t>0516332005</t>
  </si>
  <si>
    <t>0519305022</t>
  </si>
  <si>
    <t>0516327006</t>
  </si>
  <si>
    <t>0519305023</t>
  </si>
  <si>
    <t>0516327014</t>
  </si>
  <si>
    <t>0519101013</t>
  </si>
  <si>
    <t>0519305024</t>
  </si>
  <si>
    <t>0516328010</t>
  </si>
  <si>
    <t>0515300003</t>
  </si>
  <si>
    <t>0519305029</t>
  </si>
  <si>
    <t>0516333011</t>
  </si>
  <si>
    <t>0516401033</t>
  </si>
  <si>
    <t>0516402002</t>
  </si>
  <si>
    <t>0516401032</t>
  </si>
  <si>
    <t>0516332009</t>
  </si>
  <si>
    <t>0516327005</t>
  </si>
  <si>
    <t>0516332007</t>
  </si>
  <si>
    <t>0516332006</t>
  </si>
  <si>
    <t>0516403019</t>
  </si>
  <si>
    <t>0516403022</t>
  </si>
  <si>
    <t>0516403023</t>
  </si>
  <si>
    <t>0516402010</t>
  </si>
  <si>
    <t>0516329010</t>
  </si>
  <si>
    <t>0516403018</t>
  </si>
  <si>
    <t>0516401021</t>
  </si>
  <si>
    <t>0515300002</t>
  </si>
  <si>
    <t>0519305027</t>
  </si>
  <si>
    <t>0519305018</t>
  </si>
  <si>
    <t>0516401020</t>
  </si>
  <si>
    <t>0519101020</t>
  </si>
  <si>
    <t>0516333005</t>
  </si>
  <si>
    <t>0516401005</t>
  </si>
  <si>
    <t>0516401019</t>
  </si>
  <si>
    <t>0519415056</t>
  </si>
  <si>
    <t>0519305030</t>
  </si>
  <si>
    <t>0519415055</t>
  </si>
  <si>
    <t>0519101021</t>
  </si>
  <si>
    <t>0517412013</t>
  </si>
  <si>
    <t>0516401018</t>
  </si>
  <si>
    <t>0516401004</t>
  </si>
  <si>
    <t>0516401017</t>
  </si>
  <si>
    <t>0516329003</t>
  </si>
  <si>
    <t>0516334006</t>
  </si>
  <si>
    <t>0519305021</t>
  </si>
  <si>
    <t>0516327003</t>
  </si>
  <si>
    <t>0519305038</t>
  </si>
  <si>
    <t>0519305039</t>
  </si>
  <si>
    <t>0519305040</t>
  </si>
  <si>
    <t>0519305041</t>
  </si>
  <si>
    <t>0516327011</t>
  </si>
  <si>
    <t>0516401003</t>
  </si>
  <si>
    <t>0516401016</t>
  </si>
  <si>
    <t>0519101014</t>
  </si>
  <si>
    <t>0519305043</t>
  </si>
  <si>
    <t>0519305037</t>
  </si>
  <si>
    <t>0516334005</t>
  </si>
  <si>
    <t>0519305044</t>
  </si>
  <si>
    <t>0516334002</t>
  </si>
  <si>
    <t>0516401002</t>
  </si>
  <si>
    <t>0519305042</t>
  </si>
  <si>
    <t>0519305031</t>
  </si>
  <si>
    <t>0516401001</t>
  </si>
  <si>
    <t>0516328015</t>
  </si>
  <si>
    <t>0519101016</t>
  </si>
  <si>
    <t>0519101015</t>
  </si>
  <si>
    <t>0516328014</t>
  </si>
  <si>
    <t>0508421003</t>
  </si>
  <si>
    <t>0516333006</t>
  </si>
  <si>
    <t>0516334007</t>
  </si>
  <si>
    <t>0508421001</t>
  </si>
  <si>
    <t>0515119090</t>
  </si>
  <si>
    <t>0516327009</t>
  </si>
  <si>
    <t>0516327007</t>
  </si>
  <si>
    <t>0516327008</t>
  </si>
  <si>
    <t>0509102059</t>
  </si>
  <si>
    <t>0516327002</t>
  </si>
  <si>
    <t>0510112015</t>
  </si>
  <si>
    <t>0510112014</t>
  </si>
  <si>
    <t>0516329012</t>
  </si>
  <si>
    <t>0516329011</t>
  </si>
  <si>
    <t>0516329002</t>
  </si>
  <si>
    <t>0516329001</t>
  </si>
  <si>
    <t>0517418067</t>
  </si>
  <si>
    <t>0508418010</t>
  </si>
  <si>
    <t>0516401011</t>
  </si>
  <si>
    <t>0516401029</t>
  </si>
  <si>
    <t>0516401028</t>
  </si>
  <si>
    <t>0508418009</t>
  </si>
  <si>
    <t>0516401031</t>
  </si>
  <si>
    <t>0516401030</t>
  </si>
  <si>
    <t>0516329013</t>
  </si>
  <si>
    <t>0922203015</t>
  </si>
  <si>
    <t>0923207006</t>
  </si>
  <si>
    <t>0923206039</t>
  </si>
  <si>
    <t>0923206013</t>
  </si>
  <si>
    <t>0923207001</t>
  </si>
  <si>
    <t>0923206034</t>
  </si>
  <si>
    <t>0923206012</t>
  </si>
  <si>
    <t>0923206008</t>
  </si>
  <si>
    <t>0923206014</t>
  </si>
  <si>
    <t>0923207007</t>
  </si>
  <si>
    <t>0923206026</t>
  </si>
  <si>
    <t>0923207005</t>
  </si>
  <si>
    <t>0923207008</t>
  </si>
  <si>
    <t>0923206040</t>
  </si>
  <si>
    <t>0923206011</t>
  </si>
  <si>
    <t>0923206029</t>
  </si>
  <si>
    <t>0923206033</t>
  </si>
  <si>
    <t>0923206043</t>
  </si>
  <si>
    <t>0923206044</t>
  </si>
  <si>
    <t>0923206042</t>
  </si>
  <si>
    <t>0923206035</t>
  </si>
  <si>
    <t>0923206010</t>
  </si>
  <si>
    <t>0923206036</t>
  </si>
  <si>
    <t>0923206002</t>
  </si>
  <si>
    <t>0923206009</t>
  </si>
  <si>
    <t>0923206049</t>
  </si>
  <si>
    <t>0923206003</t>
  </si>
  <si>
    <t>0923206038</t>
  </si>
  <si>
    <t>0923206025</t>
  </si>
  <si>
    <t>0923206052</t>
  </si>
  <si>
    <t>0923206015</t>
  </si>
  <si>
    <t>0923206016</t>
  </si>
  <si>
    <t>0923206017</t>
  </si>
  <si>
    <t>0923206045</t>
  </si>
  <si>
    <t>0923206018</t>
  </si>
  <si>
    <t>0923206019</t>
  </si>
  <si>
    <t>0923206020</t>
  </si>
  <si>
    <t>0923206004</t>
  </si>
  <si>
    <t>0923206006</t>
  </si>
  <si>
    <t>0923206005</t>
  </si>
  <si>
    <t>0923206007</t>
  </si>
  <si>
    <t>0923207002</t>
  </si>
  <si>
    <t>0923207003</t>
  </si>
  <si>
    <t>0923207004</t>
  </si>
  <si>
    <t>0923206021</t>
  </si>
  <si>
    <t>0923206041</t>
  </si>
  <si>
    <t>0923206022</t>
  </si>
  <si>
    <t>0923206023</t>
  </si>
  <si>
    <t>0923206024</t>
  </si>
  <si>
    <t>0923206051</t>
  </si>
  <si>
    <t>0923206046</t>
  </si>
  <si>
    <t>0923206048</t>
  </si>
  <si>
    <t>0923206030</t>
  </si>
  <si>
    <t>0923206031</t>
  </si>
  <si>
    <t>0923206032</t>
  </si>
  <si>
    <t>0923100031</t>
  </si>
  <si>
    <t>0316207005</t>
  </si>
  <si>
    <t>0316206004</t>
  </si>
  <si>
    <t>0315109001</t>
  </si>
  <si>
    <t>0316204004</t>
  </si>
  <si>
    <t>0316207008</t>
  </si>
  <si>
    <t>0315104017</t>
  </si>
  <si>
    <t>0315104016</t>
  </si>
  <si>
    <t>0315105017</t>
  </si>
  <si>
    <t>0315105018</t>
  </si>
  <si>
    <t>0315104020</t>
  </si>
  <si>
    <t>0315104021</t>
  </si>
  <si>
    <t>0315104019</t>
  </si>
  <si>
    <t>0316207007</t>
  </si>
  <si>
    <t>0315307009</t>
  </si>
  <si>
    <t>0315307008</t>
  </si>
  <si>
    <t>0316120014</t>
  </si>
  <si>
    <t>0316117025</t>
  </si>
  <si>
    <t>0316117022</t>
  </si>
  <si>
    <t>0316117023</t>
  </si>
  <si>
    <t>0316117024</t>
  </si>
  <si>
    <t>0316117021</t>
  </si>
  <si>
    <t>0316309010</t>
  </si>
  <si>
    <t>0316120012</t>
  </si>
  <si>
    <t>0316120011</t>
  </si>
  <si>
    <t>0316309003</t>
  </si>
  <si>
    <t>0316309030</t>
  </si>
  <si>
    <t>0824306028</t>
  </si>
  <si>
    <t>0824414018</t>
  </si>
  <si>
    <t>0824414007</t>
  </si>
  <si>
    <t>0824411012</t>
  </si>
  <si>
    <t>0824411004</t>
  </si>
  <si>
    <t>0824402005</t>
  </si>
  <si>
    <t>0824411011</t>
  </si>
  <si>
    <t>0836102014</t>
  </si>
  <si>
    <t>0824408017</t>
  </si>
  <si>
    <t>0836103031</t>
  </si>
  <si>
    <t>0824316013</t>
  </si>
  <si>
    <t>0824410002</t>
  </si>
  <si>
    <t>0824415029</t>
  </si>
  <si>
    <t>0824411013</t>
  </si>
  <si>
    <t>0824415019</t>
  </si>
  <si>
    <t>0824411025</t>
  </si>
  <si>
    <t>0824414019</t>
  </si>
  <si>
    <t>0824411003</t>
  </si>
  <si>
    <t>0824411026</t>
  </si>
  <si>
    <t>0824410021</t>
  </si>
  <si>
    <t>0836103027</t>
  </si>
  <si>
    <t>0824306024</t>
  </si>
  <si>
    <t>0824411010</t>
  </si>
  <si>
    <t>0824414006</t>
  </si>
  <si>
    <t>0824414005</t>
  </si>
  <si>
    <t>0824411002</t>
  </si>
  <si>
    <t>0824410003</t>
  </si>
  <si>
    <t>0836103023</t>
  </si>
  <si>
    <t>0824315001</t>
  </si>
  <si>
    <t>0824410020</t>
  </si>
  <si>
    <t>0824415042</t>
  </si>
  <si>
    <t>0824414040</t>
  </si>
  <si>
    <t>0824415034</t>
  </si>
  <si>
    <t>0824417001</t>
  </si>
  <si>
    <t>0824307092</t>
  </si>
  <si>
    <t>0824402004</t>
  </si>
  <si>
    <t>0824414043</t>
  </si>
  <si>
    <t>0836103021</t>
  </si>
  <si>
    <t>0824316014</t>
  </si>
  <si>
    <t>0836103024</t>
  </si>
  <si>
    <t>0836102013</t>
  </si>
  <si>
    <t>0824413019</t>
  </si>
  <si>
    <t>0824411005</t>
  </si>
  <si>
    <t>0824414002</t>
  </si>
  <si>
    <t>0824316017</t>
  </si>
  <si>
    <t>0824110012</t>
  </si>
  <si>
    <t>0824411014</t>
  </si>
  <si>
    <t>0824414011</t>
  </si>
  <si>
    <t>0836103036</t>
  </si>
  <si>
    <t>0824411008</t>
  </si>
  <si>
    <t>0824411009</t>
  </si>
  <si>
    <t>0824306026</t>
  </si>
  <si>
    <t>0824414003</t>
  </si>
  <si>
    <t>0824411015</t>
  </si>
  <si>
    <t>0824411007</t>
  </si>
  <si>
    <t>0824411006</t>
  </si>
  <si>
    <t>0824306027</t>
  </si>
  <si>
    <t>0824414025</t>
  </si>
  <si>
    <t>0824413008</t>
  </si>
  <si>
    <t>0824410019</t>
  </si>
  <si>
    <t>0824414041</t>
  </si>
  <si>
    <t>0824317030</t>
  </si>
  <si>
    <t>0824411016</t>
  </si>
  <si>
    <t>0824414009</t>
  </si>
  <si>
    <t>0824204008</t>
  </si>
  <si>
    <t>0824318010</t>
  </si>
  <si>
    <t>0824306025</t>
  </si>
  <si>
    <t>0824413016</t>
  </si>
  <si>
    <t>0824413017</t>
  </si>
  <si>
    <t>0824414008</t>
  </si>
  <si>
    <t>0824415011</t>
  </si>
  <si>
    <t>0824411024</t>
  </si>
  <si>
    <t>0836103020</t>
  </si>
  <si>
    <t>0824415030</t>
  </si>
  <si>
    <t>0824303034</t>
  </si>
  <si>
    <t>0824315002</t>
  </si>
  <si>
    <t>0824413018</t>
  </si>
  <si>
    <t>0824414001</t>
  </si>
  <si>
    <t>0824413015</t>
  </si>
  <si>
    <t>0824316011</t>
  </si>
  <si>
    <t>0824414029</t>
  </si>
  <si>
    <t>0824110009</t>
  </si>
  <si>
    <t>0824420006</t>
  </si>
  <si>
    <t>0824302012</t>
  </si>
  <si>
    <t>0824316012</t>
  </si>
  <si>
    <t>0824413007</t>
  </si>
  <si>
    <t>0824302005</t>
  </si>
  <si>
    <t>0824413013</t>
  </si>
  <si>
    <t>0824408035</t>
  </si>
  <si>
    <t>0824402003</t>
  </si>
  <si>
    <t>0824414017</t>
  </si>
  <si>
    <t>0836103032</t>
  </si>
  <si>
    <t>0824411018</t>
  </si>
  <si>
    <t>0836103033</t>
  </si>
  <si>
    <t>0824317007</t>
  </si>
  <si>
    <t>0824416001</t>
  </si>
  <si>
    <t>0824414026</t>
  </si>
  <si>
    <t>0824410018</t>
  </si>
  <si>
    <t>0824316005</t>
  </si>
  <si>
    <t>0836103028</t>
  </si>
  <si>
    <t>0824316015</t>
  </si>
  <si>
    <t>0824415007</t>
  </si>
  <si>
    <t>0824415006</t>
  </si>
  <si>
    <t>0824302013</t>
  </si>
  <si>
    <t>0824411022</t>
  </si>
  <si>
    <t>0824405017</t>
  </si>
  <si>
    <t>0824307076</t>
  </si>
  <si>
    <t>0836103013</t>
  </si>
  <si>
    <t>0824415008</t>
  </si>
  <si>
    <t>0824417002</t>
  </si>
  <si>
    <t>0824415040</t>
  </si>
  <si>
    <t>0824310012</t>
  </si>
  <si>
    <t>0824317019</t>
  </si>
  <si>
    <t>0824413012</t>
  </si>
  <si>
    <t>0824411017</t>
  </si>
  <si>
    <t>0824415005</t>
  </si>
  <si>
    <t>0824317009</t>
  </si>
  <si>
    <t>0824415010</t>
  </si>
  <si>
    <t>0824319021</t>
  </si>
  <si>
    <t>0824307089</t>
  </si>
  <si>
    <t>0824306038</t>
  </si>
  <si>
    <t>0824316009</t>
  </si>
  <si>
    <t>0824110008</t>
  </si>
  <si>
    <t>0824417003</t>
  </si>
  <si>
    <t>0824411021</t>
  </si>
  <si>
    <t>0824310007</t>
  </si>
  <si>
    <t>0824413009</t>
  </si>
  <si>
    <t>0824413010</t>
  </si>
  <si>
    <t>0824413011</t>
  </si>
  <si>
    <t>0824109020</t>
  </si>
  <si>
    <t>0824111030</t>
  </si>
  <si>
    <t>0824417004</t>
  </si>
  <si>
    <t>0824316018</t>
  </si>
  <si>
    <t>0824411020</t>
  </si>
  <si>
    <t>0824415033</t>
  </si>
  <si>
    <t>0824414044</t>
  </si>
  <si>
    <t>0824416008</t>
  </si>
  <si>
    <t>0824411023</t>
  </si>
  <si>
    <t>0824316006</t>
  </si>
  <si>
    <t>0824414027</t>
  </si>
  <si>
    <t>0824410017</t>
  </si>
  <si>
    <t>0824415009</t>
  </si>
  <si>
    <t>0824310010</t>
  </si>
  <si>
    <t>0824414004</t>
  </si>
  <si>
    <t>0824411019</t>
  </si>
  <si>
    <t>0824415004</t>
  </si>
  <si>
    <t>0824414028</t>
  </si>
  <si>
    <t>0824413006</t>
  </si>
  <si>
    <t>0824417005</t>
  </si>
  <si>
    <t>0824404002</t>
  </si>
  <si>
    <t>0824415022</t>
  </si>
  <si>
    <t>0824413005</t>
  </si>
  <si>
    <t>0824415023</t>
  </si>
  <si>
    <t>0824413004</t>
  </si>
  <si>
    <t>0824413003</t>
  </si>
  <si>
    <t>0824415024</t>
  </si>
  <si>
    <t>0824316010</t>
  </si>
  <si>
    <t>0824310011</t>
  </si>
  <si>
    <t>0824111033</t>
  </si>
  <si>
    <t>0824413002</t>
  </si>
  <si>
    <t>0824415025</t>
  </si>
  <si>
    <t>0824415026</t>
  </si>
  <si>
    <t>0824416004</t>
  </si>
  <si>
    <t>0824416003</t>
  </si>
  <si>
    <t>0824415027</t>
  </si>
  <si>
    <t>0824415001</t>
  </si>
  <si>
    <t>0824316001</t>
  </si>
  <si>
    <t>0824414016</t>
  </si>
  <si>
    <t>0824415041</t>
  </si>
  <si>
    <t>0824416002</t>
  </si>
  <si>
    <t>0824415002</t>
  </si>
  <si>
    <t>0824408019</t>
  </si>
  <si>
    <t>0836103025</t>
  </si>
  <si>
    <t>0824110001</t>
  </si>
  <si>
    <t>0824417007</t>
  </si>
  <si>
    <t>0824416009</t>
  </si>
  <si>
    <t>0824416010</t>
  </si>
  <si>
    <t>0824413001</t>
  </si>
  <si>
    <t>0824416011</t>
  </si>
  <si>
    <t>0824416012</t>
  </si>
  <si>
    <t>0824307091</t>
  </si>
  <si>
    <t>0824109018</t>
  </si>
  <si>
    <t>0824317005</t>
  </si>
  <si>
    <t>0836103026</t>
  </si>
  <si>
    <t>0824307077</t>
  </si>
  <si>
    <t>0824415003</t>
  </si>
  <si>
    <t>0824414024</t>
  </si>
  <si>
    <t>0824414039</t>
  </si>
  <si>
    <t>0824110013</t>
  </si>
  <si>
    <t>0824310008</t>
  </si>
  <si>
    <t>0824410016</t>
  </si>
  <si>
    <t>0824307090</t>
  </si>
  <si>
    <t>0824414020</t>
  </si>
  <si>
    <t>0824110003</t>
  </si>
  <si>
    <t>0824316002</t>
  </si>
  <si>
    <t>0824415021</t>
  </si>
  <si>
    <t>0824416005</t>
  </si>
  <si>
    <t>0824410004</t>
  </si>
  <si>
    <t>0824410005</t>
  </si>
  <si>
    <t>0824410006</t>
  </si>
  <si>
    <t>0824410008</t>
  </si>
  <si>
    <t>0824410007</t>
  </si>
  <si>
    <t>0824410009</t>
  </si>
  <si>
    <t>0824410010</t>
  </si>
  <si>
    <t>0824410011</t>
  </si>
  <si>
    <t>0824410013</t>
  </si>
  <si>
    <t>0824310001</t>
  </si>
  <si>
    <t>0824410012</t>
  </si>
  <si>
    <t>0824410014</t>
  </si>
  <si>
    <t>0824410015</t>
  </si>
  <si>
    <t>0824416013</t>
  </si>
  <si>
    <t>0824402007</t>
  </si>
  <si>
    <t>0824312001</t>
  </si>
  <si>
    <t>0824415035</t>
  </si>
  <si>
    <t>0836103016</t>
  </si>
  <si>
    <t>0824110011</t>
  </si>
  <si>
    <t>0836103030</t>
  </si>
  <si>
    <t>0824415020</t>
  </si>
  <si>
    <t>0824416014</t>
  </si>
  <si>
    <t>0836103001</t>
  </si>
  <si>
    <t>0824414032</t>
  </si>
  <si>
    <t>0824316004</t>
  </si>
  <si>
    <t>0824417008</t>
  </si>
  <si>
    <t>0824414042</t>
  </si>
  <si>
    <t>0824316003</t>
  </si>
  <si>
    <t>0824317003</t>
  </si>
  <si>
    <t>0824315005</t>
  </si>
  <si>
    <t>0824309018</t>
  </si>
  <si>
    <t>0836102001</t>
  </si>
  <si>
    <t>0836103014</t>
  </si>
  <si>
    <t>0824309017</t>
  </si>
  <si>
    <t>0824315004</t>
  </si>
  <si>
    <t>0824316008</t>
  </si>
  <si>
    <t>0824416006</t>
  </si>
  <si>
    <t>0824414048</t>
  </si>
  <si>
    <t>0824415032</t>
  </si>
  <si>
    <t>0824315006</t>
  </si>
  <si>
    <t>0824317004</t>
  </si>
  <si>
    <t>0824312002</t>
  </si>
  <si>
    <t>0824402006</t>
  </si>
  <si>
    <t>0824401004</t>
  </si>
  <si>
    <t>0824306023</t>
  </si>
  <si>
    <t>0824414015</t>
  </si>
  <si>
    <t>0824420005</t>
  </si>
  <si>
    <t>0836103015</t>
  </si>
  <si>
    <t>0824317020</t>
  </si>
  <si>
    <t>0824111032</t>
  </si>
  <si>
    <t>0824110004</t>
  </si>
  <si>
    <t>0824316007</t>
  </si>
  <si>
    <t>0824317001</t>
  </si>
  <si>
    <t>0824302023</t>
  </si>
  <si>
    <t>0824317006</t>
  </si>
  <si>
    <t>0824415031</t>
  </si>
  <si>
    <t>0824310009</t>
  </si>
  <si>
    <t>0824111018</t>
  </si>
  <si>
    <t>0824316022</t>
  </si>
  <si>
    <t>0824415018</t>
  </si>
  <si>
    <t>0824414037</t>
  </si>
  <si>
    <t>0824419011</t>
  </si>
  <si>
    <t>0824414022</t>
  </si>
  <si>
    <t>0824414036</t>
  </si>
  <si>
    <t>0824315008</t>
  </si>
  <si>
    <t>0824315011</t>
  </si>
  <si>
    <t>0824110002</t>
  </si>
  <si>
    <t>0824317002</t>
  </si>
  <si>
    <t>0824418002</t>
  </si>
  <si>
    <t>0836103009</t>
  </si>
  <si>
    <t>0836103008</t>
  </si>
  <si>
    <t>0836103010</t>
  </si>
  <si>
    <t>0824305001</t>
  </si>
  <si>
    <t>0824315003</t>
  </si>
  <si>
    <t>0824414021</t>
  </si>
  <si>
    <t>0824401001</t>
  </si>
  <si>
    <t>0824414023</t>
  </si>
  <si>
    <t>0836103035</t>
  </si>
  <si>
    <t>0824415016</t>
  </si>
  <si>
    <t>0824312003</t>
  </si>
  <si>
    <t>0836103034</t>
  </si>
  <si>
    <t>0824414034</t>
  </si>
  <si>
    <t>0824414031</t>
  </si>
  <si>
    <t>0824414038</t>
  </si>
  <si>
    <t>0824401002</t>
  </si>
  <si>
    <t>0836103011</t>
  </si>
  <si>
    <t>0824404027</t>
  </si>
  <si>
    <t>0824415017</t>
  </si>
  <si>
    <t>0824414035</t>
  </si>
  <si>
    <t>0824415038</t>
  </si>
  <si>
    <t>0824414047</t>
  </si>
  <si>
    <t>0824317014</t>
  </si>
  <si>
    <t>0824415037</t>
  </si>
  <si>
    <t>0824316016</t>
  </si>
  <si>
    <t>0824315019</t>
  </si>
  <si>
    <t>0824414030</t>
  </si>
  <si>
    <t>0824406019</t>
  </si>
  <si>
    <t>0824418003</t>
  </si>
  <si>
    <t>0824405001</t>
  </si>
  <si>
    <t>0824418004</t>
  </si>
  <si>
    <t>0824303039</t>
  </si>
  <si>
    <t>0824317013</t>
  </si>
  <si>
    <t>0824317029</t>
  </si>
  <si>
    <t>0824415014</t>
  </si>
  <si>
    <t>0824318005</t>
  </si>
  <si>
    <t>0824110010</t>
  </si>
  <si>
    <t>0824415036</t>
  </si>
  <si>
    <t>0824315010</t>
  </si>
  <si>
    <t>0824406009</t>
  </si>
  <si>
    <t>0824418008</t>
  </si>
  <si>
    <t>0824305002</t>
  </si>
  <si>
    <t>0824315009</t>
  </si>
  <si>
    <t>0824414045</t>
  </si>
  <si>
    <t>0824317021</t>
  </si>
  <si>
    <t>0824415028</t>
  </si>
  <si>
    <t>0824418009</t>
  </si>
  <si>
    <t>0836103007</t>
  </si>
  <si>
    <t>0824111003</t>
  </si>
  <si>
    <t>0824414014</t>
  </si>
  <si>
    <t>0824416007</t>
  </si>
  <si>
    <t>0824414013</t>
  </si>
  <si>
    <t>0824414046</t>
  </si>
  <si>
    <t>0824404001</t>
  </si>
  <si>
    <t>0824414012</t>
  </si>
  <si>
    <t>0824309019</t>
  </si>
  <si>
    <t>0824109005</t>
  </si>
  <si>
    <t>0824303035</t>
  </si>
  <si>
    <t>0824212005</t>
  </si>
  <si>
    <t>0824415015</t>
  </si>
  <si>
    <t>0824318001</t>
  </si>
  <si>
    <t>0824111025</t>
  </si>
  <si>
    <t>0836103022</t>
  </si>
  <si>
    <t>0824305003</t>
  </si>
  <si>
    <t>0824315018</t>
  </si>
  <si>
    <t>0824414010</t>
  </si>
  <si>
    <t>0824110017</t>
  </si>
  <si>
    <t>0824319038</t>
  </si>
  <si>
    <t>0824317018</t>
  </si>
  <si>
    <t>0824305006</t>
  </si>
  <si>
    <t>0824415013</t>
  </si>
  <si>
    <t>0824204004</t>
  </si>
  <si>
    <t>0824306037</t>
  </si>
  <si>
    <t>0824309007</t>
  </si>
  <si>
    <t>0824418006</t>
  </si>
  <si>
    <t>0824110014</t>
  </si>
  <si>
    <t>0824414033</t>
  </si>
  <si>
    <t>0824110007</t>
  </si>
  <si>
    <t>0824110005</t>
  </si>
  <si>
    <t>0824110006</t>
  </si>
  <si>
    <t>0824302009</t>
  </si>
  <si>
    <t>0824404011</t>
  </si>
  <si>
    <t>0824305004</t>
  </si>
  <si>
    <t>0824418005</t>
  </si>
  <si>
    <t>0824318003</t>
  </si>
  <si>
    <t>0824302007</t>
  </si>
  <si>
    <t>0824309008</t>
  </si>
  <si>
    <t>0824402002</t>
  </si>
  <si>
    <t>0824318002</t>
  </si>
  <si>
    <t>0824408036</t>
  </si>
  <si>
    <t>0824303038</t>
  </si>
  <si>
    <t>0824316019</t>
  </si>
  <si>
    <t>0824318006</t>
  </si>
  <si>
    <t>0824302008</t>
  </si>
  <si>
    <t>0824109008</t>
  </si>
  <si>
    <t>0824316020</t>
  </si>
  <si>
    <t>0824315016</t>
  </si>
  <si>
    <t>0824302011</t>
  </si>
  <si>
    <t>0824111004</t>
  </si>
  <si>
    <t>0824305005</t>
  </si>
  <si>
    <t>0824316021</t>
  </si>
  <si>
    <t>0824404028</t>
  </si>
  <si>
    <t>0824111001</t>
  </si>
  <si>
    <t>0823414047</t>
  </si>
  <si>
    <t>0824302010</t>
  </si>
  <si>
    <t>0824315015</t>
  </si>
  <si>
    <t>0824109003</t>
  </si>
  <si>
    <t>0824315017</t>
  </si>
  <si>
    <t>0824407007</t>
  </si>
  <si>
    <t>0824405008</t>
  </si>
  <si>
    <t>0824317015</t>
  </si>
  <si>
    <t>0824319034</t>
  </si>
  <si>
    <t>0824109006</t>
  </si>
  <si>
    <t>0824404021</t>
  </si>
  <si>
    <t>0824317017</t>
  </si>
  <si>
    <t>0824401003</t>
  </si>
  <si>
    <t>0836103029</t>
  </si>
  <si>
    <t>0824318007</t>
  </si>
  <si>
    <t>0824303040</t>
  </si>
  <si>
    <t>0824405024</t>
  </si>
  <si>
    <t>0823414049</t>
  </si>
  <si>
    <t>0824406018</t>
  </si>
  <si>
    <t>0824319019</t>
  </si>
  <si>
    <t>0824311008</t>
  </si>
  <si>
    <t>0824404029</t>
  </si>
  <si>
    <t>0824315012</t>
  </si>
  <si>
    <t>0824317012</t>
  </si>
  <si>
    <t>0824418007</t>
  </si>
  <si>
    <t>0824212002</t>
  </si>
  <si>
    <t>0824318004</t>
  </si>
  <si>
    <t>0823414051</t>
  </si>
  <si>
    <t>0824317022</t>
  </si>
  <si>
    <t>0824315020</t>
  </si>
  <si>
    <t>0823414048</t>
  </si>
  <si>
    <t>0824315014</t>
  </si>
  <si>
    <t>0824109013</t>
  </si>
  <si>
    <t>0824109010</t>
  </si>
  <si>
    <t>0824109011</t>
  </si>
  <si>
    <t>0824109009</t>
  </si>
  <si>
    <t>0824109014</t>
  </si>
  <si>
    <t>0824109012</t>
  </si>
  <si>
    <t>0824111024</t>
  </si>
  <si>
    <t>0824212004</t>
  </si>
  <si>
    <t>0824212003</t>
  </si>
  <si>
    <t>0824315013</t>
  </si>
  <si>
    <t>0824111012</t>
  </si>
  <si>
    <t>0824420001</t>
  </si>
  <si>
    <t>0824111036</t>
  </si>
  <si>
    <t>0824407006</t>
  </si>
  <si>
    <t>0824111020</t>
  </si>
  <si>
    <t>0824111034</t>
  </si>
  <si>
    <t>0824111029</t>
  </si>
  <si>
    <t>0824111013</t>
  </si>
  <si>
    <t>0824111021</t>
  </si>
  <si>
    <t>0824318009</t>
  </si>
  <si>
    <t>0824111022</t>
  </si>
  <si>
    <t>0824302021</t>
  </si>
  <si>
    <t>0824302022</t>
  </si>
  <si>
    <t>0824204007</t>
  </si>
  <si>
    <t>0824309011</t>
  </si>
  <si>
    <t>0824109004</t>
  </si>
  <si>
    <t>0824111002</t>
  </si>
  <si>
    <t>0824404026</t>
  </si>
  <si>
    <t>0824109017</t>
  </si>
  <si>
    <t>0824302020</t>
  </si>
  <si>
    <t>0824309012</t>
  </si>
  <si>
    <t>0824404025</t>
  </si>
  <si>
    <t>0824302019</t>
  </si>
  <si>
    <t>0824302006</t>
  </si>
  <si>
    <t>0824404024</t>
  </si>
  <si>
    <t>0823414050</t>
  </si>
  <si>
    <t>0824302018</t>
  </si>
  <si>
    <t>0824317010</t>
  </si>
  <si>
    <t>0824404023</t>
  </si>
  <si>
    <t>0824302017</t>
  </si>
  <si>
    <t>0824406008</t>
  </si>
  <si>
    <t>0824404022</t>
  </si>
  <si>
    <t>0824404020</t>
  </si>
  <si>
    <t>0824303036</t>
  </si>
  <si>
    <t>0824110016</t>
  </si>
  <si>
    <t>0824110015</t>
  </si>
  <si>
    <t>0824404004</t>
  </si>
  <si>
    <t>0824319036</t>
  </si>
  <si>
    <t>0824109007</t>
  </si>
  <si>
    <t>0824302015</t>
  </si>
  <si>
    <t>0824111015</t>
  </si>
  <si>
    <t>0824302014</t>
  </si>
  <si>
    <t>0824405018</t>
  </si>
  <si>
    <t>0824111014</t>
  </si>
  <si>
    <t>0824319031</t>
  </si>
  <si>
    <t>0824404019</t>
  </si>
  <si>
    <t>0824111008</t>
  </si>
  <si>
    <t>0824111009</t>
  </si>
  <si>
    <t>0824111006</t>
  </si>
  <si>
    <t>0824310013</t>
  </si>
  <si>
    <t>0824111010</t>
  </si>
  <si>
    <t>0824111035</t>
  </si>
  <si>
    <t>0824403001</t>
  </si>
  <si>
    <t>0824309009</t>
  </si>
  <si>
    <t>0824319035</t>
  </si>
  <si>
    <t>0824405007</t>
  </si>
  <si>
    <t>0824419013</t>
  </si>
  <si>
    <t>0824317025</t>
  </si>
  <si>
    <t>0824309010</t>
  </si>
  <si>
    <t>0824317026</t>
  </si>
  <si>
    <t>0824408040</t>
  </si>
  <si>
    <t>0824404018</t>
  </si>
  <si>
    <t>0824406006</t>
  </si>
  <si>
    <t>0824111031</t>
  </si>
  <si>
    <t>0824310016</t>
  </si>
  <si>
    <t>0824317028</t>
  </si>
  <si>
    <t>0824420022</t>
  </si>
  <si>
    <t>0824406007</t>
  </si>
  <si>
    <t>0824406017</t>
  </si>
  <si>
    <t>0836103019</t>
  </si>
  <si>
    <t>0824309014</t>
  </si>
  <si>
    <t>0824111026</t>
  </si>
  <si>
    <t>0824406001</t>
  </si>
  <si>
    <t>0824407001</t>
  </si>
  <si>
    <t>0824402001</t>
  </si>
  <si>
    <t>0824317024</t>
  </si>
  <si>
    <t>0824317039</t>
  </si>
  <si>
    <t>0824406010</t>
  </si>
  <si>
    <t>0824317038</t>
  </si>
  <si>
    <t>0824111028</t>
  </si>
  <si>
    <t>0824317037</t>
  </si>
  <si>
    <t>0824317036</t>
  </si>
  <si>
    <t>0824405016</t>
  </si>
  <si>
    <t>0824309015</t>
  </si>
  <si>
    <t>0824317035</t>
  </si>
  <si>
    <t>0824404017</t>
  </si>
  <si>
    <t>0836103006</t>
  </si>
  <si>
    <t>0824317034</t>
  </si>
  <si>
    <t>0824317033</t>
  </si>
  <si>
    <t>0824317032</t>
  </si>
  <si>
    <t>0824319008</t>
  </si>
  <si>
    <t>0824317027</t>
  </si>
  <si>
    <t>0824111016</t>
  </si>
  <si>
    <t>0824204005</t>
  </si>
  <si>
    <t>0824317023</t>
  </si>
  <si>
    <t>0824408014</t>
  </si>
  <si>
    <t>0824319037</t>
  </si>
  <si>
    <t>0824408015</t>
  </si>
  <si>
    <t>0824109002</t>
  </si>
  <si>
    <t>0824310014</t>
  </si>
  <si>
    <t>0824204006</t>
  </si>
  <si>
    <t>0824309013</t>
  </si>
  <si>
    <t>0824408034</t>
  </si>
  <si>
    <t>0824405015</t>
  </si>
  <si>
    <t>0824111005</t>
  </si>
  <si>
    <t>0824109015</t>
  </si>
  <si>
    <t>0823413003</t>
  </si>
  <si>
    <t>0824111023</t>
  </si>
  <si>
    <t>0824306036</t>
  </si>
  <si>
    <t>0824109016</t>
  </si>
  <si>
    <t>0824319028</t>
  </si>
  <si>
    <t>0824303037</t>
  </si>
  <si>
    <t>0824404016</t>
  </si>
  <si>
    <t>0824318008</t>
  </si>
  <si>
    <t>0824319024</t>
  </si>
  <si>
    <t>0824311003</t>
  </si>
  <si>
    <t>0824310015</t>
  </si>
  <si>
    <t>0824317016</t>
  </si>
  <si>
    <t>0824309016</t>
  </si>
  <si>
    <t>0824111011</t>
  </si>
  <si>
    <t>0824320011</t>
  </si>
  <si>
    <t>0823414046</t>
  </si>
  <si>
    <t>0824319001</t>
  </si>
  <si>
    <t>0824320012</t>
  </si>
  <si>
    <t>0824310006</t>
  </si>
  <si>
    <t>0824407016</t>
  </si>
  <si>
    <t>0824404005</t>
  </si>
  <si>
    <t>0824405010</t>
  </si>
  <si>
    <t>0824320013</t>
  </si>
  <si>
    <t>0836103018</t>
  </si>
  <si>
    <t>0824405014</t>
  </si>
  <si>
    <t>0824404015</t>
  </si>
  <si>
    <t>0824311007</t>
  </si>
  <si>
    <t>0824404010</t>
  </si>
  <si>
    <t>0824317011</t>
  </si>
  <si>
    <t>0824320014</t>
  </si>
  <si>
    <t>0824311005</t>
  </si>
  <si>
    <t>0824407002</t>
  </si>
  <si>
    <t>0824311004</t>
  </si>
  <si>
    <t>0824404006</t>
  </si>
  <si>
    <t>0824319023</t>
  </si>
  <si>
    <t>0824419001</t>
  </si>
  <si>
    <t>0824407008</t>
  </si>
  <si>
    <t>0836103017</t>
  </si>
  <si>
    <t>0824405019</t>
  </si>
  <si>
    <t>0824319020</t>
  </si>
  <si>
    <t>0824407014</t>
  </si>
  <si>
    <t>0824404014</t>
  </si>
  <si>
    <t>0836103003</t>
  </si>
  <si>
    <t>0824320001</t>
  </si>
  <si>
    <t>0836103002</t>
  </si>
  <si>
    <t>0836103004</t>
  </si>
  <si>
    <t>0836103005</t>
  </si>
  <si>
    <t>0824403004</t>
  </si>
  <si>
    <t>0824406005</t>
  </si>
  <si>
    <t>0836102012</t>
  </si>
  <si>
    <t>0824319006</t>
  </si>
  <si>
    <t>0836102003</t>
  </si>
  <si>
    <t>0836102002</t>
  </si>
  <si>
    <t>0836102009</t>
  </si>
  <si>
    <t>0836102007</t>
  </si>
  <si>
    <t>0836102005</t>
  </si>
  <si>
    <t>0836102004</t>
  </si>
  <si>
    <t>0836102008</t>
  </si>
  <si>
    <t>0836102011</t>
  </si>
  <si>
    <t>0836102006</t>
  </si>
  <si>
    <t>0836102010</t>
  </si>
  <si>
    <t>0836103012</t>
  </si>
  <si>
    <t>0824317031</t>
  </si>
  <si>
    <t>0824408001</t>
  </si>
  <si>
    <t>0824319026</t>
  </si>
  <si>
    <t>0824111017</t>
  </si>
  <si>
    <t>0824405020</t>
  </si>
  <si>
    <t>0824309003</t>
  </si>
  <si>
    <t>0824319027</t>
  </si>
  <si>
    <t>0824420007</t>
  </si>
  <si>
    <t>0824319014</t>
  </si>
  <si>
    <t>0824319032</t>
  </si>
  <si>
    <t>0824419023</t>
  </si>
  <si>
    <t>0824404013</t>
  </si>
  <si>
    <t>0824405012</t>
  </si>
  <si>
    <t>0824320003</t>
  </si>
  <si>
    <t>0824405009</t>
  </si>
  <si>
    <t>0824405021</t>
  </si>
  <si>
    <t>0824405013</t>
  </si>
  <si>
    <t>0824404012</t>
  </si>
  <si>
    <t>0824319025</t>
  </si>
  <si>
    <t>0824408029</t>
  </si>
  <si>
    <t>0824405028</t>
  </si>
  <si>
    <t>0824408016</t>
  </si>
  <si>
    <t>0824306011</t>
  </si>
  <si>
    <t>0824319022</t>
  </si>
  <si>
    <t>0824320006</t>
  </si>
  <si>
    <t>0824320002</t>
  </si>
  <si>
    <t>0824405027</t>
  </si>
  <si>
    <t>0824403003</t>
  </si>
  <si>
    <t>0824319013</t>
  </si>
  <si>
    <t>0824405023</t>
  </si>
  <si>
    <t>0824408020</t>
  </si>
  <si>
    <t>0824408012</t>
  </si>
  <si>
    <t>0824407015</t>
  </si>
  <si>
    <t>0824405025</t>
  </si>
  <si>
    <t>0824319017</t>
  </si>
  <si>
    <t>0824408038</t>
  </si>
  <si>
    <t>0824407013</t>
  </si>
  <si>
    <t>0824408037</t>
  </si>
  <si>
    <t>0824420002</t>
  </si>
  <si>
    <t>0824319016</t>
  </si>
  <si>
    <t>0824407003</t>
  </si>
  <si>
    <t>0824408039</t>
  </si>
  <si>
    <t>0824419014</t>
  </si>
  <si>
    <t>0824406016</t>
  </si>
  <si>
    <t>0824319011</t>
  </si>
  <si>
    <t>0824406015</t>
  </si>
  <si>
    <t>0824319018</t>
  </si>
  <si>
    <t>0824319005</t>
  </si>
  <si>
    <t>0824111027</t>
  </si>
  <si>
    <t>0824319015</t>
  </si>
  <si>
    <t>0824319004</t>
  </si>
  <si>
    <t>0824420003</t>
  </si>
  <si>
    <t>0824405003</t>
  </si>
  <si>
    <t>0824319007</t>
  </si>
  <si>
    <t>0824320008</t>
  </si>
  <si>
    <t>0824408013</t>
  </si>
  <si>
    <t>0824420008</t>
  </si>
  <si>
    <t>0824408021</t>
  </si>
  <si>
    <t>0824407009</t>
  </si>
  <si>
    <t>0824319030</t>
  </si>
  <si>
    <t>0824408022</t>
  </si>
  <si>
    <t>0824408033</t>
  </si>
  <si>
    <t>0824408023</t>
  </si>
  <si>
    <t>0824408026</t>
  </si>
  <si>
    <t>0824408025</t>
  </si>
  <si>
    <t>0824406014</t>
  </si>
  <si>
    <t>0824405011</t>
  </si>
  <si>
    <t>0824408027</t>
  </si>
  <si>
    <t>0824420004</t>
  </si>
  <si>
    <t>0824408031</t>
  </si>
  <si>
    <t>0824408028</t>
  </si>
  <si>
    <t>0824408032</t>
  </si>
  <si>
    <t>0824405004</t>
  </si>
  <si>
    <t>0824406011</t>
  </si>
  <si>
    <t>0824406002</t>
  </si>
  <si>
    <t>0824406013</t>
  </si>
  <si>
    <t>0824406003</t>
  </si>
  <si>
    <t>0824407011</t>
  </si>
  <si>
    <t>0824406012</t>
  </si>
  <si>
    <t>0824419022</t>
  </si>
  <si>
    <t>0824407010</t>
  </si>
  <si>
    <t>0824408030</t>
  </si>
  <si>
    <t>0824320007</t>
  </si>
  <si>
    <t>0824419009</t>
  </si>
  <si>
    <t>0824419007</t>
  </si>
  <si>
    <t>0824419021</t>
  </si>
  <si>
    <t>0824419005</t>
  </si>
  <si>
    <t>0824419008</t>
  </si>
  <si>
    <t>0824419006</t>
  </si>
  <si>
    <t>0824419003</t>
  </si>
  <si>
    <t>0824419004</t>
  </si>
  <si>
    <t>0824419002</t>
  </si>
  <si>
    <t>0824419020</t>
  </si>
  <si>
    <t>0824419019</t>
  </si>
  <si>
    <t>0824419010</t>
  </si>
  <si>
    <t>0824408002</t>
  </si>
  <si>
    <t>0824419018</t>
  </si>
  <si>
    <t>0824419017</t>
  </si>
  <si>
    <t>0824405005</t>
  </si>
  <si>
    <t>0824405006</t>
  </si>
  <si>
    <t>0824420009</t>
  </si>
  <si>
    <t>0824419016</t>
  </si>
  <si>
    <t>0824420010</t>
  </si>
  <si>
    <t>0824419015</t>
  </si>
  <si>
    <t>0824319012</t>
  </si>
  <si>
    <t>0824420011</t>
  </si>
  <si>
    <t>0824420012</t>
  </si>
  <si>
    <t>0824420013</t>
  </si>
  <si>
    <t>0824404008</t>
  </si>
  <si>
    <t>0824407005</t>
  </si>
  <si>
    <t>0824420014</t>
  </si>
  <si>
    <t>0824404007</t>
  </si>
  <si>
    <t>0824404009</t>
  </si>
  <si>
    <t>0824420015</t>
  </si>
  <si>
    <t>0824420016</t>
  </si>
  <si>
    <t>0824420017</t>
  </si>
  <si>
    <t>0824405002</t>
  </si>
  <si>
    <t>0824420018</t>
  </si>
  <si>
    <t>0824420019</t>
  </si>
  <si>
    <t>0824407012</t>
  </si>
  <si>
    <t>0824420020</t>
  </si>
  <si>
    <t>0824408011</t>
  </si>
  <si>
    <t>0824420021</t>
  </si>
  <si>
    <t>0824408010</t>
  </si>
  <si>
    <t>0824408009</t>
  </si>
  <si>
    <t>0824408008</t>
  </si>
  <si>
    <t>0824408007</t>
  </si>
  <si>
    <t>0824408006</t>
  </si>
  <si>
    <t>0824408005</t>
  </si>
  <si>
    <t>0824408004</t>
  </si>
  <si>
    <t>0824408003</t>
  </si>
  <si>
    <t>0824319029</t>
  </si>
  <si>
    <t>0824406004</t>
  </si>
  <si>
    <t>0824405022</t>
  </si>
  <si>
    <t>0824407004</t>
  </si>
  <si>
    <t>0824419012</t>
  </si>
  <si>
    <t>0824320004</t>
  </si>
  <si>
    <t>0824319010</t>
  </si>
  <si>
    <t>0824403002</t>
  </si>
  <si>
    <t>0824319009</t>
  </si>
  <si>
    <t>0824320009</t>
  </si>
  <si>
    <t>0824304001</t>
  </si>
  <si>
    <t>0824319003</t>
  </si>
  <si>
    <t>0824319002</t>
  </si>
  <si>
    <t>0824320005</t>
  </si>
  <si>
    <t>0824320010</t>
  </si>
  <si>
    <t>0836401038</t>
  </si>
  <si>
    <t>0836401034</t>
  </si>
  <si>
    <t>0836401008</t>
  </si>
  <si>
    <t>0836401031</t>
  </si>
  <si>
    <t>0815406147</t>
  </si>
  <si>
    <t>0815406146</t>
  </si>
  <si>
    <t>0815406149</t>
  </si>
  <si>
    <t>0815406148</t>
  </si>
  <si>
    <t>0815406145</t>
  </si>
  <si>
    <t>0815406144</t>
  </si>
  <si>
    <t>0815406139</t>
  </si>
  <si>
    <t>0815406141</t>
  </si>
  <si>
    <t>0815406140</t>
  </si>
  <si>
    <t>0815406142</t>
  </si>
  <si>
    <t>0815406143</t>
  </si>
  <si>
    <t>0824108059</t>
  </si>
  <si>
    <t>0824108060</t>
  </si>
  <si>
    <t>0931312078</t>
  </si>
  <si>
    <t>1006308049</t>
  </si>
  <si>
    <t>0815406138</t>
  </si>
  <si>
    <t>0931312062</t>
  </si>
  <si>
    <t>0931312096</t>
  </si>
  <si>
    <t>0931312097</t>
  </si>
  <si>
    <t>0931312061</t>
  </si>
  <si>
    <t>0931312051</t>
  </si>
  <si>
    <t>0931312102</t>
  </si>
  <si>
    <t>0931312091</t>
  </si>
  <si>
    <t>0931312058</t>
  </si>
  <si>
    <t>0931312056</t>
  </si>
  <si>
    <t>0931312067</t>
  </si>
  <si>
    <t>0931312075</t>
  </si>
  <si>
    <t>Property address</t>
  </si>
  <si>
    <t>STATION BLVD</t>
  </si>
  <si>
    <t>195 FOX VALLEY CNTR</t>
  </si>
  <si>
    <t>771 COVE CT</t>
  </si>
  <si>
    <t>298 WINDSOR DR</t>
  </si>
  <si>
    <t>303 BALMORAL DR</t>
  </si>
  <si>
    <t>301 WINDSOR DR</t>
  </si>
  <si>
    <t>238 WINDSOR DR</t>
  </si>
  <si>
    <t>316 WINDSOR DR</t>
  </si>
  <si>
    <t>210 WINDSOR DR</t>
  </si>
  <si>
    <t>231 BUCKINGHAM DR</t>
  </si>
  <si>
    <t>219 BUCKINGHAM DR</t>
  </si>
  <si>
    <t>327 BALMORAL DR</t>
  </si>
  <si>
    <t>236 WINDSOR DR</t>
  </si>
  <si>
    <t>240 WINDSOR DR</t>
  </si>
  <si>
    <t>201 BUCKINGHAM DR</t>
  </si>
  <si>
    <t>290 WINDSOR DR</t>
  </si>
  <si>
    <t>229 BUCKINGHAM DR</t>
  </si>
  <si>
    <t>329 WINDSOR DR</t>
  </si>
  <si>
    <t>289 WINDSOR DR</t>
  </si>
  <si>
    <t>230 WINDSOR DR</t>
  </si>
  <si>
    <t>223 WINDSOR DR</t>
  </si>
  <si>
    <t>250 WINDSOR DR</t>
  </si>
  <si>
    <t>280 WINDSOR DR</t>
  </si>
  <si>
    <t>288 WINDSOR DR</t>
  </si>
  <si>
    <t>WINDSOR DR</t>
  </si>
  <si>
    <t>270 WINDSOR DR</t>
  </si>
  <si>
    <t>260 WINDSOR DR</t>
  </si>
  <si>
    <t>267 WINDSOR DR</t>
  </si>
  <si>
    <t>271 WINDSOR DR</t>
  </si>
  <si>
    <t>279 WINDSOR DR</t>
  </si>
  <si>
    <t>281 WINDSOR DR</t>
  </si>
  <si>
    <t>209 BUCKINGHAM DR</t>
  </si>
  <si>
    <t>234 WINDSOR DR</t>
  </si>
  <si>
    <t>340 WINDSOR DR</t>
  </si>
  <si>
    <t>317 BALMORAL DR</t>
  </si>
  <si>
    <t>330 WINDSOR DR</t>
  </si>
  <si>
    <t>203 BUCKINGHAM DR</t>
  </si>
  <si>
    <t>292 WINDSOR DR</t>
  </si>
  <si>
    <t>294 WINDSOR DR</t>
  </si>
  <si>
    <t>296 WINDSOR DR</t>
  </si>
  <si>
    <t>207 BUCKINGHAM DR</t>
  </si>
  <si>
    <t>321 BALMORAL DR</t>
  </si>
  <si>
    <t>293 WINDSOR DR</t>
  </si>
  <si>
    <t>285 WINDSOR DR</t>
  </si>
  <si>
    <t>283 WINDSOR DR</t>
  </si>
  <si>
    <t>211 BUCKINGHAM DR</t>
  </si>
  <si>
    <t>227 BUCKINGHAM DR</t>
  </si>
  <si>
    <t>232 WINDSOR DR</t>
  </si>
  <si>
    <t>263 WINDSOR DR</t>
  </si>
  <si>
    <t>265 WINDSOR DR</t>
  </si>
  <si>
    <t>221 BUCKINGHAM DR</t>
  </si>
  <si>
    <t>341 WINDSOR DR</t>
  </si>
  <si>
    <t>339 WINDSOR DR</t>
  </si>
  <si>
    <t>213 BUCKINGHAM DR</t>
  </si>
  <si>
    <t>311 BALMORAL DR</t>
  </si>
  <si>
    <t>315 BALMORAL DR</t>
  </si>
  <si>
    <t>335 WINDSOR DR</t>
  </si>
  <si>
    <t>325 BALMORAL DR</t>
  </si>
  <si>
    <t>295 WINDSOR DR</t>
  </si>
  <si>
    <t>205 BUCKINGHAM DR</t>
  </si>
  <si>
    <t>261 WINDSOR DR</t>
  </si>
  <si>
    <t>257 WINDSOR DR</t>
  </si>
  <si>
    <t>235 WINDSOR DR</t>
  </si>
  <si>
    <t>259 WINDSOR DR</t>
  </si>
  <si>
    <t>286 WINDSOR DR</t>
  </si>
  <si>
    <t>266 WINDSOR DR</t>
  </si>
  <si>
    <t>237 WINDSOR DR</t>
  </si>
  <si>
    <t>239 WINDSOR DR</t>
  </si>
  <si>
    <t>246 WINDSOR DR</t>
  </si>
  <si>
    <t>244 WINDSOR DR</t>
  </si>
  <si>
    <t>242 WINDSOR DR</t>
  </si>
  <si>
    <t>282 WINDSOR DR</t>
  </si>
  <si>
    <t>264 WINDSOR DR</t>
  </si>
  <si>
    <t>284 WINDSOR DR</t>
  </si>
  <si>
    <t>262 WINDSOR DR</t>
  </si>
  <si>
    <t>217 WINDSOR DR</t>
  </si>
  <si>
    <t>219 WINDSOR DR</t>
  </si>
  <si>
    <t>221 WINDSOR DR</t>
  </si>
  <si>
    <t>287 WINDSOR DR</t>
  </si>
  <si>
    <t>273 WINDSOR DR</t>
  </si>
  <si>
    <t>223 BUCKINGHAM DR</t>
  </si>
  <si>
    <t>337 WINDSOR DR</t>
  </si>
  <si>
    <t>225 BUCKINGHAM DR</t>
  </si>
  <si>
    <t>305 BALMORAL DR</t>
  </si>
  <si>
    <t>323 BALMORAL DR</t>
  </si>
  <si>
    <t>313 BALMORAL DR</t>
  </si>
  <si>
    <t>307 BALMORAL DR</t>
  </si>
  <si>
    <t>309 BALMORAL DR</t>
  </si>
  <si>
    <t>319 BALMORAL DR</t>
  </si>
  <si>
    <t>16 W IRVING PARK RD</t>
  </si>
  <si>
    <t>181 ROSE ST</t>
  </si>
  <si>
    <t>COMMERCE CT</t>
  </si>
  <si>
    <t>1053 COMMERCE CT</t>
  </si>
  <si>
    <t>GRAND AVE</t>
  </si>
  <si>
    <t>1110 W IRVING PARK RD</t>
  </si>
  <si>
    <t>800 W IRVING PARK RD</t>
  </si>
  <si>
    <t>877 E GRAND</t>
  </si>
  <si>
    <t>COUNTY LINE RD</t>
  </si>
  <si>
    <t>101 E IRVING PARK BLVD</t>
  </si>
  <si>
    <t>703 S YORK RD</t>
  </si>
  <si>
    <t>IL RT 83</t>
  </si>
  <si>
    <t>630 N RT # 83</t>
  </si>
  <si>
    <t>555 SPRUCE ST</t>
  </si>
  <si>
    <t>500 W IRVING PARK BLVD</t>
  </si>
  <si>
    <t>460 W IRVING PARK BLVD</t>
  </si>
  <si>
    <t>314-20 IRVING PARK RD</t>
  </si>
  <si>
    <t>1313 IRVING PARK RD</t>
  </si>
  <si>
    <t>1320 W IRVING PARK</t>
  </si>
  <si>
    <t>1320 W IRVING PARK RD</t>
  </si>
  <si>
    <t>1130 S YORK RD</t>
  </si>
  <si>
    <t>118 GREEN ST</t>
  </si>
  <si>
    <t>228 W IRVING PARK RD</t>
  </si>
  <si>
    <t>IRVING PARK RD</t>
  </si>
  <si>
    <t>1347 IRVING PARK RD</t>
  </si>
  <si>
    <t>227-39 IRVING PARK BLVD</t>
  </si>
  <si>
    <t>1341 W IRVING PARK RD</t>
  </si>
  <si>
    <t>4 W IRVING PARK RD</t>
  </si>
  <si>
    <t>2 S YORK RD</t>
  </si>
  <si>
    <t>438 S YORK ST</t>
  </si>
  <si>
    <t>438 S YORK RD</t>
  </si>
  <si>
    <t>1410- W IRVING PARK RD</t>
  </si>
  <si>
    <t>14 N YORK RD</t>
  </si>
  <si>
    <t>130 S ADDISON ST</t>
  </si>
  <si>
    <t>154 S YORK RD</t>
  </si>
  <si>
    <t>CENTER ST</t>
  </si>
  <si>
    <t>550 RT 83</t>
  </si>
  <si>
    <t>1214 W IRVING PARK RD</t>
  </si>
  <si>
    <t>1320 IRVING PARK ROAD</t>
  </si>
  <si>
    <t>13-105 W GRAND AVE</t>
  </si>
  <si>
    <t>437 S YORK RD</t>
  </si>
  <si>
    <t>1350-2 W IRVING PARK RD</t>
  </si>
  <si>
    <t>1301 W IRVING PARK RD</t>
  </si>
  <si>
    <t>5 W IRVING PARK RD</t>
  </si>
  <si>
    <t>1300 W IRVING PARK RD</t>
  </si>
  <si>
    <t>1346 W IRVING PARK RD</t>
  </si>
  <si>
    <t>1222 IRVING PARK RD</t>
  </si>
  <si>
    <t>145 S CENTER ST</t>
  </si>
  <si>
    <t>216 N WALNUT ST</t>
  </si>
  <si>
    <t>231 N WALNUT ST</t>
  </si>
  <si>
    <t>225 N WALNUT ST</t>
  </si>
  <si>
    <t>235 N WALNUT ST</t>
  </si>
  <si>
    <t>1110 S JUDSON</t>
  </si>
  <si>
    <t>421 PARK ST</t>
  </si>
  <si>
    <t>420 S YORK RD</t>
  </si>
  <si>
    <t>224 E GEORGE ST</t>
  </si>
  <si>
    <t>177 S YORK RD</t>
  </si>
  <si>
    <t>507 S YORK RD</t>
  </si>
  <si>
    <t>249 WALNUT ST</t>
  </si>
  <si>
    <t>414 S YORK RD</t>
  </si>
  <si>
    <t>410 S YORK RD</t>
  </si>
  <si>
    <t>528 E PINE AVE</t>
  </si>
  <si>
    <t>303 PARK ST</t>
  </si>
  <si>
    <t>406 S YORK RD</t>
  </si>
  <si>
    <t>137 N MASON ST</t>
  </si>
  <si>
    <t>291 S YORK RD</t>
  </si>
  <si>
    <t>601-09 S YORK RD</t>
  </si>
  <si>
    <t>1000 IRVING PARK RD</t>
  </si>
  <si>
    <t>220 GEORGE ST</t>
  </si>
  <si>
    <t>601 S YORK RD</t>
  </si>
  <si>
    <t>303 PARK AVE</t>
  </si>
  <si>
    <t>120 S 3RD ST</t>
  </si>
  <si>
    <t>139 S BLOOMINGDALE RD</t>
  </si>
  <si>
    <t>WALTER CT</t>
  </si>
  <si>
    <t>131 DAY ST</t>
  </si>
  <si>
    <t>137 1ST ST</t>
  </si>
  <si>
    <t>115 DAY ST</t>
  </si>
  <si>
    <t>129 1ST ST</t>
  </si>
  <si>
    <t>121 N BLOOMINGDALE RD</t>
  </si>
  <si>
    <t>130 S 3RD ST</t>
  </si>
  <si>
    <t>118 WALTER CT</t>
  </si>
  <si>
    <t>117 WALTER CT</t>
  </si>
  <si>
    <t>123 1ST ST</t>
  </si>
  <si>
    <t>125 1ST ST</t>
  </si>
  <si>
    <t>122 WALTER CT</t>
  </si>
  <si>
    <t>124 WALTER CT</t>
  </si>
  <si>
    <t>120 W WASHINGTON</t>
  </si>
  <si>
    <t>116 W WASHINGTON ST</t>
  </si>
  <si>
    <t>119 W WASHINGTON ST</t>
  </si>
  <si>
    <t>117 WASHINGTON ST</t>
  </si>
  <si>
    <t>114 WASHINGTON ST</t>
  </si>
  <si>
    <t>128 3RD ST</t>
  </si>
  <si>
    <t>120 WALTER CT</t>
  </si>
  <si>
    <t>109 DAY ST</t>
  </si>
  <si>
    <t>117 1ST ST</t>
  </si>
  <si>
    <t>126 FIRST ST</t>
  </si>
  <si>
    <t>124 1ST ST</t>
  </si>
  <si>
    <t>128 1ST ST</t>
  </si>
  <si>
    <t>138 S 1ST ST</t>
  </si>
  <si>
    <t>134 1ST ST</t>
  </si>
  <si>
    <t>132 RIDGE</t>
  </si>
  <si>
    <t>139 W LAKE ST</t>
  </si>
  <si>
    <t>125 W LAKE ST</t>
  </si>
  <si>
    <t>135 1ST ST</t>
  </si>
  <si>
    <t>124 S BLOOMINGDALE RD</t>
  </si>
  <si>
    <t>139 .5 FIRST ST</t>
  </si>
  <si>
    <t>114-18 E LAKE ST</t>
  </si>
  <si>
    <t>127 W LAKE ST</t>
  </si>
  <si>
    <t>139 1ST ST</t>
  </si>
  <si>
    <t>119 WALTER CT</t>
  </si>
  <si>
    <t>315 CREEKSIDE</t>
  </si>
  <si>
    <t>313 CREEKSIDE DR</t>
  </si>
  <si>
    <t>310-B BROOKDALE DR</t>
  </si>
  <si>
    <t>280 ROYAL LN</t>
  </si>
  <si>
    <t>179 SALEM CT</t>
  </si>
  <si>
    <t>177 HINGHAM LN</t>
  </si>
  <si>
    <t>180 SALEM CT</t>
  </si>
  <si>
    <t>187 CAMBRIDGE LN</t>
  </si>
  <si>
    <t>254 MONTEGO CT</t>
  </si>
  <si>
    <t>175 HINGHAM LN</t>
  </si>
  <si>
    <t>191 BOURNE LN</t>
  </si>
  <si>
    <t>182 CAMBRIDGE LN</t>
  </si>
  <si>
    <t>201 CAMBRIDGE LN</t>
  </si>
  <si>
    <t>280 BISCAYNE ST</t>
  </si>
  <si>
    <t>190 HINGHAM LN</t>
  </si>
  <si>
    <t>184 SALEM CT</t>
  </si>
  <si>
    <t>314 CHESAPEAKE LN</t>
  </si>
  <si>
    <t>172 BRAINTREE DR</t>
  </si>
  <si>
    <t>184 CAMBRIDGE LN</t>
  </si>
  <si>
    <t>167 HINGHAM LN</t>
  </si>
  <si>
    <t>163 HINGHAM LN</t>
  </si>
  <si>
    <t>194 CAMBRIDGE LN</t>
  </si>
  <si>
    <t>170 BRAINTREE DR</t>
  </si>
  <si>
    <t>170 FAIRFIELD WAY</t>
  </si>
  <si>
    <t>205 CAMBRIDGE LN</t>
  </si>
  <si>
    <t>188 CAMBRIDGE LN</t>
  </si>
  <si>
    <t>180 N FAIRFIELD WAY</t>
  </si>
  <si>
    <t>175 SALEM CT</t>
  </si>
  <si>
    <t>168 HINGHAM LN</t>
  </si>
  <si>
    <t>173 CAMBRIDGE LN</t>
  </si>
  <si>
    <t>138 FAIRFIELD WAY</t>
  </si>
  <si>
    <t>175 CAMBRIDGE LN</t>
  </si>
  <si>
    <t>198 CAMBRIDGE LN</t>
  </si>
  <si>
    <t>185 HINGHAM LN</t>
  </si>
  <si>
    <t>300 MISSION CT</t>
  </si>
  <si>
    <t>168 SCHICK RD</t>
  </si>
  <si>
    <t>213 CAMBRIDGE LN</t>
  </si>
  <si>
    <t>148 E SCHICK RD</t>
  </si>
  <si>
    <t>171 CAMBRIDGE LN</t>
  </si>
  <si>
    <t>207 BRAINTREE DR</t>
  </si>
  <si>
    <t>190 BOURNE LN</t>
  </si>
  <si>
    <t>230 BISCAYNE ST</t>
  </si>
  <si>
    <t>205 FRISCO CT</t>
  </si>
  <si>
    <t>174 BRAINTREE DR</t>
  </si>
  <si>
    <t>152 E SCHICK RD</t>
  </si>
  <si>
    <t>214 CAMBRIDGE LN</t>
  </si>
  <si>
    <t>208 FRISCO CT</t>
  </si>
  <si>
    <t>227 BISCAYNE ST</t>
  </si>
  <si>
    <t>252 MONTEGO CT</t>
  </si>
  <si>
    <t>312 CHESAPEAKE CT</t>
  </si>
  <si>
    <t>135 HINGHAM LN</t>
  </si>
  <si>
    <t>302 CHESAPEAKE LN</t>
  </si>
  <si>
    <t>149 HINGHAM LN</t>
  </si>
  <si>
    <t>163 BOURNE LN</t>
  </si>
  <si>
    <t>136 E SCHICK RD</t>
  </si>
  <si>
    <t>270 BISCAYNE ST</t>
  </si>
  <si>
    <t>151 HINGHAM LN</t>
  </si>
  <si>
    <t>171 HINGHAM LN</t>
  </si>
  <si>
    <t>140 CAMBRIDGE LN</t>
  </si>
  <si>
    <t>179 BRAINTREE DR</t>
  </si>
  <si>
    <t>168 BRAINTREE DR</t>
  </si>
  <si>
    <t>180 CAMBRIDGE LN</t>
  </si>
  <si>
    <t>169 CAMBRIDGE LN</t>
  </si>
  <si>
    <t>278 BISCAYNE ST</t>
  </si>
  <si>
    <t>178 CAMBRIDGE LN</t>
  </si>
  <si>
    <t>176 SALEM CT</t>
  </si>
  <si>
    <t>256 MONTEGO CT</t>
  </si>
  <si>
    <t>210 BISCAYNE CT</t>
  </si>
  <si>
    <t>191 SALEM CT</t>
  </si>
  <si>
    <t>162 CAMBRIDGE LN</t>
  </si>
  <si>
    <t>208 BISCAYNE CT</t>
  </si>
  <si>
    <t>201 BISCAYNE ST</t>
  </si>
  <si>
    <t>202 FRISCO CT</t>
  </si>
  <si>
    <t>166 BRAINTREE DR</t>
  </si>
  <si>
    <t>144 HINGHAM LN</t>
  </si>
  <si>
    <t>164 HINGHAM LN</t>
  </si>
  <si>
    <t>272 BISCAYNE ST</t>
  </si>
  <si>
    <t>176 HINGHAM LN</t>
  </si>
  <si>
    <t>232 BISCAYNE ST</t>
  </si>
  <si>
    <t>136 HINGHAM LN</t>
  </si>
  <si>
    <t>213 BISCAYNE ST</t>
  </si>
  <si>
    <t>182 HINGHAM LN</t>
  </si>
  <si>
    <t>160 CAMBRIDGE LN</t>
  </si>
  <si>
    <t>167 BRAINTREE DR</t>
  </si>
  <si>
    <t>153 BRAINTREE DR</t>
  </si>
  <si>
    <t>160 E SCHICK RD</t>
  </si>
  <si>
    <t>214 BISCAYNE CT</t>
  </si>
  <si>
    <t>172 SALEM CT</t>
  </si>
  <si>
    <t>143 HINGHAM LN</t>
  </si>
  <si>
    <t>274 BISCAYNE ST</t>
  </si>
  <si>
    <t>153 CAMBRIDGE LN</t>
  </si>
  <si>
    <t>161 BRAINTREE DR</t>
  </si>
  <si>
    <t>172 HINGHAM LN</t>
  </si>
  <si>
    <t>148 HINGHAM LN</t>
  </si>
  <si>
    <t>317 CHESAPEAKE LN</t>
  </si>
  <si>
    <t>191 BRAINTREE DR</t>
  </si>
  <si>
    <t>212 FRISCO ST</t>
  </si>
  <si>
    <t>290 BISCAYNE ST</t>
  </si>
  <si>
    <t>163 BRAINTREE DR</t>
  </si>
  <si>
    <t>186 FAIRFIELD WAY</t>
  </si>
  <si>
    <t>221 FRISCO ST</t>
  </si>
  <si>
    <t>242 BISCAYNE ST</t>
  </si>
  <si>
    <t>301 MISSION CT</t>
  </si>
  <si>
    <t>159 HINGHAM LN</t>
  </si>
  <si>
    <t>328 CHESAPEAKE LN</t>
  </si>
  <si>
    <t>329 CHESAPEAKE LN</t>
  </si>
  <si>
    <t>258 MONTEGO CT</t>
  </si>
  <si>
    <t>152 HINGHAM LN</t>
  </si>
  <si>
    <t>154 BRAINTREE DR</t>
  </si>
  <si>
    <t>307 CHESAPEAKE LN</t>
  </si>
  <si>
    <t>176 CAMBRIDGE LN</t>
  </si>
  <si>
    <t>309 CHESAPEAKE LN</t>
  </si>
  <si>
    <t>243 BISCAYNE ST</t>
  </si>
  <si>
    <t>193 BRAINTREE DR</t>
  </si>
  <si>
    <t>169 BRAINTREE DR</t>
  </si>
  <si>
    <t>158 E SCHICK RD</t>
  </si>
  <si>
    <t>156 BRAINTREE DR</t>
  </si>
  <si>
    <t>330 CHESAPEAKE LN</t>
  </si>
  <si>
    <t>216 FRISCO ST</t>
  </si>
  <si>
    <t>155 BRAINTREE DR</t>
  </si>
  <si>
    <t>182 FAIRFIELD WAY</t>
  </si>
  <si>
    <t>165 BRAINTREE DR</t>
  </si>
  <si>
    <t>212 BISCAYNE CT</t>
  </si>
  <si>
    <t>184 FAIRFIELD WAY</t>
  </si>
  <si>
    <t>147 HINGHAM LN</t>
  </si>
  <si>
    <t>159 BRAINTREE DR</t>
  </si>
  <si>
    <t>155 CAMBRIDGE LN</t>
  </si>
  <si>
    <t>195 BRAINTREE DR</t>
  </si>
  <si>
    <t>240 BISCAYNE ST</t>
  </si>
  <si>
    <t>167 CAMBRIDGE LN</t>
  </si>
  <si>
    <t>183 BOURNE LN</t>
  </si>
  <si>
    <t>214 FRISCO ST</t>
  </si>
  <si>
    <t>187 BOURNE LN</t>
  </si>
  <si>
    <t>260 BISCAYNE ST</t>
  </si>
  <si>
    <t>158 BRAINTREE DR</t>
  </si>
  <si>
    <t>301 CHESAPEAKE LN</t>
  </si>
  <si>
    <t>204 FRISCO CT</t>
  </si>
  <si>
    <t>206 FRISCO CT</t>
  </si>
  <si>
    <t>185 SALEM CT</t>
  </si>
  <si>
    <t>171 BOURNE LN</t>
  </si>
  <si>
    <t>266 BISCAYNE ST</t>
  </si>
  <si>
    <t>189 BRAINTREE DR</t>
  </si>
  <si>
    <t>157 BRAINTREE DR</t>
  </si>
  <si>
    <t>275 BISCAYNE ST</t>
  </si>
  <si>
    <t>306 MISSION CT</t>
  </si>
  <si>
    <t>310 CHESAPEAKE LN</t>
  </si>
  <si>
    <t>166 E SCHICK RD</t>
  </si>
  <si>
    <t>250 BISCAYNE ST</t>
  </si>
  <si>
    <t>268 BISCAYNE ST</t>
  </si>
  <si>
    <t>304 MISSION CT</t>
  </si>
  <si>
    <t>209 CAMBRIDGE LN</t>
  </si>
  <si>
    <t>308 CHESAPEAKE LN</t>
  </si>
  <si>
    <t>222 BISCAYNE ST</t>
  </si>
  <si>
    <t>146 E SCHICK RD</t>
  </si>
  <si>
    <t>262 BISCAYNE ST</t>
  </si>
  <si>
    <t>167 BOURNE LN</t>
  </si>
  <si>
    <t>305 CHESAPEAKE LN</t>
  </si>
  <si>
    <t>261 BISCAYNE ST</t>
  </si>
  <si>
    <t>302 MISSION CT</t>
  </si>
  <si>
    <t>276 BISCAYNE ST</t>
  </si>
  <si>
    <t>216 BISCAYNE CT</t>
  </si>
  <si>
    <t>186 HINGHAM LN</t>
  </si>
  <si>
    <t>303 MISSION CT</t>
  </si>
  <si>
    <t>140 HINGHAM LN</t>
  </si>
  <si>
    <t>203 FRISCO CT</t>
  </si>
  <si>
    <t>263 BISCAYNE ST</t>
  </si>
  <si>
    <t>142 E SCHICK RD</t>
  </si>
  <si>
    <t>164 E SCHICK RD</t>
  </si>
  <si>
    <t>162 E SCHICK RD</t>
  </si>
  <si>
    <t>181 HINGHAM LN</t>
  </si>
  <si>
    <t>305 MISSION CT</t>
  </si>
  <si>
    <t>183 SALEM CT</t>
  </si>
  <si>
    <t>163 CAMBRIDGE LN</t>
  </si>
  <si>
    <t>183 BRAINTREE DR</t>
  </si>
  <si>
    <t>264 BISCAYNE ST</t>
  </si>
  <si>
    <t>306 CHESAPEAKE LN</t>
  </si>
  <si>
    <t>304 CHESAPEAKE LN</t>
  </si>
  <si>
    <t>265 BISCAYNE ST</t>
  </si>
  <si>
    <t>139 HINGHAM LN</t>
  </si>
  <si>
    <t>318 CHESAPEAKE LN</t>
  </si>
  <si>
    <t>207 FRISCO CT</t>
  </si>
  <si>
    <t>338 CHESAPEAKE LN</t>
  </si>
  <si>
    <t>282 BISCAYNE ST</t>
  </si>
  <si>
    <t>181 BRAINTREE DR</t>
  </si>
  <si>
    <t>187 BRAINTREE DR</t>
  </si>
  <si>
    <t>197 BRAINTREE DR</t>
  </si>
  <si>
    <t>142 FAIRFIELD WAY</t>
  </si>
  <si>
    <t>202 CAMBRIDGE LN</t>
  </si>
  <si>
    <t>170 CAMBRIDGE LN</t>
  </si>
  <si>
    <t>155 HINGHAM LN</t>
  </si>
  <si>
    <t>154 E SCHICK RD</t>
  </si>
  <si>
    <t>157 CAMBRIDGE LN</t>
  </si>
  <si>
    <t>154 FAIRFIELD WAY</t>
  </si>
  <si>
    <t>228 BISCAYNE ST</t>
  </si>
  <si>
    <t>161 CAMBRIDGE LN</t>
  </si>
  <si>
    <t>316 CHESAPEAKE LN</t>
  </si>
  <si>
    <t>323 CHESAPEAKE LN</t>
  </si>
  <si>
    <t>325 CHESAPEAKE LN</t>
  </si>
  <si>
    <t>327 CHESAPEAKE LN</t>
  </si>
  <si>
    <t>168 CAMBRIDGE LN</t>
  </si>
  <si>
    <t>146 FAIRFIELD WAY</t>
  </si>
  <si>
    <t>267 BISCAYNE ST</t>
  </si>
  <si>
    <t>319 CHESAPEAKE LN</t>
  </si>
  <si>
    <t>156 E SCHICK RD</t>
  </si>
  <si>
    <t>206 CAMBRIDGE LN</t>
  </si>
  <si>
    <t>162 FAIRFIELD WAY</t>
  </si>
  <si>
    <t>185 BRAINTREE DR</t>
  </si>
  <si>
    <t>158 FAIRFIELD WAY</t>
  </si>
  <si>
    <t>BISCAYNE ST</t>
  </si>
  <si>
    <t>311 CHESAPEAKE LN</t>
  </si>
  <si>
    <t>166 FAIRFIELD WAY</t>
  </si>
  <si>
    <t>332 CHESAPEAKE LN</t>
  </si>
  <si>
    <t>174 CAMBRIDGE LN</t>
  </si>
  <si>
    <t>187 SALEM CT</t>
  </si>
  <si>
    <t>150 FAIRFIELD WAY</t>
  </si>
  <si>
    <t>273 BISCAYNE ST</t>
  </si>
  <si>
    <t>140 E SCHICK RD</t>
  </si>
  <si>
    <t>164 BRAINTREE DR</t>
  </si>
  <si>
    <t>159 CAMBRIDGE LN</t>
  </si>
  <si>
    <t>172 CAMBRIDGE LN</t>
  </si>
  <si>
    <t>231 BISCAYNE ST</t>
  </si>
  <si>
    <t>234 BISCAYNE ST</t>
  </si>
  <si>
    <t>210 CAMBRIDGE LN</t>
  </si>
  <si>
    <t>241 BISCAYNE ST</t>
  </si>
  <si>
    <t>199 BRAINTREE DR</t>
  </si>
  <si>
    <t>285 BISCAYNE ST</t>
  </si>
  <si>
    <t>203 BRAINTREE DR</t>
  </si>
  <si>
    <t>205 BRAINTREE DR</t>
  </si>
  <si>
    <t>150 CAMBRIDGE LN</t>
  </si>
  <si>
    <t>148 CAMBRIDGE LN</t>
  </si>
  <si>
    <t>146 CAMBRIDGE LN</t>
  </si>
  <si>
    <t>144 CAMBRIDGE LN</t>
  </si>
  <si>
    <t>142 CAMBRIDGE LN</t>
  </si>
  <si>
    <t>138 E SCHICK RD</t>
  </si>
  <si>
    <t>315 CHESAPEAKE LN</t>
  </si>
  <si>
    <t>239 BISCAYNE ST</t>
  </si>
  <si>
    <t>321 CHESAPEAKE LN</t>
  </si>
  <si>
    <t>215 FRISCO ST</t>
  </si>
  <si>
    <t>219 FRISCO ST</t>
  </si>
  <si>
    <t>209 FRISCO ST</t>
  </si>
  <si>
    <t>213 FRISCO ST</t>
  </si>
  <si>
    <t>211 FRISCO ST</t>
  </si>
  <si>
    <t>217 FRISCO ST</t>
  </si>
  <si>
    <t>209 BISCAYNE ST</t>
  </si>
  <si>
    <t>211 BISCAYNE ST</t>
  </si>
  <si>
    <t>233 BISCAYNE ST</t>
  </si>
  <si>
    <t>336 CHESAPEAKE LN</t>
  </si>
  <si>
    <t>238 BISCAYNE ST</t>
  </si>
  <si>
    <t>201 BRAINTREE DR</t>
  </si>
  <si>
    <t>237 BISCAYNE ST</t>
  </si>
  <si>
    <t>271 BISCAYNE ST</t>
  </si>
  <si>
    <t>334 CHESAPEAKE LN</t>
  </si>
  <si>
    <t>236 BISCAYNE ST</t>
  </si>
  <si>
    <t>201 FRISCO CT</t>
  </si>
  <si>
    <t>218 BISCAYNE CT</t>
  </si>
  <si>
    <t>320 CHESAPEAKE LN</t>
  </si>
  <si>
    <t>303 CHESAPEAKE LN</t>
  </si>
  <si>
    <t>251 SUTTON CT</t>
  </si>
  <si>
    <t>235 BISCAYNE ST</t>
  </si>
  <si>
    <t>236 TAMARACK DR</t>
  </si>
  <si>
    <t>210 FRISCO ST</t>
  </si>
  <si>
    <t>247 BISCAYNE ST</t>
  </si>
  <si>
    <t>229 BISCAYNE ST</t>
  </si>
  <si>
    <t>220 BISCAYNE CT</t>
  </si>
  <si>
    <t>248 BISCAYNE ST</t>
  </si>
  <si>
    <t>284 BISCAYNE ST</t>
  </si>
  <si>
    <t>165 CAMBRIDGE LN</t>
  </si>
  <si>
    <t>322 CHESAPEAKE LN</t>
  </si>
  <si>
    <t>286 BISCAYNE ST</t>
  </si>
  <si>
    <t>288 BISCAYNE ST</t>
  </si>
  <si>
    <t>313 CHESAPEAKE LN</t>
  </si>
  <si>
    <t>223 SIGNATURE LN</t>
  </si>
  <si>
    <t>219 TAMARACK DR</t>
  </si>
  <si>
    <t>230 STANYON LN</t>
  </si>
  <si>
    <t>240 PEBBLE CREEK DR</t>
  </si>
  <si>
    <t>240 AMBERWOOD CT</t>
  </si>
  <si>
    <t>244 STANYON LN</t>
  </si>
  <si>
    <t>240 COVENTRY CT</t>
  </si>
  <si>
    <t>241 AMBERWOOD CT</t>
  </si>
  <si>
    <t>201 EDGEWATER DR</t>
  </si>
  <si>
    <t>229 LAKEVIEW LN</t>
  </si>
  <si>
    <t>217 LAKEVIEW LN</t>
  </si>
  <si>
    <t>215 PINEWOOD LN</t>
  </si>
  <si>
    <t>216 CLEARBROOK LN</t>
  </si>
  <si>
    <t>248 COLONY GREEN DR</t>
  </si>
  <si>
    <t>312 EDGEWATER DR</t>
  </si>
  <si>
    <t>263 EDGEWATER DR</t>
  </si>
  <si>
    <t>227 DRIFTWOOD LN</t>
  </si>
  <si>
    <t>318 EDGEWATER DR</t>
  </si>
  <si>
    <t>321 EDGEWATER DR</t>
  </si>
  <si>
    <t>267 E LAKE ST</t>
  </si>
  <si>
    <t>311 EDGEWATER DR</t>
  </si>
  <si>
    <t>1024 IDAHO ST</t>
  </si>
  <si>
    <t>1225 LAKESIDE LN</t>
  </si>
  <si>
    <t>1158 IDAHO ST</t>
  </si>
  <si>
    <t>1226 LAKESIDE LN</t>
  </si>
  <si>
    <t>1034 IDAHO ST</t>
  </si>
  <si>
    <t>1044 IDAHO ST</t>
  </si>
  <si>
    <t>1418 MAPLE RIDGE CT</t>
  </si>
  <si>
    <t>1271 CRYSTAL SHORE DR</t>
  </si>
  <si>
    <t>1054 IDAHO ST</t>
  </si>
  <si>
    <t>1262 MC CORMICK ST</t>
  </si>
  <si>
    <t>1249 COUNTRY GLEN LN</t>
  </si>
  <si>
    <t>1415 MAPLE RIDGE CT</t>
  </si>
  <si>
    <t>1064 IDAHO ST</t>
  </si>
  <si>
    <t>1291 BRAVE CT</t>
  </si>
  <si>
    <t>1424 PLUM GROVE CT</t>
  </si>
  <si>
    <t>1166 MC CORMICK ST</t>
  </si>
  <si>
    <t>1074 IDAHO ST</t>
  </si>
  <si>
    <t>1150 IDAHO ST</t>
  </si>
  <si>
    <t>513 YARDLEY DR</t>
  </si>
  <si>
    <t>1293 BRAVE CT</t>
  </si>
  <si>
    <t>1084 IDAHO ST</t>
  </si>
  <si>
    <t>1372 BOA TR</t>
  </si>
  <si>
    <t>1283 BRAVE CT</t>
  </si>
  <si>
    <t>1250 MC CORMICK ST</t>
  </si>
  <si>
    <t>1238 MC CORMICK ST</t>
  </si>
  <si>
    <t>1226 MC CORMICK ST</t>
  </si>
  <si>
    <t>1214 MCCORMICK ST</t>
  </si>
  <si>
    <t>1202 MC CORMICK ST</t>
  </si>
  <si>
    <t>1190 MCCORMICK ST</t>
  </si>
  <si>
    <t>1182 MC CORMICK ST</t>
  </si>
  <si>
    <t>558 BURKE DR</t>
  </si>
  <si>
    <t>1484 MAPLE RIDGE CT</t>
  </si>
  <si>
    <t>1094 IDAHO ST</t>
  </si>
  <si>
    <t>1142 IDAHO ST</t>
  </si>
  <si>
    <t>1134 IDAHO ST</t>
  </si>
  <si>
    <t>1102 IDAHO ST</t>
  </si>
  <si>
    <t>1118 IDAHO ST</t>
  </si>
  <si>
    <t>1110 IDAHO ST</t>
  </si>
  <si>
    <t>1126 IDAHO ST</t>
  </si>
  <si>
    <t>1256 SPRING VALLEY DR</t>
  </si>
  <si>
    <t>1267 CRYSTAL SHORE CT</t>
  </si>
  <si>
    <t>1416 MAPLE RIDGE CT</t>
  </si>
  <si>
    <t>1356 BOA TRL</t>
  </si>
  <si>
    <t>1212 PORTCHESTER CIR</t>
  </si>
  <si>
    <t>1395 BOA TR</t>
  </si>
  <si>
    <t>1290 BRAVE CT</t>
  </si>
  <si>
    <t>1253 COUNTRY GLEN LN</t>
  </si>
  <si>
    <t>1285 BRAVE CT</t>
  </si>
  <si>
    <t>1247 CRYSTAL SHORE DR</t>
  </si>
  <si>
    <t>503 YARDLEY DR</t>
  </si>
  <si>
    <t>1374 BOA TRL</t>
  </si>
  <si>
    <t>1265 CRYSTAL SHORE DR</t>
  </si>
  <si>
    <t>1261 SPRING VALLEY DR</t>
  </si>
  <si>
    <t>1280 BRAVE CT</t>
  </si>
  <si>
    <t>485 YARDLEY DR</t>
  </si>
  <si>
    <t>1161 SPRING VALLEY DR</t>
  </si>
  <si>
    <t>1483 MAPLE RIDGE CT</t>
  </si>
  <si>
    <t>497 YARDLEY DR</t>
  </si>
  <si>
    <t>1263 CARIBOU TR</t>
  </si>
  <si>
    <t>867 FOREST LN</t>
  </si>
  <si>
    <t>1214 PORTCHESTER CIR</t>
  </si>
  <si>
    <t>1311 COUNTY GLEN LN</t>
  </si>
  <si>
    <t>1263 CRYSTAL SHORE DR</t>
  </si>
  <si>
    <t>1272 SPRING VALLEY DR</t>
  </si>
  <si>
    <t>491 YARDLEY DR</t>
  </si>
  <si>
    <t>1269 CRYSTAL SHORE DR</t>
  </si>
  <si>
    <t>1259 CRYSTAL SHORE DR</t>
  </si>
  <si>
    <t>1261 CRYSTAL SHORE DR</t>
  </si>
  <si>
    <t>1257 CRYSTAL SHORE DR</t>
  </si>
  <si>
    <t>1255 CRYSTAL SHORE DR</t>
  </si>
  <si>
    <t>1257 SPRING VALLEY DR</t>
  </si>
  <si>
    <t>180 COACHLITE TRL</t>
  </si>
  <si>
    <t>1480 MAPLE RIDGE CT</t>
  </si>
  <si>
    <t>1474 MAPLE RIDGE CT</t>
  </si>
  <si>
    <t>1466 MAPLE RIDGE CT</t>
  </si>
  <si>
    <t>1462 MAPLE RIDGE CT</t>
  </si>
  <si>
    <t>1357 BOA TRAIL</t>
  </si>
  <si>
    <t>1456 MAPLE RIDGE CT</t>
  </si>
  <si>
    <t>1450 MAPLE RIDGE CT</t>
  </si>
  <si>
    <t>1444 MAPLE RIDGE CT</t>
  </si>
  <si>
    <t>1287 BRAVE CT</t>
  </si>
  <si>
    <t>1438 MAPLE RIDGE CT</t>
  </si>
  <si>
    <t>1432 MAPLE RIDGE CT</t>
  </si>
  <si>
    <t>1298 SPRING VALLEY DR</t>
  </si>
  <si>
    <t>1420 MAPLE RIDGE CT</t>
  </si>
  <si>
    <t>1289 BRAVE CT</t>
  </si>
  <si>
    <t>1257 COUNTRY GLEN LN</t>
  </si>
  <si>
    <t>1424 MAPLE RIDGE CT</t>
  </si>
  <si>
    <t>1281 BRAVE CT</t>
  </si>
  <si>
    <t>1286 KNOLLWOOD DR</t>
  </si>
  <si>
    <t>1288 KNOLLWOOD DR</t>
  </si>
  <si>
    <t>1320 CARIBOU TRL</t>
  </si>
  <si>
    <t>1153 SPRING VALLEY DR</t>
  </si>
  <si>
    <t>1286 BRAVE CT</t>
  </si>
  <si>
    <t>198 SURREY DR</t>
  </si>
  <si>
    <t>1251 SPRING VALLEY DR</t>
  </si>
  <si>
    <t>1253 CRYSTAL SHORE DR</t>
  </si>
  <si>
    <t>1268 PORTCHESTER CIR</t>
  </si>
  <si>
    <t>1277 BRAVE CT</t>
  </si>
  <si>
    <t>794 HOOVER DR</t>
  </si>
  <si>
    <t>509 YARDLEY DR</t>
  </si>
  <si>
    <t>552 BURKE DR</t>
  </si>
  <si>
    <t>1334 BOA TRAIL</t>
  </si>
  <si>
    <t>1266 KNOLLWOOD DR</t>
  </si>
  <si>
    <t>1449 MAPLE RIDGE CT</t>
  </si>
  <si>
    <t>1461 MAPLE RIDGE CT</t>
  </si>
  <si>
    <t>1437 MAPLE RIDGE CT</t>
  </si>
  <si>
    <t>1455 MAPLE RIDGE CT</t>
  </si>
  <si>
    <t>1479 MAPLE RIDGE CT</t>
  </si>
  <si>
    <t>1465 MAPLE RIDGE CT</t>
  </si>
  <si>
    <t>1443 MAPLE RIDGE CT</t>
  </si>
  <si>
    <t>1473 MAPLE RIDGE CT</t>
  </si>
  <si>
    <t>1431 MAPLE RIDGE CT</t>
  </si>
  <si>
    <t>1288 BRAVE CT</t>
  </si>
  <si>
    <t>1245 SPRING VALLEY DR</t>
  </si>
  <si>
    <t>1283 COUNTRY GLEN LN</t>
  </si>
  <si>
    <t>1297 COUNTRY GLEN LN</t>
  </si>
  <si>
    <t>1277 COUNTRY GLEN LN</t>
  </si>
  <si>
    <t>1307 COUNTRY GLEN LN</t>
  </si>
  <si>
    <t>1267 COUNTRY GLEN LN</t>
  </si>
  <si>
    <t>1303 COUNTRY GLEN LN</t>
  </si>
  <si>
    <t>1273 COUNTRY GLEN LN</t>
  </si>
  <si>
    <t>1293 COUNTRY GLEN LN</t>
  </si>
  <si>
    <t>1287 COUNTRY GLEN LN</t>
  </si>
  <si>
    <t>1419 MAPLE RIDGE CT</t>
  </si>
  <si>
    <t>1279 BRAVE CT</t>
  </si>
  <si>
    <t>1371 BOA TRAIL</t>
  </si>
  <si>
    <t>1425 MAPLE RIDGE CT</t>
  </si>
  <si>
    <t>1335 BOA TRL</t>
  </si>
  <si>
    <t>1263 COUNTRY GLEN LN</t>
  </si>
  <si>
    <t>1292 BRAVE CT</t>
  </si>
  <si>
    <t>1271 SPRING VALLEY DR</t>
  </si>
  <si>
    <t>1355 CARIBOU TR</t>
  </si>
  <si>
    <t>1264 PORTCHESTER CIR</t>
  </si>
  <si>
    <t>1334 BIG HORN TR</t>
  </si>
  <si>
    <t>1328 BOA TRL</t>
  </si>
  <si>
    <t>1330 BOA TRL</t>
  </si>
  <si>
    <t>1275 SPRING VALLEY DR</t>
  </si>
  <si>
    <t>1287 SPRING VALLEY DR</t>
  </si>
  <si>
    <t>1281 SPRING VALLEY DR</t>
  </si>
  <si>
    <t>1220 PORTCHESTER CIR</t>
  </si>
  <si>
    <t>1278 SPRING VALLEY DR</t>
  </si>
  <si>
    <t>1308 SPRING VALLEY DR</t>
  </si>
  <si>
    <t>1343 BOA TRL</t>
  </si>
  <si>
    <t>1345 BOA TR</t>
  </si>
  <si>
    <t>1358 BOA TRL</t>
  </si>
  <si>
    <t>1262 PORTCHESTER CIR</t>
  </si>
  <si>
    <t>1256 PORTCHESTER CIR</t>
  </si>
  <si>
    <t>1250 PORTCHESTER CIR</t>
  </si>
  <si>
    <t>1244 PORTCHESTER CIR</t>
  </si>
  <si>
    <t>1204 ROBIN DR</t>
  </si>
  <si>
    <t>1284 BRAVE CT</t>
  </si>
  <si>
    <t>1236 PORTCHESTER CIR</t>
  </si>
  <si>
    <t>1228 PORTCHESTER CIR</t>
  </si>
  <si>
    <t>1338 BOA TR</t>
  </si>
  <si>
    <t>1336 BIG HORN TRL</t>
  </si>
  <si>
    <t>1383 BOA TR</t>
  </si>
  <si>
    <t>1201 SPRING VALLEY DR</t>
  </si>
  <si>
    <t>1225 SPRING VALLEY DR</t>
  </si>
  <si>
    <t>1179 SPRING VALLEY DR</t>
  </si>
  <si>
    <t>1356 BIG HORN TR</t>
  </si>
  <si>
    <t>1239 SPRING VALLEY DR</t>
  </si>
  <si>
    <t>1235 SPRING VALLEY DR</t>
  </si>
  <si>
    <t>1221 SPRING VALLEY DR</t>
  </si>
  <si>
    <t>1185 SPRING VALLEY DR</t>
  </si>
  <si>
    <t>1229 SPRING VALLEY DR</t>
  </si>
  <si>
    <t>1209 SPRING VALLEY DR</t>
  </si>
  <si>
    <t>1199 SPRING VALLEY DR</t>
  </si>
  <si>
    <t>1213 SPRING VALLEY DR</t>
  </si>
  <si>
    <t>1169 SPRING VALLEY DR</t>
  </si>
  <si>
    <t>1189 SPRING VALLEY DR</t>
  </si>
  <si>
    <t>1175 SPRING VALLEY DR</t>
  </si>
  <si>
    <t>1332 BIGHORN TR</t>
  </si>
  <si>
    <t>1380 BOA TRL</t>
  </si>
  <si>
    <t>1344 BIG HORN TR</t>
  </si>
  <si>
    <t>1326 BOA TRL</t>
  </si>
  <si>
    <t>1236 SPRING VALLEY DR</t>
  </si>
  <si>
    <t>1320 BOA TRL</t>
  </si>
  <si>
    <t>1337 BOA TR</t>
  </si>
  <si>
    <t>1324 BOA TRL</t>
  </si>
  <si>
    <t>1226 SPRING VALLEY DR</t>
  </si>
  <si>
    <t>1232 SPRING VALLEY DR</t>
  </si>
  <si>
    <t>1322 BOA TR</t>
  </si>
  <si>
    <t>1214 SPRING VALLEY DR</t>
  </si>
  <si>
    <t>1318 BOA TR</t>
  </si>
  <si>
    <t>1320 SPRING VALLEY DR</t>
  </si>
  <si>
    <t>1341 BOA TR</t>
  </si>
  <si>
    <t>1254 SPRING VALLEY DR</t>
  </si>
  <si>
    <t>1222 SPRING VALLEY DR</t>
  </si>
  <si>
    <t>1290 SPRING VALLEY DR</t>
  </si>
  <si>
    <t>1363 BOA TR</t>
  </si>
  <si>
    <t>135 CARRIAGE DR</t>
  </si>
  <si>
    <t>172 PARK HILL TRL</t>
  </si>
  <si>
    <t>1330 BIG HORN TR</t>
  </si>
  <si>
    <t>141 CARRIAGE DR</t>
  </si>
  <si>
    <t>159 CARRIAGE DR</t>
  </si>
  <si>
    <t>153 CARRIAGE DR</t>
  </si>
  <si>
    <t>149 CARRIAGE LN</t>
  </si>
  <si>
    <t>162 SURREY DR</t>
  </si>
  <si>
    <t>192 SURREY DR</t>
  </si>
  <si>
    <t>184 SURREY DR</t>
  </si>
  <si>
    <t>174 SURREY DR</t>
  </si>
  <si>
    <t>1333 BOA TRL</t>
  </si>
  <si>
    <t>146 PARK HILL TR</t>
  </si>
  <si>
    <t>160 PARK HILL TR</t>
  </si>
  <si>
    <t>1328 BIG HORN TRL</t>
  </si>
  <si>
    <t>156 SURREY DR</t>
  </si>
  <si>
    <t>142 PARK HILL TRL</t>
  </si>
  <si>
    <t>178 SURREY DR</t>
  </si>
  <si>
    <t>168 SURREY DR</t>
  </si>
  <si>
    <t>166 PARK HILL TR</t>
  </si>
  <si>
    <t>154 PARK HILL TRL</t>
  </si>
  <si>
    <t>165 CARRIAGE DR</t>
  </si>
  <si>
    <t>1338 BIG HORN TR</t>
  </si>
  <si>
    <t>1365 BOA TRL</t>
  </si>
  <si>
    <t>178 COACHLITE TRL</t>
  </si>
  <si>
    <t>1392 BOA TRL</t>
  </si>
  <si>
    <t>1344 BOA TR</t>
  </si>
  <si>
    <t>1360 CARIBOU TRL</t>
  </si>
  <si>
    <t>1323 BOA TRL</t>
  </si>
  <si>
    <t>1386 BOA TR</t>
  </si>
  <si>
    <t>1367 BOA TR</t>
  </si>
  <si>
    <t>1393 BOA TR</t>
  </si>
  <si>
    <t>1325 BOA TR</t>
  </si>
  <si>
    <t>1384 BOA TRL</t>
  </si>
  <si>
    <t>1378 BOA TRAIL</t>
  </si>
  <si>
    <t>1321 BOA TRL</t>
  </si>
  <si>
    <t>1340 BIG HORN TRL</t>
  </si>
  <si>
    <t>1140 BRADBURY CIR</t>
  </si>
  <si>
    <t>1391 BOA TRAIL</t>
  </si>
  <si>
    <t>1331 BOA TR</t>
  </si>
  <si>
    <t>1294 SPRING VALLEY DR</t>
  </si>
  <si>
    <t>1390 BOA TRL</t>
  </si>
  <si>
    <t>1388 BOA TRL</t>
  </si>
  <si>
    <t>1327 BOA TRAIL</t>
  </si>
  <si>
    <t>1348 BOA TRAIL</t>
  </si>
  <si>
    <t>1364 BOA TRL</t>
  </si>
  <si>
    <t>1368 BOA TRL</t>
  </si>
  <si>
    <t>1366 BOA TRL</t>
  </si>
  <si>
    <t>1362 BOA TRL</t>
  </si>
  <si>
    <t>1350 BOA TR</t>
  </si>
  <si>
    <t>1316 CARIBOU TR</t>
  </si>
  <si>
    <t>1352 BOA TRL</t>
  </si>
  <si>
    <t>1312 CARIBOU TRL</t>
  </si>
  <si>
    <t>1319 BOA TRAIL</t>
  </si>
  <si>
    <t>1348 BIG HORN TR</t>
  </si>
  <si>
    <t>1308 CARIBOU TRL</t>
  </si>
  <si>
    <t>1354 BOA TR</t>
  </si>
  <si>
    <t>1339 BOA TRAIL</t>
  </si>
  <si>
    <t>1389 BOA TR</t>
  </si>
  <si>
    <t>1329 BOA TRL</t>
  </si>
  <si>
    <t>1312 SPRING VALLEY DR</t>
  </si>
  <si>
    <t>1316 SPRING VALLEY DR</t>
  </si>
  <si>
    <t>1284 CARIBOU TR</t>
  </si>
  <si>
    <t>1280 CARIBOU TR</t>
  </si>
  <si>
    <t>887 FOREST LN</t>
  </si>
  <si>
    <t>1370 BOA TR</t>
  </si>
  <si>
    <t>1360 BOA TRAIL</t>
  </si>
  <si>
    <t>1385 BOA TR</t>
  </si>
  <si>
    <t>1387 BOA TRL</t>
  </si>
  <si>
    <t>1420 ASH CT</t>
  </si>
  <si>
    <t>1376 BOA TRL</t>
  </si>
  <si>
    <t>1350 BIG HORN TR</t>
  </si>
  <si>
    <t>1346 BIG HORN TR</t>
  </si>
  <si>
    <t>1352 BIG HORN TRL</t>
  </si>
  <si>
    <t>869 FOREST LN</t>
  </si>
  <si>
    <t>1354 BIG HORN TR</t>
  </si>
  <si>
    <t>1481 OXFORD ST</t>
  </si>
  <si>
    <t>1408 POTOMAC CT</t>
  </si>
  <si>
    <t>1350 PORTSMOUTH CT</t>
  </si>
  <si>
    <t>1238 ROBIN DR</t>
  </si>
  <si>
    <t>1230 ROBIN DR</t>
  </si>
  <si>
    <t>1248 ROBIN DR</t>
  </si>
  <si>
    <t>1460 OXFORD ST</t>
  </si>
  <si>
    <t>1399 GEORGETOWN DR</t>
  </si>
  <si>
    <t>1336 SPRING VALLEY DR</t>
  </si>
  <si>
    <t>1407 GEORGETOWNE DR</t>
  </si>
  <si>
    <t>1288 ORIOLE TR</t>
  </si>
  <si>
    <t>1306 ORIOLE TRL</t>
  </si>
  <si>
    <t>1328 PETERSBURG CT</t>
  </si>
  <si>
    <t>1336 PETERSBURG CT</t>
  </si>
  <si>
    <t>ARMY TRAIL RD</t>
  </si>
  <si>
    <t>2442 N MAIN ST</t>
  </si>
  <si>
    <t>1271 N COUNTY FARM RD</t>
  </si>
  <si>
    <t>1259 N COUNTY FARM RD</t>
  </si>
  <si>
    <t>1255 N COUNTY FARM RD</t>
  </si>
  <si>
    <t>1263 N COUNTY FARM RD</t>
  </si>
  <si>
    <t>360 S MAIN PL</t>
  </si>
  <si>
    <t>380 S MAIN PL</t>
  </si>
  <si>
    <t>401 55TH ST</t>
  </si>
  <si>
    <t>419 OGDEN AVE</t>
  </si>
  <si>
    <t>215 55TH ST</t>
  </si>
  <si>
    <t>241 W 55TH ST</t>
  </si>
  <si>
    <t>200 PARK AVE</t>
  </si>
  <si>
    <t>4 WALKER AVE</t>
  </si>
  <si>
    <t>99 PARK AVE</t>
  </si>
  <si>
    <t>401 COMMONS CIR</t>
  </si>
  <si>
    <t>7706 S CASS AVE</t>
  </si>
  <si>
    <t>1601 LAKEVIEW DR</t>
  </si>
  <si>
    <t>1501 ROYAL OAK DR</t>
  </si>
  <si>
    <t>8113 OAKLEY DR</t>
  </si>
  <si>
    <t>8738 CARLISLE CT</t>
  </si>
  <si>
    <t>8109 OAKLEY DR</t>
  </si>
  <si>
    <t>8117 OAKLEY DR</t>
  </si>
  <si>
    <t>1617 FOXHILL PL</t>
  </si>
  <si>
    <t>8742 CARLISLE CT</t>
  </si>
  <si>
    <t>1934 MANNING RD</t>
  </si>
  <si>
    <t>8818 CARLISLE CT</t>
  </si>
  <si>
    <t>1614 FOXHILL PL</t>
  </si>
  <si>
    <t>1610 LAUREL LN</t>
  </si>
  <si>
    <t>8409 GLENEYRE RD</t>
  </si>
  <si>
    <t>1925 KENTWOOD CT</t>
  </si>
  <si>
    <t>8723 CARLISLE CT</t>
  </si>
  <si>
    <t>1500 WILLOW CREEK LN</t>
  </si>
  <si>
    <t>1504 OLD OAK PL</t>
  </si>
  <si>
    <t>8830 CARLISLE CT</t>
  </si>
  <si>
    <t>8420 EVERGREEN LN</t>
  </si>
  <si>
    <t>8116 WITTINGTON CT</t>
  </si>
  <si>
    <t>1521 EVERGREEN LN</t>
  </si>
  <si>
    <t>1500 PINE VIEW CT</t>
  </si>
  <si>
    <t>8424 EVERGREEN LN</t>
  </si>
  <si>
    <t>1613 LAUREL LN</t>
  </si>
  <si>
    <t>1917 KENTWOOD CT</t>
  </si>
  <si>
    <t>1512 ROYAL OAK RD</t>
  </si>
  <si>
    <t>1505 EVERGREEN CT</t>
  </si>
  <si>
    <t>8735 KENTWOOD CT</t>
  </si>
  <si>
    <t>8734 CARLISLE CT</t>
  </si>
  <si>
    <t>1600 HEATHER LN</t>
  </si>
  <si>
    <t>1916 KIMBERLY CT</t>
  </si>
  <si>
    <t>8416 EVERGREEN LN</t>
  </si>
  <si>
    <t>8739 KENTWOOD CT</t>
  </si>
  <si>
    <t>8405 GLENEYRE RD</t>
  </si>
  <si>
    <t>8814 CARLISLE CT</t>
  </si>
  <si>
    <t>8412 EVERGREEN LN</t>
  </si>
  <si>
    <t>8726 CARLISLE CT</t>
  </si>
  <si>
    <t>8422 CARRIAGE GREEN</t>
  </si>
  <si>
    <t>1525 WINTERBERRY LN</t>
  </si>
  <si>
    <t>8408 EVERGREEN LN</t>
  </si>
  <si>
    <t>8738 KENTWOOD CT</t>
  </si>
  <si>
    <t>8755 CARLISLE CT</t>
  </si>
  <si>
    <t>8721 CARRIAGE GREEN</t>
  </si>
  <si>
    <t>8434 CARRIAGE GREEN</t>
  </si>
  <si>
    <t>8713 CARRIAGE GREENS</t>
  </si>
  <si>
    <t>1622 HEATHER LN</t>
  </si>
  <si>
    <t>8400 GLENEYRE RD</t>
  </si>
  <si>
    <t>1513 ROYAL OAK RD</t>
  </si>
  <si>
    <t>8743 CARLISLE CT</t>
  </si>
  <si>
    <t>8751 CARLISLE CT</t>
  </si>
  <si>
    <t>1606 HEATHER LN</t>
  </si>
  <si>
    <t>8428 EVERGREEN LN</t>
  </si>
  <si>
    <t>1613 FOXHILL PL</t>
  </si>
  <si>
    <t>1524 WINTERBERRY LN</t>
  </si>
  <si>
    <t>1517 EVERGREEN CT</t>
  </si>
  <si>
    <t>1634 HEATHER LN</t>
  </si>
  <si>
    <t>1622 OLD OAK PL</t>
  </si>
  <si>
    <t>8726 CARRIAGE GREEN</t>
  </si>
  <si>
    <t>8727 CARLISLE CT</t>
  </si>
  <si>
    <t>1626 HEATHER LN</t>
  </si>
  <si>
    <t>1504 ROYAL OAK RD</t>
  </si>
  <si>
    <t>8411 CARRIAGE GREEN DR</t>
  </si>
  <si>
    <t>1609 LAUREL LN</t>
  </si>
  <si>
    <t>1623 LAUREL LN</t>
  </si>
  <si>
    <t>1500 ROYAL OAK DR</t>
  </si>
  <si>
    <t>8717 CARRIAGE GREEN</t>
  </si>
  <si>
    <t>8401 GLENERYE RD</t>
  </si>
  <si>
    <t>1610 HEATHER LN</t>
  </si>
  <si>
    <t>1614 HEATHER LN</t>
  </si>
  <si>
    <t>1508 OLD OAK PL</t>
  </si>
  <si>
    <t>1618 HEATHER LN</t>
  </si>
  <si>
    <t>1618 LAUREL LN</t>
  </si>
  <si>
    <t>1501 EVERGREEN CT</t>
  </si>
  <si>
    <t>1509 ROYAL OAK RD</t>
  </si>
  <si>
    <t>1614 COACHMANS RD</t>
  </si>
  <si>
    <t>1910 CENTER CIR</t>
  </si>
  <si>
    <t>1909 CENTER CIR</t>
  </si>
  <si>
    <t>8413 GLENEYRE RD</t>
  </si>
  <si>
    <t>1528 EVERGREEN LN</t>
  </si>
  <si>
    <t>1532 EVERGREEN LN</t>
  </si>
  <si>
    <t>8404 EVERGREEN LN</t>
  </si>
  <si>
    <t>1602 ROYAL OAK RD</t>
  </si>
  <si>
    <t>8502 CARRIAGE GREEN DR</t>
  </si>
  <si>
    <t>1500 EVERGREEN LN</t>
  </si>
  <si>
    <t>8810 CARLISLE CT</t>
  </si>
  <si>
    <t>8754 KENTWOOD CT</t>
  </si>
  <si>
    <t>8747 CARLISLE CT</t>
  </si>
  <si>
    <t>1610 COACHMANS RD</t>
  </si>
  <si>
    <t>1505 ROYAL OAK RD</t>
  </si>
  <si>
    <t>1938 MANNING RD</t>
  </si>
  <si>
    <t>1638 HEATHER LN</t>
  </si>
  <si>
    <t>1910 GORDON CT</t>
  </si>
  <si>
    <t>8731 CARLISLE CT</t>
  </si>
  <si>
    <t>1621 FOXHILL PL</t>
  </si>
  <si>
    <t>1920 KIMBERLY CT</t>
  </si>
  <si>
    <t>1909 GORDON CT</t>
  </si>
  <si>
    <t>1528 WILLOW CREEK LN</t>
  </si>
  <si>
    <t>8417 GLENEYRE RD</t>
  </si>
  <si>
    <t>8602 CARRIAGE GREENS</t>
  </si>
  <si>
    <t>8515 CARRIAGE GREEN</t>
  </si>
  <si>
    <t>8523 CARRIAGE GREEN</t>
  </si>
  <si>
    <t>1924 KIMBERLY CT</t>
  </si>
  <si>
    <t>1622 COACHMANS RD</t>
  </si>
  <si>
    <t>1622 LAUREL LN</t>
  </si>
  <si>
    <t>8421 GLENEYRE RD</t>
  </si>
  <si>
    <t>1629 COACHMANS RD</t>
  </si>
  <si>
    <t>8425 GLENEYRE RD</t>
  </si>
  <si>
    <t>1633 FOXHILL PL</t>
  </si>
  <si>
    <t>1630 HEATHER LN</t>
  </si>
  <si>
    <t>8501 GLENEYRE RD</t>
  </si>
  <si>
    <t>1617 LAUREL LN</t>
  </si>
  <si>
    <t>1634 ROYAL OAK RD</t>
  </si>
  <si>
    <t>8609 CARRIAGE GREEN</t>
  </si>
  <si>
    <t>8511 GLENEYRE RD</t>
  </si>
  <si>
    <t>WITTINGTONCT</t>
  </si>
  <si>
    <t>1625 FOXHILL PL</t>
  </si>
  <si>
    <t>1618 ROYAL OAK RD</t>
  </si>
  <si>
    <t>8505 GLENEYRE RD</t>
  </si>
  <si>
    <t>1606 COACHMANS RD</t>
  </si>
  <si>
    <t>8826 CARLISLE CT</t>
  </si>
  <si>
    <t>8739 CARLISLE CT</t>
  </si>
  <si>
    <t>8735 CARLISLE CT</t>
  </si>
  <si>
    <t>1614 ROYAL OAK RD</t>
  </si>
  <si>
    <t>1629 FOXHILL PL</t>
  </si>
  <si>
    <t>1618 COACHMANS RD</t>
  </si>
  <si>
    <t>1524 WILLOW CREEK LN</t>
  </si>
  <si>
    <t>1525 EVERGREEN LN</t>
  </si>
  <si>
    <t>6804 WHITE PINE TR</t>
  </si>
  <si>
    <t>8606 CARRIAGE GREEN DR</t>
  </si>
  <si>
    <t>8426 CARRIAGE GREEN</t>
  </si>
  <si>
    <t>8746 CARLISLE CT</t>
  </si>
  <si>
    <t>8418 CARRIAGE GREEN DR</t>
  </si>
  <si>
    <t>8405 CARRIAGE GREEN</t>
  </si>
  <si>
    <t>8731 KENTWOOD CT</t>
  </si>
  <si>
    <t>1622 ROYAL OAK RD</t>
  </si>
  <si>
    <t>8522 CARRIAGE GREEN</t>
  </si>
  <si>
    <t>8822 CARLISLE CT</t>
  </si>
  <si>
    <t>1508 ROYAL OAK RD</t>
  </si>
  <si>
    <t>8509 GLENEYRE RD</t>
  </si>
  <si>
    <t>1630 ROYAL OAK RD</t>
  </si>
  <si>
    <t>1501 OLD OAK PL</t>
  </si>
  <si>
    <t>1501 PINEHURST DR</t>
  </si>
  <si>
    <t>8400 EVERGREEN LN</t>
  </si>
  <si>
    <t>1532 WILLOW CREEK LN</t>
  </si>
  <si>
    <t>1504 EVERGREEN LN</t>
  </si>
  <si>
    <t>8204 PINE BLUFF CT</t>
  </si>
  <si>
    <t>1516 EVERGREEN LN</t>
  </si>
  <si>
    <t>1512 EVERGREEN LN</t>
  </si>
  <si>
    <t>1614 LAUREL LN</t>
  </si>
  <si>
    <t>1524 EVERGREEN LN</t>
  </si>
  <si>
    <t>8805 CARLISLE CT</t>
  </si>
  <si>
    <t>8759 CARLISLE CT</t>
  </si>
  <si>
    <t>8801 CARLISLE CT</t>
  </si>
  <si>
    <t>8809 CARLISLE CT</t>
  </si>
  <si>
    <t>8763 CARLISLE CT</t>
  </si>
  <si>
    <t>1921 KENTWOOD CT</t>
  </si>
  <si>
    <t>1626 ROYAL OAK RD</t>
  </si>
  <si>
    <t>1529 WINTERBERRY LN</t>
  </si>
  <si>
    <t>1520 EVERGREEN LN</t>
  </si>
  <si>
    <t>1509 OLD OAK PL</t>
  </si>
  <si>
    <t>8813 CARLISLE CT</t>
  </si>
  <si>
    <t>8737 CARRIAGE GREEN</t>
  </si>
  <si>
    <t>8406 CARRIAGE GREEN</t>
  </si>
  <si>
    <t>1601 COACHMANS RD</t>
  </si>
  <si>
    <t>1518 PINE VIEW CT</t>
  </si>
  <si>
    <t>1606 ROYAL OAK RD</t>
  </si>
  <si>
    <t>1521 WINTERBERRY LN</t>
  </si>
  <si>
    <t>1516 WILLOW CREEK LN</t>
  </si>
  <si>
    <t>1509 WINTERBERRY LN</t>
  </si>
  <si>
    <t>1508 WILLOW CREEK LN</t>
  </si>
  <si>
    <t>8410 CARRIAGE GREEN</t>
  </si>
  <si>
    <t>1512 WILLOW CREEK LN</t>
  </si>
  <si>
    <t>1505 WINTERBERRY LN</t>
  </si>
  <si>
    <t>1520 WILLOW CREEK LN</t>
  </si>
  <si>
    <t>1513 WINTERBERRY LN</t>
  </si>
  <si>
    <t>1504 WILLOW CREEK LN</t>
  </si>
  <si>
    <t>1517 WINTERBERRY LN</t>
  </si>
  <si>
    <t>1500 WINTERBERRY LN</t>
  </si>
  <si>
    <t>8750 CARLISLE CT</t>
  </si>
  <si>
    <t>1520 WINTERBERRY LN</t>
  </si>
  <si>
    <t>6808 WHITE PINE TRL</t>
  </si>
  <si>
    <t>6800 RED PINE TRL</t>
  </si>
  <si>
    <t>6800 WHITE PINE TR</t>
  </si>
  <si>
    <t>8112 PORTSMOUTH DR</t>
  </si>
  <si>
    <t>8430 CARRIAGE GREEN DR</t>
  </si>
  <si>
    <t>8730 CARRIAGE GREEN</t>
  </si>
  <si>
    <t>8743 KENTWOOD CT</t>
  </si>
  <si>
    <t>8742 KENTWOOD CT</t>
  </si>
  <si>
    <t>8730 KENTWOOD CT</t>
  </si>
  <si>
    <t>8750 KENTWOOD ST</t>
  </si>
  <si>
    <t>8746 KENTWOOD</t>
  </si>
  <si>
    <t>1925 KIMBERLY CT</t>
  </si>
  <si>
    <t>1509 EVERGREEN CT</t>
  </si>
  <si>
    <t>8402 CARRIAGE GREEN DR</t>
  </si>
  <si>
    <t>1633 COACHMAN RD</t>
  </si>
  <si>
    <t>1609 COACHMANS RD</t>
  </si>
  <si>
    <t>1531 PINEHURST DR</t>
  </si>
  <si>
    <t>1630 FOX HILL PL</t>
  </si>
  <si>
    <t>1610 ROYAL OAK RD</t>
  </si>
  <si>
    <t>8747 KENTWOOD CT</t>
  </si>
  <si>
    <t>1520 PINEHURST DR</t>
  </si>
  <si>
    <t>1516 WINTERBERRY LN</t>
  </si>
  <si>
    <t>1508 WINTERBERRY LN</t>
  </si>
  <si>
    <t>1504 WINTERBERRY LN</t>
  </si>
  <si>
    <t>1512 WINTERBERRY LN</t>
  </si>
  <si>
    <t>8506 CARRIAGE GREEN</t>
  </si>
  <si>
    <t>1617 ROYAL OAK RD</t>
  </si>
  <si>
    <t>1625 COACHMANS RD</t>
  </si>
  <si>
    <t>1633 HEATHER LN</t>
  </si>
  <si>
    <t>1605 COACHMANS RD</t>
  </si>
  <si>
    <t>1513 EVERGREEN CT</t>
  </si>
  <si>
    <t>1613 COACHMANS DR</t>
  </si>
  <si>
    <t>1514 PINE VIEW CT</t>
  </si>
  <si>
    <t>6801 WHITE PINE TRL</t>
  </si>
  <si>
    <t>1401 PINE COVE CT</t>
  </si>
  <si>
    <t>8414 GLENEYRE RD</t>
  </si>
  <si>
    <t>8414 CARRIAGE GREEN</t>
  </si>
  <si>
    <t>1522 PINE VIEW CT</t>
  </si>
  <si>
    <t>1623 ROYAL OAK RD</t>
  </si>
  <si>
    <t>8518 CARRIAGE GREEN DR</t>
  </si>
  <si>
    <t>8751 KENTWOOD CT</t>
  </si>
  <si>
    <t>8418 GLENEYRE RD</t>
  </si>
  <si>
    <t>8201 PINE BLUFF CT</t>
  </si>
  <si>
    <t>1625 HEATHER LN</t>
  </si>
  <si>
    <t>8422 GLENEYRE RD</t>
  </si>
  <si>
    <t>6801 RED PINE TR</t>
  </si>
  <si>
    <t>1405 PINE COVE CT</t>
  </si>
  <si>
    <t>1621 COACHMANS RD</t>
  </si>
  <si>
    <t>8426 GLENEYRE RD</t>
  </si>
  <si>
    <t>8510 CARRIAGE GREEN</t>
  </si>
  <si>
    <t>1629 HEATHER LN</t>
  </si>
  <si>
    <t>1530 PINE VIEW CT</t>
  </si>
  <si>
    <t>8430 GLENEYRE RD</t>
  </si>
  <si>
    <t>7829 FLORENCE AVE</t>
  </si>
  <si>
    <t>8733 CARRIAGE GREEN</t>
  </si>
  <si>
    <t>8502 GLENEYRE RD</t>
  </si>
  <si>
    <t>8410 GLENEYRE RD</t>
  </si>
  <si>
    <t>1618 OLD OAK PL</t>
  </si>
  <si>
    <t>1621 HEATHER LN</t>
  </si>
  <si>
    <t>8506 GLENEYRE RD</t>
  </si>
  <si>
    <t>1605 ROYAL OAK RD</t>
  </si>
  <si>
    <t>8519 CARRIAGE GREEN DR</t>
  </si>
  <si>
    <t>1617 COACHMANS RD</t>
  </si>
  <si>
    <t>1409 PINEHURST DR</t>
  </si>
  <si>
    <t>1613 ROYAL OAK RD</t>
  </si>
  <si>
    <t>720 SOMERSET RD</t>
  </si>
  <si>
    <t>1505 OLD OAK PL</t>
  </si>
  <si>
    <t>1500 OLD OAK PL</t>
  </si>
  <si>
    <t>1906 CENTER CIR</t>
  </si>
  <si>
    <t>1617 HEATHER LN</t>
  </si>
  <si>
    <t>1905 CENTER CIR</t>
  </si>
  <si>
    <t>8514 CARRIAGE GREENS</t>
  </si>
  <si>
    <t>7724 FLORENCE AVE</t>
  </si>
  <si>
    <t>7804 FLORENCE AVE</t>
  </si>
  <si>
    <t>1609 ROYAL OAK RD</t>
  </si>
  <si>
    <t>8338 WOODLAND DR</t>
  </si>
  <si>
    <t>8200 PINE BLUFF CT</t>
  </si>
  <si>
    <t>1614 OLD OAK PL</t>
  </si>
  <si>
    <t>1606 OLD OAK PL</t>
  </si>
  <si>
    <t>6813 WHITE PINE TRL</t>
  </si>
  <si>
    <t>1521 PINE VIEW CT</t>
  </si>
  <si>
    <t>1613 HEATHER LN</t>
  </si>
  <si>
    <t>7716 FLORENCE AVE</t>
  </si>
  <si>
    <t>1419 PINE COVE CT</t>
  </si>
  <si>
    <t>1618 FOXHILL PL</t>
  </si>
  <si>
    <t>1626 FOX HILL PL</t>
  </si>
  <si>
    <t>8220 PINE BLUFF CT</t>
  </si>
  <si>
    <t>BAVARIAN LN</t>
  </si>
  <si>
    <t>7829 DORCHESTER LN</t>
  </si>
  <si>
    <t>8510 GLENEYRE RD</t>
  </si>
  <si>
    <t>1529 EVERGREEN LN</t>
  </si>
  <si>
    <t>6817 WHITE PINE TRL</t>
  </si>
  <si>
    <t>8505 CARRIAGE GREEN</t>
  </si>
  <si>
    <t>1416 PINE COVE CT</t>
  </si>
  <si>
    <t>6805 RED PINE TRL</t>
  </si>
  <si>
    <t>6805 SCOTCH PINE TRL</t>
  </si>
  <si>
    <t>8136 PORTSMOUTH DR</t>
  </si>
  <si>
    <t>7828 DORCHESTER LN</t>
  </si>
  <si>
    <t>1401 PINEHURST DR</t>
  </si>
  <si>
    <t>6821 WHITE PINE TRL</t>
  </si>
  <si>
    <t>6809 WHITE PINE TR</t>
  </si>
  <si>
    <t>1503 PINEHURST DR</t>
  </si>
  <si>
    <t>1510 PINE VIEW CT</t>
  </si>
  <si>
    <t>1501 PINE VIEW CT</t>
  </si>
  <si>
    <t>8205 PINE BLUFF CT</t>
  </si>
  <si>
    <t>1622 FOXHILL PL</t>
  </si>
  <si>
    <t>1906 GORDON CT</t>
  </si>
  <si>
    <t>7702 FLORENCE AVE</t>
  </si>
  <si>
    <t>1539 PINEHURST DR</t>
  </si>
  <si>
    <t>1508 PINEHURST DR</t>
  </si>
  <si>
    <t>1505 PINE VIEW CT</t>
  </si>
  <si>
    <t>1905 GORDON CT</t>
  </si>
  <si>
    <t>1504 PINEHURST DR</t>
  </si>
  <si>
    <t>1523 PINEHURST DR</t>
  </si>
  <si>
    <t>8221 PINE BLUFF CT</t>
  </si>
  <si>
    <t>8112 WITTINGTON CT</t>
  </si>
  <si>
    <t>1525 PINE VIEW CT</t>
  </si>
  <si>
    <t>1504 PINE VIEW CT</t>
  </si>
  <si>
    <t>1509 PINE VIEW CT</t>
  </si>
  <si>
    <t>6801 SCOTCH PINE TR</t>
  </si>
  <si>
    <t>8132 PORTSMOUTH DR</t>
  </si>
  <si>
    <t>7800 DORCHESTER LN</t>
  </si>
  <si>
    <t>7829 MAYFAIR LN</t>
  </si>
  <si>
    <t>1512 PINEHURST DR</t>
  </si>
  <si>
    <t>6808 RED PINE TRAIL</t>
  </si>
  <si>
    <t>1416 PINEHURST DR</t>
  </si>
  <si>
    <t>1420 PINEHURST DR</t>
  </si>
  <si>
    <t>6809 SCOTCH PINE TR</t>
  </si>
  <si>
    <t>6808 SCOTCH PINE TRL</t>
  </si>
  <si>
    <t>6809 RED PINE TR</t>
  </si>
  <si>
    <t>6813 RED PINE TR</t>
  </si>
  <si>
    <t>6805 WHITE PINE TR</t>
  </si>
  <si>
    <t>6813 SCOTCH PINE TRL</t>
  </si>
  <si>
    <t>8128 PORTSMOUTH DR</t>
  </si>
  <si>
    <t>1500 PINEHURST DR</t>
  </si>
  <si>
    <t>1543 PINEHURST DR</t>
  </si>
  <si>
    <t>6804 RED PINE TRL</t>
  </si>
  <si>
    <t>1400 PINE COVE CT</t>
  </si>
  <si>
    <t>1913 GORDON CT</t>
  </si>
  <si>
    <t>1527 PINEHURST DR</t>
  </si>
  <si>
    <t>1535 PINEHURST DR</t>
  </si>
  <si>
    <t>1913 CENTER CIR</t>
  </si>
  <si>
    <t>1555 PINEHURST DR</t>
  </si>
  <si>
    <t>7704 QUEENS CT</t>
  </si>
  <si>
    <t>1412 PINE COVE CT</t>
  </si>
  <si>
    <t>1415 PINE COVE CT</t>
  </si>
  <si>
    <t>7801 MAYFAIR LN</t>
  </si>
  <si>
    <t>1404 PINE COVE CT</t>
  </si>
  <si>
    <t>1412 PINEHURST DR</t>
  </si>
  <si>
    <t>1547 PINEHURST DR</t>
  </si>
  <si>
    <t>1551 PINEHURST DR</t>
  </si>
  <si>
    <t>1533 PINE VIEW CT</t>
  </si>
  <si>
    <t>1507 PINEHURST DR</t>
  </si>
  <si>
    <t>1409 PINE COVE CT</t>
  </si>
  <si>
    <t>1519 PINEHURST DR</t>
  </si>
  <si>
    <t>1517 PINEVIEW CT</t>
  </si>
  <si>
    <t>1405 PINEHURST DR</t>
  </si>
  <si>
    <t>8208 PINE BLUFF CT</t>
  </si>
  <si>
    <t>1408 PINE COVE CT</t>
  </si>
  <si>
    <t>1529 PINEVIEW CT</t>
  </si>
  <si>
    <t>1515 PINEHURST DR</t>
  </si>
  <si>
    <t>1411 PINE COVE CT</t>
  </si>
  <si>
    <t>8212 PINE BLUFF CT</t>
  </si>
  <si>
    <t>1511 PINEHURST DR</t>
  </si>
  <si>
    <t>1513 PINE VIEW CT</t>
  </si>
  <si>
    <t>8216 PINE BLUFF CT</t>
  </si>
  <si>
    <t>8213 PINE BLUFF CT</t>
  </si>
  <si>
    <t>8217 PINE BLUFF CT</t>
  </si>
  <si>
    <t>8116 PORTSMOUTH DR</t>
  </si>
  <si>
    <t>8124 PORTSMOUTH DR</t>
  </si>
  <si>
    <t>8209 PINE BLUFF CT</t>
  </si>
  <si>
    <t>7701 FLORENCE AVE</t>
  </si>
  <si>
    <t>7813 DORCHESTER LN</t>
  </si>
  <si>
    <t>7821 DORCHESTER LN</t>
  </si>
  <si>
    <t>7709 FLORENCE AVE</t>
  </si>
  <si>
    <t>7725 FLORENCE AVE</t>
  </si>
  <si>
    <t>7817 FLORENCE AVE</t>
  </si>
  <si>
    <t>7813 FLORENCE AVE</t>
  </si>
  <si>
    <t>7717 FLORENCE AVE</t>
  </si>
  <si>
    <t>7821 FLORENCE AVE</t>
  </si>
  <si>
    <t>7801 FLORENCE AVE</t>
  </si>
  <si>
    <t>7809 FLORENCE AVE</t>
  </si>
  <si>
    <t>7729 FLORENCE AVE</t>
  </si>
  <si>
    <t>7721 FLORENCE AVE</t>
  </si>
  <si>
    <t>7805 FLORENCE AVE</t>
  </si>
  <si>
    <t>8108 WITTINGTON CT</t>
  </si>
  <si>
    <t>7713 FLORENCE AVE</t>
  </si>
  <si>
    <t>7825 FLORENCE AVE</t>
  </si>
  <si>
    <t>7705 FLORENCE AVE</t>
  </si>
  <si>
    <t>704 S0MERSET LN</t>
  </si>
  <si>
    <t>708 SOMERSET LN</t>
  </si>
  <si>
    <t>700 SOMERSET LN</t>
  </si>
  <si>
    <t>7832 MAYFAIR LN</t>
  </si>
  <si>
    <t>7809 DORCHESTER LN</t>
  </si>
  <si>
    <t>716 SOMERSET LN</t>
  </si>
  <si>
    <t>8120 PORTSMOUTH DR</t>
  </si>
  <si>
    <t>7817 DORCHESTER LN</t>
  </si>
  <si>
    <t>7825 DORCHESTER LN</t>
  </si>
  <si>
    <t>7805 MAYFAIR LN</t>
  </si>
  <si>
    <t>7825 MAYFAIR LN</t>
  </si>
  <si>
    <t>7824 DORCHESTER LN</t>
  </si>
  <si>
    <t>7804 DORCHESTER LN</t>
  </si>
  <si>
    <t>7820 DORCHESTER LN</t>
  </si>
  <si>
    <t>7812 DORCHESTER LN</t>
  </si>
  <si>
    <t>7808 DORCHESTER LN</t>
  </si>
  <si>
    <t>7816 DORCHESTER LN</t>
  </si>
  <si>
    <t>7813 MAYFAIR LN</t>
  </si>
  <si>
    <t>7817 MAYFAIR LN</t>
  </si>
  <si>
    <t>7809 MAYFAIR LN</t>
  </si>
  <si>
    <t>7821 MAYFAIR LN</t>
  </si>
  <si>
    <t>712 SOMERSET LN</t>
  </si>
  <si>
    <t>7800 MAYFAIR LN</t>
  </si>
  <si>
    <t>7824 MAYFAIR LN</t>
  </si>
  <si>
    <t>7804 MAYFAIR LN</t>
  </si>
  <si>
    <t>7820 MAYFAIR LN</t>
  </si>
  <si>
    <t>7828 MAYFAIR LN</t>
  </si>
  <si>
    <t>7812 MAYFAIR LN</t>
  </si>
  <si>
    <t>7816 MAYFAIR LN</t>
  </si>
  <si>
    <t>7808 MAYFAIR LN</t>
  </si>
  <si>
    <t>8120 PARK CREST DR</t>
  </si>
  <si>
    <t>8124 PARK CREST DR</t>
  </si>
  <si>
    <t>1030 PARK CREST DR</t>
  </si>
  <si>
    <t>8125 ORIOLE DR</t>
  </si>
  <si>
    <t>1033 MEADOWLARK LN</t>
  </si>
  <si>
    <t>1034 BOB-O-LINK LN</t>
  </si>
  <si>
    <t>1021 HINSWOOD DR</t>
  </si>
  <si>
    <t>1017 MEADOWLARK LN</t>
  </si>
  <si>
    <t>1018 BOB-O-LINK LN</t>
  </si>
  <si>
    <t>1032 PARK CREST DR</t>
  </si>
  <si>
    <t>1025 HINSWOOD DR</t>
  </si>
  <si>
    <t>1028 HINSWOOD DR</t>
  </si>
  <si>
    <t>8115 ORIOLE DR</t>
  </si>
  <si>
    <t>1053 BOB-O-LINK LN</t>
  </si>
  <si>
    <t>1013 BOB-O-LINK LN</t>
  </si>
  <si>
    <t>1014 MEADOWLARK LN</t>
  </si>
  <si>
    <t>8210 PARK CREST DR</t>
  </si>
  <si>
    <t>8210 HINSWOOD DR</t>
  </si>
  <si>
    <t>1028 PARK CREST DR</t>
  </si>
  <si>
    <t>8119 ORIOLE DR</t>
  </si>
  <si>
    <t>1030 MEADOWLARK LN</t>
  </si>
  <si>
    <t>8132 HINSWOOD DR</t>
  </si>
  <si>
    <t>8128 HINSWOOD DR</t>
  </si>
  <si>
    <t>1210 DARIEN PATH WAY</t>
  </si>
  <si>
    <t>1226 DARIEN PATH WAY</t>
  </si>
  <si>
    <t>1024 HINSWOOD DR</t>
  </si>
  <si>
    <t>8128 PARK CREST DR</t>
  </si>
  <si>
    <t>1038 PARK CREST DR</t>
  </si>
  <si>
    <t>8111 ORIOLE DR</t>
  </si>
  <si>
    <t>1017 HINSWOOD DR</t>
  </si>
  <si>
    <t>1029 PARKCREST DR</t>
  </si>
  <si>
    <t>8121 ORIOLE DR</t>
  </si>
  <si>
    <t>1026 PARK CREST DR</t>
  </si>
  <si>
    <t>1013 HINSWOOD DR</t>
  </si>
  <si>
    <t>8121 PARK CREST DR</t>
  </si>
  <si>
    <t>1033 BOB-O-LINK LN</t>
  </si>
  <si>
    <t>1022 PARK CREST DR</t>
  </si>
  <si>
    <t>1037 PARK CREST DR</t>
  </si>
  <si>
    <t>8133 PARK CREST DR</t>
  </si>
  <si>
    <t>8125 PARK CREST DR</t>
  </si>
  <si>
    <t>1037 BOB O LINK DR</t>
  </si>
  <si>
    <t>1034 PARK CREST DR</t>
  </si>
  <si>
    <t>8129 PARK CREST DR</t>
  </si>
  <si>
    <t>8136 HINSWOOD DR</t>
  </si>
  <si>
    <t>8116 PARK CREST DR</t>
  </si>
  <si>
    <t>1025 PARK CREST DR</t>
  </si>
  <si>
    <t>8117 PARK CREST DR</t>
  </si>
  <si>
    <t>1033 PARK CREST DR</t>
  </si>
  <si>
    <t>1013 PARK CREST DR</t>
  </si>
  <si>
    <t>1030 BOB-O-LINK LN</t>
  </si>
  <si>
    <t>1021 MEADOWLARK LN</t>
  </si>
  <si>
    <t>1029 MEADOWLARK LN</t>
  </si>
  <si>
    <t>1026 BOB O LINK DR</t>
  </si>
  <si>
    <t>8209 PARK CREST DR</t>
  </si>
  <si>
    <t>1025 MEADOWLARK LN</t>
  </si>
  <si>
    <t>1022 BOB-O-LINK LN</t>
  </si>
  <si>
    <t>1021 PARK CREST DR</t>
  </si>
  <si>
    <t>1041 PARK CREST DR</t>
  </si>
  <si>
    <t>1018 PARK CREST DR</t>
  </si>
  <si>
    <t>1014 PARK CREST DR</t>
  </si>
  <si>
    <t>1022 MEADOWLARK LN</t>
  </si>
  <si>
    <t>1025 BOB O LINK DR</t>
  </si>
  <si>
    <t>8201 PARK CREST DR</t>
  </si>
  <si>
    <t>1041 BOB-O-LINK DR</t>
  </si>
  <si>
    <t>1045 BOB-O-LINK LN</t>
  </si>
  <si>
    <t>1017 BOB-O-LINK LN</t>
  </si>
  <si>
    <t>1021 BOB-O-LINK LN</t>
  </si>
  <si>
    <t>1017 PARK CREST DR</t>
  </si>
  <si>
    <t>8206 HINSWOOD DR</t>
  </si>
  <si>
    <t>1029 BOB-O-LINK LN</t>
  </si>
  <si>
    <t>1049 BOB O LINK DR</t>
  </si>
  <si>
    <t>8205 PARK CREST DR</t>
  </si>
  <si>
    <t>8136 PARK CREST DR</t>
  </si>
  <si>
    <t>1042 PARK CREST DR</t>
  </si>
  <si>
    <t>8132 PARK CREST DR</t>
  </si>
  <si>
    <t>1026 MEADOWLARK LN</t>
  </si>
  <si>
    <t>8206 PARK CREST DR</t>
  </si>
  <si>
    <t>1009 HINSWOOD DR</t>
  </si>
  <si>
    <t>1032 HINSWOOD DR</t>
  </si>
  <si>
    <t>1018 MEADOWLARK LN</t>
  </si>
  <si>
    <t>8142 HINSWOOD DR</t>
  </si>
  <si>
    <t>8202 PARK CREST DR</t>
  </si>
  <si>
    <t>8112 PARK CREST DR</t>
  </si>
  <si>
    <t>1005 HINSWOOD DR</t>
  </si>
  <si>
    <t>1214 DARIEN PATH WAY</t>
  </si>
  <si>
    <t>1218 DARIEN PATH WAY</t>
  </si>
  <si>
    <t>1220 PLAINFIELD RD</t>
  </si>
  <si>
    <t>1601 GOLFVIEW DR</t>
  </si>
  <si>
    <t>8105 OAKLEY DR</t>
  </si>
  <si>
    <t>1144 GILBERT AVE</t>
  </si>
  <si>
    <t>1219 WARREN AVE</t>
  </si>
  <si>
    <t>5109 GRAND AVE</t>
  </si>
  <si>
    <t>5113 GRAND AVE</t>
  </si>
  <si>
    <t>5108 GRAND AVE</t>
  </si>
  <si>
    <t>1204 GILBERT AVE</t>
  </si>
  <si>
    <t>1120 GROVE ST</t>
  </si>
  <si>
    <t>620 ROGERS ST</t>
  </si>
  <si>
    <t>1116 GROVE ST</t>
  </si>
  <si>
    <t>1126 GROVE ST</t>
  </si>
  <si>
    <t>803 ROGERS ST</t>
  </si>
  <si>
    <t>1123 CURTISS ST</t>
  </si>
  <si>
    <t>1129 CURTISS ST</t>
  </si>
  <si>
    <t>1127 CURTISS ST</t>
  </si>
  <si>
    <t>1200 GILBERT AVE</t>
  </si>
  <si>
    <t>430 ROGERS ST</t>
  </si>
  <si>
    <t>548 ROGERS ST</t>
  </si>
  <si>
    <t>616 ROGERS ST</t>
  </si>
  <si>
    <t>520 ROGERS ST</t>
  </si>
  <si>
    <t>5004 WILCOX AVE</t>
  </si>
  <si>
    <t>1202 CURTISS ST</t>
  </si>
  <si>
    <t>1101 GROVE ST</t>
  </si>
  <si>
    <t>5115 CARPENTER ST</t>
  </si>
  <si>
    <t>4948 SARATOGA ST</t>
  </si>
  <si>
    <t>5007 WILCOX AVE</t>
  </si>
  <si>
    <t>4952 SARATOGA ST</t>
  </si>
  <si>
    <t>1041 GROVE ST</t>
  </si>
  <si>
    <t>5003 WILCOX AVE</t>
  </si>
  <si>
    <t>1201 GILBERT AVE</t>
  </si>
  <si>
    <t>1143 GILBERT AVE</t>
  </si>
  <si>
    <t>412 ROGERS ST</t>
  </si>
  <si>
    <t>5211 WASHINGTON ST</t>
  </si>
  <si>
    <t>1141 CURTISS ST</t>
  </si>
  <si>
    <t>903 ROGERS ST</t>
  </si>
  <si>
    <t>805 CURTISS ST</t>
  </si>
  <si>
    <t>4953 WILCOX AVE</t>
  </si>
  <si>
    <t>1049 GROVE ST</t>
  </si>
  <si>
    <t>1037 GROVE ST</t>
  </si>
  <si>
    <t>747 ROGERS ST</t>
  </si>
  <si>
    <t>736 WARREN AVE</t>
  </si>
  <si>
    <t>829 ROGERS ST</t>
  </si>
  <si>
    <t>826 WARREN AVE</t>
  </si>
  <si>
    <t>835 ROGERS ST</t>
  </si>
  <si>
    <t>337 MAPLE AVE</t>
  </si>
  <si>
    <t>803 CURTISS ST</t>
  </si>
  <si>
    <t>1135 CURTISS ST</t>
  </si>
  <si>
    <t>4942 STANLEY AVE</t>
  </si>
  <si>
    <t>716 ROGERS ST</t>
  </si>
  <si>
    <t>4947 WILCOX AVE</t>
  </si>
  <si>
    <t>1212 WARREN AVE</t>
  </si>
  <si>
    <t>5007 WASHINGTON ST</t>
  </si>
  <si>
    <t>1137 CURTISS ST</t>
  </si>
  <si>
    <t>825 ROGERS ST</t>
  </si>
  <si>
    <t>821 ROGERS ST</t>
  </si>
  <si>
    <t>420 ROGERS ST</t>
  </si>
  <si>
    <t>416 ROGERS ST</t>
  </si>
  <si>
    <t>4932 FAIRVIEW AVE</t>
  </si>
  <si>
    <t>552 ROGERS ST</t>
  </si>
  <si>
    <t>610 ROGERS ST</t>
  </si>
  <si>
    <t>604 ROGERS ST</t>
  </si>
  <si>
    <t>602 ROGERS ST</t>
  </si>
  <si>
    <t>5004 FLORENCE AVE</t>
  </si>
  <si>
    <t>5000 FLORENCE AVE</t>
  </si>
  <si>
    <t>4952 FLORENCE AVE</t>
  </si>
  <si>
    <t>4919 SARATOGA ST</t>
  </si>
  <si>
    <t>4929 SARATOGA ST</t>
  </si>
  <si>
    <t>4921 SARATOGA AVE</t>
  </si>
  <si>
    <t>4925 SARATOGA ST</t>
  </si>
  <si>
    <t>4950 FLORENCE AVE</t>
  </si>
  <si>
    <t>5334 MAIN ST</t>
  </si>
  <si>
    <t>5338 MAIN ST</t>
  </si>
  <si>
    <t>1201 CURTISS ST</t>
  </si>
  <si>
    <t>817 ROGERS ST</t>
  </si>
  <si>
    <t>810 WARREN AVE</t>
  </si>
  <si>
    <t>813 ROGERS ST</t>
  </si>
  <si>
    <t>814 WARREN AVE</t>
  </si>
  <si>
    <t>818 WARREN AVE</t>
  </si>
  <si>
    <t>728 WARREN AVE</t>
  </si>
  <si>
    <t>735 ROGERS ST</t>
  </si>
  <si>
    <t>745 ROGERS ST</t>
  </si>
  <si>
    <t>739 ROGERS ST</t>
  </si>
  <si>
    <t>727 ROGERS ST</t>
  </si>
  <si>
    <t>1031 GROVE ST</t>
  </si>
  <si>
    <t>1205 CURTISS ST</t>
  </si>
  <si>
    <t>1209 CURTISS ST</t>
  </si>
  <si>
    <t>809 ROGERS ST</t>
  </si>
  <si>
    <t>1033 GROVE ST</t>
  </si>
  <si>
    <t>915 ROGERS ST</t>
  </si>
  <si>
    <t>907 ROGERS ST</t>
  </si>
  <si>
    <t>5009 WILCOX AVE</t>
  </si>
  <si>
    <t>5114 FOREST AVE</t>
  </si>
  <si>
    <t>1035 GROVE ST</t>
  </si>
  <si>
    <t>5207 MAIN ST</t>
  </si>
  <si>
    <t>603 ROGERS ST</t>
  </si>
  <si>
    <t>603-35 ROGERS ST</t>
  </si>
  <si>
    <t>4915-4921 MAIN ST</t>
  </si>
  <si>
    <t>703 ROGERS ST</t>
  </si>
  <si>
    <t>5003 FAIRVIEW AVE</t>
  </si>
  <si>
    <t>5002 MAIN ST</t>
  </si>
  <si>
    <t>CUMNOR RD</t>
  </si>
  <si>
    <t>4942 SARATOGA ST</t>
  </si>
  <si>
    <t>1045 GROVE ST</t>
  </si>
  <si>
    <t>340 BURLINGTON AVE</t>
  </si>
  <si>
    <t>ROGERS ST</t>
  </si>
  <si>
    <t>5200 MAIN ST</t>
  </si>
  <si>
    <t>1208 WARREN AVE</t>
  </si>
  <si>
    <t>1210 WARREN AVE</t>
  </si>
  <si>
    <t>450 ROGERS ST</t>
  </si>
  <si>
    <t>4921 FOREST AVE</t>
  </si>
  <si>
    <t>4920 MAIN ST</t>
  </si>
  <si>
    <t>1120 WARREN AVE</t>
  </si>
  <si>
    <t>925 ROGERS ST</t>
  </si>
  <si>
    <t>936 WARREN AVE</t>
  </si>
  <si>
    <t>4900 MAIN ST</t>
  </si>
  <si>
    <t>923 ROGERS ST</t>
  </si>
  <si>
    <t>5140 MAIN ST</t>
  </si>
  <si>
    <t>5100 MAIN ST</t>
  </si>
  <si>
    <t>5216 MAIN ST</t>
  </si>
  <si>
    <t>433 MAPLE AVE</t>
  </si>
  <si>
    <t>942 SUMMIT ST</t>
  </si>
  <si>
    <t>4326 FLORENCE AVE</t>
  </si>
  <si>
    <t>417 2ND ST</t>
  </si>
  <si>
    <t>4831 BELMONT RD</t>
  </si>
  <si>
    <t>5005 FLORENCE AVE</t>
  </si>
  <si>
    <t>4943 HIGHLAND AVE</t>
  </si>
  <si>
    <t>2320 BURLINGTON AVE</t>
  </si>
  <si>
    <t>4932 WASHINGTON ST</t>
  </si>
  <si>
    <t>4343 LINSCOTT AVE</t>
  </si>
  <si>
    <t>4339 LINSCOTT AVE</t>
  </si>
  <si>
    <t>4338 SARATOGA AVE</t>
  </si>
  <si>
    <t>4945 HIGHLAND AVE</t>
  </si>
  <si>
    <t>4936 WASHINGTON ST</t>
  </si>
  <si>
    <t>4940 WASHINGTON ST</t>
  </si>
  <si>
    <t>5200-04 FAIRVIEW AVE</t>
  </si>
  <si>
    <t>4401 BELMONT RD</t>
  </si>
  <si>
    <t>4900 FAIRVIEW AVE</t>
  </si>
  <si>
    <t>7050 MAIN ST</t>
  </si>
  <si>
    <t>7021 POWELL CT</t>
  </si>
  <si>
    <t>7028 MAIN ST</t>
  </si>
  <si>
    <t>1224 GILBERT AVE</t>
  </si>
  <si>
    <t>1713 WHITE PL</t>
  </si>
  <si>
    <t>4932 HIGHLAND AVE</t>
  </si>
  <si>
    <t>1210 GILBERT AVE</t>
  </si>
  <si>
    <t>4237 LINDLEY ST</t>
  </si>
  <si>
    <t>1120 STANFORD AVE</t>
  </si>
  <si>
    <t>7109 MATTHIAS RD</t>
  </si>
  <si>
    <t>1216 GILBERT AVE</t>
  </si>
  <si>
    <t>229 MAPLE AVE</t>
  </si>
  <si>
    <t>233 MAPLE AVE</t>
  </si>
  <si>
    <t>7409 TICONDEROGA RD</t>
  </si>
  <si>
    <t>4908 HIGHLAND AVE</t>
  </si>
  <si>
    <t>1731 HALL PL</t>
  </si>
  <si>
    <t>303 MAPLE AVE</t>
  </si>
  <si>
    <t>1731 BORMAN PL</t>
  </si>
  <si>
    <t>4332 FLORENCE AVE</t>
  </si>
  <si>
    <t>4336 FLORENCE AVE</t>
  </si>
  <si>
    <t>237 MAPLE AVE</t>
  </si>
  <si>
    <t>1729 GRAHAM AVE</t>
  </si>
  <si>
    <t>1728 HALL PL</t>
  </si>
  <si>
    <t>7210 TICONDEROGA PL</t>
  </si>
  <si>
    <t>7241 KIDWELL RD</t>
  </si>
  <si>
    <t>1728 BORMAN PL</t>
  </si>
  <si>
    <t>1501 71ST ST</t>
  </si>
  <si>
    <t>1617 DEVEREUX RD</t>
  </si>
  <si>
    <t>7031 POWELL CT</t>
  </si>
  <si>
    <t>1710 GRAHAM AVE</t>
  </si>
  <si>
    <t>7121 DUNHAM RD</t>
  </si>
  <si>
    <t>7264 SPRINGSIDE AVE</t>
  </si>
  <si>
    <t>7120 MATTHIAS RD</t>
  </si>
  <si>
    <t>7117 DUNHAM RD</t>
  </si>
  <si>
    <t>1432 WILLARD PL</t>
  </si>
  <si>
    <t>7116 MATTHIAS RD</t>
  </si>
  <si>
    <t>216 MAPLE AVE</t>
  </si>
  <si>
    <t>1300 HUGHES AVE</t>
  </si>
  <si>
    <t>1200 KLEIN AVE</t>
  </si>
  <si>
    <t>7124 MATTHIAS RD</t>
  </si>
  <si>
    <t>7318 SELIG PL</t>
  </si>
  <si>
    <t>7128 MATTHIAS RD</t>
  </si>
  <si>
    <t>7207 TICONDEROGA PL</t>
  </si>
  <si>
    <t>4940 CUMNOR RD</t>
  </si>
  <si>
    <t>1557 71ST TER</t>
  </si>
  <si>
    <t>7331 SELIG PL</t>
  </si>
  <si>
    <t>1717 WHITE PL</t>
  </si>
  <si>
    <t>7240 POWELL PL</t>
  </si>
  <si>
    <t>1425 WILLARD PL</t>
  </si>
  <si>
    <t>1400 WILLARD PL</t>
  </si>
  <si>
    <t>4953 FLORENCE AVE</t>
  </si>
  <si>
    <t>1130 STANFORD AVE</t>
  </si>
  <si>
    <t>1716 WHITE PL</t>
  </si>
  <si>
    <t>5001 FLORENCE AVE</t>
  </si>
  <si>
    <t>4952 CUMNOR RD</t>
  </si>
  <si>
    <t>1610 DEVEREUX RD</t>
  </si>
  <si>
    <t>323 MAPLE AVE</t>
  </si>
  <si>
    <t>7306 TICONDEROGA RD</t>
  </si>
  <si>
    <t>7327 SELIG PL</t>
  </si>
  <si>
    <t>1732 BORMAN PL</t>
  </si>
  <si>
    <t>7100 DEXTER RD</t>
  </si>
  <si>
    <t>7315 SELIG PL</t>
  </si>
  <si>
    <t>7111 TERRACE DR</t>
  </si>
  <si>
    <t>1151 STANFORD AVE</t>
  </si>
  <si>
    <t>7304 CAMDEN RD</t>
  </si>
  <si>
    <t>7205 MATTHIAS RD</t>
  </si>
  <si>
    <t>4916 SARATOGA AVE</t>
  </si>
  <si>
    <t>7233 POWELL PL</t>
  </si>
  <si>
    <t>1517 BAKER PL</t>
  </si>
  <si>
    <t>1732 HALL PL</t>
  </si>
  <si>
    <t>1205 FRANKLIN ST</t>
  </si>
  <si>
    <t>7217 BATEMAN ST</t>
  </si>
  <si>
    <t>7402 DEVEREUX RD</t>
  </si>
  <si>
    <t>7229 POWELL PL</t>
  </si>
  <si>
    <t>1524 BAKER PL</t>
  </si>
  <si>
    <t>1201 HAWKINS AVE</t>
  </si>
  <si>
    <t>7318 BINDER RD</t>
  </si>
  <si>
    <t>1730 HAWKINS AVE</t>
  </si>
  <si>
    <t>1525 BAKER PL</t>
  </si>
  <si>
    <t>7211 TICONDERGA PL</t>
  </si>
  <si>
    <t>7225 POWELL ST</t>
  </si>
  <si>
    <t>1709 WHITE PL</t>
  </si>
  <si>
    <t>7206 TICONDEROGA PL</t>
  </si>
  <si>
    <t>1714 GRAHAM AVE</t>
  </si>
  <si>
    <t>7218 BINDER RD</t>
  </si>
  <si>
    <t>1553 71ST TERRACE</t>
  </si>
  <si>
    <t>1409 WILLARD PL</t>
  </si>
  <si>
    <t>4908 CUMNOR RD</t>
  </si>
  <si>
    <t>7196 SPRINGSIDE AVE</t>
  </si>
  <si>
    <t>7225 DEXTER RD</t>
  </si>
  <si>
    <t>7200 KELLY PL</t>
  </si>
  <si>
    <t>1712 WHITE PL</t>
  </si>
  <si>
    <t>7310 BINDER RD</t>
  </si>
  <si>
    <t>7302 BINDER RD</t>
  </si>
  <si>
    <t>7232 BINDER RD</t>
  </si>
  <si>
    <t>1549 RICHARDS AVE</t>
  </si>
  <si>
    <t>7334 DEVEREUX RD</t>
  </si>
  <si>
    <t>1720 HALL PL</t>
  </si>
  <si>
    <t>7237 POWELL PL</t>
  </si>
  <si>
    <t>1400 RICHARDS AVE</t>
  </si>
  <si>
    <t>1549 71ST TERR</t>
  </si>
  <si>
    <t>1541 71ST TERR</t>
  </si>
  <si>
    <t>1545 71ST TER</t>
  </si>
  <si>
    <t>7208 KELLY PL</t>
  </si>
  <si>
    <t>1717 GRAHAM AVE</t>
  </si>
  <si>
    <t>7232 CAMDEN RD</t>
  </si>
  <si>
    <t>7100 TERRACE CT</t>
  </si>
  <si>
    <t>1721 HAWKINS AVE</t>
  </si>
  <si>
    <t>7331 DEVEREUX RD</t>
  </si>
  <si>
    <t>6125 LANE PL</t>
  </si>
  <si>
    <t>6107-9 LANE PL</t>
  </si>
  <si>
    <t>7236 POWELL PL</t>
  </si>
  <si>
    <t>7108 DEXTER RD</t>
  </si>
  <si>
    <t>7110 TERRACE DR</t>
  </si>
  <si>
    <t>1516 BAKER PL</t>
  </si>
  <si>
    <t>1706 HALL ST</t>
  </si>
  <si>
    <t>7218 TICONDEROGA PL</t>
  </si>
  <si>
    <t>7249 KELLY PL</t>
  </si>
  <si>
    <t>1508 BAKER PL</t>
  </si>
  <si>
    <t>4914 HIGHLAND AVE</t>
  </si>
  <si>
    <t>1401 WILLARD PL</t>
  </si>
  <si>
    <t>1713 GRAHAM AVE</t>
  </si>
  <si>
    <t>7200 SPRINGSIDE AVE</t>
  </si>
  <si>
    <t>1529 71ST TERR</t>
  </si>
  <si>
    <t>4948 FLORENCE AVE</t>
  </si>
  <si>
    <t>1705 HALL ST</t>
  </si>
  <si>
    <t>7132 SPRINGSIDE AVE</t>
  </si>
  <si>
    <t>4900 HIGHLAND AVE</t>
  </si>
  <si>
    <t>1711 BORMAN PL</t>
  </si>
  <si>
    <t>7217 DEXTER RD</t>
  </si>
  <si>
    <t>7301 TICONDEROGA PL</t>
  </si>
  <si>
    <t>7201 O NEILL RD</t>
  </si>
  <si>
    <t>7255 DEXTER RD</t>
  </si>
  <si>
    <t>1417 WILLARD PL</t>
  </si>
  <si>
    <t>7323 SELIG PL</t>
  </si>
  <si>
    <t>1408 WILLARD PL</t>
  </si>
  <si>
    <t>7222 TICONDEROGA PL</t>
  </si>
  <si>
    <t>1424 WILLARD PL</t>
  </si>
  <si>
    <t>7101 TERRACE DR</t>
  </si>
  <si>
    <t>7231 CAMDEN RD</t>
  </si>
  <si>
    <t>7109 DUNHAM RD</t>
  </si>
  <si>
    <t>1713 HALL PL</t>
  </si>
  <si>
    <t>7164 SPRINGSIDE AVE</t>
  </si>
  <si>
    <t>7109 DEXTER RD</t>
  </si>
  <si>
    <t>7209 KELLY PL</t>
  </si>
  <si>
    <t>1727 BORMAN PL</t>
  </si>
  <si>
    <t>7120 TERRACE CT</t>
  </si>
  <si>
    <t>7121 TERRACE DR</t>
  </si>
  <si>
    <t>617 MAPLE AVE</t>
  </si>
  <si>
    <t>1401 RICHARDS AVE</t>
  </si>
  <si>
    <t>7105 KIDWELL RD</t>
  </si>
  <si>
    <t>1605 HALL ST</t>
  </si>
  <si>
    <t>1325 HAWKINS AVE</t>
  </si>
  <si>
    <t>7201 DEXTER RD</t>
  </si>
  <si>
    <t>1610 HALL ST</t>
  </si>
  <si>
    <t>1712 BORMAN PL</t>
  </si>
  <si>
    <t>1725 HALL PL</t>
  </si>
  <si>
    <t>1718 GRAHAM AVE</t>
  </si>
  <si>
    <t>7213 BATEMAN ST</t>
  </si>
  <si>
    <t>7173 DEXTER RD</t>
  </si>
  <si>
    <t>1501 BAKER PL</t>
  </si>
  <si>
    <t>7327 DEVEREUX RD</t>
  </si>
  <si>
    <t>7189 SPRINGSIDE AVE</t>
  </si>
  <si>
    <t>1722 GRAHAM AVE</t>
  </si>
  <si>
    <t>1129 CRYSTAL AVE</t>
  </si>
  <si>
    <t>7319 SELIG PL</t>
  </si>
  <si>
    <t>7233 KELLY PL</t>
  </si>
  <si>
    <t>1140 CRYSTAL AVE</t>
  </si>
  <si>
    <t>1160 CRYSTAL AVE</t>
  </si>
  <si>
    <t>1702 HAWKINS AVE</t>
  </si>
  <si>
    <t>7225 KELLY PL</t>
  </si>
  <si>
    <t>7100 POWELL ST</t>
  </si>
  <si>
    <t>7332 SELIG PL</t>
  </si>
  <si>
    <t>7157 SPRINGSIDE AVE</t>
  </si>
  <si>
    <t>7125 DEXTER RD</t>
  </si>
  <si>
    <t>7305 TICONDEROGA RD</t>
  </si>
  <si>
    <t>4329 FAIRVIEW AVE</t>
  </si>
  <si>
    <t>7224 POWELL ST</t>
  </si>
  <si>
    <t>7116 DEXTER RD</t>
  </si>
  <si>
    <t>7316 DEVEREUX RD</t>
  </si>
  <si>
    <t>7208 POWELL ST</t>
  </si>
  <si>
    <t>7229 CAMDEN RD</t>
  </si>
  <si>
    <t>7164 DEXTER RD</t>
  </si>
  <si>
    <t>4914 CUMNOR RD</t>
  </si>
  <si>
    <t>1537 71ST TERR</t>
  </si>
  <si>
    <t>4920 CUMNOR RD</t>
  </si>
  <si>
    <t>4926 CUMNOR RD</t>
  </si>
  <si>
    <t>7201 POWELL ST</t>
  </si>
  <si>
    <t>4932 CUMNOR RD</t>
  </si>
  <si>
    <t>7220 POWELL ST</t>
  </si>
  <si>
    <t>7249 SPRINGSIDE AVE</t>
  </si>
  <si>
    <t>1721 GRAHAM AVE</t>
  </si>
  <si>
    <t>7213 CAMDEN RD</t>
  </si>
  <si>
    <t>1445 71ST ST</t>
  </si>
  <si>
    <t>7224 BATEMAN ST</t>
  </si>
  <si>
    <t>1705 WHITE PL</t>
  </si>
  <si>
    <t>1701 HAWKINS AVE</t>
  </si>
  <si>
    <t>1713 HAWKINS AVE</t>
  </si>
  <si>
    <t>7248 KELLY PL</t>
  </si>
  <si>
    <t>1700 WHITE PL</t>
  </si>
  <si>
    <t>1717 HAWKINS AVE</t>
  </si>
  <si>
    <t>1300 KLEIN AVE</t>
  </si>
  <si>
    <t>7209 SPRINGSIDE AVE</t>
  </si>
  <si>
    <t>7204 ONEILL RD</t>
  </si>
  <si>
    <t>7233 DEXTER RD</t>
  </si>
  <si>
    <t>1316 KLEIN AVE</t>
  </si>
  <si>
    <t>7306 BINDER RD</t>
  </si>
  <si>
    <t>7236 BINDER RD</t>
  </si>
  <si>
    <t>7228 BINDER RD</t>
  </si>
  <si>
    <t>7233 BATEMAN ST</t>
  </si>
  <si>
    <t>7236 O NEILL RD</t>
  </si>
  <si>
    <t>7209 CAMDEN RD</t>
  </si>
  <si>
    <t>7216 DEXTER RD</t>
  </si>
  <si>
    <t>7314 BINDER RD</t>
  </si>
  <si>
    <t>1416 WILLARD PL</t>
  </si>
  <si>
    <t>7225 CAMDEN RD</t>
  </si>
  <si>
    <t>7217 KELLY PL</t>
  </si>
  <si>
    <t>1316 HAWKINS AVE</t>
  </si>
  <si>
    <t>7205 CAMDEN RD</t>
  </si>
  <si>
    <t>1309 HUGHES AVE</t>
  </si>
  <si>
    <t>1305 HUGHES AVE</t>
  </si>
  <si>
    <t>7209 DEXTER RD</t>
  </si>
  <si>
    <t>7232 KIDWELL RD</t>
  </si>
  <si>
    <t>7226 TICONDEROGA PL</t>
  </si>
  <si>
    <t>7237 O NEILL RD</t>
  </si>
  <si>
    <t>7124 DEXTER RD</t>
  </si>
  <si>
    <t>7140 DEXTER RD</t>
  </si>
  <si>
    <t>7222 BINDER RD</t>
  </si>
  <si>
    <t>1212 KLEIN AVE</t>
  </si>
  <si>
    <t>7104 KIDWELL RD</t>
  </si>
  <si>
    <t>7241 KELLY PL</t>
  </si>
  <si>
    <t>1441 71ST ST</t>
  </si>
  <si>
    <t>7209 BATEMAN ST</t>
  </si>
  <si>
    <t>7217 CAMDEN RD</t>
  </si>
  <si>
    <t>7133 DEXTER RD</t>
  </si>
  <si>
    <t>4908 SARATOGA AVE</t>
  </si>
  <si>
    <t>7213 POWELL ST</t>
  </si>
  <si>
    <t>1320 HAWKINS AVE</t>
  </si>
  <si>
    <t>7208 SPRINGSIDE AVE</t>
  </si>
  <si>
    <t>7214 TICONDEROGA PL</t>
  </si>
  <si>
    <t>7165 DEXTER RD</t>
  </si>
  <si>
    <t>1721 HALL PL</t>
  </si>
  <si>
    <t>1433 71ST ST</t>
  </si>
  <si>
    <t>1437 71ST ST</t>
  </si>
  <si>
    <t>1320 HUGHES AVE</t>
  </si>
  <si>
    <t>1317 KLEIN AVE</t>
  </si>
  <si>
    <t>7216 KELLY PL</t>
  </si>
  <si>
    <t>4904 HIGHLAND AVE</t>
  </si>
  <si>
    <t>7179 DEXTER RD</t>
  </si>
  <si>
    <t>7209 MATTHIAS RD</t>
  </si>
  <si>
    <t>7229 BINDER RD</t>
  </si>
  <si>
    <t>4919 FLORENCE AVE</t>
  </si>
  <si>
    <t>1720 BORMAN PL</t>
  </si>
  <si>
    <t>1724 HALL</t>
  </si>
  <si>
    <t>7113 DUNHAM RD</t>
  </si>
  <si>
    <t>1533 71ST TERR</t>
  </si>
  <si>
    <t>1425 71ST ST</t>
  </si>
  <si>
    <t>1429 71ST ST</t>
  </si>
  <si>
    <t>1724 BORMAN PL</t>
  </si>
  <si>
    <t>1725 GRAHAM AVE</t>
  </si>
  <si>
    <t>1204 KLEIN AVE</t>
  </si>
  <si>
    <t>7249 DEXTER RD</t>
  </si>
  <si>
    <t>7241 DEXTER RD</t>
  </si>
  <si>
    <t>7221 CAMDEN RD</t>
  </si>
  <si>
    <t>7330 TICONDEROGA RD</t>
  </si>
  <si>
    <t>7313 TICONDEROGA PL</t>
  </si>
  <si>
    <t>7227 TICONDEROGA PL</t>
  </si>
  <si>
    <t>1718 HAWKINS AVE</t>
  </si>
  <si>
    <t>7215 TICONDEROGA PL</t>
  </si>
  <si>
    <t>1722 HAWKINS AVE</t>
  </si>
  <si>
    <t>7333 TICONDEROGA RD</t>
  </si>
  <si>
    <t>7224 SPRINGSIDE AVE</t>
  </si>
  <si>
    <t>7219 TICONDEROGA PL</t>
  </si>
  <si>
    <t>1714 HAWKINS AVE</t>
  </si>
  <si>
    <t>7321 TICONDEROGA RD</t>
  </si>
  <si>
    <t>7329 TICONDEROGA RD</t>
  </si>
  <si>
    <t>7325 TICONDEROGA RD</t>
  </si>
  <si>
    <t>7309 TICONDEROGA RD</t>
  </si>
  <si>
    <t>1706 HAWKINS AVE</t>
  </si>
  <si>
    <t>7240 SPRINGSIDE AVE</t>
  </si>
  <si>
    <t>7317 TICONDEROGA RD</t>
  </si>
  <si>
    <t>1710 HAWKINS AVE</t>
  </si>
  <si>
    <t>7401 TICONDEROGA RD</t>
  </si>
  <si>
    <t>7231 TICONDEROGA PL</t>
  </si>
  <si>
    <t>7223 TICONDEROGA PL</t>
  </si>
  <si>
    <t>7248 SPRINGSIDE AVE</t>
  </si>
  <si>
    <t>7232 SPRINGSIDE AVE</t>
  </si>
  <si>
    <t>7216 SPRINGSIDE AVE</t>
  </si>
  <si>
    <t>1717 HALL PL</t>
  </si>
  <si>
    <t>1715 BORMAN PL</t>
  </si>
  <si>
    <t>1719 BORMAN PL</t>
  </si>
  <si>
    <t>7232 POWELL PL</t>
  </si>
  <si>
    <t>1321 HAWKINS AVE</t>
  </si>
  <si>
    <t>7117 DEXTER RD</t>
  </si>
  <si>
    <t>1190 STANFORD AVE</t>
  </si>
  <si>
    <t>7308 DEVEREUX RD</t>
  </si>
  <si>
    <t>7312 DEVEREUX RD</t>
  </si>
  <si>
    <t>1723 BORMAN PL</t>
  </si>
  <si>
    <t>7157 DEXTER RD</t>
  </si>
  <si>
    <t>7256 SPRINGSIDE AVE</t>
  </si>
  <si>
    <t>7188 SPRINGSIDE AVE</t>
  </si>
  <si>
    <t>1726 HAWKINS AVE</t>
  </si>
  <si>
    <t>7113 MATTHIAS RD</t>
  </si>
  <si>
    <t>1161 STANFORD AVE</t>
  </si>
  <si>
    <t>7117 MATTHIAS RD</t>
  </si>
  <si>
    <t>1171 STANFORD AVE</t>
  </si>
  <si>
    <t>1181 STANFORD AVE</t>
  </si>
  <si>
    <t>7121 MATTHIAS RD</t>
  </si>
  <si>
    <t>7237 KIDWELL RD</t>
  </si>
  <si>
    <t>7405 TICONDEROGA RD</t>
  </si>
  <si>
    <t>7165 SPRINGSIDE AVE</t>
  </si>
  <si>
    <t>1509 BAKER PL</t>
  </si>
  <si>
    <t>7314 TICONDEROGA RD</t>
  </si>
  <si>
    <t>1702 HALL ST</t>
  </si>
  <si>
    <t>1614 HALL ST</t>
  </si>
  <si>
    <t>7326 TICONDEROGA RD</t>
  </si>
  <si>
    <t>1617 HALL ST</t>
  </si>
  <si>
    <t>1609 HALL ST</t>
  </si>
  <si>
    <t>7322 TICONDEROGA RD</t>
  </si>
  <si>
    <t>1701 HALL ST</t>
  </si>
  <si>
    <t>1621 HALL ST</t>
  </si>
  <si>
    <t>1618 HALL ST</t>
  </si>
  <si>
    <t>1622 HALL ST</t>
  </si>
  <si>
    <t>7172 SPRINGSIDE AVE</t>
  </si>
  <si>
    <t>7318 TICONDEROGA RD</t>
  </si>
  <si>
    <t>1626 HALL ST</t>
  </si>
  <si>
    <t>7180 SPRINGSIDE AVE</t>
  </si>
  <si>
    <t>1613 HALL ST</t>
  </si>
  <si>
    <t>7156 SPRINGSIDE AVE</t>
  </si>
  <si>
    <t>1625 HALL ST</t>
  </si>
  <si>
    <t>7310 TICONDEROGA RD</t>
  </si>
  <si>
    <t>7148 SPRINGSIDE AVE</t>
  </si>
  <si>
    <t>1705 HAWKINS AVE</t>
  </si>
  <si>
    <t>7141 DEXTER RD</t>
  </si>
  <si>
    <t>1709 HAWKINS AVE</t>
  </si>
  <si>
    <t>7149 DEXTER RD</t>
  </si>
  <si>
    <t>1704 WHITE PL</t>
  </si>
  <si>
    <t>1708 WHITE PL</t>
  </si>
  <si>
    <t>7140 SPRINGSIDE AVE</t>
  </si>
  <si>
    <t>1541 RICHARDS AVE</t>
  </si>
  <si>
    <t>7188 DEXTER RD</t>
  </si>
  <si>
    <t>7309 BINDER RD</t>
  </si>
  <si>
    <t>7301 BINDER RD</t>
  </si>
  <si>
    <t>7233 BINDER RD</t>
  </si>
  <si>
    <t>7305 BINDER RD</t>
  </si>
  <si>
    <t>7173 SPRINGSIDE AVE</t>
  </si>
  <si>
    <t>1190 CRYSTAL AVE</t>
  </si>
  <si>
    <t>7228 POWELL ST</t>
  </si>
  <si>
    <t>1130 CRYSTAL AVE</t>
  </si>
  <si>
    <t>7232 BATEMAN ST</t>
  </si>
  <si>
    <t>1304 HUGHES AVE</t>
  </si>
  <si>
    <t>1304 KLEIN AVE</t>
  </si>
  <si>
    <t>1308 KLEIN AVE</t>
  </si>
  <si>
    <t>1312 KLEIN AVE</t>
  </si>
  <si>
    <t>7241 SPRINGSIDE AVE</t>
  </si>
  <si>
    <t>1716 BORMAN PL</t>
  </si>
  <si>
    <t>7233 SPRINGSIDE AVE</t>
  </si>
  <si>
    <t>1140 STANFORD AVE</t>
  </si>
  <si>
    <t>7225 SPRINGSIDE AVE</t>
  </si>
  <si>
    <t>7217 SPRINGSIDE AVE</t>
  </si>
  <si>
    <t>4941 WILCOX AVE</t>
  </si>
  <si>
    <t>7181 SPRINGSIDE AVE</t>
  </si>
  <si>
    <t>1432 RICHARDS AVE</t>
  </si>
  <si>
    <t>1416 RICHARDS AVE</t>
  </si>
  <si>
    <t>1449 RICHARDS AVE</t>
  </si>
  <si>
    <t>1509 RICHARDS AVE</t>
  </si>
  <si>
    <t>1501 RICHARDS AVE</t>
  </si>
  <si>
    <t>1533 RICHARDS AVE</t>
  </si>
  <si>
    <t>1448 RICHARDS AVE</t>
  </si>
  <si>
    <t>1417 RICHARDS AVE</t>
  </si>
  <si>
    <t>7148 DEXTER RD</t>
  </si>
  <si>
    <t>1408 RICHARDS AVE</t>
  </si>
  <si>
    <t>1424 RICHARDS AVE</t>
  </si>
  <si>
    <t>1409 RICHARDS AVE</t>
  </si>
  <si>
    <t>1440 RICHARDS AVE</t>
  </si>
  <si>
    <t>1517 RICHARDS AVE</t>
  </si>
  <si>
    <t>7180 DEXTER RD</t>
  </si>
  <si>
    <t>7172 DEXTER RD</t>
  </si>
  <si>
    <t>1425 RICHARDS AVE</t>
  </si>
  <si>
    <t>1525 RICHARDS AVE</t>
  </si>
  <si>
    <t>1441 RICHARDS AVE</t>
  </si>
  <si>
    <t>7156 DEXTER RD</t>
  </si>
  <si>
    <t>1433 RICHARDS AVE</t>
  </si>
  <si>
    <t>7240 KELLY PL</t>
  </si>
  <si>
    <t>7232 KELLY PL</t>
  </si>
  <si>
    <t>7224 KELLY PL</t>
  </si>
  <si>
    <t>7212 POWELL ST</t>
  </si>
  <si>
    <t>7216 POWELL ST</t>
  </si>
  <si>
    <t>1309 KLEIN AVE</t>
  </si>
  <si>
    <t>1209 KLEIN AVE</t>
  </si>
  <si>
    <t>1316 HUGHES AVE</t>
  </si>
  <si>
    <t>1312 HUGHES AVE</t>
  </si>
  <si>
    <t>1313 KLEIN AVE</t>
  </si>
  <si>
    <t>1301 KLEIN AVE</t>
  </si>
  <si>
    <t>1308 HUGHES AVE</t>
  </si>
  <si>
    <t>1205 KLEIN AVE</t>
  </si>
  <si>
    <t>1305 KLEIN AVE</t>
  </si>
  <si>
    <t>7104 POWELL ST</t>
  </si>
  <si>
    <t>7112 POWELL ST</t>
  </si>
  <si>
    <t>7116 POWELL ST</t>
  </si>
  <si>
    <t>7200 POWELL ST</t>
  </si>
  <si>
    <t>7120 POWELL ST</t>
  </si>
  <si>
    <t>7204 POWELL ST</t>
  </si>
  <si>
    <t>7108 POWELL ST</t>
  </si>
  <si>
    <t>4920 HIGHLAND AVE</t>
  </si>
  <si>
    <t>1317 HAWKINS AVE</t>
  </si>
  <si>
    <t>1309 HAWKINS AVE</t>
  </si>
  <si>
    <t>1313 HAWKINS AVE</t>
  </si>
  <si>
    <t>1047 MAPLE AVE</t>
  </si>
  <si>
    <t>7205 POWELL ST</t>
  </si>
  <si>
    <t>1170 STANFORD AVE</t>
  </si>
  <si>
    <t>1160 STANFORD AVE</t>
  </si>
  <si>
    <t>1150 STANFORD AVE</t>
  </si>
  <si>
    <t>1180 CRYSTAL AVE</t>
  </si>
  <si>
    <t>7221 POWELL ST</t>
  </si>
  <si>
    <t>1180 STANFORD AVE</t>
  </si>
  <si>
    <t>615 MAPLE AVE</t>
  </si>
  <si>
    <t>7112 KIDWELL RD</t>
  </si>
  <si>
    <t>7116 KIDWELL RD</t>
  </si>
  <si>
    <t>7108 KIDWELL RD</t>
  </si>
  <si>
    <t>7217 POWELL ST</t>
  </si>
  <si>
    <t>1170 CRYSTAL AVE</t>
  </si>
  <si>
    <t>7228 BATEMAN ST</t>
  </si>
  <si>
    <t>7216 O NEILL RD</t>
  </si>
  <si>
    <t>7212 O NEILL RD</t>
  </si>
  <si>
    <t>7208 O NEILL RD</t>
  </si>
  <si>
    <t>7232 ONEILL RD</t>
  </si>
  <si>
    <t>7231 BATEMAN ST</t>
  </si>
  <si>
    <t>7220 O NEILL RD</t>
  </si>
  <si>
    <t>7228 O NEILL RD</t>
  </si>
  <si>
    <t>7224 O NEILL RD</t>
  </si>
  <si>
    <t>7229 BATEMAN ST</t>
  </si>
  <si>
    <t>7208 KIDWELL RD</t>
  </si>
  <si>
    <t>7217 O NEILL RD</t>
  </si>
  <si>
    <t>7204 KIDWELL RD</t>
  </si>
  <si>
    <t>7221 O NEILL RD</t>
  </si>
  <si>
    <t>7216 KIDWELL RD</t>
  </si>
  <si>
    <t>7224 S KIDWELL RD</t>
  </si>
  <si>
    <t>7209 ONEILL RD</t>
  </si>
  <si>
    <t>7229 O NEILL RD</t>
  </si>
  <si>
    <t>7220 KIDWELL RD</t>
  </si>
  <si>
    <t>7205 ONEILL RD</t>
  </si>
  <si>
    <t>7200 KIDWELL RD</t>
  </si>
  <si>
    <t>7225 O NEILL RD</t>
  </si>
  <si>
    <t>7212 KIDWELL RD</t>
  </si>
  <si>
    <t>7228 KIDWELL RD</t>
  </si>
  <si>
    <t>7213 O NEILL RD</t>
  </si>
  <si>
    <t>7233 O NEILL RD</t>
  </si>
  <si>
    <t>7233 KIDWELL RD</t>
  </si>
  <si>
    <t>7229 KIDWELL RD</t>
  </si>
  <si>
    <t>1208 KLEIN AVE</t>
  </si>
  <si>
    <t>7221 KIDWELL RD</t>
  </si>
  <si>
    <t>7225 BATEMAN ST</t>
  </si>
  <si>
    <t>7225 KIDWELL RD</t>
  </si>
  <si>
    <t>7217 KIDWELL RD</t>
  </si>
  <si>
    <t>7213 KIDWELL RD</t>
  </si>
  <si>
    <t>7209 KIDWELL RD</t>
  </si>
  <si>
    <t>7205 KIDWELL RD</t>
  </si>
  <si>
    <t>7201 KIDWELL RD</t>
  </si>
  <si>
    <t>1305 HAWKINS AVE</t>
  </si>
  <si>
    <t>7121 KIDWELL RD</t>
  </si>
  <si>
    <t>7117 KIDWELL RD</t>
  </si>
  <si>
    <t>1301 HAWKINS AVE</t>
  </si>
  <si>
    <t>1217 HAWKINS AVE</t>
  </si>
  <si>
    <t>7113 KIDWELL RD</t>
  </si>
  <si>
    <t>7109 KIDWELL RD</t>
  </si>
  <si>
    <t>1213 HAWKINS AVE</t>
  </si>
  <si>
    <t>1209 HAWKINS AVE</t>
  </si>
  <si>
    <t>1205 HAWKINS AVE</t>
  </si>
  <si>
    <t>7221 BATEMAN ST</t>
  </si>
  <si>
    <t>308 MAPLE AVE</t>
  </si>
  <si>
    <t>326 MAPLE AVE</t>
  </si>
  <si>
    <t>320 MAPLE AVE</t>
  </si>
  <si>
    <t>304 MAPLE AVE</t>
  </si>
  <si>
    <t>324 MAPLE AVE</t>
  </si>
  <si>
    <t>336 MAPLE AVE</t>
  </si>
  <si>
    <t>1043 MAPLE AVE</t>
  </si>
  <si>
    <t>4940 HIGHLAND AVE</t>
  </si>
  <si>
    <t>4934 SARATOGA ST</t>
  </si>
  <si>
    <t>7215 MATTHIAS RD</t>
  </si>
  <si>
    <t>4924 HIGHLAND AVE</t>
  </si>
  <si>
    <t>5119 ELMWOOD AVE</t>
  </si>
  <si>
    <t>1141 CRYSTAL AVE</t>
  </si>
  <si>
    <t>7211 MATTHIAS RD</t>
  </si>
  <si>
    <t>1216 WARREN AVE</t>
  </si>
  <si>
    <t>1220 WARREN AVE</t>
  </si>
  <si>
    <t>5115 ELMWOOD AVE</t>
  </si>
  <si>
    <t>1224 WARREN AVE</t>
  </si>
  <si>
    <t>4938 SARATOGA ST</t>
  </si>
  <si>
    <t>609 MAPLE AVE</t>
  </si>
  <si>
    <t>1137 CRYSTAL AVE</t>
  </si>
  <si>
    <t>1133 CRYSTAL AVE</t>
  </si>
  <si>
    <t>950 75TH ST</t>
  </si>
  <si>
    <t>7143 DUNHAM RD</t>
  </si>
  <si>
    <t>7129 MATTHIAS RD</t>
  </si>
  <si>
    <t>7123 DUNHAM RD</t>
  </si>
  <si>
    <t>7125 MATTHIAS RD</t>
  </si>
  <si>
    <t>7127 DUNHAM RD</t>
  </si>
  <si>
    <t>4921 FLORENCE AVE</t>
  </si>
  <si>
    <t>4944 HIGHLAND AVE</t>
  </si>
  <si>
    <t>264 N ADDISON AVE</t>
  </si>
  <si>
    <t>153 SCHILLER ST</t>
  </si>
  <si>
    <t>168 N ADDISON AVE</t>
  </si>
  <si>
    <t>105 S YORK ST</t>
  </si>
  <si>
    <t>119 VIRGINIA ST</t>
  </si>
  <si>
    <t>196 N YORK ST</t>
  </si>
  <si>
    <t>202 N YORK ST</t>
  </si>
  <si>
    <t>105 MAPLE AVE</t>
  </si>
  <si>
    <t>134 S YORK ST</t>
  </si>
  <si>
    <t>153 N ADDISON AVE</t>
  </si>
  <si>
    <t>109 W 1ST ST # 19</t>
  </si>
  <si>
    <t>ADDISON AVE</t>
  </si>
  <si>
    <t>278 W BUTTERFIELD RD</t>
  </si>
  <si>
    <t>223 W KIMBELL AVE</t>
  </si>
  <si>
    <t>116 E DIVERSEY AVE</t>
  </si>
  <si>
    <t>241 N WEST AVE</t>
  </si>
  <si>
    <t>103 N WALNUT ST</t>
  </si>
  <si>
    <t>31 WINDSOR CT</t>
  </si>
  <si>
    <t>109 N MYRTLE AVE</t>
  </si>
  <si>
    <t>26 WINDSOR DR</t>
  </si>
  <si>
    <t>219 KIMBELL AVE</t>
  </si>
  <si>
    <t>215 W KIMBELL AVE</t>
  </si>
  <si>
    <t>227 KIMBALL AVE</t>
  </si>
  <si>
    <t>231 KIMBELL AVE</t>
  </si>
  <si>
    <t>22 WINDSOR DR</t>
  </si>
  <si>
    <t>30 WINDSOR DR</t>
  </si>
  <si>
    <t>33 WINDSOR DR</t>
  </si>
  <si>
    <t>25 WINDSOR DR</t>
  </si>
  <si>
    <t>24 WINDSOR DR</t>
  </si>
  <si>
    <t>23 WINDSOR DR</t>
  </si>
  <si>
    <t>998 N VIRGINIA LN</t>
  </si>
  <si>
    <t>35 WINDSOR DR</t>
  </si>
  <si>
    <t>28 WINDSOR DR</t>
  </si>
  <si>
    <t>29 WINDSOR DR</t>
  </si>
  <si>
    <t>27 WINDSOR DR</t>
  </si>
  <si>
    <t>32 WINDSOR DR</t>
  </si>
  <si>
    <t>34 WINDSOR DR</t>
  </si>
  <si>
    <t>152 KNIGHTON PL</t>
  </si>
  <si>
    <t>997 N YORK ROAD</t>
  </si>
  <si>
    <t>9 MANCHESTER LN</t>
  </si>
  <si>
    <t>130 E KNIGHTON PL</t>
  </si>
  <si>
    <t>11 MANCHESTER LN</t>
  </si>
  <si>
    <t>150 E KNIGHTON PL</t>
  </si>
  <si>
    <t>148 E KNIGHTON PL</t>
  </si>
  <si>
    <t>146 E KNIGHTON PL</t>
  </si>
  <si>
    <t>240 W LAKE ST</t>
  </si>
  <si>
    <t>290 W BUTTERFIELD</t>
  </si>
  <si>
    <t>126 W LAKE ST</t>
  </si>
  <si>
    <t>173 FELLOWS CT</t>
  </si>
  <si>
    <t>400 HOWARD AVE</t>
  </si>
  <si>
    <t>192 S KENILWORTH AVE</t>
  </si>
  <si>
    <t>467 ANTHONY ST</t>
  </si>
  <si>
    <t>488 N WESTERN AVE</t>
  </si>
  <si>
    <t>463 DUANE ST</t>
  </si>
  <si>
    <t>430-54 PENNSYLVANIA AVE</t>
  </si>
  <si>
    <t>491 N NEWTON AVE</t>
  </si>
  <si>
    <t>565 DUANE ST</t>
  </si>
  <si>
    <t>444 MAIN ST</t>
  </si>
  <si>
    <t>586 DUANE ST</t>
  </si>
  <si>
    <t>493 DUANE ST</t>
  </si>
  <si>
    <t>386 PENNSYLVANIA AVE</t>
  </si>
  <si>
    <t>350-62 DUANE ST</t>
  </si>
  <si>
    <t>585 PENNSYLVANIA AVE</t>
  </si>
  <si>
    <t>530-34 PENNSYLVANIA AVE</t>
  </si>
  <si>
    <t>451 DUANE ST</t>
  </si>
  <si>
    <t>FOREST AVE</t>
  </si>
  <si>
    <t>462 PARK BLVD</t>
  </si>
  <si>
    <t>535 PENNSYLVANIA AVE</t>
  </si>
  <si>
    <t>526 N MAIN ST</t>
  </si>
  <si>
    <t>453 PENNSYLVANIA AVE</t>
  </si>
  <si>
    <t>574 PENNSYLVANIA AVE</t>
  </si>
  <si>
    <t>415 LORRAINE RD</t>
  </si>
  <si>
    <t>500 NEWTON AVE</t>
  </si>
  <si>
    <t>571 ANTHONY ST</t>
  </si>
  <si>
    <t>408 LAWRENCE AVE</t>
  </si>
  <si>
    <t>428 LORRAINE ST</t>
  </si>
  <si>
    <t>525 FOREST AVE</t>
  </si>
  <si>
    <t>521 FOREST AVE</t>
  </si>
  <si>
    <t>567 ANTHONY ST</t>
  </si>
  <si>
    <t>PARK BLVD</t>
  </si>
  <si>
    <t>731 LIPPERT LN</t>
  </si>
  <si>
    <t>555 JAMES CT</t>
  </si>
  <si>
    <t>574 JAMES CT</t>
  </si>
  <si>
    <t>573 JAMES CT</t>
  </si>
  <si>
    <t>559 JAMES CT</t>
  </si>
  <si>
    <t>563 JAMES CT</t>
  </si>
  <si>
    <t>567 JAMES CT</t>
  </si>
  <si>
    <t>566 JAMES CT</t>
  </si>
  <si>
    <t>2135 WHITMAN DR</t>
  </si>
  <si>
    <t>2133 PEPPERWOOD LN</t>
  </si>
  <si>
    <t>365 PAYSON CIR</t>
  </si>
  <si>
    <t>2147 BLAIR LN</t>
  </si>
  <si>
    <t>2161 WYATT LN</t>
  </si>
  <si>
    <t>1415 FAIRWAY DR</t>
  </si>
  <si>
    <t>2110 HILLDALE LN</t>
  </si>
  <si>
    <t>2169 PAYSON CIR</t>
  </si>
  <si>
    <t>2162 PAYSON CIR</t>
  </si>
  <si>
    <t>2163 PAYSON CIR</t>
  </si>
  <si>
    <t>2133 WHITMAN DR</t>
  </si>
  <si>
    <t>743 MARILYN AVE</t>
  </si>
  <si>
    <t>1934 WILDWOOD CIR</t>
  </si>
  <si>
    <t>1950 WILDWOOD CIR</t>
  </si>
  <si>
    <t>2170 MORSE LN</t>
  </si>
  <si>
    <t>2120 ALMOND LN</t>
  </si>
  <si>
    <t>2198 ROLLAND DR</t>
  </si>
  <si>
    <t>2130 PEPPERWOOD LN</t>
  </si>
  <si>
    <t>2111 HILLDALE</t>
  </si>
  <si>
    <t>NORTH AVE</t>
  </si>
  <si>
    <t>127 STEVENSON DR</t>
  </si>
  <si>
    <t>131 W STEVENSON DR</t>
  </si>
  <si>
    <t>121 W STEVENSON DR</t>
  </si>
  <si>
    <t>2104 BRITTANY CT</t>
  </si>
  <si>
    <t>1744 REEVES DR</t>
  </si>
  <si>
    <t>1786 REEVES DR</t>
  </si>
  <si>
    <t>1745 REEVES DR</t>
  </si>
  <si>
    <t>1786 ENGLISH DR</t>
  </si>
  <si>
    <t>197 W STEVENSON DR</t>
  </si>
  <si>
    <t>1744 ENGLISH DR</t>
  </si>
  <si>
    <t>1787 REEVES DR</t>
  </si>
  <si>
    <t>137 W STEVENSON DR</t>
  </si>
  <si>
    <t>2108 BRITTANY CT</t>
  </si>
  <si>
    <t>141 W STEVENSON DR</t>
  </si>
  <si>
    <t>1756 REEVES DR</t>
  </si>
  <si>
    <t>1750 REEVES DR</t>
  </si>
  <si>
    <t>1762 REEVES DR</t>
  </si>
  <si>
    <t>1768 REEVES DR</t>
  </si>
  <si>
    <t>1774 REEVES DR</t>
  </si>
  <si>
    <t>1780 REEVES DR</t>
  </si>
  <si>
    <t>15 COPPER CT</t>
  </si>
  <si>
    <t>167 STEVENSON DR</t>
  </si>
  <si>
    <t>1763 REEVES DR</t>
  </si>
  <si>
    <t>1762 ENGLISH DR</t>
  </si>
  <si>
    <t>1750 ENGLISH DR</t>
  </si>
  <si>
    <t>1751 REEVES DR</t>
  </si>
  <si>
    <t>1756 ENGLISH DR</t>
  </si>
  <si>
    <t>187 W STEVENSON DR</t>
  </si>
  <si>
    <t>1757 REEVES DR</t>
  </si>
  <si>
    <t>1774 ENGLISH DR</t>
  </si>
  <si>
    <t>191 W STEVENSON DR</t>
  </si>
  <si>
    <t>1781 REEVES DR</t>
  </si>
  <si>
    <t>1768 ENGLISH DR</t>
  </si>
  <si>
    <t>1780 ENGLISH DR</t>
  </si>
  <si>
    <t>1769 REEVES DR</t>
  </si>
  <si>
    <t>1775 REEVES DR</t>
  </si>
  <si>
    <t>181 W STEVENSON DR</t>
  </si>
  <si>
    <t>177 W STEVENSON DR</t>
  </si>
  <si>
    <t>161 STEVENSON DR</t>
  </si>
  <si>
    <t>157 W STEVENSON DR</t>
  </si>
  <si>
    <t>151 W STEVENSON</t>
  </si>
  <si>
    <t>147 W STEVENSON DR</t>
  </si>
  <si>
    <t>171 W STEVENSON DR</t>
  </si>
  <si>
    <t>16 YARDLEY CT</t>
  </si>
  <si>
    <t>2126 BRITTANY LN</t>
  </si>
  <si>
    <t>2142 BRITTANY LN</t>
  </si>
  <si>
    <t>2160 BRITTANY LN</t>
  </si>
  <si>
    <t>10 YARDLEY CT</t>
  </si>
  <si>
    <t>1827 SCHMALE CT</t>
  </si>
  <si>
    <t>1769 GILBERTO ST</t>
  </si>
  <si>
    <t>23 YARDLEY CT</t>
  </si>
  <si>
    <t>15 YARDLEY CT</t>
  </si>
  <si>
    <t>5 YARDLEY CT</t>
  </si>
  <si>
    <t>19 YARDLEY CT</t>
  </si>
  <si>
    <t>2147 BRITTANY LN</t>
  </si>
  <si>
    <t>2135 BRITTANY LN</t>
  </si>
  <si>
    <t>2098 CARDINAL DR</t>
  </si>
  <si>
    <t>136 GOLDEN DR</t>
  </si>
  <si>
    <t>1210- BLOOMINGDALE RD</t>
  </si>
  <si>
    <t>21W471 DEVON AVE</t>
  </si>
  <si>
    <t>2089 W DEVON AVE</t>
  </si>
  <si>
    <t>27W607 DEVON AVE</t>
  </si>
  <si>
    <t>1 COUNTY FARM RD</t>
  </si>
  <si>
    <t>27W351 DEVON AVE</t>
  </si>
  <si>
    <t>7N581 MERWIN AVE</t>
  </si>
  <si>
    <t>7N595 COUNTY FARM RD</t>
  </si>
  <si>
    <t>27W040 ONTARIOVILLE RD</t>
  </si>
  <si>
    <t>1947 LUCILLE LN</t>
  </si>
  <si>
    <t>1939 LUCILLE LN</t>
  </si>
  <si>
    <t>1890 LUCILLE LN</t>
  </si>
  <si>
    <t>2180 OAKDALE CIR</t>
  </si>
  <si>
    <t>5497 RIDGE CROSSING</t>
  </si>
  <si>
    <t>1929 SUNSET DR</t>
  </si>
  <si>
    <t>1945 SUNSET DR</t>
  </si>
  <si>
    <t>27W014 ONTARIOVILLE RD</t>
  </si>
  <si>
    <t>2083 NEWPORT CIR</t>
  </si>
  <si>
    <t>1913 SUNSET DR</t>
  </si>
  <si>
    <t>27W010 OAK ST</t>
  </si>
  <si>
    <t>1897 SUNSET DR</t>
  </si>
  <si>
    <t>1955 LUCILLE LN</t>
  </si>
  <si>
    <t>2060 NEWPORT CIR</t>
  </si>
  <si>
    <t>5501 RIDGE CROSSING</t>
  </si>
  <si>
    <t>1960 LUCILLE LN</t>
  </si>
  <si>
    <t>5481 RIDGE CROSSING</t>
  </si>
  <si>
    <t>1910 LUCILLE LN</t>
  </si>
  <si>
    <t>1931 LUCILLE LN</t>
  </si>
  <si>
    <t>2207 OAKDALE CIR</t>
  </si>
  <si>
    <t>1900 LUCILLE LN</t>
  </si>
  <si>
    <t>5538 RIDGE CROSSING</t>
  </si>
  <si>
    <t>2195 OAKDALE CIR</t>
  </si>
  <si>
    <t>1940 LUCILLE LN</t>
  </si>
  <si>
    <t>1920 LUCILLE LN</t>
  </si>
  <si>
    <t>1930 LUCILLE LN</t>
  </si>
  <si>
    <t>2183 OAKDALE CIR</t>
  </si>
  <si>
    <t>1801 SUNSET DR</t>
  </si>
  <si>
    <t>5493 RIDGE XING</t>
  </si>
  <si>
    <t>2132 NEWPORT CIR</t>
  </si>
  <si>
    <t>5485 RIDGE CROSSING</t>
  </si>
  <si>
    <t>1987 LUCILLE LN</t>
  </si>
  <si>
    <t>2084 NEWPORT CIR</t>
  </si>
  <si>
    <t>2159 OAKDALE CIR</t>
  </si>
  <si>
    <t>2135 OAKDALE CIR</t>
  </si>
  <si>
    <t>1977 SUNSET DR</t>
  </si>
  <si>
    <t>5545 RIDGE CROSSING</t>
  </si>
  <si>
    <t>1875 LUCILLE LN</t>
  </si>
  <si>
    <t>5509 RIDGE CROSSING</t>
  </si>
  <si>
    <t>5517 RIDGE CROSSING</t>
  </si>
  <si>
    <t>2072 NEWPORT CIR</t>
  </si>
  <si>
    <t>1950 LUCILLE LN</t>
  </si>
  <si>
    <t>2100 OAKDALE CIR</t>
  </si>
  <si>
    <t>2172 OAKDALE CIR</t>
  </si>
  <si>
    <t>5571 REDFORD LN</t>
  </si>
  <si>
    <t>2096 NEWPORT CIR</t>
  </si>
  <si>
    <t>2220 OAKDALE CIR</t>
  </si>
  <si>
    <t>5554 RIDGE CROSSING</t>
  </si>
  <si>
    <t>5477 RIDGE CROSSING</t>
  </si>
  <si>
    <t>2231 OAKDALE CIR</t>
  </si>
  <si>
    <t>5521 RIDGE CROSSING</t>
  </si>
  <si>
    <t>1817 SUNSET DR</t>
  </si>
  <si>
    <t>2227 NEWPORT CIR</t>
  </si>
  <si>
    <t>5542 RIDGE CROSSING</t>
  </si>
  <si>
    <t>5511 REDFORD LN</t>
  </si>
  <si>
    <t>1963 LUCILLE LN</t>
  </si>
  <si>
    <t>5489 RIDGE CROSSING</t>
  </si>
  <si>
    <t>2171 OAKDALE CIR</t>
  </si>
  <si>
    <t>5505 RIDGE CROSSING</t>
  </si>
  <si>
    <t>5513 RIDGE CROSSING</t>
  </si>
  <si>
    <t>2120 NEWPORT CIR</t>
  </si>
  <si>
    <t>5525 RIDGE XING</t>
  </si>
  <si>
    <t>2091 NEWPORT CIR</t>
  </si>
  <si>
    <t>5537 RIDGE XING</t>
  </si>
  <si>
    <t>2024 NEWPORT CIR</t>
  </si>
  <si>
    <t>2188 OAKDALE CIR</t>
  </si>
  <si>
    <t>5533 RIDGE CROSSING</t>
  </si>
  <si>
    <t>5534 RIDGE CROSSING</t>
  </si>
  <si>
    <t>2036 NEWPORT CIR</t>
  </si>
  <si>
    <t>2075 NEWPORT CIR</t>
  </si>
  <si>
    <t>5530 RIDGE CROSSING</t>
  </si>
  <si>
    <t>5529 RIDGE CROSSING</t>
  </si>
  <si>
    <t>5546 RIDGE CROSSING</t>
  </si>
  <si>
    <t>5550 RIDGE CROSSING</t>
  </si>
  <si>
    <t>1979 LUCILLE LN</t>
  </si>
  <si>
    <t>1971 LUCILLE LN</t>
  </si>
  <si>
    <t>2196 OAKDALE CIR</t>
  </si>
  <si>
    <t>2048 NEWPORT CIR</t>
  </si>
  <si>
    <t>5469 RIDGE CROSSING</t>
  </si>
  <si>
    <t>1923 LUCILLE LN</t>
  </si>
  <si>
    <t>1899 LUCILLE LN</t>
  </si>
  <si>
    <t>1961 SUNSET DR</t>
  </si>
  <si>
    <t>1865 SUNSET DR</t>
  </si>
  <si>
    <t>1891 LUCILLE LN</t>
  </si>
  <si>
    <t>1907 LUCILLE LN</t>
  </si>
  <si>
    <t>1881 SUNSET DR</t>
  </si>
  <si>
    <t>5541 RIDGE CROSSING</t>
  </si>
  <si>
    <t>1883 LUCILLE LN</t>
  </si>
  <si>
    <t>5473 RIDGE CROSSING</t>
  </si>
  <si>
    <t>2012 NEWPORT CIR</t>
  </si>
  <si>
    <t>2164 OAKDALE CIR</t>
  </si>
  <si>
    <t>2156 OAKDALE CIR</t>
  </si>
  <si>
    <t>2219 OAKDALE CIR</t>
  </si>
  <si>
    <t>2204 OAKDALE CIR</t>
  </si>
  <si>
    <t>2111 OAKDALE CIR</t>
  </si>
  <si>
    <t>2099 NEWPORT CIR</t>
  </si>
  <si>
    <t>27W071 OAK ST</t>
  </si>
  <si>
    <t>2051 NEWPORT CIR</t>
  </si>
  <si>
    <t>27W028 OAK ST</t>
  </si>
  <si>
    <t>2180 NEWPORT CIR</t>
  </si>
  <si>
    <t>2059 NEWPORT CIR</t>
  </si>
  <si>
    <t>2148 OAKDALE CIR</t>
  </si>
  <si>
    <t>2168 NEWPORT CIR</t>
  </si>
  <si>
    <t>2212 OAKDALE CIR</t>
  </si>
  <si>
    <t>2116 OAKDALE CIR</t>
  </si>
  <si>
    <t>2140 OAKDALE CIR</t>
  </si>
  <si>
    <t>2132 OAKDALE CIR</t>
  </si>
  <si>
    <t>2107 NEWPORT CIR</t>
  </si>
  <si>
    <t>2139 NEWPORT CIR</t>
  </si>
  <si>
    <t>2123 NEWPORT CIR</t>
  </si>
  <si>
    <t>2219 NEWPORT CIR</t>
  </si>
  <si>
    <t>2171 NEWPORT CIR</t>
  </si>
  <si>
    <t>2163 NEWPORT CIR</t>
  </si>
  <si>
    <t>2147 NEWPORT CIR</t>
  </si>
  <si>
    <t>2115 NEWPORT CIR</t>
  </si>
  <si>
    <t>2131 NEWPORT CIR</t>
  </si>
  <si>
    <t>2187 NEWPORT CIR</t>
  </si>
  <si>
    <t>2179 NEWPORT CIR</t>
  </si>
  <si>
    <t>2155 NEWPORT CIR</t>
  </si>
  <si>
    <t>5531 REDFORD LN</t>
  </si>
  <si>
    <t>5521 REDFORD LN</t>
  </si>
  <si>
    <t>5551 REDFORD LN</t>
  </si>
  <si>
    <t>5541 REDFORD LN</t>
  </si>
  <si>
    <t>2156 NEWPORT CIR</t>
  </si>
  <si>
    <t>2144 NEWPORT CIR</t>
  </si>
  <si>
    <t>7N608 BARRINGTON RD</t>
  </si>
  <si>
    <t>27W009 OAK ST</t>
  </si>
  <si>
    <t>1618 OAK ST</t>
  </si>
  <si>
    <t>1626 OAK ST</t>
  </si>
  <si>
    <t>1634 OAK ST</t>
  </si>
  <si>
    <t>1642 OAK ST</t>
  </si>
  <si>
    <t>1650 OAK ST</t>
  </si>
  <si>
    <t>1658 OAK ST</t>
  </si>
  <si>
    <t>1666 OAK ST</t>
  </si>
  <si>
    <t>1645 OAK ST</t>
  </si>
  <si>
    <t>1653 OAK ST</t>
  </si>
  <si>
    <t>1661 OAK ST</t>
  </si>
  <si>
    <t>1666 ONTARIOVILLE RD</t>
  </si>
  <si>
    <t>1669 OAK ST</t>
  </si>
  <si>
    <t>27W072 ONTARIOVILLE RD</t>
  </si>
  <si>
    <t>1365 COURT MARGUERITE</t>
  </si>
  <si>
    <t>ONTARIOVILLE RD</t>
  </si>
  <si>
    <t>GREENBROOK CT</t>
  </si>
  <si>
    <t>LAKE ST</t>
  </si>
  <si>
    <t>7N708 BARRINGTON RD</t>
  </si>
  <si>
    <t>1615 OAK ST</t>
  </si>
  <si>
    <t>OAK ST</t>
  </si>
  <si>
    <t>DEVON AVE</t>
  </si>
  <si>
    <t>6211 CHURCH RD</t>
  </si>
  <si>
    <t>27W431 DEVON AVE</t>
  </si>
  <si>
    <t>7N630 COUNTY FARM RD</t>
  </si>
  <si>
    <t>4606 MAIN ST</t>
  </si>
  <si>
    <t>920 SCHOOL ST</t>
  </si>
  <si>
    <t>4902 REILLY PL</t>
  </si>
  <si>
    <t>4610 MAIN ST</t>
  </si>
  <si>
    <t>4703 GARFIELD AVE</t>
  </si>
  <si>
    <t>0N661 HERRICK DR</t>
  </si>
  <si>
    <t>1112 BURLINGTON AVE</t>
  </si>
  <si>
    <t>1204 BURLINGTON AVE</t>
  </si>
  <si>
    <t>4910 SPENCER AVE</t>
  </si>
  <si>
    <t>4707 GARFIELD AVE</t>
  </si>
  <si>
    <t>4601 MAIN ST</t>
  </si>
  <si>
    <t>4729 CENTER AVE</t>
  </si>
  <si>
    <t>1205 LISLE PL</t>
  </si>
  <si>
    <t>1207 LISLE PL</t>
  </si>
  <si>
    <t>4604 MAIN ST</t>
  </si>
  <si>
    <t>4912 SPENCER ST</t>
  </si>
  <si>
    <t>4916 SPENCER AVE</t>
  </si>
  <si>
    <t>4906 SPENCER AVE</t>
  </si>
  <si>
    <t>4900 LINCOLN HWY</t>
  </si>
  <si>
    <t>1002 OGDEN AVE</t>
  </si>
  <si>
    <t>1013 FRONT ST</t>
  </si>
  <si>
    <t>4706 CENTER AVE</t>
  </si>
  <si>
    <t>1020 SOUTHPORT AVE</t>
  </si>
  <si>
    <t>RT 53 &amp; RT 34</t>
  </si>
  <si>
    <t>4911 MAIN ST</t>
  </si>
  <si>
    <t>1108 FRONT ST</t>
  </si>
  <si>
    <t>4935 KELLER ST</t>
  </si>
  <si>
    <t>4838 COLUMBIA AVE</t>
  </si>
  <si>
    <t>4905 CENTER AVE</t>
  </si>
  <si>
    <t>1240 LAKE SHORE DR</t>
  </si>
  <si>
    <t>1201 LAKE SHORE DR</t>
  </si>
  <si>
    <t>1244 LAKE SHORE DR</t>
  </si>
  <si>
    <t>1248 LAKE SHORE DR</t>
  </si>
  <si>
    <t>1264 LAKE SHORE DR</t>
  </si>
  <si>
    <t>1268 LAKE SHORE DR</t>
  </si>
  <si>
    <t>1252 LAKE SHORE DR</t>
  </si>
  <si>
    <t>6001 RIVERBEND DR</t>
  </si>
  <si>
    <t>1260 LAKE SHORE DR</t>
  </si>
  <si>
    <t>6017 RIVER BEND DR</t>
  </si>
  <si>
    <t>6009 RIVER BEND DR</t>
  </si>
  <si>
    <t>6013 RIVER BEND DR</t>
  </si>
  <si>
    <t>6005 RIVERBEND DR</t>
  </si>
  <si>
    <t>1555 WARRENVILLE RD</t>
  </si>
  <si>
    <t>4709 DEVON AVE</t>
  </si>
  <si>
    <t>1020 DIVISION ST</t>
  </si>
  <si>
    <t>4705 ELM ST</t>
  </si>
  <si>
    <t>4707 ELM ST</t>
  </si>
  <si>
    <t>4907 CENTER AVE</t>
  </si>
  <si>
    <t>4913 SPENCER AVE</t>
  </si>
  <si>
    <t>1000 DIVISION ST</t>
  </si>
  <si>
    <t>4909 CENTER AVE</t>
  </si>
  <si>
    <t>134 W ST CHARLES RD</t>
  </si>
  <si>
    <t>226 W ST CHARLES RD</t>
  </si>
  <si>
    <t>324 S MAIN ST</t>
  </si>
  <si>
    <t>144 E ST CHARLES RD</t>
  </si>
  <si>
    <t>337 S MAIN ST</t>
  </si>
  <si>
    <t>142 E SAINT CHARLES RD</t>
  </si>
  <si>
    <t>142 E ST CHARLES RD</t>
  </si>
  <si>
    <t>117 W ST CHARLES RD</t>
  </si>
  <si>
    <t>100-04 W ST CHARLES RD</t>
  </si>
  <si>
    <t>217-19 S MAIN ST # 9</t>
  </si>
  <si>
    <t>223 S WESTMORE AVE</t>
  </si>
  <si>
    <t>29 W ASH ST</t>
  </si>
  <si>
    <t>1150 S EDSON</t>
  </si>
  <si>
    <t>ST CHARLES RD</t>
  </si>
  <si>
    <t>352 W ST CHARLES RD</t>
  </si>
  <si>
    <t>2021 QUEENSBURY CT</t>
  </si>
  <si>
    <t>2031 S VALLEY RD</t>
  </si>
  <si>
    <t>2051 QUEENSBURY CT</t>
  </si>
  <si>
    <t>2021 S VALLEY RD</t>
  </si>
  <si>
    <t>358 W SAINT CHARLES RD</t>
  </si>
  <si>
    <t>1115 HUNTER ST</t>
  </si>
  <si>
    <t>2011 QUEENSBURY CT</t>
  </si>
  <si>
    <t>1917 DOWNING ST</t>
  </si>
  <si>
    <t>364 W ST CHARLES RD</t>
  </si>
  <si>
    <t>2001 VALLEY RD</t>
  </si>
  <si>
    <t>325 W ST CHARLES RD</t>
  </si>
  <si>
    <t>355 W ST CHARLES RD</t>
  </si>
  <si>
    <t>2041 S VALLEY RD</t>
  </si>
  <si>
    <t>321 W ST CHARLES RD</t>
  </si>
  <si>
    <t>343 W SAINT CHARLES RD</t>
  </si>
  <si>
    <t>1920 WITT CT</t>
  </si>
  <si>
    <t>1910 WITT CT</t>
  </si>
  <si>
    <t>1021 HUNTER ST</t>
  </si>
  <si>
    <t>1031 HUNTER ST</t>
  </si>
  <si>
    <t>1930 VALLEY RD</t>
  </si>
  <si>
    <t>2001 QUEENSBURY CT</t>
  </si>
  <si>
    <t>415 S WESTMORE AVE</t>
  </si>
  <si>
    <t>363 W ANN ST</t>
  </si>
  <si>
    <t>1111 HUNTER ST</t>
  </si>
  <si>
    <t>1104 FOXWORTH BLVD</t>
  </si>
  <si>
    <t>417 W SAINT CHARLES RD</t>
  </si>
  <si>
    <t>2011 S VALLEY RD</t>
  </si>
  <si>
    <t>2040 VALLEY RD</t>
  </si>
  <si>
    <t>1964 DOWNING ST</t>
  </si>
  <si>
    <t>901 FOXWORTH BLVD</t>
  </si>
  <si>
    <t>2051 VALLEY RD</t>
  </si>
  <si>
    <t>1116 FOXWORTH BLVD</t>
  </si>
  <si>
    <t>1113 HUNTER ST</t>
  </si>
  <si>
    <t>2031 QUEENSBURY CT</t>
  </si>
  <si>
    <t>2098 S VALLEY RD</t>
  </si>
  <si>
    <t>1990 WITT CT</t>
  </si>
  <si>
    <t>1978 DOWNING ST</t>
  </si>
  <si>
    <t>1136 WHITEHALL ST</t>
  </si>
  <si>
    <t>2041 QUEENSBURY CT</t>
  </si>
  <si>
    <t>1991 S VALLEY RD</t>
  </si>
  <si>
    <t>1121 FOXWORTH BLVD</t>
  </si>
  <si>
    <t>1932 DOWNING ST</t>
  </si>
  <si>
    <t>1950 WITT DR</t>
  </si>
  <si>
    <t>1930 WITT DR</t>
  </si>
  <si>
    <t>1108 FOXWORTH BLVD</t>
  </si>
  <si>
    <t>1112 FOXWORTH BLVD</t>
  </si>
  <si>
    <t>1940 WITT DR</t>
  </si>
  <si>
    <t>2050 VALLEY RD</t>
  </si>
  <si>
    <t>1900 DOWNING ST</t>
  </si>
  <si>
    <t>2010 S VALLEY RD</t>
  </si>
  <si>
    <t>310 W ST CHARLES RD</t>
  </si>
  <si>
    <t>302 W SAINT CHARLES RD</t>
  </si>
  <si>
    <t>306 W ST CHARLES RD</t>
  </si>
  <si>
    <t>1980 WITT CT</t>
  </si>
  <si>
    <t>1970 WITT DR</t>
  </si>
  <si>
    <t>1099 FOXWORTH BLVD</t>
  </si>
  <si>
    <t>1057 BEVERLY CT</t>
  </si>
  <si>
    <t>1900 VALLEY RD</t>
  </si>
  <si>
    <t>403 EDWARD ST</t>
  </si>
  <si>
    <t>2151 S LLOYD AVE</t>
  </si>
  <si>
    <t>1138 S EDSON ST</t>
  </si>
  <si>
    <t>2000 S VALLEY RD</t>
  </si>
  <si>
    <t>2101 S LLOYD AVE</t>
  </si>
  <si>
    <t>1041 BEVERLY CT</t>
  </si>
  <si>
    <t>1910 S VALLEY RD</t>
  </si>
  <si>
    <t>1133 HUNTER ST</t>
  </si>
  <si>
    <t>2100 S LLOYD AVE</t>
  </si>
  <si>
    <t>1025 BEVERLY CT</t>
  </si>
  <si>
    <t>1119 HUNTER ST</t>
  </si>
  <si>
    <t>1920 S VALLEY RD</t>
  </si>
  <si>
    <t>2090 S VALLEY RD</t>
  </si>
  <si>
    <t>1901 S VALLEY RD</t>
  </si>
  <si>
    <t>2020 S VALLEY RD</t>
  </si>
  <si>
    <t>1131 HUNTER ST</t>
  </si>
  <si>
    <t>950 FOXWORTH BLVD</t>
  </si>
  <si>
    <t>2060 VALLEY RD</t>
  </si>
  <si>
    <t>2030 S VALLEY RD</t>
  </si>
  <si>
    <t>1042 FOXWORTH BLVD</t>
  </si>
  <si>
    <t>1135 HUNTER ST</t>
  </si>
  <si>
    <t>28 W WILLOW ST</t>
  </si>
  <si>
    <t>1911 S VALLEY RD</t>
  </si>
  <si>
    <t>1041 HUNTER ST</t>
  </si>
  <si>
    <t>1109 HUNTER ST</t>
  </si>
  <si>
    <t>1948 DOWNING ST</t>
  </si>
  <si>
    <t>980 FOXWORTH BLVD</t>
  </si>
  <si>
    <t>15 W ANN ST</t>
  </si>
  <si>
    <t>21 W ANN ST</t>
  </si>
  <si>
    <t>1129 HUNTER ST</t>
  </si>
  <si>
    <t>2081 DOWNING ST</t>
  </si>
  <si>
    <t>917 FOXWORTH BLVD</t>
  </si>
  <si>
    <t>196O WITT DR</t>
  </si>
  <si>
    <t>2081 QUEENSBURY CT</t>
  </si>
  <si>
    <t>2001 DOWNING ST</t>
  </si>
  <si>
    <t>2061 QUEENSBURY CT</t>
  </si>
  <si>
    <t>1981 VALLEY RD</t>
  </si>
  <si>
    <t>18 N ELIZABETH ST</t>
  </si>
  <si>
    <t>1005 FOXWORTH BLVD</t>
  </si>
  <si>
    <t>1130 HUNTER ST</t>
  </si>
  <si>
    <t>1979 DOWNING ST</t>
  </si>
  <si>
    <t>1117 HUNTER ST</t>
  </si>
  <si>
    <t>1951 VALLEY RD</t>
  </si>
  <si>
    <t>2061 DOWNING ST</t>
  </si>
  <si>
    <t>2176 LLOYD AVE</t>
  </si>
  <si>
    <t>2080 VALLEY RD</t>
  </si>
  <si>
    <t>965 FOXWORTH BLVD</t>
  </si>
  <si>
    <t>704 E DIVISION ST</t>
  </si>
  <si>
    <t>2070 VALLEY RD</t>
  </si>
  <si>
    <t>1040 HUNTER ST</t>
  </si>
  <si>
    <t>1941 VALLEY RD</t>
  </si>
  <si>
    <t>1065 BEVERLY CT</t>
  </si>
  <si>
    <t>1971 S VALLEY RD</t>
  </si>
  <si>
    <t>1001 BEVERLY CT</t>
  </si>
  <si>
    <t>1961 S VALLEY RD</t>
  </si>
  <si>
    <t>1921 S VALLEY RD</t>
  </si>
  <si>
    <t>1072 FOXWORTH BLVD</t>
  </si>
  <si>
    <t>1033 BEVERLY CT</t>
  </si>
  <si>
    <t>1191 WHITEHALL ST</t>
  </si>
  <si>
    <t>1107 HUNTER ST</t>
  </si>
  <si>
    <t>104 REGENCY DR</t>
  </si>
  <si>
    <t>933 FOXWORTH BLVD</t>
  </si>
  <si>
    <t>949 FOXWORTH BLVD</t>
  </si>
  <si>
    <t>1033 FOXWORTH BLVD</t>
  </si>
  <si>
    <t>960 FOXWORTH BLVD</t>
  </si>
  <si>
    <t>2040 DOWNING ST</t>
  </si>
  <si>
    <t>1017 BEVERLY CT</t>
  </si>
  <si>
    <t>1066 FOXWORTH BLVD</t>
  </si>
  <si>
    <t>1060 FOXWORTH BLVD</t>
  </si>
  <si>
    <t>1054 FOXWORTH BLVD</t>
  </si>
  <si>
    <t>1159 HUNTER ST</t>
  </si>
  <si>
    <t>1048 FOXWORTH BLVD</t>
  </si>
  <si>
    <t>2041 DOWNING ST</t>
  </si>
  <si>
    <t>970 FOXWORTH BLVD</t>
  </si>
  <si>
    <t>106 REGENCY DR</t>
  </si>
  <si>
    <t>2000 DOWNING ST</t>
  </si>
  <si>
    <t>1916 DOWNING ST</t>
  </si>
  <si>
    <t>1021 FOXWORTH BLVD</t>
  </si>
  <si>
    <t>1045 FOXWORTH BLVD</t>
  </si>
  <si>
    <t>1101 WHITEHALL ST</t>
  </si>
  <si>
    <t>1151 HUNTER ST</t>
  </si>
  <si>
    <t>1095 FOXWORTH BLVD</t>
  </si>
  <si>
    <t>1950 S VALLEY RD</t>
  </si>
  <si>
    <t>2071 QUEENSBURY CT</t>
  </si>
  <si>
    <t>1931 VALLEY RD</t>
  </si>
  <si>
    <t>1960 S VALLEY RD</t>
  </si>
  <si>
    <t>1009 BEVERLY CT</t>
  </si>
  <si>
    <t>1073 BEVERLY CT</t>
  </si>
  <si>
    <t>1105 HUNTER ST</t>
  </si>
  <si>
    <t>1010 HUNTER ST</t>
  </si>
  <si>
    <t>1134 HUNTER ST</t>
  </si>
  <si>
    <t>1000 HUNTER ST</t>
  </si>
  <si>
    <t>1099 HUNTER ST</t>
  </si>
  <si>
    <t>1091 HUNTER ST</t>
  </si>
  <si>
    <t>1081 HUNTER ST</t>
  </si>
  <si>
    <t>1101 HUNTER ST</t>
  </si>
  <si>
    <t>1061 HUNTER ST</t>
  </si>
  <si>
    <t>1103 HUNTER ST</t>
  </si>
  <si>
    <t>1051 HUNTER ST</t>
  </si>
  <si>
    <t>1071 HUNTER ST</t>
  </si>
  <si>
    <t>2021 DOWNING ST</t>
  </si>
  <si>
    <t>1011 HUNTER ST</t>
  </si>
  <si>
    <t>1057 FOXWORTH BLVD</t>
  </si>
  <si>
    <t>1020 HUNTER ST</t>
  </si>
  <si>
    <t>1198 WHITEHALL ST</t>
  </si>
  <si>
    <t>1141 WHITEHALL ST</t>
  </si>
  <si>
    <t>1131 WHITEHALL ST</t>
  </si>
  <si>
    <t>1090 HUNTER ST</t>
  </si>
  <si>
    <t>1128 HUNTER ST</t>
  </si>
  <si>
    <t>1100 HUNTER ST</t>
  </si>
  <si>
    <t>1006 FOXWORTH BLVD</t>
  </si>
  <si>
    <t>109 REGENCY DR</t>
  </si>
  <si>
    <t>1099 BEVERLY CT</t>
  </si>
  <si>
    <t>1114 HUNTER ST</t>
  </si>
  <si>
    <t>1965 DOWNING ST</t>
  </si>
  <si>
    <t>1148 WHITEHALL ST</t>
  </si>
  <si>
    <t>1118 HUNTER ST</t>
  </si>
  <si>
    <t>1036 FOXWORTH BLVD</t>
  </si>
  <si>
    <t>1143 HUNTER ST</t>
  </si>
  <si>
    <t>1112 HUNTER ST</t>
  </si>
  <si>
    <t>1093 FOXWORTH BLVD</t>
  </si>
  <si>
    <t>1110 HUNTER ST</t>
  </si>
  <si>
    <t>1012 FOXWORTH BLVD</t>
  </si>
  <si>
    <t>1141 HUNTER ST</t>
  </si>
  <si>
    <t>1096 FOXWORTH BLVD</t>
  </si>
  <si>
    <t>1100 FOXWORTH BLVD</t>
  </si>
  <si>
    <t>2126 S LLOYD AVE</t>
  </si>
  <si>
    <t>2150 LLOYD AVE</t>
  </si>
  <si>
    <t>1151 WHITEHALL ST</t>
  </si>
  <si>
    <t>1092 FOXWORTH BLVD</t>
  </si>
  <si>
    <t>1120 HUNTER ST</t>
  </si>
  <si>
    <t>1126 HUNTER ST</t>
  </si>
  <si>
    <t>1122 HUNTER ST</t>
  </si>
  <si>
    <t>1161 WHITEHALL ST</t>
  </si>
  <si>
    <t>1106 HUNTER ST</t>
  </si>
  <si>
    <t>1171 WHITEHALL ST</t>
  </si>
  <si>
    <t>1181 WHITEHALL ST</t>
  </si>
  <si>
    <t>1050 HUNTER ST</t>
  </si>
  <si>
    <t>1081 BEVERLY CT</t>
  </si>
  <si>
    <t>1121 WHITEHALL ST</t>
  </si>
  <si>
    <t>1049 BEVERLY CT</t>
  </si>
  <si>
    <t>1000 FOXWORTH BLVD</t>
  </si>
  <si>
    <t>1088 FOXWORTH BLVD</t>
  </si>
  <si>
    <t>1089 FOXWORTH BLVD</t>
  </si>
  <si>
    <t>1069 FOXWORTH BLVD</t>
  </si>
  <si>
    <t>1104 HUNTER ST</t>
  </si>
  <si>
    <t>1127 HUNTER ST</t>
  </si>
  <si>
    <t>1030 FOXWORTH BLVD</t>
  </si>
  <si>
    <t>1095 BEVERLY CT</t>
  </si>
  <si>
    <t>1030 HUNTER ST</t>
  </si>
  <si>
    <t>1137 HUNTER ST</t>
  </si>
  <si>
    <t>1060 HUNTER ST</t>
  </si>
  <si>
    <t>1080 HUNTER ST</t>
  </si>
  <si>
    <t>1070 HUNTER ST</t>
  </si>
  <si>
    <t>1949 DOWNING ST</t>
  </si>
  <si>
    <t>1111 WHITEHALL ST</t>
  </si>
  <si>
    <t>1123 HUNTER ST</t>
  </si>
  <si>
    <t>1145 HUNTER ST</t>
  </si>
  <si>
    <t>1080 FOXWORTH BLVD</t>
  </si>
  <si>
    <t>1073 FOXWORTH BLVD</t>
  </si>
  <si>
    <t>1172 WHITEHALL ST</t>
  </si>
  <si>
    <t>1147 HUNTER ST</t>
  </si>
  <si>
    <t>1933 DOWNING ST</t>
  </si>
  <si>
    <t>1089 BEVERLY CT</t>
  </si>
  <si>
    <t>1081 FOXWORTH BLVD</t>
  </si>
  <si>
    <t>1125 HUNTER ST</t>
  </si>
  <si>
    <t>1121 HUNTER ST</t>
  </si>
  <si>
    <t>1190 WHITEHALL ST</t>
  </si>
  <si>
    <t>1084 FOXWORTH BLVD</t>
  </si>
  <si>
    <t>1076 FOXWORTH BLVD</t>
  </si>
  <si>
    <t>1160 WHITEHALL ST</t>
  </si>
  <si>
    <t>1139 HUNTER ST</t>
  </si>
  <si>
    <t>1077 FOXWORTH BLVD</t>
  </si>
  <si>
    <t>1184 WHITEHALL ST</t>
  </si>
  <si>
    <t>1102 HUNTER ST</t>
  </si>
  <si>
    <t>1024 FOXWORTH BLVD</t>
  </si>
  <si>
    <t>1018 FOXWORTH BLVD</t>
  </si>
  <si>
    <t>1149 HUNTER ST</t>
  </si>
  <si>
    <t>1085 FOXWORTH BLVD</t>
  </si>
  <si>
    <t>1001 HUNTER ST</t>
  </si>
  <si>
    <t>23 N CHARLOTTE ST</t>
  </si>
  <si>
    <t>981 FOXWORTH BLVD</t>
  </si>
  <si>
    <t>23 W GROVE ST</t>
  </si>
  <si>
    <t>53 N PARK AVE</t>
  </si>
  <si>
    <t>356 W ST CHARLES RD</t>
  </si>
  <si>
    <t>BUCKINGHAM CT</t>
  </si>
  <si>
    <t>532-44 FAIRFIELD CT</t>
  </si>
  <si>
    <t>528-32 W MEADOW AVE</t>
  </si>
  <si>
    <t>1161 S FINLEY RD</t>
  </si>
  <si>
    <t>160 MAJESTIC DR</t>
  </si>
  <si>
    <t>123 WESTMORE MEYERS</t>
  </si>
  <si>
    <t>113 S WESTMORE</t>
  </si>
  <si>
    <t>117 S WESTMORE AVE</t>
  </si>
  <si>
    <t>96 S WESTMORE AVE</t>
  </si>
  <si>
    <t>102 WESTMORE</t>
  </si>
  <si>
    <t>116 WESTMORE MEYERS</t>
  </si>
  <si>
    <t>91 WESTMORE MEYERS</t>
  </si>
  <si>
    <t>70 S WESTMORE AVE</t>
  </si>
  <si>
    <t>90 S WESTMORE AVE</t>
  </si>
  <si>
    <t>1015 E MAPLE ST</t>
  </si>
  <si>
    <t>1014 E MAPLE ST</t>
  </si>
  <si>
    <t>120 S WESTMORE AVE</t>
  </si>
  <si>
    <t>122 WESTMORE AVE</t>
  </si>
  <si>
    <t>600 W PLEASANT LN # E</t>
  </si>
  <si>
    <t>222 W VAN BUREN AVE</t>
  </si>
  <si>
    <t>415 W JACKSON AVE</t>
  </si>
  <si>
    <t>183 W BENTON AVE</t>
  </si>
  <si>
    <t>13 N MAIN ST</t>
  </si>
  <si>
    <t>1612 CASTLE LAWN CT</t>
  </si>
  <si>
    <t>1641 CASTLE LAWN CT</t>
  </si>
  <si>
    <t>216 N WASHINGTON ST</t>
  </si>
  <si>
    <t>1611 CASTLE LAWN CT</t>
  </si>
  <si>
    <t>1610 CASTLE LAWN CT</t>
  </si>
  <si>
    <t>1629 CASTLE LAWN CT</t>
  </si>
  <si>
    <t>1635 CASTLE LAWN CT</t>
  </si>
  <si>
    <t>1633 CASTLE LAWN CT</t>
  </si>
  <si>
    <t>1639 CASTLE LAWN CT</t>
  </si>
  <si>
    <t>1627 CASTLE LAWN CT</t>
  </si>
  <si>
    <t>1609 CASTLE LAWN CT</t>
  </si>
  <si>
    <t>1605 CASTLE LAWN CT</t>
  </si>
  <si>
    <t>1646 CASTLE LAWN CT</t>
  </si>
  <si>
    <t>1606 CASTLE LAWN CT</t>
  </si>
  <si>
    <t>1616 CASTLE LAWN CT</t>
  </si>
  <si>
    <t>1604 CASTLE LAWN CT</t>
  </si>
  <si>
    <t>1628 CASTLE LAWN CT</t>
  </si>
  <si>
    <t>1622 CASTLE LAWN CT</t>
  </si>
  <si>
    <t>1648 CASTLE LAWN CT</t>
  </si>
  <si>
    <t>1640 CASTLE LAWN CT</t>
  </si>
  <si>
    <t>1634 CASTLE LAWN CT</t>
  </si>
  <si>
    <t>1624 CASTLE LAWN CT</t>
  </si>
  <si>
    <t>1618 CASTLE LAWN CT</t>
  </si>
  <si>
    <t>1603 CASTLE LAWN CT</t>
  </si>
  <si>
    <t>1636 CASTLE LAWN CT</t>
  </si>
  <si>
    <t>1642 CASTLE LAWN CT</t>
  </si>
  <si>
    <t>1630 CASTLE LAWN CT</t>
  </si>
  <si>
    <t>27W280 BAUER RD</t>
  </si>
  <si>
    <t>1 S MAIN ST</t>
  </si>
  <si>
    <t>419-23 S WASHINGTON ST</t>
  </si>
  <si>
    <t>36 S WASHINGTON ST</t>
  </si>
  <si>
    <t>226 S MAIN ST</t>
  </si>
  <si>
    <t>34 S WASHINGTON ST</t>
  </si>
  <si>
    <t>315 S MAIN ST</t>
  </si>
  <si>
    <t>141 AURORA AVE</t>
  </si>
  <si>
    <t>111-19 S MAIN ST</t>
  </si>
  <si>
    <t>18 S WASHINGTON ST</t>
  </si>
  <si>
    <t>115 S WEBSTER ST</t>
  </si>
  <si>
    <t>19 W BENTON AVE</t>
  </si>
  <si>
    <t>103 S WEBSTER ST</t>
  </si>
  <si>
    <t>107 S WEBSTER ST</t>
  </si>
  <si>
    <t>111 S WEBSTER ST</t>
  </si>
  <si>
    <t>55 S MAIN ST</t>
  </si>
  <si>
    <t>124 S WASHINGTON ST</t>
  </si>
  <si>
    <t>175 W JACKSON AVE</t>
  </si>
  <si>
    <t>1125 BURKE CT</t>
  </si>
  <si>
    <t>1124 BURKE CT</t>
  </si>
  <si>
    <t>1171 OAKTON LN</t>
  </si>
  <si>
    <t>976 ELM CT</t>
  </si>
  <si>
    <t>1105 BURKE CT</t>
  </si>
  <si>
    <t>1017 PRAIRIE VIEW CT</t>
  </si>
  <si>
    <t>1101 BURKE CT</t>
  </si>
  <si>
    <t>1751 CHADWICKE CIR</t>
  </si>
  <si>
    <t>1401 GREENLEE CT</t>
  </si>
  <si>
    <t>1755 CHADWICKE CIR</t>
  </si>
  <si>
    <t>1716 CHEPSTOW CT</t>
  </si>
  <si>
    <t>2078 BUNKER CIR</t>
  </si>
  <si>
    <t>1408 GREENLEE CT</t>
  </si>
  <si>
    <t>300 N RIVER RD</t>
  </si>
  <si>
    <t>2412 ORCHID CT</t>
  </si>
  <si>
    <t>2082 BUNKER CIR</t>
  </si>
  <si>
    <t>1016 MANDALAY CT</t>
  </si>
  <si>
    <t>1167 OAKTON LN</t>
  </si>
  <si>
    <t>977 ELM CT</t>
  </si>
  <si>
    <t>703 HAYLE CT</t>
  </si>
  <si>
    <t>1703 CHEPSTOW CT</t>
  </si>
  <si>
    <t>1165 DICKENS AVE</t>
  </si>
  <si>
    <t>1711 CHEPSTOW CT</t>
  </si>
  <si>
    <t>1712 CHEPSTOW CT</t>
  </si>
  <si>
    <t>708 HAYLE CT</t>
  </si>
  <si>
    <t>729 SMALL CT</t>
  </si>
  <si>
    <t>1417 ROLLING GROVE CT</t>
  </si>
  <si>
    <t>1418 ROLLING GROVE CT</t>
  </si>
  <si>
    <t>936 ELM ST</t>
  </si>
  <si>
    <t>2044 SCHUMACHER LN</t>
  </si>
  <si>
    <t>616 CARAWAY CT</t>
  </si>
  <si>
    <t>715 HAYLE CT</t>
  </si>
  <si>
    <t>1711 CHADWICKE CIR</t>
  </si>
  <si>
    <t>1707 CHADWICKE CIR</t>
  </si>
  <si>
    <t>1004 MANDALAY CT</t>
  </si>
  <si>
    <t>675 OAKHURST CT</t>
  </si>
  <si>
    <t>674 OAKHURST CT</t>
  </si>
  <si>
    <t>1028 BURKE CT</t>
  </si>
  <si>
    <t>2320 PERIWINKLE CT</t>
  </si>
  <si>
    <t>932 ELM ST</t>
  </si>
  <si>
    <t>28W525 OSWEGO RD</t>
  </si>
  <si>
    <t>1012 MANDALAY CT</t>
  </si>
  <si>
    <t>1013 MANDALAY CT</t>
  </si>
  <si>
    <t>1149 DICKENS AVE</t>
  </si>
  <si>
    <t>901 ELM ST</t>
  </si>
  <si>
    <t>1263 LAKEWOOD CIR</t>
  </si>
  <si>
    <t>1024 BURKE CT</t>
  </si>
  <si>
    <t>619 OAKHURST DR</t>
  </si>
  <si>
    <t>1005 MANDALAY CT</t>
  </si>
  <si>
    <t>1112 NATALIE CT</t>
  </si>
  <si>
    <t>1223 LAKEWOOD CIR</t>
  </si>
  <si>
    <t>2056 MAPLEWOOD CIR</t>
  </si>
  <si>
    <t>1220 SAMUEL CT</t>
  </si>
  <si>
    <t>847 PLAINFIELD-NAPER</t>
  </si>
  <si>
    <t>1233 ASHTON LN</t>
  </si>
  <si>
    <t>1151 ARDMORE DR</t>
  </si>
  <si>
    <t>1400 GREENLEE CT</t>
  </si>
  <si>
    <t>1788 CHADWICKE CIR</t>
  </si>
  <si>
    <t>1586 HINTERLONG LN</t>
  </si>
  <si>
    <t>2060 MAPLEWOOD CIR</t>
  </si>
  <si>
    <t>2304 JONQUIL CT</t>
  </si>
  <si>
    <t>1024 PRAIRIE VIEW CT</t>
  </si>
  <si>
    <t>944 ELM ST</t>
  </si>
  <si>
    <t>1401 AMBLESIDE CIR</t>
  </si>
  <si>
    <t>596 OAKHURST DR</t>
  </si>
  <si>
    <t>2036 MAPLEWOOD CIR</t>
  </si>
  <si>
    <t>703 WOODEWIND DR</t>
  </si>
  <si>
    <t>1108 BURKE CT</t>
  </si>
  <si>
    <t>623 WINTERGREEN CIR</t>
  </si>
  <si>
    <t>604 AZALEA CT</t>
  </si>
  <si>
    <t>1107 MALLORY CT</t>
  </si>
  <si>
    <t>1704 CHEPSTOW CT</t>
  </si>
  <si>
    <t>456 BOURBON LN</t>
  </si>
  <si>
    <t>917 ELM ST</t>
  </si>
  <si>
    <t>803 WOODEWIND DR</t>
  </si>
  <si>
    <t>1027 MEAGAN CT</t>
  </si>
  <si>
    <t>1719 CHADWICKE CIR</t>
  </si>
  <si>
    <t>653 OAKHURST DR</t>
  </si>
  <si>
    <t>1238 ARDMORE DR</t>
  </si>
  <si>
    <t>913 ELM ST</t>
  </si>
  <si>
    <t>670 OAKHURST CT</t>
  </si>
  <si>
    <t>2407 ORCHID CT</t>
  </si>
  <si>
    <t>671 OAKHURST CT</t>
  </si>
  <si>
    <t>940 ELM ST</t>
  </si>
  <si>
    <t>1404 GREENLEE CT</t>
  </si>
  <si>
    <t>2303 JONQUIL CT</t>
  </si>
  <si>
    <t>2018 BUNKER CIR</t>
  </si>
  <si>
    <t>909 ELM ST</t>
  </si>
  <si>
    <t>1608 SEQUOIA RD</t>
  </si>
  <si>
    <t>1704 CHADWICKE CIR</t>
  </si>
  <si>
    <t>1219 SAMUEL CT</t>
  </si>
  <si>
    <t>1020 BURKE CT</t>
  </si>
  <si>
    <t>951 CAMPBELL RD</t>
  </si>
  <si>
    <t>973 ELM CT</t>
  </si>
  <si>
    <t>905 ELM ST</t>
  </si>
  <si>
    <t>1164 DICKENS AVE</t>
  </si>
  <si>
    <t>597 OAKHURST DR</t>
  </si>
  <si>
    <t>598 S WHISPERING HILLS</t>
  </si>
  <si>
    <t>1707 CHEPSTOW CT</t>
  </si>
  <si>
    <t>1212 ARDMORE DR</t>
  </si>
  <si>
    <t>1143 LAKEWOOD CIR</t>
  </si>
  <si>
    <t>2316 PERIWINKLE CT</t>
  </si>
  <si>
    <t>1736 NAPOLEON DR</t>
  </si>
  <si>
    <t>1743 CHADWICKE CIR</t>
  </si>
  <si>
    <t>1763 CHADWICKE CIR</t>
  </si>
  <si>
    <t>908 MATTHEW CT</t>
  </si>
  <si>
    <t>1020 PRAIRIE VIEW CT</t>
  </si>
  <si>
    <t>809 ANTHONY CT</t>
  </si>
  <si>
    <t>1258 ARDMORE DR</t>
  </si>
  <si>
    <t>815 SANCTUARY LN</t>
  </si>
  <si>
    <t>1707 CHALMETTE CT</t>
  </si>
  <si>
    <t>607 WILDFLOWER CT</t>
  </si>
  <si>
    <t>1708 CHEPSTOW CT</t>
  </si>
  <si>
    <t>1020 CAMPBELL DR</t>
  </si>
  <si>
    <t>1001 PRAIRIE VIEW CT</t>
  </si>
  <si>
    <t>654 OAKHURST DR</t>
  </si>
  <si>
    <t>615 S WHISPERING HILLS</t>
  </si>
  <si>
    <t>601 OAKHURST DR</t>
  </si>
  <si>
    <t>621 S WHISPERING HILLS</t>
  </si>
  <si>
    <t>631 S WHISPERING HILLS DR</t>
  </si>
  <si>
    <t>1400 ROLLING GROVE CT</t>
  </si>
  <si>
    <t>907 MATTHEW CT</t>
  </si>
  <si>
    <t>2043 SCHUMACHER DR</t>
  </si>
  <si>
    <t>1712 CHALMETTE CT</t>
  </si>
  <si>
    <t>811 WOODEWIND DR</t>
  </si>
  <si>
    <t>2074 BUNKER CIR</t>
  </si>
  <si>
    <t>607 GENESEE DR</t>
  </si>
  <si>
    <t>1124 HANNAH CT</t>
  </si>
  <si>
    <t>940 RIVER RD</t>
  </si>
  <si>
    <t>703 SANCTUARY LN</t>
  </si>
  <si>
    <t>2079 BUNKER CIR</t>
  </si>
  <si>
    <t>2014 BUNKER CIR</t>
  </si>
  <si>
    <t>1412 ROLLING GROVE CT</t>
  </si>
  <si>
    <t>707 WOODEWIND DR</t>
  </si>
  <si>
    <t>1308 MURDSTONE DR</t>
  </si>
  <si>
    <t>2031 BUNKER CIR</t>
  </si>
  <si>
    <t>1408 ROLLING GROVE CT</t>
  </si>
  <si>
    <t>2156 COUNTRY LAKES DR</t>
  </si>
  <si>
    <t>1242 ARDMORE DR</t>
  </si>
  <si>
    <t>1215 SAMUEL CT</t>
  </si>
  <si>
    <t>2312 PERIWINKLE CT</t>
  </si>
  <si>
    <t>1747 CHADWICKE CIR</t>
  </si>
  <si>
    <t>1815 RAMPART CT</t>
  </si>
  <si>
    <t>731 WOODEWIND DR</t>
  </si>
  <si>
    <t>2046 BUNKER CIR</t>
  </si>
  <si>
    <t>603 GENESEE DR</t>
  </si>
  <si>
    <t>704 HAYLE CT</t>
  </si>
  <si>
    <t>1113 BURKE CT</t>
  </si>
  <si>
    <t>1104 DICKENS AVE</t>
  </si>
  <si>
    <t>2043 BUNKER CIR</t>
  </si>
  <si>
    <t>612 OAKHURST DR</t>
  </si>
  <si>
    <t>608 OAKHURST DR</t>
  </si>
  <si>
    <t>1759 CHADWICKE CIR</t>
  </si>
  <si>
    <t>950 CAMPBELL DR</t>
  </si>
  <si>
    <t>839 VIOLET CIR</t>
  </si>
  <si>
    <t>1752 CHADWICKE CIR</t>
  </si>
  <si>
    <t>1112 BURKE CT</t>
  </si>
  <si>
    <t>2003 MAPLEWOOD CIR</t>
  </si>
  <si>
    <t>1690 LISA CT</t>
  </si>
  <si>
    <t>1720 CHADWICKE CIR</t>
  </si>
  <si>
    <t>1712 CHADWICKE CIR</t>
  </si>
  <si>
    <t>903 JOAN CT</t>
  </si>
  <si>
    <t>1251 ASHTON LN</t>
  </si>
  <si>
    <t>1724 CHADWICKE CIR</t>
  </si>
  <si>
    <t>1109 BURKE CT</t>
  </si>
  <si>
    <t>1420 OSWEGO RD</t>
  </si>
  <si>
    <t>1412 OSWEGO RD</t>
  </si>
  <si>
    <t>604 WILDFLOWER CT</t>
  </si>
  <si>
    <t>972 ELM ST</t>
  </si>
  <si>
    <t>1764 CHADWICKE CIR</t>
  </si>
  <si>
    <t>1224 ASHTON LN</t>
  </si>
  <si>
    <t>767 VIOLET CIR</t>
  </si>
  <si>
    <t>614 E 5TH AVE</t>
  </si>
  <si>
    <t>2026 BUNKER CIR</t>
  </si>
  <si>
    <t>668 OAKHURST CT</t>
  </si>
  <si>
    <t>1708 CHADWICKE CIR</t>
  </si>
  <si>
    <t>2091 MAPLEWOOD CIR</t>
  </si>
  <si>
    <t>2023 BUNKER CIR</t>
  </si>
  <si>
    <t>1180 OAKTON LN</t>
  </si>
  <si>
    <t>707 MARIGOLD CT</t>
  </si>
  <si>
    <t>1694 LISA CT</t>
  </si>
  <si>
    <t>1000 PRAIRIE VIEW CT</t>
  </si>
  <si>
    <t>665 OAKHURST CT</t>
  </si>
  <si>
    <t>873 PLNFLD-NAPER RD</t>
  </si>
  <si>
    <t>816 SANCTUARY LN</t>
  </si>
  <si>
    <t>908 JOAN CT</t>
  </si>
  <si>
    <t>519 BOURBON LN</t>
  </si>
  <si>
    <t>1028 MEAGAN CT</t>
  </si>
  <si>
    <t>1740 CHADWICKE CIR</t>
  </si>
  <si>
    <t>1232 ASHTON LN</t>
  </si>
  <si>
    <t>820 SANCTUARY LN</t>
  </si>
  <si>
    <t>1234 ARDMORE DR</t>
  </si>
  <si>
    <t>807 WOODEWIND DR</t>
  </si>
  <si>
    <t>921 ELM ST</t>
  </si>
  <si>
    <t>812 SANCTUARY LN</t>
  </si>
  <si>
    <t>2071 BUNKER CIR</t>
  </si>
  <si>
    <t>1021 PRAIRIE VIEW CT</t>
  </si>
  <si>
    <t>2022 BUNKER CIR</t>
  </si>
  <si>
    <t>1723 CHADWICKE CIR</t>
  </si>
  <si>
    <t>724 SMALL CT</t>
  </si>
  <si>
    <t>1708 CHALMETTE CT</t>
  </si>
  <si>
    <t>708 MIKE CT</t>
  </si>
  <si>
    <t>2040 MAPLEWOOD CIR</t>
  </si>
  <si>
    <t>708 MARIGOLD CT</t>
  </si>
  <si>
    <t>1413 ROLLING GROVE CT</t>
  </si>
  <si>
    <t>1008 LAKEWOOD CIR</t>
  </si>
  <si>
    <t>1108 MALLORY CT</t>
  </si>
  <si>
    <t>2108 JESSICA CT</t>
  </si>
  <si>
    <t>1405 GREENLEE CT</t>
  </si>
  <si>
    <t>2048 SCHUMACHER DR</t>
  </si>
  <si>
    <t>2030 BUNKER CIR</t>
  </si>
  <si>
    <t>715 BONESET CT</t>
  </si>
  <si>
    <t>712 SANCTUARY LN</t>
  </si>
  <si>
    <t>1246 ARDMORE DR</t>
  </si>
  <si>
    <t>1409 GREENLEE CT</t>
  </si>
  <si>
    <t>1116 BURKE CT</t>
  </si>
  <si>
    <t>1245 ARDMORE DR</t>
  </si>
  <si>
    <t>712 SMALL CT</t>
  </si>
  <si>
    <t>1119 HANNAH CT</t>
  </si>
  <si>
    <t>1222 ARDMORE DR</t>
  </si>
  <si>
    <t>1739 CHADWICKE CIR</t>
  </si>
  <si>
    <t>1768 CHADWICKE CIR</t>
  </si>
  <si>
    <t>1175 OAKTON LN</t>
  </si>
  <si>
    <t>809 BRUNO CT</t>
  </si>
  <si>
    <t>701 MIKE CT</t>
  </si>
  <si>
    <t>2028 MAPLEWOOD CIR</t>
  </si>
  <si>
    <t>1224 SAMUEL CT</t>
  </si>
  <si>
    <t>808 BRUNO CT</t>
  </si>
  <si>
    <t>1416 OSWEGO RD</t>
  </si>
  <si>
    <t>1424 OSWEGO RD</t>
  </si>
  <si>
    <t>1408 OSWEGO RD</t>
  </si>
  <si>
    <t>952 ELM ST</t>
  </si>
  <si>
    <t>1236 ASHTON LN</t>
  </si>
  <si>
    <t>1160 DICKENS AVE</t>
  </si>
  <si>
    <t>1250 ARDMORE DR</t>
  </si>
  <si>
    <t>1301 OAKTON LN</t>
  </si>
  <si>
    <t>969 ELM ST</t>
  </si>
  <si>
    <t>1228 ASHTON LN</t>
  </si>
  <si>
    <t>921 S RIVER RD</t>
  </si>
  <si>
    <t>903 MATTHEW CT</t>
  </si>
  <si>
    <t>2049 BUNKER CIR</t>
  </si>
  <si>
    <t>1269 ASHTON LN</t>
  </si>
  <si>
    <t>855 WOODEWIND DR</t>
  </si>
  <si>
    <t>716 SANCTUARY LN</t>
  </si>
  <si>
    <t>1255 OAKTON LN</t>
  </si>
  <si>
    <t>851 PLNFLD-NAPER RD</t>
  </si>
  <si>
    <t>708 SANCTUARY LN</t>
  </si>
  <si>
    <t>700 SMALL CT</t>
  </si>
  <si>
    <t>713 SMALL CT</t>
  </si>
  <si>
    <t>2104 JESSICA CT</t>
  </si>
  <si>
    <t>1259 LAKEWOOD CIR</t>
  </si>
  <si>
    <t>1803 RAMPART CT</t>
  </si>
  <si>
    <t>1023 BURKE CT</t>
  </si>
  <si>
    <t>645 BOURBON CT</t>
  </si>
  <si>
    <t>2053 BUNKER CIR</t>
  </si>
  <si>
    <t>711 WOODEWIND DR</t>
  </si>
  <si>
    <t>711 HAYLE CT</t>
  </si>
  <si>
    <t>908 S RIVER RD</t>
  </si>
  <si>
    <t>900 ELM ST</t>
  </si>
  <si>
    <t>905 S RIVER RD</t>
  </si>
  <si>
    <t>900 S RIVER RD</t>
  </si>
  <si>
    <t>1157 ARDMORE DR</t>
  </si>
  <si>
    <t>965 ELM CT</t>
  </si>
  <si>
    <t>2112 SCHUMACHER DR</t>
  </si>
  <si>
    <t>1239 ARDMORE DR</t>
  </si>
  <si>
    <t>2050 BUNKER CIR</t>
  </si>
  <si>
    <t>2008 CHANG CT</t>
  </si>
  <si>
    <t>627 WINTERGREEN CIR</t>
  </si>
  <si>
    <t>616 OAKHURST DR</t>
  </si>
  <si>
    <t>634 OAKHURST DR</t>
  </si>
  <si>
    <t>1195 REDFIELD RD</t>
  </si>
  <si>
    <t>604 OAKHURST DR</t>
  </si>
  <si>
    <t>639 OAKHURST DR</t>
  </si>
  <si>
    <t>600 OAKHURST DR</t>
  </si>
  <si>
    <t>638 OAKHURST DR</t>
  </si>
  <si>
    <t>643 OAKHURST CT</t>
  </si>
  <si>
    <t>618 WHISPERING HILLS</t>
  </si>
  <si>
    <t>1405 ROLLING GROVE CT</t>
  </si>
  <si>
    <t>647 OAKHURST DR</t>
  </si>
  <si>
    <t>650 OAKHURST DR</t>
  </si>
  <si>
    <t>661 OAKHURST CT</t>
  </si>
  <si>
    <t>646 OAKHURST DR</t>
  </si>
  <si>
    <t>635 OAKHURST DR</t>
  </si>
  <si>
    <t>1780 CHADWICKE CIR</t>
  </si>
  <si>
    <t>606 S WHISPERING HILLS DR</t>
  </si>
  <si>
    <t>1776 CHADWICKE CIR</t>
  </si>
  <si>
    <t>1784 CHADWICKE CIR</t>
  </si>
  <si>
    <t>1404 ROLLING GROVE CT</t>
  </si>
  <si>
    <t>602 S WHISPERING HILLS</t>
  </si>
  <si>
    <t>642 OAKHURST DR</t>
  </si>
  <si>
    <t>601 S WHISPERING HILLS</t>
  </si>
  <si>
    <t>828 SANCTUARY LN</t>
  </si>
  <si>
    <t>662 OAKHURST CT</t>
  </si>
  <si>
    <t>2052 SCHUMACHER LN</t>
  </si>
  <si>
    <t>2065 BUNKER CIR</t>
  </si>
  <si>
    <t>958 CAMPBELL DR</t>
  </si>
  <si>
    <t>1204 ANDRIA CT</t>
  </si>
  <si>
    <t>804 ANTHONY CT</t>
  </si>
  <si>
    <t>2108 SCHUMACHER DR</t>
  </si>
  <si>
    <t>1735 CHADWICKE CIR</t>
  </si>
  <si>
    <t>1017 MANDALAY CT</t>
  </si>
  <si>
    <t>2111 FELDOTT LN</t>
  </si>
  <si>
    <t>720 SANCTUARY LN</t>
  </si>
  <si>
    <t>954 CAMPBELL DR</t>
  </si>
  <si>
    <t>937 ELM ST</t>
  </si>
  <si>
    <t>724 SANCTUARY LN</t>
  </si>
  <si>
    <t>1409 ROLLING GROVE CT</t>
  </si>
  <si>
    <t>1254 ARDMORE DR</t>
  </si>
  <si>
    <t>1544 OSWEGO RD</t>
  </si>
  <si>
    <t>1540 OSWEGO RD</t>
  </si>
  <si>
    <t>808 SANCTUARY LN</t>
  </si>
  <si>
    <t>1536 OSWEGO RD</t>
  </si>
  <si>
    <t>1532 OSWEGO RD</t>
  </si>
  <si>
    <t>1117 BURKE CT</t>
  </si>
  <si>
    <t>1528 OSWEGO RD</t>
  </si>
  <si>
    <t>804 SANCTUARY LN</t>
  </si>
  <si>
    <t>1187 REDFIELD RD</t>
  </si>
  <si>
    <t>1524 OSWEGO RD</t>
  </si>
  <si>
    <t>1191 REDFIELD RD</t>
  </si>
  <si>
    <t>707 HAYLE CT</t>
  </si>
  <si>
    <t>1520 OSWEGO RD</t>
  </si>
  <si>
    <t>1516 OSWEGO RD</t>
  </si>
  <si>
    <t>1256 ASHTON LN</t>
  </si>
  <si>
    <t>1116 HANNAH CT</t>
  </si>
  <si>
    <t>1764 NAPOLEON DR</t>
  </si>
  <si>
    <t>611 WILDFLOWER CT</t>
  </si>
  <si>
    <t>1512 OSWEGO RD</t>
  </si>
  <si>
    <t>1008 MANDALAY CT</t>
  </si>
  <si>
    <t>1304 MURDSTONE DR</t>
  </si>
  <si>
    <t>1154 ARDMORE DR</t>
  </si>
  <si>
    <t>1731 CHADWICKE CIR</t>
  </si>
  <si>
    <t>1238 OAKTON LN</t>
  </si>
  <si>
    <t>2104 SCHUMACHER DR</t>
  </si>
  <si>
    <t>2056 SCHUMACHER DR</t>
  </si>
  <si>
    <t>1727 CHADWICKE CIR</t>
  </si>
  <si>
    <t>2060 SCHUMACHER AVE</t>
  </si>
  <si>
    <t>2064 SCHUMACHER LN</t>
  </si>
  <si>
    <t>836 SANCTUARY LN</t>
  </si>
  <si>
    <t>832 SANCTUARY LN</t>
  </si>
  <si>
    <t>1548 OSWEGO RD</t>
  </si>
  <si>
    <t>840 SANCTUARY LN</t>
  </si>
  <si>
    <t>1111 MALLORY CT</t>
  </si>
  <si>
    <t>2057 BUNKER CIR</t>
  </si>
  <si>
    <t>1241 OAKTON LN</t>
  </si>
  <si>
    <t>720 SMALL CT</t>
  </si>
  <si>
    <t>1013 PRAIRIE VIEW CT</t>
  </si>
  <si>
    <t>1235 OAKTON LN</t>
  </si>
  <si>
    <t>607 CARAWAY CT</t>
  </si>
  <si>
    <t>1252 ASHTON LN</t>
  </si>
  <si>
    <t>1641 LOIS ANN LN</t>
  </si>
  <si>
    <t>715 WOODEWIND DR</t>
  </si>
  <si>
    <t>851 VIOLET CIR</t>
  </si>
  <si>
    <t>1230 ARDMORE DR</t>
  </si>
  <si>
    <t>719 WOODEWIND DR</t>
  </si>
  <si>
    <t>621 BOURBON CT</t>
  </si>
  <si>
    <t>716 BONESET CT</t>
  </si>
  <si>
    <t>2061 BUNKER CIR</t>
  </si>
  <si>
    <t>1016 PRAIRIE VIEW CT</t>
  </si>
  <si>
    <t>925 RIVER RD</t>
  </si>
  <si>
    <t>612 WILDFLOWER CT</t>
  </si>
  <si>
    <t>2147 SCHUMACHER DR</t>
  </si>
  <si>
    <t>2168 SCHUMACHER LN</t>
  </si>
  <si>
    <t>1120 BURKE CT</t>
  </si>
  <si>
    <t>1268 ASHTON LN</t>
  </si>
  <si>
    <t>508 BOURBON LN</t>
  </si>
  <si>
    <t>1248 ASHTON LN</t>
  </si>
  <si>
    <t>1582 HINTERLONG LN</t>
  </si>
  <si>
    <t>1599 HINTERLONG LN</t>
  </si>
  <si>
    <t>2207 FELDOTT LN</t>
  </si>
  <si>
    <t>723 WOODEWIND DR</t>
  </si>
  <si>
    <t>2024 CHANG CT</t>
  </si>
  <si>
    <t>2007 MAPLEWOOD CIR</t>
  </si>
  <si>
    <t>2034 BUNKER CIR</t>
  </si>
  <si>
    <t>2037 BUNKER CIR</t>
  </si>
  <si>
    <t>1242 OAKTON LN</t>
  </si>
  <si>
    <t>962 CAMPBELL DR</t>
  </si>
  <si>
    <t>1257 ASHTON LN</t>
  </si>
  <si>
    <t>2042 BUNKER CIR</t>
  </si>
  <si>
    <t>929 RIVER RD</t>
  </si>
  <si>
    <t>634 E 5TH AVE</t>
  </si>
  <si>
    <t>460 BOURBON LN</t>
  </si>
  <si>
    <t>1590 HINTERLONG LN</t>
  </si>
  <si>
    <t>2151 FELDOTT LN</t>
  </si>
  <si>
    <t>2152 COUNTRY LAKES DR</t>
  </si>
  <si>
    <t>619 WINTERGREEN CIR</t>
  </si>
  <si>
    <t>1144 DICKENS AVE</t>
  </si>
  <si>
    <t>2087 MAPLEWOOD CIR</t>
  </si>
  <si>
    <t>2059 MAPLEWOOD CIR</t>
  </si>
  <si>
    <t>1008 PRAIRIE VIEW CT</t>
  </si>
  <si>
    <t>711 BONESET CT</t>
  </si>
  <si>
    <t>700 MIKE CT</t>
  </si>
  <si>
    <t>795 WILDFLOWER CIR</t>
  </si>
  <si>
    <t>1246 OAKTON LN</t>
  </si>
  <si>
    <t>2043 MAPLEWOOD CIR</t>
  </si>
  <si>
    <t>1265 ASHTON LN</t>
  </si>
  <si>
    <t>1009 PRAIRIE VIEW CT</t>
  </si>
  <si>
    <t>1009 CAMPBELL RD</t>
  </si>
  <si>
    <t>1005 PRAIRIEVIEW CT</t>
  </si>
  <si>
    <t>933 ELM ST</t>
  </si>
  <si>
    <t>2071 MAPLEWOOD CIR</t>
  </si>
  <si>
    <t>2079 MAPLEWOOD CIR</t>
  </si>
  <si>
    <t>2083 MAPLEWOOD CIR</t>
  </si>
  <si>
    <t>2075 MAPLEWOOD CIR</t>
  </si>
  <si>
    <t>1108 NATALIE CT</t>
  </si>
  <si>
    <t>917 RIVER RD</t>
  </si>
  <si>
    <t>2023 MAPLEWOOD CIR</t>
  </si>
  <si>
    <t>2015 MAPLEWOOD CIR</t>
  </si>
  <si>
    <t>2019 MAPLEWOOD CIR</t>
  </si>
  <si>
    <t>2011 MAPLEWOOD CIR</t>
  </si>
  <si>
    <t>720 BONESET CT</t>
  </si>
  <si>
    <t>607 AZALEA CT</t>
  </si>
  <si>
    <t>2311 PERIWINKLE CT</t>
  </si>
  <si>
    <t>612 AZALEA CT</t>
  </si>
  <si>
    <t>1103 WILLARD CT</t>
  </si>
  <si>
    <t>2120 JESSICA CT</t>
  </si>
  <si>
    <t>1907 CROSSING CT</t>
  </si>
  <si>
    <t>2070 BUNKER CIR</t>
  </si>
  <si>
    <t>2023 CHANG CT</t>
  </si>
  <si>
    <t>704 VIOLET CIR</t>
  </si>
  <si>
    <t>608 CARAWAY CT</t>
  </si>
  <si>
    <t>1107 NATALIE CT</t>
  </si>
  <si>
    <t>2086 BUNKER CIR</t>
  </si>
  <si>
    <t>949 ELM ST</t>
  </si>
  <si>
    <t>711 MARIGOLD CT</t>
  </si>
  <si>
    <t>1226 ARDMORE DR</t>
  </si>
  <si>
    <t>608 WILDFLOWER CT</t>
  </si>
  <si>
    <t>1148 DICKENS AVE</t>
  </si>
  <si>
    <t>619 CARAWAY CT</t>
  </si>
  <si>
    <t>1128 HANNAH CT</t>
  </si>
  <si>
    <t>2016 THREE FARMS AVE</t>
  </si>
  <si>
    <t>604 CARAWAY CT</t>
  </si>
  <si>
    <t>2224 PERIWINKLE LN</t>
  </si>
  <si>
    <t>2038 BUNKER CIR</t>
  </si>
  <si>
    <t>2027 BUNKER CIR</t>
  </si>
  <si>
    <t>1012 PRAIRIE VIEW CT</t>
  </si>
  <si>
    <t>920 ELM ST</t>
  </si>
  <si>
    <t>916 ELM ST</t>
  </si>
  <si>
    <t>1253 ARDMORE DR</t>
  </si>
  <si>
    <t>955 CAMPBELL RD</t>
  </si>
  <si>
    <t>1250 OAKTON LN</t>
  </si>
  <si>
    <t>1249 ARDMORE DR</t>
  </si>
  <si>
    <t>2027 MAPLEWOOD CIR</t>
  </si>
  <si>
    <t>925 ELM ST</t>
  </si>
  <si>
    <t>1231 OAKTON LN</t>
  </si>
  <si>
    <t>1211 OAKTON LN</t>
  </si>
  <si>
    <t>1223 OAKTON LN</t>
  </si>
  <si>
    <t>1227 OAKTON LN</t>
  </si>
  <si>
    <t>1121 BURKE CT</t>
  </si>
  <si>
    <t>1207 OAKTON LN</t>
  </si>
  <si>
    <t>1215 OAKTON LN</t>
  </si>
  <si>
    <t>1219 OAKTON LN</t>
  </si>
  <si>
    <t>716 MARIGOLD CT</t>
  </si>
  <si>
    <t>1191 OAKTON LN</t>
  </si>
  <si>
    <t>1187 OAKTON LN</t>
  </si>
  <si>
    <t>1203 OAKTON LN</t>
  </si>
  <si>
    <t>1179 OAKTON LN</t>
  </si>
  <si>
    <t>1183 OAKTON LN</t>
  </si>
  <si>
    <t>1251 OAKTON LN</t>
  </si>
  <si>
    <t>1247 OAKTON LN</t>
  </si>
  <si>
    <t>2112 JESSICA CT</t>
  </si>
  <si>
    <t>1151 LAKEWOOD CIR</t>
  </si>
  <si>
    <t>835 VIOLET CIR</t>
  </si>
  <si>
    <t>2004 MAPLEWOOD CIR</t>
  </si>
  <si>
    <t>945 ELM ST</t>
  </si>
  <si>
    <t>928 ELM ST</t>
  </si>
  <si>
    <t>1004 PRAIRIE VIEW CT</t>
  </si>
  <si>
    <t>2231 PERIWINKLE LN</t>
  </si>
  <si>
    <t>941 ELM ST</t>
  </si>
  <si>
    <t>2088 MAPLEWOOD CIR</t>
  </si>
  <si>
    <t>1112 MALLORY CT</t>
  </si>
  <si>
    <t>725 SMALL CT</t>
  </si>
  <si>
    <t>904 MATTHEW CT</t>
  </si>
  <si>
    <t>1313 OAKTON LN</t>
  </si>
  <si>
    <t>1305 OAKTON LN</t>
  </si>
  <si>
    <t>1309 OAKTON LN</t>
  </si>
  <si>
    <t>2115 FELDOTT LN</t>
  </si>
  <si>
    <t>2104 COUNTRY LAKES DR</t>
  </si>
  <si>
    <t>924 ELM ST</t>
  </si>
  <si>
    <t>953 ELM CT</t>
  </si>
  <si>
    <t>961 ELM CT</t>
  </si>
  <si>
    <t>957 ELM CT</t>
  </si>
  <si>
    <t>1230 OAKTON LN</t>
  </si>
  <si>
    <t>913 RIVER RD</t>
  </si>
  <si>
    <t>1221 ARDMORE DR</t>
  </si>
  <si>
    <t>1264 ASHTON LN</t>
  </si>
  <si>
    <t>863 PLAINFIELD NAPER</t>
  </si>
  <si>
    <t>1208 ARDMORE DR</t>
  </si>
  <si>
    <t>968 ELM CT</t>
  </si>
  <si>
    <t>1233 ARDMORE DR</t>
  </si>
  <si>
    <t>960 ELM CT</t>
  </si>
  <si>
    <t>1217 ARDMORE DR</t>
  </si>
  <si>
    <t>1209 ARDMORE DR</t>
  </si>
  <si>
    <t>859 PLNFLD-NAPER RD</t>
  </si>
  <si>
    <t>929 ELM ST</t>
  </si>
  <si>
    <t>1164 ARDMORE DR</t>
  </si>
  <si>
    <t>909 RIVER RD</t>
  </si>
  <si>
    <t>1244 ASHTON LN</t>
  </si>
  <si>
    <t>1222 OAKTON LN</t>
  </si>
  <si>
    <t>877 PLNFLD-NAPER RD</t>
  </si>
  <si>
    <t>1240 ASHTON LN</t>
  </si>
  <si>
    <t>1260 ASHTON LN</t>
  </si>
  <si>
    <t>912 ELM ST</t>
  </si>
  <si>
    <t>904 ELM ST</t>
  </si>
  <si>
    <t>855 PLAINFIELD NAPER</t>
  </si>
  <si>
    <t>1200 ARDMORE DR</t>
  </si>
  <si>
    <t>1234 OAKTON LN</t>
  </si>
  <si>
    <t>1245 ASHTON LN</t>
  </si>
  <si>
    <t>1162 ARDMORE DR</t>
  </si>
  <si>
    <t>904 RIVER RD</t>
  </si>
  <si>
    <t>1229 ARDMORE DR</t>
  </si>
  <si>
    <t>908 ELM ST</t>
  </si>
  <si>
    <t>1205 ARDMORE DR</t>
  </si>
  <si>
    <t>1552 OSWEGO RD</t>
  </si>
  <si>
    <t>1201 ARDMORE DR</t>
  </si>
  <si>
    <t>1226 OAKTON LN</t>
  </si>
  <si>
    <t>1158 ARDMORE DR</t>
  </si>
  <si>
    <t>1168 ARDMORE DR</t>
  </si>
  <si>
    <t>1218 OAKTON LN</t>
  </si>
  <si>
    <t>1214 OAKTON LN</t>
  </si>
  <si>
    <t>1225 ARDMORE DR</t>
  </si>
  <si>
    <t>1204 ARDMORE DR</t>
  </si>
  <si>
    <t>1213 ARDMORE DR</t>
  </si>
  <si>
    <t>964 ELM CT</t>
  </si>
  <si>
    <t>1202 OAKTON LN</t>
  </si>
  <si>
    <t>1190 OAKTON LN</t>
  </si>
  <si>
    <t>1210 OAKTON LN</t>
  </si>
  <si>
    <t>1169 ARDMORE DR</t>
  </si>
  <si>
    <t>1241 ASHTON LN</t>
  </si>
  <si>
    <t>1165 ARDMORE DR</t>
  </si>
  <si>
    <t>956 ELM CT</t>
  </si>
  <si>
    <t>1261 ASHTON LN</t>
  </si>
  <si>
    <t>1186 OAKTON LN</t>
  </si>
  <si>
    <t>1206 OAKTON LN</t>
  </si>
  <si>
    <t>1161 ARDMORE DR</t>
  </si>
  <si>
    <t>1739 NAPOLEON DR</t>
  </si>
  <si>
    <t>2304 PERIWINKLE CT</t>
  </si>
  <si>
    <t>2128 COUNTRY LAKES DR</t>
  </si>
  <si>
    <t>2004 BUNKER CIR</t>
  </si>
  <si>
    <t>2012 CHANG CT</t>
  </si>
  <si>
    <t>920 MATTHEW CT</t>
  </si>
  <si>
    <t>2058 BUNKER CIR</t>
  </si>
  <si>
    <t>856 WOODEWIND DR</t>
  </si>
  <si>
    <t>2107 JESSICA CT</t>
  </si>
  <si>
    <t>2008 MAPLEWOOD CIR</t>
  </si>
  <si>
    <t>1104 MALLORY CT</t>
  </si>
  <si>
    <t>2068 MAPLEWOOD CIR</t>
  </si>
  <si>
    <t>2100 COUNTRY LAKES DR</t>
  </si>
  <si>
    <t>2103 JESSICA CT</t>
  </si>
  <si>
    <t>603 WILDFLOWER CT</t>
  </si>
  <si>
    <t>2052 MAPLEWOOD CIR</t>
  </si>
  <si>
    <t>404 BOURBON LN</t>
  </si>
  <si>
    <t>907 JOAN CT</t>
  </si>
  <si>
    <t>704 BONESET CT</t>
  </si>
  <si>
    <t>763 VIOLET CIR</t>
  </si>
  <si>
    <t>2062 BUNKER CIR</t>
  </si>
  <si>
    <t>2066 BUNKER CIR</t>
  </si>
  <si>
    <t>1932 CROSSING CT</t>
  </si>
  <si>
    <t>608 AZALEA CT</t>
  </si>
  <si>
    <t>1724 COACH DR</t>
  </si>
  <si>
    <t>1120 MALLORY CT</t>
  </si>
  <si>
    <t>2048 MAPLEWOOD CIR</t>
  </si>
  <si>
    <t>2044 MAPLEWOOD CIR</t>
  </si>
  <si>
    <t>2084 MAPLEWOOD CIR</t>
  </si>
  <si>
    <t>2080 MAPLEWOOD CIR</t>
  </si>
  <si>
    <t>2072 MAPLEWOOD CIR</t>
  </si>
  <si>
    <t>2076 MAPLEWOOD CIR</t>
  </si>
  <si>
    <t>2016 MAPLEWOOD CIR</t>
  </si>
  <si>
    <t>2024 MAPLEWOOD CIR</t>
  </si>
  <si>
    <t>2012 MAPLEWOOD CIR</t>
  </si>
  <si>
    <t>2020 MAPLEWOOD CIR</t>
  </si>
  <si>
    <t>2124 COUNTRY LAKES DR</t>
  </si>
  <si>
    <t>2120 COUNTRY LAKES DR</t>
  </si>
  <si>
    <t>2064 MAPLEWOOD CIR</t>
  </si>
  <si>
    <t>1208 ANDRIA CT</t>
  </si>
  <si>
    <t>503 URSULINE AVE</t>
  </si>
  <si>
    <t>1212 ANDRIA CT</t>
  </si>
  <si>
    <t>1104 NATALIE CT</t>
  </si>
  <si>
    <t>1615 LOIS ANN LN</t>
  </si>
  <si>
    <t>1720 CHALMETTE CT</t>
  </si>
  <si>
    <t>1009 MANDALAY CT</t>
  </si>
  <si>
    <t>464 BOURBON LN</t>
  </si>
  <si>
    <t>1675 HINTERLONG LN</t>
  </si>
  <si>
    <t>2012 THREE FARMS AVE</t>
  </si>
  <si>
    <t>2140 COUNTRY LAKES DR</t>
  </si>
  <si>
    <t>959 CAMPBELL RD</t>
  </si>
  <si>
    <t>1001 CAMPBELL DR</t>
  </si>
  <si>
    <t>963 CAMPBELL DR</t>
  </si>
  <si>
    <t>2136 COUNTRY LAKES DR</t>
  </si>
  <si>
    <t>2132 COUNTRY LAKES DR</t>
  </si>
  <si>
    <t>1216 SAMUEL CT</t>
  </si>
  <si>
    <t>2007 CHANG CT</t>
  </si>
  <si>
    <t>2003 CHANG CT</t>
  </si>
  <si>
    <t>2116 COUNTRY LAKES DR</t>
  </si>
  <si>
    <t>1043 LAKEWOOD CIR</t>
  </si>
  <si>
    <t>1740 NAPOLEON DR</t>
  </si>
  <si>
    <t>1667 HINTERLONG LN</t>
  </si>
  <si>
    <t>1115 NATALIE CT</t>
  </si>
  <si>
    <t>760 WILDFLOWER CIR</t>
  </si>
  <si>
    <t>1591 LOIS ANN LN</t>
  </si>
  <si>
    <t>2315 PERIWINKLE CT</t>
  </si>
  <si>
    <t>511 BOURBON LN</t>
  </si>
  <si>
    <t>512 BOURBON LN</t>
  </si>
  <si>
    <t>2303 PERIWINKLE CT</t>
  </si>
  <si>
    <t>1698 LISA CT</t>
  </si>
  <si>
    <t>2116 JESSICA CT</t>
  </si>
  <si>
    <t>1256 LAKEWOOD CIR</t>
  </si>
  <si>
    <t>1111 NATALIE CT</t>
  </si>
  <si>
    <t>1156 DICKENS AVE</t>
  </si>
  <si>
    <t>709 SMALL CT</t>
  </si>
  <si>
    <t>1123 HANNAH CT</t>
  </si>
  <si>
    <t>1152 DICKENS AVE</t>
  </si>
  <si>
    <t>712 STACIE CT</t>
  </si>
  <si>
    <t>1179 LAKEWOOD CIR</t>
  </si>
  <si>
    <t>712 MARIGOLD CT</t>
  </si>
  <si>
    <t>1904 CROSSING CT</t>
  </si>
  <si>
    <t>704 MIKE CT</t>
  </si>
  <si>
    <t>1903 CROSSING CT</t>
  </si>
  <si>
    <t>1204 SAMUEL CT</t>
  </si>
  <si>
    <t>1128 DICKENS AVE</t>
  </si>
  <si>
    <t>1132 DICKENS AVE</t>
  </si>
  <si>
    <t>1136 DICKENS AVE</t>
  </si>
  <si>
    <t>1108 DICKENS AVE</t>
  </si>
  <si>
    <t>1140 DICKENS AVE</t>
  </si>
  <si>
    <t>2027 THREE FARMS AVE</t>
  </si>
  <si>
    <t>1124 DICKENS AVE</t>
  </si>
  <si>
    <t>1112 DICKENS AVE</t>
  </si>
  <si>
    <t>859 VIOLET CIR</t>
  </si>
  <si>
    <t>611 CARAWAY CT</t>
  </si>
  <si>
    <t>1104 WILLARD CT</t>
  </si>
  <si>
    <t>2136 PERIWINKLE LN</t>
  </si>
  <si>
    <t>2303 THREE FARMS AVE</t>
  </si>
  <si>
    <t>1219 ANDRIA CT</t>
  </si>
  <si>
    <t>1223 ANDRIA CT</t>
  </si>
  <si>
    <t>1224 ANDRIA CT</t>
  </si>
  <si>
    <t>611 AZALEA CT</t>
  </si>
  <si>
    <t>779 VIOLET CIR</t>
  </si>
  <si>
    <t>1220 LAKEWOOD CIR</t>
  </si>
  <si>
    <t>1227 LAKEWOOD CIR</t>
  </si>
  <si>
    <t>2055 SCHUMACHER DR</t>
  </si>
  <si>
    <t>2211 FELDOTT LN</t>
  </si>
  <si>
    <t>805 ANTHONY CT</t>
  </si>
  <si>
    <t>755 WILDFLOWER CIR</t>
  </si>
  <si>
    <t>1699 LISA CT</t>
  </si>
  <si>
    <t>516 BOURBON LN</t>
  </si>
  <si>
    <t>2011 CHANG CT</t>
  </si>
  <si>
    <t>727 WILDFLOWER CIR</t>
  </si>
  <si>
    <t>1686 LISA CT</t>
  </si>
  <si>
    <t>705 MIKE CT</t>
  </si>
  <si>
    <t>701 SMALL CT</t>
  </si>
  <si>
    <t>2119 JESSICA CT</t>
  </si>
  <si>
    <t>1908 CROSSING CT</t>
  </si>
  <si>
    <t>1176 LAKEWOOD CIR</t>
  </si>
  <si>
    <t>2103 PERIWINKLE LN</t>
  </si>
  <si>
    <t>2315 FELDOTT LN</t>
  </si>
  <si>
    <t>1911 CROSSING CT</t>
  </si>
  <si>
    <t>703 MARIGOLD CT</t>
  </si>
  <si>
    <t>1267 LAKEWOOD CIR</t>
  </si>
  <si>
    <t>2004 CHANG CT</t>
  </si>
  <si>
    <t>727 WOODEWIND DR</t>
  </si>
  <si>
    <t>709 MIKE CT</t>
  </si>
  <si>
    <t>459 BOURBON LN</t>
  </si>
  <si>
    <t>655 WINTERGREEN CIR</t>
  </si>
  <si>
    <t>1695 LISA CT</t>
  </si>
  <si>
    <t>860 VIOLET CIR</t>
  </si>
  <si>
    <t>728 SMALL CT</t>
  </si>
  <si>
    <t>703 BONESET CT</t>
  </si>
  <si>
    <t>936 MATTHEW CT</t>
  </si>
  <si>
    <t>612 CARAWAY CT</t>
  </si>
  <si>
    <t>1027 BURKE CT</t>
  </si>
  <si>
    <t>603 WINTERGREEN CIR</t>
  </si>
  <si>
    <t>1594 HINTERLONG LN</t>
  </si>
  <si>
    <t>831 VIOLET CIR</t>
  </si>
  <si>
    <t>1691 LISA CT</t>
  </si>
  <si>
    <t>904 JOAN CT</t>
  </si>
  <si>
    <t>1220 ANDRIA CT</t>
  </si>
  <si>
    <t>1003 LAKEWOOD CIR</t>
  </si>
  <si>
    <t>667 WINTERGREEN CIR</t>
  </si>
  <si>
    <t>1923 CROSSING CT</t>
  </si>
  <si>
    <t>1642 LOIS ANN LN</t>
  </si>
  <si>
    <t>927 LOWELL LN</t>
  </si>
  <si>
    <t>1203 ANDRIA CT</t>
  </si>
  <si>
    <t>2063 SCHUMACHER DR</t>
  </si>
  <si>
    <t>1671 HINTERLONG LN</t>
  </si>
  <si>
    <t>1744 NAPOLEON DR</t>
  </si>
  <si>
    <t>844 VIOLET CIR</t>
  </si>
  <si>
    <t>791 WILDFLOWER CIR</t>
  </si>
  <si>
    <t>2151 SCHUMACHER DR</t>
  </si>
  <si>
    <t>1916 CROSSING CT</t>
  </si>
  <si>
    <t>1561 HINTERLONG LN</t>
  </si>
  <si>
    <t>626 E 5TH AVE</t>
  </si>
  <si>
    <t>1640 TERRI CIR</t>
  </si>
  <si>
    <t>703 VIOLET CIR</t>
  </si>
  <si>
    <t>1120 HANNAH CT</t>
  </si>
  <si>
    <t>2060 CROSSING LN</t>
  </si>
  <si>
    <t>1147 LAKEWOOD CIR</t>
  </si>
  <si>
    <t>708 STACIE CT</t>
  </si>
  <si>
    <t>808 ANTHONY CT</t>
  </si>
  <si>
    <t>1255 LAKEWOOD CIR</t>
  </si>
  <si>
    <t>472 BOURBON LN</t>
  </si>
  <si>
    <t>624 WINTERGREEN CIR</t>
  </si>
  <si>
    <t>713 STACIE CT</t>
  </si>
  <si>
    <t>1716 CHALMETTE CT</t>
  </si>
  <si>
    <t>507 BOURBON LN</t>
  </si>
  <si>
    <t>756 WILDFLOWER CIR</t>
  </si>
  <si>
    <t>704 MARIGOLD CT</t>
  </si>
  <si>
    <t>2107 PERIWINKLE LN</t>
  </si>
  <si>
    <t>636 WINTERGREEN CIR</t>
  </si>
  <si>
    <t>672 WINTERGREEN CIR</t>
  </si>
  <si>
    <t>664 WINTERGREEN CIR</t>
  </si>
  <si>
    <t>709 STACIE CT</t>
  </si>
  <si>
    <t>1573 HINTERLONG LN</t>
  </si>
  <si>
    <t>2308 JONQUIL CT</t>
  </si>
  <si>
    <t>2175 SCHUMACHER LN</t>
  </si>
  <si>
    <t>1203 SAMUEL CT</t>
  </si>
  <si>
    <t>2176 SCHUMACHER LN</t>
  </si>
  <si>
    <t>1633 LOIS ANN LN</t>
  </si>
  <si>
    <t>1112 WILLARD CT</t>
  </si>
  <si>
    <t>656 WINTERGREEN CIR</t>
  </si>
  <si>
    <t>1044 LAKEWOOD CIR</t>
  </si>
  <si>
    <t>2119 FELDOTT LN</t>
  </si>
  <si>
    <t>1756 NAPOLEON DR</t>
  </si>
  <si>
    <t>1767 NAPOLEON DR</t>
  </si>
  <si>
    <t>671 WINTERGREEN CIR</t>
  </si>
  <si>
    <t>1139 LAKEWOOD CIR</t>
  </si>
  <si>
    <t>759 VIOLET CIR</t>
  </si>
  <si>
    <t>2147 FELDOTT LN</t>
  </si>
  <si>
    <t>704 STACIE CT</t>
  </si>
  <si>
    <t>752 WILDFLOWER CIR</t>
  </si>
  <si>
    <t>691 WINTERGREEN CIR</t>
  </si>
  <si>
    <t>1634 HINTERLONG LN</t>
  </si>
  <si>
    <t>1590 LOIS ANN LN</t>
  </si>
  <si>
    <t>1711 CHALMETTE CT</t>
  </si>
  <si>
    <t>452 BOURBON LN</t>
  </si>
  <si>
    <t>1004 MEAGAN CT</t>
  </si>
  <si>
    <t>1819 RAMPART CT</t>
  </si>
  <si>
    <t>2027 SCHUMACHER LN</t>
  </si>
  <si>
    <t>2020 CROSSING LN</t>
  </si>
  <si>
    <t>615 CARAWAY CT</t>
  </si>
  <si>
    <t>2103 SCHUMACHER LN</t>
  </si>
  <si>
    <t>1204 LAKEWOOD CIR</t>
  </si>
  <si>
    <t>1628 TERRI CIR</t>
  </si>
  <si>
    <t>1268 LAKEWOOD CIR</t>
  </si>
  <si>
    <t>2063 CROSSING LN</t>
  </si>
  <si>
    <t>912 MATTHEW CT</t>
  </si>
  <si>
    <t>1611 LOIS ANN LN</t>
  </si>
  <si>
    <t>1284 LAKEWOOD CIR</t>
  </si>
  <si>
    <t>2123 PERIWINKLE LN</t>
  </si>
  <si>
    <t>2403 ORCHID CT</t>
  </si>
  <si>
    <t>855 VIOLET CIR</t>
  </si>
  <si>
    <t>2212 PERIWINKLE LN</t>
  </si>
  <si>
    <t>724 WILDFLOWER CIR</t>
  </si>
  <si>
    <t>503 BOURBON LN</t>
  </si>
  <si>
    <t>2152 FELDOTT LN</t>
  </si>
  <si>
    <t>801 ANTHONY CT</t>
  </si>
  <si>
    <t>717 SMALL CT</t>
  </si>
  <si>
    <t>2172 SCHUMACHER LN</t>
  </si>
  <si>
    <t>728 WILDFLOWER CIR</t>
  </si>
  <si>
    <t>2027 CROSSING LN</t>
  </si>
  <si>
    <t>2111 JESSICA CT</t>
  </si>
  <si>
    <t>787 WILDFLOWER CIR</t>
  </si>
  <si>
    <t>2167 SCHUMACHER DR</t>
  </si>
  <si>
    <t>1752 NAPOLEON DR</t>
  </si>
  <si>
    <t>803 VIOLET CIR</t>
  </si>
  <si>
    <t>2148 FELDOTT LN</t>
  </si>
  <si>
    <t>2004 SCHUMACHER LN</t>
  </si>
  <si>
    <t>707 BONESET CT</t>
  </si>
  <si>
    <t>1593 HINTERLONG LN</t>
  </si>
  <si>
    <t>1674 HINTERLONG LN</t>
  </si>
  <si>
    <t>1107 LAKEWOOD CIR</t>
  </si>
  <si>
    <t>1639 TERRI CIR</t>
  </si>
  <si>
    <t>2155 SCHUMACHER DR</t>
  </si>
  <si>
    <t>1920 CROSSING CT</t>
  </si>
  <si>
    <t>2003 SCHUMACHER LN</t>
  </si>
  <si>
    <t>935 MATTHEW CT</t>
  </si>
  <si>
    <t>723 WILDFLOWER CIR</t>
  </si>
  <si>
    <t>1215 ADRIA CT</t>
  </si>
  <si>
    <t>731 WILDFLOWER CIR</t>
  </si>
  <si>
    <t>2040 SCHUMACHER DR</t>
  </si>
  <si>
    <t>800 ANTHONY CT</t>
  </si>
  <si>
    <t>1755 NAPOLEON DR</t>
  </si>
  <si>
    <t>1216 ANDRIA CT</t>
  </si>
  <si>
    <t>1811 RAMPART CT</t>
  </si>
  <si>
    <t>1052 SELMA LN</t>
  </si>
  <si>
    <t>2156 FELDOTT LN</t>
  </si>
  <si>
    <t>475 BOURBON LN</t>
  </si>
  <si>
    <t>704 WILDFLOWER CIR</t>
  </si>
  <si>
    <t>2128 PERIWINKLE LN</t>
  </si>
  <si>
    <t>1132 HANNAH CT</t>
  </si>
  <si>
    <t>1804 RAMPART CT</t>
  </si>
  <si>
    <t>1748 NAPOLEON DR</t>
  </si>
  <si>
    <t>1912 CROSSING CT</t>
  </si>
  <si>
    <t>751 WILDFLOWER CIR</t>
  </si>
  <si>
    <t>1633 HINTERLONG LN</t>
  </si>
  <si>
    <t>775 WILDFLOWER CIR</t>
  </si>
  <si>
    <t>716 WILDFLOWER CIR</t>
  </si>
  <si>
    <t>1739 CHALMETTE CT</t>
  </si>
  <si>
    <t>1768 COACH DR</t>
  </si>
  <si>
    <t>1740 CHALMETTE CT</t>
  </si>
  <si>
    <t>1620 TERRI CIR</t>
  </si>
  <si>
    <t>783 WILDFLOWER CIR</t>
  </si>
  <si>
    <t>732 WILDFLOWER CIR</t>
  </si>
  <si>
    <t>2127 PERIWINKLE LN</t>
  </si>
  <si>
    <t>796 WILDFLOWER CIR</t>
  </si>
  <si>
    <t>779 WILDFLOWER CIR</t>
  </si>
  <si>
    <t>1051 LAKEWOOD CIR</t>
  </si>
  <si>
    <t>1203 LAKEWOOD CIR</t>
  </si>
  <si>
    <t>659 WINTERGREEN CIR</t>
  </si>
  <si>
    <t>916 MATTHEW CT</t>
  </si>
  <si>
    <t>1638 LOIS ANN LN</t>
  </si>
  <si>
    <t>1228 LAKEWOOD CIR</t>
  </si>
  <si>
    <t>1208 SAMUEL CT</t>
  </si>
  <si>
    <t>663 WINTERGREEN CIR</t>
  </si>
  <si>
    <t>2119 PERIWINKLE LN</t>
  </si>
  <si>
    <t>1128 LAKEWOOD CIR</t>
  </si>
  <si>
    <t>912 LOWELL LN</t>
  </si>
  <si>
    <t>1135 SELMA LN</t>
  </si>
  <si>
    <t>1116 MALLORY CT</t>
  </si>
  <si>
    <t>1108 WILLARD CT</t>
  </si>
  <si>
    <t>1028 LAKEWOOD CIR</t>
  </si>
  <si>
    <t>604 WINTERGREEN CIR</t>
  </si>
  <si>
    <t>1003 MEAGAN CT</t>
  </si>
  <si>
    <t>471 BOURBON LN</t>
  </si>
  <si>
    <t>1023 MEAGAN CT</t>
  </si>
  <si>
    <t>1131 HANNAH CT</t>
  </si>
  <si>
    <t>1577 HINTERLONG LN</t>
  </si>
  <si>
    <t>708 BONESET CIR</t>
  </si>
  <si>
    <t>939 LOWELL LN</t>
  </si>
  <si>
    <t>1581 HINTERLONG LN</t>
  </si>
  <si>
    <t>1135 LAKEWOOD CIR</t>
  </si>
  <si>
    <t>1661 HINTERLONG LN</t>
  </si>
  <si>
    <t>1807 RAMPART CT</t>
  </si>
  <si>
    <t>1063 SELMA LN</t>
  </si>
  <si>
    <t>1636 TERRI CIR</t>
  </si>
  <si>
    <t>1116 NATALIE CT</t>
  </si>
  <si>
    <t>2011 CROSSING LN</t>
  </si>
  <si>
    <t>675 WINTERGREEN CIR</t>
  </si>
  <si>
    <t>1751 NAPOLEON DR</t>
  </si>
  <si>
    <t>2111 PERIWINKLE LN</t>
  </si>
  <si>
    <t>651 WINTERGREEN CIR</t>
  </si>
  <si>
    <t>932 LOWELL LN</t>
  </si>
  <si>
    <t>680 WINTERGREEN CIR</t>
  </si>
  <si>
    <t>1119 MALLORY CT</t>
  </si>
  <si>
    <t>1112 SELMA LN</t>
  </si>
  <si>
    <t>1051 SANCTUARY LN</t>
  </si>
  <si>
    <t>2019 CROSSING LN</t>
  </si>
  <si>
    <t>1128 SELMA LN</t>
  </si>
  <si>
    <t>923 LOWELL LN</t>
  </si>
  <si>
    <t>507 URSULINE AVE</t>
  </si>
  <si>
    <t>1615 TERRI CIR</t>
  </si>
  <si>
    <t>1928 CROSSING CT</t>
  </si>
  <si>
    <t>1603 TERRI CIR</t>
  </si>
  <si>
    <t>1140 LAKEWOOD CIR</t>
  </si>
  <si>
    <t>1059 SELMA LN</t>
  </si>
  <si>
    <t>467 BOURBON LN</t>
  </si>
  <si>
    <t>2311 THREE FARMS AVE</t>
  </si>
  <si>
    <t>1654 HINTERLONG LN</t>
  </si>
  <si>
    <t>2028 CROSSING LN</t>
  </si>
  <si>
    <t>1156 LAKEWOOD CIR</t>
  </si>
  <si>
    <t>408 BOURBON LN</t>
  </si>
  <si>
    <t>2115 PERIWINKLE LN</t>
  </si>
  <si>
    <t>1040 SANCTUARY LN</t>
  </si>
  <si>
    <t>1155 LAKEWOOD CIR</t>
  </si>
  <si>
    <t>2127 SCHUMACHER LN</t>
  </si>
  <si>
    <t>1724 CHALMETTE CT</t>
  </si>
  <si>
    <t>747 WILDFLOWER CIR</t>
  </si>
  <si>
    <t>1107 WILLARD CT</t>
  </si>
  <si>
    <t>1607 LOIS ANN LN</t>
  </si>
  <si>
    <t>1231 LAKEWOOD CIR</t>
  </si>
  <si>
    <t>743 WILDFLOWER CIR</t>
  </si>
  <si>
    <t>1039 LAKEWOOD CIR</t>
  </si>
  <si>
    <t>2003 CROSSING LN</t>
  </si>
  <si>
    <t>1172 LAKEWOOD CIR</t>
  </si>
  <si>
    <t>1619 TERRI CIR</t>
  </si>
  <si>
    <t>1595 LOIS ANN LN</t>
  </si>
  <si>
    <t>1662 HINTERLONG LN</t>
  </si>
  <si>
    <t>2104 PERIWINKLE LN</t>
  </si>
  <si>
    <t>1047 SANCTUARY LN</t>
  </si>
  <si>
    <t>1630 HINTERLONG LN</t>
  </si>
  <si>
    <t>2140 FELDOTT LN</t>
  </si>
  <si>
    <t>1047 LAKEWOOD CIR</t>
  </si>
  <si>
    <t>679 WINTERGREEN CIR</t>
  </si>
  <si>
    <t>804 BRUNO CT</t>
  </si>
  <si>
    <t>1120 NATALIE CT</t>
  </si>
  <si>
    <t>1207 SAMUEL CT</t>
  </si>
  <si>
    <t>755 VIOLET CIR</t>
  </si>
  <si>
    <t>911 MATTHEW CT</t>
  </si>
  <si>
    <t>1032 LAKEWOOD CIR</t>
  </si>
  <si>
    <t>1924 CROSSING CT</t>
  </si>
  <si>
    <t>2024 CROSSING LN</t>
  </si>
  <si>
    <t>463 BOURBON LN</t>
  </si>
  <si>
    <t>1599 LOIS ANN LN</t>
  </si>
  <si>
    <t>1243 LAKEWOOD CIR</t>
  </si>
  <si>
    <t>1239 LAKEWOOD CIR</t>
  </si>
  <si>
    <t>1235 LAKEWOOD CIR</t>
  </si>
  <si>
    <t>1623 TERRI CIR</t>
  </si>
  <si>
    <t>811 VIOLET CIR</t>
  </si>
  <si>
    <t>807 VIOLET CIR</t>
  </si>
  <si>
    <t>1020 MEAGAN CT</t>
  </si>
  <si>
    <t>815 VIOLET CIR</t>
  </si>
  <si>
    <t>819 VIOLET CIR</t>
  </si>
  <si>
    <t>1007 LAKEWOOD CIR</t>
  </si>
  <si>
    <t>705 SMALL CT</t>
  </si>
  <si>
    <t>2307 THREE FARMS AVE</t>
  </si>
  <si>
    <t>2220 FELDOTT LN</t>
  </si>
  <si>
    <t>2159 SCHUMACHER LN</t>
  </si>
  <si>
    <t>2407 THREE FARMS AVE</t>
  </si>
  <si>
    <t>1067 SELMA LN</t>
  </si>
  <si>
    <t>2131 PERIWINKLE LN</t>
  </si>
  <si>
    <t>1211 ANDRIA CT</t>
  </si>
  <si>
    <t>2116 SCHUMACHER LN</t>
  </si>
  <si>
    <t>2128 SCHUMACHER DR</t>
  </si>
  <si>
    <t>1743 NAPOLEON DR</t>
  </si>
  <si>
    <t>2120 SCHUMACHER LN</t>
  </si>
  <si>
    <t>2124 SCHUMACHER LN</t>
  </si>
  <si>
    <t>1091 SELMA LN</t>
  </si>
  <si>
    <t>2216 FELDOTT LN</t>
  </si>
  <si>
    <t>1064 SELMA LN</t>
  </si>
  <si>
    <t>1622 LOIS ANN LN</t>
  </si>
  <si>
    <t>1747 NAPOLEON DR</t>
  </si>
  <si>
    <t>1212 SAMUEL CT</t>
  </si>
  <si>
    <t>1159 LAKEWOOD CIR</t>
  </si>
  <si>
    <t>2120 PERIWINKLE LN</t>
  </si>
  <si>
    <t>1627 TERRI CIR</t>
  </si>
  <si>
    <t>2015 CROSSING LN</t>
  </si>
  <si>
    <t>707 VIOLET CIR</t>
  </si>
  <si>
    <t>727 VIOLET CIR</t>
  </si>
  <si>
    <t>715 VIOLET CIR</t>
  </si>
  <si>
    <t>731 VIOLET CIR</t>
  </si>
  <si>
    <t>735 VIOLET CIR</t>
  </si>
  <si>
    <t>711 VIOLET CIR</t>
  </si>
  <si>
    <t>2139 SCHUMACHER DR</t>
  </si>
  <si>
    <t>2123 FELDOTT LN</t>
  </si>
  <si>
    <t>1760 NAPOLEON DR</t>
  </si>
  <si>
    <t>644 WINTERGREEN CIR</t>
  </si>
  <si>
    <t>2307 PERIWINKLE CT</t>
  </si>
  <si>
    <t>1618 LOIS ANN LN</t>
  </si>
  <si>
    <t>2143 FELDOTT LN</t>
  </si>
  <si>
    <t>1012 LAKEWOOD CIR</t>
  </si>
  <si>
    <t>1175 LAKEWOOD CIR</t>
  </si>
  <si>
    <t>1020 LAKEWOOD CIR</t>
  </si>
  <si>
    <t>1024 LAKEWOOD CIR</t>
  </si>
  <si>
    <t>1759 NAPOLEON DR</t>
  </si>
  <si>
    <t>1016 LAKEWOOD CIR</t>
  </si>
  <si>
    <t>1643 TERRI CIR</t>
  </si>
  <si>
    <t>2143 SCHUMACHER LN</t>
  </si>
  <si>
    <t>520 BOURBON LN</t>
  </si>
  <si>
    <t>1603 LOIS ANN LN</t>
  </si>
  <si>
    <t>771 WILDFLOWER CIR</t>
  </si>
  <si>
    <t>2224 FELDOTT LN</t>
  </si>
  <si>
    <t>1614 LOIS ANN LN</t>
  </si>
  <si>
    <t>1631 TERRI CIR</t>
  </si>
  <si>
    <t>2119 SCHUMACHER LN</t>
  </si>
  <si>
    <t>1060 SELMA LN</t>
  </si>
  <si>
    <t>1614 HINTERLONG LN</t>
  </si>
  <si>
    <t>1606 HINTERLONG LN</t>
  </si>
  <si>
    <t>1211 SAMUEL CT</t>
  </si>
  <si>
    <t>1602 HINTERLONG LN</t>
  </si>
  <si>
    <t>1610 HINTERLONG LN</t>
  </si>
  <si>
    <t>1618 HINTERLONG LN</t>
  </si>
  <si>
    <t>1598 HINTERLONG LN</t>
  </si>
  <si>
    <t>701 STACIE CT</t>
  </si>
  <si>
    <t>708 VIOLET CIR</t>
  </si>
  <si>
    <t>2307 JONQUIL CT</t>
  </si>
  <si>
    <t>2111 SCHUMACHER DR</t>
  </si>
  <si>
    <t>2112 PERIWINKLE LN</t>
  </si>
  <si>
    <t>1111 SELMA LN</t>
  </si>
  <si>
    <t>1024 MEAGAN CT</t>
  </si>
  <si>
    <t>1115 SELMA LN</t>
  </si>
  <si>
    <t>1635 TERRI CIR</t>
  </si>
  <si>
    <t>1240 LAKEWOOD CIR</t>
  </si>
  <si>
    <t>1608 LOIS ANN LN</t>
  </si>
  <si>
    <t>1244 LAKEWOOD CIR</t>
  </si>
  <si>
    <t>919 LOWELL LN</t>
  </si>
  <si>
    <t>611 BOURBON CT</t>
  </si>
  <si>
    <t>1598 LOIS ANN LN</t>
  </si>
  <si>
    <t>1248 LAKEWOOD CIR</t>
  </si>
  <si>
    <t>1276 LAKEWOOD CIR</t>
  </si>
  <si>
    <t>1280 LAKEWOOD CIR</t>
  </si>
  <si>
    <t>511 URSULINE AVE</t>
  </si>
  <si>
    <t>1236 LAKEWOOD CIR</t>
  </si>
  <si>
    <t>2007 CROSSING LN</t>
  </si>
  <si>
    <t>1008 MEAGAN CT</t>
  </si>
  <si>
    <t>1594 LOIS ANN LN</t>
  </si>
  <si>
    <t>1083 SELMA LN</t>
  </si>
  <si>
    <t>1131 LAKEWOOD CIR</t>
  </si>
  <si>
    <t>1607 TERRI CIR</t>
  </si>
  <si>
    <t>784 WILDFLOWER CIR</t>
  </si>
  <si>
    <t>780 WILDFLOWER CIR</t>
  </si>
  <si>
    <t>648 WINTERGREEN CIR</t>
  </si>
  <si>
    <t>1611 TERRI CIR</t>
  </si>
  <si>
    <t>911 LOWELL LN</t>
  </si>
  <si>
    <t>2004 CROSSING LN</t>
  </si>
  <si>
    <t>924 LOWELL LN</t>
  </si>
  <si>
    <t>420 BOURBON LN</t>
  </si>
  <si>
    <t>792 WILDFLOWER CIR</t>
  </si>
  <si>
    <t>1095 SELMA LN</t>
  </si>
  <si>
    <t>1602 LOIS ANN LN</t>
  </si>
  <si>
    <t>744 WILDFLOWER CIR</t>
  </si>
  <si>
    <t>715 WILDFLOWER CIR</t>
  </si>
  <si>
    <t>772 VIOLET CIR</t>
  </si>
  <si>
    <t>2023 THREE FARMS AVE</t>
  </si>
  <si>
    <t>1116 SELMA LN</t>
  </si>
  <si>
    <t>915 LOWELL LN</t>
  </si>
  <si>
    <t>1614 TERRI CIR</t>
  </si>
  <si>
    <t>647 WINTERGREEN CIR</t>
  </si>
  <si>
    <t>780 VIOLET CIR</t>
  </si>
  <si>
    <t>764 VIOLET CIR</t>
  </si>
  <si>
    <t>1212 LAKEWOOD CIR</t>
  </si>
  <si>
    <t>1120 SELMA LN</t>
  </si>
  <si>
    <t>1216 LAKEWOOD CIR</t>
  </si>
  <si>
    <t>1124 SELMA LN</t>
  </si>
  <si>
    <t>1208 LAKEWOOD CIR</t>
  </si>
  <si>
    <t>1715 CHALMETTE CT</t>
  </si>
  <si>
    <t>1634 LOIS ANN LN</t>
  </si>
  <si>
    <t>468 BOURBON LN</t>
  </si>
  <si>
    <t>1087 SELMA LN</t>
  </si>
  <si>
    <t>2012 CROSSING LN</t>
  </si>
  <si>
    <t>1103 SELMA LN</t>
  </si>
  <si>
    <t>1107 SELMA LN</t>
  </si>
  <si>
    <t>856 VIOLET CIR</t>
  </si>
  <si>
    <t>1011 LAKEWOOD CIR</t>
  </si>
  <si>
    <t>2131 SCHUMACHER LN</t>
  </si>
  <si>
    <t>2212 FELDOTT LN</t>
  </si>
  <si>
    <t>805 BRUNO CT</t>
  </si>
  <si>
    <t>1812 RAMPART CT</t>
  </si>
  <si>
    <t>2204 FELDOTT LN</t>
  </si>
  <si>
    <t>1763 NAPOLEON DR</t>
  </si>
  <si>
    <t>1163 LAKEWOOD CIR</t>
  </si>
  <si>
    <t>1048 LAKEWOOD CIR</t>
  </si>
  <si>
    <t>1012 SANCTUARY LN</t>
  </si>
  <si>
    <t>719 WILDFLOWER CIR</t>
  </si>
  <si>
    <t>2059 CROSSING LN</t>
  </si>
  <si>
    <t>1056 SELMA LN</t>
  </si>
  <si>
    <t>907 LOWELL LN</t>
  </si>
  <si>
    <t>424 BOURBON LN</t>
  </si>
  <si>
    <t>2208 FELDOTT LN</t>
  </si>
  <si>
    <t>2055 CROSSING LN</t>
  </si>
  <si>
    <t>2136 FELDOTT LN</t>
  </si>
  <si>
    <t>2051 CROSSING LN</t>
  </si>
  <si>
    <t>2132 FELDOTT LN</t>
  </si>
  <si>
    <t>1036 SANCTUARY LN</t>
  </si>
  <si>
    <t>2039 CROSSING LN</t>
  </si>
  <si>
    <t>916 LOWELL LN</t>
  </si>
  <si>
    <t>2135 SCHUMACHER LN</t>
  </si>
  <si>
    <t>2036 SCHUMACHER DR</t>
  </si>
  <si>
    <t>1207 ANDRIA CT</t>
  </si>
  <si>
    <t>1019 LAKEWOOD CIR</t>
  </si>
  <si>
    <t>2040 CROSSING LN</t>
  </si>
  <si>
    <t>1015 LAKEWOOD CIR</t>
  </si>
  <si>
    <t>2056 CROSSING LN</t>
  </si>
  <si>
    <t>1023 LAKEWOOD CIR</t>
  </si>
  <si>
    <t>2411 THREE FARMS AVE</t>
  </si>
  <si>
    <t>1167 LAKEWOOD CIR</t>
  </si>
  <si>
    <t>1164 LAKEWOOD CIR</t>
  </si>
  <si>
    <t>2044 CROSSING LN</t>
  </si>
  <si>
    <t>1111 LAKEWOOD CIR</t>
  </si>
  <si>
    <t>1168 LAKEWOOD CIR</t>
  </si>
  <si>
    <t>1152 LAKEWOOD CIR</t>
  </si>
  <si>
    <t>1035 LAKEWOOD CIR</t>
  </si>
  <si>
    <t>1127 LAKEWOOD CIR</t>
  </si>
  <si>
    <t>1027 LAKEWOOD CIR</t>
  </si>
  <si>
    <t>2036 CROSSING LN</t>
  </si>
  <si>
    <t>1124 LAKEWOOD CIR</t>
  </si>
  <si>
    <t>2048 CROSSING AVE</t>
  </si>
  <si>
    <t>1120 LAKEWOOD CIR</t>
  </si>
  <si>
    <t>1112 LAKEWOOD CIR</t>
  </si>
  <si>
    <t>1036 LAKEWOOD CIR</t>
  </si>
  <si>
    <t>1116 LAKEWOOD CIR</t>
  </si>
  <si>
    <t>1115 LAKEWOOD CIR</t>
  </si>
  <si>
    <t>1119 LAKEWOOD CIR</t>
  </si>
  <si>
    <t>721 SMALL CT</t>
  </si>
  <si>
    <t>1123 LAKEWOOD CIR</t>
  </si>
  <si>
    <t>2052 CROSSING LN</t>
  </si>
  <si>
    <t>1207 LAKEWOOD CIR</t>
  </si>
  <si>
    <t>1171 LAKEWOOD CIR</t>
  </si>
  <si>
    <t>1608 TERRI CIR</t>
  </si>
  <si>
    <t>1131 SELMA LN</t>
  </si>
  <si>
    <t>740 VIOLET CIR</t>
  </si>
  <si>
    <t>1127 SELMA LN</t>
  </si>
  <si>
    <t>1119 SELMA LN</t>
  </si>
  <si>
    <t>1808 RAMPART CT</t>
  </si>
  <si>
    <t>1732 COACH DR</t>
  </si>
  <si>
    <t>1736 COACH DR</t>
  </si>
  <si>
    <t>1123 SELMA LN</t>
  </si>
  <si>
    <t>1728 CHALMETTE CT</t>
  </si>
  <si>
    <t>428 BOURBON LN</t>
  </si>
  <si>
    <t>1015 MEAGAN CT</t>
  </si>
  <si>
    <t>1019 MEAGAN CT</t>
  </si>
  <si>
    <t>1732 CHALMETTE CT</t>
  </si>
  <si>
    <t>1011 MEAGAN CT</t>
  </si>
  <si>
    <t>1016 SANCTUARY LN</t>
  </si>
  <si>
    <t>432 BOURBON LN</t>
  </si>
  <si>
    <t>2128 FELDOTT LN</t>
  </si>
  <si>
    <t>932 MATTHEW CT</t>
  </si>
  <si>
    <t>1007 MEAGAN CT</t>
  </si>
  <si>
    <t>1020 SANCTUARY LN</t>
  </si>
  <si>
    <t>1028 SANCTUARY LN</t>
  </si>
  <si>
    <t>2308 FELDOTT LN</t>
  </si>
  <si>
    <t>2304 FELDOTT LN</t>
  </si>
  <si>
    <t>1736 CHALMETTE CT</t>
  </si>
  <si>
    <t>2228 FELDOTT LN</t>
  </si>
  <si>
    <t>1032 SANCTUARY LN</t>
  </si>
  <si>
    <t>2312 FELDOTT</t>
  </si>
  <si>
    <t>1024 SANCTUARY LN</t>
  </si>
  <si>
    <t>608 WINTERGREEN CIR</t>
  </si>
  <si>
    <t>736 WILDFLOWER CIR</t>
  </si>
  <si>
    <t>903 LOWELL LN</t>
  </si>
  <si>
    <t>931 MATTHEW CT</t>
  </si>
  <si>
    <t>2059 SCHUMACHER DR</t>
  </si>
  <si>
    <t>927 MATTHEW CT</t>
  </si>
  <si>
    <t>923 MATTHEW CT</t>
  </si>
  <si>
    <t>2012 SCHUMACHER DR</t>
  </si>
  <si>
    <t>2008 SCHUMACHER LN</t>
  </si>
  <si>
    <t>2216 PERIWINKLE LN</t>
  </si>
  <si>
    <t>2028 SCHUMACHER DR</t>
  </si>
  <si>
    <t>919 MATTHEW CT</t>
  </si>
  <si>
    <t>2032 SCHUMACHER LN</t>
  </si>
  <si>
    <t>2024 SCHUMACHER LN</t>
  </si>
  <si>
    <t>915 MATTHEW CT</t>
  </si>
  <si>
    <t>436 BOURBON LN</t>
  </si>
  <si>
    <t>2023 SCHUMACHER LN</t>
  </si>
  <si>
    <t>2019 SCHUMACHER LN</t>
  </si>
  <si>
    <t>2015 SCHUMACHER DR</t>
  </si>
  <si>
    <t>1719 CHALMETTE CT</t>
  </si>
  <si>
    <t>1127 HANNAH CT</t>
  </si>
  <si>
    <t>2008 CROSSING LN</t>
  </si>
  <si>
    <t>2203 PERIWINKLE LN</t>
  </si>
  <si>
    <t>804 VIOLET CIR</t>
  </si>
  <si>
    <t>2127 FELDOTT LN</t>
  </si>
  <si>
    <t>712 WILDFLOWER CIR</t>
  </si>
  <si>
    <t>708 WILDFLOWER CIR</t>
  </si>
  <si>
    <t>2139 FELDOTT LN</t>
  </si>
  <si>
    <t>1748 COACH DR</t>
  </si>
  <si>
    <t>1764 COACH DR</t>
  </si>
  <si>
    <t>1735 CHALMETTE CT</t>
  </si>
  <si>
    <t>1731 CHALMETTE CT</t>
  </si>
  <si>
    <t>1760 COACH DR</t>
  </si>
  <si>
    <t>1740 COACH DR</t>
  </si>
  <si>
    <t>1723 CHALMETTE CT</t>
  </si>
  <si>
    <t>1752 COACH DR</t>
  </si>
  <si>
    <t>1744 COACH DR</t>
  </si>
  <si>
    <t>1727 CHALMETTE CT</t>
  </si>
  <si>
    <t>1756 COACH DR</t>
  </si>
  <si>
    <t>840 VIOLET CIR</t>
  </si>
  <si>
    <t>2147 PERIWINKLE LN</t>
  </si>
  <si>
    <t>1115 MALLORY CT</t>
  </si>
  <si>
    <t>740 WILDFLOWER CIR</t>
  </si>
  <si>
    <t>1075 SELMA LN</t>
  </si>
  <si>
    <t>1068 SELMA LN</t>
  </si>
  <si>
    <t>2135 PERIWINKLE LN</t>
  </si>
  <si>
    <t>705 STACIE CT</t>
  </si>
  <si>
    <t>2135 FELDOTT LN</t>
  </si>
  <si>
    <t>2019 THREE FARMS AVE</t>
  </si>
  <si>
    <t>2131 FELDOTT LN</t>
  </si>
  <si>
    <t>2227 PERIWINKLE LN</t>
  </si>
  <si>
    <t>1079 SELMA LN</t>
  </si>
  <si>
    <t>2207 PERIWINKLE LN</t>
  </si>
  <si>
    <t>2223 PERIWINKLE LN</t>
  </si>
  <si>
    <t>2219 PERIWINKLE LN</t>
  </si>
  <si>
    <t>824 VIOLET CIR</t>
  </si>
  <si>
    <t>736 VIOLET CIR</t>
  </si>
  <si>
    <t>2211 PERIWINKLE LN</t>
  </si>
  <si>
    <t>2143 PERIWINKLE LN</t>
  </si>
  <si>
    <t>744 VIOLET CIR</t>
  </si>
  <si>
    <t>752 VIOLET CIR</t>
  </si>
  <si>
    <t>812 VIOLET CIR</t>
  </si>
  <si>
    <t>2139 PERIWINKLE LN</t>
  </si>
  <si>
    <t>820 VIOLET CIR</t>
  </si>
  <si>
    <t>816 VIOLET CIR</t>
  </si>
  <si>
    <t>808 VIOLET CIR</t>
  </si>
  <si>
    <t>756 VIOLET CIR</t>
  </si>
  <si>
    <t>748 VIOLET CIR</t>
  </si>
  <si>
    <t>1728 COACH DR</t>
  </si>
  <si>
    <t>832 VIOLET CIR</t>
  </si>
  <si>
    <t>651 BOURBON CT</t>
  </si>
  <si>
    <t>615 BOURBON CT</t>
  </si>
  <si>
    <t>657 BOURBON CT</t>
  </si>
  <si>
    <t>1701 NAPOLEON DR</t>
  </si>
  <si>
    <t>641 BOURBON CT</t>
  </si>
  <si>
    <t>643 BOURBON CT</t>
  </si>
  <si>
    <t>627 BOURBON CT</t>
  </si>
  <si>
    <t>637 BOURBON CT 304</t>
  </si>
  <si>
    <t>631 BOURBON CT</t>
  </si>
  <si>
    <t>613 BOURBON CT</t>
  </si>
  <si>
    <t>N MILL ST</t>
  </si>
  <si>
    <t>703 WILDFLOWER CIR</t>
  </si>
  <si>
    <t>581 OLD PLANK RD</t>
  </si>
  <si>
    <t>49 S MILL ST</t>
  </si>
  <si>
    <t>104 S EWING ST</t>
  </si>
  <si>
    <t>31 S MILL ST</t>
  </si>
  <si>
    <t>406 E 4TH AVE</t>
  </si>
  <si>
    <t>30 S BRAINARD ST</t>
  </si>
  <si>
    <t>119 S COLUMBIA ST</t>
  </si>
  <si>
    <t>526 S WEBSTER ST</t>
  </si>
  <si>
    <t>842-46 COLUMBIA ST</t>
  </si>
  <si>
    <t>585 OLD PLANK RD</t>
  </si>
  <si>
    <t>866 N COLUMBIA ST</t>
  </si>
  <si>
    <t>2424 COASTAL SAGE CT</t>
  </si>
  <si>
    <t>822 N WASHINGTON ST</t>
  </si>
  <si>
    <t>810 N SLEIGHT ST</t>
  </si>
  <si>
    <t>507 W VAN BUREN AVE</t>
  </si>
  <si>
    <t>227 E JEFFERSON AVE</t>
  </si>
  <si>
    <t>220 N FREMONT ST</t>
  </si>
  <si>
    <t>2547 BASIN TRAIL LN</t>
  </si>
  <si>
    <t>132 S WRIGHT ST</t>
  </si>
  <si>
    <t>144 S SLEIGHT ST</t>
  </si>
  <si>
    <t>340 SPRING AVE</t>
  </si>
  <si>
    <t>206 N ELLSWORTH ST</t>
  </si>
  <si>
    <t>124 S COLUMBIA ST</t>
  </si>
  <si>
    <t>15 S LOOMIS ST</t>
  </si>
  <si>
    <t>810 N ELLSWORTH ST</t>
  </si>
  <si>
    <t>119 S SLEIGHT ST</t>
  </si>
  <si>
    <t>104 S WRIGHT ST</t>
  </si>
  <si>
    <t>519 S MAIN ST</t>
  </si>
  <si>
    <t>2315 COUNTRY CLUB BLV</t>
  </si>
  <si>
    <t>8 N LOOMIS ST</t>
  </si>
  <si>
    <t>318 W SPRING AVE</t>
  </si>
  <si>
    <t>820 E CHICAGO AVE</t>
  </si>
  <si>
    <t>105 S ELLSWORTH ST</t>
  </si>
  <si>
    <t>2420 COASTAL SAGE CT</t>
  </si>
  <si>
    <t>1320 BAYOU PATH CT</t>
  </si>
  <si>
    <t>152 N ELLSWORTH ST</t>
  </si>
  <si>
    <t>110 S SLEIGHT ST</t>
  </si>
  <si>
    <t>110 S LOOMIS ST</t>
  </si>
  <si>
    <t>124 S LOOMIS ST</t>
  </si>
  <si>
    <t>132 S LOOMIS ST</t>
  </si>
  <si>
    <t>2543 BASIN TRAIL LN</t>
  </si>
  <si>
    <t>315 W JEFFERSON AVE</t>
  </si>
  <si>
    <t>109 S BRAINARD ST</t>
  </si>
  <si>
    <t>1584 BAYOU PATH DR</t>
  </si>
  <si>
    <t>29 S SLEIGHT ST</t>
  </si>
  <si>
    <t>39 S WEST ST</t>
  </si>
  <si>
    <t>953 N LOOMIS ST</t>
  </si>
  <si>
    <t>1368 BAYOU PATH CT</t>
  </si>
  <si>
    <t>605 E 4TH AVE</t>
  </si>
  <si>
    <t>626 S WEBSTER ST</t>
  </si>
  <si>
    <t>1507 TAIL LEAF CT</t>
  </si>
  <si>
    <t>26 N WEBSTER ST</t>
  </si>
  <si>
    <t>533 PLANK RD</t>
  </si>
  <si>
    <t>945 N LOOMIS ST</t>
  </si>
  <si>
    <t>725 E CHICAGO AVE</t>
  </si>
  <si>
    <t>809 N SLEIGHT ST</t>
  </si>
  <si>
    <t>41 S MILL ST</t>
  </si>
  <si>
    <t>1503 TAIL LEAF CT</t>
  </si>
  <si>
    <t>20 S EWING ST</t>
  </si>
  <si>
    <t>120 S EWING ST</t>
  </si>
  <si>
    <t>114 S EWING ST</t>
  </si>
  <si>
    <t>23 N COLUMBIA ST</t>
  </si>
  <si>
    <t>429 E 8TH AVE</t>
  </si>
  <si>
    <t>209 N BRAINARD ST</t>
  </si>
  <si>
    <t>1332 BAYOU PATH CT</t>
  </si>
  <si>
    <t>127 S COLUMBIA ST</t>
  </si>
  <si>
    <t>21 S WEST ST</t>
  </si>
  <si>
    <t>1503 WEDGEFIELD CIR</t>
  </si>
  <si>
    <t>952 N LOOMIS ST</t>
  </si>
  <si>
    <t>2423 COASTAL SAGE CT</t>
  </si>
  <si>
    <t>958 N LOOMIS ST</t>
  </si>
  <si>
    <t>424 E CHICAGO AVE</t>
  </si>
  <si>
    <t>244 N LAIRD ST</t>
  </si>
  <si>
    <t>533 W JEFFERSON AVE</t>
  </si>
  <si>
    <t>1324 BAYOU PATH CT</t>
  </si>
  <si>
    <t>2532 BASIN TRAIL LN</t>
  </si>
  <si>
    <t>243 N LAIRD ST</t>
  </si>
  <si>
    <t>428 E CHICAGO AVE</t>
  </si>
  <si>
    <t>2503 BASIN TRAIL LN</t>
  </si>
  <si>
    <t>2620 BASIN TRAIL CT</t>
  </si>
  <si>
    <t>2619 BASIN TRAIL CT</t>
  </si>
  <si>
    <t>7 S SLEIGHT ST</t>
  </si>
  <si>
    <t>205 N EAGLE ST</t>
  </si>
  <si>
    <t>44 N FREMONT ST</t>
  </si>
  <si>
    <t>850-52 N CENTER ST</t>
  </si>
  <si>
    <t>2495 BASIN TRAIL LN</t>
  </si>
  <si>
    <t>431 W FRANKLIN AVE</t>
  </si>
  <si>
    <t>15 S SLEIGHT ST</t>
  </si>
  <si>
    <t>2556 BASIN TRAIL LN</t>
  </si>
  <si>
    <t>2523 SILVER LOCH RD</t>
  </si>
  <si>
    <t>2416 COASTAL SAGE CT</t>
  </si>
  <si>
    <t>37 S MILL ST</t>
  </si>
  <si>
    <t>1509 WEDGEFIELD CIR</t>
  </si>
  <si>
    <t>1660 ALDERLEAF LN</t>
  </si>
  <si>
    <t>1504 ALDERLEAF CT</t>
  </si>
  <si>
    <t>810 E CHICAGO AVE</t>
  </si>
  <si>
    <t>2623 BASIN TRAIL CT</t>
  </si>
  <si>
    <t>1580 BAYOU PATH DR</t>
  </si>
  <si>
    <t>925 N LOOMIS ST</t>
  </si>
  <si>
    <t>1503 ALDERLEAF CT</t>
  </si>
  <si>
    <t>2303 COUNTRY CLUB DR</t>
  </si>
  <si>
    <t>539 W JEFFERSON AVE</t>
  </si>
  <si>
    <t>2508 SILVER LOCH RD</t>
  </si>
  <si>
    <t>1520 ALDERLEAF CT</t>
  </si>
  <si>
    <t>213 N SLEIGHT ST</t>
  </si>
  <si>
    <t>24 S SLEIGHT ST</t>
  </si>
  <si>
    <t>32 S SLEIGHT ST</t>
  </si>
  <si>
    <t>2307 COUNTRY CLUB BLV</t>
  </si>
  <si>
    <t>12 S EWING ST</t>
  </si>
  <si>
    <t>331 N WRIGHT ST</t>
  </si>
  <si>
    <t>225 N SLEIGHT ST</t>
  </si>
  <si>
    <t>429 NORTH AVE</t>
  </si>
  <si>
    <t>1504 TAIL LEAF CT</t>
  </si>
  <si>
    <t>2508 BASIN TRAIL LN</t>
  </si>
  <si>
    <t>105 S SLEIGHT ST</t>
  </si>
  <si>
    <t>111 S SLEIGHT ST</t>
  </si>
  <si>
    <t>30 S ELLSWORTH ST</t>
  </si>
  <si>
    <t>1604 BAYOU PATH DR</t>
  </si>
  <si>
    <t>409 E 8TH AVE</t>
  </si>
  <si>
    <t>529 W FRANKLIN AVE</t>
  </si>
  <si>
    <t>922-24 N BRAINARD ST</t>
  </si>
  <si>
    <t>1364 BAYOU PATH CT</t>
  </si>
  <si>
    <t>565 S MAIN ST</t>
  </si>
  <si>
    <t>14 N FREMONT ST</t>
  </si>
  <si>
    <t>120 N CENTER ST</t>
  </si>
  <si>
    <t>1352 BAYOU PATH CT</t>
  </si>
  <si>
    <t>520 W JEFFERSON AVE</t>
  </si>
  <si>
    <t>105 S COLUMBIA ST</t>
  </si>
  <si>
    <t>32 S WRIGHT ST</t>
  </si>
  <si>
    <t>506 W JEFFERSON AVE</t>
  </si>
  <si>
    <t>514 W JEFFERSON AVE</t>
  </si>
  <si>
    <t>810 N LOOMIS ST</t>
  </si>
  <si>
    <t>936 N BRAINARD ST</t>
  </si>
  <si>
    <t>2319 COUNTRY CLUB BLV</t>
  </si>
  <si>
    <t>711 N ELLSWORTH ST</t>
  </si>
  <si>
    <t>2648 WEATHERBEE CT</t>
  </si>
  <si>
    <t>151 N ELLSWORTH ST</t>
  </si>
  <si>
    <t>116 S WRIGHT ST</t>
  </si>
  <si>
    <t>122 S WRIGHT ST</t>
  </si>
  <si>
    <t>940 N BRAINARD ST</t>
  </si>
  <si>
    <t>725 N ELLSWORTH ST</t>
  </si>
  <si>
    <t>829 N CENTER ST</t>
  </si>
  <si>
    <t>224 N COLUMBIA ST</t>
  </si>
  <si>
    <t>18 S COLUMBIA ST</t>
  </si>
  <si>
    <t>432 W JEFFERSON AVE</t>
  </si>
  <si>
    <t>32 S COLUMBIA ST</t>
  </si>
  <si>
    <t>944 N BRAINARD ST</t>
  </si>
  <si>
    <t>306 W JEFFERSON AVE</t>
  </si>
  <si>
    <t>412 W JEFFERSON AVE</t>
  </si>
  <si>
    <t>408 W JEFFERSON AVE</t>
  </si>
  <si>
    <t>6 N COLUMBIA ST</t>
  </si>
  <si>
    <t>219 W FRANKLIN AVE</t>
  </si>
  <si>
    <t>134 N EAGLE ST</t>
  </si>
  <si>
    <t>16 N COLUMBIA ST</t>
  </si>
  <si>
    <t>239 W FRANKLIN AVE</t>
  </si>
  <si>
    <t>1535 ALDERLEAF CT</t>
  </si>
  <si>
    <t>56 S JULIAN ST</t>
  </si>
  <si>
    <t>1612 BAYOU PATH DR</t>
  </si>
  <si>
    <t>1505 WEDGEFIELD CIR</t>
  </si>
  <si>
    <t>1508 TAIL LEAF CT</t>
  </si>
  <si>
    <t>5 S WEST ST</t>
  </si>
  <si>
    <t>13 S WEST ST</t>
  </si>
  <si>
    <t>419 W FRANKLIN AVE</t>
  </si>
  <si>
    <t>422 DOUGLAS AVE</t>
  </si>
  <si>
    <t>430 DOUGLAS AVE</t>
  </si>
  <si>
    <t>434 W DOUGLAS AVE</t>
  </si>
  <si>
    <t>425 W FRANKLIN AVE</t>
  </si>
  <si>
    <t>440 DOUGLAS AVE</t>
  </si>
  <si>
    <t>16 N LOOMIS ST</t>
  </si>
  <si>
    <t>312 W DOUGLAS AVE</t>
  </si>
  <si>
    <t>321 W FRANKLIN AVE</t>
  </si>
  <si>
    <t>308 DOUGLAS AVE</t>
  </si>
  <si>
    <t>339 W FRANKLIN AVE</t>
  </si>
  <si>
    <t>16 N WRIGHT ST</t>
  </si>
  <si>
    <t>214 N HUFFMAN ST</t>
  </si>
  <si>
    <t>7 N WRIGHT ST</t>
  </si>
  <si>
    <t>20 S FREMONT ST</t>
  </si>
  <si>
    <t>680-80 W BENTON AVE</t>
  </si>
  <si>
    <t>14 S FREMONT ST</t>
  </si>
  <si>
    <t>26 S FREMONT ST</t>
  </si>
  <si>
    <t>2311 COUNTRY CLUB</t>
  </si>
  <si>
    <t>1328 BAYOU PATH CT</t>
  </si>
  <si>
    <t>222 W BENTON AVE</t>
  </si>
  <si>
    <t>305 W JEFFERSON AVE</t>
  </si>
  <si>
    <t>411 W JEFFERSON AVE</t>
  </si>
  <si>
    <t>228 W BENTON AVE</t>
  </si>
  <si>
    <t>616 N ELLSWORTH ST</t>
  </si>
  <si>
    <t>407 W JEFFERSON AVE</t>
  </si>
  <si>
    <t>321 W JEFFERSON AVE</t>
  </si>
  <si>
    <t>433 W JEFFERSON AVE</t>
  </si>
  <si>
    <t>233 W VAN BUREN AVE</t>
  </si>
  <si>
    <t>315 SPRING AVE</t>
  </si>
  <si>
    <t>327 W SPRING AVE</t>
  </si>
  <si>
    <t>321 W SPRING AVE</t>
  </si>
  <si>
    <t>241 W VAN BUREN AVE</t>
  </si>
  <si>
    <t>2616 BASIN TRAIL CT</t>
  </si>
  <si>
    <t>556 S MAIN ST</t>
  </si>
  <si>
    <t>1360 BAYOU PATH CT</t>
  </si>
  <si>
    <t>2419 WEATHERBEE LN</t>
  </si>
  <si>
    <t>240 N LAIRD ST</t>
  </si>
  <si>
    <t>2623 WEATHERBEE CT</t>
  </si>
  <si>
    <t>660 S WEBSTER ST</t>
  </si>
  <si>
    <t>1303 BAYOU PATH CT</t>
  </si>
  <si>
    <t>1304 BAYOU PATH CT</t>
  </si>
  <si>
    <t>1308 BAYOU PATH CT</t>
  </si>
  <si>
    <t>214 W BENTON AVE</t>
  </si>
  <si>
    <t>106 S COLUMBIA ST</t>
  </si>
  <si>
    <t>114 S COLUMBIA ST</t>
  </si>
  <si>
    <t>1507 WEDGEFIELD CIR</t>
  </si>
  <si>
    <t>1356 BAYOU PATH CT</t>
  </si>
  <si>
    <t>2492 BASIN TRAIL LN</t>
  </si>
  <si>
    <t>1607 BAYOU PATH DR</t>
  </si>
  <si>
    <t>1616 ALDERLEAF LN</t>
  </si>
  <si>
    <t>114 S LOOMIS ST</t>
  </si>
  <si>
    <t>1524 ALDERLEAF CT</t>
  </si>
  <si>
    <t>527 N ELLSWORTH ST</t>
  </si>
  <si>
    <t>569 OLD PLANK RD</t>
  </si>
  <si>
    <t>24 S WEST ST</t>
  </si>
  <si>
    <t>2644 WEATHERBEE CT</t>
  </si>
  <si>
    <t>842 N BRAINARD ST</t>
  </si>
  <si>
    <t>1656 ALDERLEAF LN</t>
  </si>
  <si>
    <t>153 N BRAINARD ST</t>
  </si>
  <si>
    <t>235 N LAIRD ST</t>
  </si>
  <si>
    <t>326 N SLEIGHT ST</t>
  </si>
  <si>
    <t>1123 HIBBARD RD</t>
  </si>
  <si>
    <t>2420 BALSAM COVE RD</t>
  </si>
  <si>
    <t>836 N BRAINARD ST</t>
  </si>
  <si>
    <t>1508 ALDERLEAF CT</t>
  </si>
  <si>
    <t>609 E 8TH AVE</t>
  </si>
  <si>
    <t>619 E 8TH AVE</t>
  </si>
  <si>
    <t>629 E 8TH AVE</t>
  </si>
  <si>
    <t>2419 BALSAM COVE RD</t>
  </si>
  <si>
    <t>620 N CENTER ST</t>
  </si>
  <si>
    <t>633 E 8TH AVE</t>
  </si>
  <si>
    <t>2428 COASTAL SAGE CT</t>
  </si>
  <si>
    <t>805 N COLUMBIA ST</t>
  </si>
  <si>
    <t>2643 WEATHERBEE CT</t>
  </si>
  <si>
    <t>1627 BAYOU PATH DR</t>
  </si>
  <si>
    <t>2563 WEATHERBEE LN</t>
  </si>
  <si>
    <t>832 N BRAINARD ST</t>
  </si>
  <si>
    <t>628 W COTTAGE LN</t>
  </si>
  <si>
    <t>239 N LAIRD ST</t>
  </si>
  <si>
    <t>503 E NORTH AVE</t>
  </si>
  <si>
    <t>427 W BENTON AVE</t>
  </si>
  <si>
    <t>827 N SLEIGHT ST</t>
  </si>
  <si>
    <t>2512 SILVER LOCH RD</t>
  </si>
  <si>
    <t>525 W VAN BUREN AVE</t>
  </si>
  <si>
    <t>1504 BAYOU PATH DR</t>
  </si>
  <si>
    <t>826 N BRAINARD ST</t>
  </si>
  <si>
    <t>2308 WEATHERBEE LN</t>
  </si>
  <si>
    <t>1512 ALDERLEAF CT</t>
  </si>
  <si>
    <t>55 N WEST ST</t>
  </si>
  <si>
    <t>142 CENTER ST</t>
  </si>
  <si>
    <t>2516 SILVER LOCH RD</t>
  </si>
  <si>
    <t>809 N LOOMIS ST</t>
  </si>
  <si>
    <t>329 E 8TH AVE</t>
  </si>
  <si>
    <t>1691 SILVERLEAF CT</t>
  </si>
  <si>
    <t>2428 BASIN TRAIL LN</t>
  </si>
  <si>
    <t>2472 BASIN TRAIL LN</t>
  </si>
  <si>
    <t>2559 WEATHERBEE LN</t>
  </si>
  <si>
    <t>1651 SILVERLEAF ST</t>
  </si>
  <si>
    <t>1695 SILVERLEAF CT</t>
  </si>
  <si>
    <t>561 OLD PLANK RD</t>
  </si>
  <si>
    <t>1491 BAYOU PATH DR</t>
  </si>
  <si>
    <t>229 N WEST ST</t>
  </si>
  <si>
    <t>2615 BASIN TRAIL CT</t>
  </si>
  <si>
    <t>820 N BRAINARD ST</t>
  </si>
  <si>
    <t>1336 BAYOU PATH CT</t>
  </si>
  <si>
    <t>565 PLANK RD</t>
  </si>
  <si>
    <t>639 S MAIN ST</t>
  </si>
  <si>
    <t>573 PLANK RD</t>
  </si>
  <si>
    <t>960 N BRAINARD ST</t>
  </si>
  <si>
    <t>125 N CENTER ST</t>
  </si>
  <si>
    <t>2647 WEATHERBEE CT</t>
  </si>
  <si>
    <t>577 PLANK RD</t>
  </si>
  <si>
    <t>2520 SILVER LOCH RD</t>
  </si>
  <si>
    <t>1119 HIBBARD RD</t>
  </si>
  <si>
    <t>140 S LOOMIS ST</t>
  </si>
  <si>
    <t>439 W FRANKLIN AVE</t>
  </si>
  <si>
    <t>816 N BRAINARD ST</t>
  </si>
  <si>
    <t>16 S EWING ST</t>
  </si>
  <si>
    <t>1416 BAYOU PATH DR</t>
  </si>
  <si>
    <t>1583 BAYOU PATH DR</t>
  </si>
  <si>
    <t>209 E JEFFERSON AVE</t>
  </si>
  <si>
    <t>117 S EAGLE ST</t>
  </si>
  <si>
    <t>205 N MILL ST</t>
  </si>
  <si>
    <t>1647 SILVERLEAF ST</t>
  </si>
  <si>
    <t>812 N BRAINARD ST</t>
  </si>
  <si>
    <t>236 N LAIRD ST</t>
  </si>
  <si>
    <t>1615 BAYOU PATH DR</t>
  </si>
  <si>
    <t>1367 BAYOU PATH CT</t>
  </si>
  <si>
    <t>2555 WEATHERBEE LN</t>
  </si>
  <si>
    <t>36 S JULIAN ST</t>
  </si>
  <si>
    <t>2627 WEATHERBEE CT</t>
  </si>
  <si>
    <t>2407 BRIGHT HAWK ST</t>
  </si>
  <si>
    <t>2619 WEATHERBEE CT</t>
  </si>
  <si>
    <t>535 E NORTH AVE</t>
  </si>
  <si>
    <t>325 E NORTH AVE</t>
  </si>
  <si>
    <t>806 N BRAINARD ST</t>
  </si>
  <si>
    <t>2527 BALSAM COVE RD</t>
  </si>
  <si>
    <t>2515 WEATHERBEE LN</t>
  </si>
  <si>
    <t>612 CENTER ST</t>
  </si>
  <si>
    <t>566 S MAIN ST</t>
  </si>
  <si>
    <t>2419 COASTAL SAGE CT</t>
  </si>
  <si>
    <t>6 S MILL ST</t>
  </si>
  <si>
    <t>14 S MILL ST</t>
  </si>
  <si>
    <t>301 E NORTH AVE</t>
  </si>
  <si>
    <t>2464 BASIN TRAIL LN</t>
  </si>
  <si>
    <t>1652 ALDERLEAF LN</t>
  </si>
  <si>
    <t>520 N BRAINARD ST</t>
  </si>
  <si>
    <t>1312 BAYOU PATH CT</t>
  </si>
  <si>
    <t>1512 TAIL LEAF CT</t>
  </si>
  <si>
    <t>1511 TAIL LEAF CT</t>
  </si>
  <si>
    <t>1620 ALDERLEAF LN</t>
  </si>
  <si>
    <t>340 W FRANKLIN AVE</t>
  </si>
  <si>
    <t>1415 BAYOU PATH DR</t>
  </si>
  <si>
    <t>1516 ALDERLEAF CT</t>
  </si>
  <si>
    <t>732 N BRAINARD ST</t>
  </si>
  <si>
    <t>30 S WEST ST</t>
  </si>
  <si>
    <t>1411 BAYOU PATH DR</t>
  </si>
  <si>
    <t>529 E 8TH AVE</t>
  </si>
  <si>
    <t>1615 ALDERLEAF LN</t>
  </si>
  <si>
    <t>527 N LOOMIS ST</t>
  </si>
  <si>
    <t>545 PLANK RD</t>
  </si>
  <si>
    <t>549 OLD PLANK RD</t>
  </si>
  <si>
    <t>553 PLANK RD</t>
  </si>
  <si>
    <t>622 E 4TH AVE</t>
  </si>
  <si>
    <t>105 N ELLSWORTH ST</t>
  </si>
  <si>
    <t>115 W HILLSIDE RD</t>
  </si>
  <si>
    <t>1656 SILVERLEAF ST</t>
  </si>
  <si>
    <t>635 NORTH AVE</t>
  </si>
  <si>
    <t>631 NORTH AVE</t>
  </si>
  <si>
    <t>LAIRD ST</t>
  </si>
  <si>
    <t>625 E NORTH AVE</t>
  </si>
  <si>
    <t>1127 HIBBARD RD</t>
  </si>
  <si>
    <t>619 NORTH AVE</t>
  </si>
  <si>
    <t>240 E 7TH AVE</t>
  </si>
  <si>
    <t>625 N BRAINARD ST</t>
  </si>
  <si>
    <t>724 N BRAINARD ST</t>
  </si>
  <si>
    <t>22 S ELLSWORTH ST</t>
  </si>
  <si>
    <t>559 S MAIN ST</t>
  </si>
  <si>
    <t>650 S WEBSTER ST</t>
  </si>
  <si>
    <t>646 S WEBSTER ST</t>
  </si>
  <si>
    <t>649 S MAIN ST</t>
  </si>
  <si>
    <t>403 E NORTH AVE</t>
  </si>
  <si>
    <t>1531 ALDERLEAF CT</t>
  </si>
  <si>
    <t>1483 BAYOU PATH DR</t>
  </si>
  <si>
    <t>2460 BASIN TRAIL LN</t>
  </si>
  <si>
    <t>537 OLD PLANK RD</t>
  </si>
  <si>
    <t>659 S MAIN ST</t>
  </si>
  <si>
    <t>541 PLANK RD</t>
  </si>
  <si>
    <t>2427 WEATHERBEE LN</t>
  </si>
  <si>
    <t>1503 BAYOU PATH DR</t>
  </si>
  <si>
    <t>2480 BASIN TRAIL LN</t>
  </si>
  <si>
    <t>720 N BRAINARD ST</t>
  </si>
  <si>
    <t>2632 WEATHERBEE CT</t>
  </si>
  <si>
    <t>232 N LAIRD ST</t>
  </si>
  <si>
    <t>2560 SILVER LOCH RD</t>
  </si>
  <si>
    <t>540 W VAN BUREN AVE</t>
  </si>
  <si>
    <t>1480 BAYOU PATH DR</t>
  </si>
  <si>
    <t>1603 ALDERLEAF LN</t>
  </si>
  <si>
    <t>214 N ELLSWORTH ST</t>
  </si>
  <si>
    <t>228 N LAIRD ST</t>
  </si>
  <si>
    <t>104 N JULIAN ST</t>
  </si>
  <si>
    <t>231 N LAIRD ST</t>
  </si>
  <si>
    <t>21 S BRAINARD ST</t>
  </si>
  <si>
    <t>1611 BAYOU PATH DR</t>
  </si>
  <si>
    <t>1612 ALDERLEAF LN</t>
  </si>
  <si>
    <t>1608 BAYOU PATH DR</t>
  </si>
  <si>
    <t>6 S WRIGHT ST</t>
  </si>
  <si>
    <t>517 N LOOMIS ST</t>
  </si>
  <si>
    <t>2476 BASIN TRAIL LN</t>
  </si>
  <si>
    <t>1544 BAYOU PATH DR</t>
  </si>
  <si>
    <t>520 W VAN BUREN AVE</t>
  </si>
  <si>
    <t>718 N BRAINARD ST</t>
  </si>
  <si>
    <t>529 E CHICAGO AVE</t>
  </si>
  <si>
    <t>153 N JULIAN ST</t>
  </si>
  <si>
    <t>2404 BASIN TRAIL LN</t>
  </si>
  <si>
    <t>1575 BAYOU PATH DR</t>
  </si>
  <si>
    <t>530 W VAN BUREN AVE</t>
  </si>
  <si>
    <t>557 PLANK RD</t>
  </si>
  <si>
    <t>8 S COLUMBIA ST</t>
  </si>
  <si>
    <t>959 N LOOMIS ST</t>
  </si>
  <si>
    <t>321 NORTH AVE</t>
  </si>
  <si>
    <t>8 N SLEIGHT ST</t>
  </si>
  <si>
    <t>1631 ALDERLEAF LN</t>
  </si>
  <si>
    <t>817 E CHICAGO AVE</t>
  </si>
  <si>
    <t>10 S WEST ST</t>
  </si>
  <si>
    <t>21 S SLEIGHT ST</t>
  </si>
  <si>
    <t>1604 ALDERLEAF LN</t>
  </si>
  <si>
    <t>415 W SPRING AVE</t>
  </si>
  <si>
    <t>729 E FRANKLIN AVE</t>
  </si>
  <si>
    <t>2615 WEATHERBEE CT</t>
  </si>
  <si>
    <t>716 N BRAINARD ST</t>
  </si>
  <si>
    <t>104 N HUFFMAN ST</t>
  </si>
  <si>
    <t>2424 BASIN TRAIL LN</t>
  </si>
  <si>
    <t>1419 BAYOU PATH DR</t>
  </si>
  <si>
    <t>806 N WASHINGTON ST</t>
  </si>
  <si>
    <t>2412 COASTAL SAGE CT</t>
  </si>
  <si>
    <t>956 N BRAINARD ST</t>
  </si>
  <si>
    <t>123 N EWING ST</t>
  </si>
  <si>
    <t>2567 WEATHERBEE LN</t>
  </si>
  <si>
    <t>2603 WEATHERBEE LN</t>
  </si>
  <si>
    <t>2575 WEATHERBEE LN</t>
  </si>
  <si>
    <t>1479 BAYOU PATH DR</t>
  </si>
  <si>
    <t>521 W VAN BUREN AVE</t>
  </si>
  <si>
    <t>1648 ALDERLEAF LN</t>
  </si>
  <si>
    <t>405 E NORTH AVE</t>
  </si>
  <si>
    <t>411 E NORTH ST</t>
  </si>
  <si>
    <t>1203 WRENSON AVE</t>
  </si>
  <si>
    <t>226 N WRIGHT ST</t>
  </si>
  <si>
    <t>303 N FREMONT ST</t>
  </si>
  <si>
    <t>239 W BENTON AVE</t>
  </si>
  <si>
    <t>20 N EAGLE ST</t>
  </si>
  <si>
    <t>212 W FRANKLIN AVE</t>
  </si>
  <si>
    <t>26 N EAGLE ST</t>
  </si>
  <si>
    <t>213 W BENTON AVE</t>
  </si>
  <si>
    <t>221 W BENTON AVE</t>
  </si>
  <si>
    <t>415 W BENTON AVE</t>
  </si>
  <si>
    <t>433 DOUGLAS AVE</t>
  </si>
  <si>
    <t>439 W BENTON AVE</t>
  </si>
  <si>
    <t>432 W FRANKLIN AVE</t>
  </si>
  <si>
    <t>19 N MILL ST</t>
  </si>
  <si>
    <t>418 W FRANKLIN AVE</t>
  </si>
  <si>
    <t>405 W BENTON AVE</t>
  </si>
  <si>
    <t>411 W BENTON AVE</t>
  </si>
  <si>
    <t>404 W FRANKLIN AVE</t>
  </si>
  <si>
    <t>440 W FRANKLIN AVE</t>
  </si>
  <si>
    <t>426 W FRANKLIN AVE</t>
  </si>
  <si>
    <t>339 W BENTON AVE</t>
  </si>
  <si>
    <t>325 W BENTON AVE</t>
  </si>
  <si>
    <t>328 W FRANKLIN AVE</t>
  </si>
  <si>
    <t>320 W FRANKLIN AVE</t>
  </si>
  <si>
    <t>25 N EAGLE ST</t>
  </si>
  <si>
    <t>128 N WEST ST</t>
  </si>
  <si>
    <t>830 E SCHOOL ST</t>
  </si>
  <si>
    <t>225 N WRIGHT ST</t>
  </si>
  <si>
    <t>706 N BRAINARD ST</t>
  </si>
  <si>
    <t>2551 BASIN TRAIL LN</t>
  </si>
  <si>
    <t>34 W FRANKLIN AVE</t>
  </si>
  <si>
    <t>28 W FRANKLIN AVE</t>
  </si>
  <si>
    <t>322 N SLEIGHT ST</t>
  </si>
  <si>
    <t>2531 BALSAM COVE RD</t>
  </si>
  <si>
    <t>515 DOUGLAS AVE</t>
  </si>
  <si>
    <t>5 S MILL ST</t>
  </si>
  <si>
    <t>1139 HIBBARD RD</t>
  </si>
  <si>
    <t>2420 BASIN TRAIL LN</t>
  </si>
  <si>
    <t>310 N FREMONT ST</t>
  </si>
  <si>
    <t>122 S EAGLE ST</t>
  </si>
  <si>
    <t>434 W BENTON AVE</t>
  </si>
  <si>
    <t>440 W BENTON AVE</t>
  </si>
  <si>
    <t>321 N WRIGHT ST</t>
  </si>
  <si>
    <t>320 N LOOMIS ST</t>
  </si>
  <si>
    <t>325 N WRIGHT ST</t>
  </si>
  <si>
    <t>941 N LOOMIS ST</t>
  </si>
  <si>
    <t>813 N LOOMIS ST</t>
  </si>
  <si>
    <t>1640 SILVERLEAF ST</t>
  </si>
  <si>
    <t>2552 WEATHERBEE LN</t>
  </si>
  <si>
    <t>815 N LOOMIS ST</t>
  </si>
  <si>
    <t>823 N LOOMIS ST</t>
  </si>
  <si>
    <t>335 DOUGLAS AVE</t>
  </si>
  <si>
    <t>827 N LOOMIS ST</t>
  </si>
  <si>
    <t>837 N LOOMIS ST</t>
  </si>
  <si>
    <t>523 DOUGLAS AVE</t>
  </si>
  <si>
    <t>2539 WEATHERBEE LN</t>
  </si>
  <si>
    <t>1104 HIBBARD RD</t>
  </si>
  <si>
    <t>1103 HIBBARD RD</t>
  </si>
  <si>
    <t>839 N LOOMIS ST</t>
  </si>
  <si>
    <t>514 W BENTON AVE</t>
  </si>
  <si>
    <t>130 N ELLSWORTH ST</t>
  </si>
  <si>
    <t>2551 WEATHERBEE LN</t>
  </si>
  <si>
    <t>151 N EWING ST</t>
  </si>
  <si>
    <t>1115 HIBBARD RD</t>
  </si>
  <si>
    <t>3 S EWING ST</t>
  </si>
  <si>
    <t>603 COTTAGE AVE</t>
  </si>
  <si>
    <t>1116 HIBBARD RD</t>
  </si>
  <si>
    <t>1548 BAYOU PATH DR</t>
  </si>
  <si>
    <t>971 N SLEIGHT ST</t>
  </si>
  <si>
    <t>519 E 8TH AVE</t>
  </si>
  <si>
    <t>16 S EAGLE ST</t>
  </si>
  <si>
    <t>1403 BAYOU PATH DR</t>
  </si>
  <si>
    <t>1619 BAYOU PATH DR</t>
  </si>
  <si>
    <t>2639 WEATHERBEE CT</t>
  </si>
  <si>
    <t>230 SPRING AVE</t>
  </si>
  <si>
    <t>235 DOUGLAS AVE</t>
  </si>
  <si>
    <t>1511 BAYOU PATH DR</t>
  </si>
  <si>
    <t>2468 BASIN TRAIL LN</t>
  </si>
  <si>
    <t>635 4TH AVE</t>
  </si>
  <si>
    <t>226 SPRING AVE</t>
  </si>
  <si>
    <t>231 DOUGLAS AVE</t>
  </si>
  <si>
    <t>6 N HUFFMAN ST</t>
  </si>
  <si>
    <t>1539 BAYOU PATH DR</t>
  </si>
  <si>
    <t>227 W DOUGLAS AVE</t>
  </si>
  <si>
    <t>26 N HUFFMAN ST</t>
  </si>
  <si>
    <t>223 DOUGLAS AVE</t>
  </si>
  <si>
    <t>1552 BAYOU PATH DR</t>
  </si>
  <si>
    <t>1556 BAYOU PATH DR</t>
  </si>
  <si>
    <t>213 W DOUGLAS AVE</t>
  </si>
  <si>
    <t>2523 WEATHERBEE LN</t>
  </si>
  <si>
    <t>205 DOUGLAS AVE</t>
  </si>
  <si>
    <t>2411 HATTIE ST</t>
  </si>
  <si>
    <t>1508 BAYOU PATH DR</t>
  </si>
  <si>
    <t>1536 ALDERLEAF CT</t>
  </si>
  <si>
    <t>533 JACKSON AVE</t>
  </si>
  <si>
    <t>1540 BAYOU PATH DR</t>
  </si>
  <si>
    <t>807 E BENTON AVE</t>
  </si>
  <si>
    <t>812-14 N SLEIGHT ST</t>
  </si>
  <si>
    <t>930 N LOOMIS ST</t>
  </si>
  <si>
    <t>1204 SNAPPER RD</t>
  </si>
  <si>
    <t>26 N JULIAN ST</t>
  </si>
  <si>
    <t>926 N LOOMIS ST</t>
  </si>
  <si>
    <t>729 E BENTON AVE</t>
  </si>
  <si>
    <t>506 SPRING AVE</t>
  </si>
  <si>
    <t>931 N SLEIGHT</t>
  </si>
  <si>
    <t>730 E FRANKLIN AVE</t>
  </si>
  <si>
    <t>1487 BAYOU PATH DR</t>
  </si>
  <si>
    <t>119 N EWING ST</t>
  </si>
  <si>
    <t>948 N LOOMIS ST</t>
  </si>
  <si>
    <t>935 N SLEIGHT ST</t>
  </si>
  <si>
    <t>212 DOUGLAS AVE</t>
  </si>
  <si>
    <t>221 N MILL ST</t>
  </si>
  <si>
    <t>939 N SLEIGHT ST</t>
  </si>
  <si>
    <t>225 N MILL ST</t>
  </si>
  <si>
    <t>955 N SLEIGHT ST</t>
  </si>
  <si>
    <t>219 WRIGHT ST</t>
  </si>
  <si>
    <t>957 N SLEIGHT ST</t>
  </si>
  <si>
    <t>230 N CENTER ST</t>
  </si>
  <si>
    <t>2407 HATTIE ST</t>
  </si>
  <si>
    <t>229 CENTER ST</t>
  </si>
  <si>
    <t>814-16 N LOOMIS ST</t>
  </si>
  <si>
    <t>1547 BAYOU PATH DR</t>
  </si>
  <si>
    <t>208 N EAGLE ST</t>
  </si>
  <si>
    <t>2416 BASIN TRAIL LN</t>
  </si>
  <si>
    <t>2408 BASIN TRAIL LN</t>
  </si>
  <si>
    <t>134 N WEST ST</t>
  </si>
  <si>
    <t>6 S HUFFMAN ST</t>
  </si>
  <si>
    <t>219 SPRING AVE</t>
  </si>
  <si>
    <t>27 N MAIN ST</t>
  </si>
  <si>
    <t>2412 BASIN TRAIL LN</t>
  </si>
  <si>
    <t>830 N SLEIGHT ST</t>
  </si>
  <si>
    <t>824 N SLEIGHT ST</t>
  </si>
  <si>
    <t>816 N SLEIGHT ST</t>
  </si>
  <si>
    <t>2404 COASTAL SAGE CT</t>
  </si>
  <si>
    <t>840 N SLEIGHT ST</t>
  </si>
  <si>
    <t>5 S HUFFMAN ST</t>
  </si>
  <si>
    <t>604 N BRAINARD ST</t>
  </si>
  <si>
    <t>833 N SLEIGHT ST</t>
  </si>
  <si>
    <t>836 N LOOMIS ST</t>
  </si>
  <si>
    <t>829 N SLEIGHT ST</t>
  </si>
  <si>
    <t>830 N LOOMIS ST</t>
  </si>
  <si>
    <t>820 N LOOMIS ST</t>
  </si>
  <si>
    <t>52 S MILL ST</t>
  </si>
  <si>
    <t>2491 BASIN TRAIL LN</t>
  </si>
  <si>
    <t>116 S SLEIGHT ST</t>
  </si>
  <si>
    <t>131 N WEST ST</t>
  </si>
  <si>
    <t>2612 BASIN TRAIL CT</t>
  </si>
  <si>
    <t>206 N COLUMBIA ST</t>
  </si>
  <si>
    <t>127 N WEST ST</t>
  </si>
  <si>
    <t>225 N COLUMBIA ST</t>
  </si>
  <si>
    <t>123 N WEST ST</t>
  </si>
  <si>
    <t>1623 BAYOU PATH DR</t>
  </si>
  <si>
    <t>2539 BASIN TRAIL LN</t>
  </si>
  <si>
    <t>2540 WEATHERBEE LN</t>
  </si>
  <si>
    <t>145 N HUFFMAN ST</t>
  </si>
  <si>
    <t>2484 BASIN TRAIL LN</t>
  </si>
  <si>
    <t>1640 LEYLAND DR</t>
  </si>
  <si>
    <t>1559 BAYOU PATH DR</t>
  </si>
  <si>
    <t>337 N SLEIGHT ST</t>
  </si>
  <si>
    <t>730 E BENTON AVE</t>
  </si>
  <si>
    <t>1536 BAYOU PATH DR</t>
  </si>
  <si>
    <t>520 S MAIN ST</t>
  </si>
  <si>
    <t>630 DOUGLAS AVE</t>
  </si>
  <si>
    <t>48 S MILL ST</t>
  </si>
  <si>
    <t>243 SPRING ST</t>
  </si>
  <si>
    <t>125 S BRAINARD ST</t>
  </si>
  <si>
    <t>1579 BAYOU PATH DR</t>
  </si>
  <si>
    <t>128 N FREMONT ST</t>
  </si>
  <si>
    <t>2563 SILVER LOCH RD</t>
  </si>
  <si>
    <t>524 S MAIN ST</t>
  </si>
  <si>
    <t>2428 LUCENT LN</t>
  </si>
  <si>
    <t>527 DOUGLAS AVE</t>
  </si>
  <si>
    <t>2611 WEATHERBEE CT</t>
  </si>
  <si>
    <t>532 S MAIN ST</t>
  </si>
  <si>
    <t>2555 BASIN TRAIL LN</t>
  </si>
  <si>
    <t>2607 WEATHERBEE CT</t>
  </si>
  <si>
    <t>1640 ALDERLEAF LN</t>
  </si>
  <si>
    <t>1644 ALDERLEAF LN</t>
  </si>
  <si>
    <t>2528 WEATHERBEE LN</t>
  </si>
  <si>
    <t>634 N ELLSWORTH ST</t>
  </si>
  <si>
    <t>1636 ALDERLEAF LN</t>
  </si>
  <si>
    <t>1636 SILVERLEAF ST</t>
  </si>
  <si>
    <t>1608 ALDERLEAF LN</t>
  </si>
  <si>
    <t>2427 LUCENT LN</t>
  </si>
  <si>
    <t>105 N MILL ST</t>
  </si>
  <si>
    <t>1160 HIBBARD RD</t>
  </si>
  <si>
    <t>2519 WEATHERBEE LN</t>
  </si>
  <si>
    <t>332 W FRANKLIN AVE</t>
  </si>
  <si>
    <t>1632 ALDERLEAF LN</t>
  </si>
  <si>
    <t>826 LEONA MAE CT</t>
  </si>
  <si>
    <t>2423 HATTIE ST</t>
  </si>
  <si>
    <t>2424 HATTIE ST</t>
  </si>
  <si>
    <t>1563 BAYOU PATH DR</t>
  </si>
  <si>
    <t>1343 BAYOU PATH CT</t>
  </si>
  <si>
    <t>2519 BALSAM COVE RD</t>
  </si>
  <si>
    <t>2503 BALSAM COVE RD</t>
  </si>
  <si>
    <t>135 HILLSIDE AVE</t>
  </si>
  <si>
    <t>20 S WEST ST</t>
  </si>
  <si>
    <t>132 N CENTER ST</t>
  </si>
  <si>
    <t>1623 ALDERLEAF LN</t>
  </si>
  <si>
    <t>1155 HIBBARD RD</t>
  </si>
  <si>
    <t>2307 LUCENT LN</t>
  </si>
  <si>
    <t>1407 BAYOU PATH DR</t>
  </si>
  <si>
    <t>1528 ALDERLEAF CT</t>
  </si>
  <si>
    <t>2535 BASIN TRAIL LN</t>
  </si>
  <si>
    <t>1532 ALDERLEAF CT</t>
  </si>
  <si>
    <t>710 N CENTER ST</t>
  </si>
  <si>
    <t>2511 BASIN TRAIL LN</t>
  </si>
  <si>
    <t>206 DOUGLAS AVE</t>
  </si>
  <si>
    <t>920 N SLEIGHT ST</t>
  </si>
  <si>
    <t>1687 SILVERLEAF CT</t>
  </si>
  <si>
    <t>1668 SILVERLEAF ST</t>
  </si>
  <si>
    <t>2415 BRIGHT HAWK ST</t>
  </si>
  <si>
    <t>124 N WEST ST</t>
  </si>
  <si>
    <t>1520 BAYOU PATH DR</t>
  </si>
  <si>
    <t>1512 BAYOU PATH DR</t>
  </si>
  <si>
    <t>1516 BAYOU PATH DR</t>
  </si>
  <si>
    <t>1528 BAYOU PATH DR</t>
  </si>
  <si>
    <t>1524 BAYOU PATH DR</t>
  </si>
  <si>
    <t>1532 BAYOU PATH DR</t>
  </si>
  <si>
    <t>1519 BAYOU PATH DR</t>
  </si>
  <si>
    <t>1219 WRENSON AVE</t>
  </si>
  <si>
    <t>1515 BAYOU PATH DR</t>
  </si>
  <si>
    <t>1531 BAYOU PATH DR</t>
  </si>
  <si>
    <t>1523 BAYOU PATH DR</t>
  </si>
  <si>
    <t>1607 ALDERLEAF LN</t>
  </si>
  <si>
    <t>1507 BAYOU PATH DR</t>
  </si>
  <si>
    <t>1535 BAYOU PATH DR</t>
  </si>
  <si>
    <t>523 E CHICAGO AVE</t>
  </si>
  <si>
    <t>1527 BAYOU PATH DR</t>
  </si>
  <si>
    <t>1555 BAYOU PATH DR</t>
  </si>
  <si>
    <t>1423 BAYOU PATH DR</t>
  </si>
  <si>
    <t>1551 BAYOU PATH DR</t>
  </si>
  <si>
    <t>1431 BAYOU PATH DR</t>
  </si>
  <si>
    <t>1439 BAYOU PATH DR</t>
  </si>
  <si>
    <t>1443 BAYOU PATH DR</t>
  </si>
  <si>
    <t>1435 BAYOU PATH DR</t>
  </si>
  <si>
    <t>2416 BALSAM COVE RD</t>
  </si>
  <si>
    <t>1427 BAYOU PATH DR</t>
  </si>
  <si>
    <t>1451 BAYOU PATH DR</t>
  </si>
  <si>
    <t>1463 BAYOU PATH DR</t>
  </si>
  <si>
    <t>1459 BAYOU PATH DR</t>
  </si>
  <si>
    <t>1467 BAYOU PATH DR</t>
  </si>
  <si>
    <t>1447 BAYOU PATH DR</t>
  </si>
  <si>
    <t>1475 BAYOU PATH DR</t>
  </si>
  <si>
    <t>1471 BAYOU PATH DR</t>
  </si>
  <si>
    <t>616 N BRAINARD ST</t>
  </si>
  <si>
    <t>1347 BAYOU PATH CT</t>
  </si>
  <si>
    <t>1624 ALDERLEAF LN</t>
  </si>
  <si>
    <t>1628 ALDERLEAF LN</t>
  </si>
  <si>
    <t>540 S MAIN ST</t>
  </si>
  <si>
    <t>9 W BENTON AVE</t>
  </si>
  <si>
    <t>2507 BASIN TRAIL LN</t>
  </si>
  <si>
    <t>20 S LOOMIS ST</t>
  </si>
  <si>
    <t>546 S MAIN ST</t>
  </si>
  <si>
    <t>1247 WRENSON AVE</t>
  </si>
  <si>
    <t>1259 WRENSON AVE</t>
  </si>
  <si>
    <t>2564 BASIN TRAIL LN</t>
  </si>
  <si>
    <t>548 S MAIN ST</t>
  </si>
  <si>
    <t>2507 BALSAM COVE RD</t>
  </si>
  <si>
    <t>1404 BAYOU PATH DR</t>
  </si>
  <si>
    <t>221 N SLEIGHT ST</t>
  </si>
  <si>
    <t>205 N SLEIGHT ST</t>
  </si>
  <si>
    <t>2576 BASIN TRAIL LN</t>
  </si>
  <si>
    <t>204 N SLEIGHT ST</t>
  </si>
  <si>
    <t>20 S SLEIGHT ST</t>
  </si>
  <si>
    <t>2572 BASIN TRAIL LN</t>
  </si>
  <si>
    <t>2568 BASIN TRAIL LN</t>
  </si>
  <si>
    <t>1164 HIBBARD RD</t>
  </si>
  <si>
    <t>210 N SLEIGHT ST</t>
  </si>
  <si>
    <t>2548 WEATHERBEE LN</t>
  </si>
  <si>
    <t>1112 HIBBARD RD</t>
  </si>
  <si>
    <t>1108 HIBBARD RD</t>
  </si>
  <si>
    <t>1107 HIBBARD RD</t>
  </si>
  <si>
    <t>2571 WEATHERBEE LN</t>
  </si>
  <si>
    <t>2547 WEATHERBEE LN</t>
  </si>
  <si>
    <t>2543 WEATHERBEE LN</t>
  </si>
  <si>
    <t>2544 WEATHERBEE LN</t>
  </si>
  <si>
    <t>135 AURORA AVE</t>
  </si>
  <si>
    <t>1111 HIBBARD RD</t>
  </si>
  <si>
    <t>2640 WEATHERBEE CT</t>
  </si>
  <si>
    <t>216 N SLEIGHT ST</t>
  </si>
  <si>
    <t>2636 WEATHERBEE CT</t>
  </si>
  <si>
    <t>924 N SLEIGHT ST</t>
  </si>
  <si>
    <t>133 N CENTER ST</t>
  </si>
  <si>
    <t>224 N ELLSWORTH ST</t>
  </si>
  <si>
    <t>2635 WEATHERBEE CT</t>
  </si>
  <si>
    <t>536 S MAIN ST</t>
  </si>
  <si>
    <t>2631 WEATHERBEE CT</t>
  </si>
  <si>
    <t>1135 HIBBARD RD</t>
  </si>
  <si>
    <t>125 N HUFFMAN ST</t>
  </si>
  <si>
    <t>121 HUFFMAN ST</t>
  </si>
  <si>
    <t>115 N HUFFMAN ST</t>
  </si>
  <si>
    <t>1655 SILVERLEAF ST</t>
  </si>
  <si>
    <t>146 N JULIAN ST</t>
  </si>
  <si>
    <t>15 S BRAINARD ST</t>
  </si>
  <si>
    <t>511 E NORTH AVE</t>
  </si>
  <si>
    <t>515 NORTH AVE</t>
  </si>
  <si>
    <t>140 N JULIAN ST</t>
  </si>
  <si>
    <t>512 N CENTER ST</t>
  </si>
  <si>
    <t>130 N JULIAN ST</t>
  </si>
  <si>
    <t>122 N JULIAN ST</t>
  </si>
  <si>
    <t>126 N JULIAN ST</t>
  </si>
  <si>
    <t>918-20 N BRAINARD ST</t>
  </si>
  <si>
    <t>116 N JULIAN ST</t>
  </si>
  <si>
    <t>1351 BAYOU PATH CT</t>
  </si>
  <si>
    <t>2515 BASIN TRAIL LN</t>
  </si>
  <si>
    <t>2519 BASIN TRAIL LN</t>
  </si>
  <si>
    <t>521 N ELLSWORTH ST</t>
  </si>
  <si>
    <t>2531 BASIN TRAIL LN</t>
  </si>
  <si>
    <t>2523 BASIN TRAIL LN</t>
  </si>
  <si>
    <t>515 N ELLSWORTH ST</t>
  </si>
  <si>
    <t>2527 BASIN TRAIL LN</t>
  </si>
  <si>
    <t>143 N CENTER ST</t>
  </si>
  <si>
    <t>1227 WRENSON AVE</t>
  </si>
  <si>
    <t>1239 WRENSON AVE</t>
  </si>
  <si>
    <t>137 CENTER ST</t>
  </si>
  <si>
    <t>230 N HUFFMAN ST</t>
  </si>
  <si>
    <t>226 N CENTER ST</t>
  </si>
  <si>
    <t>130 S ELLSWORTH ST</t>
  </si>
  <si>
    <t>147 CENTER ST</t>
  </si>
  <si>
    <t>220 CENTER ST</t>
  </si>
  <si>
    <t>203 CENTER ST</t>
  </si>
  <si>
    <t>826 N ELLSWORTH ST</t>
  </si>
  <si>
    <t>209 N CENTER ST</t>
  </si>
  <si>
    <t>215 CENTER ST</t>
  </si>
  <si>
    <t>818 N ELLSWORTH ST</t>
  </si>
  <si>
    <t>824 N ELLSWORTH AVE</t>
  </si>
  <si>
    <t>153 N CENTER ST</t>
  </si>
  <si>
    <t>819 N BRAINARD ST</t>
  </si>
  <si>
    <t>841 N BRAINARD ST</t>
  </si>
  <si>
    <t>829 N BRAINARD ST</t>
  </si>
  <si>
    <t>809 N BRAINARD ST</t>
  </si>
  <si>
    <t>815 N BRAINARD ST</t>
  </si>
  <si>
    <t>126 S ELLSWORTH ST</t>
  </si>
  <si>
    <t>825 N BRAINARD ST</t>
  </si>
  <si>
    <t>839 N BRAINARD ST</t>
  </si>
  <si>
    <t>805 N BRAINARD ST</t>
  </si>
  <si>
    <t>2416 WEATHERBEE LN</t>
  </si>
  <si>
    <t>129 S SLEIGHT ST</t>
  </si>
  <si>
    <t>120 S ELLSWORTH ST</t>
  </si>
  <si>
    <t>2504 BALSAM COVE RD</t>
  </si>
  <si>
    <t>225 N JULIAN ST</t>
  </si>
  <si>
    <t>33 S HUFFMAN ST</t>
  </si>
  <si>
    <t>2511 BALSAM COVE RD</t>
  </si>
  <si>
    <t>30 S JULIAN ST</t>
  </si>
  <si>
    <t>23 S HUFFMAN ST</t>
  </si>
  <si>
    <t>24 S JULIAN ST</t>
  </si>
  <si>
    <t>114 N CENTER ST</t>
  </si>
  <si>
    <t>146 N COLUMBIA ST</t>
  </si>
  <si>
    <t>19 S HUFFMAN ST</t>
  </si>
  <si>
    <t>2412 HATTIE ST</t>
  </si>
  <si>
    <t>20 S JULIAN ST</t>
  </si>
  <si>
    <t>15 S HUFFMAN ST</t>
  </si>
  <si>
    <t>125 N ELLSWORTH ST</t>
  </si>
  <si>
    <t>114 S ELLSWORTH ST</t>
  </si>
  <si>
    <t>20 S HUFFMAN ST</t>
  </si>
  <si>
    <t>14 N HUFFMAN ST</t>
  </si>
  <si>
    <t>928 N SLEIGHT ST</t>
  </si>
  <si>
    <t>142 N COLUMBIA ST</t>
  </si>
  <si>
    <t>24 S HUFFMAN ST</t>
  </si>
  <si>
    <t>9 S HUFFMAN ST</t>
  </si>
  <si>
    <t>1643 SILVERLEAF ST</t>
  </si>
  <si>
    <t>145 N ELLSWORTH ST</t>
  </si>
  <si>
    <t>16 N SLEIGHT ST</t>
  </si>
  <si>
    <t>124 CENTER ST</t>
  </si>
  <si>
    <t>20 N HUFFMAN ST</t>
  </si>
  <si>
    <t>136 N COLUMBIA ST</t>
  </si>
  <si>
    <t>147 N JULIAN ST</t>
  </si>
  <si>
    <t>705 N ELLSWORTH ST</t>
  </si>
  <si>
    <t>2448 BASIN TRAIL LN</t>
  </si>
  <si>
    <t>2456 BASIN TRAIL LN</t>
  </si>
  <si>
    <t>130 N COLUMBIA ST</t>
  </si>
  <si>
    <t>110 S ELLSWORTH ST</t>
  </si>
  <si>
    <t>624 N CENTER ST</t>
  </si>
  <si>
    <t>127 S WRIGHT ST</t>
  </si>
  <si>
    <t>2452 BASIN TRAIL LN</t>
  </si>
  <si>
    <t>706 N ELLSWORTH ST</t>
  </si>
  <si>
    <t>2559 BASIN TRAIL LN</t>
  </si>
  <si>
    <t>1147 HIBBARD RD</t>
  </si>
  <si>
    <t>716 N ELLSWORTH ST</t>
  </si>
  <si>
    <t>219 N HUFFMAN ST</t>
  </si>
  <si>
    <t>710 N ELLSWORTH ST</t>
  </si>
  <si>
    <t>2567 BASIN TRAIL LN</t>
  </si>
  <si>
    <t>130 S SLEIGHT ST</t>
  </si>
  <si>
    <t>835 N CENTER ST</t>
  </si>
  <si>
    <t>720 N ELLSWORTH ST</t>
  </si>
  <si>
    <t>732 N ELLSWORTH ST</t>
  </si>
  <si>
    <t>736 N CENTER ST</t>
  </si>
  <si>
    <t>136 S SLEIGHT ST</t>
  </si>
  <si>
    <t>2516 BASIN TRAIL LN</t>
  </si>
  <si>
    <t>730 N CENTER ST</t>
  </si>
  <si>
    <t>726 N ELLSWORTH ST</t>
  </si>
  <si>
    <t>228 N JULIAN ST</t>
  </si>
  <si>
    <t>124 S SLEIGHT ST</t>
  </si>
  <si>
    <t>126 N COLUMBIA ST</t>
  </si>
  <si>
    <t>735 N BRAINARD ST</t>
  </si>
  <si>
    <t>120 S SLEIGHT ST</t>
  </si>
  <si>
    <t>2524 BASIN TRAIL LN</t>
  </si>
  <si>
    <t>1196 HIBBARD RD</t>
  </si>
  <si>
    <t>2563 BASIN TRAIL LN</t>
  </si>
  <si>
    <t>133 N JULIAN ST</t>
  </si>
  <si>
    <t>2520 BASIN TRAIL LN</t>
  </si>
  <si>
    <t>208 E 8TH AVE</t>
  </si>
  <si>
    <t>717 N ELLSWORTH ST</t>
  </si>
  <si>
    <t>21 S COLUMBIA ST</t>
  </si>
  <si>
    <t>15 N HUFFMAN ST</t>
  </si>
  <si>
    <t>39 S JULIAN ST</t>
  </si>
  <si>
    <t>726 N CENTER ST</t>
  </si>
  <si>
    <t>2528 BASIN TRAIL LN</t>
  </si>
  <si>
    <t>31 S COLUMBIA ST</t>
  </si>
  <si>
    <t>154 N CENTER ST</t>
  </si>
  <si>
    <t>120 N COLUMBIA ST</t>
  </si>
  <si>
    <t>27 S COLUMBIA ST</t>
  </si>
  <si>
    <t>2603 BASIN TRAIL CT</t>
  </si>
  <si>
    <t>104 S ELLSWORTH ST</t>
  </si>
  <si>
    <t>123 N JULIAN ST</t>
  </si>
  <si>
    <t>2583 BASIN TRAIL LN</t>
  </si>
  <si>
    <t>35 S JULIAN ST</t>
  </si>
  <si>
    <t>2579 BASIN TRAIL LN</t>
  </si>
  <si>
    <t>2587 BASIN TRAIL LN</t>
  </si>
  <si>
    <t>2591 BASIN TRAIL LN</t>
  </si>
  <si>
    <t>2575 BASIN TRAIL LN</t>
  </si>
  <si>
    <t>2571 BASIN TRAIL LN</t>
  </si>
  <si>
    <t>731 N BRAINARD ST</t>
  </si>
  <si>
    <t>2607 BASIN TRAIL CT</t>
  </si>
  <si>
    <t>2611 BASIN TRAIL CT</t>
  </si>
  <si>
    <t>116 N COLUMBIA ST</t>
  </si>
  <si>
    <t>715 N CENTER ST</t>
  </si>
  <si>
    <t>2531 SILVER LOCH RD</t>
  </si>
  <si>
    <t>2527 SILVER LOCH RD</t>
  </si>
  <si>
    <t>707 N CENTER ST</t>
  </si>
  <si>
    <t>29 E 6TH AVE</t>
  </si>
  <si>
    <t>729 N CENTER ST</t>
  </si>
  <si>
    <t>138 CENTER ST</t>
  </si>
  <si>
    <t>711 N CENTER ST</t>
  </si>
  <si>
    <t>725 N CENTER ST</t>
  </si>
  <si>
    <t>136 N ELLSWORTH ST</t>
  </si>
  <si>
    <t>719 N CENTER ST</t>
  </si>
  <si>
    <t>29 S JULIAN ST</t>
  </si>
  <si>
    <t>2555 SILVER LOCH RD</t>
  </si>
  <si>
    <t>121 N JULIAN ST</t>
  </si>
  <si>
    <t>725 N BRAINARD ST</t>
  </si>
  <si>
    <t>615 N CENTER ST</t>
  </si>
  <si>
    <t>735 N CENTER ST</t>
  </si>
  <si>
    <t>111 S WRIGHT ST</t>
  </si>
  <si>
    <t>2524 SILVER LOCH RD</t>
  </si>
  <si>
    <t>729 N ELLSWORTH ST</t>
  </si>
  <si>
    <t>2559 SILVER LOCH RD</t>
  </si>
  <si>
    <t>2551 SILVER LOCH RD</t>
  </si>
  <si>
    <t>2540 SILVER LOCH RD</t>
  </si>
  <si>
    <t>839 N ELLSWORTH ST</t>
  </si>
  <si>
    <t>2532 SILVER LOCH RD</t>
  </si>
  <si>
    <t>12 S COLUMBIA ST</t>
  </si>
  <si>
    <t>112 N COLUMBIA ST</t>
  </si>
  <si>
    <t>23 S JULIAN ST</t>
  </si>
  <si>
    <t>2544 SILVER LOCH RD</t>
  </si>
  <si>
    <t>2548 SILVER LOCH RD</t>
  </si>
  <si>
    <t>219 N COLUMBIA ST</t>
  </si>
  <si>
    <t>2528 SILVER LOCH RD</t>
  </si>
  <si>
    <t>2556 SILVER LOCH RD</t>
  </si>
  <si>
    <t>2552 SILVER LOCH RD</t>
  </si>
  <si>
    <t>619 N CENTER ST</t>
  </si>
  <si>
    <t>117 N JULIAN ST</t>
  </si>
  <si>
    <t>529 N BRAINARD ST</t>
  </si>
  <si>
    <t>528 N ELLSWORTH ST</t>
  </si>
  <si>
    <t>20 N JULIAN ST</t>
  </si>
  <si>
    <t>24 S COLUMBIA ST</t>
  </si>
  <si>
    <t>823 N CENTER ST</t>
  </si>
  <si>
    <t>2488 BASIN TRAIL LN</t>
  </si>
  <si>
    <t>106 N COLUMBIA ST</t>
  </si>
  <si>
    <t>735 N ELLSWORTH ST</t>
  </si>
  <si>
    <t>145 N BRAINARD ST</t>
  </si>
  <si>
    <t>2408 LUCENT LN</t>
  </si>
  <si>
    <t>810 N CENTER ST</t>
  </si>
  <si>
    <t>820 N CENTER ST</t>
  </si>
  <si>
    <t>826 N CENTER ST</t>
  </si>
  <si>
    <t>1652 LEYLAND DR</t>
  </si>
  <si>
    <t>815 N ELLSWORTH ST</t>
  </si>
  <si>
    <t>816 N CENTER ST</t>
  </si>
  <si>
    <t>840 N CENTER ST</t>
  </si>
  <si>
    <t>804 N CENTER ST</t>
  </si>
  <si>
    <t>129 E 8TH AVE</t>
  </si>
  <si>
    <t>809-11 N ELLSWORTH ST</t>
  </si>
  <si>
    <t>111 N JULIAN ST</t>
  </si>
  <si>
    <t>141 N BRAINARD ST</t>
  </si>
  <si>
    <t>7 N JULIAN ST</t>
  </si>
  <si>
    <t>709 N BRAINARD ST</t>
  </si>
  <si>
    <t>11 S JULIAN ST</t>
  </si>
  <si>
    <t>15 N JULIAN ST</t>
  </si>
  <si>
    <t>705 N BRAINARD ST</t>
  </si>
  <si>
    <t>2411 LUCENT LN</t>
  </si>
  <si>
    <t>619 N ELLSWORTH ST</t>
  </si>
  <si>
    <t>125 N BRAINARD ST</t>
  </si>
  <si>
    <t>615 N ELLSWORTH ST</t>
  </si>
  <si>
    <t>611 N ELLSWORTH ST</t>
  </si>
  <si>
    <t>815 N CENTER ST</t>
  </si>
  <si>
    <t>110 N HUFFMAN ST</t>
  </si>
  <si>
    <t>1635 SILVERLEAF ST</t>
  </si>
  <si>
    <t>114 N HUFFMAN ST</t>
  </si>
  <si>
    <t>146 N LOOMIS ST</t>
  </si>
  <si>
    <t>629 E 4TH AVE</t>
  </si>
  <si>
    <t>120 N HUFFMAN ST</t>
  </si>
  <si>
    <t>435 W BENTON AVE</t>
  </si>
  <si>
    <t>1644 LEYLAND DR</t>
  </si>
  <si>
    <t>117 N MILL ST</t>
  </si>
  <si>
    <t>127 N MILL ST</t>
  </si>
  <si>
    <t>410 DOUGLAS AVE</t>
  </si>
  <si>
    <t>1276 SNAPPER RD</t>
  </si>
  <si>
    <t>121 N MILL ST</t>
  </si>
  <si>
    <t>124 N HUFFMAN ST</t>
  </si>
  <si>
    <t>130 N HUFFMAN ST</t>
  </si>
  <si>
    <t>108 N CENTER ST</t>
  </si>
  <si>
    <t>220 N HUFFMAN ST</t>
  </si>
  <si>
    <t>15 N SLEIGHT ST</t>
  </si>
  <si>
    <t>930 N SLEIGHT ST</t>
  </si>
  <si>
    <t>4 N WEST ST</t>
  </si>
  <si>
    <t>22 W FRANKLIN AVE</t>
  </si>
  <si>
    <t>1339 BAYOU PATH CT</t>
  </si>
  <si>
    <t>624 N ELLSWORTH ST</t>
  </si>
  <si>
    <t>9 N SLEIGHT ST</t>
  </si>
  <si>
    <t>1311 BAYOU PATH CT</t>
  </si>
  <si>
    <t>610 N ELLSWORTH ST</t>
  </si>
  <si>
    <t>606 N ELLSWORTH ST</t>
  </si>
  <si>
    <t>5 N SLEIGHT ST</t>
  </si>
  <si>
    <t>213 N JULIAN ST</t>
  </si>
  <si>
    <t>721 SCHOOL ST</t>
  </si>
  <si>
    <t>209 N JULIAN ST</t>
  </si>
  <si>
    <t>219 N JULIAN ST</t>
  </si>
  <si>
    <t>2412 BALSAM COVE RD</t>
  </si>
  <si>
    <t>2420 HATTIE ST</t>
  </si>
  <si>
    <t>615 N BRAINARD ST</t>
  </si>
  <si>
    <t>619 N BRAINARD ST</t>
  </si>
  <si>
    <t>609 N BRAINARD ST</t>
  </si>
  <si>
    <t>603 N BRAINARD ST</t>
  </si>
  <si>
    <t>205 N HUFFMAN ST</t>
  </si>
  <si>
    <t>220 N JULIAN ST</t>
  </si>
  <si>
    <t>2331 LUCENT LN</t>
  </si>
  <si>
    <t>214 N JULIAN ST</t>
  </si>
  <si>
    <t>825 SCHOOL ST</t>
  </si>
  <si>
    <t>943-45 N BRAINARD ST</t>
  </si>
  <si>
    <t>941 N BRAINARD ST</t>
  </si>
  <si>
    <t>1192 HIBBARD RD</t>
  </si>
  <si>
    <t>2411 BALSAM COVE RD</t>
  </si>
  <si>
    <t>2415 HATTIE ST</t>
  </si>
  <si>
    <t>47 S JULIAN ST</t>
  </si>
  <si>
    <t>523 BRAINARD ST</t>
  </si>
  <si>
    <t>522 N ELLSWORTH ST</t>
  </si>
  <si>
    <t>518 N ELLSWORTH ST</t>
  </si>
  <si>
    <t>519 N BRAINARD ST</t>
  </si>
  <si>
    <t>946 N SLEIGHT ST</t>
  </si>
  <si>
    <t>514 N ELLSWORTH ST</t>
  </si>
  <si>
    <t>513 N BRAINARD ST</t>
  </si>
  <si>
    <t>527 N CENTER ST</t>
  </si>
  <si>
    <t>509 N BRAINARD ST</t>
  </si>
  <si>
    <t>510 N ELLSWORTH ST</t>
  </si>
  <si>
    <t>16 S ELLSWORTH ST</t>
  </si>
  <si>
    <t>504 E FOURTH ST</t>
  </si>
  <si>
    <t>613 E NORTH ST</t>
  </si>
  <si>
    <t>336 N WRIGHT ST</t>
  </si>
  <si>
    <t>1648 LEYLAND DR</t>
  </si>
  <si>
    <t>326 N WRIGHT ST</t>
  </si>
  <si>
    <t>330 N WRIGHT ST</t>
  </si>
  <si>
    <t>316 N WRIGHT ST</t>
  </si>
  <si>
    <t>306 N WRIGHT ST</t>
  </si>
  <si>
    <t>1664 SILVERLEAF ST</t>
  </si>
  <si>
    <t>706 N CENTER ST</t>
  </si>
  <si>
    <t>2535 BALSAM COVE RD</t>
  </si>
  <si>
    <t>1171 HIBBARD RD</t>
  </si>
  <si>
    <t>116 S WEST ST</t>
  </si>
  <si>
    <t>948 N SLEIGHT ST</t>
  </si>
  <si>
    <t>219 N ELLSWORTH ST</t>
  </si>
  <si>
    <t>529 W BENTON AVE</t>
  </si>
  <si>
    <t>319 E 6TH AVE</t>
  </si>
  <si>
    <t>326 W BENTON AVE</t>
  </si>
  <si>
    <t>215 N MILL ST</t>
  </si>
  <si>
    <t>951-53 N BRAINARD ST</t>
  </si>
  <si>
    <t>1231 WRENSON AVE</t>
  </si>
  <si>
    <t>1235 WRENSON AVE</t>
  </si>
  <si>
    <t>1183 HIBBARD RD</t>
  </si>
  <si>
    <t>2335 LUCENT LN</t>
  </si>
  <si>
    <t>1420 BAYOU PATH DR</t>
  </si>
  <si>
    <t>1424 BAYOU PATH DR</t>
  </si>
  <si>
    <t>1514 WEDGEFIELD CIR</t>
  </si>
  <si>
    <t>1428 BAYOU PATH DR</t>
  </si>
  <si>
    <t>1432 BAYOU PATH DR</t>
  </si>
  <si>
    <t>2556 BALSAM COVE RD</t>
  </si>
  <si>
    <t>2415 COASTAL SAGE CT</t>
  </si>
  <si>
    <t>2548 BALSAM COVE RD</t>
  </si>
  <si>
    <t>1440 BAYOU PATH DR</t>
  </si>
  <si>
    <t>1436 BAYOU PATH DR</t>
  </si>
  <si>
    <t>2552 BALSAM COVE RD</t>
  </si>
  <si>
    <t>2544 BALSAM COVE RD</t>
  </si>
  <si>
    <t>1444 BAYOU PATH DR</t>
  </si>
  <si>
    <t>2540 BALSAM COVE RD</t>
  </si>
  <si>
    <t>1639 SILVERLEAF ST</t>
  </si>
  <si>
    <t>1448 BAYOU PATH DR</t>
  </si>
  <si>
    <t>2536 BALSAM COVE RD</t>
  </si>
  <si>
    <t>1452 BAYOU PATH DR</t>
  </si>
  <si>
    <t>2532 BALSAM COVE RD</t>
  </si>
  <si>
    <t>2411 COASTAL SAGE CT</t>
  </si>
  <si>
    <t>1456 BAYOU PATH DR</t>
  </si>
  <si>
    <t>2528 BALSAM COVE RD</t>
  </si>
  <si>
    <t>1460 BAYOU PATH DR</t>
  </si>
  <si>
    <t>1335 BAYOU PATH CT</t>
  </si>
  <si>
    <t>2520 BALSAM COVE RD</t>
  </si>
  <si>
    <t>2524 BALSAM COVE RD</t>
  </si>
  <si>
    <t>1331 BAYOU PATH CT</t>
  </si>
  <si>
    <t>2524 WEATHERBEE LN</t>
  </si>
  <si>
    <t>1667 SILVERLEAF ST</t>
  </si>
  <si>
    <t>1683 SILVERLEAF CT</t>
  </si>
  <si>
    <t>1663 SILVERLEAF ST</t>
  </si>
  <si>
    <t>1675 SILVERLEAF CT</t>
  </si>
  <si>
    <t>1679 SILVERLEAF CT</t>
  </si>
  <si>
    <t>1464 BAYOU PATH DR</t>
  </si>
  <si>
    <t>1659 SILVERLEAF ST</t>
  </si>
  <si>
    <t>2516 BALSAM COVE RD</t>
  </si>
  <si>
    <t>215 W SPRING AVE</t>
  </si>
  <si>
    <t>1671 SILVERLEAF ST</t>
  </si>
  <si>
    <t>1468 BAYOU PATH DR</t>
  </si>
  <si>
    <t>2512 BALSAM COVE RD</t>
  </si>
  <si>
    <t>21 W FRANKLIN AVE</t>
  </si>
  <si>
    <t>2508 BALSAM COVE RD</t>
  </si>
  <si>
    <t>1472 BAYOU PATH DR</t>
  </si>
  <si>
    <t>2408 COASTAL SAGE CT</t>
  </si>
  <si>
    <t>1327 BAYOU PATH CT</t>
  </si>
  <si>
    <t>1323 BAYOU PATH CT</t>
  </si>
  <si>
    <t>1476 BAYOU PATH DR</t>
  </si>
  <si>
    <t>2423 WEATHERBEE LN</t>
  </si>
  <si>
    <t>1319 BAYOU PATH CT</t>
  </si>
  <si>
    <t>1408 BAYOU PATH DR</t>
  </si>
  <si>
    <t>1315 BAYOU PATH CT</t>
  </si>
  <si>
    <t>950 N SLEIGHT ST</t>
  </si>
  <si>
    <t>1359 BAYOU PATH CT</t>
  </si>
  <si>
    <t>2424 LUCENT LN</t>
  </si>
  <si>
    <t>242 W VAN BUREN AVE</t>
  </si>
  <si>
    <t>234 W VAN BUREN AVE</t>
  </si>
  <si>
    <t>2420 LUCENT LN</t>
  </si>
  <si>
    <t>2416 LUCENT LN</t>
  </si>
  <si>
    <t>126 W FRANKLIN AVE</t>
  </si>
  <si>
    <t>110 W FRANKLIN AVE</t>
  </si>
  <si>
    <t>2412 LUCENT LN</t>
  </si>
  <si>
    <t>1188 HIBBARD RD</t>
  </si>
  <si>
    <t>2516 WEATHERBEE LN</t>
  </si>
  <si>
    <t>109 N MILL ST</t>
  </si>
  <si>
    <t>960 N SLEIGHT ST</t>
  </si>
  <si>
    <t>2411 BRIGHT HAWK ST</t>
  </si>
  <si>
    <t>2419 HATTIE ST</t>
  </si>
  <si>
    <t>5 N COLUMBIA ST</t>
  </si>
  <si>
    <t>1211 WRENSON AVE</t>
  </si>
  <si>
    <t>232 W BENTON AVE</t>
  </si>
  <si>
    <t>1207 WRENSON AVE</t>
  </si>
  <si>
    <t>1215 WRENSON AVE</t>
  </si>
  <si>
    <t>240 W BENTON AVE</t>
  </si>
  <si>
    <t>130 W FRANKLIN AVE</t>
  </si>
  <si>
    <t>240 E 4TH AVE</t>
  </si>
  <si>
    <t>120 W FRANKLIN AVE</t>
  </si>
  <si>
    <t>507 E 8TH AVE</t>
  </si>
  <si>
    <t>958 SLEIGHT ST</t>
  </si>
  <si>
    <t>1168 HIBBARD RD</t>
  </si>
  <si>
    <t>236 E 4TH AVE</t>
  </si>
  <si>
    <t>1556 WEDGEFIELD CIR</t>
  </si>
  <si>
    <t>606 S MAIN ST</t>
  </si>
  <si>
    <t>208 W BENTON AVE</t>
  </si>
  <si>
    <t>230 S WEST ST</t>
  </si>
  <si>
    <t>506 W FRANKLIN AVE</t>
  </si>
  <si>
    <t>340 N WRIGHT ST</t>
  </si>
  <si>
    <t>610 S MAIN ST</t>
  </si>
  <si>
    <t>2408 HATTIE ST</t>
  </si>
  <si>
    <t>2423 LUCENT LN</t>
  </si>
  <si>
    <t>2415 LUCENT LN</t>
  </si>
  <si>
    <t>2419 LUCENT LN</t>
  </si>
  <si>
    <t>1156 HIBBARD RD</t>
  </si>
  <si>
    <t>616 MAIN ST</t>
  </si>
  <si>
    <t>828 LEONA MAE CT</t>
  </si>
  <si>
    <t>813 N SLEIGHT ST</t>
  </si>
  <si>
    <t>223 N ELLSWORTH ST</t>
  </si>
  <si>
    <t>426 E 4TH AVE</t>
  </si>
  <si>
    <t>215 N ELLSWORTH ST</t>
  </si>
  <si>
    <t>113 N ELLSWORTH ST</t>
  </si>
  <si>
    <t>1251 WRENSON AVE</t>
  </si>
  <si>
    <t>1255 WRENSON AVE</t>
  </si>
  <si>
    <t>2432 WEATHERBEE LN</t>
  </si>
  <si>
    <t>2428 WEATHERBEE LN</t>
  </si>
  <si>
    <t>2436 WEATHERBEE LN</t>
  </si>
  <si>
    <t>2440 WEATHERBEE LN</t>
  </si>
  <si>
    <t>2444 WEATHERBEE LN</t>
  </si>
  <si>
    <t>2448 WEATHERBEE LN</t>
  </si>
  <si>
    <t>2452 WEATHERBEE LN</t>
  </si>
  <si>
    <t>2456 WEATHERBEE LN</t>
  </si>
  <si>
    <t>2460 WEATHERBEE LN</t>
  </si>
  <si>
    <t>2468 WEATHERBEE LN</t>
  </si>
  <si>
    <t>2464 WEATHERBEE LN</t>
  </si>
  <si>
    <t>2472 WEATHERBEE LN</t>
  </si>
  <si>
    <t>2476 WEATHERBEE LN</t>
  </si>
  <si>
    <t>2480 WEATHERBEE LN</t>
  </si>
  <si>
    <t>2504 WEATHERBEE LN</t>
  </si>
  <si>
    <t>2508 WEATHERBEE LN</t>
  </si>
  <si>
    <t>2512 WEATHERBEE LN</t>
  </si>
  <si>
    <t>2520 WEATHERBEE LN</t>
  </si>
  <si>
    <t>204 N HUFFMAN ST</t>
  </si>
  <si>
    <t>2316 WEATHERBEE LN</t>
  </si>
  <si>
    <t>1232 SNAPPER RD</t>
  </si>
  <si>
    <t>1224 SNAPPER RD</t>
  </si>
  <si>
    <t>1240 SNAPPER RD</t>
  </si>
  <si>
    <t>1208 SNAPPER RD</t>
  </si>
  <si>
    <t>1151 HIBBARD RD</t>
  </si>
  <si>
    <t>1260 SNAPPER RD</t>
  </si>
  <si>
    <t>2408 WEATHERBEE LN</t>
  </si>
  <si>
    <t>2412 WEATHERBEE LN</t>
  </si>
  <si>
    <t>2328 WEATHERBEE LN</t>
  </si>
  <si>
    <t>1216 SNAPPER RD</t>
  </si>
  <si>
    <t>2324 WEATHERBEE LN</t>
  </si>
  <si>
    <t>1236 SNAPPER RD</t>
  </si>
  <si>
    <t>1264 SNAPPER RD</t>
  </si>
  <si>
    <t>1248 SNAPPER RD</t>
  </si>
  <si>
    <t>1212 SNAPPER RD</t>
  </si>
  <si>
    <t>1272 SNAPPER RD</t>
  </si>
  <si>
    <t>1256 SNAPPER RD</t>
  </si>
  <si>
    <t>1220 SNAPPER RD</t>
  </si>
  <si>
    <t>1228 SNAPPER RD</t>
  </si>
  <si>
    <t>1268 SNAPPER RD</t>
  </si>
  <si>
    <t>2404 WEATHERBEE LN</t>
  </si>
  <si>
    <t>1252 SNAPPER RD</t>
  </si>
  <si>
    <t>2320 WEATHERBEE LN</t>
  </si>
  <si>
    <t>220 N ELLSWORTH ST</t>
  </si>
  <si>
    <t>1175 HIBBARD RD</t>
  </si>
  <si>
    <t>1179 HIBBARD RD</t>
  </si>
  <si>
    <t>5 S BRAINARD ST</t>
  </si>
  <si>
    <t>1184 HIBBARD RD</t>
  </si>
  <si>
    <t>1180 HIBBARD RD</t>
  </si>
  <si>
    <t>1176 HIBBARD RD</t>
  </si>
  <si>
    <t>1172 HIBBARD RD</t>
  </si>
  <si>
    <t>640 S MAIN ST</t>
  </si>
  <si>
    <t>2327 LUCENT LN</t>
  </si>
  <si>
    <t>306 SPRING AVE</t>
  </si>
  <si>
    <t>2323 LUCENT LN</t>
  </si>
  <si>
    <t>2319 LUCENT LN</t>
  </si>
  <si>
    <t>2315 LUCENT LN</t>
  </si>
  <si>
    <t>2311 LUCENT LN</t>
  </si>
  <si>
    <t>1550 WEDGEFIELD CIR</t>
  </si>
  <si>
    <t>15 W FRANKLIN AVE</t>
  </si>
  <si>
    <t>337 W DOUGLAS AVE</t>
  </si>
  <si>
    <t>959 N BRAINARD ST</t>
  </si>
  <si>
    <t>130 S EAGLE ST</t>
  </si>
  <si>
    <t>646 S MAIN ST</t>
  </si>
  <si>
    <t>1502 WEDGEFIELD CIR</t>
  </si>
  <si>
    <t>1504 WEDGEFIELD CIR</t>
  </si>
  <si>
    <t>1506 WEDGEFIELD CIR</t>
  </si>
  <si>
    <t>822 LEONA MAE CT</t>
  </si>
  <si>
    <t>12 N SLEIGHT ST</t>
  </si>
  <si>
    <t>648 S MAIN ST</t>
  </si>
  <si>
    <t>633 N ELLSWORTH AVE</t>
  </si>
  <si>
    <t>814 LEONA MAE CT</t>
  </si>
  <si>
    <t>237 N MILL ST</t>
  </si>
  <si>
    <t>129 N ELLSWORTH ST</t>
  </si>
  <si>
    <t>222 E 4TH AVE</t>
  </si>
  <si>
    <t>308 E 6TH AVE</t>
  </si>
  <si>
    <t>339 W DOUGLAS AVE</t>
  </si>
  <si>
    <t>827-31 N ELLSWORTH ST</t>
  </si>
  <si>
    <t>810 LEONA MAE CT</t>
  </si>
  <si>
    <t>6 S JULIAN ST</t>
  </si>
  <si>
    <t>816 LEONA MAE CT</t>
  </si>
  <si>
    <t>206 W FRANKLIN ST</t>
  </si>
  <si>
    <t>834 LEONA MAE CT</t>
  </si>
  <si>
    <t>817 E BENTON AVE</t>
  </si>
  <si>
    <t>105 S WRIGHT ST</t>
  </si>
  <si>
    <t>5 S COLUMBIA ST</t>
  </si>
  <si>
    <t>814 E BENTON AVE</t>
  </si>
  <si>
    <t>832 LEONA MAE CT</t>
  </si>
  <si>
    <t>820 LEONA MAE CT</t>
  </si>
  <si>
    <t>215 N EAGLE ST</t>
  </si>
  <si>
    <t>220 N MILL ST</t>
  </si>
  <si>
    <t>19 N MAIN ST</t>
  </si>
  <si>
    <t>223 N EAGLE ST</t>
  </si>
  <si>
    <t>808 LEONA MAE CT</t>
  </si>
  <si>
    <t>119 N ELLSWORTH ST</t>
  </si>
  <si>
    <t>10 S JULIAN ST</t>
  </si>
  <si>
    <t>115 E FRANKLIN AVE</t>
  </si>
  <si>
    <t>234 S WEST ST</t>
  </si>
  <si>
    <t>206 N HUFFMAN ST</t>
  </si>
  <si>
    <t>115 N WEBSTER ST</t>
  </si>
  <si>
    <t>26 N MAIN ST</t>
  </si>
  <si>
    <t>15 S WEBSTER ST</t>
  </si>
  <si>
    <t>817 N CENTER ST</t>
  </si>
  <si>
    <t>809 N CENTER ST</t>
  </si>
  <si>
    <t>310 E 6TH AVE</t>
  </si>
  <si>
    <t>819 N CENTER ST</t>
  </si>
  <si>
    <t>811 N CENTER ST</t>
  </si>
  <si>
    <t>45 S JULIAN ST</t>
  </si>
  <si>
    <t>19 N WEBSTER ST</t>
  </si>
  <si>
    <t>621 E BENTON AVE</t>
  </si>
  <si>
    <t>940 N LOOMIS ST</t>
  </si>
  <si>
    <t>942 N LOOMIS ST</t>
  </si>
  <si>
    <t>415 E FRANKLIN AVE</t>
  </si>
  <si>
    <t>820 E FRANKLIN AVE</t>
  </si>
  <si>
    <t>18 N MAIN ST</t>
  </si>
  <si>
    <t>421 E SCHOOL ST</t>
  </si>
  <si>
    <t>1203 JOSIAH RD</t>
  </si>
  <si>
    <t>117 N ELLSWORTH ST</t>
  </si>
  <si>
    <t>230 N ELLSWORTH ST</t>
  </si>
  <si>
    <t>11 N COLUMBIA ST</t>
  </si>
  <si>
    <t>1275 JOSIAH RD</t>
  </si>
  <si>
    <t>1241 JOSIAH RD</t>
  </si>
  <si>
    <t>824 E FRANKLIN AVE</t>
  </si>
  <si>
    <t>1267 JOSIAH RD</t>
  </si>
  <si>
    <t>422 E FRANKLIN AVE</t>
  </si>
  <si>
    <t>1263 JOSIAH RD</t>
  </si>
  <si>
    <t>1253 JOSIAH RD</t>
  </si>
  <si>
    <t>1249 JOSIAH RD</t>
  </si>
  <si>
    <t>1227 JOSIAH RD</t>
  </si>
  <si>
    <t>1237 JOSIAH RD</t>
  </si>
  <si>
    <t>124 N MILL ST</t>
  </si>
  <si>
    <t>1213 JOSIAH RD</t>
  </si>
  <si>
    <t>252-333 E 4TH AVE</t>
  </si>
  <si>
    <t>LEONA MAE CT</t>
  </si>
  <si>
    <t>509 SPRING AVE</t>
  </si>
  <si>
    <t>526 W JEFFERSON AVE</t>
  </si>
  <si>
    <t>319 W SPRING AVE</t>
  </si>
  <si>
    <t>532 S WEBSTER ST</t>
  </si>
  <si>
    <t>636 S WEBSTER ST</t>
  </si>
  <si>
    <t>548 S WEBSTER ST</t>
  </si>
  <si>
    <t>101 W FRANKLIN AVE</t>
  </si>
  <si>
    <t>501 W SPRING AVE</t>
  </si>
  <si>
    <t>636 E 4TH AVE</t>
  </si>
  <si>
    <t>503 SPRING AVE</t>
  </si>
  <si>
    <t>333 W BENTON AVE</t>
  </si>
  <si>
    <t>511 SPRING AVE</t>
  </si>
  <si>
    <t>417 W SPRING AVE</t>
  </si>
  <si>
    <t>111 N HUFFMAN ST</t>
  </si>
  <si>
    <t>523 SPRING AVE</t>
  </si>
  <si>
    <t>10 N HUFFMAN ST</t>
  </si>
  <si>
    <t>719 N BRAINARD ST</t>
  </si>
  <si>
    <t>244 E 4TH AVE</t>
  </si>
  <si>
    <t>325 SPRING AVE</t>
  </si>
  <si>
    <t>513 SPRING AVE</t>
  </si>
  <si>
    <t>433 W SPRING AVE</t>
  </si>
  <si>
    <t>717 N BRAINARD ST</t>
  </si>
  <si>
    <t>715 N BRAINARD ST</t>
  </si>
  <si>
    <t>628 N ELLSWORTH ST</t>
  </si>
  <si>
    <t>525 E IRVING PARK RD</t>
  </si>
  <si>
    <t>675 E IRVING PARK RD</t>
  </si>
  <si>
    <t>333 E IRVING PARK RD</t>
  </si>
  <si>
    <t>109-23 E MAIN ST</t>
  </si>
  <si>
    <t>10 E WALNUT ST</t>
  </si>
  <si>
    <t>10 WHIPPOORWILL CT</t>
  </si>
  <si>
    <t>25 WHIPPOORWILL CT</t>
  </si>
  <si>
    <t>15 WHIPPOORWILL CT</t>
  </si>
  <si>
    <t>595 MENSCHING RD</t>
  </si>
  <si>
    <t>55 RODENBERG RD</t>
  </si>
  <si>
    <t>1190 BLUEBIRD LN</t>
  </si>
  <si>
    <t>810 BRANDYWINE DR</t>
  </si>
  <si>
    <t>146 S ROSELLE RD</t>
  </si>
  <si>
    <t>145 FLAMINGO DR</t>
  </si>
  <si>
    <t>1150 MENSCHING RD</t>
  </si>
  <si>
    <t>80 CARDINAL LN</t>
  </si>
  <si>
    <t>360 BRIGHTON BAY</t>
  </si>
  <si>
    <t>410 N AVEBURY CT</t>
  </si>
  <si>
    <t>353 BRIGHTON BAY</t>
  </si>
  <si>
    <t>70 CARDINAL LN</t>
  </si>
  <si>
    <t>1085 FLAMINGO DR</t>
  </si>
  <si>
    <t>550 PRIMROSE CIR</t>
  </si>
  <si>
    <t>40 E HATTENDORF AVE</t>
  </si>
  <si>
    <t>981 WOODSIDE DR</t>
  </si>
  <si>
    <t>585 ROMFORD CT</t>
  </si>
  <si>
    <t>10 MEADOW LARK CT</t>
  </si>
  <si>
    <t>130 CARDINAL LN</t>
  </si>
  <si>
    <t>47 N ANDOVER DR</t>
  </si>
  <si>
    <t>435 FORDHAM PL</t>
  </si>
  <si>
    <t>5 WHIPPORWILL CT</t>
  </si>
  <si>
    <t>60 CARDINAL LN</t>
  </si>
  <si>
    <t>20 MEADOWLARK CT</t>
  </si>
  <si>
    <t>525 PRIMROSE CIR</t>
  </si>
  <si>
    <t>30 WHIPPOORWILL CT</t>
  </si>
  <si>
    <t>90 CARDINAL DR</t>
  </si>
  <si>
    <t>530 PRIMROSE CIR</t>
  </si>
  <si>
    <t>1110 HYGATE DR</t>
  </si>
  <si>
    <t>425 AVEBURY CT</t>
  </si>
  <si>
    <t>29 S ROSELLE RD</t>
  </si>
  <si>
    <t>50 CARDINAL LN</t>
  </si>
  <si>
    <t>405 AVEBURY CT</t>
  </si>
  <si>
    <t>590 ROMFORD CT</t>
  </si>
  <si>
    <t>48 E HATTENDORF AVE</t>
  </si>
  <si>
    <t>1155 FLAMINGO DR</t>
  </si>
  <si>
    <t>515 PRIMROSE CIR</t>
  </si>
  <si>
    <t>720 W BRYN MAWR AVE</t>
  </si>
  <si>
    <t>1140 MENSCHING RD</t>
  </si>
  <si>
    <t>1115 COLONY LN</t>
  </si>
  <si>
    <t>64 N ANDOVER DR</t>
  </si>
  <si>
    <t>699 RODENBURG RD</t>
  </si>
  <si>
    <t>545 PRIMROSE CIR</t>
  </si>
  <si>
    <t>1075 FLAMINGO DR</t>
  </si>
  <si>
    <t>1110 FLAMINGO DR</t>
  </si>
  <si>
    <t>1255 W FLAMINGO DR</t>
  </si>
  <si>
    <t>5 MEADOWLARK CT</t>
  </si>
  <si>
    <t>15 MEADOWLARK CT</t>
  </si>
  <si>
    <t>20 WHIPPOORWILL CT</t>
  </si>
  <si>
    <t>130 EXETER CT</t>
  </si>
  <si>
    <t>100 CARDINAL LN</t>
  </si>
  <si>
    <t>330 STOCKPORT CT</t>
  </si>
  <si>
    <t>760 BERWICK PL</t>
  </si>
  <si>
    <t>315 CHATHAM LN</t>
  </si>
  <si>
    <t>1280 PEMBROOK CIR</t>
  </si>
  <si>
    <t>1165 BLUE HERON WAY</t>
  </si>
  <si>
    <t>55 FLAMINGO DR</t>
  </si>
  <si>
    <t>110 ANDOVER DR</t>
  </si>
  <si>
    <t>751 EDENWOOD DR</t>
  </si>
  <si>
    <t>1120 HYGATE DR</t>
  </si>
  <si>
    <t>500 AVEBURY LN</t>
  </si>
  <si>
    <t>1120 FLAMINGO DR</t>
  </si>
  <si>
    <t>1030 BLUE BIRD LN</t>
  </si>
  <si>
    <t>132 S ROSELLE RD</t>
  </si>
  <si>
    <t>710 BERWICK PL</t>
  </si>
  <si>
    <t>1070 FLAMINGO DR</t>
  </si>
  <si>
    <t>27 N ANDOVER DR</t>
  </si>
  <si>
    <t>1300 COVENTRY CT</t>
  </si>
  <si>
    <t>520 PRIMROSE CIR</t>
  </si>
  <si>
    <t>570 ROMFORD CT</t>
  </si>
  <si>
    <t>37 N ANDOVER DR</t>
  </si>
  <si>
    <t>1150 BLUE HERON WAY</t>
  </si>
  <si>
    <t>280 STOCKPORT CT</t>
  </si>
  <si>
    <t>540 PRIMROSE CIR</t>
  </si>
  <si>
    <t>1220 ANDOVER DR</t>
  </si>
  <si>
    <t>1060 FLAMINGO DR</t>
  </si>
  <si>
    <t>1110 BLUE HERON WAY</t>
  </si>
  <si>
    <t>644 STAFFORD DR</t>
  </si>
  <si>
    <t>1301 COVENTRY CT</t>
  </si>
  <si>
    <t>535 PRIMROSE CIR</t>
  </si>
  <si>
    <t>745 EDENWOOD DR</t>
  </si>
  <si>
    <t>400 AVEBURY CT</t>
  </si>
  <si>
    <t>349 BRIGHTON BAY</t>
  </si>
  <si>
    <t>1130 BLUEBIRD</t>
  </si>
  <si>
    <t>1140 BLUEBIRD LN</t>
  </si>
  <si>
    <t>1160 BLUE HERON WAY</t>
  </si>
  <si>
    <t>800 BRANDYWINE DR</t>
  </si>
  <si>
    <t>835 WOODSIDE DR</t>
  </si>
  <si>
    <t>35 CLAIR CT</t>
  </si>
  <si>
    <t>135 FLAMINGO DR</t>
  </si>
  <si>
    <t>1095 FLAMINGO</t>
  </si>
  <si>
    <t>670 EDENWOOD DR</t>
  </si>
  <si>
    <t>CARDINL&amp;FLAMINGO</t>
  </si>
  <si>
    <t>80 PELICAN BAY</t>
  </si>
  <si>
    <t>785 EDENWOOD DR</t>
  </si>
  <si>
    <t>30 MEADOWLARK CT</t>
  </si>
  <si>
    <t>1270 FLAMINGO DR</t>
  </si>
  <si>
    <t>693 FOXDALE CT</t>
  </si>
  <si>
    <t>687 RODENBERG RD</t>
  </si>
  <si>
    <t>688 FOXDALE CT</t>
  </si>
  <si>
    <t>1240 W FLAMINGO DR</t>
  </si>
  <si>
    <t>120 CARDINAL LN</t>
  </si>
  <si>
    <t>110 CARDINAL LN</t>
  </si>
  <si>
    <t>1120 BLUEBIRD LN</t>
  </si>
  <si>
    <t>1150 BLUEBIRD LN</t>
  </si>
  <si>
    <t>579 BOBBY ANN CT</t>
  </si>
  <si>
    <t>1304 COVENTRY CT</t>
  </si>
  <si>
    <t>300 BRIGHTON BAY</t>
  </si>
  <si>
    <t>820 BRANDYWINE DR</t>
  </si>
  <si>
    <t>1120 BLUE HERON WAY</t>
  </si>
  <si>
    <t>695 MIDDLETON DR</t>
  </si>
  <si>
    <t>105 CARDINAL LN</t>
  </si>
  <si>
    <t>280 CHATHAM LN 2</t>
  </si>
  <si>
    <t>1115 BLUEBIRD LN</t>
  </si>
  <si>
    <t>720 EDENWOOD DR</t>
  </si>
  <si>
    <t>65 FLAMINGO DR</t>
  </si>
  <si>
    <t>120 EXETER CT</t>
  </si>
  <si>
    <t>1130 BLUE HERON WAY</t>
  </si>
  <si>
    <t>1170 NORMAN LN</t>
  </si>
  <si>
    <t>536 AVEBURY LN</t>
  </si>
  <si>
    <t>1135 FLAMINGO DR</t>
  </si>
  <si>
    <t>668 BERWICK PLACE</t>
  </si>
  <si>
    <t>935 BRANDYWINE DR</t>
  </si>
  <si>
    <t>1155 BLUE HERON WAY</t>
  </si>
  <si>
    <t>1303 COVENTRY CT</t>
  </si>
  <si>
    <t>1100 FLAMINGO DR</t>
  </si>
  <si>
    <t>7 N ANDOVER DR</t>
  </si>
  <si>
    <t>495 GARDEN AVE</t>
  </si>
  <si>
    <t>1115 SINGLETON DR</t>
  </si>
  <si>
    <t>795 BRANDYWINE DR</t>
  </si>
  <si>
    <t>1130 FLAMINGO DR</t>
  </si>
  <si>
    <t>1070 BLUEBIRD LN</t>
  </si>
  <si>
    <t>1060 BLUEBIRD LN</t>
  </si>
  <si>
    <t>1080 BLUEBIRD LN</t>
  </si>
  <si>
    <t>1090 BLUEBIRD LN</t>
  </si>
  <si>
    <t>1100 BLUEBIRD LN</t>
  </si>
  <si>
    <t>285 STOCKPORT CT</t>
  </si>
  <si>
    <t>845 BRANDYWINE DR</t>
  </si>
  <si>
    <t>10 CLAIR CT</t>
  </si>
  <si>
    <t>565 KENSINGTON CT</t>
  </si>
  <si>
    <t>1160 BLUEBIRD LN</t>
  </si>
  <si>
    <t>1110 BLUEBIRD LN</t>
  </si>
  <si>
    <t>1040 BLUEBIRD LN</t>
  </si>
  <si>
    <t>695 RODENBURG RD</t>
  </si>
  <si>
    <t>1050 BLUEBIRD LN</t>
  </si>
  <si>
    <t>585 KENSINGTON CT</t>
  </si>
  <si>
    <t>501 BOBBY ANN CT</t>
  </si>
  <si>
    <t>357 BRIGHTON BAY</t>
  </si>
  <si>
    <t>65 RODENBURG RD</t>
  </si>
  <si>
    <t>1140 BLUE HERON WAY</t>
  </si>
  <si>
    <t>450 FORDHAM PL</t>
  </si>
  <si>
    <t>220 ASHLEY CT</t>
  </si>
  <si>
    <t>1125 FLAMINGO DR</t>
  </si>
  <si>
    <t>570 KENSINGTON CT</t>
  </si>
  <si>
    <t>775 EDENWOOD DR</t>
  </si>
  <si>
    <t>75 RODENBURG RD</t>
  </si>
  <si>
    <t>1170 BLUEBIRD LN</t>
  </si>
  <si>
    <t>265 STOCKPORT CT</t>
  </si>
  <si>
    <t>575 KENSINGTON CT</t>
  </si>
  <si>
    <t>1145 BLUE HERON</t>
  </si>
  <si>
    <t>800 MEADE LN</t>
  </si>
  <si>
    <t>150 EXETER CT</t>
  </si>
  <si>
    <t>20 CLAIR CT</t>
  </si>
  <si>
    <t>230 ASHLEY CT</t>
  </si>
  <si>
    <t>815 BRANDYWINE DR</t>
  </si>
  <si>
    <t>730 BRYN MAWR AVE</t>
  </si>
  <si>
    <t>1120 SINGLETON DR</t>
  </si>
  <si>
    <t>65 CARDINAL LN</t>
  </si>
  <si>
    <t>160 EXETER CT</t>
  </si>
  <si>
    <t>140 EXETER CT</t>
  </si>
  <si>
    <t>725 WOODSIDE DR</t>
  </si>
  <si>
    <t>54 N ANDOVER DR</t>
  </si>
  <si>
    <t>440 AVEBURY CT</t>
  </si>
  <si>
    <t>431 FORDHAM PL</t>
  </si>
  <si>
    <t>580 ROMFORD CT</t>
  </si>
  <si>
    <t>155 EXETER CT</t>
  </si>
  <si>
    <t>1311 BRISTOL CT</t>
  </si>
  <si>
    <t>340 BRIGHTON BAY</t>
  </si>
  <si>
    <t>1250 FLAMINGO DR</t>
  </si>
  <si>
    <t>655 EDENWOOD DR</t>
  </si>
  <si>
    <t>5 CLAIR CT</t>
  </si>
  <si>
    <t>715 BERWICK PL</t>
  </si>
  <si>
    <t>330 BRIGHTON BAY</t>
  </si>
  <si>
    <t>17 N ANDOVER DR</t>
  </si>
  <si>
    <t>25 CLAIR CT</t>
  </si>
  <si>
    <t>30 CLAIR CT</t>
  </si>
  <si>
    <t>15 CLAIR CT</t>
  </si>
  <si>
    <t>1260 W FLAMINGO DR</t>
  </si>
  <si>
    <t>40 CLAIR CT</t>
  </si>
  <si>
    <t>24 N ANDOVER DR</t>
  </si>
  <si>
    <t>100 ANDOVER DR</t>
  </si>
  <si>
    <t>34 N ANDOVER DR</t>
  </si>
  <si>
    <t>44 ANDOVER DR</t>
  </si>
  <si>
    <t>1155 BLUEBIRD LN</t>
  </si>
  <si>
    <t>270 CHATHAM LN</t>
  </si>
  <si>
    <t>295 STOCKPORT CT</t>
  </si>
  <si>
    <t>225 ASHLEY CT</t>
  </si>
  <si>
    <t>345 HAMSTEAD CT</t>
  </si>
  <si>
    <t>267 CHATHAM LN</t>
  </si>
  <si>
    <t>1145 FLAMINGO</t>
  </si>
  <si>
    <t>658 BERWICK PL</t>
  </si>
  <si>
    <t>270 STOCKPORT CT</t>
  </si>
  <si>
    <t>540 AVEBURY LN</t>
  </si>
  <si>
    <t>1140 FLAMINGO DR</t>
  </si>
  <si>
    <t>528 AVEBURY LN</t>
  </si>
  <si>
    <t>1110 NORMAN LN</t>
  </si>
  <si>
    <t>60 PELICAN BAY</t>
  </si>
  <si>
    <t>570 DALTON LN</t>
  </si>
  <si>
    <t>145 EXETER CT</t>
  </si>
  <si>
    <t>905 BRANDYWINE DR</t>
  </si>
  <si>
    <t>100 RODENBURG RD</t>
  </si>
  <si>
    <t>1307 BRISTOL CT</t>
  </si>
  <si>
    <t>580 KENSINGTON CT</t>
  </si>
  <si>
    <t>985 WOODSIDE DR</t>
  </si>
  <si>
    <t>485 RIDGEFIELD DR</t>
  </si>
  <si>
    <t>1130 MENSCHING RD</t>
  </si>
  <si>
    <t>825 STONEFIELD PL</t>
  </si>
  <si>
    <t>50 PELICAN BAY</t>
  </si>
  <si>
    <t>40 PELICAN BAY</t>
  </si>
  <si>
    <t>1140 COLONY LN</t>
  </si>
  <si>
    <t>448 FORDHAM PL</t>
  </si>
  <si>
    <t>683 RODENBURG RD</t>
  </si>
  <si>
    <t>330 CHATHAM LN</t>
  </si>
  <si>
    <t>95 FLAMINGO DR</t>
  </si>
  <si>
    <t>85 FLAMINGO DR</t>
  </si>
  <si>
    <t>125 FLAMINGO DR</t>
  </si>
  <si>
    <t>105 FLAMINGO DR</t>
  </si>
  <si>
    <t>115 FLAMINGO DR</t>
  </si>
  <si>
    <t>75 FLAMINGO DR</t>
  </si>
  <si>
    <t>1285 COVENTRY CT</t>
  </si>
  <si>
    <t>355 HAMSTEAD CT</t>
  </si>
  <si>
    <t>175 CHATHAM LN</t>
  </si>
  <si>
    <t>550 AVEBURY LN</t>
  </si>
  <si>
    <t>54 E HATTENDORF AVE</t>
  </si>
  <si>
    <t>310 BRIGHTON BAY</t>
  </si>
  <si>
    <t>249 CHATHAM CT</t>
  </si>
  <si>
    <t>697 FOXDALE CT</t>
  </si>
  <si>
    <t>90 CHATHAM LN</t>
  </si>
  <si>
    <t>1090 FLAMINGO DR</t>
  </si>
  <si>
    <t>1200 SINGLETON DR</t>
  </si>
  <si>
    <t>1230 ANDOVER DR</t>
  </si>
  <si>
    <t>709 BERWICK PLACE</t>
  </si>
  <si>
    <t>200 CHATHAM LN</t>
  </si>
  <si>
    <t>1250 WATERBURY LN</t>
  </si>
  <si>
    <t>370 HAMSTEAD CT</t>
  </si>
  <si>
    <t>733 BERWICK PL</t>
  </si>
  <si>
    <t>15 ANDOVER DR</t>
  </si>
  <si>
    <t>1107 HYGATE DR</t>
  </si>
  <si>
    <t>595 ROMFORD CT</t>
  </si>
  <si>
    <t>1080 FLAMINGO DR</t>
  </si>
  <si>
    <t>461 GLENMORE PL</t>
  </si>
  <si>
    <t>620 RODENBURG RD</t>
  </si>
  <si>
    <t>620 KENSINGTON CT</t>
  </si>
  <si>
    <t>1205 COLONY LN</t>
  </si>
  <si>
    <t>110 RODENBURG RD</t>
  </si>
  <si>
    <t>1350 WATERBURY LN</t>
  </si>
  <si>
    <t>180 CHATHAM LN</t>
  </si>
  <si>
    <t>660 BRIARWOOD LN</t>
  </si>
  <si>
    <t>190 CHATHAM LN</t>
  </si>
  <si>
    <t>1145 BLUEBIRD LN</t>
  </si>
  <si>
    <t>915 BRANDYWINE DR</t>
  </si>
  <si>
    <t>1125 BLUEBIRD LN</t>
  </si>
  <si>
    <t>530 GLENMORE PL</t>
  </si>
  <si>
    <t>354 HAMSTEAD CT</t>
  </si>
  <si>
    <t>595 KENSINGTON CT</t>
  </si>
  <si>
    <t>590 KENSINGTON CT</t>
  </si>
  <si>
    <t>1120 MENSCHING RD</t>
  </si>
  <si>
    <t>1130 HYGATE DR</t>
  </si>
  <si>
    <t>801 BRANDYWINE DR</t>
  </si>
  <si>
    <t>70 PELICAN BAY</t>
  </si>
  <si>
    <t>1310 BRISTOL CT</t>
  </si>
  <si>
    <t>1019 WOODSIDE DR</t>
  </si>
  <si>
    <t>721 EDENWOOD DR</t>
  </si>
  <si>
    <t>780 BRANDYWINE DR</t>
  </si>
  <si>
    <t>1285 CHATHAM LN</t>
  </si>
  <si>
    <t>420 AVEBURY CT</t>
  </si>
  <si>
    <t>660 EDENWOOD DR</t>
  </si>
  <si>
    <t>723 RADNOR DR</t>
  </si>
  <si>
    <t>719 RADNOR DR</t>
  </si>
  <si>
    <t>695 EDENWOOD DR</t>
  </si>
  <si>
    <t>1290 CHATHAM LN</t>
  </si>
  <si>
    <t>575 DALTON LN</t>
  </si>
  <si>
    <t>1120 NORMAN LN</t>
  </si>
  <si>
    <t>1135 BLUEBIRD</t>
  </si>
  <si>
    <t>170 CHATHAM LN</t>
  </si>
  <si>
    <t>771 W BRYN MAWR AVE</t>
  </si>
  <si>
    <t>895 BRANDYWINE DR</t>
  </si>
  <si>
    <t>985 EDENWOOD DR</t>
  </si>
  <si>
    <t>365 HAMSTEAD CT</t>
  </si>
  <si>
    <t>1240 ANDOVER DR</t>
  </si>
  <si>
    <t>80 CHATHAM LN</t>
  </si>
  <si>
    <t>1275 CHATHAM LN</t>
  </si>
  <si>
    <t>430 RIDGEFIELD DR</t>
  </si>
  <si>
    <t>285 HAMSTEAD CT</t>
  </si>
  <si>
    <t>445 AVEBURY LN</t>
  </si>
  <si>
    <t>1107 DARBY LN</t>
  </si>
  <si>
    <t>1310 PEMBROOK CIR</t>
  </si>
  <si>
    <t>241 CHATHAM LN</t>
  </si>
  <si>
    <t>692 FOXDALE CT</t>
  </si>
  <si>
    <t>545 WATERBURY LN</t>
  </si>
  <si>
    <t>690 EDENWOOD DR</t>
  </si>
  <si>
    <t>1275 COVENTRY CT</t>
  </si>
  <si>
    <t>940 BRANDYWINE DR</t>
  </si>
  <si>
    <t>80 ANDOVER DR</t>
  </si>
  <si>
    <t>1270 COVENTRY LN</t>
  </si>
  <si>
    <t>1270 CHATHAM LN</t>
  </si>
  <si>
    <t>425 RIDGEFIELD DR</t>
  </si>
  <si>
    <t>835 STONFIELD PL</t>
  </si>
  <si>
    <t>304 HAMSTEAD CT</t>
  </si>
  <si>
    <t>560 HAMPTON LN</t>
  </si>
  <si>
    <t>210 CHATHAM LN</t>
  </si>
  <si>
    <t>320 STOCKPORT CT</t>
  </si>
  <si>
    <t>160 CHATHAM LN</t>
  </si>
  <si>
    <t>675 EDENWOOD DR</t>
  </si>
  <si>
    <t>720 BERWICK PL</t>
  </si>
  <si>
    <t>835 EDENWOOD DR</t>
  </si>
  <si>
    <t>820 W BRYN MAWR AVE</t>
  </si>
  <si>
    <t>501 GLENMORE PL</t>
  </si>
  <si>
    <t>95 ANDOVER DR</t>
  </si>
  <si>
    <t>900 BRYN MAWR AVE</t>
  </si>
  <si>
    <t>1280 WATERBURY LN</t>
  </si>
  <si>
    <t>485 GARDEN AVE</t>
  </si>
  <si>
    <t>1300 BRISTOL CT</t>
  </si>
  <si>
    <t>670 BRIARWOOD LN</t>
  </si>
  <si>
    <t>1300 PEMBROOK CIR</t>
  </si>
  <si>
    <t>1020 WOODSIDE DR</t>
  </si>
  <si>
    <t>665 EDENWOOD DR</t>
  </si>
  <si>
    <t>890 EDENWOOD DR</t>
  </si>
  <si>
    <t>50 ANDOVER DR</t>
  </si>
  <si>
    <t>905 W BRYN MAWR AVE</t>
  </si>
  <si>
    <t>615 EDENWOOD DR</t>
  </si>
  <si>
    <t>650 EDENWOOD DR</t>
  </si>
  <si>
    <t>605 KENSINGTON CT</t>
  </si>
  <si>
    <t>447 FORDHAM PL</t>
  </si>
  <si>
    <t>1291 PEMBROOK CIR</t>
  </si>
  <si>
    <t>645 EDENWOOD DR</t>
  </si>
  <si>
    <t>530 FRANCESCA LN</t>
  </si>
  <si>
    <t>679 RODENBURG RD</t>
  </si>
  <si>
    <t>625 KENSINGTON CT</t>
  </si>
  <si>
    <t>455 GARDEN AVE</t>
  </si>
  <si>
    <t>500 DALTON LN</t>
  </si>
  <si>
    <t>970 EDENWOOD DR</t>
  </si>
  <si>
    <t>1170 MENSCHING RD</t>
  </si>
  <si>
    <t>636 STAFFORD DR</t>
  </si>
  <si>
    <t>790 MEADE LN</t>
  </si>
  <si>
    <t>255 CHATHAM LN</t>
  </si>
  <si>
    <t>985 W BRYN MAWR AVE</t>
  </si>
  <si>
    <t>350 BRIGHTON BAY</t>
  </si>
  <si>
    <t>1310 CHATHAM LN</t>
  </si>
  <si>
    <t>621 STAFFORD DR</t>
  </si>
  <si>
    <t>220 CHATHAM LN</t>
  </si>
  <si>
    <t>1236 ANDOVER DR</t>
  </si>
  <si>
    <t>1290 PEMBROOK CIR</t>
  </si>
  <si>
    <t>1105 COLONY LN</t>
  </si>
  <si>
    <t>430 FORDHAM PL</t>
  </si>
  <si>
    <t>150 CHATHAM LN</t>
  </si>
  <si>
    <t>610 EDENWOOD DR</t>
  </si>
  <si>
    <t>340 HAMSTEAD CT</t>
  </si>
  <si>
    <t>290 HAMSTEAD CT</t>
  </si>
  <si>
    <t>260 CHATHAM LN</t>
  </si>
  <si>
    <t>530 DALTON LN</t>
  </si>
  <si>
    <t>1195 DARBY LN</t>
  </si>
  <si>
    <t>570 FRANCESCA LN</t>
  </si>
  <si>
    <t>275 STOCKPORT CT</t>
  </si>
  <si>
    <t>820 STONEFIELD PL</t>
  </si>
  <si>
    <t>635 EDENWOOD DR</t>
  </si>
  <si>
    <t>584 KINGSTON CT</t>
  </si>
  <si>
    <t>560 DALTON LN</t>
  </si>
  <si>
    <t>1295 CHATHAM LN</t>
  </si>
  <si>
    <t>43 W CENTRAL</t>
  </si>
  <si>
    <t>794 MEADE LN</t>
  </si>
  <si>
    <t>1284 PEMBROOK CIR</t>
  </si>
  <si>
    <t>834 EDENWOOD DR</t>
  </si>
  <si>
    <t>540 MIDDLETON DR</t>
  </si>
  <si>
    <t>110 PELICAN BAY</t>
  </si>
  <si>
    <t>263 CHATHAM LN</t>
  </si>
  <si>
    <t>230 CHATHAM LN</t>
  </si>
  <si>
    <t>680 BRIARWOOD LN</t>
  </si>
  <si>
    <t>710 EDENWOOD DR</t>
  </si>
  <si>
    <t>520 DALTON LN</t>
  </si>
  <si>
    <t>1131 BRYN MAWR AVE</t>
  </si>
  <si>
    <t>1160 DARBY LN</t>
  </si>
  <si>
    <t>685 EDENWOOD DR</t>
  </si>
  <si>
    <t>510 DALTON LN</t>
  </si>
  <si>
    <t>895 EDENWOOD DR</t>
  </si>
  <si>
    <t>915 EDENWOOD DR</t>
  </si>
  <si>
    <t>784 BRANDYWINE DR</t>
  </si>
  <si>
    <t>654 BERWICK PL</t>
  </si>
  <si>
    <t>830 W BRYN MAWR AVE</t>
  </si>
  <si>
    <t>555 HAMPTON LN</t>
  </si>
  <si>
    <t>665 BERWICK PL</t>
  </si>
  <si>
    <t>555 RIDGEFIELD DR</t>
  </si>
  <si>
    <t>685 MIDDLETON DR</t>
  </si>
  <si>
    <t>545 AVEBURY LN</t>
  </si>
  <si>
    <t>565 DALTON LN</t>
  </si>
  <si>
    <t>495 RIDGEFIELD DR</t>
  </si>
  <si>
    <t>615 KENSINGTON CT</t>
  </si>
  <si>
    <t>140 CHATHAM LN</t>
  </si>
  <si>
    <t>625 EDENWOOD DR</t>
  </si>
  <si>
    <t>490 S GARDEN AVE</t>
  </si>
  <si>
    <t>850 STONEFIELD PL</t>
  </si>
  <si>
    <t>520 AVEBURY LN</t>
  </si>
  <si>
    <t>19 S ROSELLE RD</t>
  </si>
  <si>
    <t>340 CHATHAM LN</t>
  </si>
  <si>
    <t>475 RIDGEFIELD DR</t>
  </si>
  <si>
    <t>830 BRANDYWINE DR</t>
  </si>
  <si>
    <t>840 STONEFIELD PL</t>
  </si>
  <si>
    <t>100 CHATHAM LN</t>
  </si>
  <si>
    <t>1125 HYGATE DR</t>
  </si>
  <si>
    <t>430 AVEBURY CT</t>
  </si>
  <si>
    <t>401 RODENBURG RD</t>
  </si>
  <si>
    <t>629 STAFFORD DR</t>
  </si>
  <si>
    <t>540 DALTON LN</t>
  </si>
  <si>
    <t>240 CHATHAM LN</t>
  </si>
  <si>
    <t>335 BRIGHTON BAY</t>
  </si>
  <si>
    <t>344 HAMSTEAD CT</t>
  </si>
  <si>
    <t>125 EXETER CT</t>
  </si>
  <si>
    <t>1251 W BRYN MAWR AVE</t>
  </si>
  <si>
    <t>335 HAMSTEAD CT</t>
  </si>
  <si>
    <t>885 W BRYN MAWR AVE</t>
  </si>
  <si>
    <t>1330 BRISTOL CT</t>
  </si>
  <si>
    <t>1295 COVENTRY CT</t>
  </si>
  <si>
    <t>870 STONEFIELD PL</t>
  </si>
  <si>
    <t>689 FOXDALE CT</t>
  </si>
  <si>
    <t>662 BERWICK PL</t>
  </si>
  <si>
    <t>259 CHATHAM CT</t>
  </si>
  <si>
    <t>805 BRANDYWINE DR</t>
  </si>
  <si>
    <t>443 FORDHAM PL</t>
  </si>
  <si>
    <t>1195 SINGLETON DR</t>
  </si>
  <si>
    <t>1165 DARBY LN</t>
  </si>
  <si>
    <t>885 BRANDYWINE DR</t>
  </si>
  <si>
    <t>320 BRIGHTON BAY</t>
  </si>
  <si>
    <t>85 CHATHAM LN</t>
  </si>
  <si>
    <t>575 ROMFORD CT</t>
  </si>
  <si>
    <t>1271 W BRYN MAWR AVE</t>
  </si>
  <si>
    <t>245 CHATHAM LN</t>
  </si>
  <si>
    <t>1300 CHATHAM LN</t>
  </si>
  <si>
    <t>1200 COLONY LN</t>
  </si>
  <si>
    <t>580 KINGSTON CT</t>
  </si>
  <si>
    <t>620 FRANCESCA LN</t>
  </si>
  <si>
    <t>505 AVEBURY LN</t>
  </si>
  <si>
    <t>805 STONEFIELD PL</t>
  </si>
  <si>
    <t>135 CHATHAM LN</t>
  </si>
  <si>
    <t>130 CHATHAM LN</t>
  </si>
  <si>
    <t>880 EDENWOOD DR</t>
  </si>
  <si>
    <t>691 RODENBURG RD</t>
  </si>
  <si>
    <t>1000 W BRYN MAWR AVE</t>
  </si>
  <si>
    <t>600 KENSINGTON CT</t>
  </si>
  <si>
    <t>250 CHATHAM LN</t>
  </si>
  <si>
    <t>802 MEADE LN</t>
  </si>
  <si>
    <t>432 FORDHAM PLACE</t>
  </si>
  <si>
    <t>1280 CHATHAM LN</t>
  </si>
  <si>
    <t>350 HAMSTEAD CT</t>
  </si>
  <si>
    <t>715 BRIARWOOD LN</t>
  </si>
  <si>
    <t>490 RIDGEFIELD DR</t>
  </si>
  <si>
    <t>790 BRANDYWINE DR</t>
  </si>
  <si>
    <t>1315 CHATHAM LN</t>
  </si>
  <si>
    <t>585 DOVER CT</t>
  </si>
  <si>
    <t>830 STONEFIELD PL</t>
  </si>
  <si>
    <t>1185 HYGATE DR</t>
  </si>
  <si>
    <t>125 CHATHAM LN</t>
  </si>
  <si>
    <t>625 STAFFORD DR</t>
  </si>
  <si>
    <t>1175 DARBY LN</t>
  </si>
  <si>
    <t>620 EDENWOOD DR</t>
  </si>
  <si>
    <t>1300 WATERBURY LN</t>
  </si>
  <si>
    <t>640 EDENWOOD DR</t>
  </si>
  <si>
    <t>630 EDENWOOD DR</t>
  </si>
  <si>
    <t>714 BERWICK PL</t>
  </si>
  <si>
    <t>195 CHATHAM LN</t>
  </si>
  <si>
    <t>312 HAMSTEAD CT</t>
  </si>
  <si>
    <t>555 DALTON LN</t>
  </si>
  <si>
    <t>1130 DARBY LN</t>
  </si>
  <si>
    <t>765 EDENWOOD DR</t>
  </si>
  <si>
    <t>460 GLENMORE PL</t>
  </si>
  <si>
    <t>550 HAMPTON LN</t>
  </si>
  <si>
    <t>360 HAMSTEAD CT</t>
  </si>
  <si>
    <t>885 EDENWOOD DR</t>
  </si>
  <si>
    <t>345 BRIGHTON BAY</t>
  </si>
  <si>
    <t>715 MIDDLETON DR</t>
  </si>
  <si>
    <t>408 DOVER DR</t>
  </si>
  <si>
    <t>516 AVEBURY LN</t>
  </si>
  <si>
    <t>617 STAFFORD DR</t>
  </si>
  <si>
    <t>613 STAFFORD DR</t>
  </si>
  <si>
    <t>734 MIDDLETON DR</t>
  </si>
  <si>
    <t>120 N CHATHAM LN</t>
  </si>
  <si>
    <t>445 FORDHAM PL</t>
  </si>
  <si>
    <t>633 STAFFORD DR</t>
  </si>
  <si>
    <t>1111 DARBY LN</t>
  </si>
  <si>
    <t>285 CHATHAM LN</t>
  </si>
  <si>
    <t>545 DALTON LN</t>
  </si>
  <si>
    <t>855 EDENWOOD DR</t>
  </si>
  <si>
    <t>25 ANDOVER DR</t>
  </si>
  <si>
    <t>1015 WOODSIDE DR</t>
  </si>
  <si>
    <t>825 WOODSIDE DR</t>
  </si>
  <si>
    <t>55 ANDOVER DR</t>
  </si>
  <si>
    <t>65 ANDOVER DR</t>
  </si>
  <si>
    <t>75 ANDOVER DR</t>
  </si>
  <si>
    <t>85 ANDOVER DR</t>
  </si>
  <si>
    <t>700 BERWICK PL</t>
  </si>
  <si>
    <t>1305 CHATHAM LN</t>
  </si>
  <si>
    <t>515 DALTON LN</t>
  </si>
  <si>
    <t>675 RODENBURG RD</t>
  </si>
  <si>
    <t>550 DALTON LN</t>
  </si>
  <si>
    <t>610 KENSINGTON CT</t>
  </si>
  <si>
    <t>840 W BRYN MAWR AVE</t>
  </si>
  <si>
    <t>875 BRANDYWINE DR</t>
  </si>
  <si>
    <t>300 STOCKPORT CT</t>
  </si>
  <si>
    <t>185 CHATHAM LN</t>
  </si>
  <si>
    <t>1170 COLONY LN</t>
  </si>
  <si>
    <t>95 CHATHAM LN</t>
  </si>
  <si>
    <t>684 FOXDALE CT</t>
  </si>
  <si>
    <t>1315 BRISTOL CT</t>
  </si>
  <si>
    <t>925 BRANDYWINE DR</t>
  </si>
  <si>
    <t>1320 BRISTOL CT</t>
  </si>
  <si>
    <t>1165 HYGATE DR</t>
  </si>
  <si>
    <t>628 STAFFORD DR</t>
  </si>
  <si>
    <t>480 OXFORD PL</t>
  </si>
  <si>
    <t>1231 W BRYN MAWR AVE</t>
  </si>
  <si>
    <t>1241 BRYN MAWR AVE</t>
  </si>
  <si>
    <t>1295 PEMBROOK CIR</t>
  </si>
  <si>
    <t>1101 HYGATE DR</t>
  </si>
  <si>
    <t>1141 BRYN MAWR</t>
  </si>
  <si>
    <t>135 EXETER CT</t>
  </si>
  <si>
    <t>520 FRANCESCA LN</t>
  </si>
  <si>
    <t>1276 CHATHAM LN</t>
  </si>
  <si>
    <t>505 DOVER CT</t>
  </si>
  <si>
    <t>535 AVEBURY LN</t>
  </si>
  <si>
    <t>436 FORDHAM PL</t>
  </si>
  <si>
    <t>740 W BRYN MAWR AVE</t>
  </si>
  <si>
    <t>310 STOCKPORT CT</t>
  </si>
  <si>
    <t>110 CHATHAM LN</t>
  </si>
  <si>
    <t>715 RADNOR DR</t>
  </si>
  <si>
    <t>640 STAFFORD DR</t>
  </si>
  <si>
    <t>1320 PEMBROOK CIR</t>
  </si>
  <si>
    <t>830 EDENWOOD DR</t>
  </si>
  <si>
    <t>632 STAFFORD DR</t>
  </si>
  <si>
    <t>290 STOCKPORT CT</t>
  </si>
  <si>
    <t>850 W BRYN MAWR AVE</t>
  </si>
  <si>
    <t>305 BRIGHTON BAY</t>
  </si>
  <si>
    <t>1190 COLONY LN</t>
  </si>
  <si>
    <t>500 RIDGEFIELD DR</t>
  </si>
  <si>
    <t>465 HAMPTON LN</t>
  </si>
  <si>
    <t>105 CHATHAM LN</t>
  </si>
  <si>
    <t>1111 BRYN MAWR AVE</t>
  </si>
  <si>
    <t>1160 HYGATE DR</t>
  </si>
  <si>
    <t>401 DOVER DR</t>
  </si>
  <si>
    <t>479 WATERBURY LN</t>
  </si>
  <si>
    <t>465 S GARDEN AVE</t>
  </si>
  <si>
    <t>570 RADNOR DR</t>
  </si>
  <si>
    <t>240 ASHLEY CT</t>
  </si>
  <si>
    <t>465 RIDGEFIELD DR</t>
  </si>
  <si>
    <t>729 EDENWOOD DR</t>
  </si>
  <si>
    <t>758 BERWICK PL</t>
  </si>
  <si>
    <t>565 RADNOR DR</t>
  </si>
  <si>
    <t>405 DOVER DR</t>
  </si>
  <si>
    <t>735 WOODSIDE DR</t>
  </si>
  <si>
    <t>605 RODENBURG RD</t>
  </si>
  <si>
    <t>645 RODENBURG RD</t>
  </si>
  <si>
    <t>535 DALTON LN</t>
  </si>
  <si>
    <t>1165 COLONY LN</t>
  </si>
  <si>
    <t>1260 WATERBURY LN</t>
  </si>
  <si>
    <t>575 RADNOR DR</t>
  </si>
  <si>
    <t>675 RADNOR DR</t>
  </si>
  <si>
    <t>990 WOODSIDE DR</t>
  </si>
  <si>
    <t>460 NORMAN LN</t>
  </si>
  <si>
    <t>737 EDENWOOD DR</t>
  </si>
  <si>
    <t>1120 DARBY LN</t>
  </si>
  <si>
    <t>860 W BRYN MAWR AVE</t>
  </si>
  <si>
    <t>991 WOODSIDE DR</t>
  </si>
  <si>
    <t>545 RIDGEFIELD DR</t>
  </si>
  <si>
    <t>810 WOODSIDE DR</t>
  </si>
  <si>
    <t>1160 COLONY LN</t>
  </si>
  <si>
    <t>460 HAMPTON LN</t>
  </si>
  <si>
    <t>545 DOVER DR</t>
  </si>
  <si>
    <t>690 BERWICK PL</t>
  </si>
  <si>
    <t>525 AVEBURY LN</t>
  </si>
  <si>
    <t>462 GLENMORE PL</t>
  </si>
  <si>
    <t>1150 COLONY LN</t>
  </si>
  <si>
    <t>1175 HYGATE DR</t>
  </si>
  <si>
    <t>1135 HYGATE DR</t>
  </si>
  <si>
    <t>1155 HYGATE DR</t>
  </si>
  <si>
    <t>1145 HYGATE DR</t>
  </si>
  <si>
    <t>510 RIDGEFIELD DR</t>
  </si>
  <si>
    <t>290 BRIGHTON BAY</t>
  </si>
  <si>
    <t>1155 MENSCHING RD</t>
  </si>
  <si>
    <t>730 MEADE LN</t>
  </si>
  <si>
    <t>1115 MENSCHING RD</t>
  </si>
  <si>
    <t>1125 MENSCHING ROAD</t>
  </si>
  <si>
    <t>1135 MENSCHING RD</t>
  </si>
  <si>
    <t>1145 MENSCHING RD</t>
  </si>
  <si>
    <t>520 RIDGEFIELD DR</t>
  </si>
  <si>
    <t>1160 MENSCHING RD</t>
  </si>
  <si>
    <t>565 KINGSTON CT</t>
  </si>
  <si>
    <t>1195 COLONY LN</t>
  </si>
  <si>
    <t>315 HAMSTEAD CT</t>
  </si>
  <si>
    <t>1180 HYGATE DR</t>
  </si>
  <si>
    <t>455 AVEBURY LN</t>
  </si>
  <si>
    <t>1185 COLONY LN</t>
  </si>
  <si>
    <t>325 HAMSTEAD CT</t>
  </si>
  <si>
    <t>505 DALTON LN</t>
  </si>
  <si>
    <t>515 AVEBURY LN</t>
  </si>
  <si>
    <t>1175 COLONY LN</t>
  </si>
  <si>
    <t>505 RIDGEFIELD DR</t>
  </si>
  <si>
    <t>440 RIDGEFIELD DR</t>
  </si>
  <si>
    <t>305 CHATHAM LN</t>
  </si>
  <si>
    <t>295 CHATHAM LN</t>
  </si>
  <si>
    <t>450 RIDGEFIELD DR</t>
  </si>
  <si>
    <t>1170 HYGATE DR</t>
  </si>
  <si>
    <t>115 RODENBURG RD</t>
  </si>
  <si>
    <t>550 WATERBURY LN</t>
  </si>
  <si>
    <t>215 CHATHAM LN</t>
  </si>
  <si>
    <t>205 CHATHAM LN</t>
  </si>
  <si>
    <t>1340 WATERBURY LN</t>
  </si>
  <si>
    <t>1180 COLONY LN</t>
  </si>
  <si>
    <t>515 RIDGEFIELD DR</t>
  </si>
  <si>
    <t>735 RODENBURG RD</t>
  </si>
  <si>
    <t>1280 COVENTRY CT</t>
  </si>
  <si>
    <t>700 EDENWOOD DR</t>
  </si>
  <si>
    <t>1290 COVENTRY CT</t>
  </si>
  <si>
    <t>360 CHATHAM LN</t>
  </si>
  <si>
    <t>890 BRANDYWINE DR</t>
  </si>
  <si>
    <t>930 BRANDYWINE DR</t>
  </si>
  <si>
    <t>840 BRANDYWINE DR</t>
  </si>
  <si>
    <t>400 OXFORD PL</t>
  </si>
  <si>
    <t>880 BRANDYWINE DR</t>
  </si>
  <si>
    <t>850 BRANDYWINE DR</t>
  </si>
  <si>
    <t>395 NORMAN LN</t>
  </si>
  <si>
    <t>860 BRANDYWINE DR</t>
  </si>
  <si>
    <t>900 BRANDYWINE DR</t>
  </si>
  <si>
    <t>350 CHATHAM LN</t>
  </si>
  <si>
    <t>870 BRANDYWINE DR</t>
  </si>
  <si>
    <t>1270 WATERBURY LN</t>
  </si>
  <si>
    <t>525 RIDGEFIELD DR</t>
  </si>
  <si>
    <t>455 RIDGEFIELD DR</t>
  </si>
  <si>
    <t>435 RIDGEFIELD RD</t>
  </si>
  <si>
    <t>445 RIDGEFIELD DR</t>
  </si>
  <si>
    <t>461 RIDGEFIELD DR</t>
  </si>
  <si>
    <t>675 BERWICK PL</t>
  </si>
  <si>
    <t>320 HAMSTEAD CT</t>
  </si>
  <si>
    <t>756 BERWICK PL</t>
  </si>
  <si>
    <t>330 HAMSTEAD CT</t>
  </si>
  <si>
    <t>535 RIDGEFIELD DR</t>
  </si>
  <si>
    <t>707 RADNOR DR</t>
  </si>
  <si>
    <t>588 KINGSTON CT</t>
  </si>
  <si>
    <t>308 HAMSTEAD CT</t>
  </si>
  <si>
    <t>1261 BRYN MAWR AVE</t>
  </si>
  <si>
    <t>1145 COLONY LN</t>
  </si>
  <si>
    <t>593 KINGSTON CT</t>
  </si>
  <si>
    <t>1110 SINGLETON DR</t>
  </si>
  <si>
    <t>1125 SINGLETON DR</t>
  </si>
  <si>
    <t>1113 SINGLETON DR</t>
  </si>
  <si>
    <t>1155 COLONY LN</t>
  </si>
  <si>
    <t>650 RODENBURG ROAD</t>
  </si>
  <si>
    <t>1103 DARBY LN</t>
  </si>
  <si>
    <t>780 MEADE LN</t>
  </si>
  <si>
    <t>1211 W BRYN MAWR AVE</t>
  </si>
  <si>
    <t>535 RADNOR DR</t>
  </si>
  <si>
    <t>1014 WOODSIDE DR</t>
  </si>
  <si>
    <t>1201 W BRYN MAWR AVE</t>
  </si>
  <si>
    <t>624 STAFFORD DR</t>
  </si>
  <si>
    <t>1155 DARBY LN</t>
  </si>
  <si>
    <t>790 WOODSIDE DR</t>
  </si>
  <si>
    <t>475 OXFORD PL</t>
  </si>
  <si>
    <t>1109 SINGLETON DR</t>
  </si>
  <si>
    <t>589 KINGSTON CT</t>
  </si>
  <si>
    <t>875 STONEFIELD PL</t>
  </si>
  <si>
    <t>485 GLENMORE PL</t>
  </si>
  <si>
    <t>475 HAMPTON LN</t>
  </si>
  <si>
    <t>655 RODENBURG RD</t>
  </si>
  <si>
    <t>1171 W BRYN MAWR AVE</t>
  </si>
  <si>
    <t>840 EDENWOOD DR</t>
  </si>
  <si>
    <t>703 RADNOR DR</t>
  </si>
  <si>
    <t>1310 WATERBURY LN</t>
  </si>
  <si>
    <t>713 BERWICK PL</t>
  </si>
  <si>
    <t>1185 DARBY LN</t>
  </si>
  <si>
    <t>709 MIDDLETON DR</t>
  </si>
  <si>
    <t>1170 DARBY LN</t>
  </si>
  <si>
    <t>717 BERWICK PL</t>
  </si>
  <si>
    <t>370 CHATHAM LN</t>
  </si>
  <si>
    <t>711 RADNOR DR</t>
  </si>
  <si>
    <t>1130 SINGLETON DR</t>
  </si>
  <si>
    <t>845 STONEFIELD PL</t>
  </si>
  <si>
    <t>570 STAFFORD DR</t>
  </si>
  <si>
    <t>1225 WATERBURY LN</t>
  </si>
  <si>
    <t>540 FRANCESCA LN</t>
  </si>
  <si>
    <t>721 S BERWICK PLACE</t>
  </si>
  <si>
    <t>648 STAFFORD DR</t>
  </si>
  <si>
    <t>645 STAFFORD DR</t>
  </si>
  <si>
    <t>725 BERWICK PL</t>
  </si>
  <si>
    <t>315 BRIGHTON BAY</t>
  </si>
  <si>
    <t>683 MIDDLETON DR</t>
  </si>
  <si>
    <t>325 BRIGHTON BAY</t>
  </si>
  <si>
    <t>729 BERWICK PL</t>
  </si>
  <si>
    <t>540 RADNOR DR</t>
  </si>
  <si>
    <t>724 BERWICK PL</t>
  </si>
  <si>
    <t>965 EDENWOOD DR</t>
  </si>
  <si>
    <t>731 BERWICK PL</t>
  </si>
  <si>
    <t>660 RADNOR DR</t>
  </si>
  <si>
    <t>630 RADNOR DR</t>
  </si>
  <si>
    <t>600 RADNOR DR</t>
  </si>
  <si>
    <t>727 BERWICK PL</t>
  </si>
  <si>
    <t>685 BERWICK PL</t>
  </si>
  <si>
    <t>705 BERWICK CT</t>
  </si>
  <si>
    <t>580 RADNOR DR</t>
  </si>
  <si>
    <t>719 BERWICK PL</t>
  </si>
  <si>
    <t>640 RADNOR DR</t>
  </si>
  <si>
    <t>650 RADNOR DR</t>
  </si>
  <si>
    <t>590 RADNOR DR</t>
  </si>
  <si>
    <t>723 BERWICK PL</t>
  </si>
  <si>
    <t>610 RADNOR DR</t>
  </si>
  <si>
    <t>620 RADNOR DR</t>
  </si>
  <si>
    <t>695 BERWICK PL</t>
  </si>
  <si>
    <t>755 EDENWOOD DR</t>
  </si>
  <si>
    <t>703 BRIARWOOD LN</t>
  </si>
  <si>
    <t>705 WOODSIDE DR</t>
  </si>
  <si>
    <t>545 RADNOR DR</t>
  </si>
  <si>
    <t>484 GLENMORE PL</t>
  </si>
  <si>
    <t>450 WATERBURY LN</t>
  </si>
  <si>
    <t>520 GLENMORE PL</t>
  </si>
  <si>
    <t>649 STAFFORD DR</t>
  </si>
  <si>
    <t>695 RADNOR DR</t>
  </si>
  <si>
    <t>555 RADNOR DR</t>
  </si>
  <si>
    <t>480 GLENMORE PL</t>
  </si>
  <si>
    <t>490 GLENMORE PL</t>
  </si>
  <si>
    <t>510 GLENMORE PL</t>
  </si>
  <si>
    <t>500 GLENMORE PL</t>
  </si>
  <si>
    <t>685 RADNOR DR</t>
  </si>
  <si>
    <t>612 STAFFORD DR</t>
  </si>
  <si>
    <t>625 RODENBURG RD</t>
  </si>
  <si>
    <t>746 BERWICK PL</t>
  </si>
  <si>
    <t>635 RODENBURG RD</t>
  </si>
  <si>
    <t>615 RODENBURG RD</t>
  </si>
  <si>
    <t>860 STONEFIELD PL</t>
  </si>
  <si>
    <t>735 MEADE LN</t>
  </si>
  <si>
    <t>640 RODENBURG RD</t>
  </si>
  <si>
    <t>580 FRANCESCA LN</t>
  </si>
  <si>
    <t>608 STAFFORD DR</t>
  </si>
  <si>
    <t>845 W BRYN MAWR AVE</t>
  </si>
  <si>
    <t>630 RODENBURG RD</t>
  </si>
  <si>
    <t>665 RODENBURG RD</t>
  </si>
  <si>
    <t>993 WOODSIDE DR</t>
  </si>
  <si>
    <t>820 WOODSIDE DR</t>
  </si>
  <si>
    <t>1325 PEMBROOK CIR</t>
  </si>
  <si>
    <t>699 RADNOR</t>
  </si>
  <si>
    <t>1121 W BRYN MAWR AVE</t>
  </si>
  <si>
    <t>590 FRANCESCA LN</t>
  </si>
  <si>
    <t>FRANCESCA LN</t>
  </si>
  <si>
    <t>600 FRANCESCA LN</t>
  </si>
  <si>
    <t>692 RADNOR DR</t>
  </si>
  <si>
    <t>785 MEADE LN</t>
  </si>
  <si>
    <t>410 DOVER DR</t>
  </si>
  <si>
    <t>465 NORMAN LN</t>
  </si>
  <si>
    <t>665 RADNOR DR</t>
  </si>
  <si>
    <t>585 KINGSTON CT</t>
  </si>
  <si>
    <t>645 MIDDLETON DR</t>
  </si>
  <si>
    <t>655 MIDDLETON DR</t>
  </si>
  <si>
    <t>744 BERWICK PL</t>
  </si>
  <si>
    <t>450 S GARDEN AVE</t>
  </si>
  <si>
    <t>709 BRIARWOOD</t>
  </si>
  <si>
    <t>580 STAFFORD DR</t>
  </si>
  <si>
    <t>765 RODENBURG RD</t>
  </si>
  <si>
    <t>635 RADNOR DR</t>
  </si>
  <si>
    <t>585 RADNOR DR</t>
  </si>
  <si>
    <t>615 RADNOR DR</t>
  </si>
  <si>
    <t>655 RADNOR DR</t>
  </si>
  <si>
    <t>625 RADNOR DR</t>
  </si>
  <si>
    <t>595 RADNOR DR</t>
  </si>
  <si>
    <t>645 RADNOR DR</t>
  </si>
  <si>
    <t>605 RADNOR DR</t>
  </si>
  <si>
    <t>740 BERWICK PLACE</t>
  </si>
  <si>
    <t>520 HAMPTON LN</t>
  </si>
  <si>
    <t>789 MEADE LN</t>
  </si>
  <si>
    <t>510 HAMPTON LN</t>
  </si>
  <si>
    <t>675 BRIARWOOD LN</t>
  </si>
  <si>
    <t>850 EDENWOOD DR</t>
  </si>
  <si>
    <t>595 MIDDLETON DR</t>
  </si>
  <si>
    <t>728 BERWICK PL</t>
  </si>
  <si>
    <t>685 BRIARWOOD LN</t>
  </si>
  <si>
    <t>835 W BRYN MAWR AVE</t>
  </si>
  <si>
    <t>575 KINGSTON CT</t>
  </si>
  <si>
    <t>1124 SINGLETON DR</t>
  </si>
  <si>
    <t>530 HAMPTON LN</t>
  </si>
  <si>
    <t>748 BERWICK PL</t>
  </si>
  <si>
    <t>736 BERWICK PL</t>
  </si>
  <si>
    <t>806 MEADE LN</t>
  </si>
  <si>
    <t>851 BRYN MAWR AVE</t>
  </si>
  <si>
    <t>711 MIDDLETON DR</t>
  </si>
  <si>
    <t>490 HAMPTON LN</t>
  </si>
  <si>
    <t>1180 DARBY LN</t>
  </si>
  <si>
    <t>732 BERWICK PLACE</t>
  </si>
  <si>
    <t>370 NORMAN LN</t>
  </si>
  <si>
    <t>654 MIDDLETON DR</t>
  </si>
  <si>
    <t>650 MIDDLETON DR</t>
  </si>
  <si>
    <t>730 WOODSIDE DR</t>
  </si>
  <si>
    <t>815 STONEFIELD PL</t>
  </si>
  <si>
    <t>535 HAMPTON LN</t>
  </si>
  <si>
    <t>405 RODENBURG RD</t>
  </si>
  <si>
    <t>479 HAMPTON LN</t>
  </si>
  <si>
    <t>999 WOODSIDE DR</t>
  </si>
  <si>
    <t>609 STAFFORD DR</t>
  </si>
  <si>
    <t>775 RODENBURG RD</t>
  </si>
  <si>
    <t>1175 SINGLETON DR</t>
  </si>
  <si>
    <t>480 HAMPTON LN</t>
  </si>
  <si>
    <t>535 DOVER CT</t>
  </si>
  <si>
    <t>595 RODENBURG RD</t>
  </si>
  <si>
    <t>752 BERWICK PL</t>
  </si>
  <si>
    <t>815 WOODSIDE DR</t>
  </si>
  <si>
    <t>730 MIDDLETON DR</t>
  </si>
  <si>
    <t>724 MIDDLETON DR</t>
  </si>
  <si>
    <t>680 RADNOR DR</t>
  </si>
  <si>
    <t>855 W BRYN MAWR AVE</t>
  </si>
  <si>
    <t>525 DOVER DR</t>
  </si>
  <si>
    <t>710 MIDDLETON DR</t>
  </si>
  <si>
    <t>824 EDENWOOD DR</t>
  </si>
  <si>
    <t>435 DOVER DR</t>
  </si>
  <si>
    <t>770 MEADE LN</t>
  </si>
  <si>
    <t>1010 WOODSIDE DR</t>
  </si>
  <si>
    <t>420 S GARDEN AVE</t>
  </si>
  <si>
    <t>1165 SINGLETON DR</t>
  </si>
  <si>
    <t>430 GARDEN AVE</t>
  </si>
  <si>
    <t>540 HAMPTON LN</t>
  </si>
  <si>
    <t>600 S GARDEN AVE</t>
  </si>
  <si>
    <t>1101 SINGLETON DR</t>
  </si>
  <si>
    <t>605 STAFFORD DR</t>
  </si>
  <si>
    <t>440 S GARDEN AVE</t>
  </si>
  <si>
    <t>489 HAMPTON LN</t>
  </si>
  <si>
    <t>225 RODENBURG RD</t>
  </si>
  <si>
    <t>575 STAFFORD DR</t>
  </si>
  <si>
    <t>825 W BRYN MAWR AVE</t>
  </si>
  <si>
    <t>590 DOVER DR</t>
  </si>
  <si>
    <t>400 GARDEN AVE</t>
  </si>
  <si>
    <t>515 HAMPTON LN</t>
  </si>
  <si>
    <t>495 HAMPTON LN</t>
  </si>
  <si>
    <t>590 S GARDEN AVE</t>
  </si>
  <si>
    <t>1180 W BRYN MAWR AVE</t>
  </si>
  <si>
    <t>734 BERWICK PL</t>
  </si>
  <si>
    <t>499 HAMPTON LN</t>
  </si>
  <si>
    <t>716 BERWICK PL</t>
  </si>
  <si>
    <t>718 BERWICK PLACE</t>
  </si>
  <si>
    <t>704 MIDDLETON DR</t>
  </si>
  <si>
    <t>595 STAFFORD DR</t>
  </si>
  <si>
    <t>525 HAMPTON LN</t>
  </si>
  <si>
    <t>745 MEADE LN</t>
  </si>
  <si>
    <t>485 HAMPTON LN</t>
  </si>
  <si>
    <t>470 HAMPTON LN</t>
  </si>
  <si>
    <t>785 RODENBURG RD</t>
  </si>
  <si>
    <t>714 MIDDLETON DR</t>
  </si>
  <si>
    <t>751 RODENBURG RD</t>
  </si>
  <si>
    <t>550 RADNOR DR</t>
  </si>
  <si>
    <t>560 FRANCESCA LN</t>
  </si>
  <si>
    <t>515 WATERBURY LN</t>
  </si>
  <si>
    <t>564 MIDDLETON DR</t>
  </si>
  <si>
    <t>456 WATERBURY LN</t>
  </si>
  <si>
    <t>1145 SINGLETON DR</t>
  </si>
  <si>
    <t>465 OXFORD PL</t>
  </si>
  <si>
    <t>560 RADNOR DR</t>
  </si>
  <si>
    <t>550 FRANCESCA LN</t>
  </si>
  <si>
    <t>1145 DARBY LN</t>
  </si>
  <si>
    <t>486 WATERBURY LN</t>
  </si>
  <si>
    <t>739 WOODSIDE DR</t>
  </si>
  <si>
    <t>510 WATERBURY LN</t>
  </si>
  <si>
    <t>476 WATERBURY LN</t>
  </si>
  <si>
    <t>1134 SINGLETON DR</t>
  </si>
  <si>
    <t>255 RODENBURG RD</t>
  </si>
  <si>
    <t>585 STAFFORD DR</t>
  </si>
  <si>
    <t>815 W BRYN MAWR AVE</t>
  </si>
  <si>
    <t>805 RODENBURG RD</t>
  </si>
  <si>
    <t>1105 SINGLETON DR</t>
  </si>
  <si>
    <t>495 WATERBURY LN</t>
  </si>
  <si>
    <t>530 DOVER DR</t>
  </si>
  <si>
    <t>865 W BRYN MAWR AVE</t>
  </si>
  <si>
    <t>605 MIDDLETON DR</t>
  </si>
  <si>
    <t>580 MIDDLETON DR</t>
  </si>
  <si>
    <t>410 GARDEN AVE</t>
  </si>
  <si>
    <t>1135 SINGLETON DR</t>
  </si>
  <si>
    <t>560 DOVER DR</t>
  </si>
  <si>
    <t>795 W BRYN MAWR AVE</t>
  </si>
  <si>
    <t>540 DOVER DR</t>
  </si>
  <si>
    <t>490 DOVER DR</t>
  </si>
  <si>
    <t>510 DOVER DR</t>
  </si>
  <si>
    <t>440 DOVER DR</t>
  </si>
  <si>
    <t>750 MEADE LN</t>
  </si>
  <si>
    <t>801 RODENBURG RD</t>
  </si>
  <si>
    <t>460 DOVER DR</t>
  </si>
  <si>
    <t>470 DOVER DR</t>
  </si>
  <si>
    <t>815 RODENBURG RD</t>
  </si>
  <si>
    <t>805 W BRYN MAWR</t>
  </si>
  <si>
    <t>545 HAMPTON LN</t>
  </si>
  <si>
    <t>570 DOVER DR</t>
  </si>
  <si>
    <t>420 DOVER DR</t>
  </si>
  <si>
    <t>550 DOVER DR</t>
  </si>
  <si>
    <t>525 WATERBURY LN</t>
  </si>
  <si>
    <t>500 DOVER DR</t>
  </si>
  <si>
    <t>480 DOVER DR</t>
  </si>
  <si>
    <t>450 DOVER DR</t>
  </si>
  <si>
    <t>1000 WOODSIDE DR</t>
  </si>
  <si>
    <t>235 RODENBURG RD</t>
  </si>
  <si>
    <t>430 DOVER DR</t>
  </si>
  <si>
    <t>469 HAMPTON LN</t>
  </si>
  <si>
    <t>801 W BRYN MAWR AVE</t>
  </si>
  <si>
    <t>851 STONEFIELD PL</t>
  </si>
  <si>
    <t>795 RODENBURG RD</t>
  </si>
  <si>
    <t>520 DOVER DR</t>
  </si>
  <si>
    <t>1100 SINGLETON DR</t>
  </si>
  <si>
    <t>245 RODENBURG RD</t>
  </si>
  <si>
    <t>760 MEADE LN</t>
  </si>
  <si>
    <t>741 WOODSIDE DR</t>
  </si>
  <si>
    <t>470 WATERBURY LN</t>
  </si>
  <si>
    <t>490 WATERBURY LN</t>
  </si>
  <si>
    <t>745 WOODSIDE DR</t>
  </si>
  <si>
    <t>480 WATERBURY LN</t>
  </si>
  <si>
    <t>755 WOODSIDE DR</t>
  </si>
  <si>
    <t>466 WATERBURY LN</t>
  </si>
  <si>
    <t>755 RODENBURG RD</t>
  </si>
  <si>
    <t>765 WOODSIDE DR</t>
  </si>
  <si>
    <t>775 WOODSIDE DR</t>
  </si>
  <si>
    <t>520 WATERBURY LN</t>
  </si>
  <si>
    <t>795 WOODSIDE DR</t>
  </si>
  <si>
    <t>785 WOODSIDE DR</t>
  </si>
  <si>
    <t>745 RODENBURG RD</t>
  </si>
  <si>
    <t>799 WOODSIDE DR</t>
  </si>
  <si>
    <t>910 W BRYN MAWR AVE</t>
  </si>
  <si>
    <t>570 MIDDLETON DR</t>
  </si>
  <si>
    <t>809 WOODSIDE DR</t>
  </si>
  <si>
    <t>900 EDENWOOD DR</t>
  </si>
  <si>
    <t>915 W BRYN MAWR AVE</t>
  </si>
  <si>
    <t>910 EDENWOOD DR</t>
  </si>
  <si>
    <t>920 EDENWOOD DR</t>
  </si>
  <si>
    <t>925 W BRYN MAWR AVE</t>
  </si>
  <si>
    <t>801 WOODSIDE DR</t>
  </si>
  <si>
    <t>935 BRYN MAWR</t>
  </si>
  <si>
    <t>930 EDENWOOD DR</t>
  </si>
  <si>
    <t>920 W BRYN MAWR AVE</t>
  </si>
  <si>
    <t>950 BRYN MAWR</t>
  </si>
  <si>
    <t>940 EDENWOOD DR</t>
  </si>
  <si>
    <t>980 W BRYN MAWR AVE</t>
  </si>
  <si>
    <t>945 BRYN MAWR AVE</t>
  </si>
  <si>
    <t>955 W BRYN MAWR AVE</t>
  </si>
  <si>
    <t>990 W BRYN MAWR AVE</t>
  </si>
  <si>
    <t>950 EDENWOOD DR</t>
  </si>
  <si>
    <t>960 EDENWOOD DR</t>
  </si>
  <si>
    <t>954 BRYN MAWR AVE</t>
  </si>
  <si>
    <t>820 EDENWOOD DR</t>
  </si>
  <si>
    <t>1155 SINGLETON DR</t>
  </si>
  <si>
    <t>590 MIDDLETON DR</t>
  </si>
  <si>
    <t>675 MIDDLETON DR</t>
  </si>
  <si>
    <t>625 MIDDLETON DR</t>
  </si>
  <si>
    <t>665 MIDDLETON DR</t>
  </si>
  <si>
    <t>681 MIDDLETON DR</t>
  </si>
  <si>
    <t>661 MIDDLETON DR</t>
  </si>
  <si>
    <t>609 MIDDLETON DR</t>
  </si>
  <si>
    <t>615 MIDDLETON DR</t>
  </si>
  <si>
    <t>1190 SINGLETON DR</t>
  </si>
  <si>
    <t>540 WATERBURY LN</t>
  </si>
  <si>
    <t>635 MIDDLETON DR</t>
  </si>
  <si>
    <t>580 DOVER DR</t>
  </si>
  <si>
    <t>505 RODENBURG RD</t>
  </si>
  <si>
    <t>525 RODENBURG RD</t>
  </si>
  <si>
    <t>435 RODENBURG RD</t>
  </si>
  <si>
    <t>415 RODENBURG RD</t>
  </si>
  <si>
    <t>445 RODENBURG RD</t>
  </si>
  <si>
    <t>475 GLENMORE PL</t>
  </si>
  <si>
    <t>545 RODENBURG RD</t>
  </si>
  <si>
    <t>461 RODENBURG RD</t>
  </si>
  <si>
    <t>471 GLENMORE PL</t>
  </si>
  <si>
    <t>501 RODENBURG RD</t>
  </si>
  <si>
    <t>485 RODENBURG RD</t>
  </si>
  <si>
    <t>465 RODENBURG RD</t>
  </si>
  <si>
    <t>720 MIDDLETON DR</t>
  </si>
  <si>
    <t>406 DOVER DR</t>
  </si>
  <si>
    <t>585 RODENBURG RD</t>
  </si>
  <si>
    <t>994 WOODSIDE DR</t>
  </si>
  <si>
    <t>404 DOVER DR</t>
  </si>
  <si>
    <t>395 RODENBURG RD</t>
  </si>
  <si>
    <t>375 RODENBURG RD</t>
  </si>
  <si>
    <t>400 DOVER DR</t>
  </si>
  <si>
    <t>385 RODENBURG RD</t>
  </si>
  <si>
    <t>473 GLENMORE PL</t>
  </si>
  <si>
    <t>479 GLENMORE PL</t>
  </si>
  <si>
    <t>215 RODENBERG RD</t>
  </si>
  <si>
    <t>1150 SINGLETON DR</t>
  </si>
  <si>
    <t>460 WATERBURY LN</t>
  </si>
  <si>
    <t>780 WOODSIDE DR</t>
  </si>
  <si>
    <t>1185 SINGLETON DR</t>
  </si>
  <si>
    <t>472 GLENMORE PL</t>
  </si>
  <si>
    <t>474 GLENMORE PL</t>
  </si>
  <si>
    <t>865 EDENWOOD DR</t>
  </si>
  <si>
    <t>530 WATERBURY LN</t>
  </si>
  <si>
    <t>740 MEADE LN</t>
  </si>
  <si>
    <t>875 EDENWOOD DR</t>
  </si>
  <si>
    <t>489 WATERBURY LN</t>
  </si>
  <si>
    <t>660 MIDDLETON DR</t>
  </si>
  <si>
    <t>610 MIDDLETON DR</t>
  </si>
  <si>
    <t>640 MIDDLETON DR</t>
  </si>
  <si>
    <t>600 MIDDLETON DR</t>
  </si>
  <si>
    <t>690 MIDDLETON DR</t>
  </si>
  <si>
    <t>630 MIDDLETON DR</t>
  </si>
  <si>
    <t>664 MIDDLETON DR</t>
  </si>
  <si>
    <t>620 MIDDLETON DR</t>
  </si>
  <si>
    <t>670 MIDDLETON DR</t>
  </si>
  <si>
    <t>1215 WATERBURY LN</t>
  </si>
  <si>
    <t>694 MIDDLETON DR</t>
  </si>
  <si>
    <t>1140 SINGLETON DR</t>
  </si>
  <si>
    <t>550 MIDDLETON DR</t>
  </si>
  <si>
    <t>580 S GARDEN AVE</t>
  </si>
  <si>
    <t>475 RODENBURG RD</t>
  </si>
  <si>
    <t>560 MIDDLETON DR</t>
  </si>
  <si>
    <t>700 MIDDLETON DR</t>
  </si>
  <si>
    <t>455 RODENBURG RD</t>
  </si>
  <si>
    <t>535 RODENBERG RD</t>
  </si>
  <si>
    <t>555 RODENBURG RD</t>
  </si>
  <si>
    <t>734 WOODSIDE DR</t>
  </si>
  <si>
    <t>770 WOODSIDE DR</t>
  </si>
  <si>
    <t>754 WOODSIDE DR</t>
  </si>
  <si>
    <t>750 WOODSIDE DR</t>
  </si>
  <si>
    <t>425 RODENBURG RD</t>
  </si>
  <si>
    <t>755 MEADE LN</t>
  </si>
  <si>
    <t>740 WOODSIDE DR</t>
  </si>
  <si>
    <t>775 MEADE LN</t>
  </si>
  <si>
    <t>765 MEADE LN</t>
  </si>
  <si>
    <t>515 RODENBERG ROAD</t>
  </si>
  <si>
    <t>760 WOODSIDE DR</t>
  </si>
  <si>
    <t>495 RODENBURG RD</t>
  </si>
  <si>
    <t>404 S GARDEN AVE</t>
  </si>
  <si>
    <t>455 NORMAN LN</t>
  </si>
  <si>
    <t>485 WATERBURY LN</t>
  </si>
  <si>
    <t>865 STONEFIELD PL</t>
  </si>
  <si>
    <t>515 DOVER CT</t>
  </si>
  <si>
    <t>905 EDENWOOD DR</t>
  </si>
  <si>
    <t>445 OXFORD PL</t>
  </si>
  <si>
    <t>535 WATERBURY LN</t>
  </si>
  <si>
    <t>455 W OXFORD PL</t>
  </si>
  <si>
    <t>855 STONEFIELD PL</t>
  </si>
  <si>
    <t>734 MEADE LN</t>
  </si>
  <si>
    <t>450 NORMAN LN</t>
  </si>
  <si>
    <t>410 NORMAN LN</t>
  </si>
  <si>
    <t>440 NORMAN LN</t>
  </si>
  <si>
    <t>380 NORMAN LN</t>
  </si>
  <si>
    <t>570 GARDEN AVE</t>
  </si>
  <si>
    <t>401 NORMAN LN</t>
  </si>
  <si>
    <t>450 OXFORD PL</t>
  </si>
  <si>
    <t>430 OXFORD PL</t>
  </si>
  <si>
    <t>445 NORMAN LN</t>
  </si>
  <si>
    <t>1180 SINGLETON DR</t>
  </si>
  <si>
    <t>440 OXFORD PL</t>
  </si>
  <si>
    <t>405 NORMAN LN</t>
  </si>
  <si>
    <t>435 NORMAN LN</t>
  </si>
  <si>
    <t>575 BOBBY ANN CT</t>
  </si>
  <si>
    <t>810 EDENWOOD DR</t>
  </si>
  <si>
    <t>567 BOBBY ANN CT</t>
  </si>
  <si>
    <t>571 BOBBY ANN CT</t>
  </si>
  <si>
    <t>519 BOBBY ANN CT</t>
  </si>
  <si>
    <t>505 BOBBY ANN CT</t>
  </si>
  <si>
    <t>515 BOBBY ANN CT</t>
  </si>
  <si>
    <t>509 BOBBY ANN CT</t>
  </si>
  <si>
    <t>511 BOBBY ANN CT</t>
  </si>
  <si>
    <t>715 WOODSIDE DR</t>
  </si>
  <si>
    <t>1190 DARBY LN</t>
  </si>
  <si>
    <t>0S634 OLD YORK RD</t>
  </si>
  <si>
    <t>6N746 NEWLAND PL</t>
  </si>
  <si>
    <t>21W560 IRVING PARK RD</t>
  </si>
  <si>
    <t>21W315 TEE LN</t>
  </si>
  <si>
    <t>21W630 IRVING PARK RD</t>
  </si>
  <si>
    <t>6N680 GATES AVE</t>
  </si>
  <si>
    <t>6N741 NEWLAND PL</t>
  </si>
  <si>
    <t>500 PLAINFIELD RD</t>
  </si>
  <si>
    <t>6N731 GATES AVE</t>
  </si>
  <si>
    <t>362 56TH ST</t>
  </si>
  <si>
    <t>6N715 GATES AVE</t>
  </si>
  <si>
    <t>6N735 MANOR LN</t>
  </si>
  <si>
    <t>16W686 57TH ST</t>
  </si>
  <si>
    <t>16W701 56TH ST</t>
  </si>
  <si>
    <t>16W687 56TH PL</t>
  </si>
  <si>
    <t>21W480 IRVING PARK RD</t>
  </si>
  <si>
    <t>16W660 56TH PL</t>
  </si>
  <si>
    <t>16W666 56TH PL</t>
  </si>
  <si>
    <t>6N740 MANOR LN</t>
  </si>
  <si>
    <t>18 PEBBLEWOOD LN</t>
  </si>
  <si>
    <t>1 PEBBLEWOOD TRL</t>
  </si>
  <si>
    <t>1S625 OAKBROOK LAKES</t>
  </si>
  <si>
    <t>21W550 IRVING PARK RD</t>
  </si>
  <si>
    <t>15 NEWLAND PL</t>
  </si>
  <si>
    <t>VALLEY LN</t>
  </si>
  <si>
    <t>1 MANOR RD</t>
  </si>
  <si>
    <t>MANOR DR</t>
  </si>
  <si>
    <t>6N745 MANOR RD</t>
  </si>
  <si>
    <t>NEWLAND PL</t>
  </si>
  <si>
    <t>6N734 GATES AVE</t>
  </si>
  <si>
    <t>6N740 MANOR DR</t>
  </si>
  <si>
    <t>6N755 VALLEY LN</t>
  </si>
  <si>
    <t>15W615 GRAND AVE</t>
  </si>
  <si>
    <t>6N710 GATES AVE</t>
  </si>
  <si>
    <t>6N730 MANOR RD</t>
  </si>
  <si>
    <t>16W754 56TH PL</t>
  </si>
  <si>
    <t>21W620 IRVING PARK RD</t>
  </si>
  <si>
    <t>6N725 MANOR RD</t>
  </si>
  <si>
    <t>6N725 MANOR LN</t>
  </si>
  <si>
    <t>21W470 IRVING PARK RD</t>
  </si>
  <si>
    <t>16W415 99TH ST</t>
  </si>
  <si>
    <t>22W420 AUTUMN BLAZE DR</t>
  </si>
  <si>
    <t>22W400 AUTUMN BLAZE DR</t>
  </si>
  <si>
    <t>22W421 CRIMSON KING LN</t>
  </si>
  <si>
    <t>2S744 CRIMSON KING LN</t>
  </si>
  <si>
    <t>22W439 CRIMSON KING LN</t>
  </si>
  <si>
    <t>2S724 CRIMSON KING LN</t>
  </si>
  <si>
    <t>8601 MEADOWBROOK DR</t>
  </si>
  <si>
    <t>NANTUCKET DR</t>
  </si>
  <si>
    <t>309 S PRINCETON AVE</t>
  </si>
  <si>
    <t>10 S CHARLES AVE</t>
  </si>
  <si>
    <t>11 S MICHIGAN AVE</t>
  </si>
  <si>
    <t>15 S MICHIGAN AVE</t>
  </si>
  <si>
    <t>430 W ST CHARLES RD</t>
  </si>
  <si>
    <t>351 N ARDMORE AVE</t>
  </si>
  <si>
    <t>329 W ST CHARLES RD</t>
  </si>
  <si>
    <t>401 N ARDMORE AVE</t>
  </si>
  <si>
    <t>10 S VILLA AVE</t>
  </si>
  <si>
    <t>525 E ST CHARLES</t>
  </si>
  <si>
    <t>415 N ARDMORE AVE</t>
  </si>
  <si>
    <t>305 W ST CHARLES RD</t>
  </si>
  <si>
    <t>443 E ST CHARLES RD</t>
  </si>
  <si>
    <t>29 S VILLA AVE</t>
  </si>
  <si>
    <t>27 W PARK BLVD</t>
  </si>
  <si>
    <t>207 S VILLA AVE</t>
  </si>
  <si>
    <t>15-17 W PARK BLVD</t>
  </si>
  <si>
    <t>217 W ST CHARLES RD</t>
  </si>
  <si>
    <t>51-67 PARK BLVD</t>
  </si>
  <si>
    <t>MONTEREY AVE</t>
  </si>
  <si>
    <t>511 E ST CHARLES RD</t>
  </si>
  <si>
    <t>500 W ST CHARLES RD</t>
  </si>
  <si>
    <t>52 E ST CHARLES RD</t>
  </si>
  <si>
    <t>MICHIGAN AVE</t>
  </si>
  <si>
    <t>220 W ST CHARLES RD</t>
  </si>
  <si>
    <t>WILDWOOD AVE</t>
  </si>
  <si>
    <t>114 E ST CHARLES RD</t>
  </si>
  <si>
    <t>295 E SAINT CHARLES RD</t>
  </si>
  <si>
    <t>211 E SAINT CHARLES RD</t>
  </si>
  <si>
    <t>530 W SAINT CHARLES RD</t>
  </si>
  <si>
    <t>204 S VILLA AVE</t>
  </si>
  <si>
    <t>131 ST CHARLES</t>
  </si>
  <si>
    <t>416 N BEVERLY AVE</t>
  </si>
  <si>
    <t>408 N BEVERLY AVE</t>
  </si>
  <si>
    <t>505 E ST CHARLES RD</t>
  </si>
  <si>
    <t>410 N BEVERLY AVE</t>
  </si>
  <si>
    <t>412 N BEVERLY AVE</t>
  </si>
  <si>
    <t>414 N BEVERLY AVE</t>
  </si>
  <si>
    <t>406 N BEVERLY AVE</t>
  </si>
  <si>
    <t>339 S ARDMORE AVE</t>
  </si>
  <si>
    <t>117-23 E ST CHARLES RD</t>
  </si>
  <si>
    <t>116 W ST CHARLES RD</t>
  </si>
  <si>
    <t>320 W SAINT CHARLES RD</t>
  </si>
  <si>
    <t>105 ST CHARLES RD</t>
  </si>
  <si>
    <t>410 E WILDWOOD AVE</t>
  </si>
  <si>
    <t>407 N ELLSWORTH AVE</t>
  </si>
  <si>
    <t>718 N WESTMORE AVE</t>
  </si>
  <si>
    <t>496 N VILLA AVE</t>
  </si>
  <si>
    <t>620 W RIDGE RD</t>
  </si>
  <si>
    <t>630 W RIDGE RD</t>
  </si>
  <si>
    <t>634 W RIDGE RD</t>
  </si>
  <si>
    <t>402 N HAMILTON AVE</t>
  </si>
  <si>
    <t>626 W RIDGE RD</t>
  </si>
  <si>
    <t>616 W RIDGE RD</t>
  </si>
  <si>
    <t>722 N WESTMORE AVE</t>
  </si>
  <si>
    <t>406 N HAMILTON AVE</t>
  </si>
  <si>
    <t>405 N FULTON AVE</t>
  </si>
  <si>
    <t>403 N FULTON AVE</t>
  </si>
  <si>
    <t>405 N GERARD AVE</t>
  </si>
  <si>
    <t>403 N GERARD AVE</t>
  </si>
  <si>
    <t>ELLSWORTH AVE</t>
  </si>
  <si>
    <t>315 N CORNELL AVE</t>
  </si>
  <si>
    <t>329 E PARK ST</t>
  </si>
  <si>
    <t>614 N ARDMORE AVE</t>
  </si>
  <si>
    <t>233 S VILLA AVE</t>
  </si>
  <si>
    <t>327 N CORNELL AVE</t>
  </si>
  <si>
    <t>208 S MYRTLE AVE</t>
  </si>
  <si>
    <t>314 N CORNELL AVE</t>
  </si>
  <si>
    <t>310 N CORNELL AVE</t>
  </si>
  <si>
    <t>316 N ARDMORE AVE</t>
  </si>
  <si>
    <t>560 N ARDMORE AVE</t>
  </si>
  <si>
    <t>564 N ARDMORE AVE</t>
  </si>
  <si>
    <t>204 S MYRTLE</t>
  </si>
  <si>
    <t>261 E KENILWORTH AVE</t>
  </si>
  <si>
    <t>117 MC CONNELL AVE</t>
  </si>
  <si>
    <t>207 W WASHINGTON ST</t>
  </si>
  <si>
    <t>420 S NELTNOR BLVD</t>
  </si>
  <si>
    <t>358 S NELTNOR BLVD</t>
  </si>
  <si>
    <t>314 S NELTNOR BLVD</t>
  </si>
  <si>
    <t>101 MAIN ST</t>
  </si>
  <si>
    <t>185 W WASHINGTON ST</t>
  </si>
  <si>
    <t>166 W WASHINGTON ST</t>
  </si>
  <si>
    <t>200 S NELTNOR AVE</t>
  </si>
  <si>
    <t>364 S NELTNOR BLVD</t>
  </si>
  <si>
    <t>150 W WASHINGTON ST</t>
  </si>
  <si>
    <t>203-5 MAIN ST</t>
  </si>
  <si>
    <t>125 W GENEVA ST</t>
  </si>
  <si>
    <t>212 ARBOR AVE</t>
  </si>
  <si>
    <t>108 WOOD ST</t>
  </si>
  <si>
    <t>204 ARBOR AVE</t>
  </si>
  <si>
    <t>133 W GENEVA ST</t>
  </si>
  <si>
    <t>147 W GENEVA ST</t>
  </si>
  <si>
    <t>145 S WOOD ST</t>
  </si>
  <si>
    <t>117 S AURORA ST</t>
  </si>
  <si>
    <t>104 E GENEVA ST</t>
  </si>
  <si>
    <t>153 WOOD ST</t>
  </si>
  <si>
    <t>240 CHICAGO ST</t>
  </si>
  <si>
    <t>111 S AURORA ST</t>
  </si>
  <si>
    <t>321 CONDE ST</t>
  </si>
  <si>
    <t>202 PARKER AVE</t>
  </si>
  <si>
    <t>103 E MCCONNELL AVE</t>
  </si>
  <si>
    <t>232 CHICAGO ST</t>
  </si>
  <si>
    <t>340 CLAYTON ST</t>
  </si>
  <si>
    <t>344 CLAYTON ST</t>
  </si>
  <si>
    <t>226 ALLEN AVE</t>
  </si>
  <si>
    <t>220 ALLEN AVE</t>
  </si>
  <si>
    <t>230 ALLEN AVE</t>
  </si>
  <si>
    <t>229 PARKER AVE</t>
  </si>
  <si>
    <t>235 PARKER AVE</t>
  </si>
  <si>
    <t>208 PARKER AVE</t>
  </si>
  <si>
    <t>348 CLAYTON ST</t>
  </si>
  <si>
    <t>123 S AURORA ST</t>
  </si>
  <si>
    <t>30W300 NORTH AVE</t>
  </si>
  <si>
    <t>WOODLAND CT</t>
  </si>
  <si>
    <t>205 PARKER</t>
  </si>
  <si>
    <t>239 ALLEN AVE</t>
  </si>
  <si>
    <t>101-15 GENEVA ST</t>
  </si>
  <si>
    <t>155 S CASS AVE</t>
  </si>
  <si>
    <t>147 S CASS AVE</t>
  </si>
  <si>
    <t>15 E QUINCY ST</t>
  </si>
  <si>
    <t>14 W BURLINGTON AVE</t>
  </si>
  <si>
    <t>257 N CASS AVE</t>
  </si>
  <si>
    <t>303 N CASS AVE</t>
  </si>
  <si>
    <t>309 N CASS AVE</t>
  </si>
  <si>
    <t>26 W BURLINGTON AVE</t>
  </si>
  <si>
    <t>18 N CASS AVE</t>
  </si>
  <si>
    <t>110 S CASS AVE</t>
  </si>
  <si>
    <t>128 N CASS AVE</t>
  </si>
  <si>
    <t>134 N CASS AVE</t>
  </si>
  <si>
    <t>200 N CASS AVE</t>
  </si>
  <si>
    <t>218 N CASS AVE</t>
  </si>
  <si>
    <t>226 N CASS AVE</t>
  </si>
  <si>
    <t>236-38 CASS AVE</t>
  </si>
  <si>
    <t>203 N CASS AVE</t>
  </si>
  <si>
    <t>39 N CASS AVE</t>
  </si>
  <si>
    <t>235 N CASS AVE</t>
  </si>
  <si>
    <t>223 N CASS AVE</t>
  </si>
  <si>
    <t>29-31 N CASS AVE</t>
  </si>
  <si>
    <t>233 N CASS AVE</t>
  </si>
  <si>
    <t>245 N CASS AVE</t>
  </si>
  <si>
    <t>34 W BURLINGTON AVE</t>
  </si>
  <si>
    <t>12-16 W NAPERVILLE RD</t>
  </si>
  <si>
    <t>409 N CASS AVE</t>
  </si>
  <si>
    <t>225 S CASS AVE</t>
  </si>
  <si>
    <t>406 N CASS AVE</t>
  </si>
  <si>
    <t>404 N CASS AVE</t>
  </si>
  <si>
    <t>525 S CASS AVE</t>
  </si>
  <si>
    <t>301 E NAPERVILLE RD</t>
  </si>
  <si>
    <t>5628 S CASS AVE</t>
  </si>
  <si>
    <t>223 S CASS AVE</t>
  </si>
  <si>
    <t>129 E 55TH ST</t>
  </si>
  <si>
    <t>37 WILLOWCREST DR</t>
  </si>
  <si>
    <t>315 N CASS AVE</t>
  </si>
  <si>
    <t>321 S CASS AVE</t>
  </si>
  <si>
    <t>125 E 55TH ST</t>
  </si>
  <si>
    <t>235 S CASS AVE</t>
  </si>
  <si>
    <t>319 S CASS AVE</t>
  </si>
  <si>
    <t>315 S CASS AVE</t>
  </si>
  <si>
    <t>309 S CASS AVE</t>
  </si>
  <si>
    <t>301 S CASS AVE</t>
  </si>
  <si>
    <t>322 N CASS AVE</t>
  </si>
  <si>
    <t>135 E 55TH ST</t>
  </si>
  <si>
    <t>103 E 55TH ST</t>
  </si>
  <si>
    <t>211 S CASS AVE</t>
  </si>
  <si>
    <t>205 S CASS AVE</t>
  </si>
  <si>
    <t>434 S CASS AVE</t>
  </si>
  <si>
    <t>511 S CASS AVE</t>
  </si>
  <si>
    <t>402 N CASS AVE</t>
  </si>
  <si>
    <t>47 E 55TH ST</t>
  </si>
  <si>
    <t>6 W 55TH PL</t>
  </si>
  <si>
    <t>318 N CASS AVE</t>
  </si>
  <si>
    <t>125 W QUINCY ST</t>
  </si>
  <si>
    <t>205 W QUINCY ST</t>
  </si>
  <si>
    <t>432 S CASS AVE</t>
  </si>
  <si>
    <t>126 W BURLINGTON AVE</t>
  </si>
  <si>
    <t>200 BURLINGTON AVE</t>
  </si>
  <si>
    <t>501 S CASS AVE</t>
  </si>
  <si>
    <t>30 WILLOW CREST DR</t>
  </si>
  <si>
    <t>418 S CASS AVE</t>
  </si>
  <si>
    <t>503 S CASS AVE</t>
  </si>
  <si>
    <t>502 S CASS AVE</t>
  </si>
  <si>
    <t>234 S CASS AVE</t>
  </si>
  <si>
    <t>218 S CASS AVE</t>
  </si>
  <si>
    <t>320 S CASS AVE</t>
  </si>
  <si>
    <t>335 S CASS AVE</t>
  </si>
  <si>
    <t>333 S CASS AVE</t>
  </si>
  <si>
    <t>339 S CASS AVE</t>
  </si>
  <si>
    <t>508 S CASS AVE</t>
  </si>
  <si>
    <t>504 S CASS AVE</t>
  </si>
  <si>
    <t>512 S CASS AVE</t>
  </si>
  <si>
    <t>336 S CASS AVE</t>
  </si>
  <si>
    <t>16 N WILMETTE AVE</t>
  </si>
  <si>
    <t>38 WILLOW CREST DR</t>
  </si>
  <si>
    <t>516 S CASS AVE</t>
  </si>
  <si>
    <t>505 S CASS AVE</t>
  </si>
  <si>
    <t>301 W QUINCY ST</t>
  </si>
  <si>
    <t>141 W QUINCY ST</t>
  </si>
  <si>
    <t>135 W QUINCY ST</t>
  </si>
  <si>
    <t>305 W QUINCY ST</t>
  </si>
  <si>
    <t>231 W QUINCY ST</t>
  </si>
  <si>
    <t>309 W QUINCY ST</t>
  </si>
  <si>
    <t>139 W QUINCY ST</t>
  </si>
  <si>
    <t>207 W QUINCY ST</t>
  </si>
  <si>
    <t>315 W QUINCY ST</t>
  </si>
  <si>
    <t>213 W QUINCY ST</t>
  </si>
  <si>
    <t>243 W QUINCY ST</t>
  </si>
  <si>
    <t>234 W BURLINGTON AVE</t>
  </si>
  <si>
    <t>230 W BURLINGTON AVE</t>
  </si>
  <si>
    <t>216 W BURLINGTON AVE</t>
  </si>
  <si>
    <t>140 W BURLINGTON AVE</t>
  </si>
  <si>
    <t>120 W BURLINGTON AVE</t>
  </si>
  <si>
    <t>314 N CASS AVE</t>
  </si>
  <si>
    <t>310 N CASS AVE</t>
  </si>
  <si>
    <t>312 N CASS AVE</t>
  </si>
  <si>
    <t>316 N CASS AVE</t>
  </si>
  <si>
    <t>2 W 56TH ST</t>
  </si>
  <si>
    <t>29 WILLOW CREST DR</t>
  </si>
  <si>
    <t>428 S CASS AVE</t>
  </si>
  <si>
    <t>114 E BURLINGTON AVE</t>
  </si>
  <si>
    <t>121 W QUINCY ST</t>
  </si>
  <si>
    <t>15 E 55TH ST</t>
  </si>
  <si>
    <t>427 S CASS AVE</t>
  </si>
  <si>
    <t>100 W BURLINGTON AVE</t>
  </si>
  <si>
    <t>447 S CASS AVE</t>
  </si>
  <si>
    <t>101 W QUINCY ST</t>
  </si>
  <si>
    <t>108 E BURLINGTON AVE</t>
  </si>
  <si>
    <t>102 E BURLINGTON AVE</t>
  </si>
  <si>
    <t>100 E BURLINGTON AVE</t>
  </si>
  <si>
    <t>220 W BURLINGTON AVE</t>
  </si>
  <si>
    <t>109 W QUINCY ST</t>
  </si>
  <si>
    <t>230 S CASS AVE</t>
  </si>
  <si>
    <t>232 S CASS AVE</t>
  </si>
  <si>
    <t>241 W QUINCY ST</t>
  </si>
  <si>
    <t>206 W BURLINGTON AVE</t>
  </si>
  <si>
    <t>134 W BURLINGTON AVE</t>
  </si>
  <si>
    <t>212 BURLINGTON AVE</t>
  </si>
  <si>
    <t>116 BURLINGTON AVE</t>
  </si>
  <si>
    <t>226 W BURLINGTON AVE</t>
  </si>
  <si>
    <t>132 W BURLINGTON AVE</t>
  </si>
  <si>
    <t>238 W BURLINGTON AVE</t>
  </si>
  <si>
    <t>114 W BURLINGTON</t>
  </si>
  <si>
    <t>1216 E CHARLES LN</t>
  </si>
  <si>
    <t>63RD ST</t>
  </si>
  <si>
    <t>S CASS AVE</t>
  </si>
  <si>
    <t>311-13 N CASS AVE</t>
  </si>
  <si>
    <t>311-13 CASS AVE</t>
  </si>
  <si>
    <t>413 N CASS AVE</t>
  </si>
  <si>
    <t>347 S CASS AVE</t>
  </si>
  <si>
    <t>235 W QUINCY ST</t>
  </si>
  <si>
    <t>106 W BURLINGTON AVE</t>
  </si>
  <si>
    <t>306 W BURLINGTON AVE</t>
  </si>
  <si>
    <t>1 WILLOWCREST DR</t>
  </si>
  <si>
    <t>110 W ROOSEVELT RD</t>
  </si>
  <si>
    <t>224 W ROOSEVELT RD</t>
  </si>
  <si>
    <t>210 ROOSEVELT RD</t>
  </si>
  <si>
    <t>214 W ROOSEVELT RD</t>
  </si>
  <si>
    <t>507 E ROOSEVELT RD</t>
  </si>
  <si>
    <t>505 E ROOSEVELT RD</t>
  </si>
  <si>
    <t>631 S HALE ST</t>
  </si>
  <si>
    <t>431 E ROOSEVELT RD</t>
  </si>
  <si>
    <t>427 E ROOSEVELT RD</t>
  </si>
  <si>
    <t>218 W ROOSEVELT RD</t>
  </si>
  <si>
    <t>204 W ROOSEVELT RD</t>
  </si>
  <si>
    <t>107 W INDIANA ST</t>
  </si>
  <si>
    <t>625 S WHEATON AVE</t>
  </si>
  <si>
    <t>106 W ROOSEVELT RD</t>
  </si>
  <si>
    <t>126 W ROOSEVELT RD</t>
  </si>
  <si>
    <t>128 W ROOSEVELT RD</t>
  </si>
  <si>
    <t>421 W ROOSEVELT RD</t>
  </si>
  <si>
    <t>315 S HALE ST</t>
  </si>
  <si>
    <t>309 S HALE ST</t>
  </si>
  <si>
    <t>207 W ROOSEVELT RD</t>
  </si>
  <si>
    <t>203 W ROOSEVELT RD</t>
  </si>
  <si>
    <t>714 WARRENVILLE RD</t>
  </si>
  <si>
    <t>129 N WEST ST</t>
  </si>
  <si>
    <t>117 N ELLIS AVE</t>
  </si>
  <si>
    <t>321 S WHEATON AVE</t>
  </si>
  <si>
    <t>211 W ILLINOIS ST</t>
  </si>
  <si>
    <t>666 S MAIN ST</t>
  </si>
  <si>
    <t>222 E ROOSEVELT RD</t>
  </si>
  <si>
    <t>908 E ROOSEVELT RD</t>
  </si>
  <si>
    <t>518 W ROOSEVELT RD</t>
  </si>
  <si>
    <t>E ROOSEVELT RD</t>
  </si>
  <si>
    <t>917-29 E ROOSEVELT RD</t>
  </si>
  <si>
    <t>820 E ROOSEVELT RD</t>
  </si>
  <si>
    <t>610 ROOSEVELT RD</t>
  </si>
  <si>
    <t>1003 ROOSEVELT RD</t>
  </si>
  <si>
    <t>311 E WESLEY ST</t>
  </si>
  <si>
    <t>305 W FRONT ST</t>
  </si>
  <si>
    <t>603-19 W ROOSEVELT RD</t>
  </si>
  <si>
    <t>CROSS ST</t>
  </si>
  <si>
    <t>214 S WEST ST</t>
  </si>
  <si>
    <t>285 ROOSEVELT RD</t>
  </si>
  <si>
    <t>205 S MAIN ST</t>
  </si>
  <si>
    <t>1703 E ROOSEVELT RD</t>
  </si>
  <si>
    <t>1621 E ROOSEVELT RD</t>
  </si>
  <si>
    <t>1501 E ROOSEVELT RD</t>
  </si>
  <si>
    <t>1831 E ROOSEVELT RD</t>
  </si>
  <si>
    <t>517 W ROOSEVELT RD</t>
  </si>
  <si>
    <t>402 W LIBERTY DR</t>
  </si>
  <si>
    <t>1506 E ROOSEVELT RD</t>
  </si>
  <si>
    <t>211 W ROOSEVELT RD</t>
  </si>
  <si>
    <t>1616 E ROOSEVELT RD</t>
  </si>
  <si>
    <t>1800 E ROOSEVELT RD</t>
  </si>
  <si>
    <t>108 W WILLOW</t>
  </si>
  <si>
    <t>ROOSEVELT RD</t>
  </si>
  <si>
    <t>207 N SCOTT ST</t>
  </si>
  <si>
    <t>1815 E ROOSEVELT RD</t>
  </si>
  <si>
    <t>213-17 S HALE ST</t>
  </si>
  <si>
    <t>623 S NAPERVILLE RD</t>
  </si>
  <si>
    <t>109 N HALE ST</t>
  </si>
  <si>
    <t>121 E FRONT ST</t>
  </si>
  <si>
    <t>104 W WILLOW</t>
  </si>
  <si>
    <t>412 S MAIN ST</t>
  </si>
  <si>
    <t>129-33 N MAIN ST</t>
  </si>
  <si>
    <t>523 W FRONT ST</t>
  </si>
  <si>
    <t>300 S MAIN ST</t>
  </si>
  <si>
    <t>1830 E ROOSEVELT RD</t>
  </si>
  <si>
    <t>207 N ELLIS AVE</t>
  </si>
  <si>
    <t>525 W WESLEY ST</t>
  </si>
  <si>
    <t>218 S WASHINGTON ST</t>
  </si>
  <si>
    <t>214 S WASHINGTON ST</t>
  </si>
  <si>
    <t>204 N GARY AVE</t>
  </si>
  <si>
    <t>626 W WESLEY ST</t>
  </si>
  <si>
    <t>116 E PARKWAY DR</t>
  </si>
  <si>
    <t>WESLEY ST</t>
  </si>
  <si>
    <t>507 W WESLEY ST</t>
  </si>
  <si>
    <t>123 N GARY AVE</t>
  </si>
  <si>
    <t>425 W WESLEY ST</t>
  </si>
  <si>
    <t>423 W WESLEY ST</t>
  </si>
  <si>
    <t>428 W WESLEY ST</t>
  </si>
  <si>
    <t>130 N ELLIS AVE</t>
  </si>
  <si>
    <t>122 N ELLIS AVE</t>
  </si>
  <si>
    <t>456 W SEMINARY AVE</t>
  </si>
  <si>
    <t>462 W SEMINARY AVE</t>
  </si>
  <si>
    <t>440 W SEMINARY AVE</t>
  </si>
  <si>
    <t>432 W SEMINARY AVE</t>
  </si>
  <si>
    <t>448 W SEMINARY AVE</t>
  </si>
  <si>
    <t>424 W SEMINARY AVE</t>
  </si>
  <si>
    <t>202 N WEST ST</t>
  </si>
  <si>
    <t>118 N ELLIS AVE</t>
  </si>
  <si>
    <t>210 N WEST ST</t>
  </si>
  <si>
    <t>218 N WEST ST</t>
  </si>
  <si>
    <t>206 N WEST ST</t>
  </si>
  <si>
    <t>304 N MAIN ST</t>
  </si>
  <si>
    <t>1333 N MAIN ST</t>
  </si>
  <si>
    <t>1403 N MAIN ST</t>
  </si>
  <si>
    <t>1810 TAFT AVE</t>
  </si>
  <si>
    <t>306 N WESTERN AVE</t>
  </si>
  <si>
    <t>202 S WASHINGTON ST # A</t>
  </si>
  <si>
    <t>1928 N PRESIDENT ST</t>
  </si>
  <si>
    <t>414 S HALE ST</t>
  </si>
  <si>
    <t>424 S WHEATON AVE</t>
  </si>
  <si>
    <t>1490 COUNTY FARM RD</t>
  </si>
  <si>
    <t>404 LYON AVE</t>
  </si>
  <si>
    <t>512 CRESCENT ST</t>
  </si>
  <si>
    <t>511 E LIBERTY DR</t>
  </si>
  <si>
    <t>520 S WHEATON AVE</t>
  </si>
  <si>
    <t>1480 BELLEAU WOODS CT</t>
  </si>
  <si>
    <t>2117 BELLEAU WOODS CT</t>
  </si>
  <si>
    <t>1460 BELLEAU WOODS CT</t>
  </si>
  <si>
    <t>1471 BELLEAU WOODS CT</t>
  </si>
  <si>
    <t>214 W ILLINOIS ST</t>
  </si>
  <si>
    <t>208 W ILLINOIS ST</t>
  </si>
  <si>
    <t>521 S WEST ST</t>
  </si>
  <si>
    <t>505 S WEST ST</t>
  </si>
  <si>
    <t>525 S WEST ST</t>
  </si>
  <si>
    <t>1420 BELLEAU WOODS CT</t>
  </si>
  <si>
    <t>423 S WEST ST</t>
  </si>
  <si>
    <t>1430 BELLEAU WOODS CT</t>
  </si>
  <si>
    <t>420 S WHEATON AVE</t>
  </si>
  <si>
    <t>2141 BELLEAU WOODS CT</t>
  </si>
  <si>
    <t>1440 BELLEAU WOODS CT</t>
  </si>
  <si>
    <t>419 S WHEATON AVE</t>
  </si>
  <si>
    <t>1019 E MICHIGAN ST</t>
  </si>
  <si>
    <t>1451 BELLEAU WOODS CT</t>
  </si>
  <si>
    <t>205 W EVERGREEN ST</t>
  </si>
  <si>
    <t>515 E LIBERTY DR</t>
  </si>
  <si>
    <t>109 S SUMNER ST</t>
  </si>
  <si>
    <t>513 E LIBERTY DR</t>
  </si>
  <si>
    <t>516 S WHEATON AVE</t>
  </si>
  <si>
    <t>421 S WEST ST</t>
  </si>
  <si>
    <t>506 S WHEATON AVE</t>
  </si>
  <si>
    <t>504 S WHEATON AVE</t>
  </si>
  <si>
    <t>118 N PRESIDENT ST</t>
  </si>
  <si>
    <t>807 MICHIGAN ST</t>
  </si>
  <si>
    <t>811 MICHIGAN ST</t>
  </si>
  <si>
    <t>108 N CHASE ST</t>
  </si>
  <si>
    <t>419 S HALE ST</t>
  </si>
  <si>
    <t>122 N PRESIDENT ST</t>
  </si>
  <si>
    <t>431 E LIBERTY DR</t>
  </si>
  <si>
    <t>1001 MICHIGAN ST</t>
  </si>
  <si>
    <t>1481 BELLEAU WOODS CT</t>
  </si>
  <si>
    <t>2160 BELLEAU WOODS DR</t>
  </si>
  <si>
    <t>427 E LIBERTY DR</t>
  </si>
  <si>
    <t>2111 BELLEAU WOODS CT</t>
  </si>
  <si>
    <t>212 W INDIANA ST</t>
  </si>
  <si>
    <t>408 CRESCENT ST</t>
  </si>
  <si>
    <t>423 E LIBERTY DR</t>
  </si>
  <si>
    <t>2054 CREEKSIDE DR</t>
  </si>
  <si>
    <t>1441 BELLEAU WOODS CT</t>
  </si>
  <si>
    <t>2056 CREEKSIDE DR</t>
  </si>
  <si>
    <t>2108 BELLEAU WOODS CT</t>
  </si>
  <si>
    <t>712 W CHILDS ST</t>
  </si>
  <si>
    <t>419 E LIBERTY DR</t>
  </si>
  <si>
    <t>406 CRESCENT ST</t>
  </si>
  <si>
    <t>415 LIBERTY DR</t>
  </si>
  <si>
    <t>114 W ILLINOIS ST</t>
  </si>
  <si>
    <t>519 S HALE ST</t>
  </si>
  <si>
    <t>1410 BELLEAU WOODS CT</t>
  </si>
  <si>
    <t>322 W ILLINOIS ST</t>
  </si>
  <si>
    <t>2112 BELLEAU WOODS CT</t>
  </si>
  <si>
    <t>1400 S COUNTY FARM RD</t>
  </si>
  <si>
    <t>1420 S COUNTY FARM RD</t>
  </si>
  <si>
    <t>1440 S COUNTY FARM RD</t>
  </si>
  <si>
    <t>314 W ILLINOIS ST</t>
  </si>
  <si>
    <t>404 CRESCENT ST</t>
  </si>
  <si>
    <t>411 E LIBERTY DR</t>
  </si>
  <si>
    <t>2137 BELLEAU WOODS CT</t>
  </si>
  <si>
    <t>1470 S COUNTY FARM RD</t>
  </si>
  <si>
    <t>2120 BELLEAU WOODS CT</t>
  </si>
  <si>
    <t>517 S HALE ST</t>
  </si>
  <si>
    <t>1480 S COUNTY FARM RD</t>
  </si>
  <si>
    <t>505 S HALE ST</t>
  </si>
  <si>
    <t>402 CRESCENT ST</t>
  </si>
  <si>
    <t>1460 S COUNTY FARM RD</t>
  </si>
  <si>
    <t>1421 BELLEAU WOODS CT</t>
  </si>
  <si>
    <t>400 CRESCENT ST</t>
  </si>
  <si>
    <t>205 W INDIANA ST</t>
  </si>
  <si>
    <t>2129 BELLEAU WOODS CT</t>
  </si>
  <si>
    <t>2133 BELLEAU WOODS CT</t>
  </si>
  <si>
    <t>211 W INDIANA ST</t>
  </si>
  <si>
    <t>917 WHEATON OAKS DR</t>
  </si>
  <si>
    <t>208 W INDIANA ST</t>
  </si>
  <si>
    <t>114 W INDIANA ST</t>
  </si>
  <si>
    <t>925 WHEATON OAKS DR</t>
  </si>
  <si>
    <t>1331 AVERY AVE</t>
  </si>
  <si>
    <t>319 W INDIANA ST</t>
  </si>
  <si>
    <t>429 S WEST ST</t>
  </si>
  <si>
    <t>433 S WEST ST</t>
  </si>
  <si>
    <t>2064 HALLMARK CT</t>
  </si>
  <si>
    <t>417 S WEST ST</t>
  </si>
  <si>
    <t>2037 N PRESIDENT ST</t>
  </si>
  <si>
    <t>2041 N PRESIDENT ST</t>
  </si>
  <si>
    <t>425 S HALE ST</t>
  </si>
  <si>
    <t>423 S HALE ST</t>
  </si>
  <si>
    <t>409 S HALE ST</t>
  </si>
  <si>
    <t>403 S HALE ST</t>
  </si>
  <si>
    <t>508 CHILDS ST</t>
  </si>
  <si>
    <t>1123 WHEATON OAKS CT</t>
  </si>
  <si>
    <t>110-22 SUMNER ST</t>
  </si>
  <si>
    <t>1123 WHEATON OAKS</t>
  </si>
  <si>
    <t>6318 CLARENDON HILLS</t>
  </si>
  <si>
    <t>840 BRETON LAKES DR</t>
  </si>
  <si>
    <t>856 EMERALD CT</t>
  </si>
  <si>
    <t>6348 EMERALD CT</t>
  </si>
  <si>
    <t>6401 EMERALD CT</t>
  </si>
  <si>
    <t>827 EMERALD CT</t>
  </si>
  <si>
    <t>860 TURNBERRY LN</t>
  </si>
  <si>
    <t>836 TURNBERRY LN</t>
  </si>
  <si>
    <t>6354 EMERALD CT</t>
  </si>
  <si>
    <t>835 TURNBERRY LN</t>
  </si>
  <si>
    <t>6466 EMERALD CT</t>
  </si>
  <si>
    <t>6425 EMERALD CT</t>
  </si>
  <si>
    <t>841 TURNBERRY LN</t>
  </si>
  <si>
    <t>855 BRETON LAKES DR</t>
  </si>
  <si>
    <t>854 TURNBERRY LN</t>
  </si>
  <si>
    <t>857 EMERALD CT</t>
  </si>
  <si>
    <t>833 EMERALD CT</t>
  </si>
  <si>
    <t>6433 BRETON LAKES DR</t>
  </si>
  <si>
    <t>6427 BRETON LAKES DR</t>
  </si>
  <si>
    <t>843 BRETON LAKES DR</t>
  </si>
  <si>
    <t>821 EMERALD CT</t>
  </si>
  <si>
    <t>848 TURNBERRY LN</t>
  </si>
  <si>
    <t>815 EMERALD CT</t>
  </si>
  <si>
    <t>6310 BRETON LAKES DR</t>
  </si>
  <si>
    <t>842 TURNBERRY LN</t>
  </si>
  <si>
    <t>6403 BRETON LAKES DR</t>
  </si>
  <si>
    <t>6316 BRETON LAKES DR</t>
  </si>
  <si>
    <t>850 EMERALD CT</t>
  </si>
  <si>
    <t>6460 EMERALD CT</t>
  </si>
  <si>
    <t>6345 BRETON LAKES DR</t>
  </si>
  <si>
    <t>6400 EMERALD CT</t>
  </si>
  <si>
    <t>6406 EMERALD CT</t>
  </si>
  <si>
    <t>6412 EMERALD CT</t>
  </si>
  <si>
    <t>6421 BRETON LAKES DR</t>
  </si>
  <si>
    <t>6418 EMERALD CT</t>
  </si>
  <si>
    <t>6424 EMERALD CT</t>
  </si>
  <si>
    <t>6430 EMERALD CT</t>
  </si>
  <si>
    <t>6322 BRETON LAKES DR</t>
  </si>
  <si>
    <t>6334 BRETON LAKES DR</t>
  </si>
  <si>
    <t>6328 BRETON LAKES DR</t>
  </si>
  <si>
    <t>6340 BRETON LAKES DR</t>
  </si>
  <si>
    <t>6407 EMERALD CT</t>
  </si>
  <si>
    <t>6413 EMERALD CT</t>
  </si>
  <si>
    <t>6419 EMERALD CT</t>
  </si>
  <si>
    <t>6436 EMERALD CT</t>
  </si>
  <si>
    <t>849 BRETON LAKES DR</t>
  </si>
  <si>
    <t>6442 EMERALD CT</t>
  </si>
  <si>
    <t>6448 EMERALD CT</t>
  </si>
  <si>
    <t>6454 EMERALD CT</t>
  </si>
  <si>
    <t>6351 BRETON LAKES DR</t>
  </si>
  <si>
    <t>6415 BRETON LAKES DR</t>
  </si>
  <si>
    <t>6409 BRETON LAKES DR</t>
  </si>
  <si>
    <t>851 EMERALD CT</t>
  </si>
  <si>
    <t>845 EMERALD CT</t>
  </si>
  <si>
    <t>839 EMERALD CT</t>
  </si>
  <si>
    <t>6503 CLARENDON HILLS</t>
  </si>
  <si>
    <t>134 W IRVING PARK RD</t>
  </si>
  <si>
    <t>155 W IRVING PARK RD</t>
  </si>
  <si>
    <t>180 E IRVING PARK RD</t>
  </si>
  <si>
    <t>164-66 W IRVING PARK RD</t>
  </si>
  <si>
    <t>120 W IRVING PARK RD</t>
  </si>
  <si>
    <t>227 E IRVING PARK RD</t>
  </si>
  <si>
    <t>EMPTY LOT IRVING PARK RD</t>
  </si>
  <si>
    <t>235 E IRVING PARK RD</t>
  </si>
  <si>
    <t>392 S WOOD DALE RD</t>
  </si>
  <si>
    <t>386 S WOOD DALE RD</t>
  </si>
  <si>
    <t>353 W HERITAGE DR</t>
  </si>
  <si>
    <t>108 PARAMOUNT DR</t>
  </si>
  <si>
    <t>124 PARAMOUNT DR</t>
  </si>
  <si>
    <t>118 PARAMOUNT DR</t>
  </si>
  <si>
    <t>114 PARAMOUNT DR</t>
  </si>
  <si>
    <t>128 PARAMOUNT DR</t>
  </si>
  <si>
    <t>352-4 MANNING DR</t>
  </si>
  <si>
    <t>365 HERITAGE DR</t>
  </si>
  <si>
    <t>371 HERITAGE DR</t>
  </si>
  <si>
    <t>394 MANNING DR</t>
  </si>
  <si>
    <t>400-2 MANNING DR</t>
  </si>
  <si>
    <t>7 YELLOW STAR CT</t>
  </si>
  <si>
    <t>4 BRAMBLE BUSH CT</t>
  </si>
  <si>
    <t>5 BROOK CT</t>
  </si>
  <si>
    <t>6800 PRAIRIEVIEW AVE</t>
  </si>
  <si>
    <t>6714 GREENLEAF ST</t>
  </si>
  <si>
    <t>3 QUAIL CT</t>
  </si>
  <si>
    <t>6756 GREENLEAF ST</t>
  </si>
  <si>
    <t>2604 ZURICH CT</t>
  </si>
  <si>
    <t>3 REDWING CT</t>
  </si>
  <si>
    <t>2620 BERN CT</t>
  </si>
  <si>
    <t>3 CHERRY TREE CT</t>
  </si>
  <si>
    <t>2218 WHEELER ST</t>
  </si>
  <si>
    <t>2001 VANTAGE ST</t>
  </si>
  <si>
    <t>6806 PRAIRIEVIEW AVE</t>
  </si>
  <si>
    <t>2000 CROWN POINT ST</t>
  </si>
  <si>
    <t>2124 SUNNYDALE ST</t>
  </si>
  <si>
    <t>3 BRAMBLE BUSH CT</t>
  </si>
  <si>
    <t>2201 WHEELER ST</t>
  </si>
  <si>
    <t>2118 SUNNYDALE DR</t>
  </si>
  <si>
    <t>2020 WHEELER ST</t>
  </si>
  <si>
    <t>2637 LUZERN CT</t>
  </si>
  <si>
    <t>10 YELLOWSTAR CT</t>
  </si>
  <si>
    <t>6750 GREENLEAF ST</t>
  </si>
  <si>
    <t>4 BROOK CT</t>
  </si>
  <si>
    <t>3 BROOK CT</t>
  </si>
  <si>
    <t>2207 WHEELER ST</t>
  </si>
  <si>
    <t>2212 WHEELER ST</t>
  </si>
  <si>
    <t>2653 LUZERN CT</t>
  </si>
  <si>
    <t>2545 YELLOW STAR ST</t>
  </si>
  <si>
    <t>2026 WHEELER ST</t>
  </si>
  <si>
    <t>6753 HARVEST AVE</t>
  </si>
  <si>
    <t>2048 VANTAGE ST</t>
  </si>
  <si>
    <t>2024 SUNNYDALE ST</t>
  </si>
  <si>
    <t>2131 SUNNYDALE ST</t>
  </si>
  <si>
    <t>6 YELLOW STAR CT</t>
  </si>
  <si>
    <t>4 QUAIL CT</t>
  </si>
  <si>
    <t>2055 VANTAGE ST</t>
  </si>
  <si>
    <t>2636 LUZERN CT</t>
  </si>
  <si>
    <t>2 CHERRY TREE CT</t>
  </si>
  <si>
    <t>2649 LUZERN CT</t>
  </si>
  <si>
    <t>2608 ZURICH CT</t>
  </si>
  <si>
    <t>6781 GREENLEAF ST</t>
  </si>
  <si>
    <t>6720 GREENLEAF ST</t>
  </si>
  <si>
    <t>6768 GREENLEAF ST</t>
  </si>
  <si>
    <t>6733 CHERRY TREE AVE</t>
  </si>
  <si>
    <t>6672 WHEATFIELD ST</t>
  </si>
  <si>
    <t>6812 PRAIRIEVIEW AVE</t>
  </si>
  <si>
    <t>6807 PRAIRIEVIEW AVE</t>
  </si>
  <si>
    <t>2600 BERN CT</t>
  </si>
  <si>
    <t>6738 GREENLEAF ST</t>
  </si>
  <si>
    <t>6744 GREENLEAF ST</t>
  </si>
  <si>
    <t>9 YELLOW STAR CT</t>
  </si>
  <si>
    <t>6774 GREENLEAF ST</t>
  </si>
  <si>
    <t>6818 PRAIRIEVIEW AVE</t>
  </si>
  <si>
    <t>6732 GREENLEAF ST</t>
  </si>
  <si>
    <t>6726 GREENLEAF ST</t>
  </si>
  <si>
    <t>8 YELLOW STAR CT</t>
  </si>
  <si>
    <t>6925 PRAIRIEVIEW AVE</t>
  </si>
  <si>
    <t>6719 GREENLEAF ST</t>
  </si>
  <si>
    <t>2032 WHEELER ST</t>
  </si>
  <si>
    <t>2054 VANTAGE ST</t>
  </si>
  <si>
    <t>5 PHEASANT CT</t>
  </si>
  <si>
    <t>6824 PRAIRIEVIEW AVE</t>
  </si>
  <si>
    <t>7 BROOK CT</t>
  </si>
  <si>
    <t>6608 FOXTREE AVE</t>
  </si>
  <si>
    <t>5 QUAIL CT</t>
  </si>
  <si>
    <t>2590 SUMAC ST</t>
  </si>
  <si>
    <t>6761 GREENLEAF ST</t>
  </si>
  <si>
    <t>6767 GREENLEAF ST</t>
  </si>
  <si>
    <t>6 BROOK CT</t>
  </si>
  <si>
    <t>2001 WHEELER ST</t>
  </si>
  <si>
    <t>6918 PRAIRIEVIEW AVE</t>
  </si>
  <si>
    <t>2640 LUZERN CT</t>
  </si>
  <si>
    <t>2007 VANTAGE ST</t>
  </si>
  <si>
    <t>2578 YELLOW STAR ST</t>
  </si>
  <si>
    <t>2551 YELLOW STAR ST</t>
  </si>
  <si>
    <t>6773 GREENLEAF ST</t>
  </si>
  <si>
    <t>6762 GREENLEAF ST</t>
  </si>
  <si>
    <t>6755 GREENLEAF ST</t>
  </si>
  <si>
    <t>5 CHERRY TREE CT</t>
  </si>
  <si>
    <t>2042 SUNNYDALE ST</t>
  </si>
  <si>
    <t>6678 WHEATFIELD ST</t>
  </si>
  <si>
    <t>2367 SUNNYDALE DR</t>
  </si>
  <si>
    <t>2574 YELLOW STAR ST</t>
  </si>
  <si>
    <t>4 CHERRY TREE CT</t>
  </si>
  <si>
    <t>2101 WHEELER ST</t>
  </si>
  <si>
    <t>2548 YELLOW STAR ST</t>
  </si>
  <si>
    <t>6749 GREENLEAF ST</t>
  </si>
  <si>
    <t>2334 VISTA DR</t>
  </si>
  <si>
    <t>2401 PHEASANT ST</t>
  </si>
  <si>
    <t>5 BRAMBLE BUSH CT</t>
  </si>
  <si>
    <t>2616 BERN CT</t>
  </si>
  <si>
    <t>6836 PRAIRIEVIEW AVE</t>
  </si>
  <si>
    <t>2612 BERN CT</t>
  </si>
  <si>
    <t>6725 FOXTREE AVE</t>
  </si>
  <si>
    <t>6813 HARVEST AVE</t>
  </si>
  <si>
    <t>2112 SUNNYDALE ST</t>
  </si>
  <si>
    <t>2038 WHEELER ST</t>
  </si>
  <si>
    <t>2517 YELLOW STAR ST</t>
  </si>
  <si>
    <t>2632 BERN CT</t>
  </si>
  <si>
    <t>1 CHERRY TREE CT</t>
  </si>
  <si>
    <t>2025 WHEELER ST</t>
  </si>
  <si>
    <t>2031 WHEELER ST</t>
  </si>
  <si>
    <t>2544 YELLOW STAR ST</t>
  </si>
  <si>
    <t>6906 PRAIRIEVIEW AVE</t>
  </si>
  <si>
    <t>10 WREN CT</t>
  </si>
  <si>
    <t>1 YELLOWSTAR CT</t>
  </si>
  <si>
    <t>2605 ZURICH CT</t>
  </si>
  <si>
    <t>2019 WHEELER ST</t>
  </si>
  <si>
    <t>2125 SUNNYDALE ST</t>
  </si>
  <si>
    <t>6741 HARVEST AVE</t>
  </si>
  <si>
    <t>6936 SUN DROP AVE</t>
  </si>
  <si>
    <t>2 CARDINAL CT</t>
  </si>
  <si>
    <t>6743 GREENLEAF ST</t>
  </si>
  <si>
    <t>6830 PRAIRIEVIEW AVE</t>
  </si>
  <si>
    <t>2037 WHEELER ST</t>
  </si>
  <si>
    <t>5 SWALLOW CT</t>
  </si>
  <si>
    <t>2007 WHEELER ST</t>
  </si>
  <si>
    <t>8 KILDEER CT</t>
  </si>
  <si>
    <t>3 YELLOW STAR CT</t>
  </si>
  <si>
    <t>6923 RED BUD LN</t>
  </si>
  <si>
    <t>7 CHERRY TREE CT</t>
  </si>
  <si>
    <t>6680 WHEATFIELD ST</t>
  </si>
  <si>
    <t>2I19 SUNNYDALE ST</t>
  </si>
  <si>
    <t>6900 PRAIRIEVIEW AVE</t>
  </si>
  <si>
    <t>2 BLUE FLAG CT</t>
  </si>
  <si>
    <t>6725 GREENLEAF ST</t>
  </si>
  <si>
    <t>6731 GREENLEAF ST</t>
  </si>
  <si>
    <t>6737 GREENLEAF ST</t>
  </si>
  <si>
    <t>6628 FOXTREE AVE</t>
  </si>
  <si>
    <t>5 LORRAINE AVE</t>
  </si>
  <si>
    <t>2113 SUNNYDALE ST</t>
  </si>
  <si>
    <t>6710 FOX TREE AVE</t>
  </si>
  <si>
    <t>6848 PRAIRIEVIEW AVE</t>
  </si>
  <si>
    <t>2025 VANTAGE ST</t>
  </si>
  <si>
    <t>2049 VANTAGE ST</t>
  </si>
  <si>
    <t>6814 EASTSIDE AVE</t>
  </si>
  <si>
    <t>6912 PRAIRIEVIEW AVE</t>
  </si>
  <si>
    <t>2513 YELLOW STAR ST</t>
  </si>
  <si>
    <t>2106 SUNNYDALE ST</t>
  </si>
  <si>
    <t>2044 WHEELER ST</t>
  </si>
  <si>
    <t>2013 WHEELER ST</t>
  </si>
  <si>
    <t>6924 SUN DROP AVE</t>
  </si>
  <si>
    <t>2 BROOK CT</t>
  </si>
  <si>
    <t>6842 PRAIRIEVIEW AVE</t>
  </si>
  <si>
    <t>2043 WHEELER ST</t>
  </si>
  <si>
    <t>2100 SUNNYDALE ST</t>
  </si>
  <si>
    <t>2107 WHEELER ST</t>
  </si>
  <si>
    <t>2107 SUNNYDALE ST</t>
  </si>
  <si>
    <t>3 OWL CT</t>
  </si>
  <si>
    <t>6819 EASTSIDE AVE</t>
  </si>
  <si>
    <t>2113 WHEELER ST</t>
  </si>
  <si>
    <t>6825 EASTSIDE AVE</t>
  </si>
  <si>
    <t>2119 WHEELER ST</t>
  </si>
  <si>
    <t>2125 WHEELER ST</t>
  </si>
  <si>
    <t>6831 EASTSIDE AVE</t>
  </si>
  <si>
    <t>6 CHERRY TREE CT</t>
  </si>
  <si>
    <t>6932 SUN DROP AVE</t>
  </si>
  <si>
    <t>8 E LORRAINE CT</t>
  </si>
  <si>
    <t>2131 WHEELER ST</t>
  </si>
  <si>
    <t>6837 EASTSIDE AVE</t>
  </si>
  <si>
    <t>6843 EASTSIDE AVE</t>
  </si>
  <si>
    <t>6831 HARVEST AVE</t>
  </si>
  <si>
    <t>6825 HARVEST AVE</t>
  </si>
  <si>
    <t>6849 EASTSIDE AVE</t>
  </si>
  <si>
    <t>2061 WHEELER ST</t>
  </si>
  <si>
    <t>6705 CHERRY TREE AVE</t>
  </si>
  <si>
    <t>6 BRAMBLEBUSH CT</t>
  </si>
  <si>
    <t>6747 HARVEST AVE</t>
  </si>
  <si>
    <t>6819 HARVEST AVE</t>
  </si>
  <si>
    <t>2055 WHEELER ST</t>
  </si>
  <si>
    <t>2398 VISTA DR</t>
  </si>
  <si>
    <t>2645 LUZERN CT</t>
  </si>
  <si>
    <t>6689 FOX TREE AVE</t>
  </si>
  <si>
    <t>2101 SUNNYDALE ST</t>
  </si>
  <si>
    <t>6820 EASTSIDE AVE</t>
  </si>
  <si>
    <t>6826 EASTSIDE AVE</t>
  </si>
  <si>
    <t>2137 WHEELER ST</t>
  </si>
  <si>
    <t>6832 EASTSIDE AVE</t>
  </si>
  <si>
    <t>6838 EASTSIDE AVE</t>
  </si>
  <si>
    <t>5 YELLOW STAR CT</t>
  </si>
  <si>
    <t>6632 FOX TREE AVE</t>
  </si>
  <si>
    <t>6717 FOX TREE AVE</t>
  </si>
  <si>
    <t>2641 LUZERN CT</t>
  </si>
  <si>
    <t>2 YELLOW STAR CT</t>
  </si>
  <si>
    <t>2049 WHEELER ST</t>
  </si>
  <si>
    <t>6919 PRAIRIEVIEW AVE</t>
  </si>
  <si>
    <t>6860 HARVEST AVE</t>
  </si>
  <si>
    <t>6670 WHEATFIELD ST</t>
  </si>
  <si>
    <t>1 BLUE FLAG CT</t>
  </si>
  <si>
    <t>2050 WHEELER ST</t>
  </si>
  <si>
    <t>4 YELLOW STAR CT</t>
  </si>
  <si>
    <t>2 BRAMBLE BUSH CT</t>
  </si>
  <si>
    <t>6679 FOXTREE AVE</t>
  </si>
  <si>
    <t>6709 CHERRYTREE AVE</t>
  </si>
  <si>
    <t>6813 EASTSIDE AVE</t>
  </si>
  <si>
    <t>6837 HARVEST AVE</t>
  </si>
  <si>
    <t>2206 WHEELER ST</t>
  </si>
  <si>
    <t>2200 WHEELER ST</t>
  </si>
  <si>
    <t>2144 WHEELER ST</t>
  </si>
  <si>
    <t>2132 WHEELER ST</t>
  </si>
  <si>
    <t>2138 WHEELER ST</t>
  </si>
  <si>
    <t>2126 WHEELER ST</t>
  </si>
  <si>
    <t>2120 WHEELER ST</t>
  </si>
  <si>
    <t>2114 WHEELER ST</t>
  </si>
  <si>
    <t>2102 WHEELER ST</t>
  </si>
  <si>
    <t>6925 BLUE FLAG AVE</t>
  </si>
  <si>
    <t>2108 WHEELER ST</t>
  </si>
  <si>
    <t>2060 WHEELER ST</t>
  </si>
  <si>
    <t>2056 WHEELER ST</t>
  </si>
  <si>
    <t>6844 EASTSIDE AVE</t>
  </si>
  <si>
    <t>1 QUAIL CT</t>
  </si>
  <si>
    <t>6931 RED BUD LN</t>
  </si>
  <si>
    <t>2018 SUNNYDALE ST</t>
  </si>
  <si>
    <t>2656 LUZERN CT</t>
  </si>
  <si>
    <t>6674 WHEATFIELD ST</t>
  </si>
  <si>
    <t>2624 BERN CT</t>
  </si>
  <si>
    <t>6807 EASTSIDE AVE</t>
  </si>
  <si>
    <t>6850 EASTSIDE AVE</t>
  </si>
  <si>
    <t>2653 ZURICH CT</t>
  </si>
  <si>
    <t>6818 HARVEST AVE</t>
  </si>
  <si>
    <t>6717 CHERRY TREE AVE</t>
  </si>
  <si>
    <t>2049 SUNNYDALE ST</t>
  </si>
  <si>
    <t>2060 VANTAGE ST</t>
  </si>
  <si>
    <t>6713 CHERRY TREE AVE</t>
  </si>
  <si>
    <t>6709 FOXTREE AVE</t>
  </si>
  <si>
    <t>2565 YELLOW STAR ST</t>
  </si>
  <si>
    <t>3 SUN DROP CT</t>
  </si>
  <si>
    <t>2656 ZURICH CT</t>
  </si>
  <si>
    <t>2601 ZURICH CT</t>
  </si>
  <si>
    <t>6953 SUN DROP AVE</t>
  </si>
  <si>
    <t>2561 YELLOW STAR ST</t>
  </si>
  <si>
    <t>2505 YELLOW STAR ST</t>
  </si>
  <si>
    <t>6843 HARVEST AVE</t>
  </si>
  <si>
    <t>6912 HARVEST AVE</t>
  </si>
  <si>
    <t>2019 VANTAGE ST</t>
  </si>
  <si>
    <t>2569 YELLOW STAR ST</t>
  </si>
  <si>
    <t>6713 FOX TREE AVE</t>
  </si>
  <si>
    <t>6941 RED BUD LN</t>
  </si>
  <si>
    <t>2 QUAIL CT</t>
  </si>
  <si>
    <t>2400 PHEASANT ST</t>
  </si>
  <si>
    <t>11 YELLOW STAR CT</t>
  </si>
  <si>
    <t>6831 PRAIRIEVIEW AVE</t>
  </si>
  <si>
    <t>2371 SUNNYDALE DR</t>
  </si>
  <si>
    <t>2600 ZURICH CT</t>
  </si>
  <si>
    <t>1 CARDINAL CT</t>
  </si>
  <si>
    <t>7 LORRAINE CT</t>
  </si>
  <si>
    <t>6673 FOX TREE AVE</t>
  </si>
  <si>
    <t>2509 YELLOW STAR ST</t>
  </si>
  <si>
    <t>6701 FOX TREE AVE</t>
  </si>
  <si>
    <t>2500 YELLOW STAR ST</t>
  </si>
  <si>
    <t>6721 FOXTREE AVE</t>
  </si>
  <si>
    <t>2013 VANTAGE ST</t>
  </si>
  <si>
    <t>6918 SUN DROP AVE</t>
  </si>
  <si>
    <t>6655 WHEATFIELD ST</t>
  </si>
  <si>
    <t>6724 FOX TREE AVE</t>
  </si>
  <si>
    <t>2006 CROWN POINT ST</t>
  </si>
  <si>
    <t>6848 HARVEST AVE</t>
  </si>
  <si>
    <t>2335 VISTA DR</t>
  </si>
  <si>
    <t>6907 PRAIRIEVIEW AVE</t>
  </si>
  <si>
    <t>6842 HARVEST AVE</t>
  </si>
  <si>
    <t>6702 CHERRY TREE AVE</t>
  </si>
  <si>
    <t>6714 CHERRY TREE AVE</t>
  </si>
  <si>
    <t>6685 FOXTREE AVE</t>
  </si>
  <si>
    <t>6705 FOX TREE AVE</t>
  </si>
  <si>
    <t>2037 SUNNYDALE ST</t>
  </si>
  <si>
    <t>2621 ZURICH CT</t>
  </si>
  <si>
    <t>2625 ZURICH CT</t>
  </si>
  <si>
    <t>2617 ZURICH CT</t>
  </si>
  <si>
    <t>6900 RED BUD LN</t>
  </si>
  <si>
    <t>2555 YELLOW STAR ST</t>
  </si>
  <si>
    <t>6901 PRAIRIEVIEW AVE</t>
  </si>
  <si>
    <t>2412 PHEASANT AVE</t>
  </si>
  <si>
    <t>6913 PRAIRIEVIEW AVE</t>
  </si>
  <si>
    <t>2604 BERN CT</t>
  </si>
  <si>
    <t>2018 CROWN POINT ST</t>
  </si>
  <si>
    <t>6951 RED BUD LN</t>
  </si>
  <si>
    <t>2608 BERN CT</t>
  </si>
  <si>
    <t>6830 HARVEST AVE</t>
  </si>
  <si>
    <t>6812 HARVEST AVE</t>
  </si>
  <si>
    <t>6854 HARVEST AVE</t>
  </si>
  <si>
    <t>2408 PHEASANT ST</t>
  </si>
  <si>
    <t>2613 ZURICH CT</t>
  </si>
  <si>
    <t>6861 REDWING DR</t>
  </si>
  <si>
    <t>2012 CROWN POINT ST</t>
  </si>
  <si>
    <t>6836 HARVEST AVE</t>
  </si>
  <si>
    <t>2002 SUNNYDALE ST</t>
  </si>
  <si>
    <t>6906 HARVEST AVE</t>
  </si>
  <si>
    <t>2 SWALLOW CT</t>
  </si>
  <si>
    <t>2006 SUNNYDALE ST</t>
  </si>
  <si>
    <t>8 CHERRY TREE CT</t>
  </si>
  <si>
    <t>2597 YELLOW STAR ST</t>
  </si>
  <si>
    <t>6806 HARVEST AVE</t>
  </si>
  <si>
    <t>6856 RED WING DR</t>
  </si>
  <si>
    <t>2031 SUNNYDALE ST</t>
  </si>
  <si>
    <t>6776 REDWING DR</t>
  </si>
  <si>
    <t>2025 SUNNYDALE ST</t>
  </si>
  <si>
    <t>2596 YELLOWSTAR ST</t>
  </si>
  <si>
    <t>3 SWALLOW CT</t>
  </si>
  <si>
    <t>6 PHEASANT CT</t>
  </si>
  <si>
    <t>2030 CROWN POINT ST</t>
  </si>
  <si>
    <t>6709 AUDUBON AVE</t>
  </si>
  <si>
    <t>6676 WHEATFIELD ST</t>
  </si>
  <si>
    <t>2012 SUNNYDALE ST</t>
  </si>
  <si>
    <t>6710 CHERRY TREE AVE</t>
  </si>
  <si>
    <t>6855 DOVE AVE</t>
  </si>
  <si>
    <t>2001 SUNNYDALE ST</t>
  </si>
  <si>
    <t>6910 RED BUD LN</t>
  </si>
  <si>
    <t>6706 CHERRYTREE AVE</t>
  </si>
  <si>
    <t>2043 VANTAGE ST</t>
  </si>
  <si>
    <t>6700 AUDUBON AVE</t>
  </si>
  <si>
    <t>6855 EASTSIDE AVE</t>
  </si>
  <si>
    <t>2043 SUNNYDALE ST</t>
  </si>
  <si>
    <t>2629 ZURICH CT</t>
  </si>
  <si>
    <t>6687 WHEATFIELD ST</t>
  </si>
  <si>
    <t>6825 PRAIRIEVIEW AVE</t>
  </si>
  <si>
    <t>6849 HARVEST AVE</t>
  </si>
  <si>
    <t>6819 PRAIRIEVIEW AVE</t>
  </si>
  <si>
    <t>2037 VANTAGE ST</t>
  </si>
  <si>
    <t>4 OWL CT</t>
  </si>
  <si>
    <t>6813 PRAIRIEVIEW AVE</t>
  </si>
  <si>
    <t>4 SUN DROP CT</t>
  </si>
  <si>
    <t>6678 FOX TREE AVE</t>
  </si>
  <si>
    <t>2584 YELLOW STAR ST</t>
  </si>
  <si>
    <t>15 LORRAINE AVE</t>
  </si>
  <si>
    <t>2024 CROWN POINT ST</t>
  </si>
  <si>
    <t>2425 PHEASANT ST</t>
  </si>
  <si>
    <t>6613 FOXTREE AVE</t>
  </si>
  <si>
    <t>2633 LUZERN CT</t>
  </si>
  <si>
    <t>6920 RED BUD LN</t>
  </si>
  <si>
    <t>2595 YELLOW STAR ST</t>
  </si>
  <si>
    <t>6800 HARVEST AVE</t>
  </si>
  <si>
    <t>6648 WHEATFIELD ST</t>
  </si>
  <si>
    <t>11 ORIOLE CT</t>
  </si>
  <si>
    <t>3 CARDINAL CT</t>
  </si>
  <si>
    <t>6950 RED BUD LN</t>
  </si>
  <si>
    <t>6801 HARVEST AVE</t>
  </si>
  <si>
    <t>6624 FOXTREE AVE</t>
  </si>
  <si>
    <t>6915 RED BUD LN</t>
  </si>
  <si>
    <t>6913 SUN DROP AVE</t>
  </si>
  <si>
    <t>2013 SUNNYDALE ST</t>
  </si>
  <si>
    <t>6636 WHEATFIELD ST</t>
  </si>
  <si>
    <t>6824 HARVEST AVE</t>
  </si>
  <si>
    <t>6661 FOXTREE AVE</t>
  </si>
  <si>
    <t>6669 FOXTREE AVE</t>
  </si>
  <si>
    <t>6665 FOXTREE AVE</t>
  </si>
  <si>
    <t>2562 YELLOW STAR ST</t>
  </si>
  <si>
    <t>6799 RED WING DR</t>
  </si>
  <si>
    <t>6930 REDBUD LN</t>
  </si>
  <si>
    <t>2019 SUNNYDALE ST</t>
  </si>
  <si>
    <t>2417 PHEASANT ST</t>
  </si>
  <si>
    <t>2554 YELLOW STAR ST</t>
  </si>
  <si>
    <t>6917 SUN DROP AVE</t>
  </si>
  <si>
    <t>2405 PHEASANT ST</t>
  </si>
  <si>
    <t>2421 PHEASANT ST</t>
  </si>
  <si>
    <t>2330 VISTA DR</t>
  </si>
  <si>
    <t>2594 YELLOW STAR ST</t>
  </si>
  <si>
    <t>6712 FOX TREE AVE</t>
  </si>
  <si>
    <t>6705 AUDUBON AVE</t>
  </si>
  <si>
    <t>2556 YELLOW STAR ST</t>
  </si>
  <si>
    <t>6672 FOX TREE AVE</t>
  </si>
  <si>
    <t>6716 FOX TREE AVE</t>
  </si>
  <si>
    <t>2591 YELLOW STAR ST</t>
  </si>
  <si>
    <t>2570 YELLOW STAR ST</t>
  </si>
  <si>
    <t>6683 WHEATFIELD ST</t>
  </si>
  <si>
    <t>6940 RED BUD LN</t>
  </si>
  <si>
    <t>6720 FOX TREE AVE</t>
  </si>
  <si>
    <t>5 RED WING CT</t>
  </si>
  <si>
    <t>6693 FOX TREE AVE</t>
  </si>
  <si>
    <t>6950 BLUE FLAG AVE</t>
  </si>
  <si>
    <t>2566 YELLOW STAR ST</t>
  </si>
  <si>
    <t>6734 CHERRYTREE AVE</t>
  </si>
  <si>
    <t>6684 FOX TREE AVE</t>
  </si>
  <si>
    <t>2593 YELLOW STAR ST</t>
  </si>
  <si>
    <t>2396 GOLDFINCH ST</t>
  </si>
  <si>
    <t>1 WREN CT</t>
  </si>
  <si>
    <t>1 SWALLOW CT</t>
  </si>
  <si>
    <t>7 ORIOLE CT</t>
  </si>
  <si>
    <t>6676 FOXTREE AVE</t>
  </si>
  <si>
    <t>6837 RED WING DR</t>
  </si>
  <si>
    <t>4 CARDINAL CT</t>
  </si>
  <si>
    <t>2404 PHEASANT ST</t>
  </si>
  <si>
    <t>2628 BERN CT</t>
  </si>
  <si>
    <t>6701 AUDUBON AVE</t>
  </si>
  <si>
    <t>2600 YELLOW STAR ST</t>
  </si>
  <si>
    <t>2398 KILDEER ST</t>
  </si>
  <si>
    <t>6958 BLUE FLAG AVE</t>
  </si>
  <si>
    <t>6852 REDWING DR</t>
  </si>
  <si>
    <t>6 KILDEER CT</t>
  </si>
  <si>
    <t>2701 WILD PLUM ST</t>
  </si>
  <si>
    <t>4 RED WING CT</t>
  </si>
  <si>
    <t>6718 CHERRY TREE AVE</t>
  </si>
  <si>
    <t>4 SWALLOW CT</t>
  </si>
  <si>
    <t>2007 SUNNYDALE ST</t>
  </si>
  <si>
    <t>12 LORRAINE AVE</t>
  </si>
  <si>
    <t>2413 PHEASANT ST</t>
  </si>
  <si>
    <t>2733 WILD PLUM ST</t>
  </si>
  <si>
    <t>6704 AUDUBON AVE</t>
  </si>
  <si>
    <t>2601 YELLOW STAR ST</t>
  </si>
  <si>
    <t>6954 BLUE FLAG AVE</t>
  </si>
  <si>
    <t>6728 CHERRYTREE AVE</t>
  </si>
  <si>
    <t>6652 FOX TREE AVE</t>
  </si>
  <si>
    <t>6664 FOX TREE AVE</t>
  </si>
  <si>
    <t>6660 FOX TREE AVE</t>
  </si>
  <si>
    <t>6668 FOXTREE AVE</t>
  </si>
  <si>
    <t>6648 FOX TREE AVE</t>
  </si>
  <si>
    <t>6656 FOX TREE AVE</t>
  </si>
  <si>
    <t>6617 FOXTREE AVE</t>
  </si>
  <si>
    <t>14 LORRAINE AVE</t>
  </si>
  <si>
    <t>13 LORRAINE AVE</t>
  </si>
  <si>
    <t>6722 CHERRY TREE AVE</t>
  </si>
  <si>
    <t>6649 FOXTREE AVE</t>
  </si>
  <si>
    <t>2387 SUNNYDALE DR</t>
  </si>
  <si>
    <t>11 LORRAINE CT</t>
  </si>
  <si>
    <t>2379 KILDEER ST</t>
  </si>
  <si>
    <t>6641 FOX TREE AVE</t>
  </si>
  <si>
    <t>9 LORRAINE AVE</t>
  </si>
  <si>
    <t>4 LORRAINE CT</t>
  </si>
  <si>
    <t>6645 FOX TREE AVE</t>
  </si>
  <si>
    <t>6637 FOX TREE AVE</t>
  </si>
  <si>
    <t>6 QUAIL CT</t>
  </si>
  <si>
    <t>6629 FOXTREE AVE</t>
  </si>
  <si>
    <t>2508 YELLOW STAR ST</t>
  </si>
  <si>
    <t>2504 YELLOW STAR ST</t>
  </si>
  <si>
    <t>6612 FOXTREE AVE</t>
  </si>
  <si>
    <t>6929 SUN DROP AVE</t>
  </si>
  <si>
    <t>6680 FOX TREE AVE</t>
  </si>
  <si>
    <t>6697 FOXTREE AVE</t>
  </si>
  <si>
    <t>6857 REDWING DR</t>
  </si>
  <si>
    <t>6636 FOX TREE AVE</t>
  </si>
  <si>
    <t>2512 YELLOW STAR ST</t>
  </si>
  <si>
    <t>6933 SUN DROP AVE</t>
  </si>
  <si>
    <t>6853 REDWING DR</t>
  </si>
  <si>
    <t>2516 YELLOW STAR ST</t>
  </si>
  <si>
    <t>2552 YELLOW STAR ST</t>
  </si>
  <si>
    <t>6849 RED WING DR</t>
  </si>
  <si>
    <t>2737 WILD PLUM ST</t>
  </si>
  <si>
    <t>2520 YELLOWSTAR ST</t>
  </si>
  <si>
    <t>6 SWALLOW CT</t>
  </si>
  <si>
    <t>6845 RED WING DR</t>
  </si>
  <si>
    <t>2524 YELLOW STAR ST</t>
  </si>
  <si>
    <t>6851 DOVE AVE</t>
  </si>
  <si>
    <t>6841 RED WING DR</t>
  </si>
  <si>
    <t>6833 RED WING DR</t>
  </si>
  <si>
    <t>2588 YELLOW STAR ST</t>
  </si>
  <si>
    <t>6644 WHEATFIELD ST</t>
  </si>
  <si>
    <t>6640 WHEATFIELD ST</t>
  </si>
  <si>
    <t>1 OWL CT</t>
  </si>
  <si>
    <t>9 ORIOLE CT</t>
  </si>
  <si>
    <t>6674 FOXTREE AVE</t>
  </si>
  <si>
    <t>2536 YELLOW STAR ST</t>
  </si>
  <si>
    <t>6643 WHEATFIELD ST</t>
  </si>
  <si>
    <t>2540 YELLOW STAR ST</t>
  </si>
  <si>
    <t>11 WREN CT</t>
  </si>
  <si>
    <t>6639 WHEATFIELD ST</t>
  </si>
  <si>
    <t>4 ORIOLE CT</t>
  </si>
  <si>
    <t>6829 REDWING DR</t>
  </si>
  <si>
    <t>6671 WHEATFIELD ST</t>
  </si>
  <si>
    <t>6667 WHEATFIELD ST</t>
  </si>
  <si>
    <t>6675 WHEATFIELD ST</t>
  </si>
  <si>
    <t>6940 SUN DROP AVE</t>
  </si>
  <si>
    <t>6663 WHEATFIELD ST</t>
  </si>
  <si>
    <t>10 LORRAINE CT</t>
  </si>
  <si>
    <t>8 PLOVER CT</t>
  </si>
  <si>
    <t>6921 SUN DROP AVE</t>
  </si>
  <si>
    <t>8 ORIOLE CT</t>
  </si>
  <si>
    <t>6800 S REDWING DR</t>
  </si>
  <si>
    <t>2317 VISTA DR</t>
  </si>
  <si>
    <t>10 PHEASANT CT</t>
  </si>
  <si>
    <t>6925 SUN DROP AVE</t>
  </si>
  <si>
    <t>9 PHEASANT CT</t>
  </si>
  <si>
    <t>2314 VISTA DR</t>
  </si>
  <si>
    <t>6825 REDWING DR</t>
  </si>
  <si>
    <t>6843 DOVE AVE</t>
  </si>
  <si>
    <t>6 LORRAINE AVE</t>
  </si>
  <si>
    <t>2724 WILD PLUM DR</t>
  </si>
  <si>
    <t>7 PHEASANT CT</t>
  </si>
  <si>
    <t>2303 SUNNYDALE DR</t>
  </si>
  <si>
    <t>6847 DOVE AVE</t>
  </si>
  <si>
    <t>6848 REDWING DR</t>
  </si>
  <si>
    <t>2644 LUZERN CT</t>
  </si>
  <si>
    <t>6941 SUN DROP AVE</t>
  </si>
  <si>
    <t>1 LORRAINE AVE</t>
  </si>
  <si>
    <t>6823 DOVE AVE</t>
  </si>
  <si>
    <t>2399 KILDEER ST</t>
  </si>
  <si>
    <t>2409 PHEASANT ST</t>
  </si>
  <si>
    <t>11 PHEASANT CT</t>
  </si>
  <si>
    <t>2416 PHEASANT ST</t>
  </si>
  <si>
    <t>6820 REDWING DR</t>
  </si>
  <si>
    <t>2420 PHEASANT ST</t>
  </si>
  <si>
    <t>3 LORRAINE AVE</t>
  </si>
  <si>
    <t>2424 PHEASANT ST</t>
  </si>
  <si>
    <t>2428 PHEASANT ST</t>
  </si>
  <si>
    <t>9 WREN CT</t>
  </si>
  <si>
    <t>6945 SUN DROP AVE</t>
  </si>
  <si>
    <t>2432 PHEASANT ST</t>
  </si>
  <si>
    <t>6821 REDWING DR</t>
  </si>
  <si>
    <t>2633 ZURICH CT</t>
  </si>
  <si>
    <t>1 PHEASANT CT</t>
  </si>
  <si>
    <t>2 PHEASANT CT</t>
  </si>
  <si>
    <t>3 PHEASANT CT</t>
  </si>
  <si>
    <t>8 BLUE JAY CT</t>
  </si>
  <si>
    <t>8 PHEASANT CT</t>
  </si>
  <si>
    <t>6647 WHEATFIELD ST</t>
  </si>
  <si>
    <t>6620 FOXTREE AVE</t>
  </si>
  <si>
    <t>6708 AUDUBON AVE</t>
  </si>
  <si>
    <t>2345 GOLDFINCH ST</t>
  </si>
  <si>
    <t>10 ORIOLE CT</t>
  </si>
  <si>
    <t>1 RED WING CT</t>
  </si>
  <si>
    <t>6688 FOXTREE AVE</t>
  </si>
  <si>
    <t>6944 SUN DROP AVE</t>
  </si>
  <si>
    <t>6616 FOXTREE AVE</t>
  </si>
  <si>
    <t>6937 SUN DROP AVE</t>
  </si>
  <si>
    <t>2338 VISTA DR</t>
  </si>
  <si>
    <t>8 WREN CT</t>
  </si>
  <si>
    <t>6679 WHEATFIELD ST</t>
  </si>
  <si>
    <t>6644 FOXTREE AVE</t>
  </si>
  <si>
    <t>2728 WILD PLUM ST</t>
  </si>
  <si>
    <t>6621 FOX TREE AVE</t>
  </si>
  <si>
    <t>6909 RED BUD LN</t>
  </si>
  <si>
    <t>6640 FOXTREE AVE</t>
  </si>
  <si>
    <t>1 ORIOLE CT</t>
  </si>
  <si>
    <t>2592 YELLOW STAR ST</t>
  </si>
  <si>
    <t>6817 REDWING DR</t>
  </si>
  <si>
    <t>7 QUAIL CT</t>
  </si>
  <si>
    <t>11 KILDEER CT</t>
  </si>
  <si>
    <t>2717 WILD PLUM DR</t>
  </si>
  <si>
    <t>6948 SUN DROP AVE</t>
  </si>
  <si>
    <t>5 CARDINAL CT</t>
  </si>
  <si>
    <t>6949 SUN DROP AVE</t>
  </si>
  <si>
    <t>6659 WHEATFIELD ST</t>
  </si>
  <si>
    <t>2416 KILDEER ST</t>
  </si>
  <si>
    <t>6946 BLUE FLAG AVE</t>
  </si>
  <si>
    <t>6 BLUE JAY CT</t>
  </si>
  <si>
    <t>2412 KILDEER ST</t>
  </si>
  <si>
    <t>3 BLUE FLAG CT</t>
  </si>
  <si>
    <t>6850 DOVE AVE</t>
  </si>
  <si>
    <t>2 OWL CT</t>
  </si>
  <si>
    <t>3 WREN CT</t>
  </si>
  <si>
    <t>2408 KILDEER ST</t>
  </si>
  <si>
    <t>2648 LUZERN CT</t>
  </si>
  <si>
    <t>7 WREN CT</t>
  </si>
  <si>
    <t>6813 RED WING DR</t>
  </si>
  <si>
    <t>2705 WILD PLUM DR</t>
  </si>
  <si>
    <t>6795 REDWING DR</t>
  </si>
  <si>
    <t>7 SWALLOW CT</t>
  </si>
  <si>
    <t>2404 KILDEER ST</t>
  </si>
  <si>
    <t>2709 WILD PLUM ST</t>
  </si>
  <si>
    <t>2395 KILDEER ST</t>
  </si>
  <si>
    <t>2713 WILD PLUM DR</t>
  </si>
  <si>
    <t>6779 REDWING DR</t>
  </si>
  <si>
    <t>10 KILDEER CT</t>
  </si>
  <si>
    <t>2383 VISTA DR</t>
  </si>
  <si>
    <t>2392 GOLDFINCH ST</t>
  </si>
  <si>
    <t>2652 LUZERN CT</t>
  </si>
  <si>
    <t>12 WREN CT</t>
  </si>
  <si>
    <t>7 KILDEER CT</t>
  </si>
  <si>
    <t>6842 DOVE AVE</t>
  </si>
  <si>
    <t>6809 RED WING DR</t>
  </si>
  <si>
    <t>2645 ZURICH CT</t>
  </si>
  <si>
    <t>13 PLOVER CT</t>
  </si>
  <si>
    <t>2649 ZURICH CT</t>
  </si>
  <si>
    <t>2641 ZURICH CT</t>
  </si>
  <si>
    <t>2637 ZURICH CT</t>
  </si>
  <si>
    <t>2400 KILDEER ST</t>
  </si>
  <si>
    <t>6839 DOVE AVE</t>
  </si>
  <si>
    <t>2612 ZURICH CT</t>
  </si>
  <si>
    <t>1 BLUE JAY CT</t>
  </si>
  <si>
    <t>2648 ZURICH CT</t>
  </si>
  <si>
    <t>2652 ZURICH CT</t>
  </si>
  <si>
    <t>2624 ZURICH CT</t>
  </si>
  <si>
    <t>2632 ZURICH CT</t>
  </si>
  <si>
    <t>2640 ZURICH CT</t>
  </si>
  <si>
    <t>2644 ZURICH CT</t>
  </si>
  <si>
    <t>2628 ZURICH CT</t>
  </si>
  <si>
    <t>2616 ZURICH CT</t>
  </si>
  <si>
    <t>2636 ZURICH CT</t>
  </si>
  <si>
    <t>2620 ZURICH CT</t>
  </si>
  <si>
    <t>2609 ZURICH CT</t>
  </si>
  <si>
    <t>4 PHEASANT CT</t>
  </si>
  <si>
    <t>2397 GOLDFINCH ST</t>
  </si>
  <si>
    <t>13 KILDEER CT</t>
  </si>
  <si>
    <t>6651 WHEATFIELD ST</t>
  </si>
  <si>
    <t>6818 DOVE AVE</t>
  </si>
  <si>
    <t>6922 BLUE FLAG AVE</t>
  </si>
  <si>
    <t>14 KILDEER CT</t>
  </si>
  <si>
    <t>2363 SUNNYDALE DR</t>
  </si>
  <si>
    <t>1 KILDEER CT</t>
  </si>
  <si>
    <t>5 ORIOLE CT</t>
  </si>
  <si>
    <t>2366 SUNNYDALE DR</t>
  </si>
  <si>
    <t>6805 REDWING DR</t>
  </si>
  <si>
    <t>5 WREN CT</t>
  </si>
  <si>
    <t>11 PLOVER CT</t>
  </si>
  <si>
    <t>2 WREN CT</t>
  </si>
  <si>
    <t>6822 DOVE AVE</t>
  </si>
  <si>
    <t>6 WREN CT</t>
  </si>
  <si>
    <t>6801 REDWING DR</t>
  </si>
  <si>
    <t>12 KILDEER CT</t>
  </si>
  <si>
    <t>2358 VISTA DR</t>
  </si>
  <si>
    <t>2382 KILDEER CT</t>
  </si>
  <si>
    <t>2 REDWING CT</t>
  </si>
  <si>
    <t>6901 RED BUD LN</t>
  </si>
  <si>
    <t>9 KILDEER CT</t>
  </si>
  <si>
    <t>1 PLOVER CT</t>
  </si>
  <si>
    <t>12 PLOVER CT</t>
  </si>
  <si>
    <t>2386 KILDEER ST</t>
  </si>
  <si>
    <t>6 PLOVER CT</t>
  </si>
  <si>
    <t>13 BLUE JAY CT</t>
  </si>
  <si>
    <t>6830 DOVE AVE</t>
  </si>
  <si>
    <t>2394 VISTA DR</t>
  </si>
  <si>
    <t>6846 DOVE AVE</t>
  </si>
  <si>
    <t>2394 KILDEER ST</t>
  </si>
  <si>
    <t>4 KILDEER CT</t>
  </si>
  <si>
    <t>2322 VISTA DR</t>
  </si>
  <si>
    <t>6838 DOVE AVE</t>
  </si>
  <si>
    <t>2326 VISTA DR</t>
  </si>
  <si>
    <t>2383 SUNNYDALE DR</t>
  </si>
  <si>
    <t>3 KILDEER CT</t>
  </si>
  <si>
    <t>2391 KILDEER ST</t>
  </si>
  <si>
    <t>2318 VISTA DR</t>
  </si>
  <si>
    <t>2326 SUNNYDALE DR</t>
  </si>
  <si>
    <t>6844 RED WING DR</t>
  </si>
  <si>
    <t>11 BLUE JAY CT</t>
  </si>
  <si>
    <t>6840 REDWING DR</t>
  </si>
  <si>
    <t>5 KILDEER CT</t>
  </si>
  <si>
    <t>2 BLUE JAY CT</t>
  </si>
  <si>
    <t>2 LORRAINE AVE</t>
  </si>
  <si>
    <t>2 KILDEER CT</t>
  </si>
  <si>
    <t>3 BLUE JAY CT</t>
  </si>
  <si>
    <t>2379 SUNNYDALE DR</t>
  </si>
  <si>
    <t>6784 RED WING DR</t>
  </si>
  <si>
    <t>7 BLUE JAY CT</t>
  </si>
  <si>
    <t>3 PLOVER CT</t>
  </si>
  <si>
    <t>2349 GOLDFINCH ST</t>
  </si>
  <si>
    <t>2359 SUNNYDALE DR</t>
  </si>
  <si>
    <t>2390 VISTA DR</t>
  </si>
  <si>
    <t>2388 GOLDFINCH ST</t>
  </si>
  <si>
    <t>3 ORIOLE CT</t>
  </si>
  <si>
    <t>2386 VISTA DR</t>
  </si>
  <si>
    <t>2342 VISTA DR</t>
  </si>
  <si>
    <t>2382 VISTA DR</t>
  </si>
  <si>
    <t>2370 VISTA DR</t>
  </si>
  <si>
    <t>2374 VISTA DR</t>
  </si>
  <si>
    <t>6836 RED WING DR</t>
  </si>
  <si>
    <t>4 WREN CT</t>
  </si>
  <si>
    <t>2366 VISTA DR</t>
  </si>
  <si>
    <t>2375 SUNNYDALE DR</t>
  </si>
  <si>
    <t>2350 VISTA DR</t>
  </si>
  <si>
    <t>2362 VISTA DR</t>
  </si>
  <si>
    <t>2346 VISTA DR</t>
  </si>
  <si>
    <t>6788 RED WING DR</t>
  </si>
  <si>
    <t>6824 REDWING DR</t>
  </si>
  <si>
    <t>6827 DOVE AVE</t>
  </si>
  <si>
    <t>6832 REDWING DR</t>
  </si>
  <si>
    <t>6831 DOVE AVE</t>
  </si>
  <si>
    <t>2380 GOLDFINCH ST</t>
  </si>
  <si>
    <t>6828 REDWING DR</t>
  </si>
  <si>
    <t>2358 SUNNYDALE DR</t>
  </si>
  <si>
    <t>2384 GOLDFINCH ST</t>
  </si>
  <si>
    <t>2354 VISTA DR</t>
  </si>
  <si>
    <t>2 PLOVER CT</t>
  </si>
  <si>
    <t>2349 VISTA DR</t>
  </si>
  <si>
    <t>2357 VISTA DR</t>
  </si>
  <si>
    <t>2354 SUNNYDALE DR</t>
  </si>
  <si>
    <t>2365 VISTA DR</t>
  </si>
  <si>
    <t>2353 VISTA DR</t>
  </si>
  <si>
    <t>2361 VISTA DR</t>
  </si>
  <si>
    <t>2373 VISTA DR</t>
  </si>
  <si>
    <t>2369 VISTA DR</t>
  </si>
  <si>
    <t>2377 VISTA DR</t>
  </si>
  <si>
    <t>2350 SUNNYDALE DR</t>
  </si>
  <si>
    <t>2346 SUNNYDALE DR</t>
  </si>
  <si>
    <t>2343 VISTA DR</t>
  </si>
  <si>
    <t>2393 GOLDFINCH ST</t>
  </si>
  <si>
    <t>2342 SUNNYDALE DR</t>
  </si>
  <si>
    <t>2338 SUNNYDALE DR</t>
  </si>
  <si>
    <t>6792 REDWING DR</t>
  </si>
  <si>
    <t>6796 RED WING DR</t>
  </si>
  <si>
    <t>2355 SUNNYDALE DR</t>
  </si>
  <si>
    <t>2334 SUNNYDALE DR</t>
  </si>
  <si>
    <t>2351 SUNNYDALE DR</t>
  </si>
  <si>
    <t>2330 SUNNYDALE DR</t>
  </si>
  <si>
    <t>12 BLUE JAY CT</t>
  </si>
  <si>
    <t>2347 SUNNYDALE DR</t>
  </si>
  <si>
    <t>2343 SUNNYDALE DR</t>
  </si>
  <si>
    <t>2339 SUNNYDALE DR</t>
  </si>
  <si>
    <t>6787 REDWING DR</t>
  </si>
  <si>
    <t>2383 KILDEER ST</t>
  </si>
  <si>
    <t>2335 SUNNYDALE DR</t>
  </si>
  <si>
    <t>6783 REDWING DR</t>
  </si>
  <si>
    <t>6791 RED WING DR</t>
  </si>
  <si>
    <t>2331 SUNNYDALE DR</t>
  </si>
  <si>
    <t>2327 SUNNYDALE DR</t>
  </si>
  <si>
    <t>2323 SUNNYDALE DR</t>
  </si>
  <si>
    <t>6780 REDWING DR</t>
  </si>
  <si>
    <t>2319 SUNNYDALE DR</t>
  </si>
  <si>
    <t>2315 SUNNYDALE DR</t>
  </si>
  <si>
    <t>2376 GOLDFINCH ST</t>
  </si>
  <si>
    <t>2311 SUNNYDALE DR</t>
  </si>
  <si>
    <t>2357 GOLDFINCH ST</t>
  </si>
  <si>
    <t>2307 SUNNYDALE DR</t>
  </si>
  <si>
    <t>2361 GOLDFINCH ST</t>
  </si>
  <si>
    <t>2365 GOLDFINCH ST</t>
  </si>
  <si>
    <t>2369 GOLDFINCH ST</t>
  </si>
  <si>
    <t>2373 GOLDFINCH ST</t>
  </si>
  <si>
    <t>2377 GOLDFINCH ST</t>
  </si>
  <si>
    <t>2381 GOLDFINCH ST</t>
  </si>
  <si>
    <t>2385 GOLDFINCH ST</t>
  </si>
  <si>
    <t>2389 GOLDFINCH ST</t>
  </si>
  <si>
    <t>2 ORIOLE CT</t>
  </si>
  <si>
    <t>6835 DOVE AVE</t>
  </si>
  <si>
    <t>6826 DOVE AVE</t>
  </si>
  <si>
    <t>2387 KILDEER ST</t>
  </si>
  <si>
    <t>2325 VISTA DR</t>
  </si>
  <si>
    <t>10 PLOVER CT</t>
  </si>
  <si>
    <t>10 BLUE JAY CT</t>
  </si>
  <si>
    <t>7 PLOVER CT</t>
  </si>
  <si>
    <t>9 BLUE JAY CT</t>
  </si>
  <si>
    <t>4 PLOVER CT</t>
  </si>
  <si>
    <t>2669 SUMAC ST</t>
  </si>
  <si>
    <t>4 BLUE JAY CT</t>
  </si>
  <si>
    <t>5 BLUE JAY CT</t>
  </si>
  <si>
    <t>9 PLOVER CT</t>
  </si>
  <si>
    <t>5 PLOVER CT</t>
  </si>
  <si>
    <t>WOODWARD AVE</t>
  </si>
  <si>
    <t>WOODWARD</t>
  </si>
  <si>
    <t>6245 LINKS DR</t>
  </si>
  <si>
    <t>6243 LINKS DR</t>
  </si>
  <si>
    <t>6250 SANDBELT DR</t>
  </si>
  <si>
    <t>6248 SANDBELT DR</t>
  </si>
  <si>
    <t>6239 LINKS DR</t>
  </si>
  <si>
    <t>6237 LINKS DR</t>
  </si>
  <si>
    <t>6234 SANDBELT DR</t>
  </si>
  <si>
    <t>3611 KENNEDY LN</t>
  </si>
  <si>
    <t>3613 KENNEDY LN</t>
  </si>
  <si>
    <t>6225 LINKS DR</t>
  </si>
  <si>
    <t>6227 LINKS DR</t>
  </si>
  <si>
    <t>2529 CEDAR HILL LN</t>
  </si>
  <si>
    <t>2531 CEDAR HILL LN</t>
  </si>
  <si>
    <t>8485 LIBERTY LN</t>
  </si>
  <si>
    <t>9033 MURPHY RD</t>
  </si>
  <si>
    <t>6232 SANDBELT DR</t>
  </si>
  <si>
    <t>8533 CHADWICK CT</t>
  </si>
  <si>
    <t>1862 FULTON ST</t>
  </si>
  <si>
    <t>1866 FULTON ST</t>
  </si>
  <si>
    <t>8530 SPERRY CT</t>
  </si>
  <si>
    <t>8531 SPERRY CT</t>
  </si>
  <si>
    <t>1886 FULTON ST</t>
  </si>
  <si>
    <t>1842 FULTON ST</t>
  </si>
  <si>
    <t>8542 SPERRY CT</t>
  </si>
  <si>
    <t>8551 SPERRY CT</t>
  </si>
  <si>
    <t>8553 CHADWICK CT</t>
  </si>
  <si>
    <t>8497 LIBERTY LN</t>
  </si>
  <si>
    <t>City / ZIP</t>
  </si>
  <si>
    <t>AURORA IL 60504</t>
  </si>
  <si>
    <t>BARTLETT IL 60103-4709</t>
  </si>
  <si>
    <t>BARTLETT IL 60103</t>
  </si>
  <si>
    <t>BARTLETT IL 60103-5169</t>
  </si>
  <si>
    <t>BARTLETT IL 60103-5175</t>
  </si>
  <si>
    <t>BARTLETT IL 60103-5182</t>
  </si>
  <si>
    <t>BARTLETT IL 60103-5181</t>
  </si>
  <si>
    <t>BARTLETT IL 60103-5167</t>
  </si>
  <si>
    <t>BARTLETT IL 60103-5177</t>
  </si>
  <si>
    <t>BENSENVILLE IL 60106</t>
  </si>
  <si>
    <t>BENSENVILLE IL 60106-2529</t>
  </si>
  <si>
    <t>BENSENVILLE IL 60106-1903</t>
  </si>
  <si>
    <t>ELMHURST IL 60126</t>
  </si>
  <si>
    <t>BENSENVILLE IL 60106-3530</t>
  </si>
  <si>
    <t>BENSENVILLE IL 60106-2631</t>
  </si>
  <si>
    <t>BENSENVILLE IL 60106-4112</t>
  </si>
  <si>
    <t>BENSENVILLE IL 60106-2622</t>
  </si>
  <si>
    <t>BENSENVILLE IL 60106-2442</t>
  </si>
  <si>
    <t>BENSENVILLE IL 60106-1929</t>
  </si>
  <si>
    <t>BENSENVILLE IL 60106-2543</t>
  </si>
  <si>
    <t>BENSENVILLE IL 60106-2520</t>
  </si>
  <si>
    <t>BLOOMINGDALE IL 60108</t>
  </si>
  <si>
    <t>BLOOMINGDALE IL 60108-1219</t>
  </si>
  <si>
    <t>BLOOMINGDALE IL 60108-1214</t>
  </si>
  <si>
    <t>BLOOMINGDALE IL 60108-1236</t>
  </si>
  <si>
    <t>BLOOMINGDALE IL 60108-1235</t>
  </si>
  <si>
    <t>BLOOMINGDALE IL 60108-1014</t>
  </si>
  <si>
    <t>BLOOMINGDALE IL 60108-1242</t>
  </si>
  <si>
    <t>BLOOMINGDALE IL 60108-1006</t>
  </si>
  <si>
    <t>BLOOMINGDALE IL 60108-2841</t>
  </si>
  <si>
    <t>BLOOMINGDALE IL 60108-1283</t>
  </si>
  <si>
    <t>BLOOMINGDALE IL 60108-1516</t>
  </si>
  <si>
    <t>BLOOMINGDALE IL 60108-1517</t>
  </si>
  <si>
    <t>BLOOMINGDALE IL 60108-3305</t>
  </si>
  <si>
    <t>BLOOMINGDALE IL 60108-1501</t>
  </si>
  <si>
    <t>BLOOMINGDALE IL 60108-1525</t>
  </si>
  <si>
    <t>BLOOMINGDALE IL 60108-1540</t>
  </si>
  <si>
    <t>BLOOMINGDALE IL 60108-1527</t>
  </si>
  <si>
    <t>BLOOMINGDALE IL 60108-1539</t>
  </si>
  <si>
    <t>BLOOMINGDALE IL 60108-3299</t>
  </si>
  <si>
    <t>BLOOMINGDALE IL 60108-3309</t>
  </si>
  <si>
    <t>BLOOMINGDALE IL 60108-3308</t>
  </si>
  <si>
    <t>BLOOMINGDALE IL 60108-1524</t>
  </si>
  <si>
    <t>BLOOMINGDALE IL 60108-1504</t>
  </si>
  <si>
    <t>BLOOMINGDALE IL 60108-1551</t>
  </si>
  <si>
    <t>BLOOMINGDALE IL 60108-3304</t>
  </si>
  <si>
    <t>BLOOMINGDALE IL 60108-3300</t>
  </si>
  <si>
    <t>BLOOMINGDALE IL 60108-3312</t>
  </si>
  <si>
    <t>BLOOMINGDALE IL 60108-1532</t>
  </si>
  <si>
    <t>BLOOMINGDALE IL 60108-1526</t>
  </si>
  <si>
    <t>BLOOMINGDALE IL 60108-1533</t>
  </si>
  <si>
    <t>BLOOMINGDALE IL 60108-3297</t>
  </si>
  <si>
    <t>BLOOMINGDALE IL 60108-3311</t>
  </si>
  <si>
    <t>BLOOMINGDALE IL 60108-1530</t>
  </si>
  <si>
    <t>BLOOMINGDALE IL 60108-3306</t>
  </si>
  <si>
    <t>BLOOMINGDALE IL 60108-1529</t>
  </si>
  <si>
    <t>BLOOMINGDALE IL 60108-1563</t>
  </si>
  <si>
    <t>BLOOMINGDALE IL 60108-3310</t>
  </si>
  <si>
    <t>BLOOMINGDALE IL 60108-1506</t>
  </si>
  <si>
    <t>BLOOMINGDALE IL 60108-1534</t>
  </si>
  <si>
    <t>BLOOMINGDALE IL 60108-3298</t>
  </si>
  <si>
    <t>BLOOMINGDALE IL 60108-1733</t>
  </si>
  <si>
    <t>BLOOMINGDALE IL 60108-1734</t>
  </si>
  <si>
    <t>BLOOMINGDALE IL 60108-2122</t>
  </si>
  <si>
    <t>BLOOMINGDALE IL 60108-1901</t>
  </si>
  <si>
    <t>BLOOMINGDALE IL 60108-2115</t>
  </si>
  <si>
    <t>BLOOMINGDALE IL 60108-1975</t>
  </si>
  <si>
    <t>CAROL STREAM IL 60188</t>
  </si>
  <si>
    <t>CAROL STREAM IL 60188-2950</t>
  </si>
  <si>
    <t>CAROL STREAM IL 60188-1387</t>
  </si>
  <si>
    <t>CAROL STREAM IL 60188-1310</t>
  </si>
  <si>
    <t>CAROL STREAM IL 60188-9083</t>
  </si>
  <si>
    <t>CAROL STREAM IL 60188-4845</t>
  </si>
  <si>
    <t>CAROL STREAM IL 60188-1382</t>
  </si>
  <si>
    <t>CAROL STREAM IL 60188-6000</t>
  </si>
  <si>
    <t>CAROL STREAM IL 60188-9081</t>
  </si>
  <si>
    <t>CAROL STREAM IL 60188-9011</t>
  </si>
  <si>
    <t>CAROL STREAM IL 60188-6048</t>
  </si>
  <si>
    <t>CAROL STREAM IL 60188-2938</t>
  </si>
  <si>
    <t>CAROL STREAM IL 60188-6080</t>
  </si>
  <si>
    <t>CAROL STREAM IL 60188-9053</t>
  </si>
  <si>
    <t>CAROL STREAM IL 60188-3981</t>
  </si>
  <si>
    <t>CAROL STREAM IL 60188-2008</t>
  </si>
  <si>
    <t>CAROL STREAM IL 60188-9038</t>
  </si>
  <si>
    <t>CAROL STREAM IL 60188-4720</t>
  </si>
  <si>
    <t>CAROL STREAM IL 60188-4701</t>
  </si>
  <si>
    <t>CAROL STREAM IL 60188-9082</t>
  </si>
  <si>
    <t>CAROL STREAM IL 60188-9025</t>
  </si>
  <si>
    <t>CAROL STREAM IL 60188-9023</t>
  </si>
  <si>
    <t>CAROL STREAM IL 60188-2003</t>
  </si>
  <si>
    <t>CAROL STREAM IL 60188-2043</t>
  </si>
  <si>
    <t>CAROL STREAM IL 60188-2016</t>
  </si>
  <si>
    <t>CAROL STREAM IL 60188-9080</t>
  </si>
  <si>
    <t>CAROL STREAM IL 60188-9085</t>
  </si>
  <si>
    <t>CAROL STREAM IL 60188-3904</t>
  </si>
  <si>
    <t>CAROL STREAM IL 60188-9026</t>
  </si>
  <si>
    <t>CAROL STREAM IL 60188-9086</t>
  </si>
  <si>
    <t>CAROL STREAM IL 60188-9095</t>
  </si>
  <si>
    <t>CAROL STREAM IL 60188-9017</t>
  </si>
  <si>
    <t>CAROL STREAM IL 60188-6062</t>
  </si>
  <si>
    <t>CAROL STREAM IL 60188-9059</t>
  </si>
  <si>
    <t>CAROL STREAM IL 60188-4726</t>
  </si>
  <si>
    <t>CLARENDON HILLS IL 60514</t>
  </si>
  <si>
    <t>CLARENDON HILLS IL 60514-2723</t>
  </si>
  <si>
    <t>DARIEN IL 60561</t>
  </si>
  <si>
    <t>DARIEN IL 60561-4913</t>
  </si>
  <si>
    <t>DARIEN IL 60561-5320</t>
  </si>
  <si>
    <t>DARIEN IL 60561-5372</t>
  </si>
  <si>
    <t>DARIEN IL 60561-4310</t>
  </si>
  <si>
    <t>DARIEN IL 60561-5374</t>
  </si>
  <si>
    <t>DARIEN IL 60561-5321</t>
  </si>
  <si>
    <t>DARIEN IL 60561-5373</t>
  </si>
  <si>
    <t>DARIEN IL 60561-5394</t>
  </si>
  <si>
    <t>DARIEN IL 60561-8400</t>
  </si>
  <si>
    <t>DARIEN IL 60561-5327</t>
  </si>
  <si>
    <t>DARIEN IL 60561-8473</t>
  </si>
  <si>
    <t>DARIEN IL 60561-5326</t>
  </si>
  <si>
    <t>DARIEN IL 60561-5367</t>
  </si>
  <si>
    <t>DARIEN IL 60561-8468</t>
  </si>
  <si>
    <t>DARIEN IL 60561-5322</t>
  </si>
  <si>
    <t>DARIEN IL 60561-5329</t>
  </si>
  <si>
    <t>DARIEN IL 60561-5338</t>
  </si>
  <si>
    <t>DARIEN IL 60561-5395</t>
  </si>
  <si>
    <t>DARIEN IL 60561-5331</t>
  </si>
  <si>
    <t>DARIEN IL 60561-5377</t>
  </si>
  <si>
    <t>DARIEN IL 60561-4306</t>
  </si>
  <si>
    <t>DARIEN IL 60561-5337</t>
  </si>
  <si>
    <t>DARIEN IL 60561-5323</t>
  </si>
  <si>
    <t>DARIEN IL 60561-5396</t>
  </si>
  <si>
    <t>DARIEN IL 60561-5308</t>
  </si>
  <si>
    <t>DARIEN IL 60561-8469</t>
  </si>
  <si>
    <t>DARIEN IL 60561-5925</t>
  </si>
  <si>
    <t>DARIEN IL 60561-4900</t>
  </si>
  <si>
    <t>DARIEN IL 60561-5375</t>
  </si>
  <si>
    <t>DARIEN IL 60561-5393</t>
  </si>
  <si>
    <t>DARIEN IL 60561-5318</t>
  </si>
  <si>
    <t>DARIEN IL 60561-8820</t>
  </si>
  <si>
    <t>DARIEN IL 60561-3894</t>
  </si>
  <si>
    <t>DARIEN IL 60515</t>
  </si>
  <si>
    <t>DARIEN IL 60561-5371</t>
  </si>
  <si>
    <t>DARIEN IL 60561-5391</t>
  </si>
  <si>
    <t>DARIEN IL 60561-4999</t>
  </si>
  <si>
    <t>DARIEN IL 60561-5368</t>
  </si>
  <si>
    <t>DARIEN IL 60561-5325</t>
  </si>
  <si>
    <t>DARIEN IL 60561-5900</t>
  </si>
  <si>
    <t>DARIEN IL 60561-5324</t>
  </si>
  <si>
    <t>DARIEN IL 60561-5330</t>
  </si>
  <si>
    <t>DARIEN IL 60561-5924</t>
  </si>
  <si>
    <t>DARIEN IL 60561-8470</t>
  </si>
  <si>
    <t>DARIEN IL 60561-4302</t>
  </si>
  <si>
    <t>DARIEN IL 60561-4862</t>
  </si>
  <si>
    <t>DARIEN IL 60561-5309</t>
  </si>
  <si>
    <t>DARIEN IL 60561-4861</t>
  </si>
  <si>
    <t>DARIEN IL 60561-5927</t>
  </si>
  <si>
    <t>DARIEN IL 60561-6620</t>
  </si>
  <si>
    <t>DARIEN IL 60561-5926</t>
  </si>
  <si>
    <t>DARIEN IL 60561-3895</t>
  </si>
  <si>
    <t>DOWNERS GROVE IL 60516</t>
  </si>
  <si>
    <t>DARIEN IL 60561-4863</t>
  </si>
  <si>
    <t>DARIEN IL 60561-4303</t>
  </si>
  <si>
    <t>DARIEN IL 60561-4305</t>
  </si>
  <si>
    <t>DARIEN IL 60561-5224</t>
  </si>
  <si>
    <t>DARIEN IL 60561-4864</t>
  </si>
  <si>
    <t>DARIEN IL 60561-5423</t>
  </si>
  <si>
    <t>DARIEN IL 60561-5416</t>
  </si>
  <si>
    <t>DARIEN IL 60561-5409</t>
  </si>
  <si>
    <t>DARIEN IL 60561-5421</t>
  </si>
  <si>
    <t>DARIEN IL 60561-5418</t>
  </si>
  <si>
    <t>DARIEN IL 60561-5415</t>
  </si>
  <si>
    <t>DARIEN IL 60561-5417</t>
  </si>
  <si>
    <t>DARIEN IL 60561-5414</t>
  </si>
  <si>
    <t>DARIEN IL 60561-3100</t>
  </si>
  <si>
    <t>DARIEN IL 60559</t>
  </si>
  <si>
    <t>DARIEN IL 60561-5422</t>
  </si>
  <si>
    <t>DARIEN IL 60561-5420</t>
  </si>
  <si>
    <t>DARIEN IL 60561-5401</t>
  </si>
  <si>
    <t>DARIEN IL 60561-5428</t>
  </si>
  <si>
    <t>DARIEN IL 60561-5425</t>
  </si>
  <si>
    <t>DARIEN IL 60561-5410</t>
  </si>
  <si>
    <t>DARIEN IL 60561-4903</t>
  </si>
  <si>
    <t>DOWNERS GROVE IL 60515</t>
  </si>
  <si>
    <t>DOWNERS GROVE IL 60515-5120</t>
  </si>
  <si>
    <t>DOWNERS GROVE IL 60515-4664</t>
  </si>
  <si>
    <t>DOWNERS GROVE IL 60515-3733</t>
  </si>
  <si>
    <t>DOWNERS GROVE IL 60515-4631</t>
  </si>
  <si>
    <t>DOWNERS GROVE IL 60515-3906</t>
  </si>
  <si>
    <t>DOWNERS GROVE IL 60515-4630</t>
  </si>
  <si>
    <t>DOWNERS GROVE IL 60515-4627</t>
  </si>
  <si>
    <t>DOWNERS GROVE IL 60515-4705</t>
  </si>
  <si>
    <t>DOWNERS GROVE IL 60515-3909</t>
  </si>
  <si>
    <t>DOWNERS GROVE IL 60515-4636</t>
  </si>
  <si>
    <t>DOWNERS GROVE IL 60515-4714</t>
  </si>
  <si>
    <t>DOWNERS GROVE IL 60515-3850</t>
  </si>
  <si>
    <t>DOWNERS GROVE IL 60515-3848</t>
  </si>
  <si>
    <t>DOWNERS GROVE IL 60515-3530</t>
  </si>
  <si>
    <t>DOWNERS GROVE IL 60515-4629</t>
  </si>
  <si>
    <t>DOWNERS GROVE IL 60515-3731</t>
  </si>
  <si>
    <t>DOWNERS GROVE IL 60515-4180</t>
  </si>
  <si>
    <t>DOWNERS GROVE IL 60515-4608</t>
  </si>
  <si>
    <t>DOWNERS GROVE IL 60515-4652</t>
  </si>
  <si>
    <t>DOWNERS GROVE IL 60515-3612</t>
  </si>
  <si>
    <t>DOWNERS GROVE IL 60515-4876</t>
  </si>
  <si>
    <t>DOWNERS GROVE IL 60515-3826</t>
  </si>
  <si>
    <t>DOWNERS GROVE IL 60515-5281</t>
  </si>
  <si>
    <t>DOWNERS GROVE IL 60515-3210</t>
  </si>
  <si>
    <t>DOWNERS GROVE IL 60515-3931</t>
  </si>
  <si>
    <t>DOWNERS GROVE IL 60515-3627</t>
  </si>
  <si>
    <t>DOWNERS GROVE IL 60515-3752</t>
  </si>
  <si>
    <t>DOWNERS GROVE IL 60515-2745</t>
  </si>
  <si>
    <t>DOWNERS GROVE IL 60515-5252</t>
  </si>
  <si>
    <t>DOWNERS GROVE IL 60515-3628</t>
  </si>
  <si>
    <t>DOWNERS GROVE IL 60515-4540</t>
  </si>
  <si>
    <t>DOWNERS GROVE IL 60515-3927</t>
  </si>
  <si>
    <t>DOWNERS GROVE IL 60516-3736</t>
  </si>
  <si>
    <t>DOWNERS GROVE IL 60516-3772</t>
  </si>
  <si>
    <t>DOWNERS GROVE IL 60515-3939</t>
  </si>
  <si>
    <t>DOWNERS GROVE IL 60516-3135</t>
  </si>
  <si>
    <t>DOWNERS GROVE IL 60516-3346</t>
  </si>
  <si>
    <t>DOWNERS GROVE IL 60516-3729</t>
  </si>
  <si>
    <t>DOWNERS GROVE IL 60516-3743</t>
  </si>
  <si>
    <t>DOWNERS GROVE IL 60515-3531</t>
  </si>
  <si>
    <t>DOWNERS GROVE IL 60515-3566</t>
  </si>
  <si>
    <t>DOWNERS GROVE IL 60516-3741</t>
  </si>
  <si>
    <t>DOWNERS GROVE IL 60516-3787</t>
  </si>
  <si>
    <t>DOWNERS GROVE IL 60516-3728</t>
  </si>
  <si>
    <t>DOWNERS GROVE IL 60516-3732</t>
  </si>
  <si>
    <t>WOODRIDGE IL 60517</t>
  </si>
  <si>
    <t>DOWNERS GROVE IL 60516-3796</t>
  </si>
  <si>
    <t>DOWNERS GROVE IL 60516-3238</t>
  </si>
  <si>
    <t>DOWNERS GROVE IL 60516-3701</t>
  </si>
  <si>
    <t>DOWNERS GROVE IL 60516-3708</t>
  </si>
  <si>
    <t>DOWNERS GROVE IL 60516-3705</t>
  </si>
  <si>
    <t>DOWNERS GROVE IL 60516-3745</t>
  </si>
  <si>
    <t>DOWNERS GROVE IL 60516-3755</t>
  </si>
  <si>
    <t>DOWNERS GROVE IL 60516-3781</t>
  </si>
  <si>
    <t>DOWNERS GROVE IL 60516-3780</t>
  </si>
  <si>
    <t>DOWNERS GROVE IL 60516-3731</t>
  </si>
  <si>
    <t>DOWNERS GROVE IL 60516-3706</t>
  </si>
  <si>
    <t>DOWNERS GROVE IL 60516-3760</t>
  </si>
  <si>
    <t>DOWNERS GROVE IL 60516-3768</t>
  </si>
  <si>
    <t>DOWNERS GROVE IL 60516-3793</t>
  </si>
  <si>
    <t>DOWNERS GROVE IL 60516-3770</t>
  </si>
  <si>
    <t>DOWNERS GROVE IL 60546</t>
  </si>
  <si>
    <t>DOWNERS GROVE IL 60516-3237</t>
  </si>
  <si>
    <t>DOWNERS GROVE IL 60516-3710</t>
  </si>
  <si>
    <t>DOWNERS GROVE IL 60516-3304</t>
  </si>
  <si>
    <t>DOWNERS GROVE IL 60516-3737</t>
  </si>
  <si>
    <t>DOWNERS GROVE IL 60516-3753</t>
  </si>
  <si>
    <t>DOWNERS GROVE IL 60516-3754</t>
  </si>
  <si>
    <t>DOWNERS GROVE IL 60516-3748</t>
  </si>
  <si>
    <t>DOWNERS GROVE IL 60516-3730</t>
  </si>
  <si>
    <t>DOWNERS GROVE IL 60516-3717</t>
  </si>
  <si>
    <t>DOWNERS GROVE IL 60516-3738</t>
  </si>
  <si>
    <t>DOWNERS GROVE IL 60516-3352</t>
  </si>
  <si>
    <t>DOWNERS GROVE IL 60516-3349</t>
  </si>
  <si>
    <t>DOWNERS GROVE IL 60516-3718</t>
  </si>
  <si>
    <t>DOWNERS GROVE IL 60516-3711</t>
  </si>
  <si>
    <t>DOWNERS GROVE IL 60516-3704</t>
  </si>
  <si>
    <t>DOWNERS GROVE IL 60516-3703</t>
  </si>
  <si>
    <t>DOWNERS GROVE IL 60516-3709</t>
  </si>
  <si>
    <t>DOWNERS GROVE IL 60516-3761</t>
  </si>
  <si>
    <t>DOWNERS GROVE IL 60516-3776</t>
  </si>
  <si>
    <t>DOWNERS GROVE IL 60516-3784</t>
  </si>
  <si>
    <t>DOWNERS GROVE IL 60516-3769</t>
  </si>
  <si>
    <t>DOWNERS GROVE IL 60516-3764</t>
  </si>
  <si>
    <t>DOWNERS GROVE IL 60516-3766</t>
  </si>
  <si>
    <t>DOWNERS GROVE IL 60516-3767</t>
  </si>
  <si>
    <t>DOWNERS GROVE IL 60515-3924</t>
  </si>
  <si>
    <t>DOWNERS GROVE IL 60515-4821</t>
  </si>
  <si>
    <t>DOWNERS GROVE IL 60515-5066</t>
  </si>
  <si>
    <t>DOWNERS GROVE IL 60516-3311</t>
  </si>
  <si>
    <t>DOWNERS GROVE IL 60515-3501</t>
  </si>
  <si>
    <t>DOWNERS GROVE IL 60515-5010</t>
  </si>
  <si>
    <t>DOWNERS GROVE IL 60515-3933</t>
  </si>
  <si>
    <t>ELMHURST IL 60126-2723</t>
  </si>
  <si>
    <t>ELMHURST IL 60126-2715</t>
  </si>
  <si>
    <t>ELMHURST IL 60126-2146</t>
  </si>
  <si>
    <t>ELMHURST IL 60126-2809</t>
  </si>
  <si>
    <t>ELMHURST IL 60126-2843</t>
  </si>
  <si>
    <t>ELMHURST IL 60126-5017</t>
  </si>
  <si>
    <t>ELMHURST IL 60126-2531</t>
  </si>
  <si>
    <t>ELMHURST IL 60126-2633</t>
  </si>
  <si>
    <t>ELMHURST IL 60126-3971</t>
  </si>
  <si>
    <t>ELMHURST IL 60126-1243</t>
  </si>
  <si>
    <t>ELMHURST IL 60126-5102</t>
  </si>
  <si>
    <t>ELMHURST IL 60126-3108</t>
  </si>
  <si>
    <t>GLEN ELLYN IL 60137</t>
  </si>
  <si>
    <t>GLEN ELLYN IL 60137-4530</t>
  </si>
  <si>
    <t>GLEN ELLYN IL 60137-4179</t>
  </si>
  <si>
    <t>GLEN ELLYN IL 60137-5118</t>
  </si>
  <si>
    <t>GLEN ELLYN IL 60137-4119</t>
  </si>
  <si>
    <t>GLEN ELLYN IL 60137-4305</t>
  </si>
  <si>
    <t>GLENDALE HTS IL 60139</t>
  </si>
  <si>
    <t>GLENDALE HTS IL 60139-3206</t>
  </si>
  <si>
    <t>GLENDALE HTS IL 60139-1731</t>
  </si>
  <si>
    <t>GLENDALE HTS IL 60139-1744</t>
  </si>
  <si>
    <t>GLENDALE HTS IL 60139-3617</t>
  </si>
  <si>
    <t>GLENDALE HTS IL 60139-1732</t>
  </si>
  <si>
    <t>GLENDALE HTS IL 60139-1743</t>
  </si>
  <si>
    <t>GLENDALE HTS IL 60139-2127</t>
  </si>
  <si>
    <t>GLENDALE HTS IL 60139-1730</t>
  </si>
  <si>
    <t>GLENDALE HTS IL 60139-1706</t>
  </si>
  <si>
    <t>GLENDALE HTS IL 60139-2481</t>
  </si>
  <si>
    <t>GLENDALE HTS IL 60139-2429</t>
  </si>
  <si>
    <t>GLENDALE HTS IL 60139-2440</t>
  </si>
  <si>
    <t>GLENDALE HTS IL 60139-2441</t>
  </si>
  <si>
    <t>GLENDALE HTS IL 60139-1872</t>
  </si>
  <si>
    <t>GLENDALE HTS IL 60139-1883</t>
  </si>
  <si>
    <t>GLENDALE HTS IL 60139-1886</t>
  </si>
  <si>
    <t>GLENDALE HTS IL 60139-2437</t>
  </si>
  <si>
    <t>HANOVER PARK IL 60133</t>
  </si>
  <si>
    <t>HANOVER PARK IL 60133-5352</t>
  </si>
  <si>
    <t>HANOVER PARK IL 60133-5185</t>
  </si>
  <si>
    <t>HANOVER PARK IL 60133-5360</t>
  </si>
  <si>
    <t>HANOVER PARK IL 60133-5355</t>
  </si>
  <si>
    <t>HANOVER PARK IL 60133-5371</t>
  </si>
  <si>
    <t>HANOVER PARK IL 60133-5198</t>
  </si>
  <si>
    <t>HANOVER PARK IL 60133-8803</t>
  </si>
  <si>
    <t>HANOVER PARK IL 60133-5184</t>
  </si>
  <si>
    <t>HANOVER PARK IL 60133-8802</t>
  </si>
  <si>
    <t>HANOVER PARK IL 60133-1946</t>
  </si>
  <si>
    <t>HANOVER PARK IL 60133-5370</t>
  </si>
  <si>
    <t>HANOVER PARK IL 60103</t>
  </si>
  <si>
    <t>HANOVER PARK IL 60133-4855</t>
  </si>
  <si>
    <t>HANOVER PARK IL 60133-4854</t>
  </si>
  <si>
    <t>HANOVER PARK IL 60133-4817</t>
  </si>
  <si>
    <t>ONTARIOVILLE IL 60103</t>
  </si>
  <si>
    <t>LISLE IL 60532</t>
  </si>
  <si>
    <t>LISLE IL 60532-1732</t>
  </si>
  <si>
    <t>WHEATON IL 60187</t>
  </si>
  <si>
    <t>LISLE IL 60532-1707</t>
  </si>
  <si>
    <t>LISLE IL 60532-2267</t>
  </si>
  <si>
    <t>LISLE IL 60532-1219</t>
  </si>
  <si>
    <t>LISLE IL 60532-2263</t>
  </si>
  <si>
    <t>LISLE IL 60532-1859</t>
  </si>
  <si>
    <t>LISLE IL 60532-4561</t>
  </si>
  <si>
    <t>LISLE IL 60532-2194</t>
  </si>
  <si>
    <t>LISLE IL 60532-3501</t>
  </si>
  <si>
    <t>LOMBARD IL 60148</t>
  </si>
  <si>
    <t>LOMBARD IL 60148-2330</t>
  </si>
  <si>
    <t>LOMBARD IL 60148-2629</t>
  </si>
  <si>
    <t>LOMBARD IL 60148-2501</t>
  </si>
  <si>
    <t>LOMBARD IL 60148-5142</t>
  </si>
  <si>
    <t>LOMBARD IL 60148-4218</t>
  </si>
  <si>
    <t>LOMBARD IL 60148-4821</t>
  </si>
  <si>
    <t>LOMBARD IL 60148-2234</t>
  </si>
  <si>
    <t>LOMBARD IL 60148-4274</t>
  </si>
  <si>
    <t>LOMBARD IL 60148-3802</t>
  </si>
  <si>
    <t>LOMBARD IL 60148-4833</t>
  </si>
  <si>
    <t>LOMBARD IL 60148-2125</t>
  </si>
  <si>
    <t>LOMBARD IL 60148-4271</t>
  </si>
  <si>
    <t>LOMBARD IL 60148-4812</t>
  </si>
  <si>
    <t>LOMBARD IL 60148-2235</t>
  </si>
  <si>
    <t>LOMBARD IL 60148-4817</t>
  </si>
  <si>
    <t>LOMBARD IL 60148-4823</t>
  </si>
  <si>
    <t>LOMBARD IL 60148-4269</t>
  </si>
  <si>
    <t>LOMBARD IL 60148-4272</t>
  </si>
  <si>
    <t>LOMBARD IL 60148-2202</t>
  </si>
  <si>
    <t>LOMBARD IL 60148-4822</t>
  </si>
  <si>
    <t>LOMBARD IL 60148-4810</t>
  </si>
  <si>
    <t>LOMBARD IL 60148-5324</t>
  </si>
  <si>
    <t>LOMBARD IL 60148-4815</t>
  </si>
  <si>
    <t>LOMBARD IL 60148-4818</t>
  </si>
  <si>
    <t>LOMBARD IL 60148-4270</t>
  </si>
  <si>
    <t>LOMBARD IL 60148-4820</t>
  </si>
  <si>
    <t>LOMBARD IL 60148-4819</t>
  </si>
  <si>
    <t>LOMBARD IL 60148-4813</t>
  </si>
  <si>
    <t>LOMBARD IL 60148-4836</t>
  </si>
  <si>
    <t>LOMBARD IL 60148-5323</t>
  </si>
  <si>
    <t>LOMBARD IL 60148-4835</t>
  </si>
  <si>
    <t>LOMBARD IL 60148-4811</t>
  </si>
  <si>
    <t>LOMBARD IL 60148-2205</t>
  </si>
  <si>
    <t>LOMBARD IL 60148-1534</t>
  </si>
  <si>
    <t>LOMBARD IL 60148-3038</t>
  </si>
  <si>
    <t>LOMBARD IL 60148-3039</t>
  </si>
  <si>
    <t>LOMBARD IL 60148-3035</t>
  </si>
  <si>
    <t>LOMBARD IL 60148-1439</t>
  </si>
  <si>
    <t>NAPERVILLE IL 60540-5329</t>
  </si>
  <si>
    <t>NAPERVILLE IL 60540</t>
  </si>
  <si>
    <t>NAPERVILLE IL 60565</t>
  </si>
  <si>
    <t>NAPERVILLE IL 60565-2096</t>
  </si>
  <si>
    <t>NAPERVILLE IL 60563</t>
  </si>
  <si>
    <t>NAPERVILLE IL 60540-5314</t>
  </si>
  <si>
    <t>NAPERVILLE IL 60540-5316</t>
  </si>
  <si>
    <t>NAPERVILLE IL 60540-4501</t>
  </si>
  <si>
    <t>NAPERVILLE IL 60563-1792</t>
  </si>
  <si>
    <t>NAPERVILLE IL 60563-1983</t>
  </si>
  <si>
    <t>NAPERVILLE IL 60540-0395</t>
  </si>
  <si>
    <t>NAPERVILLE IL 60540-6355</t>
  </si>
  <si>
    <t>NAPERVILLE IL 60540-6287</t>
  </si>
  <si>
    <t>NAPERVILLE IL 60540-0396</t>
  </si>
  <si>
    <t>NAPERVILLE IL 60540-0397</t>
  </si>
  <si>
    <t>NAPERVILLE IL 60540-9220</t>
  </si>
  <si>
    <t>NAPERVILLE IL 60540-0346</t>
  </si>
  <si>
    <t>NAPERVILLE IL 60563-1980</t>
  </si>
  <si>
    <t>NAPERVILLE IL 60563-1981</t>
  </si>
  <si>
    <t>NAPERVILLE IL 60540-0399</t>
  </si>
  <si>
    <t>NAPERVILLE IL 60540-0317</t>
  </si>
  <si>
    <t>NAPERVILLE IL 60563-4001</t>
  </si>
  <si>
    <t>NAPERVILLE IL 60540-1908</t>
  </si>
  <si>
    <t>NAPERVILLE IL 60540-6357</t>
  </si>
  <si>
    <t>NAPERVILLE IL 60540-9239</t>
  </si>
  <si>
    <t>NAPERVILLE IL 60540-0345</t>
  </si>
  <si>
    <t>NAPERVILLE IL 60540-1910</t>
  </si>
  <si>
    <t>NAPERVILLE IL 60563-4301</t>
  </si>
  <si>
    <t>NAPERVILLE IL 60540-3301</t>
  </si>
  <si>
    <t>NAPERVILLE IL 60540-0398</t>
  </si>
  <si>
    <t>NAPERVILLE IL 60540-0306</t>
  </si>
  <si>
    <t>NAPERVILLE IL 60535</t>
  </si>
  <si>
    <t>NAPERVILLE IL 60540-6361</t>
  </si>
  <si>
    <t>NAPERVILLE IL 60565-4403</t>
  </si>
  <si>
    <t>NAPERVILLE IL 60563-1893</t>
  </si>
  <si>
    <t>NAPERVILLE IL 60563-3952</t>
  </si>
  <si>
    <t>NAPERVILLE IL 60563-1982</t>
  </si>
  <si>
    <t>NAPERVILLE IL 60540-2700</t>
  </si>
  <si>
    <t>NAPERVILLE IL 60540-9225</t>
  </si>
  <si>
    <t>NAPERVILLE IL 60563-3203</t>
  </si>
  <si>
    <t>NAPERVILLE IL 60540-9219</t>
  </si>
  <si>
    <t>NAPERVILLE IL 60540-1931</t>
  </si>
  <si>
    <t>NAPERVILLE IL 60540-6364</t>
  </si>
  <si>
    <t>NAPERVILLE IL 60540-1929</t>
  </si>
  <si>
    <t>NAPERVILLE IL 60540-6286</t>
  </si>
  <si>
    <t>NAPERVILLE IL 60563-0447</t>
  </si>
  <si>
    <t>NAPERVILLE IL 60540-1958</t>
  </si>
  <si>
    <t>NAPERVILLE IL 60540-0307</t>
  </si>
  <si>
    <t>NAPERVILLE IL 60563-4047</t>
  </si>
  <si>
    <t>NAPERVILLE IL 60540-6352</t>
  </si>
  <si>
    <t>NAPERVILLE IL 60563-0451</t>
  </si>
  <si>
    <t>NAPERVILLE IL 60540-0997</t>
  </si>
  <si>
    <t>NAPERVILLE IL 60565-2402</t>
  </si>
  <si>
    <t>NAPERVILLE IL 60540-0966</t>
  </si>
  <si>
    <t>NAPERVILLE IL 60540-0303</t>
  </si>
  <si>
    <t>NAPERVILLE IL 60563-1892</t>
  </si>
  <si>
    <t>NAPERVILLE IL 60540-6360</t>
  </si>
  <si>
    <t>NAPERVILLE IL 60540-6363</t>
  </si>
  <si>
    <t>NAPERVILLE IL 60563-2345</t>
  </si>
  <si>
    <t>NAPERVILLE IL 60540-6226</t>
  </si>
  <si>
    <t>NAPERVILLE IL 60563-2117</t>
  </si>
  <si>
    <t>NAPERVILLE IL 60540-0978</t>
  </si>
  <si>
    <t>NAPERVILLE IL 60540-9203</t>
  </si>
  <si>
    <t>NAPERVILLE IL 60563-4300</t>
  </si>
  <si>
    <t>NAPERVILLE IL 60540-0304</t>
  </si>
  <si>
    <t>NAPERVILLE IL 60540-0308</t>
  </si>
  <si>
    <t>NAPERVILLE IL 60563-4046</t>
  </si>
  <si>
    <t>NAPERVILLE IL 60540-1911</t>
  </si>
  <si>
    <t>NAPERVILLE IL 60563-0456</t>
  </si>
  <si>
    <t>NAPERVILLE IL 60563-1895</t>
  </si>
  <si>
    <t>NAPERVILLE IL 60540-9202</t>
  </si>
  <si>
    <t>NAPERVILLE IL 60540-0312</t>
  </si>
  <si>
    <t>NAPERVILLE IL 60540-9218</t>
  </si>
  <si>
    <t>NAPERVILLE IL 60540-0981</t>
  </si>
  <si>
    <t>NAPERVILLE IL 60540-0310</t>
  </si>
  <si>
    <t>NAPERVILLE IL 60540-0309</t>
  </si>
  <si>
    <t>NAPERVILLE IL 60540-9226</t>
  </si>
  <si>
    <t>NAPERVILLE IL 60540-0344</t>
  </si>
  <si>
    <t>NAPERVILLE IL 60540-0302</t>
  </si>
  <si>
    <t>NAPERVILLE IL 60540-0311</t>
  </si>
  <si>
    <t>NAPERVILLE IL 60540-0935</t>
  </si>
  <si>
    <t>NAPERVILLE IL 60563-1894</t>
  </si>
  <si>
    <t>NAPERVILLE IL 60565-2414</t>
  </si>
  <si>
    <t>NAPERVILLE IL 60540-0982</t>
  </si>
  <si>
    <t>NAPERVILLE IL 60563-0467</t>
  </si>
  <si>
    <t>NAPERVILLE IL 60565-2497</t>
  </si>
  <si>
    <t>NAPERVILLE IL 60563-0459</t>
  </si>
  <si>
    <t>NAPERVILLE IL 60563-1984</t>
  </si>
  <si>
    <t>NAPERVILLE IL 60563-1985</t>
  </si>
  <si>
    <t>NAPERVILLE IL 60565-2641</t>
  </si>
  <si>
    <t>NAPERVILLE IL 60540-1907</t>
  </si>
  <si>
    <t>NAPERVILLE IL 60565-4402</t>
  </si>
  <si>
    <t>NAPERVILLE IL 60540-0996</t>
  </si>
  <si>
    <t>NAPERVILLE IL 60540-0983</t>
  </si>
  <si>
    <t>NAPERVILLE IL 60563-0449</t>
  </si>
  <si>
    <t>NAPERVILLE IL 60540-9223</t>
  </si>
  <si>
    <t>NAPERVILLE IL 60540-0975</t>
  </si>
  <si>
    <t>NAPERVILLE IL 60540-1930</t>
  </si>
  <si>
    <t>NAPERVILLE IL 60540-9211</t>
  </si>
  <si>
    <t>NAPERVILLE IL 60563-0448</t>
  </si>
  <si>
    <t>NAPERVILLE IL 60563-0452</t>
  </si>
  <si>
    <t>NAPERVILLE IL 60540-9241</t>
  </si>
  <si>
    <t>NAPERVILLE IL 60540-9221</t>
  </si>
  <si>
    <t>NAPERVILLE IL 60565-4401</t>
  </si>
  <si>
    <t>NAPERVILLE IL 60563-9342</t>
  </si>
  <si>
    <t>NAPERVILLE IL 60563-0463</t>
  </si>
  <si>
    <t>NAPERVILLE IL 60563-0453</t>
  </si>
  <si>
    <t>NAPERVILLE IL 60540-0999</t>
  </si>
  <si>
    <t>NAPERVILLE IL 60540-1900</t>
  </si>
  <si>
    <t>NAPERVILLE IL 60540-9212</t>
  </si>
  <si>
    <t>NAPERVILLE IL 60563-0470</t>
  </si>
  <si>
    <t>NAPERVILLE IL 60540-9227</t>
  </si>
  <si>
    <t>NAPERVILLE IL 60540-6223</t>
  </si>
  <si>
    <t>NAPERVILLE IL 60565-2640</t>
  </si>
  <si>
    <t>NAPERVILLE IL 60540-1913</t>
  </si>
  <si>
    <t>NAPERVILLE IL 60563-0461</t>
  </si>
  <si>
    <t>NAPERVILLE IL 60540-6222</t>
  </si>
  <si>
    <t>NAPERVILLE IL 60540-0998</t>
  </si>
  <si>
    <t>NAPERVILLE IL 60563-0469</t>
  </si>
  <si>
    <t>NAPERVILLE IL 60540-1932</t>
  </si>
  <si>
    <t>NAPERVILLE IL 60540-0980</t>
  </si>
  <si>
    <t>NAPERVILLE IL 60540-0985</t>
  </si>
  <si>
    <t>NAPERVILLE IL 60540-1926</t>
  </si>
  <si>
    <t>NAPERVILLE IL 60540-1934</t>
  </si>
  <si>
    <t>NAPERVILLE IL 60563-0458</t>
  </si>
  <si>
    <t>NAPERVILLE IL 60540-0984</t>
  </si>
  <si>
    <t>NAPERVILLE IL 60540-1901</t>
  </si>
  <si>
    <t>NAPERVILLE IL 60540-0994</t>
  </si>
  <si>
    <t>NAPERVILLE IL 60563-0466</t>
  </si>
  <si>
    <t>NAPERVILLE IL 60540-1928</t>
  </si>
  <si>
    <t>NAPERVILLE IL 60563-0454</t>
  </si>
  <si>
    <t>NAPERVILLE IL 60540-9201</t>
  </si>
  <si>
    <t>NAPERVILLE IL 60565-2498</t>
  </si>
  <si>
    <t>NAPERVILLE IL 60563-0457</t>
  </si>
  <si>
    <t>NAPERVILLE IL 60563-0450</t>
  </si>
  <si>
    <t>NAPERVILLE IL 60540-0992</t>
  </si>
  <si>
    <t>NAPERVILLE IL 60540-1921</t>
  </si>
  <si>
    <t>NAPERVILLE IL 60565-4407</t>
  </si>
  <si>
    <t>NAPERVILLE IL 60540-9214</t>
  </si>
  <si>
    <t>NAPERVILLE IL 60540-9222</t>
  </si>
  <si>
    <t>NAPERVILLE IL 60540-9230</t>
  </si>
  <si>
    <t>NAPERVILLE IL 60540-9229</t>
  </si>
  <si>
    <t>NAPERVILLE IL 60540-9240</t>
  </si>
  <si>
    <t>NAPERVILLE IL 60540-4441</t>
  </si>
  <si>
    <t>NAPERVILLE IL 60540-4430</t>
  </si>
  <si>
    <t>NAPERVILLE IL 60566</t>
  </si>
  <si>
    <t>NAPERVILLE IL 60563-3218</t>
  </si>
  <si>
    <t>NAPERVILLE IL 60563-3613</t>
  </si>
  <si>
    <t>NAPERVILLE IL 60540-4960</t>
  </si>
  <si>
    <t>NAPERVILLE IL 60540-4448</t>
  </si>
  <si>
    <t>NAPERVILLE IL 60540-4917</t>
  </si>
  <si>
    <t>NAPERVILLE IL 60563-3151</t>
  </si>
  <si>
    <t>NAPERVILLE IL 60540-4721</t>
  </si>
  <si>
    <t>NAPERVILLE IL 60540-5508</t>
  </si>
  <si>
    <t>NAPERVILLE IL 60540-4921</t>
  </si>
  <si>
    <t>NAPERVILLE IL 60563-3609</t>
  </si>
  <si>
    <t>NAPERVILLE IL 60540-4944</t>
  </si>
  <si>
    <t>NAPERVILLE IL 60540-4939</t>
  </si>
  <si>
    <t>NAPERVILLE IL 60563-3593</t>
  </si>
  <si>
    <t>NAPERVILLE IL 60540-5215</t>
  </si>
  <si>
    <t>NAPERVILLE IL 60563-1791</t>
  </si>
  <si>
    <t>NAPERVILLE IL 60540-4941</t>
  </si>
  <si>
    <t>NAPERVILLE IL 60540-4350</t>
  </si>
  <si>
    <t>NAPERVILLE IL 60563-3268</t>
  </si>
  <si>
    <t>NAPERVILLE IL 60540-5505</t>
  </si>
  <si>
    <t>NAPERVILLE IL 60563-2183</t>
  </si>
  <si>
    <t>NAPERVILLE IL 60540-4432</t>
  </si>
  <si>
    <t>NAPERVILLE IL 60540-4712</t>
  </si>
  <si>
    <t>NAPERVILLE IL 60563-6303</t>
  </si>
  <si>
    <t>NAPERVILLE IL 60540-5408</t>
  </si>
  <si>
    <t>NAPERVILLE IL 60540-4335</t>
  </si>
  <si>
    <t>NAPERVILLE IL 60563-3595</t>
  </si>
  <si>
    <t>NAPERVILLE IL 60563-3603</t>
  </si>
  <si>
    <t>NAPERVILLE IL 60563-3594</t>
  </si>
  <si>
    <t>NAPERVILLE IL 60563-2049</t>
  </si>
  <si>
    <t>NAPERVILLE IL 60563-2142</t>
  </si>
  <si>
    <t>NAPERVILLE IL 60563-3597</t>
  </si>
  <si>
    <t>NAPERVILLE IL 60540-4741</t>
  </si>
  <si>
    <t>NAPERVILLE IL 60540-4942</t>
  </si>
  <si>
    <t>NAPERVILLE IL 60563-1721</t>
  </si>
  <si>
    <t>NAPERVILLE IL 60540-4727</t>
  </si>
  <si>
    <t>NAPERVILLE IL 60540-4920</t>
  </si>
  <si>
    <t>NAPERVILLE IL 60563-1718</t>
  </si>
  <si>
    <t>NAPERVILLE IL 60563-3205</t>
  </si>
  <si>
    <t>NAPERVILLE IL 60540-4323</t>
  </si>
  <si>
    <t>NAPERVILLE IL 60540-5219</t>
  </si>
  <si>
    <t>NAPERVILLE IL 60540-4916</t>
  </si>
  <si>
    <t>NAPERVILLE IL 60563-2735</t>
  </si>
  <si>
    <t>NAPERVILLE IL 60563-1594</t>
  </si>
  <si>
    <t>NAPERVILLE IL 60540-4620</t>
  </si>
  <si>
    <t>NAPERVILLE IL 60540-4915</t>
  </si>
  <si>
    <t>NAPERVILLE IL 60540-5235</t>
  </si>
  <si>
    <t>NAPERVILLE IL 60540-4713</t>
  </si>
  <si>
    <t>NAPERVILLE IL 60540-4462</t>
  </si>
  <si>
    <t>NAPERVILLE IL 60540-4458</t>
  </si>
  <si>
    <t>NAPERVILLE IL 60540-4414</t>
  </si>
  <si>
    <t>NAPERVILLE IL 60540-4460</t>
  </si>
  <si>
    <t>NAPERVILLE IL 60540-4329</t>
  </si>
  <si>
    <t>NAPERVILLE IL 60564</t>
  </si>
  <si>
    <t>NAPERVILLE IL 60540-4402</t>
  </si>
  <si>
    <t>NAPERVILLE IL 60540-5216</t>
  </si>
  <si>
    <t>NAPERVILLE IL 60563-3147</t>
  </si>
  <si>
    <t>NAPERVILLE IL 60540-5328</t>
  </si>
  <si>
    <t>NAPERVILLE IL 60563-1592</t>
  </si>
  <si>
    <t>NAPERVILLE IL 60540-6530</t>
  </si>
  <si>
    <t>NAPERVILLE IL 60563-2271</t>
  </si>
  <si>
    <t>NAPERVILLE IL 60540-4351</t>
  </si>
  <si>
    <t>NAPERVILLE IL 60540-4608</t>
  </si>
  <si>
    <t>NAPERVILLE IL 60540-4334</t>
  </si>
  <si>
    <t>NAPERVILLE IL 60563-3209</t>
  </si>
  <si>
    <t>NAPERVILLE IL 60563-3139</t>
  </si>
  <si>
    <t>NAPERVILLE IL 60563-3292</t>
  </si>
  <si>
    <t>NAPERVILLE IL 60563-3135</t>
  </si>
  <si>
    <t>NAPERVILLE IL 60540-4405</t>
  </si>
  <si>
    <t>NAPERVILLE IL 60563-3243</t>
  </si>
  <si>
    <t>NAPERVILLE IL 60563-3490</t>
  </si>
  <si>
    <t>NAPERVILLE IL 60563-3584</t>
  </si>
  <si>
    <t>NAPERVILLE IL 60563-3585</t>
  </si>
  <si>
    <t>NAPERVILLE IL 60563-3608</t>
  </si>
  <si>
    <t>NAPERVILLE IL 60540-6512</t>
  </si>
  <si>
    <t>NAPERVILLE IL 60563-3612</t>
  </si>
  <si>
    <t>NAPERVILLE IL 60563-3498</t>
  </si>
  <si>
    <t>NAPERVILLE IL 60563-2270</t>
  </si>
  <si>
    <t>NAPERVILLE IL 60540-4930</t>
  </si>
  <si>
    <t>NAPERVILLE IL 60563-3590</t>
  </si>
  <si>
    <t>NAPERVILLE IL 60540-6511</t>
  </si>
  <si>
    <t>NAPERVILLE IL 60563-3596</t>
  </si>
  <si>
    <t>NAPERVILLE IL 60563-3207</t>
  </si>
  <si>
    <t>NAPERVILLE IL 60563-1790</t>
  </si>
  <si>
    <t>NAPERVILLE IL 60540-4731</t>
  </si>
  <si>
    <t>NAPERVILLE IL 60563-3496</t>
  </si>
  <si>
    <t>NAPERVILLE IL 60563-3133</t>
  </si>
  <si>
    <t>NAPERVILLE IL 60563-2741</t>
  </si>
  <si>
    <t>NAPERVILLE IL 60540-5507</t>
  </si>
  <si>
    <t>NAPERVILLE IL 60540-4810</t>
  </si>
  <si>
    <t>NAPERVILLE IL 60540-4817</t>
  </si>
  <si>
    <t>NAPERVILLE IL 60540-4427</t>
  </si>
  <si>
    <t>NAPERVILLE IL 60540-4454</t>
  </si>
  <si>
    <t>NAPERVILLE IL 60540-4325</t>
  </si>
  <si>
    <t>NAPERVILLE IL 60540-4401</t>
  </si>
  <si>
    <t>NAPERVILLE IL 60540-4463</t>
  </si>
  <si>
    <t>NAPERVILLE IL 60540-4417</t>
  </si>
  <si>
    <t>NAPERVILLE IL 60540-4413</t>
  </si>
  <si>
    <t>NAPERVILLE IL 60540-4433</t>
  </si>
  <si>
    <t>NAPERVILLE IL 60540-4459</t>
  </si>
  <si>
    <t>NAPERVILLE IL 60540-4416</t>
  </si>
  <si>
    <t>NAPERVILLE IL 60540-4749</t>
  </si>
  <si>
    <t>NAPERVILLE IL 60540-4525</t>
  </si>
  <si>
    <t>NAPERVILLE IL 60540-4751</t>
  </si>
  <si>
    <t>NAPERVILLE IL 60540-4726</t>
  </si>
  <si>
    <t>NAPERVILLE IL 60563-3225</t>
  </si>
  <si>
    <t>NAPERVILLE IL 60540-4411</t>
  </si>
  <si>
    <t>NAPERVILLE IL 60540-4408</t>
  </si>
  <si>
    <t>NAPERVILLE IL 60540-4422</t>
  </si>
  <si>
    <t>NAPERVILLE IL 60540-4446</t>
  </si>
  <si>
    <t>NAPERVILLE IL 60540-4409</t>
  </si>
  <si>
    <t>NAPERVILLE IL 60540-4815</t>
  </si>
  <si>
    <t>NAPERVILLE IL 60540-5206</t>
  </si>
  <si>
    <t>NAPERVILLE IL 60563-2742</t>
  </si>
  <si>
    <t>NAPERVILLE IL 60540-4811</t>
  </si>
  <si>
    <t>NAPERVILLE IL 60540-4410</t>
  </si>
  <si>
    <t>NAPERVILLE IL 60563-2800</t>
  </si>
  <si>
    <t>NAPERVILLE IL 60540-4437</t>
  </si>
  <si>
    <t>NAPERVILLE IL 60540-4614</t>
  </si>
  <si>
    <t>NAPERVILLE IL 60540-4420</t>
  </si>
  <si>
    <t>NAPERVILLE IL 60540-4925</t>
  </si>
  <si>
    <t>NAPERVILLE IL 60540-4445</t>
  </si>
  <si>
    <t>NAPERVILLE IL 60563-3244</t>
  </si>
  <si>
    <t>NAPERVILLE IL 60540-4924</t>
  </si>
  <si>
    <t>NAPERVILLE IL 60563-3131</t>
  </si>
  <si>
    <t>NAPERVILLE IL 60563-3124</t>
  </si>
  <si>
    <t>NAPERVILLE IL 60540-4715</t>
  </si>
  <si>
    <t>NAPERVILLE IL 60540-4816</t>
  </si>
  <si>
    <t>NAPERVILLE IL 60563-3587</t>
  </si>
  <si>
    <t>NAPERVILLE IL 60540-4743</t>
  </si>
  <si>
    <t>NAPERVILLE IL 60540-4803</t>
  </si>
  <si>
    <t>NAPERVILLE IL 60540-4300</t>
  </si>
  <si>
    <t>NAPERVILLE IL 60563-3488</t>
  </si>
  <si>
    <t>NAPERVILLE IL 60563-3589</t>
  </si>
  <si>
    <t>NAPERVILLE IL 60563-2840</t>
  </si>
  <si>
    <t>NAPERVILLE IL 60540-5409</t>
  </si>
  <si>
    <t>NAPERVILLE IL 60563-3591</t>
  </si>
  <si>
    <t>NAPERVILLE IL 60563-3610</t>
  </si>
  <si>
    <t>NAPERVILLE IL 60540-4901</t>
  </si>
  <si>
    <t>NAPERVILLE IL 60540-4823</t>
  </si>
  <si>
    <t>NAPERVILLE IL 60563-3137</t>
  </si>
  <si>
    <t>NAPERVILLE IL 60563-3144</t>
  </si>
  <si>
    <t>NAPERVILLE IL 60540-4615</t>
  </si>
  <si>
    <t>NAPERVILLE IL 60540-4612</t>
  </si>
  <si>
    <t>NAPERVILLE IL 60563-3134</t>
  </si>
  <si>
    <t>NAPERVILLE IL 60540-4922</t>
  </si>
  <si>
    <t>NAPERVILLE IL 60540-5581</t>
  </si>
  <si>
    <t>NAPERVILLE IL 60540-4714</t>
  </si>
  <si>
    <t>NAPERVILLE IL 60540-5574</t>
  </si>
  <si>
    <t>NAPERVILLE IL 60540-4959</t>
  </si>
  <si>
    <t>NAPERVILLE IL 60540-4818</t>
  </si>
  <si>
    <t>NAPERVILLE IL 60563-3149</t>
  </si>
  <si>
    <t>NAPERVILLE IL 60563-3141</t>
  </si>
  <si>
    <t>NAPERVILLE IL 60563-3132</t>
  </si>
  <si>
    <t>NAPERVILLE IL 60540-4822</t>
  </si>
  <si>
    <t>NAPERVILLE IL 60563-3125</t>
  </si>
  <si>
    <t>NAPERVILLE IL 60563-3148</t>
  </si>
  <si>
    <t>NAPERVILLE IL 60540-4914</t>
  </si>
  <si>
    <t>NAPERVILLE IL 60563-3611</t>
  </si>
  <si>
    <t>NAPERVILLE IL 60563-3607</t>
  </si>
  <si>
    <t>NAPERVILLE IL 60563-3140</t>
  </si>
  <si>
    <t>NAPERVILLE IL 60563-3106</t>
  </si>
  <si>
    <t>NAPERVILLE IL 60540-4613</t>
  </si>
  <si>
    <t>NAPERVILLE IL 60540-4934</t>
  </si>
  <si>
    <t>NAPERVILLE IL 60563-3138</t>
  </si>
  <si>
    <t>NAPERVILLE IL 60563-3128</t>
  </si>
  <si>
    <t>NAPERVILLE IL 60563-3143</t>
  </si>
  <si>
    <t>NAPERVILLE IL 60563-3624</t>
  </si>
  <si>
    <t>NAPERVILLE IL 60540-4820</t>
  </si>
  <si>
    <t>NAPERVILLE IL 60563-3146</t>
  </si>
  <si>
    <t>NAPERVILLE IL 60563-3142</t>
  </si>
  <si>
    <t>NAPERVILLE IL 60540-4754</t>
  </si>
  <si>
    <t>NAPERVILLE IL 60540-4435</t>
  </si>
  <si>
    <t>NAPERVILLE IL 60540-4819</t>
  </si>
  <si>
    <t>NAPERVILLE IL 60540-4345</t>
  </si>
  <si>
    <t>NAPERVILLE IL 60540-4737</t>
  </si>
  <si>
    <t>NAPERVILLE IL 60540-4824</t>
  </si>
  <si>
    <t>NAPERVILLE IL 60563-3130</t>
  </si>
  <si>
    <t>NAPERVILLE IL 60540-4825</t>
  </si>
  <si>
    <t>NAPERVILLE IL 60563-2734</t>
  </si>
  <si>
    <t>NAPERVILLE IL 60563-3145</t>
  </si>
  <si>
    <t>NAPERVILLE IL 60540-4752</t>
  </si>
  <si>
    <t>NAPERVILLE IL 60563-3588</t>
  </si>
  <si>
    <t>NAPERVILLE IL 60540-4353</t>
  </si>
  <si>
    <t>NAPERVILLE IL 60540-4622</t>
  </si>
  <si>
    <t>NAPERVILLE IL 60540-4407</t>
  </si>
  <si>
    <t>NAPERVILLE IL 60563-1124</t>
  </si>
  <si>
    <t>NAPERVILLE IL 60563-3592</t>
  </si>
  <si>
    <t>NAPERVILLE IL 60563-3586</t>
  </si>
  <si>
    <t>NAPERVILLE IL 60540-4524</t>
  </si>
  <si>
    <t>NAPERVILLE IL 60540-4480</t>
  </si>
  <si>
    <t>NAPERVILLE IL 60540-4701</t>
  </si>
  <si>
    <t>NAPERVILLE IL 60540-5231</t>
  </si>
  <si>
    <t>NAPERVILLE IL 60540-4457</t>
  </si>
  <si>
    <t>NAPERVILLE IL 60540-4623</t>
  </si>
  <si>
    <t>NAPERVILLE IL 60563-1481</t>
  </si>
  <si>
    <t>NAPERVILLE IL 60540-6513</t>
  </si>
  <si>
    <t>NAPERVILLE IL 60540-4935</t>
  </si>
  <si>
    <t>NAPERVILLE IL 60540-4884</t>
  </si>
  <si>
    <t>NAPERVILLE IL 60540-4507</t>
  </si>
  <si>
    <t>NAPERVILLE IL 60540-4517</t>
  </si>
  <si>
    <t>NAPERVILLE IL 60540-4508</t>
  </si>
  <si>
    <t>NAPERVILLE IL 60540-5342</t>
  </si>
  <si>
    <t>NAPERVILLE IL 60540-4719</t>
  </si>
  <si>
    <t>NAPERVILLE IL 60540-4813</t>
  </si>
  <si>
    <t>NAPERVILLE IL 60540-4733</t>
  </si>
  <si>
    <t>NAPERVILLE IL 60563-3709</t>
  </si>
  <si>
    <t>NAPERVILLE IL 60540-5550</t>
  </si>
  <si>
    <t>NAPERVILLE IL 60540-4436</t>
  </si>
  <si>
    <t>NAPERVILLE IL 60540-6528</t>
  </si>
  <si>
    <t>NAPERVILLE IL 60540-4403</t>
  </si>
  <si>
    <t>ROSELLE IL 60172</t>
  </si>
  <si>
    <t>ROSELLE IL 60172-4728</t>
  </si>
  <si>
    <t>ROSELLE IL 60172-2881</t>
  </si>
  <si>
    <t>ROSELLE IL 60172-2805</t>
  </si>
  <si>
    <t>ROSELLE IL 60172-4723</t>
  </si>
  <si>
    <t>ROSELLE IL 60172-4731</t>
  </si>
  <si>
    <t>ROSELLE IL 60172-4518</t>
  </si>
  <si>
    <t>ROSELLE IL 60172-2810</t>
  </si>
  <si>
    <t>ROSELLE IL 60172-2880</t>
  </si>
  <si>
    <t>ROSELLE IL 60172-2801</t>
  </si>
  <si>
    <t>ROSELLE IL 60172-4799</t>
  </si>
  <si>
    <t>ROSELLE IL 60172-4729</t>
  </si>
  <si>
    <t>ROSELLE IL 60172-1635</t>
  </si>
  <si>
    <t>ROSELLE IL 60172-4719</t>
  </si>
  <si>
    <t>ROSELLE IL 60172-4733</t>
  </si>
  <si>
    <t>ROSELLE IL 60172-2054</t>
  </si>
  <si>
    <t>ROSELLE IL 60172-4730</t>
  </si>
  <si>
    <t>ROSELLE IL 60172-1671</t>
  </si>
  <si>
    <t>ROSELLE IL 60172-4721</t>
  </si>
  <si>
    <t>ROSELLE IL 60172-2725</t>
  </si>
  <si>
    <t>ROSELLE IL 60172-2823</t>
  </si>
  <si>
    <t>ROSELLE IL 60172-4726</t>
  </si>
  <si>
    <t>ROSELLE IL 60172-2739</t>
  </si>
  <si>
    <t>ROSELLE IL 60172-0076</t>
  </si>
  <si>
    <t>ROSELLE IL 60172-4722</t>
  </si>
  <si>
    <t>ROSELLE IL 60172-4718</t>
  </si>
  <si>
    <t>ROSELLE IL 60172-2630</t>
  </si>
  <si>
    <t>ROSELLE IL 60172-1626</t>
  </si>
  <si>
    <t>ROSELLE IL 60172-4720</t>
  </si>
  <si>
    <t>ROSELLE IL 60172-4517</t>
  </si>
  <si>
    <t>ROSELLE IL 60172-2758</t>
  </si>
  <si>
    <t>ROSELLE IL 60172-1668</t>
  </si>
  <si>
    <t>ROSELLE IL 60172-2623</t>
  </si>
  <si>
    <t>ROSELLE IL 60172-1670</t>
  </si>
  <si>
    <t>ROSELLE IL 60172-2622</t>
  </si>
  <si>
    <t>ROSELLE IL 60172-2712</t>
  </si>
  <si>
    <t>ROSELLE IL 60172-1629</t>
  </si>
  <si>
    <t>ROSELLE IL 60172-1716</t>
  </si>
  <si>
    <t>ROSELLE IL 60172-2804</t>
  </si>
  <si>
    <t>ROSELLE IL 60172-4724</t>
  </si>
  <si>
    <t>ROSELLE IL 60172-1628</t>
  </si>
  <si>
    <t>ROSELLE IL 60172-1609</t>
  </si>
  <si>
    <t>ROSELLE IL 60172-1666</t>
  </si>
  <si>
    <t>ROSELLE IL 60172-1617</t>
  </si>
  <si>
    <t>ROSELLE IL 60172-1715</t>
  </si>
  <si>
    <t>ROSELLE IL 60172-2727</t>
  </si>
  <si>
    <t>ROSELLE IL 60172-2830</t>
  </si>
  <si>
    <t>ROSELLE IL 60172-1619</t>
  </si>
  <si>
    <t>ROSELLE IL 60172-4060</t>
  </si>
  <si>
    <t>ROSELLE IL 60172-1526</t>
  </si>
  <si>
    <t>ROSELLE IL 60172-1633</t>
  </si>
  <si>
    <t>ROSELLE IL 60172-1603</t>
  </si>
  <si>
    <t>ROSELLE IL 60172-1723</t>
  </si>
  <si>
    <t>ROSELLE IL 60172-2747</t>
  </si>
  <si>
    <t>ROSELLE IL 60172-2625</t>
  </si>
  <si>
    <t>ROSELLE IL 60172-2729</t>
  </si>
  <si>
    <t>ROSELLE IL 60172-2744</t>
  </si>
  <si>
    <t>ROSELLE IL 60172-2876</t>
  </si>
  <si>
    <t>ROSELLE IL 60172-2820</t>
  </si>
  <si>
    <t>ROSELLE IL 60172-1721</t>
  </si>
  <si>
    <t>ROSELLE IL 60172-1637</t>
  </si>
  <si>
    <t>ROSELLE IL 60172-2825</t>
  </si>
  <si>
    <t>ROSELLE IL 60172-2807</t>
  </si>
  <si>
    <t>ROSELLE IL 60172-2826</t>
  </si>
  <si>
    <t>ROSELLE IL 60172-2655</t>
  </si>
  <si>
    <t>ROSELLE IL 60172-2730</t>
  </si>
  <si>
    <t>ROSELLE IL 60172-2759</t>
  </si>
  <si>
    <t>ROSELLE IL 60172-2624</t>
  </si>
  <si>
    <t>ROSELLE IL 60172-2821</t>
  </si>
  <si>
    <t>ROSELLE IL 60172-2756</t>
  </si>
  <si>
    <t>ROSELLE IL 60172-2711</t>
  </si>
  <si>
    <t>ROSELLE IL 60172-2748</t>
  </si>
  <si>
    <t>ROSELLE IL 60172-2811</t>
  </si>
  <si>
    <t>ROSELLE IL 60172-2808</t>
  </si>
  <si>
    <t>ROSELLE IL 60172-2662</t>
  </si>
  <si>
    <t>ROSELLE IL 60172-2714</t>
  </si>
  <si>
    <t>ROSELLE IL 60172-2736</t>
  </si>
  <si>
    <t>ROSELLE IL 60172-2803</t>
  </si>
  <si>
    <t>ROSELLE IL 60172-2715</t>
  </si>
  <si>
    <t>ROSELLE IL 60172-2816</t>
  </si>
  <si>
    <t>ROSELLE IL 60172-2819</t>
  </si>
  <si>
    <t>ROSELLE IL 60172-1624</t>
  </si>
  <si>
    <t>ROSELLE IL 60172-2835</t>
  </si>
  <si>
    <t>ROSELLE IL 60172-2877</t>
  </si>
  <si>
    <t>ROSELLE IL 60172-3723</t>
  </si>
  <si>
    <t>ROSELLE IL 60172-1622</t>
  </si>
  <si>
    <t>ROSELLE IL 60172-2607</t>
  </si>
  <si>
    <t>ROSELLE IL 60172-1675</t>
  </si>
  <si>
    <t>ROSELLE IL 60172-2656</t>
  </si>
  <si>
    <t>ROSELLE IL 60172-2734</t>
  </si>
  <si>
    <t>ROSELLE IL 60172-1676</t>
  </si>
  <si>
    <t>ROSELLE IL 60172-2621</t>
  </si>
  <si>
    <t>ROSELLE IL 60172-1608</t>
  </si>
  <si>
    <t>ROSELLE IL 60172-2750</t>
  </si>
  <si>
    <t>ROSELLE IL 60172-1724</t>
  </si>
  <si>
    <t>ROSELLE IL 60172-2866</t>
  </si>
  <si>
    <t>ROSELLE IL 60172-2741</t>
  </si>
  <si>
    <t>ROSELLE IL 60172-2740</t>
  </si>
  <si>
    <t>ROSELLE IL 60172-1717</t>
  </si>
  <si>
    <t>ROSELLE IL 60172-1722</t>
  </si>
  <si>
    <t>ROSELLE IL 60172-1718</t>
  </si>
  <si>
    <t>ROSELLE IL 60172-2732</t>
  </si>
  <si>
    <t>ROSELLE IL 60172-2706</t>
  </si>
  <si>
    <t>ROSELLE IL 60172-1726</t>
  </si>
  <si>
    <t>ROSELLE IL 60172-2833</t>
  </si>
  <si>
    <t>ROSELLE IL 60172-1632</t>
  </si>
  <si>
    <t>ROSELLE IL 60172-2814</t>
  </si>
  <si>
    <t>ROSELLE IL 60172-2654</t>
  </si>
  <si>
    <t>ROSELLE IL 60172-1616</t>
  </si>
  <si>
    <t>ROSELLE IL 60172-2719</t>
  </si>
  <si>
    <t>ROSELLE IL 60172-2661</t>
  </si>
  <si>
    <t>ROSELLE IL 60172-1729</t>
  </si>
  <si>
    <t>ROSELLE IL 60172-1728</t>
  </si>
  <si>
    <t>ROSELLE IL 60172-2751</t>
  </si>
  <si>
    <t>ROSELLE IL 60172-2733</t>
  </si>
  <si>
    <t>ROSELLE IL 60172-2834</t>
  </si>
  <si>
    <t>ROSELLE IL 60172-2743</t>
  </si>
  <si>
    <t>ROSELLE IL 60172-2731</t>
  </si>
  <si>
    <t>ROSELLE IL 60172-2824</t>
  </si>
  <si>
    <t>ROSELLE IL 60172-2708</t>
  </si>
  <si>
    <t>ROSELLE IL 60172-2746</t>
  </si>
  <si>
    <t>ROSELLE IL 60172-2726</t>
  </si>
  <si>
    <t>ROSELLE IL 60172-2710</t>
  </si>
  <si>
    <t>ROSELLE IL 60172-2813</t>
  </si>
  <si>
    <t>ROSELLE IL 60172-2742</t>
  </si>
  <si>
    <t>ROSELLE IL 60172-2713</t>
  </si>
  <si>
    <t>ROSELLE IL 60172-2619</t>
  </si>
  <si>
    <t>ROSELLE IL 60172-1754</t>
  </si>
  <si>
    <t>ROSELLE IL 60172-2716</t>
  </si>
  <si>
    <t>ROSELLE IL 60172-2620</t>
  </si>
  <si>
    <t>ROSELLE IL 60172-2667</t>
  </si>
  <si>
    <t>ROSELLE IL 60172-2618</t>
  </si>
  <si>
    <t>ROSELLE IL 60172-2718</t>
  </si>
  <si>
    <t>ROSELLE IL 60172-2829</t>
  </si>
  <si>
    <t>ROSELLE IL 60172-1644</t>
  </si>
  <si>
    <t>ROSELLE IL 60172-2764</t>
  </si>
  <si>
    <t>ROSELLE IL 60172-2653</t>
  </si>
  <si>
    <t>ROSELLE IL 60107</t>
  </si>
  <si>
    <t>ROSELLE IL 60172-2652</t>
  </si>
  <si>
    <t>ROSELLE IL 60172-2723</t>
  </si>
  <si>
    <t>ROSELLE IL 60172-2611</t>
  </si>
  <si>
    <t>ROSELLE IL 60172-2720</t>
  </si>
  <si>
    <t>ROSELLE IL 60172-2668</t>
  </si>
  <si>
    <t>ROSELLE IL 60172-2709</t>
  </si>
  <si>
    <t>ROSELLE IL 60172-2703</t>
  </si>
  <si>
    <t>ROSELLE IL 60172-2643</t>
  </si>
  <si>
    <t>ROSELLE IL 60172-2705</t>
  </si>
  <si>
    <t>ROSELLE IL 60172-2609</t>
  </si>
  <si>
    <t>ROSELLE IL 60172-1646</t>
  </si>
  <si>
    <t>ROSELLE IL 60172-2724</t>
  </si>
  <si>
    <t>ROSELLE IL 60172-2628</t>
  </si>
  <si>
    <t>ROSELLE IL 60172-2757</t>
  </si>
  <si>
    <t>ROSELLE IL 60172-2640</t>
  </si>
  <si>
    <t>ROSELLE IL 60172-2629</t>
  </si>
  <si>
    <t>ROSELLE IL 60172-2641</t>
  </si>
  <si>
    <t>ITASCA IL 60143-1595</t>
  </si>
  <si>
    <t>ITASCA IL 60143</t>
  </si>
  <si>
    <t>ITASCA IL 60143-1569</t>
  </si>
  <si>
    <t>ITASCA IL 60143-1501</t>
  </si>
  <si>
    <t>CLARENDON HILLS IL 60514-1574</t>
  </si>
  <si>
    <t>ITASCA IL 60143-1574</t>
  </si>
  <si>
    <t>ITASCA IL 60143-1515</t>
  </si>
  <si>
    <t>NAPERVILLE IL 60563-1891</t>
  </si>
  <si>
    <t>OAK BROOK IL 60523</t>
  </si>
  <si>
    <t>MEDINAH IL 60157</t>
  </si>
  <si>
    <t>MEDINAH IL 60157-7000</t>
  </si>
  <si>
    <t>BURR RIDGE IL 60527</t>
  </si>
  <si>
    <t>GLEN ELLYN IL 60137-7247</t>
  </si>
  <si>
    <t>VILLA PARK IL 60181</t>
  </si>
  <si>
    <t>VILLA PARK IL 60181-2618</t>
  </si>
  <si>
    <t>VILLA PARK IL 60181-2115</t>
  </si>
  <si>
    <t>VILLA PARK IL 60181-2850</t>
  </si>
  <si>
    <t>VILLA PARK IL 60181-2689</t>
  </si>
  <si>
    <t>VILLA PARK IL 60181-2891</t>
  </si>
  <si>
    <t>VILLA PARK IL 60181-2421</t>
  </si>
  <si>
    <t>VILLA PARK IL 60181-2419</t>
  </si>
  <si>
    <t>VILLA PARK IL 60181-2431</t>
  </si>
  <si>
    <t>VILLA PARK IL 60181-2656</t>
  </si>
  <si>
    <t>VILLA PARK IL 60181-2403</t>
  </si>
  <si>
    <t>VILLA PARK IL 60181-2760</t>
  </si>
  <si>
    <t>VILLA PARK IL 60181-1429</t>
  </si>
  <si>
    <t>VILLA PARK IL 60181-1758</t>
  </si>
  <si>
    <t>VILLA PARK IL 60181-1345</t>
  </si>
  <si>
    <t>VILLA PARK IL 60181-2253</t>
  </si>
  <si>
    <t>VILLA PARK IL 60181-2163</t>
  </si>
  <si>
    <t>WEST CHICAGO IL 60185</t>
  </si>
  <si>
    <t>WEST CHICAGO IL 60185-2204</t>
  </si>
  <si>
    <t>WEST CHICAGO IL 60185-2854</t>
  </si>
  <si>
    <t>WEST CHICAGO IL 60185-2804</t>
  </si>
  <si>
    <t>WEST CHICAGO IL 60185-2703</t>
  </si>
  <si>
    <t>WEST CHICAGO IL 60185-1953</t>
  </si>
  <si>
    <t>WEST CHICAGO IL 60185-3139</t>
  </si>
  <si>
    <t>WEST CHICAGO IL 60185-3133</t>
  </si>
  <si>
    <t>WEST CHICAGO IL 60185-3144</t>
  </si>
  <si>
    <t>WESTMONT IL 60559</t>
  </si>
  <si>
    <t>WESTMONT IL 60559-1839</t>
  </si>
  <si>
    <t>WESTMONT IL 60559-1977</t>
  </si>
  <si>
    <t>WESTMONT IL 60559-1966</t>
  </si>
  <si>
    <t>WESTMONT IL 60559-1706</t>
  </si>
  <si>
    <t>WESTMONT IL 60559-1601</t>
  </si>
  <si>
    <t>WESTMONT IL 60559-1525</t>
  </si>
  <si>
    <t>WESTMONT IL 60559-1929</t>
  </si>
  <si>
    <t>WESTMONT IL 60559-2051</t>
  </si>
  <si>
    <t>OAK BROOK IL 60523-2625</t>
  </si>
  <si>
    <t>WESTMONT IL 60559-1524</t>
  </si>
  <si>
    <t>WESTMONT IL 60559-2337</t>
  </si>
  <si>
    <t>WESTMONT IL 60559-2318</t>
  </si>
  <si>
    <t>WESTMONT IL 60559-1502</t>
  </si>
  <si>
    <t>WESTMONT IL 60559-2064</t>
  </si>
  <si>
    <t>WESTMONT IL 60559-2335</t>
  </si>
  <si>
    <t>WESTMONT IL 60559-1501</t>
  </si>
  <si>
    <t>WESTMONT IL 60559-1847</t>
  </si>
  <si>
    <t>WESTMONT IL 60523</t>
  </si>
  <si>
    <t>WESTMONT IL 60559-2319</t>
  </si>
  <si>
    <t>WESTMONT IL 60559-1930</t>
  </si>
  <si>
    <t>WESTMONT IL 60559-1932</t>
  </si>
  <si>
    <t>WESTMONT IL 60559-1991</t>
  </si>
  <si>
    <t>WESTMONT IL 60559-2312</t>
  </si>
  <si>
    <t>WESTMONT IL 60559-1811</t>
  </si>
  <si>
    <t>WESTMONT IL 60559-1848</t>
  </si>
  <si>
    <t>WESTMONT IL 60559-1648</t>
  </si>
  <si>
    <t>WESTMONT IL 60559-1851</t>
  </si>
  <si>
    <t>WESTMONT IL 60559-1840</t>
  </si>
  <si>
    <t>WESTMONT IL 60559-1809</t>
  </si>
  <si>
    <t>WESTMONT IL 60559-2058</t>
  </si>
  <si>
    <t>WESTMONT IL 60559-2903</t>
  </si>
  <si>
    <t>WESTMONT IL 60559-1510</t>
  </si>
  <si>
    <t>WHEATON IL 60187-1906</t>
  </si>
  <si>
    <t>WHEATON IL 60187-5564</t>
  </si>
  <si>
    <t>WHEATON IL 60187-5246</t>
  </si>
  <si>
    <t>WHEATON IL 60187-5203</t>
  </si>
  <si>
    <t>WHEATON IL 60187-5244</t>
  </si>
  <si>
    <t>WHEATON IL 60187-5219</t>
  </si>
  <si>
    <t>WHEATON IL 60187-5245</t>
  </si>
  <si>
    <t>WHEATON IL 60189-6369</t>
  </si>
  <si>
    <t>WHEATON IL 60187-5061</t>
  </si>
  <si>
    <t>WHEATON IL 60187-4907</t>
  </si>
  <si>
    <t>WHEATON IL 60187-5241</t>
  </si>
  <si>
    <t>WHEATON IL 60187-5780</t>
  </si>
  <si>
    <t>WHEATON IL 60187-5604</t>
  </si>
  <si>
    <t>GLEN ELLYN IL 60137-5618</t>
  </si>
  <si>
    <t>WHEATON IL 60187-6837</t>
  </si>
  <si>
    <t>WHEATON IL 60187-6807</t>
  </si>
  <si>
    <t>WHEATON IL 60187-5057</t>
  </si>
  <si>
    <t>WHEATON IL 60187-4993</t>
  </si>
  <si>
    <t>WHEATON IL 60189</t>
  </si>
  <si>
    <t>WHEATON IL 60187-4909</t>
  </si>
  <si>
    <t>WHEATON IL 60187-4927</t>
  </si>
  <si>
    <t>WHEATON IL 60187-5430</t>
  </si>
  <si>
    <t>WHEATON IL 60187-4913</t>
  </si>
  <si>
    <t>WHEATON IL 60187-4923</t>
  </si>
  <si>
    <t>WHEATON IL 60187-4908</t>
  </si>
  <si>
    <t>WHEATON IL 60187-4904</t>
  </si>
  <si>
    <t>WHEATON IL 60187-5064</t>
  </si>
  <si>
    <t>WHEATON IL 60187-3329</t>
  </si>
  <si>
    <t>WHEATON IL 60187-3921</t>
  </si>
  <si>
    <t>WHEATON IL 60187-5508</t>
  </si>
  <si>
    <t>WHEATON IL 60187-5214</t>
  </si>
  <si>
    <t>WHEATON IL 60189-7172</t>
  </si>
  <si>
    <t>WHEATON IL 60189-3366</t>
  </si>
  <si>
    <t>WHEATON IL 60187-5211</t>
  </si>
  <si>
    <t>WHEATON IL 60187-5516</t>
  </si>
  <si>
    <t>WHEATON IL 60187-5708</t>
  </si>
  <si>
    <t>WHEATON IL 60187-5616</t>
  </si>
  <si>
    <t>WHEATON IL 60187-5221</t>
  </si>
  <si>
    <t>WHEATON IL 60189-6123</t>
  </si>
  <si>
    <t>WHEATON IL 60187-5510</t>
  </si>
  <si>
    <t>WHEATON IL 60187-5507</t>
  </si>
  <si>
    <t>WHEATON IL 60189-7103</t>
  </si>
  <si>
    <t>WHEATON IL 60189-7133</t>
  </si>
  <si>
    <t>WHEATON IL 60187-5205</t>
  </si>
  <si>
    <t>WHEATON IL 60187-5206</t>
  </si>
  <si>
    <t>WHEATON IL 60187-5033</t>
  </si>
  <si>
    <t>WHEATON IL 60187-3137</t>
  </si>
  <si>
    <t>WHEATON IL 60187-3330</t>
  </si>
  <si>
    <t>WILLOWBROOK IL 60527-5496</t>
  </si>
  <si>
    <t>WILLOWBROOK IL 60521</t>
  </si>
  <si>
    <t>WILLOWBROOK IL 60527</t>
  </si>
  <si>
    <t>WILLOWBROOK IL 60527-5394</t>
  </si>
  <si>
    <t>WILLOWBROOK IL 60527-5395</t>
  </si>
  <si>
    <t>WILLOWBROOK IL 60527-5390</t>
  </si>
  <si>
    <t>WILLOWBROOK IL 60527-5399</t>
  </si>
  <si>
    <t>WILLOWBROOK IL 60527-5387</t>
  </si>
  <si>
    <t>WILLOWBROOK IL 60527-5393</t>
  </si>
  <si>
    <t>WILLOWBROOK IL 60527-5389</t>
  </si>
  <si>
    <t>WOOD DALE IL 60191</t>
  </si>
  <si>
    <t>WOOD DALE IL 60191-1925</t>
  </si>
  <si>
    <t>WOODRIDGE IL 60517-4506</t>
  </si>
  <si>
    <t>WOODRIDGE IL 60517-1819</t>
  </si>
  <si>
    <t>WOODRIDGE IL 60517-1836</t>
  </si>
  <si>
    <t>WOODRIDGE IL 60517-1709</t>
  </si>
  <si>
    <t>WOODRIDGE IL 60517-1822</t>
  </si>
  <si>
    <t>WOODRIDGE IL 60517-1821</t>
  </si>
  <si>
    <t>WOODRIDGE IL 60517-1731</t>
  </si>
  <si>
    <t>WOODRIDGE IL 60517-1830</t>
  </si>
  <si>
    <t>WOODRIDGE IL 60517-1865</t>
  </si>
  <si>
    <t>WOODRIDGE IL 60517-1826</t>
  </si>
  <si>
    <t>WOODRIDGE IL 60517-1831</t>
  </si>
  <si>
    <t>WOODRIDGE IL 60517-1824</t>
  </si>
  <si>
    <t>WOODRIDGE IL 60517-1714</t>
  </si>
  <si>
    <t>WOODRIDGE IL 60517-1815</t>
  </si>
  <si>
    <t>WOODRIDGE IL 60517-1837</t>
  </si>
  <si>
    <t>WOODRIDGE IL 60517-1820</t>
  </si>
  <si>
    <t>WOODRIDGE IL 60517-1861</t>
  </si>
  <si>
    <t>WOODRIDGE IL 60517-1734</t>
  </si>
  <si>
    <t>WOODRIDGE IL 60517-1717</t>
  </si>
  <si>
    <t>WOODRIDGE IL 60517-1729</t>
  </si>
  <si>
    <t>WOODRIDGE IL 60517-2003</t>
  </si>
  <si>
    <t>WOODRIDGE IL 60517-1833</t>
  </si>
  <si>
    <t>WOODRIDGE IL 60517-1805</t>
  </si>
  <si>
    <t>WOODRIDGE IL 60517-1817</t>
  </si>
  <si>
    <t>WOODRIDGE IL 60517-1828</t>
  </si>
  <si>
    <t>WOODRIDGE IL 60517-1706</t>
  </si>
  <si>
    <t>WOODRIDGE IL 60517-1733</t>
  </si>
  <si>
    <t>WOODRIDGE IL 60517-1814</t>
  </si>
  <si>
    <t>WOODRIDGE IL 60517-1748</t>
  </si>
  <si>
    <t>WOODRIDGE IL 60517-1823</t>
  </si>
  <si>
    <t>WOODRIDGE IL 60517-1728</t>
  </si>
  <si>
    <t>WOODRIDGE IL 60517-2014</t>
  </si>
  <si>
    <t>WOODRIDGE IL 60517-1801</t>
  </si>
  <si>
    <t>WOODRIDGE IL 60517-1704</t>
  </si>
  <si>
    <t>WOODRIDGE IL 60517-1834</t>
  </si>
  <si>
    <t>WOODRIDGE IL 60517-1825</t>
  </si>
  <si>
    <t>WOODRIDGE IL 60517-4527</t>
  </si>
  <si>
    <t>WOODRIDGE IL 60517-1845</t>
  </si>
  <si>
    <t>WOODRIDGE IL 60517-1732</t>
  </si>
  <si>
    <t>WOODRIDGE IL 60517-1715</t>
  </si>
  <si>
    <t>WOODRIDGE IL 60517-1827</t>
  </si>
  <si>
    <t>WOODRIDGE IL 60517-1744</t>
  </si>
  <si>
    <t>WOODRIDGE IL 60517-1730</t>
  </si>
  <si>
    <t>WOODRIDGE IL 60517-4522</t>
  </si>
  <si>
    <t>WOODRIDGE IL 60517-1851</t>
  </si>
  <si>
    <t>WOODRIDGE IL 60517-2004</t>
  </si>
  <si>
    <t>WOODRIDGE IL 60517-1710</t>
  </si>
  <si>
    <t>WOODRIDGE IL 60517-1848</t>
  </si>
  <si>
    <t>WOODRIDGE IL 60517-1841</t>
  </si>
  <si>
    <t>WOODRIDGE IL 60517-1719</t>
  </si>
  <si>
    <t>WOODRIDGE IL 60517-1849</t>
  </si>
  <si>
    <t>WOODRIDGE IL 60517-1856</t>
  </si>
  <si>
    <t>WOODRIDGE IL 60517-2002</t>
  </si>
  <si>
    <t>WOODRIDGE IL 60517-2006</t>
  </si>
  <si>
    <t>WOODRIDGE IL 60517-1855</t>
  </si>
  <si>
    <t>WOODRIDGE IL 60517-1725</t>
  </si>
  <si>
    <t>WOODRIDGE IL 60517-1705</t>
  </si>
  <si>
    <t>WOODRIDGE IL 60517-1846</t>
  </si>
  <si>
    <t>WOODRIDGE IL 60517-1859</t>
  </si>
  <si>
    <t>WOODRIDGE IL 60517-1842</t>
  </si>
  <si>
    <t>WOODRIDGE IL 60517-1844</t>
  </si>
  <si>
    <t>WOODRIDGE IL 60517-1723</t>
  </si>
  <si>
    <t>WOODRIDGE IL 60517-1735</t>
  </si>
  <si>
    <t>WOODRIDGE IL 60517-1737</t>
  </si>
  <si>
    <t>WOODRIDGE IL 60517-1838</t>
  </si>
  <si>
    <t>WOODRIDGE IL 60517-2001</t>
  </si>
  <si>
    <t>WOODRIDGE IL 60517-1852</t>
  </si>
  <si>
    <t>WOODRIDGE IL 60517-1863</t>
  </si>
  <si>
    <t>WOODRIDGE IL 60517-1726</t>
  </si>
  <si>
    <t>WOODRIDGE IL 60517-1857</t>
  </si>
  <si>
    <t>WOODRIDGE IL 60517-1722</t>
  </si>
  <si>
    <t>WOODRIDGE IL 60517-1720</t>
  </si>
  <si>
    <t>WOODRIDGE IL 60517-1854</t>
  </si>
  <si>
    <t>WOODRIDGE IL 60517-1843</t>
  </si>
  <si>
    <t>WOODRIDGE IL 60517-1847</t>
  </si>
  <si>
    <t>Municipality</t>
  </si>
  <si>
    <t>Aurora</t>
  </si>
  <si>
    <t>Bartlett</t>
  </si>
  <si>
    <t>Bensenville</t>
  </si>
  <si>
    <t>Bloomingdale</t>
  </si>
  <si>
    <t>Carol Stream</t>
  </si>
  <si>
    <t>Darien</t>
  </si>
  <si>
    <t>Downers Grove</t>
  </si>
  <si>
    <t>Elmhurst</t>
  </si>
  <si>
    <t>Glen Ellyn</t>
  </si>
  <si>
    <t>Glendale Heights</t>
  </si>
  <si>
    <t>Hanover Park</t>
  </si>
  <si>
    <t>Lisle</t>
  </si>
  <si>
    <t>Lombard</t>
  </si>
  <si>
    <t>Naperville</t>
  </si>
  <si>
    <t>Roselle</t>
  </si>
  <si>
    <t>Uninc</t>
  </si>
  <si>
    <t>Villa Park</t>
  </si>
  <si>
    <t>West Chicago</t>
  </si>
  <si>
    <t>Westmont</t>
  </si>
  <si>
    <t>Wheaton</t>
  </si>
  <si>
    <t>Willowbrook</t>
  </si>
  <si>
    <t>Wood Dale</t>
  </si>
  <si>
    <t>Woodridge</t>
  </si>
  <si>
    <t>Current use</t>
  </si>
  <si>
    <t>Vacant land</t>
  </si>
  <si>
    <t>Single-family home</t>
  </si>
  <si>
    <t>Zoning category</t>
  </si>
  <si>
    <t>Multi-family (apartments)</t>
  </si>
  <si>
    <t>Multi-family (townhouse/attached)</t>
  </si>
  <si>
    <t>Commercial/mixed-use allowing apartments</t>
  </si>
  <si>
    <t>Zoning district (as mapped)</t>
  </si>
  <si>
    <t>R5(S)</t>
  </si>
  <si>
    <t>R5A(C)</t>
  </si>
  <si>
    <t>SR-5</t>
  </si>
  <si>
    <t>SR-5 PUD</t>
  </si>
  <si>
    <t>C-2</t>
  </si>
  <si>
    <t>C-1</t>
  </si>
  <si>
    <t>R-5</t>
  </si>
  <si>
    <t>R-6</t>
  </si>
  <si>
    <t>OT</t>
  </si>
  <si>
    <t>R-4 PD</t>
  </si>
  <si>
    <t>R-4 SP PD</t>
  </si>
  <si>
    <t>R-3 SP</t>
  </si>
  <si>
    <t>R-3 SP PD</t>
  </si>
  <si>
    <t>R-3 PD</t>
  </si>
  <si>
    <t>R-4</t>
  </si>
  <si>
    <t>General Sale</t>
  </si>
  <si>
    <t>Multi-Family Residential</t>
  </si>
  <si>
    <t>R-3</t>
  </si>
  <si>
    <t>DT</t>
  </si>
  <si>
    <t>DB</t>
  </si>
  <si>
    <t>FT</t>
  </si>
  <si>
    <t>FC</t>
  </si>
  <si>
    <t>DC</t>
  </si>
  <si>
    <t>FB</t>
  </si>
  <si>
    <t>R6</t>
  </si>
  <si>
    <t>R5A</t>
  </si>
  <si>
    <t>R5</t>
  </si>
  <si>
    <t>CBOCR</t>
  </si>
  <si>
    <t>CBOC</t>
  </si>
  <si>
    <t>CBC</t>
  </si>
  <si>
    <t>R4</t>
  </si>
  <si>
    <t>C5B</t>
  </si>
  <si>
    <t>C5A</t>
  </si>
  <si>
    <t>VC-N</t>
  </si>
  <si>
    <t>VC-C</t>
  </si>
  <si>
    <t>VC-R</t>
  </si>
  <si>
    <t>B-3B</t>
  </si>
  <si>
    <t>B-3A</t>
  </si>
  <si>
    <t>B5</t>
  </si>
  <si>
    <t>B5PD</t>
  </si>
  <si>
    <t>B5A</t>
  </si>
  <si>
    <t>B5APD</t>
  </si>
  <si>
    <t>R5PD</t>
  </si>
  <si>
    <t>R4PD</t>
  </si>
  <si>
    <t>R6PD</t>
  </si>
  <si>
    <t>R3</t>
  </si>
  <si>
    <t>TU</t>
  </si>
  <si>
    <t>B4 PUD</t>
  </si>
  <si>
    <t>B4</t>
  </si>
  <si>
    <t>R4 PUD</t>
  </si>
  <si>
    <t>R3 PUD</t>
  </si>
  <si>
    <t>R3A PUD</t>
  </si>
  <si>
    <t>R3A</t>
  </si>
  <si>
    <t>R2</t>
  </si>
  <si>
    <t>R2 PUD</t>
  </si>
  <si>
    <t>B-3</t>
  </si>
  <si>
    <t>MX-T</t>
  </si>
  <si>
    <t>MX-1</t>
  </si>
  <si>
    <t>MX-3</t>
  </si>
  <si>
    <t>MX-2</t>
  </si>
  <si>
    <t>RM-9</t>
  </si>
  <si>
    <t>MX-R1</t>
  </si>
  <si>
    <t>MX-R2</t>
  </si>
  <si>
    <t>B-1</t>
  </si>
  <si>
    <t>B-1(A)</t>
  </si>
  <si>
    <t>R-7</t>
  </si>
  <si>
    <t>RR2</t>
  </si>
  <si>
    <t>RR1</t>
  </si>
  <si>
    <t>C4</t>
  </si>
  <si>
    <t>RR3</t>
  </si>
  <si>
    <t>RR4</t>
  </si>
  <si>
    <t>C2</t>
  </si>
  <si>
    <t>R7</t>
  </si>
  <si>
    <t>TCB</t>
  </si>
  <si>
    <t>R-G</t>
  </si>
  <si>
    <t>A-2</t>
  </si>
  <si>
    <t>A-1</t>
  </si>
  <si>
    <t>Base district</t>
  </si>
  <si>
    <t>GENERALSALE</t>
  </si>
  <si>
    <t>MULTI-FAMILYRESIDENTIAL</t>
  </si>
  <si>
    <t>District description</t>
  </si>
  <si>
    <t>R-5 Multiple-family dwelling district</t>
  </si>
  <si>
    <t>R-5A Midrise multiple-family district</t>
  </si>
  <si>
    <t>Suburban Residence (Low Density Multi-Family)</t>
  </si>
  <si>
    <t>Commercial; multiple-unit dwelling by special use</t>
  </si>
  <si>
    <t>Downtown Mixed-Use; multiple-unit dwelling by special use</t>
  </si>
  <si>
    <t>Multiple-Unit Dwelling District; multiple-unit dwelling permitted</t>
  </si>
  <si>
    <t>Old Town district (downtown mixed use per Old Town plan)</t>
  </si>
  <si>
    <t>Multiple-Family Dwelling Residence District</t>
  </si>
  <si>
    <t>General Residence District</t>
  </si>
  <si>
    <t>Multiunit Residence District: condominiums, apartments, senior housing</t>
  </si>
  <si>
    <t>Layer class 'General Sale' read as downtown B-1 Retail Business (upper-story residential)</t>
  </si>
  <si>
    <t>R-3 Multiple-Family Residential District (layer shows generalized class names)</t>
  </si>
  <si>
    <t>Multi-Family Residence District: attached, two-family and limited apartments</t>
  </si>
  <si>
    <t>Downtown Transition</t>
  </si>
  <si>
    <t>Downtown Business</t>
  </si>
  <si>
    <t>Fairview Transition</t>
  </si>
  <si>
    <t>Fairview Concentrated Business</t>
  </si>
  <si>
    <t>Downtown Core</t>
  </si>
  <si>
    <t>Fairview Business</t>
  </si>
  <si>
    <t>Multi-unit residential district</t>
  </si>
  <si>
    <t>Attached houses allowed (R-5A)</t>
  </si>
  <si>
    <t>Attached houses allowed (R-5)</t>
  </si>
  <si>
    <t>Central Business Outer Core Residential</t>
  </si>
  <si>
    <t>Central Business Outer Core</t>
  </si>
  <si>
    <t>Central Business Core</t>
  </si>
  <si>
    <t>Limited General Residence</t>
  </si>
  <si>
    <t>Specialty Residence</t>
  </si>
  <si>
    <t>Central Business District (Service)</t>
  </si>
  <si>
    <t>Central Business District (Retail Core)</t>
  </si>
  <si>
    <t>Multi-Family Residential District</t>
  </si>
  <si>
    <t>Attached Residential District</t>
  </si>
  <si>
    <t>Village Center Neighborhood Mix</t>
  </si>
  <si>
    <t>Village Center Mixed-Use Core</t>
  </si>
  <si>
    <t>Multifamily Residence District</t>
  </si>
  <si>
    <t>Village Center Mixed Residential</t>
  </si>
  <si>
    <t>Central Perimeter Business; multi-unit by special use</t>
  </si>
  <si>
    <t>Central Business; multi-unit by special use</t>
  </si>
  <si>
    <t>Multi Family Residential: apartment and condominium buildings</t>
  </si>
  <si>
    <t>Single and Two Family district; duplexes and townhouses permitted</t>
  </si>
  <si>
    <t>Central Business (downtown)</t>
  </si>
  <si>
    <t>Downtown Perimeter</t>
  </si>
  <si>
    <t>Multiple Family Residential</t>
  </si>
  <si>
    <t>Multiple Family Residential (attached)</t>
  </si>
  <si>
    <t>Transitional Use: dwelling units listed</t>
  </si>
  <si>
    <t>Secondary Downtown: dwelling units above the ground floor</t>
  </si>
  <si>
    <t>Downtown Core: dwelling units listed</t>
  </si>
  <si>
    <t>High density multi-family</t>
  </si>
  <si>
    <t>Medium density multi-family</t>
  </si>
  <si>
    <t>Single-family &amp; low density multi-family</t>
  </si>
  <si>
    <t>Town Center: multifamily, townhouses, mixed-use development</t>
  </si>
  <si>
    <t>General Residence: single family to multiple family</t>
  </si>
  <si>
    <t>County GIS metadata: multiple-family district</t>
  </si>
  <si>
    <t>County GIS metadata lists R-5 as a multiple-family district (general residence)</t>
  </si>
  <si>
    <t>Mixed Transitional (Office-Residential)</t>
  </si>
  <si>
    <t>Mixed-Use TOD</t>
  </si>
  <si>
    <t>Mixed-Use Corridor</t>
  </si>
  <si>
    <t>Mixed-Use Main Street</t>
  </si>
  <si>
    <t>Residential Multi-Unit District; multi-unit building permitted</t>
  </si>
  <si>
    <t>Mixed Residential District 1</t>
  </si>
  <si>
    <t>Mixed Residential District 2</t>
  </si>
  <si>
    <t>Central Business District (downtown)</t>
  </si>
  <si>
    <t>R-6 Residential District (multi-family)</t>
  </si>
  <si>
    <t>Downtown Edge; multi-unit building permitted</t>
  </si>
  <si>
    <t>Downtown Core; mixed-use residential</t>
  </si>
  <si>
    <t>General Residential; multi-unit building permitted</t>
  </si>
  <si>
    <t>Downtown Residential; multi-unit building permitted</t>
  </si>
  <si>
    <t>Roosevelt Road Corridor</t>
  </si>
  <si>
    <t>Roosevelt Road Corridor: commercial, office, residential</t>
  </si>
  <si>
    <t>CBD Perimeter Commercial: residential structures</t>
  </si>
  <si>
    <t>Retail Core Business (downtown)</t>
  </si>
  <si>
    <t>Single- and multiple-family dwellings, limited business</t>
  </si>
  <si>
    <t>Multiple-family dwellings, limited business</t>
  </si>
  <si>
    <t>Single-family and multiple-family dwellings</t>
  </si>
  <si>
    <t>Multiple Family District</t>
  </si>
  <si>
    <t>Single Family Attached District</t>
  </si>
  <si>
    <t>Town Center Business: commercial, residential, mixed-use</t>
  </si>
  <si>
    <t>General Residential: attached and multiple-family buildings</t>
  </si>
  <si>
    <t>Multiple-unit dwellings permitted</t>
  </si>
  <si>
    <t>Attached residential district</t>
  </si>
  <si>
    <t>Classification basis</t>
  </si>
  <si>
    <t>code</t>
  </si>
  <si>
    <t>layer</t>
  </si>
  <si>
    <t>inferred</t>
  </si>
  <si>
    <t>Lot acres</t>
  </si>
  <si>
    <t>Lot sq ft</t>
  </si>
  <si>
    <t>Building footprint sq ft</t>
  </si>
  <si>
    <t>Assessor class</t>
  </si>
  <si>
    <t>C</t>
  </si>
  <si>
    <t>R</t>
  </si>
  <si>
    <t>I</t>
  </si>
  <si>
    <t>F</t>
  </si>
  <si>
    <t>K</t>
  </si>
  <si>
    <t>Assessed land $</t>
  </si>
  <si>
    <t>Assessed building $</t>
  </si>
  <si>
    <t>Assessed total $</t>
  </si>
  <si>
    <t>Est. market value $ (3x assessed)</t>
  </si>
  <si>
    <t>Taxpayer name</t>
  </si>
  <si>
    <t>AVGERIS &amp; ASSOCIATES INC</t>
  </si>
  <si>
    <t>FOX VALLEY SP LLC</t>
  </si>
  <si>
    <t>RAK, DANIEL &amp; MONIKA</t>
  </si>
  <si>
    <t>VYNNYTSKYY, BOHDAN &amp; KHRY</t>
  </si>
  <si>
    <t>JAWAID, D &amp; A HUSSAINI</t>
  </si>
  <si>
    <t>PIERZYCKI, ZIEMOWIT</t>
  </si>
  <si>
    <t>AFROZE, HAMID &amp; SHEREEN</t>
  </si>
  <si>
    <t>FLOREA, CLAUDIU &amp; MIRELA</t>
  </si>
  <si>
    <t>LEANZA, NORMA B</t>
  </si>
  <si>
    <t>RENIVA, ABDIEL</t>
  </si>
  <si>
    <t>BEHRENS, DREW</t>
  </si>
  <si>
    <t>NAVAID, OMER &amp; KRISTEN</t>
  </si>
  <si>
    <t>AKUGIZIBWE, BWISHO</t>
  </si>
  <si>
    <t>HYDER, SHAJI</t>
  </si>
  <si>
    <t>SHAHED, M &amp; S NAHRI</t>
  </si>
  <si>
    <t>LARA, STEVEN &amp; BEATRICE</t>
  </si>
  <si>
    <t>GEBARSKI, ANTHONY</t>
  </si>
  <si>
    <t>PATEL, AMITA</t>
  </si>
  <si>
    <t>RAZA, AGHA M</t>
  </si>
  <si>
    <t>OCAMPO, DIEGO &amp; MAYRA</t>
  </si>
  <si>
    <t>MERZA, JEMMER &amp; ANNA</t>
  </si>
  <si>
    <t>AYCOX, NORRIS C</t>
  </si>
  <si>
    <t>WILSON, RODNEY &amp; E TR</t>
  </si>
  <si>
    <t>VANG ATKINSON, PAKOU</t>
  </si>
  <si>
    <t>SAPP, JERRY C &amp; SUE D</t>
  </si>
  <si>
    <t>PATEL, RAMESHBHAI &amp; M</t>
  </si>
  <si>
    <t>SOMAIYA, VINOD &amp; KALPESH</t>
  </si>
  <si>
    <t>OLIVER, IAN</t>
  </si>
  <si>
    <t>HYDER, NAFIS S</t>
  </si>
  <si>
    <t>THOMAS, BRINCY</t>
  </si>
  <si>
    <t>PATEL, SANJAYKUMAR &amp; DIPI</t>
  </si>
  <si>
    <t>DUMAS, KENNETH &amp; KIMBERLY</t>
  </si>
  <si>
    <t>BYNES, JEFF &amp; BREANNE</t>
  </si>
  <si>
    <t>MEHDI, SYEDDA &amp; S JAFFERI</t>
  </si>
  <si>
    <t>RAIMONDI, NICK</t>
  </si>
  <si>
    <t>FAGIANO, STEVEN A</t>
  </si>
  <si>
    <t>THOMAS, J &amp; M MCADAMS</t>
  </si>
  <si>
    <t>DEBUHR, JEFFREY &amp; DEBORAH</t>
  </si>
  <si>
    <t>YOON, SUNNY &amp; ALICE</t>
  </si>
  <si>
    <t>PANDYA, BRIJESH</t>
  </si>
  <si>
    <t>LONG, KEVIN &amp; NANCY</t>
  </si>
  <si>
    <t>SAVALIA, BHARAT &amp; DAMINI</t>
  </si>
  <si>
    <t>PATEL, VISHALKUMAR &amp; KENA</t>
  </si>
  <si>
    <t>GLOVER, ANTHONY</t>
  </si>
  <si>
    <t>CARTER, LAURA</t>
  </si>
  <si>
    <t>WALKOSZ, JAN &amp; MALGORZATA</t>
  </si>
  <si>
    <t>AGUZAR, REYNOLD &amp; SANDRA</t>
  </si>
  <si>
    <t>BORASTE, S &amp; M BHATT</t>
  </si>
  <si>
    <t>EARLEY, NICOLE &amp; KEITH</t>
  </si>
  <si>
    <t>FABISZ, PRZEMYSLAW &amp; D</t>
  </si>
  <si>
    <t>RALEIGH, MARK A &amp; SUSAN L</t>
  </si>
  <si>
    <t>VAHORA, NANU M</t>
  </si>
  <si>
    <t>AZAM, SHARFU</t>
  </si>
  <si>
    <t>MC CLELLAN, KRISTA &amp; JEFF</t>
  </si>
  <si>
    <t>PRAGOVICH, ERICK &amp; LISA</t>
  </si>
  <si>
    <t>GINGRASS, NICHOLAS</t>
  </si>
  <si>
    <t>CANNONE, FRANK &amp; ROSA</t>
  </si>
  <si>
    <t>MAKSAY, DIANE E</t>
  </si>
  <si>
    <t>KANADA, FALGUNI &amp; NILESH</t>
  </si>
  <si>
    <t>BROWN, MELISSA K</t>
  </si>
  <si>
    <t>WICKS, COLLIN &amp; REBECKA</t>
  </si>
  <si>
    <t>HABERMEIER, JOHN</t>
  </si>
  <si>
    <t>STOEFEN, SCOTT M &amp; AMY M</t>
  </si>
  <si>
    <t>MEYER JR, JEFFREY &amp; D</t>
  </si>
  <si>
    <t>DORE, AUDREY</t>
  </si>
  <si>
    <t>KACHAKOV, VALENTIN &amp; A</t>
  </si>
  <si>
    <t>DAVIS, SHERRY L</t>
  </si>
  <si>
    <t>WILKE, ROBERT O &amp; LINDA A</t>
  </si>
  <si>
    <t>GIBSON, MICHAEL &amp; M</t>
  </si>
  <si>
    <t>PLACINTA, DUMITRU</t>
  </si>
  <si>
    <t>LEWANDOWSKI, BARTLOMIEJ</t>
  </si>
  <si>
    <t>PAREKH, FARHEEN &amp; HUMAYUN</t>
  </si>
  <si>
    <t>KWAK, NAMSUN &amp; YOUNG HEE</t>
  </si>
  <si>
    <t>NDUKWE, CHARLES</t>
  </si>
  <si>
    <t>PATEL, BHAVIK &amp; DEVANSHI</t>
  </si>
  <si>
    <t>PATEL, NIKUNJ &amp; BHUMI</t>
  </si>
  <si>
    <t>MYRONCHUK, DMYTRO</t>
  </si>
  <si>
    <t>BENBOUYA, ADEL &amp; SIHAM</t>
  </si>
  <si>
    <t>PRISIAJNI, VALENTINE</t>
  </si>
  <si>
    <t>BIESENTHAL, SUSAN G</t>
  </si>
  <si>
    <t>BLASKI, GARY J</t>
  </si>
  <si>
    <t>SACHS, MICHAEL &amp; NATALIE</t>
  </si>
  <si>
    <t>CARUBA, SUSAN M</t>
  </si>
  <si>
    <t>MORENO, MARIO &amp; ADRIENNE</t>
  </si>
  <si>
    <t>RAJPAL, ASHOK &amp; SANGITA</t>
  </si>
  <si>
    <t>CARLSON, KENNETH &amp;THERESA</t>
  </si>
  <si>
    <t>DANNYS, ROBERT &amp; MARILYN</t>
  </si>
  <si>
    <t>LINDSEY, MICHAEL &amp; TERESA</t>
  </si>
  <si>
    <t>CHOWDHURY, S &amp; S AHMED</t>
  </si>
  <si>
    <t>PICHLA, JAMES E</t>
  </si>
  <si>
    <t>ESPANA, NOEL</t>
  </si>
  <si>
    <t>QUIKTRIP CORPORATION</t>
  </si>
  <si>
    <t>KMS INVESTMENTS LLC</t>
  </si>
  <si>
    <t>HERITAGE 1000 LLC</t>
  </si>
  <si>
    <t>SPEEDWAY LLC</t>
  </si>
  <si>
    <t>ARIA LUXURY APARTMENTS LL</t>
  </si>
  <si>
    <t>MACKIN LAND COMPANY LLC</t>
  </si>
  <si>
    <t>CHICAGO TITLE LAND TR CO</t>
  </si>
  <si>
    <t>CASEYS RETAIL CO</t>
  </si>
  <si>
    <t>S&amp;H 816 LLC</t>
  </si>
  <si>
    <t>LTC HTVP1691</t>
  </si>
  <si>
    <t>HUGH, STEVE</t>
  </si>
  <si>
    <t>JIMS PLAZA LLC</t>
  </si>
  <si>
    <t>JIM'S PLAZA LLC</t>
  </si>
  <si>
    <t>BAIRAKTARIS, LEONIDAS &amp; M</t>
  </si>
  <si>
    <t>O'HARE AUTO BODY LTD</t>
  </si>
  <si>
    <t>O HARE TECH CENTER</t>
  </si>
  <si>
    <t>WINDY LANDINGS INC</t>
  </si>
  <si>
    <t>CHU, WAH C</t>
  </si>
  <si>
    <t>JS &amp; JJ PANICKER TRUST</t>
  </si>
  <si>
    <t>KOLOVOS, PETTY</t>
  </si>
  <si>
    <t>SADIKU, XHEMAL &amp; LUMTURI</t>
  </si>
  <si>
    <t>OLVERA INVESTMENTS LLC</t>
  </si>
  <si>
    <t>RMK HOSPITALITY LLC</t>
  </si>
  <si>
    <t>LABOVIC, BOBAN</t>
  </si>
  <si>
    <t>RDK VENTURES LLC</t>
  </si>
  <si>
    <t>ABC BANK</t>
  </si>
  <si>
    <t>CALZANTE PROPERTIES LLC</t>
  </si>
  <si>
    <t>DE ASTIS PARTNERS LLC</t>
  </si>
  <si>
    <t>ESMIE PROPERTIES LLC</t>
  </si>
  <si>
    <t>MJRE PARTNERS LLC</t>
  </si>
  <si>
    <t>ANULA INC</t>
  </si>
  <si>
    <t>CENTER STREET TOWN HOME A</t>
  </si>
  <si>
    <t>DR ENERGY CORP</t>
  </si>
  <si>
    <t>1204 W IRVING PK RD LLC</t>
  </si>
  <si>
    <t>MARINOS FAMILY PROPERTIES</t>
  </si>
  <si>
    <t>BARAN, ADAM &amp; MAREK</t>
  </si>
  <si>
    <t>1301 W IRVING PARK LLC</t>
  </si>
  <si>
    <t>INTERRA DEVELOPMENT PARTN</t>
  </si>
  <si>
    <t>GREEN BIRD PROPERTIES LLC</t>
  </si>
  <si>
    <t>HODGE PODGE LODGE</t>
  </si>
  <si>
    <t>LTC TR #9002351204</t>
  </si>
  <si>
    <t>1222 IRVING PARK INC</t>
  </si>
  <si>
    <t>RYSZKA, WOJCIECH</t>
  </si>
  <si>
    <t>URBANSKI, MARCIN &amp; M</t>
  </si>
  <si>
    <t>NILSON, MICHAEL A &amp; MARIE</t>
  </si>
  <si>
    <t>TALAVERA, JAVIER &amp; M</t>
  </si>
  <si>
    <t>MENDIVIL, SOLANGEL</t>
  </si>
  <si>
    <t>KURPIEL, STANISTAW</t>
  </si>
  <si>
    <t>ORTIZ, AGRIPINA</t>
  </si>
  <si>
    <t>PEISKER, GARY M</t>
  </si>
  <si>
    <t>VELASQUEZ, JUAN &amp; BLANCA</t>
  </si>
  <si>
    <t>THE KUBICA LIVING TRUST</t>
  </si>
  <si>
    <t>RIVERA SANTIAGO, JORGE V</t>
  </si>
  <si>
    <t>WALLACE, MAX F &amp; DEBORAH</t>
  </si>
  <si>
    <t>PILLIS, STEVEN &amp; PAM</t>
  </si>
  <si>
    <t>MOLINO, JOYCE R</t>
  </si>
  <si>
    <t>HERNANDEZ, ABEL</t>
  </si>
  <si>
    <t>MORALES, LEONARDO J</t>
  </si>
  <si>
    <t>SOLTYS, TIM</t>
  </si>
  <si>
    <t>OMEGA APARTMENTS LLC</t>
  </si>
  <si>
    <t>MEMORIAL DR COMMUNITY INC</t>
  </si>
  <si>
    <t>601 YORK RD RW &amp; GF LLC</t>
  </si>
  <si>
    <t>LAMARCA DEVELOPMENT</t>
  </si>
  <si>
    <t>KSR HOME IMPROVEMENT INC</t>
  </si>
  <si>
    <t>CTLTC  NS 05-8934</t>
  </si>
  <si>
    <t>MORALES, LEONARDO</t>
  </si>
  <si>
    <t>FRANZEN, CHARLES &amp; MARSHA</t>
  </si>
  <si>
    <t>STARK JR, DONALD J</t>
  </si>
  <si>
    <t>LOMELI, ALBERTO &amp;DOMENICA</t>
  </si>
  <si>
    <t>FLYNN, JAMES &amp; KARIN</t>
  </si>
  <si>
    <t>FIRST STREET BLOOMINGDALE</t>
  </si>
  <si>
    <t>KOEHN, SCOTT</t>
  </si>
  <si>
    <t>BUCKHOLT, MARILYN</t>
  </si>
  <si>
    <t>BRODIEN, MARSHALL</t>
  </si>
  <si>
    <t>VILLAGE OF BLOOMINGDALE</t>
  </si>
  <si>
    <t>PAJOR, ELZBIETA</t>
  </si>
  <si>
    <t>SAUCEDO, ANTONIO &amp; R</t>
  </si>
  <si>
    <t>SLAGER, ROBERT E &amp; TERI</t>
  </si>
  <si>
    <t>CATAPANO, JORDAN &amp;ROSANNA</t>
  </si>
  <si>
    <t>TAMAYO, ADRIANA</t>
  </si>
  <si>
    <t>LEUZZI, PETER &amp; LISA</t>
  </si>
  <si>
    <t>OLSEN, LINDA</t>
  </si>
  <si>
    <t>BALDACCI, RICHARD M</t>
  </si>
  <si>
    <t>AYYAD, AFAF &amp; K ARMILEH</t>
  </si>
  <si>
    <t>BERENDS, W &amp; C KOSTOPOULO</t>
  </si>
  <si>
    <t>ELLIOTT, JENNIFER M</t>
  </si>
  <si>
    <t>TOVELLA, MICHAEL</t>
  </si>
  <si>
    <t>FRENCH, BARRY J</t>
  </si>
  <si>
    <t>DONNELLY, BILL &amp; FRANCES</t>
  </si>
  <si>
    <t>ZEVAN III, ALEX &amp; C</t>
  </si>
  <si>
    <t>ENDRES, DONALD</t>
  </si>
  <si>
    <t>HARE, SARAH L</t>
  </si>
  <si>
    <t>STERCHELE, JOSEPH &amp; ABIGA</t>
  </si>
  <si>
    <t>STRAETEN, CHARLES A</t>
  </si>
  <si>
    <t>TCASIOK LLC</t>
  </si>
  <si>
    <t>DANUBE PROPERTIES LLC</t>
  </si>
  <si>
    <t>IDEN TR, ROBERT &amp; JOELLEN</t>
  </si>
  <si>
    <t>BONAVOLONTA, ANTHONY J</t>
  </si>
  <si>
    <t>AUSTIN HIGHLAND DVLPMT</t>
  </si>
  <si>
    <t>G &amp; R ASSOCS I LLC</t>
  </si>
  <si>
    <t>MARQUETTE BK</t>
  </si>
  <si>
    <t>HAUSMAN, BRAD</t>
  </si>
  <si>
    <t>BONAVOLONTA, ANTHONY A</t>
  </si>
  <si>
    <t>MARQUETTE BANK</t>
  </si>
  <si>
    <t>WU, ASIA &amp; JUN</t>
  </si>
  <si>
    <t>COMBS JR, DAVID &amp; PATRICK</t>
  </si>
  <si>
    <t>GE RENTAL PROPERTIES LLC</t>
  </si>
  <si>
    <t>ZIELINSKI, MAREK</t>
  </si>
  <si>
    <t>NEKOLA, RICHARD &amp; BARBARA</t>
  </si>
  <si>
    <t>HOYLE, BENJAMIN &amp; LORIANN</t>
  </si>
  <si>
    <t>KEITH FAMILY TRUST</t>
  </si>
  <si>
    <t>WATORSKI, ZBIGNIEW &amp; EWA</t>
  </si>
  <si>
    <t>SMITH, DANIEL &amp; EILEEN</t>
  </si>
  <si>
    <t>SOLOMON, JOSE &amp; JENNIFER</t>
  </si>
  <si>
    <t>PATKOWA, JON</t>
  </si>
  <si>
    <t>SOBOTKA, JOHN</t>
  </si>
  <si>
    <t>SODERGREN, SYDNEY &amp; AUSTI</t>
  </si>
  <si>
    <t>PORTINCASO, ANTHONY &amp; D R</t>
  </si>
  <si>
    <t>CHAPLIN, JULIE</t>
  </si>
  <si>
    <t>PARKWAY BANK &amp; TRUST 1711</t>
  </si>
  <si>
    <t>PECORARO, GIAN &amp; VINCENZA</t>
  </si>
  <si>
    <t>LABOY, R &amp; D CURIEL</t>
  </si>
  <si>
    <t>KRAGE, M A &amp; E ALBRECHT</t>
  </si>
  <si>
    <t>BARRANCO, ADELE</t>
  </si>
  <si>
    <t>DEMAS, LOUIS &amp; KATHERINE</t>
  </si>
  <si>
    <t>WANG, YU &amp; YI XU</t>
  </si>
  <si>
    <t>FLORENT, JOHN &amp; MARY</t>
  </si>
  <si>
    <t>BUSH, GUY &amp; GENEVIEVE</t>
  </si>
  <si>
    <t>ABATE, ANTHONY</t>
  </si>
  <si>
    <t>MARRAS, ELIZABETH &amp; JOSEP</t>
  </si>
  <si>
    <t>NARVAEZ, CARISSA &amp; DELFID</t>
  </si>
  <si>
    <t>NESHEIM, KRIS</t>
  </si>
  <si>
    <t>DUFFY, ALBERT J</t>
  </si>
  <si>
    <t>MYCHALCHYK, SEMEN</t>
  </si>
  <si>
    <t>KAS, GEORGE S &amp; GLORIA</t>
  </si>
  <si>
    <t>VAN DORN, NATHAN T</t>
  </si>
  <si>
    <t>DOOGAN, MARTIN &amp; MICHELLE</t>
  </si>
  <si>
    <t>BANC ONE</t>
  </si>
  <si>
    <t>SHAHWAN, GEORGE &amp; JULIE</t>
  </si>
  <si>
    <t>ORTINERO, ALMIRA</t>
  </si>
  <si>
    <t>LOPEZ, BERNARDINO &amp; REYNA</t>
  </si>
  <si>
    <t>THREADGILL, CHRISTOPHER&amp;E</t>
  </si>
  <si>
    <t>UMBDENSTOCK, CHRISTINE</t>
  </si>
  <si>
    <t>HUBENY, MICHAEL &amp; LINDA</t>
  </si>
  <si>
    <t>COMPASS PROPERTIES LLC</t>
  </si>
  <si>
    <t>LTC TR #8002388621</t>
  </si>
  <si>
    <t>MATAS, FRANCISCO &amp; JANELL</t>
  </si>
  <si>
    <t>GALEJ, TOMASZ</t>
  </si>
  <si>
    <t>HITZLER, JOSEPH</t>
  </si>
  <si>
    <t>ALBANY BANK &amp; TRUST CO</t>
  </si>
  <si>
    <t>KWASNIEWSKI, DAMIAN</t>
  </si>
  <si>
    <t>ZABIEROWSKI, GRZEGORZ &amp; M</t>
  </si>
  <si>
    <t>JOHNS, S &amp; S STANLY</t>
  </si>
  <si>
    <t>SREEDHARAN, SURESH &amp; S</t>
  </si>
  <si>
    <t>VAZQUEZ, MARTIN</t>
  </si>
  <si>
    <t>KRISHNASWAMY, S &amp; G MOHAN</t>
  </si>
  <si>
    <t>CHRISTOPHER, MICHAEL &amp; M</t>
  </si>
  <si>
    <t>GRACIANI TTEE, MIA C</t>
  </si>
  <si>
    <t>CHIMIENTI, JEFFREY J</t>
  </si>
  <si>
    <t>RUSS, CECIL</t>
  </si>
  <si>
    <t>KHATIB, J &amp; R ABDALLAH</t>
  </si>
  <si>
    <t>DIGIURO, DENISE</t>
  </si>
  <si>
    <t>TEGLIA, DEBORAH M</t>
  </si>
  <si>
    <t>FERRIS, MARIA PACITA</t>
  </si>
  <si>
    <t>NAPOLITANO, JESSICA &amp; MAR</t>
  </si>
  <si>
    <t>MEYER, THOMAS S &amp; P T</t>
  </si>
  <si>
    <t>LEDFORD, STEVEN</t>
  </si>
  <si>
    <t>JONES, IRENE M</t>
  </si>
  <si>
    <t>VITEZ, STEVEN &amp; LYNN</t>
  </si>
  <si>
    <t>KAUKE, FRANCA &amp; BRUCE</t>
  </si>
  <si>
    <t>PIERMATTEI, RENEE</t>
  </si>
  <si>
    <t>GLOGOVAC, VELEMIR</t>
  </si>
  <si>
    <t>JOSHI, ANAND &amp; AMANDA</t>
  </si>
  <si>
    <t>BROYLES, PETER &amp; VALERIE</t>
  </si>
  <si>
    <t>ADAMS, JOHN &amp; MICHELLE</t>
  </si>
  <si>
    <t>BECKORD, K &amp; T JOHANNES</t>
  </si>
  <si>
    <t>PATEL, NIRAV &amp; RINABEN</t>
  </si>
  <si>
    <t>MONTEMAYOR, MARCELO &amp; SYL</t>
  </si>
  <si>
    <t>KANIYALY, JOSE &amp; LUCY</t>
  </si>
  <si>
    <t>KIZEWSKI, SUZANNE</t>
  </si>
  <si>
    <t>LENISA, MICHAEL &amp; SUZANNE</t>
  </si>
  <si>
    <t>MARTIN, GREG</t>
  </si>
  <si>
    <t>KESSLING, MARK N</t>
  </si>
  <si>
    <t>WY, REYNALDO V</t>
  </si>
  <si>
    <t>QUAYLE, SEAN</t>
  </si>
  <si>
    <t>KAUR, KULDEEP</t>
  </si>
  <si>
    <t>MILETIC, DAVID &amp; DEBORAH</t>
  </si>
  <si>
    <t>O NEILL, MARY &amp; FRANK MIC</t>
  </si>
  <si>
    <t>GUIDO, SANDRA</t>
  </si>
  <si>
    <t>FAVELA, JUAN &amp; HILDA</t>
  </si>
  <si>
    <t>PAGE TR, KATHLEEN</t>
  </si>
  <si>
    <t>AUBIN, COLIN</t>
  </si>
  <si>
    <t>KRASSEL, KIMBERLY</t>
  </si>
  <si>
    <t>RULLO, FRANK P</t>
  </si>
  <si>
    <t>TRICASE, VITTORIO</t>
  </si>
  <si>
    <t>QUINLAN, CYRIL &amp; PATRICIA</t>
  </si>
  <si>
    <t>MORETH, CARY &amp; DINA</t>
  </si>
  <si>
    <t>ALVAREZ, WM &amp; M JACOBSON</t>
  </si>
  <si>
    <t>SANABRIA, DEBORAH</t>
  </si>
  <si>
    <t>KRET, ZBIGNIEW</t>
  </si>
  <si>
    <t>SULLIVAN, RUSSELL &amp;ARDITH</t>
  </si>
  <si>
    <t>COZZENS, RAYMOND &amp; BONNIE</t>
  </si>
  <si>
    <t>KEMPER, STEVEN &amp;STEPHANIE</t>
  </si>
  <si>
    <t>PARKWAY BANK &amp; TRUST</t>
  </si>
  <si>
    <t>ADDISON GREEN MEADOWS INC</t>
  </si>
  <si>
    <t>HUTCHINSON, MALCOLM J</t>
  </si>
  <si>
    <t>YUNKER, JOHN &amp; ANTONELLA</t>
  </si>
  <si>
    <t>PROVENZANO, JOSEPH &amp; K L</t>
  </si>
  <si>
    <t>FENTON, ROY C &amp; DEBRA A</t>
  </si>
  <si>
    <t>BEATO, ERIC W &amp; MARILYN L</t>
  </si>
  <si>
    <t>HAMILTON, JAMES &amp; VALERIE</t>
  </si>
  <si>
    <t>LIVA, ERIN &amp; SUZAN BATTIN</t>
  </si>
  <si>
    <t>UNZICKER, RYAN &amp; KRISTINA</t>
  </si>
  <si>
    <t>CARRERA, VICTOR &amp; MARIA</t>
  </si>
  <si>
    <t>KLOSTERMANN, JOHN &amp;SHARON</t>
  </si>
  <si>
    <t>ORLIK, ROBERT</t>
  </si>
  <si>
    <t>SZETO, JASON &amp; JULIE</t>
  </si>
  <si>
    <t>FALK, DONALD &amp; DENICE</t>
  </si>
  <si>
    <t>LUZADER, TERRY L</t>
  </si>
  <si>
    <t>CUMMUTA, MICHAEL &amp; SANDRA</t>
  </si>
  <si>
    <t>GERARDI, VICTOR &amp; ANN</t>
  </si>
  <si>
    <t>FALLICO, KEITH &amp; PATRICIA</t>
  </si>
  <si>
    <t>PROCHASKA, CHRISTINE M</t>
  </si>
  <si>
    <t>MARSICO, MARIO &amp; CARMELA</t>
  </si>
  <si>
    <t>DONNELLY, MICHAEL</t>
  </si>
  <si>
    <t>GRUBER, TIMOTHY &amp; DAVID</t>
  </si>
  <si>
    <t>BOCCUZZI, EMILIA</t>
  </si>
  <si>
    <t>VARGAS, PABLO &amp; L J</t>
  </si>
  <si>
    <t>NICHOLAS, PETER</t>
  </si>
  <si>
    <t>TOMASIK, JUSTYNA &amp; PAWEL</t>
  </si>
  <si>
    <t>PONTE, L &amp; T SHANK</t>
  </si>
  <si>
    <t>VASILEV, NIKOLAY</t>
  </si>
  <si>
    <t>GRIFFIN, PATRICK &amp; MARY</t>
  </si>
  <si>
    <t>RODRIGUEZ, CRAIG &amp; LISA</t>
  </si>
  <si>
    <t>SPRADING, DAVID &amp; MONICA</t>
  </si>
  <si>
    <t>DICIOLLA REV LIVING FAM T</t>
  </si>
  <si>
    <t>ROSENBLOOM, M &amp; R EGEL</t>
  </si>
  <si>
    <t>TIEN, AMY &amp; RAYMOND LI</t>
  </si>
  <si>
    <t>WON, SI NAM &amp; CHONG IM</t>
  </si>
  <si>
    <t>BRANT, KATHERINE</t>
  </si>
  <si>
    <t>PATEL, DEVENDRA &amp; MRUDULA</t>
  </si>
  <si>
    <t>MIR, ARSHAD &amp; SABEEHA</t>
  </si>
  <si>
    <t>WALKER, WESLEY S</t>
  </si>
  <si>
    <t>SMID, CHRISTOPHER L</t>
  </si>
  <si>
    <t>ITASCA BANK &amp; TRUST CO</t>
  </si>
  <si>
    <t>AUBIN, EDWARD &amp; KATHLEEN</t>
  </si>
  <si>
    <t>THIBODEAU, JACLYN</t>
  </si>
  <si>
    <t>MC QUEEN, RONALD J</t>
  </si>
  <si>
    <t>AKHTAR, WASEEM &amp; KYONG</t>
  </si>
  <si>
    <t>MEHTA, VIRAL &amp; RIPALBEN</t>
  </si>
  <si>
    <t>WINKLER, W &amp; L MAST TR</t>
  </si>
  <si>
    <t>MARTINEZ, MARIA E</t>
  </si>
  <si>
    <t>MAZZEO, VIRGILIO &amp; DEANNA</t>
  </si>
  <si>
    <t>KHUNDMIRI, MUNAWER S</t>
  </si>
  <si>
    <t>MIZZI, RALPH H &amp; ALMINA C</t>
  </si>
  <si>
    <t>PETRUSEK, JOHN &amp; CHRISTIN</t>
  </si>
  <si>
    <t>HILO, CYNTHIA G</t>
  </si>
  <si>
    <t>TRENTADUE, VITO &amp; VIOLET</t>
  </si>
  <si>
    <t>BARADZIEJ, NATALIA</t>
  </si>
  <si>
    <t>HRYNEWYCZ, MARK &amp; RENEE</t>
  </si>
  <si>
    <t>MILEVA, SOFIYA</t>
  </si>
  <si>
    <t>PATEL, TROOSHALL</t>
  </si>
  <si>
    <t>DURAN, VINCENT &amp;K CRESSON</t>
  </si>
  <si>
    <t>BASILE BENJAMIN TRUST</t>
  </si>
  <si>
    <t>BHESANIA, DHIRAJ &amp; KAMLA</t>
  </si>
  <si>
    <t>CAMPOS TR, FERNANDO &amp; CON</t>
  </si>
  <si>
    <t>CESARZ, JESSICA</t>
  </si>
  <si>
    <t>KUHN, LAWRENCE &amp; MAUREEN</t>
  </si>
  <si>
    <t>WARREN, SCOTT R</t>
  </si>
  <si>
    <t>WOLF, CHARLES &amp; SANDRA</t>
  </si>
  <si>
    <t>WEBER, RYAN &amp; LAURA</t>
  </si>
  <si>
    <t>THOMAS, THOMAS</t>
  </si>
  <si>
    <t>LO VECCHIO, ROBERT</t>
  </si>
  <si>
    <t>HUBBERTS, JOSEPH &amp; J</t>
  </si>
  <si>
    <t>ZITO, ROSE F</t>
  </si>
  <si>
    <t>SALISE, SEGUNDINA &amp; J</t>
  </si>
  <si>
    <t>ZUCCARO, ROBERT J</t>
  </si>
  <si>
    <t>SHAHWAN, NICOLAS &amp; R CARD</t>
  </si>
  <si>
    <t>WARCO, MATTHEW &amp; MARY</t>
  </si>
  <si>
    <t>UTING, DANIEL &amp; JULIE</t>
  </si>
  <si>
    <t>DE LUCA, DONNA L</t>
  </si>
  <si>
    <t>UNDERWOOD, NICHOLAS &amp; K</t>
  </si>
  <si>
    <t>BENZZINE, ABDELLATIF</t>
  </si>
  <si>
    <t>ELIOPULOS, DENISE E</t>
  </si>
  <si>
    <t>CATALANO, JOHN &amp; JAIME</t>
  </si>
  <si>
    <t>GUARDERAS, FERNANDO</t>
  </si>
  <si>
    <t>CARROLL, ASHLEY M</t>
  </si>
  <si>
    <t>VELARDE, J &amp; M RODRIGUEZ</t>
  </si>
  <si>
    <t>MATHIES, STEVEN &amp; JESSICA</t>
  </si>
  <si>
    <t>BULCHAND MISMANOS TRUST</t>
  </si>
  <si>
    <t>KOZLOWSKI, RONALD &amp; KENNE</t>
  </si>
  <si>
    <t>SPERANDO, MAX S</t>
  </si>
  <si>
    <t>TORRACO, ROBERT D</t>
  </si>
  <si>
    <t>VAN, V &amp; M TRAN</t>
  </si>
  <si>
    <t>XHUBA, KOSTANDIN &amp; E</t>
  </si>
  <si>
    <t>JELENIC, MILOS &amp; JOVANKA</t>
  </si>
  <si>
    <t>KUSUMPA, BUNTHID &amp; SUKON</t>
  </si>
  <si>
    <t>CYZIO, BOGUSLAW &amp; LUKASZ</t>
  </si>
  <si>
    <t>BATTERSBY, SANDRA A</t>
  </si>
  <si>
    <t>ENGLISH, M CLAY</t>
  </si>
  <si>
    <t>DZIEDZIC, WALDEMAR</t>
  </si>
  <si>
    <t>GUPTA, RAKESH</t>
  </si>
  <si>
    <t>HEJNAR, KRZYSZTOF &amp; BEATA</t>
  </si>
  <si>
    <t>ZIDEK, KARIN</t>
  </si>
  <si>
    <t>REUTER, MICHAEL</t>
  </si>
  <si>
    <t>LEE, EUL Y &amp; HAE K</t>
  </si>
  <si>
    <t>SIDDIQUI, SAJID HUSSAIN</t>
  </si>
  <si>
    <t>RYAN, PATRICK &amp; MICHELE</t>
  </si>
  <si>
    <t>BATURA, JAMES &amp; TERRY</t>
  </si>
  <si>
    <t>LA SALVIA, A &amp; J SORCI</t>
  </si>
  <si>
    <t>LEHKY, JIRI G &amp; MARY A</t>
  </si>
  <si>
    <t>CALAYAG, MARK</t>
  </si>
  <si>
    <t>ITO, NINA M</t>
  </si>
  <si>
    <t>BEYER, MATTHEW</t>
  </si>
  <si>
    <t>ROSSI, PAUL &amp; MARIA</t>
  </si>
  <si>
    <t>ROG, KONRAD &amp; BARBARA</t>
  </si>
  <si>
    <t>BOWMAN, CHRIS &amp; GERI</t>
  </si>
  <si>
    <t>MARTINEZ, MARIO &amp; MARIA</t>
  </si>
  <si>
    <t>ALI, SANA</t>
  </si>
  <si>
    <t>BOEHNE, DANIEL &amp; LINDSEY</t>
  </si>
  <si>
    <t>MENDRANO, ORONZO</t>
  </si>
  <si>
    <t>CONRADI, LEONARD &amp; JANET</t>
  </si>
  <si>
    <t>SHAH, DHARA</t>
  </si>
  <si>
    <t>RYAN, SUSAN</t>
  </si>
  <si>
    <t>GRADZKA, AGNIESZKA</t>
  </si>
  <si>
    <t>SIEBOLD, KEVIN &amp; STEPHANI</t>
  </si>
  <si>
    <t>SHAH, KUSUM J</t>
  </si>
  <si>
    <t>ARROYO, EDWARDO &amp; ALINA</t>
  </si>
  <si>
    <t>YAUNG, DEVIN &amp; ANGELA</t>
  </si>
  <si>
    <t>LAMB, JEROME &amp; DORIS</t>
  </si>
  <si>
    <t>DESIO, CAROLYN N</t>
  </si>
  <si>
    <t>HARA, ALBERT &amp; PATRICIA</t>
  </si>
  <si>
    <t>GUERRIERI, MARK &amp; MARYANN</t>
  </si>
  <si>
    <t>LARIA, MADISON &amp; JOSEPH</t>
  </si>
  <si>
    <t>GRIMALDI, MICHAEL &amp;CHERYL</t>
  </si>
  <si>
    <t>KACALO, KATHRYN</t>
  </si>
  <si>
    <t>CHIKH, TARAS</t>
  </si>
  <si>
    <t>PACINI, GABRIEL</t>
  </si>
  <si>
    <t>ABRAHAM, SIBIA S</t>
  </si>
  <si>
    <t>SALATINO, VITO &amp; ANGELA</t>
  </si>
  <si>
    <t>RIEMERSMA, RODRICK L</t>
  </si>
  <si>
    <t>TOPP, ROBBIN</t>
  </si>
  <si>
    <t>ANDEL, MICHAEL &amp; TERA</t>
  </si>
  <si>
    <t>ESTARITA, HUGO &amp; TERESA</t>
  </si>
  <si>
    <t>GARCES, DENNIS L</t>
  </si>
  <si>
    <t>MCCLEARN, CHRISTOPHER &amp; K</t>
  </si>
  <si>
    <t>MASOURAS, CHRISTOPHOROS</t>
  </si>
  <si>
    <t>DI LORENZO, JOHN &amp; A</t>
  </si>
  <si>
    <t>FARAJ, AHMED &amp; A A HASAN</t>
  </si>
  <si>
    <t>ALAM, AMBEREEN</t>
  </si>
  <si>
    <t>MCCORMACK, MICHAEL &amp; KIM</t>
  </si>
  <si>
    <t>WANG, KATHRYN &amp; DELIN</t>
  </si>
  <si>
    <t>PATEL, NIRMAL &amp; REENA</t>
  </si>
  <si>
    <t>OLIWA, SLAWOMIR &amp; BOZENA</t>
  </si>
  <si>
    <t>MUKHERJEE, MANAS &amp; MUKTA</t>
  </si>
  <si>
    <t>CELLI, MICHAEL</t>
  </si>
  <si>
    <t>APOSTOLAKOS, NICK J</t>
  </si>
  <si>
    <t>MALIEKKAL, PAULSON &amp; M</t>
  </si>
  <si>
    <t>KULBA, IAROSLAV</t>
  </si>
  <si>
    <t>WITTENBERG, WALTER D</t>
  </si>
  <si>
    <t>ZHANG, L &amp; J HAN</t>
  </si>
  <si>
    <t>DEDIC JR, ROBERT P</t>
  </si>
  <si>
    <t>GIANNAS, THOMAS</t>
  </si>
  <si>
    <t>YEE, KENSEI</t>
  </si>
  <si>
    <t>EVANGELISTA, ANTHONY</t>
  </si>
  <si>
    <t>ZAREMBA, STEPHEN</t>
  </si>
  <si>
    <t>SAPIEN FAMILY TRUST</t>
  </si>
  <si>
    <t>YOUNG, BENJAMIN W &amp; B</t>
  </si>
  <si>
    <t>POKRYWKA TR, MARCIN &amp; AGN</t>
  </si>
  <si>
    <t>OTTOLINO, VINCENZO</t>
  </si>
  <si>
    <t>PARMAR, GITA R</t>
  </si>
  <si>
    <t>BENNICI, PAUL &amp; MARY</t>
  </si>
  <si>
    <t>LIANG, CHARLENE</t>
  </si>
  <si>
    <t>STEWART, JONATHAN &amp; VICKY</t>
  </si>
  <si>
    <t>SCHRACK JR, DONALD &amp; C</t>
  </si>
  <si>
    <t>BOUSQUET, MARK &amp; EILEEN</t>
  </si>
  <si>
    <t>RAGANO, PATRICIA A</t>
  </si>
  <si>
    <t>LODL, GARY &amp; SUSAN</t>
  </si>
  <si>
    <t>KIM, DOHAN &amp; BYEOL SHIM</t>
  </si>
  <si>
    <t>SKWAREK, PIOTR</t>
  </si>
  <si>
    <t>PORTER, DAVID &amp; HEATHER</t>
  </si>
  <si>
    <t>OLLADA, JEFFREY &amp; LESLEY</t>
  </si>
  <si>
    <t>BINGHAM, BRIANNA C</t>
  </si>
  <si>
    <t>PANEV, PAVLIN</t>
  </si>
  <si>
    <t>LEMKE, JEFFREY &amp; CAROL</t>
  </si>
  <si>
    <t>CRUZ, CARMEN BAEZ</t>
  </si>
  <si>
    <t>LENNON, JAMES LEE &amp; BILLI</t>
  </si>
  <si>
    <t>ANTONIO, CATHERINE</t>
  </si>
  <si>
    <t>VILLAGRAN, PRISCILLA &amp; M</t>
  </si>
  <si>
    <t>GASPERINI, GINA L</t>
  </si>
  <si>
    <t>PEREZ, ROSEMARY C</t>
  </si>
  <si>
    <t>MC HUGH TR #1, ROBERT J</t>
  </si>
  <si>
    <t>GERGEN, ROBERT L TR</t>
  </si>
  <si>
    <t>FEDERAL ASSET MGMT CNSULT</t>
  </si>
  <si>
    <t>ALDEN VILLAGE II INC</t>
  </si>
  <si>
    <t>STRAWBERRY PATCH BET LLC</t>
  </si>
  <si>
    <t>MAUCIERI, JAMES &amp; KARRIE</t>
  </si>
  <si>
    <t>KNAPP, PAUL &amp; MARY T</t>
  </si>
  <si>
    <t>QAISI, ALI AL &amp; Z SABAR</t>
  </si>
  <si>
    <t>NUMRICH, JOHN A &amp; ANDREA</t>
  </si>
  <si>
    <t>HAMED, AKRAM &amp; SAHAR ASHR</t>
  </si>
  <si>
    <t>DAVENPORT, R &amp; N TRIVEDI</t>
  </si>
  <si>
    <t>AVCI, A &amp; O YABUKOGLU</t>
  </si>
  <si>
    <t>SOUTHWELL, WILLIAM &amp; E P</t>
  </si>
  <si>
    <t>KACHAPILLY, JOHN &amp; ET AL</t>
  </si>
  <si>
    <t>QURESHI, MOHSIN &amp; AISHA</t>
  </si>
  <si>
    <t>BEARD, STEPHEN &amp; MELANIE</t>
  </si>
  <si>
    <t>LE, TONG &amp; TOLIEN</t>
  </si>
  <si>
    <t>GEORGE, JOHN E &amp; BEVERLY</t>
  </si>
  <si>
    <t>KIEFER, DIANA</t>
  </si>
  <si>
    <t>WILKISON, R &amp; D DERVISHAJ</t>
  </si>
  <si>
    <t>RAMOS, VINCENT D</t>
  </si>
  <si>
    <t>KINGSLEY, THOMAS &amp; GINA</t>
  </si>
  <si>
    <t>THOMAS JR, ROBERT W</t>
  </si>
  <si>
    <t>HERNANDEZ, RICARDO G</t>
  </si>
  <si>
    <t>RYBASKI, ROBERT &amp;KATHLEEN</t>
  </si>
  <si>
    <t>SHAH, KALPESH &amp; BHUMIKA</t>
  </si>
  <si>
    <t>MANUELE, GASPARE</t>
  </si>
  <si>
    <t>KRUK, ZBIGNIEW   #52352-2</t>
  </si>
  <si>
    <t>WAHID, ZEINAB &amp; ALI YOUNE</t>
  </si>
  <si>
    <t>CASTRO, RUBEN &amp; CASSANDRA</t>
  </si>
  <si>
    <t>REYNOLDS, ANGELO &amp; JILL</t>
  </si>
  <si>
    <t>AQUINO JR, JOHNNY</t>
  </si>
  <si>
    <t>PATEL, BIPIN &amp; MRUDULA</t>
  </si>
  <si>
    <t>ALSABBAR, B &amp; M SAHIB</t>
  </si>
  <si>
    <t>KRUEGER, ROBERT W &amp; DEBRA</t>
  </si>
  <si>
    <t>AUGUSTYN, MARK &amp;CATHERINE</t>
  </si>
  <si>
    <t>SHERRY, JEFFREY &amp; LINDA</t>
  </si>
  <si>
    <t>VICARIO JR, SAM &amp; REBECCA</t>
  </si>
  <si>
    <t>UNGSON, CONRADO P</t>
  </si>
  <si>
    <t>BOSTWICK, EDWARD &amp; JAMIE</t>
  </si>
  <si>
    <t>BRYJOWSKI, RICHARD &amp; LISA</t>
  </si>
  <si>
    <t>PATEL, SOURABH &amp; S</t>
  </si>
  <si>
    <t>JENKINS, DEVIN &amp; CARMEN</t>
  </si>
  <si>
    <t>KAPOOR, RAKESH K &amp; SEEMA</t>
  </si>
  <si>
    <t>ERNSTING, JOAN M</t>
  </si>
  <si>
    <t>VACCARELLO, FRANK</t>
  </si>
  <si>
    <t>DROZD FAMILY TR</t>
  </si>
  <si>
    <t>RASHIDY, M IDRISS &amp; SARA</t>
  </si>
  <si>
    <t>LANNERS, BRIAN &amp; LAURIE</t>
  </si>
  <si>
    <t>CNOTA, RICHARD</t>
  </si>
  <si>
    <t>ACEVEDO, MICHAEL</t>
  </si>
  <si>
    <t>RAJU, RICHU</t>
  </si>
  <si>
    <t>BROWN, CHRISTINE H</t>
  </si>
  <si>
    <t>LEONARD, PHILLIP &amp; CHRIS</t>
  </si>
  <si>
    <t>BATKO, DARIUSZ &amp; JUSTYNA</t>
  </si>
  <si>
    <t>BABULA, J &amp; T ARMAN</t>
  </si>
  <si>
    <t>GREEN, JEFFREY &amp; LAUREN</t>
  </si>
  <si>
    <t>BAKOS, ROBT &amp; MONICA</t>
  </si>
  <si>
    <t>TURKOSZ, T &amp; E O DONNELL</t>
  </si>
  <si>
    <t>LUBAS, ROBERT &amp; SARA Y</t>
  </si>
  <si>
    <t>SERRITELLA, MICHAEL</t>
  </si>
  <si>
    <t>STAFFORD JR, TERRENCE M</t>
  </si>
  <si>
    <t>CASTRO, LUIS A &amp; ROSEANNE</t>
  </si>
  <si>
    <t>SIGNORE, MICHAEL P &amp; K M</t>
  </si>
  <si>
    <t>THWE, TIN LAY &amp; TIN MOE L</t>
  </si>
  <si>
    <t>TORRES, MARCOS</t>
  </si>
  <si>
    <t>GERACE, B &amp; T SKOURLIS</t>
  </si>
  <si>
    <t>MONARI FAMILY TRUST</t>
  </si>
  <si>
    <t>JANUSKA, ANDRIUS &amp; D</t>
  </si>
  <si>
    <t>KHAN, S &amp; A SAJID</t>
  </si>
  <si>
    <t>BARIA, LEORIA</t>
  </si>
  <si>
    <t>DARY, MICHAEL W &amp; JULIE A</t>
  </si>
  <si>
    <t>PARRY, NICHOLAS &amp; KARA</t>
  </si>
  <si>
    <t>MATHEW, JOYSON &amp; SUSAN</t>
  </si>
  <si>
    <t>SHAH, RAJENDRAKUMAR &amp; G</t>
  </si>
  <si>
    <t>DULCEAK, TRACIE</t>
  </si>
  <si>
    <t>CULLEN, JOSEPH &amp; BETHANY</t>
  </si>
  <si>
    <t>PAU, THAWNG &amp; MAWIA PAUL</t>
  </si>
  <si>
    <t>GLOGOWSKI, ALEXANDER</t>
  </si>
  <si>
    <t>FAGAN, BRIAN &amp; CORTNEY</t>
  </si>
  <si>
    <t>ASENCIO, DANIEL &amp; A</t>
  </si>
  <si>
    <t>FERRUZZA, SAMUEL &amp; JULIE</t>
  </si>
  <si>
    <t>GONZALEZ, JOEL &amp; LETICIA</t>
  </si>
  <si>
    <t>LACKOWSKI, JAMES &amp; C</t>
  </si>
  <si>
    <t>PEREZ, SILVERIO S &amp; V</t>
  </si>
  <si>
    <t>MANFREDINI, JOHN &amp; JULIE</t>
  </si>
  <si>
    <t>MORALES VALENZUELA, CARLO</t>
  </si>
  <si>
    <t>BURT, MARY T</t>
  </si>
  <si>
    <t>PRANG, STEPHEN &amp; LORI</t>
  </si>
  <si>
    <t>SOLOMCHAK, NAZARII</t>
  </si>
  <si>
    <t>ZGLOBIS, MARIUSZ &amp; LIDIA</t>
  </si>
  <si>
    <t>BAKIR, MODAFAR &amp; KITAM</t>
  </si>
  <si>
    <t>MILLER, MICHAEL A</t>
  </si>
  <si>
    <t>KRYSKO, IGOR &amp; HANNA</t>
  </si>
  <si>
    <t>WILLIS, THOMAS</t>
  </si>
  <si>
    <t>PEREZ, MARIO &amp; JANET</t>
  </si>
  <si>
    <t>FLORES, SAMANTHA V</t>
  </si>
  <si>
    <t>LA PORTE, JOSEPH M</t>
  </si>
  <si>
    <t>AWALT, DARIN &amp; EILEEN</t>
  </si>
  <si>
    <t>NICKOLOV, JIM &amp; YULITA</t>
  </si>
  <si>
    <t>GRUEDER, M &amp; A LAMBE</t>
  </si>
  <si>
    <t>GREAR, CLAUDIA</t>
  </si>
  <si>
    <t>KING, EDWARD J &amp; JOAN A</t>
  </si>
  <si>
    <t>JOHNSON, GRAHAM K</t>
  </si>
  <si>
    <t>ABBASI, SAMEER M</t>
  </si>
  <si>
    <t>HUSAIN, SYED AZAM &amp; K A</t>
  </si>
  <si>
    <t>NEUROCK, DAN M &amp; STACEY J</t>
  </si>
  <si>
    <t>RABANAL, NORMAN &amp; BEVERLY</t>
  </si>
  <si>
    <t>FORSTER, JASON</t>
  </si>
  <si>
    <t>FLORES, LUIS &amp; ERIKA</t>
  </si>
  <si>
    <t>REYES, JAY</t>
  </si>
  <si>
    <t>PATEL, MUKESHKUMAR &amp; DINA</t>
  </si>
  <si>
    <t>BLAKE, SAMANTHA</t>
  </si>
  <si>
    <t>GONZALEZ, GUSTAVO &amp; E</t>
  </si>
  <si>
    <t>MAYER, NATHANIEL &amp; SARAH</t>
  </si>
  <si>
    <t>REDPATH, ARMIDA Z</t>
  </si>
  <si>
    <t>DI CENZO, DANIEL W</t>
  </si>
  <si>
    <t>AGUILAR, H &amp; P MENA</t>
  </si>
  <si>
    <t>NICHOLAS, MARSHA B</t>
  </si>
  <si>
    <t>VENTRELLA, N &amp; M GERSHON</t>
  </si>
  <si>
    <t>ALI TR, FARKUNDA J</t>
  </si>
  <si>
    <t>HOLMATOV, ASILJON</t>
  </si>
  <si>
    <t>DIPAOLO, ANTHONY &amp; STEPHA</t>
  </si>
  <si>
    <t>ELDRENKAMP, JOSHUA &amp; C</t>
  </si>
  <si>
    <t>BIALAS, MICHAEL &amp; KAREN</t>
  </si>
  <si>
    <t>PELLETIER, DOMINICK &amp; G</t>
  </si>
  <si>
    <t>MATSUMOTO, SONYA</t>
  </si>
  <si>
    <t>NOLAN, TODD J &amp; SARA A</t>
  </si>
  <si>
    <t>TRUONG, ANN NGOC</t>
  </si>
  <si>
    <t>NGUYEN, THAI</t>
  </si>
  <si>
    <t>BULLIVANT, BRIAN &amp; A</t>
  </si>
  <si>
    <t>MARTINEZ, ENRIQUE &amp;JULIET</t>
  </si>
  <si>
    <t>HAZELETT, LONZO R &amp; DEBRA</t>
  </si>
  <si>
    <t>MADISON, MARK &amp; CATHERINE</t>
  </si>
  <si>
    <t>STANDRIDGE, FREYA</t>
  </si>
  <si>
    <t>PATEL, ANKUR &amp; S JARIWALA</t>
  </si>
  <si>
    <t>LOS, LAWRENCE J &amp; B C</t>
  </si>
  <si>
    <t>JARZEMSKI, DAVID &amp; DENISE</t>
  </si>
  <si>
    <t>LECHUGA, ALFREDO &amp; LUZ</t>
  </si>
  <si>
    <t>GROSS, TUONG</t>
  </si>
  <si>
    <t>NELSON, MIA K</t>
  </si>
  <si>
    <t>SANTIAGO, ELIDA</t>
  </si>
  <si>
    <t>JOSHI, JESSICA</t>
  </si>
  <si>
    <t>SAVKIV, BORYS &amp; T DUDAR</t>
  </si>
  <si>
    <t>TOFT, DAVID &amp; ARIEL POPE</t>
  </si>
  <si>
    <t>ALI, MOHAMMED IMRAN</t>
  </si>
  <si>
    <t>COHN, SETH &amp; A LESZKO</t>
  </si>
  <si>
    <t>SOM, ERICK &amp; SOPHEAR</t>
  </si>
  <si>
    <t>PIERZGA, MACIEJ &amp; ANETA</t>
  </si>
  <si>
    <t>KUICK, RHONDA C</t>
  </si>
  <si>
    <t>SULLIVAN, ED &amp; MARGARET</t>
  </si>
  <si>
    <t>SAHIAL, K &amp; R LEE</t>
  </si>
  <si>
    <t>KURZER SR, MICHAEL &amp; Y P</t>
  </si>
  <si>
    <t>CHRUSZCH, ANTHONY &amp; SUE</t>
  </si>
  <si>
    <t>MEDA, AKHILA</t>
  </si>
  <si>
    <t>BLUMBERG, COLLEEN</t>
  </si>
  <si>
    <t>TRICASE, NICHOLAS J &amp; A R</t>
  </si>
  <si>
    <t>MCGEE, KEVIN M &amp; K L</t>
  </si>
  <si>
    <t>PATEL, DIPAKKUMAR &amp; PRAGN</t>
  </si>
  <si>
    <t>SAN MARTIN, FRANK &amp; MAURA</t>
  </si>
  <si>
    <t>HASSAN, MOINUDDIN &amp; SAFIA</t>
  </si>
  <si>
    <t>SHULGA, RONALD &amp; DARLENE</t>
  </si>
  <si>
    <t>KARBOWSKI, A &amp; J LOCH</t>
  </si>
  <si>
    <t>FUNEZ, CHRISTOPHER</t>
  </si>
  <si>
    <t>LIVELY, JAMES &amp; SARA</t>
  </si>
  <si>
    <t>MERGINIO, OSCAR &amp; MYLA</t>
  </si>
  <si>
    <t>REGUL, NANCY</t>
  </si>
  <si>
    <t>WROBEL, DARIA &amp; LUKASZ</t>
  </si>
  <si>
    <t>LEDESMA, G &amp; E LOPEZ</t>
  </si>
  <si>
    <t>BAUR, MELISSA</t>
  </si>
  <si>
    <t>STARK, ERIC &amp; ALYCIA</t>
  </si>
  <si>
    <t>VITUCCI, NERISHA M</t>
  </si>
  <si>
    <t>CONCEPCION, EMERITO &amp; M B</t>
  </si>
  <si>
    <t>THOTTUPURAM, CHERIAN</t>
  </si>
  <si>
    <t>BANNER, JAMES &amp; NANCY</t>
  </si>
  <si>
    <t>BORK, JERYLEN B</t>
  </si>
  <si>
    <t>LECH, CHRISTIANE</t>
  </si>
  <si>
    <t>WEIGL, M &amp; S MARKIEWICZ</t>
  </si>
  <si>
    <t>SOTO, MARIELA &amp; ET AL</t>
  </si>
  <si>
    <t>GARCIA, ALVARO</t>
  </si>
  <si>
    <t>RABANAL, JENAFER</t>
  </si>
  <si>
    <t>MURPHY, KIMBERLY A</t>
  </si>
  <si>
    <t>SUMARA, ERIN M</t>
  </si>
  <si>
    <t>CIECK, RONALD</t>
  </si>
  <si>
    <t>KOSTYSHEN, ARTUR B</t>
  </si>
  <si>
    <t>ANTHONY, JACK &amp; AMY</t>
  </si>
  <si>
    <t>KRAL, ROBERT C</t>
  </si>
  <si>
    <t>GALLEGOS, G</t>
  </si>
  <si>
    <t>RUDZITIS, SIGUARDS P &amp; M</t>
  </si>
  <si>
    <t>KERR, JOHN &amp; CYNTHIA</t>
  </si>
  <si>
    <t>PATEL, KANTILAL</t>
  </si>
  <si>
    <t>SANDOVAL, WENCESLAO &amp; LUZ</t>
  </si>
  <si>
    <t>WINEINGER, EUGENE L &amp; L L</t>
  </si>
  <si>
    <t>SEVAK, HARISH</t>
  </si>
  <si>
    <t>PAVLYUK, YURIY</t>
  </si>
  <si>
    <t>CANESSA, C &amp; G ROMERO</t>
  </si>
  <si>
    <t>MUCHLING, K &amp; M MELODY</t>
  </si>
  <si>
    <t>FRCEK, DEBRA A</t>
  </si>
  <si>
    <t>HO, T &amp; T TRUONG</t>
  </si>
  <si>
    <t>GHOUSE &amp; MOIN PROPERTIES</t>
  </si>
  <si>
    <t>NGUYEN, NHON &amp; KHANH T</t>
  </si>
  <si>
    <t>COUTRYER, SHARON</t>
  </si>
  <si>
    <t>SMITH, DENNIS A &amp; DOROTHY</t>
  </si>
  <si>
    <t>NGUYEN, TRUC &amp; KEVIN</t>
  </si>
  <si>
    <t>ANDERSON, ROBERT P</t>
  </si>
  <si>
    <t>PROVINZINO, MICHAEL P</t>
  </si>
  <si>
    <t>RUIZ, PETER</t>
  </si>
  <si>
    <t>COFFMAN, C &amp; J TORRES</t>
  </si>
  <si>
    <t>DONAHOE, KEVIN &amp; DARLENE</t>
  </si>
  <si>
    <t>DIEHL, MICHAEL &amp; JANET</t>
  </si>
  <si>
    <t>UCZEN, C &amp; A</t>
  </si>
  <si>
    <t>ROHRER, DALE &amp; CYNTHIA A</t>
  </si>
  <si>
    <t>TANNER, BRITTANY</t>
  </si>
  <si>
    <t>JAMES, NADEEM</t>
  </si>
  <si>
    <t>SPINK, DONALD &amp; ILYCE</t>
  </si>
  <si>
    <t>VANADIA, MICHAEL</t>
  </si>
  <si>
    <t>ALMEIDA, JEFFREY F</t>
  </si>
  <si>
    <t>DAO PROPERTIES LLC</t>
  </si>
  <si>
    <t>YOUNG, DOUGLAS &amp; MARIE</t>
  </si>
  <si>
    <t>RIVERA JR, LUIS M</t>
  </si>
  <si>
    <t>DIMITROV, VESSELIN</t>
  </si>
  <si>
    <t>KATAVIC, DELORES &amp; BRENDA</t>
  </si>
  <si>
    <t>ARZUAGA, RAMON &amp; CARMEN</t>
  </si>
  <si>
    <t>RENDINA, BRIAN &amp; JILLIAN</t>
  </si>
  <si>
    <t>BINDER, FRANCIS P</t>
  </si>
  <si>
    <t>KRUPA, HENRYK &amp; ALICJA</t>
  </si>
  <si>
    <t>LIDDLE, J &amp; J MCDOUGAL</t>
  </si>
  <si>
    <t>NGUYEN, HAU</t>
  </si>
  <si>
    <t>HO, VY V &amp; TUYET TRAN</t>
  </si>
  <si>
    <t>CTLTC 8002390080</t>
  </si>
  <si>
    <t>CHAIREZ, ARMANDO</t>
  </si>
  <si>
    <t>BAZAN, ARMANDO D</t>
  </si>
  <si>
    <t>NGUYEN, JOHNNY</t>
  </si>
  <si>
    <t>COSENTINO, MARIA</t>
  </si>
  <si>
    <t>TRUST #01391</t>
  </si>
  <si>
    <t>FINKLER, MARY R</t>
  </si>
  <si>
    <t>NGUYEN, CATHERINE &amp; DUY V</t>
  </si>
  <si>
    <t>CARBAJAL, ANTONIO &amp; MISUZ</t>
  </si>
  <si>
    <t>KANNEY, ADAM R</t>
  </si>
  <si>
    <t>OH, PAUL YOON &amp; KEUM CHA</t>
  </si>
  <si>
    <t>FABIAN, DENNIS &amp; MARIA</t>
  </si>
  <si>
    <t>FERNANDEZ, VIRGINIA A</t>
  </si>
  <si>
    <t>AMID, ANWAR &amp; SAMAR</t>
  </si>
  <si>
    <t>SCHRADER, DANIEL C</t>
  </si>
  <si>
    <t>PTASNIK, MARGARET</t>
  </si>
  <si>
    <t>JABLONSKI, BRIAN</t>
  </si>
  <si>
    <t>GANJANI, MIRZA H</t>
  </si>
  <si>
    <t>BRODA, ANNA &amp; CHRIS</t>
  </si>
  <si>
    <t>JAFFRI, AMAN A</t>
  </si>
  <si>
    <t>LEITH, CHRISTINA L</t>
  </si>
  <si>
    <t>THAKKAR, KALPIT J &amp; AMI K</t>
  </si>
  <si>
    <t>RAMM, WILLIAM &amp; JOAN</t>
  </si>
  <si>
    <t>BUSH, KEVIN &amp; KRISTI</t>
  </si>
  <si>
    <t>BENTON, PEGGY L</t>
  </si>
  <si>
    <t>BYKOFF, CHERYL L</t>
  </si>
  <si>
    <t>LATIF, MOHAMMAD</t>
  </si>
  <si>
    <t>TRAN, K &amp; T NGUYEN</t>
  </si>
  <si>
    <t>REILLY, PATRICK</t>
  </si>
  <si>
    <t>OWENS, JAMES W &amp; ROBERTA</t>
  </si>
  <si>
    <t>RONEY, FRED S</t>
  </si>
  <si>
    <t>ROBERTS, ERIC &amp; CHRISTINA</t>
  </si>
  <si>
    <t>BRUNETTI, CARLO</t>
  </si>
  <si>
    <t>ROFKAHR JR, NATHANIEL &amp; J</t>
  </si>
  <si>
    <t>ITURBIDE, KELLY JO</t>
  </si>
  <si>
    <t>VELASQUEZ GARCIA, CLEMENT</t>
  </si>
  <si>
    <t>SHULIGA, PAUL &amp; GALINA</t>
  </si>
  <si>
    <t>DUNHAM, STEPHEN</t>
  </si>
  <si>
    <t>PARIKH, AMI P</t>
  </si>
  <si>
    <t>BUCIO, MARIO &amp; ELIZABETH</t>
  </si>
  <si>
    <t>DEVINE, PATRICK</t>
  </si>
  <si>
    <t>DOLIN, DIANE L</t>
  </si>
  <si>
    <t>LIGHT, MICHAEL</t>
  </si>
  <si>
    <t>RAMIREZ, CLAUDIA</t>
  </si>
  <si>
    <t>SERNA, RODOLFO</t>
  </si>
  <si>
    <t>THACH, TRUNG &amp; TUYET NHUN</t>
  </si>
  <si>
    <t>LAUGHRIDGE, D</t>
  </si>
  <si>
    <t>BAXI, VIKAS &amp; SWEETU</t>
  </si>
  <si>
    <t>ALI, AHMAD</t>
  </si>
  <si>
    <t>MUGNAINI, DANIELLE</t>
  </si>
  <si>
    <t>NGUYEN, JEFF</t>
  </si>
  <si>
    <t>CHAVEZ, SALVADOR</t>
  </si>
  <si>
    <t>HUNT, CYNTHIA A</t>
  </si>
  <si>
    <t>STRAKA, ROBERT &amp;MARQUETTA</t>
  </si>
  <si>
    <t>PUZON, A &amp; A JOHNSON</t>
  </si>
  <si>
    <t>ZACK, MICHELE M</t>
  </si>
  <si>
    <t>LANHAM, E &amp; C NELSON</t>
  </si>
  <si>
    <t>CAROL STREAM PROP LLC</t>
  </si>
  <si>
    <t>SCHEFFLER, DAVID L</t>
  </si>
  <si>
    <t>HERITAGE PLAZA STATION</t>
  </si>
  <si>
    <t>TESTING SERVICE CORP</t>
  </si>
  <si>
    <t>LAMPLIGHTER AGENCY MGT DU</t>
  </si>
  <si>
    <t>ALEKSIC, DANNY D</t>
  </si>
  <si>
    <t>OGDEN CLARENDON LLC</t>
  </si>
  <si>
    <t>THE BIRCHES LLC</t>
  </si>
  <si>
    <t>KAISER ASSETS INC</t>
  </si>
  <si>
    <t>GO CLARENDON LLC</t>
  </si>
  <si>
    <t>PROSPECT STATION LLC</t>
  </si>
  <si>
    <t>HARRIS BK HINSDALE</t>
  </si>
  <si>
    <t>LITOWITZ, MERLE</t>
  </si>
  <si>
    <t>FAM MODELL DARIEN LLC</t>
  </si>
  <si>
    <t>HARVAT, THOMAS &amp; TRICIA</t>
  </si>
  <si>
    <t>LA COCO, MICHAEL &amp; DEBRA</t>
  </si>
  <si>
    <t>HEBDA, LAWRENCE J</t>
  </si>
  <si>
    <t>SAYLAWALA, ZULFIQAR &amp; JUM</t>
  </si>
  <si>
    <t>DALY, JOHN</t>
  </si>
  <si>
    <t>SEZANT, J &amp; S RAELSON</t>
  </si>
  <si>
    <t>MITCHELL LIVING TRUST</t>
  </si>
  <si>
    <t>KORTE, RALPH J</t>
  </si>
  <si>
    <t>MILLER, JUDITH B</t>
  </si>
  <si>
    <t>PEREZ, D &amp; M ROLDAN</t>
  </si>
  <si>
    <t>LEBAN, RONALD</t>
  </si>
  <si>
    <t>HILL, JEFFREY &amp; KATHLEEN</t>
  </si>
  <si>
    <t>ARQUILLA, RICHARD &amp; R</t>
  </si>
  <si>
    <t>DONAHUE, ALLISON &amp; MARK</t>
  </si>
  <si>
    <t>VALOSEK, ANTHONY &amp; P</t>
  </si>
  <si>
    <t>HUDDLE, KOERT &amp; ERICA</t>
  </si>
  <si>
    <t>SCHONHOFF GENERAL PARTNER</t>
  </si>
  <si>
    <t>AZIM, ANSER &amp; FARIHA</t>
  </si>
  <si>
    <t>HAQ, JUNAID &amp; SARAH</t>
  </si>
  <si>
    <t>KAZLAUSKAITE, JOLANTA</t>
  </si>
  <si>
    <t>IMEL, JILLIAN</t>
  </si>
  <si>
    <t>DOMARADZKI, A &amp; A ELSHIKH</t>
  </si>
  <si>
    <t>POKORNY, MICHAEL &amp; ANGELA</t>
  </si>
  <si>
    <t>MOUDRY, TIMOTHY &amp; AMANDA</t>
  </si>
  <si>
    <t>PHILLIPS, PAUL &amp; BONNIE</t>
  </si>
  <si>
    <t>EVANS TR, MICHAEL</t>
  </si>
  <si>
    <t>NICOL, ANDREW &amp; CAMI</t>
  </si>
  <si>
    <t>GREGORY, MELVIN &amp; MARY</t>
  </si>
  <si>
    <t>AGBONIFO, NICHOLAS EFOSA</t>
  </si>
  <si>
    <t>MUKENSCHNABL, TAMARA S</t>
  </si>
  <si>
    <t>WUERTH, JEFFREY &amp; LORIN</t>
  </si>
  <si>
    <t>PANDOLA, ALAN J</t>
  </si>
  <si>
    <t>GANNON, THOMAS A</t>
  </si>
  <si>
    <t>GOERGEN, MICHAEL &amp; DIANA</t>
  </si>
  <si>
    <t>VERVENIOTIS, NICHOLAS &amp; J</t>
  </si>
  <si>
    <t>CERVANTES, JUANITO &amp; L</t>
  </si>
  <si>
    <t>TING, PETER</t>
  </si>
  <si>
    <t>MILKS, DAVID A &amp; DEBRA L</t>
  </si>
  <si>
    <t>CAJTHAML, DAVID &amp; K</t>
  </si>
  <si>
    <t>JENNINGS, R &amp; J MOORMAN</t>
  </si>
  <si>
    <t>NOVAK, JEFFREY M &amp; ROYCE</t>
  </si>
  <si>
    <t>TORTORICH, JOSEPH &amp;LAUREN</t>
  </si>
  <si>
    <t>HUCKS, RONALD &amp; RACHAEL</t>
  </si>
  <si>
    <t>JOLEPALEM, SRINIVAS &amp; J</t>
  </si>
  <si>
    <t>VANDERPLOW, MICHAEL &amp; K</t>
  </si>
  <si>
    <t>HUSSAIN, SYED A</t>
  </si>
  <si>
    <t>LARGE, J &amp; E ROPER</t>
  </si>
  <si>
    <t>CHEN, FEN Q</t>
  </si>
  <si>
    <t>ATASSI, TAMER</t>
  </si>
  <si>
    <t>CONVERY, THOMAS &amp; TERESA</t>
  </si>
  <si>
    <t>MABBORANG, JOSEPH T &amp; E A</t>
  </si>
  <si>
    <t>RAMLER, BRADLEY</t>
  </si>
  <si>
    <t>REGGI TR, CELESTE S</t>
  </si>
  <si>
    <t>JAKAITIS, ZACHARY &amp; ALLIS</t>
  </si>
  <si>
    <t>CAZZATO, RICK &amp; KERI</t>
  </si>
  <si>
    <t>BRODERICK, THOMAS &amp; MARY</t>
  </si>
  <si>
    <t>HIATT, JOHN C &amp; PAULA M</t>
  </si>
  <si>
    <t>BENNI, MARISSA</t>
  </si>
  <si>
    <t>KIRTLEY, CRAIG &amp; MICHELLE</t>
  </si>
  <si>
    <t>KARALIS, MICHAEL T</t>
  </si>
  <si>
    <t>RUSH, MAUREEN &amp; DOUGLAS S</t>
  </si>
  <si>
    <t>KOTSIANTOS, GEORGE J &amp; L</t>
  </si>
  <si>
    <t>VANCURA, RICHARD &amp; CAROLI</t>
  </si>
  <si>
    <t>GANNAWAY, BRUCE &amp; KRISTIN</t>
  </si>
  <si>
    <t>CHEN, MING CHUNG</t>
  </si>
  <si>
    <t>UDDIN, SHUJA</t>
  </si>
  <si>
    <t>PATEL, KIRAN &amp;CHANDRABALA</t>
  </si>
  <si>
    <t>HOPKINS, STEPHEN &amp; KATHLE</t>
  </si>
  <si>
    <t>JOBE, JERRY &amp; MARY</t>
  </si>
  <si>
    <t>GAZMEN, ETHELBERT &amp; L</t>
  </si>
  <si>
    <t>MADANA, RAMPRASAD &amp; LALIT</t>
  </si>
  <si>
    <t>TARDI, STEVEN</t>
  </si>
  <si>
    <t>SURIANO, VICTORIA J TR</t>
  </si>
  <si>
    <t>KHAN, FIYAZ</t>
  </si>
  <si>
    <t>EGGEBEEN, JOE</t>
  </si>
  <si>
    <t>KLETSKY, BRUCE &amp; CARLOTTA</t>
  </si>
  <si>
    <t>FARRELL, JAMES &amp; KELLY</t>
  </si>
  <si>
    <t>WYSOCKI, RICHARD</t>
  </si>
  <si>
    <t>MDF HOLDINGS LLC</t>
  </si>
  <si>
    <t>VEGA, GILBERT &amp; CHRISTINA</t>
  </si>
  <si>
    <t>POLIMEROS, D &amp; J MEY</t>
  </si>
  <si>
    <t>LUSTYK, RYAN M</t>
  </si>
  <si>
    <t>DIAZ, BRENDA</t>
  </si>
  <si>
    <t>MDF HOLDINGS 8502 LLC</t>
  </si>
  <si>
    <t>BAUER JR, GERALD &amp; MARIE</t>
  </si>
  <si>
    <t>MARKICH, IVAN &amp; BILJANA</t>
  </si>
  <si>
    <t>OIE, GRETCHEN A</t>
  </si>
  <si>
    <t>PHARAON, B &amp; S AL SAFADI</t>
  </si>
  <si>
    <t>NOVAK, JACQUELINE L</t>
  </si>
  <si>
    <t>THURUTHIYIL, ABEY T &amp; G</t>
  </si>
  <si>
    <t>RADDATZ, CLAUS &amp; JENNIFER</t>
  </si>
  <si>
    <t>AGUILAR SMIAROWSKI, A C</t>
  </si>
  <si>
    <t>LEMBKE, ALAN</t>
  </si>
  <si>
    <t>CHICAGO TITLE</t>
  </si>
  <si>
    <t>HOERSTER, DONNA M</t>
  </si>
  <si>
    <t>GUGELMEYER, DOLORES</t>
  </si>
  <si>
    <t>DUFFY, ANTHONY &amp; SUE</t>
  </si>
  <si>
    <t>LAMORGESE, D &amp; R SORRENTI</t>
  </si>
  <si>
    <t>CAVALLI, ANTHONY &amp;MARY JO</t>
  </si>
  <si>
    <t>WELLS, HOY &amp; CHRISTINE</t>
  </si>
  <si>
    <t>KALL, JDELPHINE L</t>
  </si>
  <si>
    <t>LABRIOLA, JUSTIN &amp; ELIZA</t>
  </si>
  <si>
    <t>PICCOLI, MARK &amp; KAREN</t>
  </si>
  <si>
    <t>ALSHARIF TR, MAHER &amp; BUSI</t>
  </si>
  <si>
    <t>MINARDI TR, MICHAEL &amp; K</t>
  </si>
  <si>
    <t>EUBANK, EDWARD L &amp; ELSIE</t>
  </si>
  <si>
    <t>PUZ, MATTHEW F</t>
  </si>
  <si>
    <t>RIZZO, JOSEPH &amp; T</t>
  </si>
  <si>
    <t>BONNETTE, ADAM S</t>
  </si>
  <si>
    <t>KASTL, ARTHUR J &amp; NANCY C</t>
  </si>
  <si>
    <t>KARIMI, AFSOON</t>
  </si>
  <si>
    <t>MEKHIEL, JOHN B</t>
  </si>
  <si>
    <t>HAUBENREISER, TIMOTHY &amp; K</t>
  </si>
  <si>
    <t>SHENOUDA, SANDY</t>
  </si>
  <si>
    <t>GALLAGHER &amp; HENRY</t>
  </si>
  <si>
    <t>KOWALSKI, MARK &amp; S</t>
  </si>
  <si>
    <t>PURCELL, B &amp; J MAUS</t>
  </si>
  <si>
    <t>RYAN, SHARON P</t>
  </si>
  <si>
    <t>CANGIALOSI, PETER</t>
  </si>
  <si>
    <t>PAUDEL, SAILENDRA</t>
  </si>
  <si>
    <t>GLASHIN, BRANDON &amp; G</t>
  </si>
  <si>
    <t>BARCA, J &amp; M SNOW</t>
  </si>
  <si>
    <t>SCHMIDT, RUSSELL &amp; M</t>
  </si>
  <si>
    <t>HERRERIAS, JACQUELINE</t>
  </si>
  <si>
    <t>BAER, SUZANNE B</t>
  </si>
  <si>
    <t>KANDAH, WALID &amp; RANDA</t>
  </si>
  <si>
    <t>MARCHESE, RICHARD &amp; M</t>
  </si>
  <si>
    <t>GUEST, CHARLES B &amp; D S</t>
  </si>
  <si>
    <t>PANAWALA, YASMEEN B</t>
  </si>
  <si>
    <t>HANSEN, RICHARD E</t>
  </si>
  <si>
    <t>SURIN, T G</t>
  </si>
  <si>
    <t>NOVAK, ROBERT H</t>
  </si>
  <si>
    <t>LEARN, ANDREW &amp; ANDREA RO</t>
  </si>
  <si>
    <t>BRYANT, JACOB &amp; LISA</t>
  </si>
  <si>
    <t>VITAGLIANO JR, ANTHONY</t>
  </si>
  <si>
    <t>YONGSMITH, VIRUCH &amp; N</t>
  </si>
  <si>
    <t>CHIAMAS, PETER &amp; C</t>
  </si>
  <si>
    <t>REGGI, BARRY R &amp; JEANINE</t>
  </si>
  <si>
    <t>KLEIN, GARY &amp; FRANCINE</t>
  </si>
  <si>
    <t>POVALISH, NORBERT &amp; J M</t>
  </si>
  <si>
    <t>CARUSO, BRUNO &amp; MARYANN</t>
  </si>
  <si>
    <t>MAMPILLY, JOBBY &amp; EMILY</t>
  </si>
  <si>
    <t>PARIKH, VEVEK</t>
  </si>
  <si>
    <t>WHALEN, WILLIAM J</t>
  </si>
  <si>
    <t>MICHAEL, MARK G</t>
  </si>
  <si>
    <t>JACKSON, CHRISTOPHER &amp; K</t>
  </si>
  <si>
    <t>SHU, DEMING &amp; SHENGLAN XU</t>
  </si>
  <si>
    <t>CATTANEO, SHARON A</t>
  </si>
  <si>
    <t>ROCKOUSKI, GEORGETTE</t>
  </si>
  <si>
    <t>PILEGGI, FRANK</t>
  </si>
  <si>
    <t>LA BERG, JONATHAN &amp; SARA</t>
  </si>
  <si>
    <t>BOZZI, SCOTT &amp; R MAKARIS</t>
  </si>
  <si>
    <t>MUNSAYAC, JOSEPHINA &amp; J</t>
  </si>
  <si>
    <t>PHARAON, AYMAN &amp; SAWSON</t>
  </si>
  <si>
    <t>LEGA, THEODORE &amp; COREY</t>
  </si>
  <si>
    <t>GANGICHIODO, PAUL &amp; LINDA</t>
  </si>
  <si>
    <t>CUNZALO, LEONARD &amp; LAURA</t>
  </si>
  <si>
    <t>ISHII, MAMORU</t>
  </si>
  <si>
    <t>ZAKAR, JOM &amp; SEEMA</t>
  </si>
  <si>
    <t>DIONISIO, JANINA C</t>
  </si>
  <si>
    <t>RIORDAN, MICHAEL J &amp; L A</t>
  </si>
  <si>
    <t>SCHULTZ, GREGORY</t>
  </si>
  <si>
    <t>PARCHEM, R &amp; P KARKAZIS</t>
  </si>
  <si>
    <t>WATERSTRAAT, M &amp; K SCHOFI</t>
  </si>
  <si>
    <t>MUCHA, SZYMON &amp; MONIKA</t>
  </si>
  <si>
    <t>ROBINSON, SAMUEL &amp; KATIE</t>
  </si>
  <si>
    <t>SASSILA TR, ALA E &amp; AMER</t>
  </si>
  <si>
    <t>MONROE, ZACHARY &amp; ASHLEY</t>
  </si>
  <si>
    <t>PATEL, PRITESH &amp; VAISHALI</t>
  </si>
  <si>
    <t>GARTNER, REBECCA &amp; ROBT J</t>
  </si>
  <si>
    <t>BRESLIN, JOHN &amp; EILEEN</t>
  </si>
  <si>
    <t>BLAND, ROBERT S</t>
  </si>
  <si>
    <t>DONOVAN, THOMAS &amp; G TR</t>
  </si>
  <si>
    <t>HESTER, JAMES &amp; KASANDRA</t>
  </si>
  <si>
    <t>CHIEN, TAI-HSIN &amp; CORINA</t>
  </si>
  <si>
    <t>GREEN CHRISTOPHER &amp; P</t>
  </si>
  <si>
    <t>DROUIN, RYAN &amp; AMY</t>
  </si>
  <si>
    <t>VILLATUYA, PAQUITO &amp;DAISY</t>
  </si>
  <si>
    <t>ZIMMERMAN, WILLIAM J &amp; C</t>
  </si>
  <si>
    <t>ARAIN, ADNANUL &amp; SARWAT A</t>
  </si>
  <si>
    <t>LECHNER, JOHN &amp; CONNIE</t>
  </si>
  <si>
    <t>ALVEAR, JOHN</t>
  </si>
  <si>
    <t>KOCH, TIMOTHY A &amp; SANDRA</t>
  </si>
  <si>
    <t>SY, WYVINA</t>
  </si>
  <si>
    <t>AYENTO, LAURA &amp; EDGAR RUV</t>
  </si>
  <si>
    <t>WANER, LINDA A</t>
  </si>
  <si>
    <t>GARVANOVIC, E &amp; M TOSIC</t>
  </si>
  <si>
    <t>HARRIS, GLADYS M &amp; DANIEL</t>
  </si>
  <si>
    <t>COLEMAN, DONALD &amp; C</t>
  </si>
  <si>
    <t>ALWASAI, A &amp; SAFADI, R</t>
  </si>
  <si>
    <t>RICE, PAUL &amp; LOREN</t>
  </si>
  <si>
    <t>BURNETT, ADAM &amp; ELYSE</t>
  </si>
  <si>
    <t>SCHOMIG, WILLIAM &amp;CYNTHIA</t>
  </si>
  <si>
    <t>ALRAGHIB, MOHAMED &amp; MAI A</t>
  </si>
  <si>
    <t>PIMENTEL, MERCEDES</t>
  </si>
  <si>
    <t>MAHER, JOHN &amp; CARRIE</t>
  </si>
  <si>
    <t>DIECK, ANDRES E &amp; KIRSTIN</t>
  </si>
  <si>
    <t>PARK, JUN SANG</t>
  </si>
  <si>
    <t>PODALAK, C &amp; A LLOYD</t>
  </si>
  <si>
    <t>ROCHES, LAWRENCE P &amp; B A</t>
  </si>
  <si>
    <t>SOINI, ALEJANDRO &amp; DAPHNE</t>
  </si>
  <si>
    <t>CHA, YUNGSHENG &amp; BEN CHIN</t>
  </si>
  <si>
    <t>MAZUR, CHRISTOPHER &amp; R A</t>
  </si>
  <si>
    <t>PACENTINE, JOSEPH &amp; J</t>
  </si>
  <si>
    <t>EUSKE, JAMES &amp; K</t>
  </si>
  <si>
    <t>LUPA TRUSTEE, JUDITH M</t>
  </si>
  <si>
    <t>MARINELLI, MICHAEL &amp; K</t>
  </si>
  <si>
    <t>TAHIR, SAIF</t>
  </si>
  <si>
    <t>COLAVECCHI, ARMIDOR</t>
  </si>
  <si>
    <t>NAKAMURA, KENICHIRO</t>
  </si>
  <si>
    <t>ABBATE, VITO &amp; KATHLEEN</t>
  </si>
  <si>
    <t>SARTHER, WILLIAM &amp; L</t>
  </si>
  <si>
    <t>PAPAIS, THOMAS &amp; JANICE</t>
  </si>
  <si>
    <t>KOSCIEWICZ, JONATHON &amp; SA</t>
  </si>
  <si>
    <t>SAWICA, EDWARD &amp; YOLANDA</t>
  </si>
  <si>
    <t>SMITH, LAWRENCE &amp; JANE</t>
  </si>
  <si>
    <t>WAGNER, WAYNE R</t>
  </si>
  <si>
    <t>THORSBY, MARK &amp; LISE</t>
  </si>
  <si>
    <t>DONAHOO, REBEKAH</t>
  </si>
  <si>
    <t>NIESTROM, DONALD</t>
  </si>
  <si>
    <t>BASATHIA, HAROON &amp; F</t>
  </si>
  <si>
    <t>MORALES, B &amp; K TWAROWSKI</t>
  </si>
  <si>
    <t>VILLANUEVA, HEINRICH &amp; N</t>
  </si>
  <si>
    <t>JOHNSON, JONATHAN &amp; TRACY</t>
  </si>
  <si>
    <t>MANTEY, JOEL B &amp; L S</t>
  </si>
  <si>
    <t>WISE, NORMAN M</t>
  </si>
  <si>
    <t>SERRATA, JERRY &amp; K L</t>
  </si>
  <si>
    <t>ADAMS, JEFFREY &amp; VALERIE</t>
  </si>
  <si>
    <t>BLACKBURN, JOHN E &amp; L J</t>
  </si>
  <si>
    <t>SCHINK, CHRIS</t>
  </si>
  <si>
    <t>VUJOVIC, IVAN &amp; A</t>
  </si>
  <si>
    <t>GUPTA, RAMESH &amp; KAMALA</t>
  </si>
  <si>
    <t>BOUDWIN, C J &amp; K J KEYES</t>
  </si>
  <si>
    <t>URBANOWICZ, WITOLD &amp; D</t>
  </si>
  <si>
    <t>SCHUMANN, RICHARD</t>
  </si>
  <si>
    <t>DUDIC, BRANISLAV &amp; SUSAN</t>
  </si>
  <si>
    <t>ZALDUENDO, PABLO &amp; CARON</t>
  </si>
  <si>
    <t>GIERUT, ROBERT &amp; PATRICIA</t>
  </si>
  <si>
    <t>BUONAVOLANTO, DONALD</t>
  </si>
  <si>
    <t>GRIGONIS, EDGARUS</t>
  </si>
  <si>
    <t>ALONSO, RAFAEL &amp; CLAUDIA</t>
  </si>
  <si>
    <t>SCHROHE, JOYCE A</t>
  </si>
  <si>
    <t>GANGI, GUY</t>
  </si>
  <si>
    <t>YU, CHARLEY &amp; JEAN</t>
  </si>
  <si>
    <t>HERMANN, MERRILL L</t>
  </si>
  <si>
    <t>KACZMARSKI, JAMES G &amp; M M</t>
  </si>
  <si>
    <t>HASEEB, SYED &amp; M FATHIMA</t>
  </si>
  <si>
    <t>THOMAS, SAJJINII</t>
  </si>
  <si>
    <t>KIEFFEL, C &amp; S HOSCHETT</t>
  </si>
  <si>
    <t>MARTINEZ, JESUS &amp;K GARCIA</t>
  </si>
  <si>
    <t>MC GINLEY, DANL &amp; ANNE</t>
  </si>
  <si>
    <t>WATERSTRAAT, MEREDITH A</t>
  </si>
  <si>
    <t>ADAMS, RICHARD</t>
  </si>
  <si>
    <t>NIKOLIC, MILOS</t>
  </si>
  <si>
    <t>BARNES, DON W</t>
  </si>
  <si>
    <t>BRUCKNER, JIRI</t>
  </si>
  <si>
    <t>KOTZUM, WILLIAM E &amp; NANCY</t>
  </si>
  <si>
    <t>PIERCE, STEVEN &amp; GAIL</t>
  </si>
  <si>
    <t>WOLD, DOLORES J</t>
  </si>
  <si>
    <t>RINCON, WILLIAM &amp; CARMEN</t>
  </si>
  <si>
    <t>CIOLKOSZ, NANCY</t>
  </si>
  <si>
    <t>RAMIREZ, DAVID &amp; HEIDI</t>
  </si>
  <si>
    <t>MASTROIANNI, RALPH &amp;LYNNE</t>
  </si>
  <si>
    <t>VAHL, ERIN M</t>
  </si>
  <si>
    <t>CONRAD, LILLIAN  TR</t>
  </si>
  <si>
    <t>BARICH, GERALD R</t>
  </si>
  <si>
    <t>BALOCH, WASAN &amp; SYEDA TAR</t>
  </si>
  <si>
    <t>RAYMOND, DONNA J</t>
  </si>
  <si>
    <t>RICE, ROYDEN &amp; CYNTHIA</t>
  </si>
  <si>
    <t>MAZEIKA, SUSAN V</t>
  </si>
  <si>
    <t>KUFNER, NANCY &amp; KENNETH</t>
  </si>
  <si>
    <t>BISHOP, JENNIFER</t>
  </si>
  <si>
    <t>HERON, JOHN &amp; S VAN ARKEL</t>
  </si>
  <si>
    <t>SAVAGE, KEVIN M</t>
  </si>
  <si>
    <t>HOFFMAN, LILIANE M</t>
  </si>
  <si>
    <t>NOE, JOAN &amp; DONALD</t>
  </si>
  <si>
    <t>ESTAFANOUS, BOULOS &amp; A</t>
  </si>
  <si>
    <t>PAHR, WAYNE &amp; LEONETTE</t>
  </si>
  <si>
    <t>MULGREW, GARY &amp; SUSAN</t>
  </si>
  <si>
    <t>BINDER, JAMES A</t>
  </si>
  <si>
    <t>MARINKOVIC, MARIAN &amp;ANGEL</t>
  </si>
  <si>
    <t>WYENT, STEVEN &amp; LAURIE</t>
  </si>
  <si>
    <t>VOUTIRITSAS, JAMES</t>
  </si>
  <si>
    <t>JAMALEDDIN, M &amp; S YAMAK</t>
  </si>
  <si>
    <t>SHAH, JASHWANT &amp; KALPANA</t>
  </si>
  <si>
    <t>HAACK, WAYNE W &amp; ARLENE</t>
  </si>
  <si>
    <t>VALENTE, RALPH</t>
  </si>
  <si>
    <t>DOMABYL, JOSEPH D</t>
  </si>
  <si>
    <t>BORQUEZ, HECTOR &amp; ANA</t>
  </si>
  <si>
    <t>DI GIACOMO, CHARLES &amp; D</t>
  </si>
  <si>
    <t>RADENKOVIC, GORAN &amp; G</t>
  </si>
  <si>
    <t>SCHULTZ, MARTIN D</t>
  </si>
  <si>
    <t>ZOSTAUTAS, LEROY &amp; LOIS</t>
  </si>
  <si>
    <t>CIOLKOSZ, CYNTHIA</t>
  </si>
  <si>
    <t>MC CONNELL TR, JACOB &amp; RA</t>
  </si>
  <si>
    <t>CHAVEZ, JUAN &amp; DANNI GALE</t>
  </si>
  <si>
    <t>NOONAN, JOHN</t>
  </si>
  <si>
    <t>JOSEPH FAMILY TRUST</t>
  </si>
  <si>
    <t>PATEL TR, YAMINI</t>
  </si>
  <si>
    <t>HARTEL, PATRICK</t>
  </si>
  <si>
    <t>WRONA, TED</t>
  </si>
  <si>
    <t>RESCIGNO, RONALD &amp; SUSAN</t>
  </si>
  <si>
    <t>WOSTRATZKY, RICHARD &amp; M</t>
  </si>
  <si>
    <t>ZABORNIAK, GREGORY &amp; MARY</t>
  </si>
  <si>
    <t>SETHI, ROMI  TR</t>
  </si>
  <si>
    <t>MURPHY, MICHAEL P &amp; A C</t>
  </si>
  <si>
    <t>TEOTICO, GERARDO &amp; E R</t>
  </si>
  <si>
    <t>O BRIEN, E &amp; B HESBON</t>
  </si>
  <si>
    <t>STACY, TERRY LYNN</t>
  </si>
  <si>
    <t>ZALABAK, ROBERT</t>
  </si>
  <si>
    <t>FROST, STEPHEN &amp; NANCY</t>
  </si>
  <si>
    <t>KOOPMAN, MARY M   TRUST</t>
  </si>
  <si>
    <t>GORMAN, JOHN &amp; NANCY</t>
  </si>
  <si>
    <t>TARAHOMI, MAJID</t>
  </si>
  <si>
    <t>KELKAR, SUDHIR &amp; MEDHA</t>
  </si>
  <si>
    <t>LUNDIN, CAROLYN J</t>
  </si>
  <si>
    <t>MUNGOR, JILLIAN C</t>
  </si>
  <si>
    <t>JACOB, MATHEW &amp; MARY</t>
  </si>
  <si>
    <t>LEATHERWOOD, DAVID</t>
  </si>
  <si>
    <t>CHRISTIANO, NICHOLAS &amp; D</t>
  </si>
  <si>
    <t>MC KEE, JAMES R &amp; LISA M</t>
  </si>
  <si>
    <t>FINN, SEAN &amp; ELSIE</t>
  </si>
  <si>
    <t>CARLSON, TRACY  R &amp; N M</t>
  </si>
  <si>
    <t>WALSH, MICHAEL &amp; MEGAN</t>
  </si>
  <si>
    <t>PATEL, JITESH A &amp; BIJAL</t>
  </si>
  <si>
    <t>HETUE, ARIK</t>
  </si>
  <si>
    <t>SCHRAMM, LEE A &amp; DENISE D</t>
  </si>
  <si>
    <t>TRUONG, MICHELLE &amp; NHON</t>
  </si>
  <si>
    <t>DZIUKALA, ROBERT</t>
  </si>
  <si>
    <t>JML MANAGEMENT LLC</t>
  </si>
  <si>
    <t>COONEY, BRIAN &amp; JOANN</t>
  </si>
  <si>
    <t>LIN, SHU-MIN</t>
  </si>
  <si>
    <t>CODARCEA, ANA B</t>
  </si>
  <si>
    <t>GNEISER, DAVID S &amp; JANE M</t>
  </si>
  <si>
    <t>RIVETT JR, ROY E</t>
  </si>
  <si>
    <t>NOSBISCH TR, PAMELA</t>
  </si>
  <si>
    <t>SERVA, RICHAED &amp; DEBORAH</t>
  </si>
  <si>
    <t>KAO, EDDIE C &amp; IVY L</t>
  </si>
  <si>
    <t>SUNBULLI, AMMAR</t>
  </si>
  <si>
    <t>COJOCARU, OLEG</t>
  </si>
  <si>
    <t>WHITE, BURTON &amp; PATRICIA</t>
  </si>
  <si>
    <t>CTLTC 8002391695</t>
  </si>
  <si>
    <t>CORSON, AMY &amp; MICHAEL</t>
  </si>
  <si>
    <t>FAN, YIYUN &amp; MICHAEL PEDZ</t>
  </si>
  <si>
    <t>BODEE, RICHARD &amp; S CRONIN</t>
  </si>
  <si>
    <t>CIRJAKOVIC, LELA</t>
  </si>
  <si>
    <t>HENKEL, JOAN E</t>
  </si>
  <si>
    <t>TAGLER, DAVID &amp; CAROLINE</t>
  </si>
  <si>
    <t>AYALA, NILO &amp; CHERRY</t>
  </si>
  <si>
    <t>POON, CHU BUN</t>
  </si>
  <si>
    <t>VARGHESE, J &amp; A FERNANDEZ</t>
  </si>
  <si>
    <t>PRENDKI, GINA</t>
  </si>
  <si>
    <t>TRILLA, LUKE V</t>
  </si>
  <si>
    <t>RASSI, GREGORY &amp; CARLA</t>
  </si>
  <si>
    <t>BARNETT, SAMANTHA</t>
  </si>
  <si>
    <t>TUNNEY, JOHN &amp; SAVANNAH</t>
  </si>
  <si>
    <t>FLORES, ALBERTO</t>
  </si>
  <si>
    <t>KNIGHT, JOHNIE JR &amp; L</t>
  </si>
  <si>
    <t>COSS, ARTURO &amp; JULIET</t>
  </si>
  <si>
    <t>STOJASPAL JOSEF &amp; LUDMILA</t>
  </si>
  <si>
    <t>SIMIC, MONCILO &amp; RADOJKA</t>
  </si>
  <si>
    <t>SHEARER, DIANE M</t>
  </si>
  <si>
    <t>RYLANDER, TIMOTHY &amp; K</t>
  </si>
  <si>
    <t>BEGLER, RICHARD J &amp; LISA</t>
  </si>
  <si>
    <t>CONYER, KRAIG &amp; MARIA</t>
  </si>
  <si>
    <t>ORTEGA, ALEJANDRA</t>
  </si>
  <si>
    <t>OTMANSKI, MICHAEL</t>
  </si>
  <si>
    <t>LTC 2NDW9278</t>
  </si>
  <si>
    <t>LAJEONE, MARY ANN</t>
  </si>
  <si>
    <t>CODUTO, LISA M</t>
  </si>
  <si>
    <t>GOODRIDGE, JOHN &amp; ROBIN</t>
  </si>
  <si>
    <t>YURCHAK, JOHN</t>
  </si>
  <si>
    <t>ERRANDI, GREGORY &amp; DEBRA</t>
  </si>
  <si>
    <t>HALL LIVING TRUST</t>
  </si>
  <si>
    <t>ZLATANOVIC, DRAGAN</t>
  </si>
  <si>
    <t>SINENI ST, JACOB R</t>
  </si>
  <si>
    <t>CARLI FAMILY TRUST</t>
  </si>
  <si>
    <t>MC RAVEN, MICHAEL &amp; MARY</t>
  </si>
  <si>
    <t>FILIAK, MICHAEL &amp; KRISTEN</t>
  </si>
  <si>
    <t>ST ONGE, JOHN &amp; BARBARA</t>
  </si>
  <si>
    <t>CABLE, TERRY &amp; BARBARA</t>
  </si>
  <si>
    <t>GANDHI, KIRAN &amp; SONAL</t>
  </si>
  <si>
    <t>FRAZZETTA, JORDAN</t>
  </si>
  <si>
    <t>WISNIOWICZ, FRANK &amp; TINA</t>
  </si>
  <si>
    <t>DUAN, JINQIAO &amp; Y XIONG</t>
  </si>
  <si>
    <t>MICKEVICIENE, GIEDRE</t>
  </si>
  <si>
    <t>FERRER, LUIS &amp; JUANITA</t>
  </si>
  <si>
    <t>KOHLS, T &amp; M WALASZEK</t>
  </si>
  <si>
    <t>PETERSEN, JOANNE T</t>
  </si>
  <si>
    <t>JUNG, WILLIAM &amp; JUDITH</t>
  </si>
  <si>
    <t>AITCHESON, CONNIE</t>
  </si>
  <si>
    <t>KEARINS, MARK C &amp; LYNN V</t>
  </si>
  <si>
    <t>HAGARTY, JON  TR</t>
  </si>
  <si>
    <t>RUNKEL, ROEBRT</t>
  </si>
  <si>
    <t>CABRERA, ROBERT &amp; SYLVIA</t>
  </si>
  <si>
    <t>LAM, BRIAN &amp;TO-NGA NGUYEN</t>
  </si>
  <si>
    <t>PARAS, JOYCE</t>
  </si>
  <si>
    <t>NELSON, JAMES &amp; SUE</t>
  </si>
  <si>
    <t>PERISIN, NICK &amp; PAULA</t>
  </si>
  <si>
    <t>TANBAR, ALAA A</t>
  </si>
  <si>
    <t>CAYO, ALLISON</t>
  </si>
  <si>
    <t>COOGAN, DANIEL J</t>
  </si>
  <si>
    <t>GARCIA, BALDEMAR</t>
  </si>
  <si>
    <t>VELAZQUEZ, MARIA &amp; M</t>
  </si>
  <si>
    <t>THOMAS TR, CHERIAN &amp; ROSA</t>
  </si>
  <si>
    <t>MIRANDA, J &amp; D OTAROLA</t>
  </si>
  <si>
    <t>CHANDOK, RAMESH &amp; SUSHILL</t>
  </si>
  <si>
    <t>WHITE, DUANE &amp; SHIRLEY</t>
  </si>
  <si>
    <t>POWERS, TANYA M</t>
  </si>
  <si>
    <t>CURTIS, D &amp; D RAY</t>
  </si>
  <si>
    <t>BARTOCCI, SUSAN K</t>
  </si>
  <si>
    <t>VEJCHODA, IVONA</t>
  </si>
  <si>
    <t>TUNGET, SHELIA Z</t>
  </si>
  <si>
    <t>QURESHI, ASHAR</t>
  </si>
  <si>
    <t>HADAD, JORGE &amp; MARCIA</t>
  </si>
  <si>
    <t>LIANG, SANDY</t>
  </si>
  <si>
    <t>DARROW, LORA</t>
  </si>
  <si>
    <t>WANG, MORLIE &amp; P LIN</t>
  </si>
  <si>
    <t>ALKOUKI, NAIM</t>
  </si>
  <si>
    <t>CHEN, JINGJING</t>
  </si>
  <si>
    <t>DOUFEXIS TR, DEBRA</t>
  </si>
  <si>
    <t>ALBRIGHT, BRIANNA</t>
  </si>
  <si>
    <t>FISHER, D &amp; D DONNELLAN</t>
  </si>
  <si>
    <t>PITSCH, CRAIG &amp; BRENDA</t>
  </si>
  <si>
    <t>MALENFANT, GAIL</t>
  </si>
  <si>
    <t>MILESKO, MARIUS</t>
  </si>
  <si>
    <t>KOEPFLE, EMILY P</t>
  </si>
  <si>
    <t>MARSDEN, TYLER</t>
  </si>
  <si>
    <t>CLAUSON, RONALD L</t>
  </si>
  <si>
    <t>KROLAK, ANTHONY &amp; K</t>
  </si>
  <si>
    <t>DECICCO, DAVID</t>
  </si>
  <si>
    <t>HOFBAUER, MEGAN &amp; ADAM</t>
  </si>
  <si>
    <t>MOLL, JOHN R</t>
  </si>
  <si>
    <t>KOUGIAS, GEORGE</t>
  </si>
  <si>
    <t>ESPIRITU, ELIZABETH G &amp; M</t>
  </si>
  <si>
    <t>ALNASS, RANIA</t>
  </si>
  <si>
    <t>PANG, YONGGANG &amp; X WANG</t>
  </si>
  <si>
    <t>JANECEK, LADISLAV</t>
  </si>
  <si>
    <t>NICHOLS, ANTHONY &amp;KATHRYN</t>
  </si>
  <si>
    <t>ONORATO, ARMANDO &amp; SARAH</t>
  </si>
  <si>
    <t>SEVCOVIC, JAROSLAV &amp; JANA</t>
  </si>
  <si>
    <t>CHORAZYCZEWSKI, MARK &amp; C</t>
  </si>
  <si>
    <t>GABERSKI, GORDAN</t>
  </si>
  <si>
    <t>DISCULTU, RUSLAN</t>
  </si>
  <si>
    <t>CIENIUCH, MICHAEL C</t>
  </si>
  <si>
    <t>ROUW, DANIEL &amp; ALLYN</t>
  </si>
  <si>
    <t>STOJANOVSKA, ELIZABETHA</t>
  </si>
  <si>
    <t>TSAO, WEI L</t>
  </si>
  <si>
    <t>ANING, AFUA</t>
  </si>
  <si>
    <t>GRZYWACZ, KRISTEN</t>
  </si>
  <si>
    <t>MILORADOVIC, SRBOLJUB</t>
  </si>
  <si>
    <t>JOSHI, RASIK &amp; NIRANJANA</t>
  </si>
  <si>
    <t>EVANGELISTA, T &amp; J ORTIZ</t>
  </si>
  <si>
    <t>MC DOWELL, KAREN S</t>
  </si>
  <si>
    <t>ALAYAN, WALID</t>
  </si>
  <si>
    <t>LINARES, J &amp; K DIAZ</t>
  </si>
  <si>
    <t>LIN, PAUL &amp; MORLIE WANG &amp;</t>
  </si>
  <si>
    <t>LIU, FILIPE</t>
  </si>
  <si>
    <t>ISBERG, SIMON &amp; KIMBERLY</t>
  </si>
  <si>
    <t>WU, GUIYU</t>
  </si>
  <si>
    <t>URBAN JR, LADISLAV &amp; N</t>
  </si>
  <si>
    <t>TUNGET, JANET L</t>
  </si>
  <si>
    <t>MEI, SHU QING</t>
  </si>
  <si>
    <t>LIANG, SANDY J</t>
  </si>
  <si>
    <t>KEISER, LEROY H</t>
  </si>
  <si>
    <t>LOVE, REBECCA &amp; T KELLER</t>
  </si>
  <si>
    <t>STRADER, LINDA</t>
  </si>
  <si>
    <t>KRUEGER, CHARLOTTE &amp; W</t>
  </si>
  <si>
    <t>DELACERDA, VICTOR M</t>
  </si>
  <si>
    <t>KOPFENSTEINER, KATHLEEN M</t>
  </si>
  <si>
    <t>SAMUDRALA, SRIHARI</t>
  </si>
  <si>
    <t>KUKREJA, PRADEEP &amp; SAVITA</t>
  </si>
  <si>
    <t>TURRUBIARTES, ABEL &amp; V M</t>
  </si>
  <si>
    <t>TAYLOR, BRANDON &amp; MELISSA</t>
  </si>
  <si>
    <t>JDH BUILDERS LLC</t>
  </si>
  <si>
    <t>BOULOS, TASOS</t>
  </si>
  <si>
    <t>ELLIOTT, SARAH N</t>
  </si>
  <si>
    <t>PADILLA, FRANCISCO &amp;MARIA</t>
  </si>
  <si>
    <t>DAVIS, ROBERT A</t>
  </si>
  <si>
    <t>HARRIS TR, DONNA</t>
  </si>
  <si>
    <t>MATHEW, SUMANA S &amp; SHANTY</t>
  </si>
  <si>
    <t>DYSKIE, GALE M</t>
  </si>
  <si>
    <t>ALI, SAKINA</t>
  </si>
  <si>
    <t>KOLUNDZIJA, DJURO</t>
  </si>
  <si>
    <t>DARIEN CROSSING LLC</t>
  </si>
  <si>
    <t>MCKEE TRUST</t>
  </si>
  <si>
    <t>BOBOWSKI, E &amp; T TERRAZINO</t>
  </si>
  <si>
    <t>LYSNE, CAROL J</t>
  </si>
  <si>
    <t>DICKE, VERA</t>
  </si>
  <si>
    <t>ZETTLEMOYER, LOGAN &amp; REBE</t>
  </si>
  <si>
    <t>DOYLE, STEPHEN &amp; JULIE</t>
  </si>
  <si>
    <t>SKOPEC, DAVID F</t>
  </si>
  <si>
    <t>BEDRA, AARON &amp; ERIN</t>
  </si>
  <si>
    <t>WEBB, H WARING &amp; ELLEN</t>
  </si>
  <si>
    <t>CONNEALLY, MARTIN</t>
  </si>
  <si>
    <t>JOHNSON, GREGORY P</t>
  </si>
  <si>
    <t>STERR, THOMAS&amp;ROSEMARY TR</t>
  </si>
  <si>
    <t>JACOBS, BRIAN W</t>
  </si>
  <si>
    <t>REILLY III, JAMES &amp; ANNE</t>
  </si>
  <si>
    <t>HANSSEL, MATTHEW &amp; LAURA</t>
  </si>
  <si>
    <t>KUDELKA, MARK &amp; LINDA</t>
  </si>
  <si>
    <t>CAMPBELL, THOMAS &amp; SHEILA</t>
  </si>
  <si>
    <t>ANDRZEJEWSKI, DONNA M</t>
  </si>
  <si>
    <t>ANDERSEN, JEAN</t>
  </si>
  <si>
    <t>STANKUS, PETER B</t>
  </si>
  <si>
    <t>LEONARD, OLIVER &amp; T SCHEY</t>
  </si>
  <si>
    <t>FALCO, ELENA</t>
  </si>
  <si>
    <t>HAYES, MIKE &amp; KERI</t>
  </si>
  <si>
    <t>MACK, JEFFREY &amp; MARY</t>
  </si>
  <si>
    <t>RAINES, MITCHELL J &amp; NINA</t>
  </si>
  <si>
    <t>KELLER, T &amp; K MEYER</t>
  </si>
  <si>
    <t>DICKE, VERA D</t>
  </si>
  <si>
    <t>1ST UNITED METHODIST</t>
  </si>
  <si>
    <t>CHOMEY, DANIEL C</t>
  </si>
  <si>
    <t>MOAWAD, JAMES &amp; SHERRY</t>
  </si>
  <si>
    <t>CERAMI, K &amp; C LAIN</t>
  </si>
  <si>
    <t>LETO, ANTHONY J &amp; ANNA M</t>
  </si>
  <si>
    <t>CALLAHAN, KATHLEEN</t>
  </si>
  <si>
    <t>FECHNER, JAMES W &amp; JANET</t>
  </si>
  <si>
    <t>TIVOLI ENTERPRISES INC</t>
  </si>
  <si>
    <t>ROSS, LORRAINE M</t>
  </si>
  <si>
    <t>BMTR HOLDINGS LLC</t>
  </si>
  <si>
    <t>KERR, BARBARA &amp; BLAIR</t>
  </si>
  <si>
    <t>YERKOVICH, DEREK &amp; SARAH</t>
  </si>
  <si>
    <t>SNART, LISA &amp; STEPHEN</t>
  </si>
  <si>
    <t>MCINTYRE, JUDY</t>
  </si>
  <si>
    <t>LESSARIS, SAM</t>
  </si>
  <si>
    <t>O DONNELL, DANIEL &amp; H</t>
  </si>
  <si>
    <t>DIEP, HUY &amp; TRACY</t>
  </si>
  <si>
    <t>IH3 PROPERTY ILLINOIS LP</t>
  </si>
  <si>
    <t>CASSON, MICHAEL &amp; KELLY</t>
  </si>
  <si>
    <t>BICAN, CARL</t>
  </si>
  <si>
    <t>OROZCO, ARMANDO &amp; DANIEL</t>
  </si>
  <si>
    <t>SANDER, RYAN &amp; KELLY WINT</t>
  </si>
  <si>
    <t>OLSON, BRYAN &amp; LINDSAY HO</t>
  </si>
  <si>
    <t>ULOSWECH, S &amp; K BRAR</t>
  </si>
  <si>
    <t>SALELA, MICHAEL S</t>
  </si>
  <si>
    <t>MADONIA, A &amp; G KENNY</t>
  </si>
  <si>
    <t>STARON, TIMOTHY &amp; SUSAN</t>
  </si>
  <si>
    <t>PORTER, ASHLEY M</t>
  </si>
  <si>
    <t>MARTINEC, A  &amp; M LENINGER</t>
  </si>
  <si>
    <t>PEREZ, GUSTAVO</t>
  </si>
  <si>
    <t>SMITH, MARK &amp; SHAWNA</t>
  </si>
  <si>
    <t>FLEMING JR, PATRICK &amp; E</t>
  </si>
  <si>
    <t>KWITYN, DOUGLAS &amp; DENISE</t>
  </si>
  <si>
    <t>BRUNS, DANIEL &amp; MALLORY</t>
  </si>
  <si>
    <t>NARDELLA, JAMES &amp; REBECCA</t>
  </si>
  <si>
    <t>BERKMAN, KYLOR E</t>
  </si>
  <si>
    <t>MC DOWELL, BARBARA J</t>
  </si>
  <si>
    <t>READ, KEVIN M &amp; AMY A</t>
  </si>
  <si>
    <t>ERICKSEN KAREN</t>
  </si>
  <si>
    <t>DOMINOW, ERIC &amp; LORA</t>
  </si>
  <si>
    <t>RASCHKE, SANDRA M</t>
  </si>
  <si>
    <t>MARIN, LUCIAN &amp; CORNELIA</t>
  </si>
  <si>
    <t>CAMERON, JERALD D</t>
  </si>
  <si>
    <t>STOFFELS, WILLIAM R</t>
  </si>
  <si>
    <t>SHETH, NEERAL &amp; A HAZRA</t>
  </si>
  <si>
    <t>DI BIASE, ANGELA</t>
  </si>
  <si>
    <t>CHEN, SAMUEL &amp; JULIE</t>
  </si>
  <si>
    <t>WHITING, BARBARA A</t>
  </si>
  <si>
    <t>EHLERS, SARAH BACON</t>
  </si>
  <si>
    <t>BUBULA, RICHARD A</t>
  </si>
  <si>
    <t>SUAREZ, MARCELO &amp; A</t>
  </si>
  <si>
    <t>MODUGNO, MICHAEL &amp; N</t>
  </si>
  <si>
    <t>PITELKA, DANIEL &amp; JULIA</t>
  </si>
  <si>
    <t>EVANS, ROBERT &amp; CATHERINE</t>
  </si>
  <si>
    <t>HERNANDEZ, B &amp; M GUZMAN</t>
  </si>
  <si>
    <t>JAKELJA, JOHN &amp; DIANA</t>
  </si>
  <si>
    <t>TIERNEY, JOHN &amp; SUSAN F</t>
  </si>
  <si>
    <t>MARSHALL, JAMES L &amp; S L</t>
  </si>
  <si>
    <t>DISPENSA, PETER &amp; MARY A</t>
  </si>
  <si>
    <t>603-635 ROGERS LLC</t>
  </si>
  <si>
    <t>EMERALD RESIDENCES LLC</t>
  </si>
  <si>
    <t>BROWNSTONE HOMES LTD</t>
  </si>
  <si>
    <t>THE GROVE HOUSE LLC</t>
  </si>
  <si>
    <t>MD4 DOWNERS GROVE LLC</t>
  </si>
  <si>
    <t>LXG DOWNERS LLC</t>
  </si>
  <si>
    <t>703 HOLDINGS LLC</t>
  </si>
  <si>
    <t>HEALY, DIANE &amp; MARK</t>
  </si>
  <si>
    <t>PRICE, SCOTT R</t>
  </si>
  <si>
    <t>GORDON, ROBERT E</t>
  </si>
  <si>
    <t>WAYNE HUMMER TR CO</t>
  </si>
  <si>
    <t>GORDON, ROBERT</t>
  </si>
  <si>
    <t>PLATINUM BULDERS LLC</t>
  </si>
  <si>
    <t>HART PROPERTIES LLC</t>
  </si>
  <si>
    <t>DANAL DEVELOPERS LLC</t>
  </si>
  <si>
    <t>FIFTY TWO HUNDRED LLC</t>
  </si>
  <si>
    <t>ERICKSON, ANGELA &amp; C</t>
  </si>
  <si>
    <t>4919 FOREST AVE LLC</t>
  </si>
  <si>
    <t>BARRIERE PROPERTIES LLC</t>
  </si>
  <si>
    <t>OAK TREE SENIOR LP</t>
  </si>
  <si>
    <t>603-605 ROGERS LLC</t>
  </si>
  <si>
    <t>DSTP LLC</t>
  </si>
  <si>
    <t>BANKFINANCIAL, NA</t>
  </si>
  <si>
    <t>5100 MAIN STREET LLC</t>
  </si>
  <si>
    <t>DOHERTY, FRANK J</t>
  </si>
  <si>
    <t>DOWNERS GROVE MAIN LLC</t>
  </si>
  <si>
    <t>MEIER, MICHAEL</t>
  </si>
  <si>
    <t>KIRKENDALL, BRIAN &amp; ERIN</t>
  </si>
  <si>
    <t>HAMMOND, GARRET &amp; CORIN</t>
  </si>
  <si>
    <t>WIKLUND, JEFFERY</t>
  </si>
  <si>
    <t>4831 BELMONT LLC</t>
  </si>
  <si>
    <t>KHAN, ABDUL</t>
  </si>
  <si>
    <t>KLAUSA, JONATHAN &amp; HEATHE</t>
  </si>
  <si>
    <t>LE PINE, DANIEL F</t>
  </si>
  <si>
    <t>WIETLISPACH TR, TIMOTHY &amp;</t>
  </si>
  <si>
    <t>TULLGREN, ELIZABETH B</t>
  </si>
  <si>
    <t>BALLA, T &amp; C CANTILENA</t>
  </si>
  <si>
    <t>RONQUILLO, BOBBY &amp; MYRNA</t>
  </si>
  <si>
    <t>SALMAN, TIMOTHY &amp; STACEY</t>
  </si>
  <si>
    <t>KENNEDY, NICHOLAS &amp; SARAH</t>
  </si>
  <si>
    <t>LAUDIZIO, MICHAEL</t>
  </si>
  <si>
    <t>SUSTAINABUILD LLC - 5200</t>
  </si>
  <si>
    <t>PARA CUSTOM HOMES LLC</t>
  </si>
  <si>
    <t>EPADL LLC</t>
  </si>
  <si>
    <t>BERBERICH, ELAINE B</t>
  </si>
  <si>
    <t>URLAUB, LESLIE &amp; MARIE</t>
  </si>
  <si>
    <t>O'DELL, DEBRA &amp; JAMES TR</t>
  </si>
  <si>
    <t>BARBATO, JAMES &amp; DEBORAH</t>
  </si>
  <si>
    <t>VIJAY, LAKSHMI &amp; FNU KUMA</t>
  </si>
  <si>
    <t>SHILIGA, JEREMY &amp; C T</t>
  </si>
  <si>
    <t>PATE, MARK L</t>
  </si>
  <si>
    <t>LTC MDD89-034</t>
  </si>
  <si>
    <t>WOLTHUSEN, CHARLES J</t>
  </si>
  <si>
    <t>RODI, JAMES J &amp; JANET L</t>
  </si>
  <si>
    <t>BOREK, DANIEL &amp; KATE</t>
  </si>
  <si>
    <t>DE SITTER, JOHN F &amp; C R</t>
  </si>
  <si>
    <t>KUMIEGA, ANDREW &amp; THERESE</t>
  </si>
  <si>
    <t>GARDNER, JOSEPH &amp; SUSAN</t>
  </si>
  <si>
    <t>JAGIELO, CINDY S</t>
  </si>
  <si>
    <t>CARR, KENNETH C &amp; CHERYL</t>
  </si>
  <si>
    <t>RUSSELL, JEFFREY</t>
  </si>
  <si>
    <t>RENDAK, JONATHAN &amp; K</t>
  </si>
  <si>
    <t>CHRISTERSON, BONNIE S</t>
  </si>
  <si>
    <t>BARTEL, DAVID J</t>
  </si>
  <si>
    <t>MIDONA, MICHAEL</t>
  </si>
  <si>
    <t>KARGOL, JEFFREY &amp; ANN MAR</t>
  </si>
  <si>
    <t>KELLER, GLENN &amp; MICHELLE</t>
  </si>
  <si>
    <t>PROKOP, JOHN R</t>
  </si>
  <si>
    <t>THOMAS ,SAJI &amp; ET AL</t>
  </si>
  <si>
    <t>STAPLEY, STEVEN &amp; K</t>
  </si>
  <si>
    <t>LASS, CHRISTINA M</t>
  </si>
  <si>
    <t>MC CLOSKEY, MICHAEL &amp; S</t>
  </si>
  <si>
    <t>HERNANDEZ, WILLIAM</t>
  </si>
  <si>
    <t>AGATE, GIUSEPPE &amp; CRYSTAL</t>
  </si>
  <si>
    <t>CAMPION, PATRICK &amp; KIM</t>
  </si>
  <si>
    <t>WALBRUN, MARK C &amp; LAURIE</t>
  </si>
  <si>
    <t>FREIN, DANIEL &amp; ELIZABETH</t>
  </si>
  <si>
    <t>LARSON, DAWN</t>
  </si>
  <si>
    <t>FURLAN, NICOLE BASSO</t>
  </si>
  <si>
    <t>ULLRICH, BRIAN &amp; MARIPAT</t>
  </si>
  <si>
    <t>MC CARTHY, LAURENCE M &amp; E</t>
  </si>
  <si>
    <t>CHICAGO TITLE LAND TR1796</t>
  </si>
  <si>
    <t>ALEXANDER, JESSIE &amp; MARY</t>
  </si>
  <si>
    <t>CHRACA, JOHN &amp; JACLYN</t>
  </si>
  <si>
    <t>MCELROY, GRANT G</t>
  </si>
  <si>
    <t>OSSEY, HEATHER</t>
  </si>
  <si>
    <t>SCHWABEDISSEN, WESLEY &amp;A</t>
  </si>
  <si>
    <t>DAVIS, ROBERT &amp; MELINDA</t>
  </si>
  <si>
    <t>SUNSET CORPORATION LLC</t>
  </si>
  <si>
    <t>LA BUD, TIMOTHY &amp; ASHLYN</t>
  </si>
  <si>
    <t>CALLAHAN, MICHAEL &amp; K  TR</t>
  </si>
  <si>
    <t>ZOWNOREGA, JOHN &amp; JILL</t>
  </si>
  <si>
    <t>WHITE, WILLIAM &amp; KATHLEEN</t>
  </si>
  <si>
    <t>JORDA, JOSE L &amp; ROSALINDA</t>
  </si>
  <si>
    <t>HENNING, QUINN &amp; STACEY</t>
  </si>
  <si>
    <t>CLOUSTON, PETER &amp; DAWN</t>
  </si>
  <si>
    <t>KOLAR, RONALD &amp; BERNETTA</t>
  </si>
  <si>
    <t>SEBESTL, JEROME T</t>
  </si>
  <si>
    <t>DAVIS, PEGGY A</t>
  </si>
  <si>
    <t>SPACE, DAVID &amp; MAUREEN</t>
  </si>
  <si>
    <t>NOFFSINGER, ANDREW &amp; C</t>
  </si>
  <si>
    <t>LEUNG, JAMIE M</t>
  </si>
  <si>
    <t>WILLIAMS, C &amp; F SURIANO</t>
  </si>
  <si>
    <t>SOBKOWIAK, ANGIE</t>
  </si>
  <si>
    <t>URSO, JAMES</t>
  </si>
  <si>
    <t>MONTES, BRUCE A &amp; MARY L</t>
  </si>
  <si>
    <t>ZHAO, HUYUE</t>
  </si>
  <si>
    <t>SHAH, NIRANJAN &amp; SMITA</t>
  </si>
  <si>
    <t>STACHURA, CHRISTINE L</t>
  </si>
  <si>
    <t>TOM, CHESTER</t>
  </si>
  <si>
    <t>MEYER, ERIC M &amp; KELLY A</t>
  </si>
  <si>
    <t>KUNNASSERIL, TOMY A</t>
  </si>
  <si>
    <t>SOMORA, MICHAEL &amp; K</t>
  </si>
  <si>
    <t>WOROBEY, MICHAEL &amp; S</t>
  </si>
  <si>
    <t>HAMMER, KENNETH M</t>
  </si>
  <si>
    <t>RAY, CHRIS &amp; KRISTINE</t>
  </si>
  <si>
    <t>HERNANDEZ, JUNIOR A</t>
  </si>
  <si>
    <t>MONTEIRO, RUDOLPH &amp; A</t>
  </si>
  <si>
    <t>FONNEMANN, BRANDON &amp; K A</t>
  </si>
  <si>
    <t>OSIKA, SHARON S</t>
  </si>
  <si>
    <t>CRAWFORD, JAMES &amp; MARY</t>
  </si>
  <si>
    <t>TOTH, MARY</t>
  </si>
  <si>
    <t>CERVAK, TERENCE &amp; M</t>
  </si>
  <si>
    <t>SCHNEIDER, RONALD &amp; V</t>
  </si>
  <si>
    <t>SHOOP, DAVID M &amp; ANDREA</t>
  </si>
  <si>
    <t>CARBONI, A &amp; Z JOINER</t>
  </si>
  <si>
    <t>IVAN, JOHN J &amp; CONSTANCE</t>
  </si>
  <si>
    <t>CARVELL, M &amp; N FERRETTI</t>
  </si>
  <si>
    <t>POTTS, DAVID &amp; RITA JABOU</t>
  </si>
  <si>
    <t>DUZEK, MARIO &amp; MARIANA</t>
  </si>
  <si>
    <t>WALDACK, WILLIAM &amp; JUDITH</t>
  </si>
  <si>
    <t>RAMIREZ, ALMA</t>
  </si>
  <si>
    <t>IBE, GERRY &amp; JULIET</t>
  </si>
  <si>
    <t>TODD, RICHARD M &amp; SUSAN C</t>
  </si>
  <si>
    <t>MC GOVERN, TERENCE W</t>
  </si>
  <si>
    <t>ANGILERI, FRANK &amp; KAREN</t>
  </si>
  <si>
    <t>DEOBHAKTA, ARVIND &amp; ANILA</t>
  </si>
  <si>
    <t>JOHNSON, RICHARD &amp; ANGELA</t>
  </si>
  <si>
    <t>GUPTA, AMIT &amp; PAYAL</t>
  </si>
  <si>
    <t>MC DONNELL, MICHAEL &amp; K</t>
  </si>
  <si>
    <t>PATEL, VIJAY &amp; KAPILABEN</t>
  </si>
  <si>
    <t>PETERSON JR, JOHN &amp; S</t>
  </si>
  <si>
    <t>DZIEKAN, JANET M &amp; SUSAN</t>
  </si>
  <si>
    <t>BURKS, KURT &amp; ELIZABETH</t>
  </si>
  <si>
    <t>FRANCIS JR, NEIL C</t>
  </si>
  <si>
    <t>RADEK, CHESTER &amp; THERESA</t>
  </si>
  <si>
    <t>GRANT, KENDALL &amp; C P</t>
  </si>
  <si>
    <t>CLEMENS, MARCEY L</t>
  </si>
  <si>
    <t>D'URSO, JOSEPH A &amp; JILL</t>
  </si>
  <si>
    <t>HAYES, PATRICK &amp; MOLLY</t>
  </si>
  <si>
    <t>PATEL, NITESH &amp; ALEXIS LO</t>
  </si>
  <si>
    <t>HOPKINS, CHRISTINE M</t>
  </si>
  <si>
    <t>NEALIS, ROBERT &amp; LINDA</t>
  </si>
  <si>
    <t>OERTEL, STEVEN</t>
  </si>
  <si>
    <t>SPIROVSKI, FRANK &amp; LYDIA</t>
  </si>
  <si>
    <t>LISTON, DUANE L &amp; SUSAN E</t>
  </si>
  <si>
    <t>PRATT, NATHAN &amp; ALEXIS</t>
  </si>
  <si>
    <t>JOSEFIK, MICHAEL</t>
  </si>
  <si>
    <t>WALKER, DONALD &amp; KATHARIN</t>
  </si>
  <si>
    <t>RIZK, GIRGIS E &amp; MONIRA W</t>
  </si>
  <si>
    <t>COLACI, D &amp; S SCHERQUIST</t>
  </si>
  <si>
    <t>MASTERSON, THOMAS B</t>
  </si>
  <si>
    <t>KOENIG, ROBERT D &amp; SARA</t>
  </si>
  <si>
    <t>LASKEY, NICHOLAS R</t>
  </si>
  <si>
    <t>MACATANGAY, JOSE &amp; LUZ</t>
  </si>
  <si>
    <t>SAEZ, FERNANDO &amp; TEODORIN</t>
  </si>
  <si>
    <t>MAY, DANIEL &amp; LAURIE</t>
  </si>
  <si>
    <t>KAMATH, SHRINIVAS &amp; SHARA</t>
  </si>
  <si>
    <t>TATL INVESTMENTS LLC</t>
  </si>
  <si>
    <t>SHEEHAN, JOHN &amp; MARY K</t>
  </si>
  <si>
    <t>TSOULOS, JAMES J &amp; MARY E</t>
  </si>
  <si>
    <t>LEONG, WILSON C</t>
  </si>
  <si>
    <t>GULATI, PARKASH K</t>
  </si>
  <si>
    <t>BUSH, TIMOTHY &amp; NOELLE</t>
  </si>
  <si>
    <t>LEINWEBER, EDWARD &amp; M T</t>
  </si>
  <si>
    <t>JOHNSON, NANCY C</t>
  </si>
  <si>
    <t>RUDER, MICHAEL &amp; EILEEN</t>
  </si>
  <si>
    <t>DECHANT, PAUL &amp; MARGARET</t>
  </si>
  <si>
    <t>MAHONEY, SARAH L</t>
  </si>
  <si>
    <t>PILEGGI, ROSE</t>
  </si>
  <si>
    <t>MARGALUS, DAVID C &amp; DORIS</t>
  </si>
  <si>
    <t>SWANSON, JAMES &amp; MEREDITH</t>
  </si>
  <si>
    <t>ROGERS, RYAN &amp; LESLEY</t>
  </si>
  <si>
    <t>DAVOREN, MICHAEL &amp;COLLEEN</t>
  </si>
  <si>
    <t>VENZON, JOSEPH A</t>
  </si>
  <si>
    <t>LUEDTKE, JAMES &amp; LINDA</t>
  </si>
  <si>
    <t>O CONNOR, B &amp; C LODL</t>
  </si>
  <si>
    <t>MEO, MARIA</t>
  </si>
  <si>
    <t>ELKHATIB, MOUIN &amp; GHADA E</t>
  </si>
  <si>
    <t>YI, MYUNG O</t>
  </si>
  <si>
    <t>SLOBIDSKY, NICHOLAS A</t>
  </si>
  <si>
    <t>SANCHEZ, MANUEL &amp; ANGELES</t>
  </si>
  <si>
    <t>KOZAR, ADAM &amp; TAMMY</t>
  </si>
  <si>
    <t>PAKDEE, THOMAS &amp;PANIDA</t>
  </si>
  <si>
    <t>GAGE, JEFF &amp; JEANETTE</t>
  </si>
  <si>
    <t>CANO, JESSE &amp; ANGELICA</t>
  </si>
  <si>
    <t>FITZGERALD, MICHAEL &amp; S</t>
  </si>
  <si>
    <t>BUDZ, THOMAS F</t>
  </si>
  <si>
    <t>YORK, JEFFREY P &amp; JANE M</t>
  </si>
  <si>
    <t>DENNISON, DAVID</t>
  </si>
  <si>
    <t>LINDSTROM, CHRISTINER</t>
  </si>
  <si>
    <t>PATZER, STEVEN C</t>
  </si>
  <si>
    <t>SAROFIN, HEIDI</t>
  </si>
  <si>
    <t>HOLANDAY, ALMA RITA</t>
  </si>
  <si>
    <t>EWALT, DONNA A</t>
  </si>
  <si>
    <t>KOKENES, ANTHONY &amp;CYNTHIA</t>
  </si>
  <si>
    <t>QUINN, ROBERT &amp; EILEEN</t>
  </si>
  <si>
    <t>BEARD, DAVID &amp; ELISE</t>
  </si>
  <si>
    <t>AIKMAN, KEVIN E &amp; TAMI M</t>
  </si>
  <si>
    <t>HENNESSY, KATHLEEN T</t>
  </si>
  <si>
    <t>PATEL, SHAILA</t>
  </si>
  <si>
    <t>DE LEON, WINNIE &amp; E</t>
  </si>
  <si>
    <t>AUERNHAMER, LISA &amp; S</t>
  </si>
  <si>
    <t>BOWE, JOHN &amp; SUSAN</t>
  </si>
  <si>
    <t>PIOTROWSKI, JOHN E</t>
  </si>
  <si>
    <t>LAZZARA, DARLENE J</t>
  </si>
  <si>
    <t>WIELGOSZ, ROBERT &amp; TINA</t>
  </si>
  <si>
    <t>KWOK, WAI-KWONG</t>
  </si>
  <si>
    <t>KOVACIK, CAROL</t>
  </si>
  <si>
    <t>KESTNER, J MATTHEW &amp; C</t>
  </si>
  <si>
    <t>WEHRMEISTER, GARY</t>
  </si>
  <si>
    <t>FREWEN, RAYMOND A &amp; DEENA</t>
  </si>
  <si>
    <t>AGUSTIN, ANDREW &amp; FE PAZ</t>
  </si>
  <si>
    <t>SULLIVAN, DANIEL &amp; CINDY</t>
  </si>
  <si>
    <t>FOGGIA, CYNTHIA B</t>
  </si>
  <si>
    <t>WIDLOCK, CURTIS &amp; SARAH</t>
  </si>
  <si>
    <t>CHICAGO LAND TRUST CO</t>
  </si>
  <si>
    <t>SMITH, JEFFREY&amp; JOAN</t>
  </si>
  <si>
    <t>RADECKI, JOANNE E</t>
  </si>
  <si>
    <t>CELIC, DANILO &amp; MELISSA</t>
  </si>
  <si>
    <t>MONTES, M &amp; B LEONHART</t>
  </si>
  <si>
    <t>BIELINSKI, ADAM &amp; DEVLYN</t>
  </si>
  <si>
    <t>4932 CUMNOR LLC</t>
  </si>
  <si>
    <t>WANDAS, WLODZIMIERZ &amp; M</t>
  </si>
  <si>
    <t>NORRIS, JAMES &amp; RENEE</t>
  </si>
  <si>
    <t>KOSOSKI, JOHN A &amp; E B</t>
  </si>
  <si>
    <t>POSHEPNY, PETER &amp; PATRICE</t>
  </si>
  <si>
    <t>PEPICH TR, BRIAN</t>
  </si>
  <si>
    <t>EGGERSDORFER, STEVEN &amp; K</t>
  </si>
  <si>
    <t>KUCIK JR, EDWIN F &amp; RITA</t>
  </si>
  <si>
    <t>MARTIN, DONALD K</t>
  </si>
  <si>
    <t>PADRON, ANDREW &amp; ANDREA</t>
  </si>
  <si>
    <t>LEGG, CHARLES &amp; VALERIE</t>
  </si>
  <si>
    <t>BAILEY, JOHN J &amp; JUDY C</t>
  </si>
  <si>
    <t>TRUESDALE, RICHARD &amp; C J</t>
  </si>
  <si>
    <t>KANELLOPOULOS, D &amp; A</t>
  </si>
  <si>
    <t>HOLEC, RICHARD &amp; SANDRA</t>
  </si>
  <si>
    <t>JENISCH, ROBERT A</t>
  </si>
  <si>
    <t>BELOKAS, ANTHONY &amp; E</t>
  </si>
  <si>
    <t>PAIGE JR, TATE &amp; JODY</t>
  </si>
  <si>
    <t>MANGAN, RAYMOND &amp; KAREN</t>
  </si>
  <si>
    <t>GRIFFIN, TRACY</t>
  </si>
  <si>
    <t>MILLER, REGINALD D &amp; P</t>
  </si>
  <si>
    <t>TUREK, MARTIN &amp; NICOLE</t>
  </si>
  <si>
    <t>SWARD, CARTER &amp; N FAGAN</t>
  </si>
  <si>
    <t>O KELLY, ROBERT &amp; MARY</t>
  </si>
  <si>
    <t>NEMEC, JEREMY &amp; LINNEA</t>
  </si>
  <si>
    <t>GARRON, FERNANDO &amp; CAREY</t>
  </si>
  <si>
    <t>STASI, RITA A</t>
  </si>
  <si>
    <t>MC CREADY, STEVEN T &amp; M T</t>
  </si>
  <si>
    <t>CZYSZCZON, FRANCISZEK</t>
  </si>
  <si>
    <t>PAPIEZ, JOLANTA</t>
  </si>
  <si>
    <t>SCHROEDER, WILLIAM L</t>
  </si>
  <si>
    <t>LUETGER, ALICE A</t>
  </si>
  <si>
    <t>CASEY, PATRICK &amp; KELLI</t>
  </si>
  <si>
    <t>GLENNON, WILLIAM A &amp; AMY</t>
  </si>
  <si>
    <t>BORZELLO, DAN &amp; C FONG</t>
  </si>
  <si>
    <t>MADDEN, KIERAN</t>
  </si>
  <si>
    <t>DEPLARIS, GEORGE</t>
  </si>
  <si>
    <t>ZANOTTI, SUSAN H</t>
  </si>
  <si>
    <t>KRAWCZYK, RYSZARD</t>
  </si>
  <si>
    <t>ORTIZ, MARIANA &amp; DANIEL Z</t>
  </si>
  <si>
    <t>KLINOWSKI, JANE L</t>
  </si>
  <si>
    <t>PADILLA, ROMAN &amp; AMANDA</t>
  </si>
  <si>
    <t>HALL, JOHN &amp; SKYLA M</t>
  </si>
  <si>
    <t>LYNCH, BRENDAN</t>
  </si>
  <si>
    <t>KLIMCZAK, MICHAEL &amp; K</t>
  </si>
  <si>
    <t>SILVER, JOEL</t>
  </si>
  <si>
    <t>LASTOVKA, BETTY J</t>
  </si>
  <si>
    <t>PASCUCCI ARLIS, TERESA</t>
  </si>
  <si>
    <t>VELJKOVICH, MATTHEW &amp; JOS</t>
  </si>
  <si>
    <t>RIVERA FAMILY TRUST</t>
  </si>
  <si>
    <t>FUNG, TERRY L &amp; JOCELYN M</t>
  </si>
  <si>
    <t>EISENHART, THOMAS &amp; D</t>
  </si>
  <si>
    <t>WICKEY, THOMAS &amp; SUSAN</t>
  </si>
  <si>
    <t>MARRS, WILLIAM F</t>
  </si>
  <si>
    <t>SCHULTZ, ERIC E &amp; K R</t>
  </si>
  <si>
    <t>MARKAUSKAITE, VIRGINIJA</t>
  </si>
  <si>
    <t>PEREZ, M &amp; N ESPINA</t>
  </si>
  <si>
    <t>VAYALIL, THOMAS</t>
  </si>
  <si>
    <t>MALEY, GREGORY J</t>
  </si>
  <si>
    <t>DEUTSCHMANN, M &amp; C CARYNS</t>
  </si>
  <si>
    <t>MURDAUGH, MARYANNE</t>
  </si>
  <si>
    <t>HEINE, GLORIANE</t>
  </si>
  <si>
    <t>STANGER, DANIEL E</t>
  </si>
  <si>
    <t>RYLE, JENNIFER</t>
  </si>
  <si>
    <t>MASEK, LARRY P &amp; AMY F</t>
  </si>
  <si>
    <t>CHU, MAY</t>
  </si>
  <si>
    <t>NECHVATAL, ZACH &amp; NICOLE</t>
  </si>
  <si>
    <t>CULCASI, PHILIP &amp; TRACY</t>
  </si>
  <si>
    <t>ENZBIGILIS, ALAN &amp; LINDA</t>
  </si>
  <si>
    <t>MOLINARI, MARK &amp; JAYME</t>
  </si>
  <si>
    <t>BLAIR, TYLER &amp; ARIELLE</t>
  </si>
  <si>
    <t>SHARP, JOHN E &amp; MARYBETH</t>
  </si>
  <si>
    <t>MOSSEY, PAUL M &amp; ROBERTA</t>
  </si>
  <si>
    <t>HOVANEC, JOSEPH</t>
  </si>
  <si>
    <t>SLEIMAN, SEMAAN &amp;JOUHAINA</t>
  </si>
  <si>
    <t>RAUSH, PHILLIP &amp; C</t>
  </si>
  <si>
    <t>MUELLER, PAUL G</t>
  </si>
  <si>
    <t>GANTZ, MICHAEL &amp; LAURA</t>
  </si>
  <si>
    <t>MATTHEW, JIBIN T</t>
  </si>
  <si>
    <t>FENNELL, DAVID</t>
  </si>
  <si>
    <t>MEDINA, MARY E</t>
  </si>
  <si>
    <t>GUARDI, ROBERT &amp; J</t>
  </si>
  <si>
    <t>VALENZIO, JANET M</t>
  </si>
  <si>
    <t>STABEN, MICHAEL &amp; BRENDA</t>
  </si>
  <si>
    <t>HONEY, SCOTT W</t>
  </si>
  <si>
    <t>COCHRANE, DOUGLAS &amp; JILL</t>
  </si>
  <si>
    <t>BROCKMANN,DAVID &amp; VALERIE</t>
  </si>
  <si>
    <t>VICEK, KEN &amp; D BECKMAN</t>
  </si>
  <si>
    <t>DENBY, LAUREN &amp; JOHN KENN</t>
  </si>
  <si>
    <t>KHAN, SAMINA</t>
  </si>
  <si>
    <t>KRAEMER, DIANE</t>
  </si>
  <si>
    <t>HAYWOOD, LAVONE &amp; LINDA</t>
  </si>
  <si>
    <t>DELAY, JORDAN &amp; AMANDA</t>
  </si>
  <si>
    <t>SLOYAN, ROBERT &amp; DOREEN</t>
  </si>
  <si>
    <t>SCATENA, DONALD &amp;KATHLEEN</t>
  </si>
  <si>
    <t>JARZABKOWSKI, KEVIN</t>
  </si>
  <si>
    <t>ROSTIS, MARILYN J</t>
  </si>
  <si>
    <t>OLSON TRUST, CAROLE L</t>
  </si>
  <si>
    <t>ROSE, STEVEN R</t>
  </si>
  <si>
    <t>ASTEMBORSKI, B &amp; K DURKIN</t>
  </si>
  <si>
    <t>WOODLOCK, J &amp;E DIONESOTES</t>
  </si>
  <si>
    <t>SHIHONG WANG LLC 1715</t>
  </si>
  <si>
    <t>HERNANDEZ, HERNALDO M</t>
  </si>
  <si>
    <t>LICHAJ, STANLEY &amp; ANN</t>
  </si>
  <si>
    <t>MARTINO, GINA MARIE</t>
  </si>
  <si>
    <t>KUHN, CAROL &amp; CHRISTOPHER</t>
  </si>
  <si>
    <t>KOVACK, KENNETH &amp; DIAN</t>
  </si>
  <si>
    <t>PHILLIPS, GOLNAR B</t>
  </si>
  <si>
    <t>SHARPLES, MARY &amp; JOHN JR</t>
  </si>
  <si>
    <t>BRITT, MARTIN R &amp; AURLIA</t>
  </si>
  <si>
    <t>NIKA, KARL &amp; GERTRUDE</t>
  </si>
  <si>
    <t>KOHLER, DANIEL &amp; LAURA</t>
  </si>
  <si>
    <t>MORRISON, DENNIS L &amp; C TR</t>
  </si>
  <si>
    <t>VAUGHAN JR, HENRY &amp; B H</t>
  </si>
  <si>
    <t>ERDENBERGER, CRAIG &amp; BRIT</t>
  </si>
  <si>
    <t>MC GRATH, STEPHEN &amp;AMANDA</t>
  </si>
  <si>
    <t>OROURKE, NEIL</t>
  </si>
  <si>
    <t>MANROT, MICHAEL</t>
  </si>
  <si>
    <t>MARTIN, JIL L</t>
  </si>
  <si>
    <t>VOGRIN, STEPHEN G</t>
  </si>
  <si>
    <t>MARSHALL, DEATRA E</t>
  </si>
  <si>
    <t>KHALID, MUHAMMAD</t>
  </si>
  <si>
    <t>MC CALEB, JACQUELINE</t>
  </si>
  <si>
    <t>MURPHY, M &amp; K DALO</t>
  </si>
  <si>
    <t>HOLUBETZ, LAWRENCE &amp; K J</t>
  </si>
  <si>
    <t>POLIKAITIS, DARIUS &amp; L</t>
  </si>
  <si>
    <t>PABST, BRIAN &amp; SABINE</t>
  </si>
  <si>
    <t>BLACKBURN, SEAN &amp; CATHERI</t>
  </si>
  <si>
    <t>GLAZER, SUSANNE F &amp; JOHN</t>
  </si>
  <si>
    <t>DOWELL, J &amp; M DOMKE</t>
  </si>
  <si>
    <t>SISUL, J &amp; J VAN WINKLE</t>
  </si>
  <si>
    <t>BEHLAND, JEFFREY &amp; AMY</t>
  </si>
  <si>
    <t>COOLEY, RONALD L &amp; M A</t>
  </si>
  <si>
    <t>MODIA, GIRISH</t>
  </si>
  <si>
    <t>RAFTERY, KEVIN &amp; NICOLE</t>
  </si>
  <si>
    <t>D ALESSANDRO, JOHN &amp; C</t>
  </si>
  <si>
    <t>RAPPEL, KEVIN</t>
  </si>
  <si>
    <t>BAKULA, JAY R &amp; M HAYES</t>
  </si>
  <si>
    <t>MC GLEAM, JOHN P</t>
  </si>
  <si>
    <t>ZABINSKI, GARY J</t>
  </si>
  <si>
    <t>ACHILLES, CHARLES A</t>
  </si>
  <si>
    <t>HEALY, BRENT &amp; BARBARA</t>
  </si>
  <si>
    <t>COLEMAN, JOHN B &amp; JILL A</t>
  </si>
  <si>
    <t>SZUCK, MARTIN &amp; GENEVIEVE</t>
  </si>
  <si>
    <t>MEJIA, JOSE &amp; MARIA CONTR</t>
  </si>
  <si>
    <t>LASTOVKA, RICK &amp; BETTY</t>
  </si>
  <si>
    <t>SHIMANEK, WM &amp; K NUZDA</t>
  </si>
  <si>
    <t>THAI, TUAN &amp; T VAN NGUYEN</t>
  </si>
  <si>
    <t>PETERS, STAN &amp; CAROL</t>
  </si>
  <si>
    <t>COLLINS, CHRISTINE G</t>
  </si>
  <si>
    <t>MUNDT, WILLIAM &amp; PAMELA</t>
  </si>
  <si>
    <t>MULLA, PAJTIM</t>
  </si>
  <si>
    <t>HANSEN, JASON</t>
  </si>
  <si>
    <t>SCORPIO, JOSEPH &amp; ABIGAIL</t>
  </si>
  <si>
    <t>LTC B7800720532</t>
  </si>
  <si>
    <t>ROSE, VOLKER &amp; PETRA</t>
  </si>
  <si>
    <t>BIERNAT, MARTIN J</t>
  </si>
  <si>
    <t>WILTZ, LISA M</t>
  </si>
  <si>
    <t>LAHEY, JAMES F</t>
  </si>
  <si>
    <t>LTC B8500456400</t>
  </si>
  <si>
    <t>HARKINS, DONALD &amp; LORELAI</t>
  </si>
  <si>
    <t>TOMECKI, GEORGE &amp; REBECCA</t>
  </si>
  <si>
    <t>NORWICK, M LOURDES</t>
  </si>
  <si>
    <t>CZARNECKI, S &amp; D MCKENNA</t>
  </si>
  <si>
    <t>KEEFE, WILLIAM &amp; CHERYL</t>
  </si>
  <si>
    <t>LOPEZ, PEDRO A &amp; MARIA G</t>
  </si>
  <si>
    <t>VITKAR, JAYASHREE</t>
  </si>
  <si>
    <t>MCMAHON, BRYAN</t>
  </si>
  <si>
    <t>FRONCZKE, WILLIAM &amp; LOIS</t>
  </si>
  <si>
    <t>SKRINE, JAMES</t>
  </si>
  <si>
    <t>BELDA, EDWARD &amp; NANCY</t>
  </si>
  <si>
    <t>COULES, PETER &amp; NANCY</t>
  </si>
  <si>
    <t>DIEFENBACH, JOHN J</t>
  </si>
  <si>
    <t>SJOBLOM, MARTIN P</t>
  </si>
  <si>
    <t>CHIONG, BENITO &amp; ROSARIO</t>
  </si>
  <si>
    <t>KRUPA, STEPHEN &amp; EDITH</t>
  </si>
  <si>
    <t>ANGELE, NICHOLAS J</t>
  </si>
  <si>
    <t>NAIRS LLC</t>
  </si>
  <si>
    <t>MENZIONE, RALPH &amp;KATHLEEN</t>
  </si>
  <si>
    <t>MEEK, JOHNATHAN &amp; A YU</t>
  </si>
  <si>
    <t>KUBISZTAL, PHILLIP</t>
  </si>
  <si>
    <t>ARMSTRONG, DONALD &amp; S</t>
  </si>
  <si>
    <t>HOLUBETZ, JASON &amp; MORGAN</t>
  </si>
  <si>
    <t>MC CAULEY, SCOTT &amp; MARIA</t>
  </si>
  <si>
    <t>SAMLAND, THOMAS &amp; DAWN E</t>
  </si>
  <si>
    <t>BOSNAK, RAYMOND J</t>
  </si>
  <si>
    <t>ANDERSON, MARY</t>
  </si>
  <si>
    <t>VONDRA, RUSSELL &amp;PATRICIA</t>
  </si>
  <si>
    <t>ROACHE, VALARIE &amp; C</t>
  </si>
  <si>
    <t>MERSCH, ELIZABETH A</t>
  </si>
  <si>
    <t>HANEK, DAVID &amp; KAREN</t>
  </si>
  <si>
    <t>MADUZIA, CHARLES &amp; LISA</t>
  </si>
  <si>
    <t>STONER, A &amp; A GERACI</t>
  </si>
  <si>
    <t>JUNGWIRTH, ALISHA D</t>
  </si>
  <si>
    <t>DELANGE, R &amp; K DOBIAS</t>
  </si>
  <si>
    <t>MIKULSKY, ALEXEY &amp; MARYNA</t>
  </si>
  <si>
    <t>MOLINA, VINCENT &amp; SHARON</t>
  </si>
  <si>
    <t>SCHREMENTI, T &amp; T MILLER</t>
  </si>
  <si>
    <t>SEXTON, SCOTT &amp; BETH</t>
  </si>
  <si>
    <t>COOTS, KYLE &amp; LAUREN</t>
  </si>
  <si>
    <t>BASCO, J &amp; K HINKLE</t>
  </si>
  <si>
    <t>ABRAHAM, KOSHY &amp; B</t>
  </si>
  <si>
    <t>ROMERO, MARINA</t>
  </si>
  <si>
    <t>SPRAU, BRANDON &amp; A</t>
  </si>
  <si>
    <t>MUSIL, MICHAEL &amp;JACQUELYN</t>
  </si>
  <si>
    <t>WAPNER, JEFFREY &amp; RACHEL</t>
  </si>
  <si>
    <t>CACINI, GEORGE &amp; NOREEN</t>
  </si>
  <si>
    <t>GOUNTANIS, MICHAEL &amp; TINA</t>
  </si>
  <si>
    <t>STANKUS, SAULIUS &amp; V</t>
  </si>
  <si>
    <t>NEJDL TTEE, ROBERT A</t>
  </si>
  <si>
    <t>HOFFMEYER, MARK A &amp; MARLA</t>
  </si>
  <si>
    <t>BELTRAN, CRUZ &amp; ANGELICA</t>
  </si>
  <si>
    <t>IZGANAITIS, VYTAUTAS</t>
  </si>
  <si>
    <t>LOS, JEFFREY J</t>
  </si>
  <si>
    <t>GEISHECKER, THOMAS F &amp; C</t>
  </si>
  <si>
    <t>MATYSIK, THOMAS &amp; BRENNA</t>
  </si>
  <si>
    <t>PADILLA, MIRANDA &amp; NISHAN</t>
  </si>
  <si>
    <t>PIEHL, KATHERINE</t>
  </si>
  <si>
    <t>YBANEZ JR, CARLOS</t>
  </si>
  <si>
    <t>BERTONE, ALYSSA &amp; BRIAN</t>
  </si>
  <si>
    <t>ROSS, LORRAINE</t>
  </si>
  <si>
    <t>REFUERZO, F &amp; N ORTANEZ</t>
  </si>
  <si>
    <t>LI, DONG MING</t>
  </si>
  <si>
    <t>BALLWEBER, LAUREY A</t>
  </si>
  <si>
    <t>REEVE, KENNETH &amp; KARYN</t>
  </si>
  <si>
    <t>MAC KAR, ATEF  L</t>
  </si>
  <si>
    <t>CHAKONAS, CHRIS &amp; AGAPE L</t>
  </si>
  <si>
    <t>HUGET, CHRISTOPHER &amp; C</t>
  </si>
  <si>
    <t>BUTTS, MATTHEW &amp; JESSICA</t>
  </si>
  <si>
    <t>FORST, JOSHUA &amp; NICOLE</t>
  </si>
  <si>
    <t>JOSEPH TRUST</t>
  </si>
  <si>
    <t>CASEY, ELLEN T</t>
  </si>
  <si>
    <t>LAZZARETTO, LISA &amp; BRENNA</t>
  </si>
  <si>
    <t>WANG, CAROL &amp; HSIEN HAU</t>
  </si>
  <si>
    <t>LEONARDI, CARMEN N</t>
  </si>
  <si>
    <t>AGCAMARAN, EDUARDO &amp; T</t>
  </si>
  <si>
    <t>EPPLER, MARION C</t>
  </si>
  <si>
    <t>MCNULTY, MICHAEL &amp;DANETTE</t>
  </si>
  <si>
    <t>KREUTZ, TIMOTHY &amp; ALYSSA</t>
  </si>
  <si>
    <t>MUNOZ, HECTOR &amp; DORIS</t>
  </si>
  <si>
    <t>RAMOS, NICOLETTE</t>
  </si>
  <si>
    <t>WU, LIANGFU &amp; JING HE</t>
  </si>
  <si>
    <t>JURALBAL, JORDAN &amp; ETHEL</t>
  </si>
  <si>
    <t>PACHECO, DAVID A</t>
  </si>
  <si>
    <t>CONWAY, ZACHARY A</t>
  </si>
  <si>
    <t>KEDZIOR, MARION &amp; MARIA</t>
  </si>
  <si>
    <t>MULLICK, VIRENDRA &amp; KAMLA</t>
  </si>
  <si>
    <t>CHHABRA, VINOD &amp; SANGEETA</t>
  </si>
  <si>
    <t>HUERTA, BENJAMIN</t>
  </si>
  <si>
    <t>DONZE, ROBERT L</t>
  </si>
  <si>
    <t>KELLNER, MICHAEL &amp;REBECCA</t>
  </si>
  <si>
    <t>PIEGARI, KARYN L</t>
  </si>
  <si>
    <t>RIZMANI, ISMAIL &amp; A</t>
  </si>
  <si>
    <t>ANDRESHAK, MICHAEL &amp; ANN</t>
  </si>
  <si>
    <t>BLY, SHERYL &amp; ERIC</t>
  </si>
  <si>
    <t>CHEN, YONG L &amp; HONG M</t>
  </si>
  <si>
    <t>MOLITOR, GORDON &amp; KAYLIE</t>
  </si>
  <si>
    <t>HERNANDEZ, A &amp; J JOHNSON</t>
  </si>
  <si>
    <t>CASEY, THOMAS &amp; CATHERINE</t>
  </si>
  <si>
    <t>QUIROGA, CHRISTIAN &amp; M</t>
  </si>
  <si>
    <t>ERGUIZA, ARTURO B TR</t>
  </si>
  <si>
    <t>MIRAN, R O &amp; J M QUIAOIT</t>
  </si>
  <si>
    <t>POWELL, THOMAS &amp; JUDY</t>
  </si>
  <si>
    <t>CHIAPPE, LAURENCE &amp; RONDA</t>
  </si>
  <si>
    <t>MACKEY, ANTHONY M</t>
  </si>
  <si>
    <t>STRLE, EDWARD &amp; THERESE</t>
  </si>
  <si>
    <t>KUO, RUEHUEY &amp; JAMES</t>
  </si>
  <si>
    <t>ALEXANDER, THOMAS</t>
  </si>
  <si>
    <t>DEAN, CHRISTOPHER &amp; ET AL</t>
  </si>
  <si>
    <t>COLEY, DANIEL</t>
  </si>
  <si>
    <t>HUANG, D &amp; L HOU</t>
  </si>
  <si>
    <t>ALVAREZ, VICTOR &amp; L</t>
  </si>
  <si>
    <t>FRONTERA, KAREN L</t>
  </si>
  <si>
    <t>STERLING, ANGELA J</t>
  </si>
  <si>
    <t>HALLIN, DAVID &amp; C</t>
  </si>
  <si>
    <t>BORMAN, MARK &amp; KELLY</t>
  </si>
  <si>
    <t>DUL, TIMOTHY &amp; PATRICIA</t>
  </si>
  <si>
    <t>GNIEDZIEJKO, R M &amp; B S</t>
  </si>
  <si>
    <t>GRASSER, SARAH</t>
  </si>
  <si>
    <t>RUIZ, SAUL N</t>
  </si>
  <si>
    <t>WUCHTER, D &amp; N MILLER</t>
  </si>
  <si>
    <t>AMBROSE, DANIEL</t>
  </si>
  <si>
    <t>MCBRIDE, C &amp; H THOMPSON</t>
  </si>
  <si>
    <t>PRIPUSICH, JOHN P</t>
  </si>
  <si>
    <t>FRIES, MAGGIE &amp; REBECCA</t>
  </si>
  <si>
    <t>GRONEK, M &amp; K CORVINO</t>
  </si>
  <si>
    <t>MC BATH, THOMAS</t>
  </si>
  <si>
    <t>MUSSELMAN, KEVIN</t>
  </si>
  <si>
    <t>DREAM LOTS LLC</t>
  </si>
  <si>
    <t>4940-4944 HIGHLAND LLC</t>
  </si>
  <si>
    <t>COLLINS, JAMES &amp; JILLIAN</t>
  </si>
  <si>
    <t>BARBATO, BRIAN</t>
  </si>
  <si>
    <t>PLOUSSARD, QUENTIN &amp; LAUR</t>
  </si>
  <si>
    <t>MCELLIGOTT IV, DAVID</t>
  </si>
  <si>
    <t>THATCHER, KENNETH BLAKE</t>
  </si>
  <si>
    <t>CONWAY, THOMAS P</t>
  </si>
  <si>
    <t>SLIS PROPERTIES LLC</t>
  </si>
  <si>
    <t>BASILE, JASON J &amp; VALERIE</t>
  </si>
  <si>
    <t>WATKINS, M &amp; M FEDUN</t>
  </si>
  <si>
    <t>KOVACEVIC, GINA</t>
  </si>
  <si>
    <t>JEANNETTE, GUNNAR &amp;AMANDA</t>
  </si>
  <si>
    <t>WEAVER, GREGORY &amp; KOURTNI</t>
  </si>
  <si>
    <t>RASHEEDA LLC</t>
  </si>
  <si>
    <t>REVIVE PROPERTIES LLC</t>
  </si>
  <si>
    <t>KAPOVICH JR, JOHN &amp; A</t>
  </si>
  <si>
    <t>HEPPNER, CHRISTOPHER &amp; D</t>
  </si>
  <si>
    <t>MORGAN, JASON</t>
  </si>
  <si>
    <t>SAFEWAY REATLY LLC</t>
  </si>
  <si>
    <t>SAFEWAY REALTY LLC</t>
  </si>
  <si>
    <t>168 N ADDISON AVE LLC</t>
  </si>
  <si>
    <t>105 S YORK RD LLC</t>
  </si>
  <si>
    <t>VIRGINIA 531 LLC</t>
  </si>
  <si>
    <t>RSCK HOLDINGS LLC</t>
  </si>
  <si>
    <t>ROCK RUBICON LLC</t>
  </si>
  <si>
    <t>GIBBONS REAL ESTATE LLC</t>
  </si>
  <si>
    <t>153 AT ELMHURST LLC</t>
  </si>
  <si>
    <t>ELMHURST FIRST LLC</t>
  </si>
  <si>
    <t>TRAPP, JOHN J</t>
  </si>
  <si>
    <t>BURNIER, DAVID R</t>
  </si>
  <si>
    <t>EADON TRUST</t>
  </si>
  <si>
    <t>MC GRAW, IVY J</t>
  </si>
  <si>
    <t>ISLAND CONSTRUCTION INC</t>
  </si>
  <si>
    <t>BUTTKUS, CHRIS &amp; MEGHAN C</t>
  </si>
  <si>
    <t>O CONNOR, JEROME &amp; J</t>
  </si>
  <si>
    <t>KUZLIK, THERESEM</t>
  </si>
  <si>
    <t>CUNNINGHAM, DEBORAH L</t>
  </si>
  <si>
    <t>FASANO, ROSENA L</t>
  </si>
  <si>
    <t>DEMA, EDUARD</t>
  </si>
  <si>
    <t>AKKATHARA, MANESH</t>
  </si>
  <si>
    <t>GORDILLO, JUAN &amp; MARIA</t>
  </si>
  <si>
    <t>SUTTON, ELIZABETH</t>
  </si>
  <si>
    <t>CIENIAN, JULIE &amp; MICHAEL</t>
  </si>
  <si>
    <t>LENCIONO TR, KATHLEEN M</t>
  </si>
  <si>
    <t>WILKINS, THOMAS &amp; LAUREN</t>
  </si>
  <si>
    <t>MAGGIO, CHRISTINA</t>
  </si>
  <si>
    <t>SACKS, STEVEN &amp; DANA</t>
  </si>
  <si>
    <t>LOPEZ, MICHELLE</t>
  </si>
  <si>
    <t>DELIBERATO, RODRIGO &amp; BEA</t>
  </si>
  <si>
    <t>RAMASWAMI, ABHISHEK &amp; MOL</t>
  </si>
  <si>
    <t>SMOOT, STACY L</t>
  </si>
  <si>
    <t>CONNOLLY, LINDSEY E</t>
  </si>
  <si>
    <t>BERCIER, MELISSA</t>
  </si>
  <si>
    <t>PETERSON, DONALD &amp; JOAN</t>
  </si>
  <si>
    <t>FITZGERALD, DENNIS J &amp; N</t>
  </si>
  <si>
    <t>LOPEZ, JOSE</t>
  </si>
  <si>
    <t>LTC HTVP2606</t>
  </si>
  <si>
    <t>HENDERSON, THOMAS &amp; P</t>
  </si>
  <si>
    <t>RUDZINSKI, MARK &amp; SUSAN</t>
  </si>
  <si>
    <t>LETIZIA, NAN E</t>
  </si>
  <si>
    <t>RICHARDSON, APRIL M</t>
  </si>
  <si>
    <t>REUTHER, GEORGE A &amp; M M</t>
  </si>
  <si>
    <t>240 LAKE LLC</t>
  </si>
  <si>
    <t>HILLVIEW BUILDERS INC</t>
  </si>
  <si>
    <t>KHAN, SARDAR SHAH-</t>
  </si>
  <si>
    <t>4 ST CHARLES CORP INC</t>
  </si>
  <si>
    <t>BUEHRER, GRANT E</t>
  </si>
  <si>
    <t>HANSON, CHRISTOPHER &amp; MAR</t>
  </si>
  <si>
    <t>PUCCINI, JASON &amp; CARLA</t>
  </si>
  <si>
    <t>BASSETT, FREDERICK P</t>
  </si>
  <si>
    <t>BULTHUIS, DANIEL</t>
  </si>
  <si>
    <t>DUPAGE MEDICAL GROUP</t>
  </si>
  <si>
    <t>RAY WHALEN BUILDERS INC</t>
  </si>
  <si>
    <t>565 DUANE LLC</t>
  </si>
  <si>
    <t>GREATVIEW MANAGEMENT LLC</t>
  </si>
  <si>
    <t>JOURDAN, ROBERT</t>
  </si>
  <si>
    <t>JAMES GRACE PROPERTIES LL</t>
  </si>
  <si>
    <t>AIA ENTERPRISES LLC</t>
  </si>
  <si>
    <t>SPANDIKOW, MARK</t>
  </si>
  <si>
    <t>585 PENN LLC</t>
  </si>
  <si>
    <t>TRYNER, ELIZABETH A INC</t>
  </si>
  <si>
    <t>FLASH PROPERTY MANAGEMENT</t>
  </si>
  <si>
    <t>GLEN RECREATION ONE</t>
  </si>
  <si>
    <t>GLEN CROSSING</t>
  </si>
  <si>
    <t>CPD 535 LLC</t>
  </si>
  <si>
    <t>BALL FOUNDATION</t>
  </si>
  <si>
    <t>LORD, RICHARD</t>
  </si>
  <si>
    <t>FAVIA PROPERTIES LLC</t>
  </si>
  <si>
    <t>BRUNO, ROBERT &amp; LYNN</t>
  </si>
  <si>
    <t>MORANGE, DAWN L</t>
  </si>
  <si>
    <t>TRANT, CONNOR &amp; ALLISON D</t>
  </si>
  <si>
    <t>BOGOSIAN, JILLIAN &amp; TIM</t>
  </si>
  <si>
    <t>DETRICK, DEBBIE A</t>
  </si>
  <si>
    <t>DELANEY, HEATHER A</t>
  </si>
  <si>
    <t>OLIVER, PEGGY</t>
  </si>
  <si>
    <t>STAVETEIG, B &amp; D HERNAN</t>
  </si>
  <si>
    <t>LOGHMANI, CIAMACK</t>
  </si>
  <si>
    <t>DE PIRRO, JESSE</t>
  </si>
  <si>
    <t>OCAMPO, ANTONIO</t>
  </si>
  <si>
    <t>ALVAREZ, CLARA</t>
  </si>
  <si>
    <t>PLASCENCIA, SERGIO &amp; E</t>
  </si>
  <si>
    <t>DELGADO, LOURDES &amp; MARICE</t>
  </si>
  <si>
    <t>TRUJILLO, RIGOBERTO &amp;</t>
  </si>
  <si>
    <t>ANDRADE, MARITZA</t>
  </si>
  <si>
    <t>DAKHUM, SAR AUNG</t>
  </si>
  <si>
    <t>WOO, PHILIP &amp; PUI LING</t>
  </si>
  <si>
    <t>ISMAIL, KAZI M</t>
  </si>
  <si>
    <t>AVILA, JUANITA</t>
  </si>
  <si>
    <t>NKANGA, JEAN PIERRE &amp; A</t>
  </si>
  <si>
    <t>MEHTA, RAHULKUMAR &amp; ROOPA</t>
  </si>
  <si>
    <t>MOSTAFA, MALEK &amp; EMAD</t>
  </si>
  <si>
    <t>WALLING, SHAWN A</t>
  </si>
  <si>
    <t>MARSDEN, SHANNON</t>
  </si>
  <si>
    <t>POJACK, CHESTER L &amp; V J</t>
  </si>
  <si>
    <t>MATEEN, MOHAMMED &amp; S</t>
  </si>
  <si>
    <t>SHAH, JAYMIN &amp; D</t>
  </si>
  <si>
    <t>ROMERO, SANTIAGO</t>
  </si>
  <si>
    <t>BURCH, TARA L</t>
  </si>
  <si>
    <t>FRANCIA, NILO &amp; NENETTE</t>
  </si>
  <si>
    <t>SCHOMBERGER, ADAM</t>
  </si>
  <si>
    <t>SOTO, MIGUEL</t>
  </si>
  <si>
    <t>POSADAS, MARIO</t>
  </si>
  <si>
    <t>JOHNSON, KATIE &amp; RYAN M K</t>
  </si>
  <si>
    <t>CALDRONE, DOREEN</t>
  </si>
  <si>
    <t>GEMINI TWINS REALTY</t>
  </si>
  <si>
    <t>HERNANDEZ, JOSE JUAN</t>
  </si>
  <si>
    <t>RODRIGUEZ, INDALECIO</t>
  </si>
  <si>
    <t>MEMON, MUHAMMAD &amp; S KASHI</t>
  </si>
  <si>
    <t>DEL VALLE, EDWARD M</t>
  </si>
  <si>
    <t>SHAH, MANOJ</t>
  </si>
  <si>
    <t>PERKINS, DEBORAH &amp; PETER</t>
  </si>
  <si>
    <t>UY, ROSALIO Z &amp; DELIA P</t>
  </si>
  <si>
    <t>BURM, THOMAS M</t>
  </si>
  <si>
    <t>MANCENIDO, AMABLE &amp; J</t>
  </si>
  <si>
    <t>SERFASS, DANIEL &amp; LILY</t>
  </si>
  <si>
    <t>RADOUSKY, WENDIE</t>
  </si>
  <si>
    <t>SHAH, KAUSHIK &amp; PURNIMA</t>
  </si>
  <si>
    <t>CORRAL, JAZMIN</t>
  </si>
  <si>
    <t>PATEL, URESH S &amp; H U</t>
  </si>
  <si>
    <t>PABLO, LEMUEL &amp; LIWAYWAY</t>
  </si>
  <si>
    <t>NGUYEN, HOA &amp; KHANH</t>
  </si>
  <si>
    <t>CLARK, STEVEN L &amp; CAROL A</t>
  </si>
  <si>
    <t>LE, TAN H &amp; UYEN TL HUYNH</t>
  </si>
  <si>
    <t>PERRY, CHARLES</t>
  </si>
  <si>
    <t>LUGO, IDALIA</t>
  </si>
  <si>
    <t>PATEL, MITHUNKUMAR</t>
  </si>
  <si>
    <t>TECLE, AMARE &amp; Y WORKE</t>
  </si>
  <si>
    <t>LEHMAN, CARL J &amp; FILOMENA</t>
  </si>
  <si>
    <t>JOSHI, JITENDRA &amp; D</t>
  </si>
  <si>
    <t>MASHKOVICH, MICHAEL</t>
  </si>
  <si>
    <t>KHAN, MUDDASIR</t>
  </si>
  <si>
    <t>CARDENAS, T &amp; A PEREZ PAE</t>
  </si>
  <si>
    <t>MUSIEL, MONIQUE</t>
  </si>
  <si>
    <t>GANGOPADHYAY, ASOK K</t>
  </si>
  <si>
    <t>CHAUDHARI, PRUTHVIRAJ</t>
  </si>
  <si>
    <t>IH2 PROPERTY ILLINOIS LP</t>
  </si>
  <si>
    <t>INDURANTE, K &amp; V PAPEO</t>
  </si>
  <si>
    <t>DURRANI, SHADMAN &amp; FAIZA</t>
  </si>
  <si>
    <t>49NORTH LLC</t>
  </si>
  <si>
    <t>VARGAS, SYLVIA</t>
  </si>
  <si>
    <t>MARIN, ISAIAS</t>
  </si>
  <si>
    <t>MAHMOOD, S &amp; A SALMAN</t>
  </si>
  <si>
    <t>MANISCALCO, JAMES K &amp;JOAN</t>
  </si>
  <si>
    <t>TULLY, TIMOTHY W</t>
  </si>
  <si>
    <t>PENA, JESSICA &amp; VANESSA</t>
  </si>
  <si>
    <t>CHAU, THU &amp; PHALY LE</t>
  </si>
  <si>
    <t>AHLSTRAND, DONNA</t>
  </si>
  <si>
    <t>VALDIVIA, GONZALO</t>
  </si>
  <si>
    <t>OJEDA TR, G &amp; A CZAJKOWSK</t>
  </si>
  <si>
    <t>HAI, ASRA</t>
  </si>
  <si>
    <t>CLEOPE ROBEN</t>
  </si>
  <si>
    <t>NIEZGODA, KATARZYNA</t>
  </si>
  <si>
    <t>IBERLE, JOSEPH A</t>
  </si>
  <si>
    <t>FERGUSON, GAYE B</t>
  </si>
  <si>
    <t>JOSHI, ASHOK &amp; KIRAN</t>
  </si>
  <si>
    <t>BATTENCOURT, B &amp; C NEWELL</t>
  </si>
  <si>
    <t>HAMID, AAMIR</t>
  </si>
  <si>
    <t>BASU, PRABIR &amp; SUSHMITA</t>
  </si>
  <si>
    <t>SYED, NAVEED</t>
  </si>
  <si>
    <t>MOHAMMED, IMTIYAZ</t>
  </si>
  <si>
    <t>DAJI, RUPALBAHEN M</t>
  </si>
  <si>
    <t>BAHENA, JOEL R</t>
  </si>
  <si>
    <t>GOMEZ, JANET</t>
  </si>
  <si>
    <t>STRANIERO, MARCEL</t>
  </si>
  <si>
    <t>BENSON PROPERTIES INC</t>
  </si>
  <si>
    <t>BENSON PROPERTIES</t>
  </si>
  <si>
    <t>CHAWLA, JASVINDER &amp; ASVIN</t>
  </si>
  <si>
    <t>2 LLC</t>
  </si>
  <si>
    <t>K C DISTRIBUTING INC</t>
  </si>
  <si>
    <t>VALDEZ, ANDREA</t>
  </si>
  <si>
    <t>ALIC, IVICA J &amp; KRISTEN</t>
  </si>
  <si>
    <t>IGLESIAS, ALEXANDRA</t>
  </si>
  <si>
    <t>ALI, M &amp; Z MAHMOOD &amp; C AT</t>
  </si>
  <si>
    <t>PARADERO, JOSHUA</t>
  </si>
  <si>
    <t>SHAH, SEVANTILAL &amp; R</t>
  </si>
  <si>
    <t>VAIDYALINGAM, KANDASAMY</t>
  </si>
  <si>
    <t>TANVEER, MAMUN &amp; SHARMIN</t>
  </si>
  <si>
    <t>GARCIA, WILFRIDO &amp;LOURDES</t>
  </si>
  <si>
    <t>DROST, R &amp; C WANG</t>
  </si>
  <si>
    <t>NAVARRETE, JOSE</t>
  </si>
  <si>
    <t>FLORES, LUIS</t>
  </si>
  <si>
    <t>SANDHU, LAKHBIR</t>
  </si>
  <si>
    <t>AYALA, JOSE CESAR VARGAS</t>
  </si>
  <si>
    <t>SABEEH, ABID &amp; H YONOSZAI</t>
  </si>
  <si>
    <t>SAPITULA, PEPITO &amp; ALMA S</t>
  </si>
  <si>
    <t>PAUL, RYAN &amp; MEGAN</t>
  </si>
  <si>
    <t>KHAN, IMRAN R</t>
  </si>
  <si>
    <t>THAKKAR, UMESH</t>
  </si>
  <si>
    <t>DARY, DONNA A</t>
  </si>
  <si>
    <t>THAKKAR, MANOJ &amp; HANSA M</t>
  </si>
  <si>
    <t>LOIACONO, FRANCESCO &amp; G</t>
  </si>
  <si>
    <t>TESCHKY, J &amp; A MEDINA</t>
  </si>
  <si>
    <t>FLORES, FRANCISCO</t>
  </si>
  <si>
    <t>JAYAMANI, D &amp; S THURUVAN</t>
  </si>
  <si>
    <t>QUIROZ, RUBEN</t>
  </si>
  <si>
    <t>AVILEZ, SANTOS</t>
  </si>
  <si>
    <t>PATEL, NIYATI &amp; ALPESH</t>
  </si>
  <si>
    <t>BOUR, SOPANA</t>
  </si>
  <si>
    <t>TSILIBURIS, GEORGE</t>
  </si>
  <si>
    <t>SHARMA, RAJINDER &amp; SHASHI</t>
  </si>
  <si>
    <t>ROSS, COREY &amp; CASSIE</t>
  </si>
  <si>
    <t>ISADA, CHANTAL &amp; DANGELON</t>
  </si>
  <si>
    <t>CHEN, EDWIN &amp; YING</t>
  </si>
  <si>
    <t>ZAIDI, ALAY R</t>
  </si>
  <si>
    <t>SHAH, ASHOK P &amp; DIPTI A</t>
  </si>
  <si>
    <t>PATEL, GAUTTAMKUMAR &amp; M</t>
  </si>
  <si>
    <t>PATEL, LILA</t>
  </si>
  <si>
    <t>THANGELLA, NAGENDRA M &amp; P</t>
  </si>
  <si>
    <t>INCANDELA, GAETANO</t>
  </si>
  <si>
    <t>FORD, MATTHEW D</t>
  </si>
  <si>
    <t>CHAUDHRY, ASHISH &amp; MEENU</t>
  </si>
  <si>
    <t>PATEL, DINESH &amp; MANIULA</t>
  </si>
  <si>
    <t>DEL ROSARIO, ZARAH R</t>
  </si>
  <si>
    <t>PATEL, RIKHAV</t>
  </si>
  <si>
    <t>BABAKHAN, JARMAN</t>
  </si>
  <si>
    <t>CHAN, MENG HSIU &amp; LAUREN</t>
  </si>
  <si>
    <t>PATEL, AKASH CHANDRAKANT</t>
  </si>
  <si>
    <t>BARRERA, MACARIO &amp; LILIA</t>
  </si>
  <si>
    <t>LOCONTI SR, SCOTT M TR</t>
  </si>
  <si>
    <t>DUTIA, SHOUKATALI &amp; G S</t>
  </si>
  <si>
    <t>MARTIN, DELTA M</t>
  </si>
  <si>
    <t>RAMIREZ, EMMANUEL</t>
  </si>
  <si>
    <t>YONOSZAI, HOSAI</t>
  </si>
  <si>
    <t>MIHAI, DAN</t>
  </si>
  <si>
    <t>NUNEZ, MANUEL &amp; AUSTRE B</t>
  </si>
  <si>
    <t>XIONG, KOU &amp; PAH Y</t>
  </si>
  <si>
    <t>AGAPAY, JIMMY &amp; OLIVIA</t>
  </si>
  <si>
    <t>AMIN, KIRIT M</t>
  </si>
  <si>
    <t>MADADAKERE, PRAKASH</t>
  </si>
  <si>
    <t>VALDEZ, JOSEPH &amp; LIZA</t>
  </si>
  <si>
    <t>SPEARS, TAMMY M</t>
  </si>
  <si>
    <t>THAKAR, BALKRISHNA &amp; A</t>
  </si>
  <si>
    <t>KEMPER, SANDRA &amp; JAMES</t>
  </si>
  <si>
    <t>AYALA, ERNESTO &amp; KARINA</t>
  </si>
  <si>
    <t>JAGIELLO, URSZULA</t>
  </si>
  <si>
    <t>JAYSWAL, MUKUNDLAL &amp; C</t>
  </si>
  <si>
    <t>DAVIDSON, ANNE MARIE</t>
  </si>
  <si>
    <t>PAPARELLA, GIULIO</t>
  </si>
  <si>
    <t>XIONG, CHAO &amp; MAYSIA</t>
  </si>
  <si>
    <t>SINGH, SHIKHA</t>
  </si>
  <si>
    <t>DAVOODI, SARA</t>
  </si>
  <si>
    <t>BALOGUN, TEMITOPE</t>
  </si>
  <si>
    <t>FLORES-GIMENEZ, MILDRED</t>
  </si>
  <si>
    <t>XIONG, PAO &amp; MAY Y</t>
  </si>
  <si>
    <t>YANG, NUA</t>
  </si>
  <si>
    <t>KOLACHINA, SATYA &amp; P</t>
  </si>
  <si>
    <t>WAGNER, MONICA &amp; KYLE</t>
  </si>
  <si>
    <t>PATEL, KISHOR</t>
  </si>
  <si>
    <t>KAMEYAMA, MASAKI</t>
  </si>
  <si>
    <t>BATELLI, ROBERT &amp; SANDRA</t>
  </si>
  <si>
    <t>KOZIOL, MICHAEL &amp; B K</t>
  </si>
  <si>
    <t>SCHWARZ, MICHAEL A</t>
  </si>
  <si>
    <t>VAN WINKLE, T &amp;M PALACIOS</t>
  </si>
  <si>
    <t>PERACCA, TREVON</t>
  </si>
  <si>
    <t>BOND, G &amp; D BRYANT</t>
  </si>
  <si>
    <t>PATEL, PRALADBHAI &amp; M TR</t>
  </si>
  <si>
    <t>ABDULLAH, SYED &amp; Z JABEEN</t>
  </si>
  <si>
    <t>HAIDER, QASIM &amp; S HYDER</t>
  </si>
  <si>
    <t>YANG, SENG &amp; SYDA XIONG</t>
  </si>
  <si>
    <t>PARIKH, KEYUR &amp; RIMA</t>
  </si>
  <si>
    <t>BAILEY, ROBERT &amp;J GILLIAM</t>
  </si>
  <si>
    <t>HAVEL, JESSICA N</t>
  </si>
  <si>
    <t>IARDELLA, JOHN D</t>
  </si>
  <si>
    <t>SAHI, BASHARAT &amp; ALI</t>
  </si>
  <si>
    <t>MC NETT HYNDMAN, JOYCE A</t>
  </si>
  <si>
    <t>GREWAL, PREETPAL &amp; GURLOV</t>
  </si>
  <si>
    <t>CAMMELOT, WILLIAM</t>
  </si>
  <si>
    <t>TARNAWSKI, WLODZIMIERZ</t>
  </si>
  <si>
    <t>MELLOR, SCOTT A</t>
  </si>
  <si>
    <t>SAUBER, KURT W &amp; AMY L</t>
  </si>
  <si>
    <t>WEIRICH JR, CHARLES J</t>
  </si>
  <si>
    <t>TOMASIK, VICTORIA &amp; T GAG</t>
  </si>
  <si>
    <t>TAMBURELLO, GREGORY &amp; F</t>
  </si>
  <si>
    <t>FINNANDER, SCOTT &amp; KAREN</t>
  </si>
  <si>
    <t>HETZEL, ROBERT &amp; PAMELA</t>
  </si>
  <si>
    <t>KACKI, MARTA &amp; TOMASZ</t>
  </si>
  <si>
    <t>PATEL, BHARATI N &amp; NAREND</t>
  </si>
  <si>
    <t>VALENTI, DINO A&amp; TINA M</t>
  </si>
  <si>
    <t>CAFARELLI, RICHARD A</t>
  </si>
  <si>
    <t>TROHA, GARY &amp; NANCY</t>
  </si>
  <si>
    <t>DIAZ, FRANCISCO &amp; DEBORAH</t>
  </si>
  <si>
    <t>FETELA, PAWEL</t>
  </si>
  <si>
    <t>PAZON, HELEN G</t>
  </si>
  <si>
    <t>QUERUBIN, RODRIGO&amp;ADELINA</t>
  </si>
  <si>
    <t>LASCANO, RODOLFO &amp; OFELIA</t>
  </si>
  <si>
    <t>OAD, SANTOSH KUMAR</t>
  </si>
  <si>
    <t>VILLAROS, C &amp; J</t>
  </si>
  <si>
    <t>SACLUTI, ARMAND &amp; EVELYN</t>
  </si>
  <si>
    <t>PEDERSON, CARY &amp; DENISE</t>
  </si>
  <si>
    <t>MARKOVIC, IVAN &amp; B</t>
  </si>
  <si>
    <t>MENDOZA RAYA, JESUS M</t>
  </si>
  <si>
    <t>LAREDO, ALBERTO &amp; EDITH</t>
  </si>
  <si>
    <t>MUNAWAR, ASAD</t>
  </si>
  <si>
    <t>MCKINLEY, EDWARD &amp;FRANCES</t>
  </si>
  <si>
    <t>MARTINEZ, JORGE &amp; SARAH</t>
  </si>
  <si>
    <t>EMFINGER, OLGA</t>
  </si>
  <si>
    <t>MOHAMMED, A &amp; H SYEDA</t>
  </si>
  <si>
    <t>BONDI, CHRISTINE M</t>
  </si>
  <si>
    <t>FRASER, JOSEPH</t>
  </si>
  <si>
    <t>MONJE, ROANE L &amp; MARY A</t>
  </si>
  <si>
    <t>LICUDAN, IMELDA</t>
  </si>
  <si>
    <t>GONDEK, NATALIA</t>
  </si>
  <si>
    <t>QAZIMI, FESTIM</t>
  </si>
  <si>
    <t>SONI, HARSHAD &amp; S H</t>
  </si>
  <si>
    <t>HARTLEY, MELISSA &amp; DAVID</t>
  </si>
  <si>
    <t>TANDUR, SUNDEEP &amp; SUJA</t>
  </si>
  <si>
    <t>GARCIA, MARIO</t>
  </si>
  <si>
    <t>PUGA HERNANDEZ, OSCAR</t>
  </si>
  <si>
    <t>JUMBAS, JOENIL &amp; D LEMKE</t>
  </si>
  <si>
    <t>VAZQUEZ MEDINA, JOSE L</t>
  </si>
  <si>
    <t>NAGLA, MANAV D</t>
  </si>
  <si>
    <t>SOTO, NILDA A &amp; NILDA E</t>
  </si>
  <si>
    <t>STADEL, ERIC &amp; LORI</t>
  </si>
  <si>
    <t>ZIEMBA II, JOHN A</t>
  </si>
  <si>
    <t>DUPAGE HABITAT HUMANITY</t>
  </si>
  <si>
    <t>PASQUINELLI INC</t>
  </si>
  <si>
    <t>PEBBLE NEST MANAGEMENT</t>
  </si>
  <si>
    <t>REEVES, OWEN W</t>
  </si>
  <si>
    <t>SIPAL HANOVER MACON LLC</t>
  </si>
  <si>
    <t>6211 CHURCH RD PROPERTY</t>
  </si>
  <si>
    <t>PIATEK, GRZEGORZ</t>
  </si>
  <si>
    <t>THAKER, AKSHAY</t>
  </si>
  <si>
    <t>CHOI, CHA-LIN</t>
  </si>
  <si>
    <t>DUNNE, LUCY O</t>
  </si>
  <si>
    <t>URIBE, JOSE M</t>
  </si>
  <si>
    <t>ROSAS-DAVILA, LUIS</t>
  </si>
  <si>
    <t>COLLINS, JOHN &amp; ROSEMARIE</t>
  </si>
  <si>
    <t>PISTONA JR, GEORGE</t>
  </si>
  <si>
    <t>LIEBERENZ, STEVEN C &amp; DIA</t>
  </si>
  <si>
    <t>SAMORAN LLC</t>
  </si>
  <si>
    <t>SAMUEL, D &amp; R POLLOCK</t>
  </si>
  <si>
    <t>VILLAGE OF LISLE</t>
  </si>
  <si>
    <t>CUAUTLE, ISAAC</t>
  </si>
  <si>
    <t>RIPPON, RUTH A</t>
  </si>
  <si>
    <t>MAZZOLINI, MICHAEL &amp; K</t>
  </si>
  <si>
    <t>LOPEZ, TOMAS</t>
  </si>
  <si>
    <t>CHOI, CHA LIN</t>
  </si>
  <si>
    <t>ROGERS, JAMES</t>
  </si>
  <si>
    <t>BERRY, ELLYN D</t>
  </si>
  <si>
    <t>LIEBERENZ, STEVEN</t>
  </si>
  <si>
    <t>KMPS LLC</t>
  </si>
  <si>
    <t>PAN, PENG &amp; JIAN HUO</t>
  </si>
  <si>
    <t>FAVIA VENTURES LLC</t>
  </si>
  <si>
    <t>KALARCH LLC</t>
  </si>
  <si>
    <t>BONINI, DAVID C</t>
  </si>
  <si>
    <t>BERKE, EILEEN</t>
  </si>
  <si>
    <t>RUFF, WILLIAM J</t>
  </si>
  <si>
    <t>HALSTED GREAT LAKES MGMT</t>
  </si>
  <si>
    <t>PALOMO, RAYMOND</t>
  </si>
  <si>
    <t>SALERNO, ROBERT</t>
  </si>
  <si>
    <t>SB WELLINGTON LLC</t>
  </si>
  <si>
    <t>DRENDEL, RONALD L</t>
  </si>
  <si>
    <t>HARDEK, DIANA</t>
  </si>
  <si>
    <t>BROOKENS, DIONNA</t>
  </si>
  <si>
    <t>LAZO, ALFRED &amp; LEILA</t>
  </si>
  <si>
    <t>DI CIANNI, MATTHEW &amp; SOPH</t>
  </si>
  <si>
    <t>DALLAS, WILLIAM &amp; SARAH</t>
  </si>
  <si>
    <t>BAWA, AMIT &amp; AASHEETA</t>
  </si>
  <si>
    <t>HANNA TR, JOHN &amp; HEATHER</t>
  </si>
  <si>
    <t>MEZGER, JEFFREY T</t>
  </si>
  <si>
    <t>DALY, GEORGE</t>
  </si>
  <si>
    <t>SHVYDKO, YURY</t>
  </si>
  <si>
    <t>WALLS, RODERICK &amp; JUANITA</t>
  </si>
  <si>
    <t>MUNOZ, DANIEL</t>
  </si>
  <si>
    <t>KLODY, MATHEW T</t>
  </si>
  <si>
    <t>CAMPBELL-TURNER, B &amp; M TU</t>
  </si>
  <si>
    <t>LE BOIS AT LISLE LLC</t>
  </si>
  <si>
    <t>HUANG, QIANG &amp; XIAO CHUN</t>
  </si>
  <si>
    <t>STEVENSON, MICHAEL &amp; MART</t>
  </si>
  <si>
    <t>SHANG, XUANJU &amp; JIANHUA X</t>
  </si>
  <si>
    <t>HERRERA, LEE &amp; J DEVANE</t>
  </si>
  <si>
    <t>URBAN, JOSEPH</t>
  </si>
  <si>
    <t>SCHNEIDER, DAVID &amp; NANCY</t>
  </si>
  <si>
    <t>LIMAYE, MALATI A</t>
  </si>
  <si>
    <t>MATTA, CARLOS A</t>
  </si>
  <si>
    <t>MASTERSON, THOMAS &amp; C A</t>
  </si>
  <si>
    <t>GO LOMBARD LLC</t>
  </si>
  <si>
    <t>MARCUCCELLI, ROBERT</t>
  </si>
  <si>
    <t>CARTER, GLENN &amp; VERGE</t>
  </si>
  <si>
    <t>BMO HARRIS BANK</t>
  </si>
  <si>
    <t>MESA PROPERTIES LLC</t>
  </si>
  <si>
    <t>PAPENDICK, SCOTT D</t>
  </si>
  <si>
    <t>BRIGHT FUTURE INVEST LLC</t>
  </si>
  <si>
    <t>GUARDIAN CAPITAL</t>
  </si>
  <si>
    <t>VICARI, KATHLEEN M</t>
  </si>
  <si>
    <t>GENOV, V &amp; A ULLOA</t>
  </si>
  <si>
    <t>MASON, DAVID</t>
  </si>
  <si>
    <t>BANK OF ELMHURST</t>
  </si>
  <si>
    <t>COLLINGS, SHEILA M</t>
  </si>
  <si>
    <t>KELLEY, ROGER &amp; ELIZABETH</t>
  </si>
  <si>
    <t>BENNICK, BRETT</t>
  </si>
  <si>
    <t>GINNAN, THOMAS &amp; MARGARET</t>
  </si>
  <si>
    <t>DASTHAGIR, SYED</t>
  </si>
  <si>
    <t>MOUBACHER, SANDRA J</t>
  </si>
  <si>
    <t>CARLOS, CHERLYNE F</t>
  </si>
  <si>
    <t>BRAND, PATRICIA L</t>
  </si>
  <si>
    <t>LEE, JY-BER &amp; PAULINE C</t>
  </si>
  <si>
    <t>FONS, JEANNINE R &amp;</t>
  </si>
  <si>
    <t>MALDONADO, ALBERTO &amp;DACIA</t>
  </si>
  <si>
    <t>BLANKEN, ILZE</t>
  </si>
  <si>
    <t>HAMZA, S &amp; R PERVIZ &amp; A P</t>
  </si>
  <si>
    <t>WOODWARD, CHRISTOPHER &amp; S</t>
  </si>
  <si>
    <t>ROBERTS, EDWARD &amp; ELSA</t>
  </si>
  <si>
    <t>SANCHEZ, M &amp; Y SILVAS</t>
  </si>
  <si>
    <t>KAMAL, M &amp; S BEGUM</t>
  </si>
  <si>
    <t>FIX, JANET K</t>
  </si>
  <si>
    <t>SOKALSKI, HENRY &amp; TERESA</t>
  </si>
  <si>
    <t>DAUBENSPECK, DANICA</t>
  </si>
  <si>
    <t>KUBIK, JAMES &amp; KARA</t>
  </si>
  <si>
    <t>SALERA, KRISTINE</t>
  </si>
  <si>
    <t>SULZMANN, PHILLIP F</t>
  </si>
  <si>
    <t>CARDONA, JONATHAN</t>
  </si>
  <si>
    <t>GEORGE, B &amp; M BABY</t>
  </si>
  <si>
    <t>HARN, ADAM &amp; MICHELLE</t>
  </si>
  <si>
    <t>BELL, REGINA F</t>
  </si>
  <si>
    <t>GONZALEZ, E &amp; P RINCON</t>
  </si>
  <si>
    <t>BORGE, DEBORAH F TR</t>
  </si>
  <si>
    <t>KING FAMILY TRUST</t>
  </si>
  <si>
    <t>CASPER, MICHAEL J &amp; NANCY</t>
  </si>
  <si>
    <t>DI SALVO, JOSEPH &amp; SANDRA</t>
  </si>
  <si>
    <t>RODHEIM, C &amp; M BASINGER</t>
  </si>
  <si>
    <t>ELLIS, GLENN D &amp; CAROLYN</t>
  </si>
  <si>
    <t>DANIELS, AMY M</t>
  </si>
  <si>
    <t>CLARK, ANDREW &amp; C KILKUS</t>
  </si>
  <si>
    <t>JONES, DARCIE &amp; TRISTAN M</t>
  </si>
  <si>
    <t>MANSURI, GULAMRASUL &amp; A</t>
  </si>
  <si>
    <t>DE LUCA, FRANK &amp;ALEXANDRA</t>
  </si>
  <si>
    <t>RAPINCHUK, LINDSEY</t>
  </si>
  <si>
    <t>STARK, CHERYL &amp; PATRICK</t>
  </si>
  <si>
    <t>THE MILLER TRUST</t>
  </si>
  <si>
    <t>SIMPELO, MELANIO V</t>
  </si>
  <si>
    <t>FLYNN, ROBERT &amp; KATHLEEN</t>
  </si>
  <si>
    <t>GRESCHUK, ERIK &amp; DANYA</t>
  </si>
  <si>
    <t>SANSONE, B &amp; M POOLER</t>
  </si>
  <si>
    <t>LEKBIRI, MOULOUD</t>
  </si>
  <si>
    <t>MAZZA, DINO &amp; MARIA</t>
  </si>
  <si>
    <t>VANDERNAALD, THEODORE &amp; L</t>
  </si>
  <si>
    <t>ELOSO, LILY A</t>
  </si>
  <si>
    <t>SZKOLIKA, JOHN &amp; EVELYN</t>
  </si>
  <si>
    <t>MALIEKAL, JOSE &amp; MARIAMMA</t>
  </si>
  <si>
    <t>HICKS, LISA</t>
  </si>
  <si>
    <t>NOVAK, JASON C</t>
  </si>
  <si>
    <t>GASPARI, KEEGAN &amp; KELSEY</t>
  </si>
  <si>
    <t>COCHRANE, LINDA &amp; JOSEPH</t>
  </si>
  <si>
    <t>BURD, STEPHEN A</t>
  </si>
  <si>
    <t>BUCCELLI, JOSEPH &amp; NANCY</t>
  </si>
  <si>
    <t>KLAPISZ, CONSTANCE A</t>
  </si>
  <si>
    <t>MUNSON, TODD S &amp; C M</t>
  </si>
  <si>
    <t>HENEGHAN, VALERIE &amp;THOMAS</t>
  </si>
  <si>
    <t>DAVALOS, JORGE &amp; MARIA</t>
  </si>
  <si>
    <t>ESTKA, EDMUND &amp; ANA</t>
  </si>
  <si>
    <t>DE LA ROSA, OLIVIA</t>
  </si>
  <si>
    <t>KUNZ, HERMAN &amp; LISA</t>
  </si>
  <si>
    <t>PEREZ, CAESAR I</t>
  </si>
  <si>
    <t>RICO, ALEXANDER &amp; LARISSA</t>
  </si>
  <si>
    <t>MEJIAS, JOSE &amp; NATASHA AG</t>
  </si>
  <si>
    <t>MOORE, MICHAEL</t>
  </si>
  <si>
    <t>KRUPKA, JAMES J &amp; VICKY J</t>
  </si>
  <si>
    <t>WALSH, MARY K</t>
  </si>
  <si>
    <t>CHACKO, MATTHEW &amp; ANISHA</t>
  </si>
  <si>
    <t>ALIDOUSTI, A &amp; S JARMER</t>
  </si>
  <si>
    <t>COSENZA, RICHARD &amp; SANDRA</t>
  </si>
  <si>
    <t>MANSON, SHARON &amp; DREW</t>
  </si>
  <si>
    <t>BOURKLIAN, DIKRAN</t>
  </si>
  <si>
    <t>GARTMAN, R &amp; E GRANGER</t>
  </si>
  <si>
    <t>BIRAMANE, ABDELKRIM</t>
  </si>
  <si>
    <t>HUSSAINI, SYED H</t>
  </si>
  <si>
    <t>SAMUEL, BENJAMIN &amp; MINI</t>
  </si>
  <si>
    <t>KALOTA, SUGHRA</t>
  </si>
  <si>
    <t>OTTOSEN, TYLER &amp; M</t>
  </si>
  <si>
    <t>LTC 3000W13244</t>
  </si>
  <si>
    <t>LARDIZABAL, ERNESTO &amp; N</t>
  </si>
  <si>
    <t>KASCH, CAROLE</t>
  </si>
  <si>
    <t>JOSEPH, KOLLAPARAMPEL &amp; A</t>
  </si>
  <si>
    <t>GEORGE, WILLIAM W &amp; RUTH</t>
  </si>
  <si>
    <t>GLENN, THOMAS &amp; TRACEY</t>
  </si>
  <si>
    <t>WEST JR, ROBERT A</t>
  </si>
  <si>
    <t>WISER, EDDIE S</t>
  </si>
  <si>
    <t>SCAPINO, RUTH E</t>
  </si>
  <si>
    <t>ZARATE, RICHARDO</t>
  </si>
  <si>
    <t>SULLIVAN, MARGARET A</t>
  </si>
  <si>
    <t>MAKASIAR, EDWIN &amp; CLEA</t>
  </si>
  <si>
    <t>JOHN, S &amp; S GEORGE</t>
  </si>
  <si>
    <t>KHATRI, RAMA M</t>
  </si>
  <si>
    <t>HUGHES, SUSAN E</t>
  </si>
  <si>
    <t>WILLIAMS JR, H R &amp; L</t>
  </si>
  <si>
    <t>FOLARIN, SULAIMAN &amp; ISIBA</t>
  </si>
  <si>
    <t>MAHANNA, JUDY</t>
  </si>
  <si>
    <t>MUNSTERMAN, RAYMOND A</t>
  </si>
  <si>
    <t>WELCH, CHARLES &amp; IRENE</t>
  </si>
  <si>
    <t>BECTHEL, JACQUELINE &amp; M</t>
  </si>
  <si>
    <t>BRENNAN, KEVIN B</t>
  </si>
  <si>
    <t>WINKLER, STEVE</t>
  </si>
  <si>
    <t>SACCO, SAM J &amp; CONCETTA</t>
  </si>
  <si>
    <t>BESIC, MICHAEL</t>
  </si>
  <si>
    <t>ARESTA, CHERRIE</t>
  </si>
  <si>
    <t>BRENNAN, JEROME &amp; SANDRA</t>
  </si>
  <si>
    <t>JENSEN, AUDREY E</t>
  </si>
  <si>
    <t>SAENZ, SHERLY</t>
  </si>
  <si>
    <t>FLORES, JOSEPH D &amp; AMY M</t>
  </si>
  <si>
    <t>IGIELSKI, GARY R</t>
  </si>
  <si>
    <t>KILLIAN, THOMAS &amp; T</t>
  </si>
  <si>
    <t>SCHLAEFKE, JOHN &amp; DEBRA</t>
  </si>
  <si>
    <t>THARANI, JUDY</t>
  </si>
  <si>
    <t>CONNOLLY, SEAN &amp; NICOLE</t>
  </si>
  <si>
    <t>LUNDGREN, J &amp; H BLACK</t>
  </si>
  <si>
    <t>SEYDEL, LINDA G</t>
  </si>
  <si>
    <t>WAHAB, ABDUL</t>
  </si>
  <si>
    <t>QAISER, A &amp; U HAFSA</t>
  </si>
  <si>
    <t>ARA, ORION &amp; SONILA</t>
  </si>
  <si>
    <t>TURKOVICH, JOHNNY &amp; LISA</t>
  </si>
  <si>
    <t>BUENAFE, RITCHE</t>
  </si>
  <si>
    <t>OSMAN, OMAR</t>
  </si>
  <si>
    <t>PIPER, GLADYS</t>
  </si>
  <si>
    <t>BAIG, MATEEN M &amp; SABIHAM</t>
  </si>
  <si>
    <t>STACY, BRIAN D &amp; KARA</t>
  </si>
  <si>
    <t>SIDDIQUI, NAJAM &amp; SANA</t>
  </si>
  <si>
    <t>ALI, FARRAH</t>
  </si>
  <si>
    <t>RUSSO TR, DANIEL L</t>
  </si>
  <si>
    <t>AVENDANO, ROMEO M</t>
  </si>
  <si>
    <t>VICINO, MICHAEL D</t>
  </si>
  <si>
    <t>VERA, NICOLAS &amp; SUSAN</t>
  </si>
  <si>
    <t>STEPHENS, BRADLEY C</t>
  </si>
  <si>
    <t>MARIANO, NERISSA</t>
  </si>
  <si>
    <t>RAHTJEN, LUKE &amp; JESSICA</t>
  </si>
  <si>
    <t>KAPUSTKA, J &amp; N BUENO</t>
  </si>
  <si>
    <t>BATAIHEH, MAHER</t>
  </si>
  <si>
    <t>HATCHETT COHEN, DIANE</t>
  </si>
  <si>
    <t>NIENG, KUO-YEN &amp; SU-JONG</t>
  </si>
  <si>
    <t>ATANASOV, DANIEL &amp; V</t>
  </si>
  <si>
    <t>ALVAREZ, GUSTAVO &amp; LIDIA</t>
  </si>
  <si>
    <t>MEDINGER, STEVEN &amp; C</t>
  </si>
  <si>
    <t>QUINLAN, T &amp; T HANSEN</t>
  </si>
  <si>
    <t>KOUL, RAJINDER &amp; SUNITA</t>
  </si>
  <si>
    <t>CABRERA, GUSTAVO</t>
  </si>
  <si>
    <t>ORTIZ, YESENIA C</t>
  </si>
  <si>
    <t>AHMED, SARAH</t>
  </si>
  <si>
    <t>FATOOREHCHI, M &amp; D GACEK</t>
  </si>
  <si>
    <t>MILIAN, OSCAR &amp; WENDY</t>
  </si>
  <si>
    <t>MOHAMMED, TAHSEEN &amp; Y QUA</t>
  </si>
  <si>
    <t>SIMPSON, SUMITHRA</t>
  </si>
  <si>
    <t>TOSKA, ELDI &amp; KRISTIANA D</t>
  </si>
  <si>
    <t>MENDOZA, S &amp; D MARQUEZ</t>
  </si>
  <si>
    <t>MC GOVERN, PATRICIA</t>
  </si>
  <si>
    <t>PHILIP, ALISHA &amp; JESSY</t>
  </si>
  <si>
    <t>STONE, SHANNON &amp; PAUL SCH</t>
  </si>
  <si>
    <t>MCGOVERN, BETH</t>
  </si>
  <si>
    <t>TRIPLETT JONES, MEIGAN E</t>
  </si>
  <si>
    <t>O HARA, CAITLIN S</t>
  </si>
  <si>
    <t>PEZZULO, TONY</t>
  </si>
  <si>
    <t>CARR, THOMAS P</t>
  </si>
  <si>
    <t>MCDOUGALL, DANIEL &amp; JUE</t>
  </si>
  <si>
    <t>KUMPUKAL, JERRY C &amp; ROSIE</t>
  </si>
  <si>
    <t>ANANI, LENA</t>
  </si>
  <si>
    <t>ROFEROS, EDWIN &amp; GLYNES</t>
  </si>
  <si>
    <t>SANCHEZ, SONIA &amp; YERLIN</t>
  </si>
  <si>
    <t>SHAH,  DOLI</t>
  </si>
  <si>
    <t>STEIN, JOSEPH &amp; JENNA</t>
  </si>
  <si>
    <t>KASZUBA, AUSTIN EDWARD</t>
  </si>
  <si>
    <t>CORREDOR, ALEXANDRA</t>
  </si>
  <si>
    <t>GUNTERMAN, JAMES &amp; BETTY</t>
  </si>
  <si>
    <t>KIRCH, THOMAS &amp; CANDACE</t>
  </si>
  <si>
    <t>RIDING, ERIC &amp; PENNY</t>
  </si>
  <si>
    <t>TUCCI III, JOHN &amp; NANCY J</t>
  </si>
  <si>
    <t>WEIBERG, ERIC</t>
  </si>
  <si>
    <t>SHERRETZ TR, KIMBERLY A</t>
  </si>
  <si>
    <t>COPKO LLC</t>
  </si>
  <si>
    <t>ANGELICO, JAMES &amp; LAUREN</t>
  </si>
  <si>
    <t>MEI, JEFFREY KEN</t>
  </si>
  <si>
    <t>HOWARD, JAMES &amp; DAWN</t>
  </si>
  <si>
    <t>GARCIA, M &amp; R PAULING</t>
  </si>
  <si>
    <t>MARTINEZ, MERVIN &amp; SHELIA</t>
  </si>
  <si>
    <t>SCHEFFERT, PAUL &amp; KELLY</t>
  </si>
  <si>
    <t>HERRERA FAMILY TRUST</t>
  </si>
  <si>
    <t>PUHAWAN, RICARDO A &amp; S S</t>
  </si>
  <si>
    <t>CAKO, TONY &amp; ARBA</t>
  </si>
  <si>
    <t>LOWE, CHRISTIAN &amp; KARI</t>
  </si>
  <si>
    <t>FILLIPOVIC, SONJA</t>
  </si>
  <si>
    <t>YEATER, MICHAEL J</t>
  </si>
  <si>
    <t>MACCHIARELLA, FRANCESCO</t>
  </si>
  <si>
    <t>WHITEHALL PROPERTIES LLC</t>
  </si>
  <si>
    <t>TYPPI, FRANK &amp; AMY</t>
  </si>
  <si>
    <t>BERNATEK TR, D P &amp; V L FI</t>
  </si>
  <si>
    <t>ENRIQUEZ, CARLOS &amp; AIDA</t>
  </si>
  <si>
    <t>LAING JR, LESLIE P</t>
  </si>
  <si>
    <t>MC GINTY, TIMOTHY</t>
  </si>
  <si>
    <t>EL OUBARI, ZOUHEIR &amp; JOUM</t>
  </si>
  <si>
    <t>BACI, GERSILDA &amp; KRISTI S</t>
  </si>
  <si>
    <t>SHAIKH, M &amp; S TAQDEES</t>
  </si>
  <si>
    <t>RAMOS, ERNESTINA M</t>
  </si>
  <si>
    <t>GUTHRIE, AUBREY &amp; RUDY</t>
  </si>
  <si>
    <t>LONGINO, MARY ANN</t>
  </si>
  <si>
    <t>KERNAGHAN, JOHN A &amp; C A</t>
  </si>
  <si>
    <t>NIELSEN, CYNTHIA</t>
  </si>
  <si>
    <t>DROGOS, IRENE C</t>
  </si>
  <si>
    <t>ZOUFAL, BRIAN H</t>
  </si>
  <si>
    <t>FRANKLIN, MR &amp; MRS</t>
  </si>
  <si>
    <t>MEREDITH, JESSIE L</t>
  </si>
  <si>
    <t>SHARIF, ISHRAT &amp; UZMA</t>
  </si>
  <si>
    <t>REGALA, MARIO C</t>
  </si>
  <si>
    <t>MONTILLA, LEVI &amp; KRYSTEN</t>
  </si>
  <si>
    <t>GARCIA, LUIS &amp; TATIANA</t>
  </si>
  <si>
    <t>WHITESIDE, MICHAEL</t>
  </si>
  <si>
    <t>GJERASI, STAVRO</t>
  </si>
  <si>
    <t>TYBERG, WILLIAM &amp; LYNN</t>
  </si>
  <si>
    <t>SANGHA, MANGAL &amp; SUKHJIT</t>
  </si>
  <si>
    <t>MATHEWS, CHENNOOR</t>
  </si>
  <si>
    <t>SAKR, ISSAM &amp; N</t>
  </si>
  <si>
    <t>MALONE JR, ISIAH &amp; HELEN</t>
  </si>
  <si>
    <t>HAJEK, WALTER L</t>
  </si>
  <si>
    <t>NEDUMGOTTIL, JOSEPH A</t>
  </si>
  <si>
    <t>LIPKA, MIROSLAW</t>
  </si>
  <si>
    <t>SCHUCHARDT, JAMES</t>
  </si>
  <si>
    <t>PADMARAO, S &amp; S MUDLIAR</t>
  </si>
  <si>
    <t>NGUYEN, PHI DUNG &amp; THI PH</t>
  </si>
  <si>
    <t>DUCHARME, JOSEPH &amp; JANET</t>
  </si>
  <si>
    <t>MAZARELO, SALVADOR &amp; S A</t>
  </si>
  <si>
    <t>TRIEU, MINH &amp; TANYA</t>
  </si>
  <si>
    <t>TSIAGALIS, GIORGIO E</t>
  </si>
  <si>
    <t>JOHNSON, SHARON ANN</t>
  </si>
  <si>
    <t>KHAZI, ZAHIRUDDIN</t>
  </si>
  <si>
    <t>SADIQ, GHULAM &amp; SYEDA</t>
  </si>
  <si>
    <t>ZELKA, ERVIN</t>
  </si>
  <si>
    <t>SHAH, KEYUR &amp; JALPA</t>
  </si>
  <si>
    <t>MOHAMMED, VASIUDDIN</t>
  </si>
  <si>
    <t>IBALIO, A &amp; F MANOSCA</t>
  </si>
  <si>
    <t>HAFER, DANIEL</t>
  </si>
  <si>
    <t>MIDSUMMER PROPERTY LLC</t>
  </si>
  <si>
    <t>HUSSAINI, SYED A</t>
  </si>
  <si>
    <t>SINGH, SURINDER</t>
  </si>
  <si>
    <t>LEZZA III, VICTOR E</t>
  </si>
  <si>
    <t>FRISK, LARRY &amp; NANNETTE</t>
  </si>
  <si>
    <t>BUCKINGHAM ORCHARD TOWNHO</t>
  </si>
  <si>
    <t>P&amp;S ACQUISITIONS &amp; DEVELO</t>
  </si>
  <si>
    <t>KHAN, MOHAMMED</t>
  </si>
  <si>
    <t>P&amp;S ACQUISTIONS DEVELOP</t>
  </si>
  <si>
    <t>P&amp;S ACQUISITIONS DEVELOP</t>
  </si>
  <si>
    <t>SIDDIQUI, ALI</t>
  </si>
  <si>
    <t>MULAR, MARGARET &amp; JOSEPH</t>
  </si>
  <si>
    <t>WALUS, PETER &amp; ANGELIC</t>
  </si>
  <si>
    <t>GALLT, KENNETH D</t>
  </si>
  <si>
    <t>CATALANO, SUZANETTE</t>
  </si>
  <si>
    <t>COLELLA, IGNATIUS &amp; SARAH</t>
  </si>
  <si>
    <t>GREGORY, RICHARD L T</t>
  </si>
  <si>
    <t>HOXHA, BASHKIM</t>
  </si>
  <si>
    <t>RHODES, CHRISTOPHER</t>
  </si>
  <si>
    <t>WHITE, MARK &amp; CARRIE</t>
  </si>
  <si>
    <t>OMAR, SYED</t>
  </si>
  <si>
    <t>STEWART, HOLLY J</t>
  </si>
  <si>
    <t>TOLLKO, ALFRED &amp; XHIXHI</t>
  </si>
  <si>
    <t>WALLACE, ALEXANDRA</t>
  </si>
  <si>
    <t>ZOURDANI, RACHID</t>
  </si>
  <si>
    <t>LTC 2NDW14435</t>
  </si>
  <si>
    <t>TRIVEDI, KEYUR &amp; MEGHA</t>
  </si>
  <si>
    <t>DJK CUSTOM HOMES INC</t>
  </si>
  <si>
    <t>LOWRY, RICHARD</t>
  </si>
  <si>
    <t>WYER, SHEILA M</t>
  </si>
  <si>
    <t>FAN,YANSHAN &amp; DAN WANG</t>
  </si>
  <si>
    <t>STARCK, DIANE T</t>
  </si>
  <si>
    <t>BECKER NAPERVILLE PROP</t>
  </si>
  <si>
    <t>MA, JOHN K &amp; CHIN YU</t>
  </si>
  <si>
    <t>MUSCIA, KATHLEEN &amp; VICTOR</t>
  </si>
  <si>
    <t>VAGHANI, VALLABH &amp; S</t>
  </si>
  <si>
    <t>WANG, X &amp; M DING</t>
  </si>
  <si>
    <t>DENG, BIXIN &amp; YUAN ZHANG</t>
  </si>
  <si>
    <t>FEDOROVYCH, ANDRIY &amp; OLEN</t>
  </si>
  <si>
    <t>BERAN JR, ROBIN DAVID</t>
  </si>
  <si>
    <t>WHEELER TR, SHARON M</t>
  </si>
  <si>
    <t>BHATNAGAR, SHREED &amp; S</t>
  </si>
  <si>
    <t>HIBBERT, JAMES A &amp; JOYCE</t>
  </si>
  <si>
    <t>SHEN, QING</t>
  </si>
  <si>
    <t>METZ GOHLA, SHARON</t>
  </si>
  <si>
    <t>LEE, ROBERT &amp; RENEE</t>
  </si>
  <si>
    <t>KRUEGER, JOHN &amp; MARY E</t>
  </si>
  <si>
    <t>WRIGHT, STEPHEN &amp;VIRGINIA</t>
  </si>
  <si>
    <t>GILLES, CAROL E</t>
  </si>
  <si>
    <t>FRANZ, DEBORAH &amp; JOSEF</t>
  </si>
  <si>
    <t>DAVIDSON, CHARLES &amp; C</t>
  </si>
  <si>
    <t>HIIPAKKA, LARRY &amp; SANDRA</t>
  </si>
  <si>
    <t>XIAO, JIANHONG &amp; KUN XU</t>
  </si>
  <si>
    <t>JONES, TERRY &amp; LAURA</t>
  </si>
  <si>
    <t>WINTERBURG, ROY</t>
  </si>
  <si>
    <t>VELDERRAIN, OSCAR</t>
  </si>
  <si>
    <t>GOYAL, ANURADHA &amp; D</t>
  </si>
  <si>
    <t>MILL &amp; BAUER LLC</t>
  </si>
  <si>
    <t>RPAI NAPERVILLE MAIN NORT</t>
  </si>
  <si>
    <t>NAPER MAIN LLC</t>
  </si>
  <si>
    <t>TRP 3436 S WASHINGTON LLC</t>
  </si>
  <si>
    <t>DEGEETER PROP LLC</t>
  </si>
  <si>
    <t>RIVER MAIN NAPERVILLE LLC</t>
  </si>
  <si>
    <t>WATER STREET LOT VENTURE</t>
  </si>
  <si>
    <t>FRIEDKIN PROPERTY GROUP</t>
  </si>
  <si>
    <t>MUI, TIN YAN &amp; PUI LING</t>
  </si>
  <si>
    <t>RPAI NAPERVILLE MAIN</t>
  </si>
  <si>
    <t>TRIFOX PROPERTIES LLC</t>
  </si>
  <si>
    <t>DJDD REAL ESTATE VENTURES</t>
  </si>
  <si>
    <t>US BANK CORP PROPERTIES</t>
  </si>
  <si>
    <t>NAPER LIMITED PARTNERSHIP</t>
  </si>
  <si>
    <t>PORTER, CHRISTOPHER</t>
  </si>
  <si>
    <t>DULLAM, SRINIVASA</t>
  </si>
  <si>
    <t>STONE, J &amp; E SHARENOW</t>
  </si>
  <si>
    <t>SANDER,FREDERIC &amp; LORETTA</t>
  </si>
  <si>
    <t>SMITH, GARY &amp; DOROTHY</t>
  </si>
  <si>
    <t>STEINMEYER, JUDITH &amp; H</t>
  </si>
  <si>
    <t>HASTINGS, ROBERT &amp; K</t>
  </si>
  <si>
    <t>PILLAI, SUNIL &amp; VIJAYAM</t>
  </si>
  <si>
    <t>SPEARMAN, JEROME &amp; BETTY</t>
  </si>
  <si>
    <t>ZABINSKI TR, JOHN &amp; MARY</t>
  </si>
  <si>
    <t>KRUSENOSKI, GARY &amp;JESSICA</t>
  </si>
  <si>
    <t>KANURU, HEMA C</t>
  </si>
  <si>
    <t>GLISOVIC, DEJAN &amp; N</t>
  </si>
  <si>
    <t>JIA, JIKAL &amp; YIZHU DING</t>
  </si>
  <si>
    <t>BERNOUDY, MONIQUE R</t>
  </si>
  <si>
    <t>WITTE, EVAN &amp; JULIA</t>
  </si>
  <si>
    <t>PATEL, ALPESH &amp; FIONA</t>
  </si>
  <si>
    <t>YOO, J &amp; S PARK</t>
  </si>
  <si>
    <t>SMYTH, MICHAEL &amp; DEBRA</t>
  </si>
  <si>
    <t>KOULOS, JAMES &amp; JILL</t>
  </si>
  <si>
    <t>VAISH, K &amp; Y JAIN</t>
  </si>
  <si>
    <t>CUEVAS, LARRY &amp; SHEILA BR</t>
  </si>
  <si>
    <t>JABLONSKI, MARK &amp; G</t>
  </si>
  <si>
    <t>YILDIRIM, ISMAIL</t>
  </si>
  <si>
    <t>ORSINI, RONALD &amp; SUSAN</t>
  </si>
  <si>
    <t>NALL, VINCENT &amp; KAJAL</t>
  </si>
  <si>
    <t>YOST, LISA M</t>
  </si>
  <si>
    <t>WU, JASON &amp; WEN XI LEE</t>
  </si>
  <si>
    <t>JOHNSON, GARY &amp; TINA</t>
  </si>
  <si>
    <t>BHAVSAR, SNEHAL &amp; JIGNASA</t>
  </si>
  <si>
    <t>DI FRANCO, ROCCO A</t>
  </si>
  <si>
    <t>PHILLIPS, PATRICIA &amp; M</t>
  </si>
  <si>
    <t>SANTOYO JR, JEROME &amp; J</t>
  </si>
  <si>
    <t>GORTE FAMILY TRUST</t>
  </si>
  <si>
    <t>GUNUPURU, ANVESH &amp; SAYANT</t>
  </si>
  <si>
    <t>DIETZ, GREGORY &amp; RITA</t>
  </si>
  <si>
    <t>NAYAK, KATHRYN</t>
  </si>
  <si>
    <t>ALLEGRETTI, EDWARD &amp; A S</t>
  </si>
  <si>
    <t>DUGENA, HEATHER &amp; MICHAEL</t>
  </si>
  <si>
    <t>CHEN, NOBEL &amp; NAN YI L</t>
  </si>
  <si>
    <t>DUCA, ARON G &amp; FELICIA</t>
  </si>
  <si>
    <t>BOLANOS, EDGAR</t>
  </si>
  <si>
    <t>FERGUSON, CHRIS &amp; SAVITA</t>
  </si>
  <si>
    <t>JABRI, M I &amp; R ZAITOUNI</t>
  </si>
  <si>
    <t>SZWARC, D &amp; E HYLAND</t>
  </si>
  <si>
    <t>JAUCH, GLENN &amp; ALICE M</t>
  </si>
  <si>
    <t>KOUZMANOFF, BRANT</t>
  </si>
  <si>
    <t>HUMMEL, DAVID &amp; PATRICIA</t>
  </si>
  <si>
    <t>SHAH TR, SOHIL &amp; ZIL</t>
  </si>
  <si>
    <t>PARK, STEPHEN &amp; SEULGI</t>
  </si>
  <si>
    <t>CARRION, O &amp; S MOREJON</t>
  </si>
  <si>
    <t>PSHEDZIAL, ARTUR &amp; KATERY</t>
  </si>
  <si>
    <t>SHUKLA, RAM A</t>
  </si>
  <si>
    <t>PETRI, SIMA R</t>
  </si>
  <si>
    <t>CLAUDON, TIM J &amp; BETH E</t>
  </si>
  <si>
    <t>OLSON, MARK</t>
  </si>
  <si>
    <t>STANEK, RICHARD &amp; LAURA</t>
  </si>
  <si>
    <t>VENKITASUBRAMANIAN, V &amp; I</t>
  </si>
  <si>
    <t>AMOR, KHALID</t>
  </si>
  <si>
    <t>DANKLAU, CHRISTOPHER J</t>
  </si>
  <si>
    <t>STUCKEY, NANCY</t>
  </si>
  <si>
    <t>WAI KAM, CHERYL</t>
  </si>
  <si>
    <t>TILLOTSON, GRANT &amp; MEGAN</t>
  </si>
  <si>
    <t>PAPP, KYLE &amp; ASHLEY LANG</t>
  </si>
  <si>
    <t>LEE, JUNG &amp; ANGELA</t>
  </si>
  <si>
    <t>MEYER, A &amp; A DODSON</t>
  </si>
  <si>
    <t>CHINTHALACHERUVA, SWAPNA</t>
  </si>
  <si>
    <t>TENUTE, STEVEN J &amp; JULIE</t>
  </si>
  <si>
    <t>ALVAREZ, CLAUDE</t>
  </si>
  <si>
    <t>LOPES, MATEUS DE ARAUJO</t>
  </si>
  <si>
    <t>WALLRICH, KATARZYNA &amp; M</t>
  </si>
  <si>
    <t>ANDERSON, KIRK &amp; LYNETTE</t>
  </si>
  <si>
    <t>ARNETH, MICHAEL &amp; LINDA</t>
  </si>
  <si>
    <t>BHATIA, RISHI&amp; PARUL</t>
  </si>
  <si>
    <t>WEDDLE, MATTHEW &amp;JENNIFER</t>
  </si>
  <si>
    <t>ORDUNA, J &amp; M BETANCOURT</t>
  </si>
  <si>
    <t>JENKINS, AARON &amp; ELSA</t>
  </si>
  <si>
    <t>SCHULTZ, PAUL &amp; MEGAN</t>
  </si>
  <si>
    <t>STROJNY, MICHAEL &amp; J</t>
  </si>
  <si>
    <t>BATTLES, PAUL J &amp; JULIE</t>
  </si>
  <si>
    <t>DEGEORGE, MICHAEL PAUL</t>
  </si>
  <si>
    <t>SAIKAR, SHIVANI &amp; MAITREY</t>
  </si>
  <si>
    <t>AGUIRRE, TIM &amp; LYNDA</t>
  </si>
  <si>
    <t>KALEJS, MARK A &amp; RENEE</t>
  </si>
  <si>
    <t>BRADSTRUM, R &amp; C YAO</t>
  </si>
  <si>
    <t>BARANIAK, TODD D</t>
  </si>
  <si>
    <t>PASUPULETI, S &amp; S RAMISET</t>
  </si>
  <si>
    <t>SRINIVASAN TR, SYAMALA</t>
  </si>
  <si>
    <t>VALLANDINGHAM, JAMES &amp; E</t>
  </si>
  <si>
    <t>O RIORDAN, TREVOR &amp; E</t>
  </si>
  <si>
    <t>ALESI, E &amp; A RODRIGUEZ</t>
  </si>
  <si>
    <t>OLVERA, JENNIFER</t>
  </si>
  <si>
    <t>BHATT, JITENDRAKUMAR</t>
  </si>
  <si>
    <t>BRIDGE, NORMAN L</t>
  </si>
  <si>
    <t>DELOUGHERY, JAMES</t>
  </si>
  <si>
    <t>MENO, PHILIP F &amp; SALLY M</t>
  </si>
  <si>
    <t>HOUNTALAS, SPIRO &amp; ELENI</t>
  </si>
  <si>
    <t>ZHU, J &amp; Y CHEN</t>
  </si>
  <si>
    <t>HINDS, JOHN &amp; MELANIE</t>
  </si>
  <si>
    <t>WEILER, MICHAEL &amp; ELLA</t>
  </si>
  <si>
    <t>SHIOU, JAMES</t>
  </si>
  <si>
    <t>KHAN, MOHAMMED &amp;S SULTANA</t>
  </si>
  <si>
    <t>HERLIHY, PATRICIA</t>
  </si>
  <si>
    <t>BERTUCA, JOHN &amp; KATHRYN</t>
  </si>
  <si>
    <t>SOERENS, TODD &amp; PAMELA</t>
  </si>
  <si>
    <t>HUNG, PEI YU</t>
  </si>
  <si>
    <t>FLYNN, KATHLEEN M</t>
  </si>
  <si>
    <t>ARNOLD, S &amp; J GUAJARDO</t>
  </si>
  <si>
    <t>SHARP, J &amp; L CHESSER</t>
  </si>
  <si>
    <t>WYMA JR, HARRY &amp; SARAH B</t>
  </si>
  <si>
    <t>GALGANO BELLILE, ANN</t>
  </si>
  <si>
    <t>WOOD, JACK &amp; LESLIE</t>
  </si>
  <si>
    <t>AJJAMPUR, DATTAMURTHY&amp; S</t>
  </si>
  <si>
    <t>BOLAND, BONNIE J</t>
  </si>
  <si>
    <t>RUSSO, R &amp; G SINGH</t>
  </si>
  <si>
    <t>BUCHINGER, WILLIAM &amp; E A</t>
  </si>
  <si>
    <t>GRABOWSKI, ROBERT &amp; JULIE</t>
  </si>
  <si>
    <t>PRIFTI, SONILA</t>
  </si>
  <si>
    <t>GUZASKI, LINDSAY</t>
  </si>
  <si>
    <t>O CONNOR, TYLER &amp; STEPHAN</t>
  </si>
  <si>
    <t>FOGG FAMILY TRUST</t>
  </si>
  <si>
    <t>HASS, MATTHEW J &amp; BARBARA</t>
  </si>
  <si>
    <t>DHAR TR, SANJILA R</t>
  </si>
  <si>
    <t>KLOMP, R &amp; A MOSS</t>
  </si>
  <si>
    <t>RUSSELL, PETER &amp; PARVATHY</t>
  </si>
  <si>
    <t>TAMTA, SANJAY</t>
  </si>
  <si>
    <t>AYYAGARI, RAJASEKHAR V</t>
  </si>
  <si>
    <t>AMAN, SAFA &amp; ZACHARY VARL</t>
  </si>
  <si>
    <t>ZLATOS, KEITH</t>
  </si>
  <si>
    <t>HARVEY, PETER &amp; SUSAN</t>
  </si>
  <si>
    <t>WETHINGTON, M &amp; T CONLON</t>
  </si>
  <si>
    <t>DUCHATELLIER, ALEC</t>
  </si>
  <si>
    <t>PAI, ANAND K</t>
  </si>
  <si>
    <t>DENDRINOS, SOTIRIOS &amp;KARA</t>
  </si>
  <si>
    <t>PANZER, CHRISTOPHER &amp; N</t>
  </si>
  <si>
    <t>KESHAVA PRASAD LIVING TR</t>
  </si>
  <si>
    <t>POCZOS, MARK &amp; STEPHANIE</t>
  </si>
  <si>
    <t>KINTANAR, CARL &amp; ELIZA</t>
  </si>
  <si>
    <t>PARAMESWARAN, N &amp; V IYER</t>
  </si>
  <si>
    <t>HARI, L &amp; R NAGA</t>
  </si>
  <si>
    <t>SORIA, DAVID &amp; LINDA MITC</t>
  </si>
  <si>
    <t>SHANKAR, S &amp; T KAROOR</t>
  </si>
  <si>
    <t>REMBRECHT, CHARLES S</t>
  </si>
  <si>
    <t>BENAS, JOHN &amp; MARYANNE</t>
  </si>
  <si>
    <t>ALI, A &amp; M QASEM</t>
  </si>
  <si>
    <t>WILKINS, MICHAEL &amp; ABIGAI</t>
  </si>
  <si>
    <t>FLOYD BARRIE &amp; LINDA</t>
  </si>
  <si>
    <t>RUIZ, CARL A</t>
  </si>
  <si>
    <t>SWENSON, MICHAEL J</t>
  </si>
  <si>
    <t>SHIN, SUNG SOOK</t>
  </si>
  <si>
    <t>BAZAN, ANDY J &amp; MARY E</t>
  </si>
  <si>
    <t>SHARMA, SUNDEEP &amp; BARKHA</t>
  </si>
  <si>
    <t>JOHNSON, STEVEN &amp; ELIZABE</t>
  </si>
  <si>
    <t>VO, BAO &amp; WAYNE NGUYEN</t>
  </si>
  <si>
    <t>GAMARRA, C &amp; P VILLAJULCA</t>
  </si>
  <si>
    <t>KOLZOW, PATRICK &amp; C</t>
  </si>
  <si>
    <t>MALLORCA, SALVADOR &amp; E</t>
  </si>
  <si>
    <t>PERIYATHAMBI, L &amp; N RAMAL</t>
  </si>
  <si>
    <t>SULTAN, S &amp; A RODRIGUEZ</t>
  </si>
  <si>
    <t>MAROSI, JASON R</t>
  </si>
  <si>
    <t>VAN DE VOORT, D&amp;P MEINERT</t>
  </si>
  <si>
    <t>DEBORAH J KNUTSEN</t>
  </si>
  <si>
    <t>ROMERO, NICHOLAS &amp; K</t>
  </si>
  <si>
    <t>SIMON, MICHAEL &amp; MICHELLE</t>
  </si>
  <si>
    <t>LIPOSKY, JOSEPH</t>
  </si>
  <si>
    <t>LEIBFRITZ, JERRY &amp; LESLIE</t>
  </si>
  <si>
    <t>GADDE, N &amp; S BAPATLA</t>
  </si>
  <si>
    <t>HAMMARLUND, DONNA &amp; ERIC</t>
  </si>
  <si>
    <t>COOK, GREGORY &amp; VERA</t>
  </si>
  <si>
    <t>BOKAVIC, JORDAN &amp; IGOR</t>
  </si>
  <si>
    <t>FLATMAN, LYNNE N</t>
  </si>
  <si>
    <t>PATEL, SAMIR &amp; BHAVNA</t>
  </si>
  <si>
    <t>HAMIK, WILLIAM G</t>
  </si>
  <si>
    <t>HOMAN, J &amp; D FLORES</t>
  </si>
  <si>
    <t>HAMALIS, PERRY T &amp; PAT</t>
  </si>
  <si>
    <t>LINDHOLM, PAUL F</t>
  </si>
  <si>
    <t>XU, ZHENG Q &amp; LAN WANG</t>
  </si>
  <si>
    <t>REMPERT, DONALD H &amp; N J</t>
  </si>
  <si>
    <t>BLAND, HEATHER M</t>
  </si>
  <si>
    <t>TALREJA, ANIL G</t>
  </si>
  <si>
    <t>GANESAN, VANKETRAMAN</t>
  </si>
  <si>
    <t>HILDEBRANSKI, ROBERT &amp; E</t>
  </si>
  <si>
    <t>PATEL, DHAVAL &amp; CHETNA</t>
  </si>
  <si>
    <t>TAYYAB, GHASSAN &amp; SANA</t>
  </si>
  <si>
    <t>JENNRICH, THOMAS &amp; DONNA</t>
  </si>
  <si>
    <t>GRATI, V &amp; N MERIAERE</t>
  </si>
  <si>
    <t>SCHMID, GREG P &amp; MADELINE</t>
  </si>
  <si>
    <t>NAIR, PRANAV</t>
  </si>
  <si>
    <t>WAGNER, RYAN &amp; KORRIE</t>
  </si>
  <si>
    <t>KEATING, M &amp; B HOVLAND</t>
  </si>
  <si>
    <t>MALIK, A &amp; A KHALID</t>
  </si>
  <si>
    <t>HUH, YOUNG U &amp; KATHERINE</t>
  </si>
  <si>
    <t>PATEL, SUNIL &amp; NIPA</t>
  </si>
  <si>
    <t>DI MATTEO, THOMAS &amp; GINA</t>
  </si>
  <si>
    <t>LEE, KIWOOK</t>
  </si>
  <si>
    <t>SCOTT, DAVID A</t>
  </si>
  <si>
    <t>SKIRVIN, TIMOTHY &amp; R</t>
  </si>
  <si>
    <t>SCHROEDER, SCOTT &amp;ALLISON</t>
  </si>
  <si>
    <t>LYLES, ALICIA</t>
  </si>
  <si>
    <t>HILKERT, MARK &amp; NADIA DAN</t>
  </si>
  <si>
    <t>COYNE, KIMBERLY L</t>
  </si>
  <si>
    <t>NIMER, ANGELA</t>
  </si>
  <si>
    <t>SURAVAJHELA, KUMAR &amp; L</t>
  </si>
  <si>
    <t>LOMBANA, DIEGO &amp; M ARIAS</t>
  </si>
  <si>
    <t>VAVRIK, MATTHEW &amp; JENNA</t>
  </si>
  <si>
    <t>PATEL, CHINTANKUMAR &amp; JAN</t>
  </si>
  <si>
    <t>YEZHOV, OLEG</t>
  </si>
  <si>
    <t>BESHTA, EHAB &amp; WAFAA BASS</t>
  </si>
  <si>
    <t>GLASSETT, JOEL &amp; REBECCA</t>
  </si>
  <si>
    <t>EBERHARD, PETER &amp; CATRINA</t>
  </si>
  <si>
    <t>CALVARUSO, PAUL &amp; LISA</t>
  </si>
  <si>
    <t>BUCK, KEN R &amp; M CONDREN</t>
  </si>
  <si>
    <t>SCHAEFER, LISA G</t>
  </si>
  <si>
    <t>MALNAR, DANIEL &amp; ET AL</t>
  </si>
  <si>
    <t>PIEHL, MICHAEL &amp;CATHERINE</t>
  </si>
  <si>
    <t>NELSON, TERRENCE J</t>
  </si>
  <si>
    <t>GHASSAN, PAUL &amp; CHERYL</t>
  </si>
  <si>
    <t>LO, RICHARD &amp; GREER E</t>
  </si>
  <si>
    <t>BAKER JR, NICHOLAS</t>
  </si>
  <si>
    <t>SCOTT, CHRISTOPHER &amp; K</t>
  </si>
  <si>
    <t>RAMENANI, BHANU &amp; B</t>
  </si>
  <si>
    <t>SMITH, DUGAL A &amp; PAMELA L</t>
  </si>
  <si>
    <t>SAVICKAS, ASTA</t>
  </si>
  <si>
    <t>KINNIARD, RUSSELL &amp; J</t>
  </si>
  <si>
    <t>WEIGT, V &amp; J HEISS</t>
  </si>
  <si>
    <t>ALESZCZYK LIVING TRUST</t>
  </si>
  <si>
    <t>JIRJEES, L &amp; M NAJEEB</t>
  </si>
  <si>
    <t>BRADY, MICHAEL S</t>
  </si>
  <si>
    <t>GAUSEMEL, PAUL &amp; AMY</t>
  </si>
  <si>
    <t>SEELEY, JAMES &amp; THERESE</t>
  </si>
  <si>
    <t>GERECKE, YVONNE &amp; DENNIS</t>
  </si>
  <si>
    <t>LE, TRI QUANG &amp; HOA THI</t>
  </si>
  <si>
    <t>MORRIS, JOHN &amp; MARY ANN</t>
  </si>
  <si>
    <t>ZHANG, JINGYING</t>
  </si>
  <si>
    <t>BRENNAN, TERRANCE &amp; C E</t>
  </si>
  <si>
    <t>STEINER, AARON &amp; GINA</t>
  </si>
  <si>
    <t>KOLIN, THEODORE &amp; M</t>
  </si>
  <si>
    <t>BROWN, MICHAEL &amp; CORINNE</t>
  </si>
  <si>
    <t>DRAPER, LARRY</t>
  </si>
  <si>
    <t>PIETRAS, JONATHAN &amp; JESS</t>
  </si>
  <si>
    <t>REISS, ROBERT S</t>
  </si>
  <si>
    <t>STEFFES, LINDSEY &amp; DANIEL</t>
  </si>
  <si>
    <t>KUMAR, S &amp; V GONUR</t>
  </si>
  <si>
    <t>LEVENTRY, SAMUEL &amp; NANCY</t>
  </si>
  <si>
    <t>BOTOS, JUSTIN</t>
  </si>
  <si>
    <t>NOORIGIAN, GREG &amp; ALEXA</t>
  </si>
  <si>
    <t>VINCENT, D &amp; A MC CARTHY</t>
  </si>
  <si>
    <t>RAMSEY, STACEY</t>
  </si>
  <si>
    <t>RENTAS, JOHN &amp; PATRICIA</t>
  </si>
  <si>
    <t>FOY, JEFFREY &amp; JANET E</t>
  </si>
  <si>
    <t>CAI, LI</t>
  </si>
  <si>
    <t>DIOTALLEVI, RONALD</t>
  </si>
  <si>
    <t>SHARMA, RIPUJEET</t>
  </si>
  <si>
    <t>MEHTA, ABHISHEK &amp; MELISSA</t>
  </si>
  <si>
    <t>HUDSON, JEFFERY &amp; LAURA</t>
  </si>
  <si>
    <t>MAYEN, CARLOS &amp; REBECCA</t>
  </si>
  <si>
    <t>BETHANASAMY&amp;PURUSHOTHAMAN</t>
  </si>
  <si>
    <t>CHOWDHURY, SHAHEEN A</t>
  </si>
  <si>
    <t>KOT, JEFFREY &amp; ROBIN</t>
  </si>
  <si>
    <t>PARRILLI, JAMES &amp; MARCIA</t>
  </si>
  <si>
    <t>STEINBERG, B &amp; C BOYLAN</t>
  </si>
  <si>
    <t>REINA, BENEDICT &amp; KIM</t>
  </si>
  <si>
    <t>NEUMAN, J &amp; W LOBASH</t>
  </si>
  <si>
    <t>PEREZ, SARAH M &amp; E</t>
  </si>
  <si>
    <t>GUERIN, MICHAEL &amp; C MALM</t>
  </si>
  <si>
    <t>PATEL, ROMIN</t>
  </si>
  <si>
    <t>DOUCETTE, JOEL</t>
  </si>
  <si>
    <t>DUGAL, JACK &amp; KAREN</t>
  </si>
  <si>
    <t>CRONIN, DANIEL &amp; JENNIFER</t>
  </si>
  <si>
    <t>FRAYCHINEAUD, CALLEN &amp; GA</t>
  </si>
  <si>
    <t>SURMA, ANTHONY &amp; JENNIFER</t>
  </si>
  <si>
    <t>NILLES, ANTHONY &amp; NICOLE</t>
  </si>
  <si>
    <t>BLAZEK, TIMOTHY J</t>
  </si>
  <si>
    <t>STEWART, JOHN &amp; KELLY</t>
  </si>
  <si>
    <t>BARKER, CHAD &amp; BROOK</t>
  </si>
  <si>
    <t>THEODORE, NANCY  TR</t>
  </si>
  <si>
    <t>YATES, STEVEN &amp; CHERIE</t>
  </si>
  <si>
    <t>DAY, JOEL M &amp; JUDITH A</t>
  </si>
  <si>
    <t>WINTCZAK, MARK &amp; DEBORAH</t>
  </si>
  <si>
    <t>KOUPAL, MATTHEW C &amp; J R</t>
  </si>
  <si>
    <t>AKER, ROCK E &amp; LAURENA S</t>
  </si>
  <si>
    <t>MOLZAHN, DAVID</t>
  </si>
  <si>
    <t>MILLER, MICHAEL &amp; CHARLEN</t>
  </si>
  <si>
    <t>VAN DYCK, S &amp; S JAIN</t>
  </si>
  <si>
    <t>GRECO, FRANK &amp; MARCIA CAS</t>
  </si>
  <si>
    <t>ESMAEILI, MEYSAM &amp; NEDA L</t>
  </si>
  <si>
    <t>WU HARDEE, LILAO</t>
  </si>
  <si>
    <t>GUCKEL, ERIK &amp; EFIMIA</t>
  </si>
  <si>
    <t>AHMAD, A &amp; N SHAH</t>
  </si>
  <si>
    <t>GUZMAN, THOMAS &amp; CAROL S</t>
  </si>
  <si>
    <t>NOTTESTAD, ANDREW &amp; S</t>
  </si>
  <si>
    <t>REICHOLD, LUKE &amp; BRINDA G</t>
  </si>
  <si>
    <t>GRUBER, MATTHEW &amp; K</t>
  </si>
  <si>
    <t>GAO, BO &amp; JINMEI LIAN</t>
  </si>
  <si>
    <t>TSIMOURIS, EMMANOUIL &amp; A</t>
  </si>
  <si>
    <t>CAI, ZHENG &amp; HONGYAO HU</t>
  </si>
  <si>
    <t>KNOEPFLE, JOHN &amp;CHRISTINA</t>
  </si>
  <si>
    <t>NOVAK, VIVIAN</t>
  </si>
  <si>
    <t>SHAH, ILA</t>
  </si>
  <si>
    <t>MOGAL, ANWAR</t>
  </si>
  <si>
    <t>ORYNTAY, ALMAT</t>
  </si>
  <si>
    <t>ALI, ARIF</t>
  </si>
  <si>
    <t>AITCHISON, SCOTT &amp; STACI</t>
  </si>
  <si>
    <t>CHAUDHURI, SANJAY &amp; SOMA</t>
  </si>
  <si>
    <t>KORIENEK, MATTHEW</t>
  </si>
  <si>
    <t>PRAKASH, DARSHANA</t>
  </si>
  <si>
    <t>LASETER, RAYMOND &amp; D</t>
  </si>
  <si>
    <t>HOTWAGNER, MARK A &amp; MARY</t>
  </si>
  <si>
    <t>STOUT, JOHN</t>
  </si>
  <si>
    <t>DI JOHN, JOHN &amp; MILAGROS</t>
  </si>
  <si>
    <t>KONSTROFFER, CHRISTIANE</t>
  </si>
  <si>
    <t>PATEL, NAVEEN &amp; ASHA</t>
  </si>
  <si>
    <t>BHARGAVA, PULKIT &amp; PARUL</t>
  </si>
  <si>
    <t>MC KENNA, KYLE &amp; KAREN</t>
  </si>
  <si>
    <t>SCHMITZ, WILLIAM &amp; SHEILA</t>
  </si>
  <si>
    <t>BUSCH, ROBT &amp; RANJANA</t>
  </si>
  <si>
    <t>YU, FEIFAN &amp; JANET LIN</t>
  </si>
  <si>
    <t>LIU, CHANG</t>
  </si>
  <si>
    <t>TJARDS, JOHN &amp; CAROLYN</t>
  </si>
  <si>
    <t>KRISHNAN, SAMPATHKUMAR</t>
  </si>
  <si>
    <t>RAGEI, MAKARY &amp; SAMIRA</t>
  </si>
  <si>
    <t>SEFTON, STEPHEN &amp; KAY</t>
  </si>
  <si>
    <t>LI, HUI</t>
  </si>
  <si>
    <t>ZHANG, A &amp; C DI MARCO</t>
  </si>
  <si>
    <t>ZHU, STEVEN &amp; IRIS SONG</t>
  </si>
  <si>
    <t>SINGH, S &amp; V RAJIGARE</t>
  </si>
  <si>
    <t>SKELLEY, JAMES B</t>
  </si>
  <si>
    <t>THATTE, RAMDAS &amp; SUPARNA</t>
  </si>
  <si>
    <t>HAQUE, SHABBIR &amp; SHAISTA</t>
  </si>
  <si>
    <t>VEERARAGHAVAN, N &amp; V ARAV</t>
  </si>
  <si>
    <t>FARMER, ROBERT &amp; LINDA</t>
  </si>
  <si>
    <t>LOUGHMAN, ROBERT</t>
  </si>
  <si>
    <t>TUMURBAATAR, ENKHBAYAR</t>
  </si>
  <si>
    <t>LOPEZ, ANTHONY &amp; KATHRINE</t>
  </si>
  <si>
    <t>MASCHERI, SALVATORE &amp; J</t>
  </si>
  <si>
    <t>MEJIA, ROGELIO &amp; BLANCA</t>
  </si>
  <si>
    <t>HUYNH, HUE &amp; TAMMY</t>
  </si>
  <si>
    <t>BITZER, MATTHEW &amp; ALISON</t>
  </si>
  <si>
    <t>MASON, KATHERINE L</t>
  </si>
  <si>
    <t>BOGUTA, KRZYSZTOF &amp; E</t>
  </si>
  <si>
    <t>CALLAHAN, MICHAEL W &amp; J G</t>
  </si>
  <si>
    <t>NELSON, CHARLES &amp; BEVERLY</t>
  </si>
  <si>
    <t>WACNIK, MARCIN &amp; SVITLANA</t>
  </si>
  <si>
    <t>KOOTTALA, SURAJ &amp; RAGI</t>
  </si>
  <si>
    <t>SUN, YU &amp; WEI ZHANG</t>
  </si>
  <si>
    <t>KUMAR, P &amp; A DHIMAN</t>
  </si>
  <si>
    <t>BURLAKOV, SERGEY</t>
  </si>
  <si>
    <t>PATEL, DEEPAK &amp; CHETNA</t>
  </si>
  <si>
    <t>PANKOW, JEFFREY &amp; M</t>
  </si>
  <si>
    <t>SALAM, MOHAMED</t>
  </si>
  <si>
    <t>TRIVEDI, AMISH &amp; POONAM</t>
  </si>
  <si>
    <t>KRUP, BRYAN &amp; CHRISTIE</t>
  </si>
  <si>
    <t>MARTYN, JOANN</t>
  </si>
  <si>
    <t>BASU, SANKHA &amp; GAURI</t>
  </si>
  <si>
    <t>ZAMARSKI, GRZEGORZ &amp; B</t>
  </si>
  <si>
    <t>WIEGAND, RYAN &amp; JESSICA</t>
  </si>
  <si>
    <t>KEY, ADAM &amp; LAUREN BUCK</t>
  </si>
  <si>
    <t>KESSLER, JOHN &amp; PATRICIA</t>
  </si>
  <si>
    <t>MC CARTHY, M &amp; M RUNNING</t>
  </si>
  <si>
    <t>BALL, LARRY &amp; MARY</t>
  </si>
  <si>
    <t>CORTEZ, MARIBEL</t>
  </si>
  <si>
    <t>RASATHURAI, MARIO &amp; ANITA</t>
  </si>
  <si>
    <t>BHAGAT, MAHENDRA &amp; VEENA</t>
  </si>
  <si>
    <t>JORGENSEN, CRAIG &amp; CONCET</t>
  </si>
  <si>
    <t>LEYDEN, SCOTT &amp; MARGARET</t>
  </si>
  <si>
    <t>MANDERSCHIED, ANTHONY &amp; K</t>
  </si>
  <si>
    <t>SKIMEL, ERIN</t>
  </si>
  <si>
    <t>TUMBEV, NIKOLA &amp; DENITSA</t>
  </si>
  <si>
    <t>BANERJEE, SOURAV &amp; SUPARN</t>
  </si>
  <si>
    <t>MOLUGU, R &amp; S KARNATI</t>
  </si>
  <si>
    <t>VENUGOPALAN, N &amp; P GURU</t>
  </si>
  <si>
    <t>BATTISTO, JOSEPH J &amp; MARY</t>
  </si>
  <si>
    <t>BENJAMIN, MINA &amp; MARIAN</t>
  </si>
  <si>
    <t>ADAMIAN, VICTOR &amp; LARISA</t>
  </si>
  <si>
    <t>PANOCH, JEFFREY &amp; C TR</t>
  </si>
  <si>
    <t>ALAM, SYED M &amp; MUMTAZ</t>
  </si>
  <si>
    <t>BRICKNER, ANDREA</t>
  </si>
  <si>
    <t>KEELY, REGINA N</t>
  </si>
  <si>
    <t>BLANKENBAKER, MICHAEL V</t>
  </si>
  <si>
    <t>GRANHOLM, PETER &amp; NATASHA</t>
  </si>
  <si>
    <t>JAFFERY, SYED &amp; NAZ</t>
  </si>
  <si>
    <t>BATHURST, CRAIG &amp; NOELLE</t>
  </si>
  <si>
    <t>LITCHER, C &amp; K HARKCOM</t>
  </si>
  <si>
    <t>HEJNY, JEFFREY</t>
  </si>
  <si>
    <t>PAMPINELLA, MICHAEL &amp; T</t>
  </si>
  <si>
    <t>PULIKOTIL, FRANCIS XAVIER</t>
  </si>
  <si>
    <t>MAAJED, Y &amp; S YAWAR</t>
  </si>
  <si>
    <t>SETORK, AMIR &amp; S POUR</t>
  </si>
  <si>
    <t>RANSON, ARIK B</t>
  </si>
  <si>
    <t>GUENTHER, JAMES G &amp; MARY</t>
  </si>
  <si>
    <t>RAZA, AHSAN SYED</t>
  </si>
  <si>
    <t>VIG, N &amp; S SEN</t>
  </si>
  <si>
    <t>ROBINSON, WILSON L</t>
  </si>
  <si>
    <t>CRAIG, BRUCE W</t>
  </si>
  <si>
    <t>BUSH, AMY &amp; MATTHEW</t>
  </si>
  <si>
    <t>REED, JODY</t>
  </si>
  <si>
    <t>SHEAHAN, JAMES &amp; JOANN</t>
  </si>
  <si>
    <t>MILLER, JOHN W &amp; CHERYL L</t>
  </si>
  <si>
    <t>HAND, MICHAEL &amp;JACQUELINE</t>
  </si>
  <si>
    <t>LYNCH, JASON &amp; K LARMORE</t>
  </si>
  <si>
    <t>WETZEL, LAWRENCE &amp; J</t>
  </si>
  <si>
    <t>JONES, WALTER B</t>
  </si>
  <si>
    <t>BUTLER, ERIC &amp; KELEI SCHU</t>
  </si>
  <si>
    <t>CALHOUN, JULIA A</t>
  </si>
  <si>
    <t>LUND, DAVID M</t>
  </si>
  <si>
    <t>SHAUT, JOAN M</t>
  </si>
  <si>
    <t>PINTO JR, GABRIEL &amp;ASHLEY</t>
  </si>
  <si>
    <t>WOHEAD, ROBERT J &amp; WANDA</t>
  </si>
  <si>
    <t>CASIELLO, R &amp; N GLOWACKI</t>
  </si>
  <si>
    <t>ZIEBARTH, MATTHEW &amp; MARIE</t>
  </si>
  <si>
    <t>SAGUTURU, S &amp; S YELCHURU</t>
  </si>
  <si>
    <t>EL AKKARI, BOUBKER</t>
  </si>
  <si>
    <t>MANJUNATH, SHWETHA</t>
  </si>
  <si>
    <t>STALLWORTH, DAVID &amp;CHERYL</t>
  </si>
  <si>
    <t>HLINOVSKY, NICOLE</t>
  </si>
  <si>
    <t>MUTOMBO, OSCAR N</t>
  </si>
  <si>
    <t>CONLEY, JENNIFER</t>
  </si>
  <si>
    <t>PHILIP, GEORGE</t>
  </si>
  <si>
    <t>KOT, ROBERT &amp; MIRIAM</t>
  </si>
  <si>
    <t>ALBACH, STEPHEN P &amp; KAY H</t>
  </si>
  <si>
    <t>MAYLORALGO, JOSEPH J</t>
  </si>
  <si>
    <t>OCHOA, VINICIO</t>
  </si>
  <si>
    <t>KUBY, DALE &amp; PAMELA</t>
  </si>
  <si>
    <t>MATOUSEK, THOMAS &amp; DENISE</t>
  </si>
  <si>
    <t>KAMDAR, P &amp; S SINGARAJU</t>
  </si>
  <si>
    <t>KGVAN, ROGER &amp; JENNA</t>
  </si>
  <si>
    <t>JEWULSKI, LUCYNA M</t>
  </si>
  <si>
    <t>COVERT, BRIAN &amp; SADIA</t>
  </si>
  <si>
    <t>CANTU TR, VILMA</t>
  </si>
  <si>
    <t>VENEGAS, CARLOS &amp; M</t>
  </si>
  <si>
    <t>CHAKRABARTY, ROBERT</t>
  </si>
  <si>
    <t>MAITRA, SUPRATEEP</t>
  </si>
  <si>
    <t>HUANG, EDWARD &amp; SHU-JEN</t>
  </si>
  <si>
    <t>BOJILOV, IVAN &amp; MARIA</t>
  </si>
  <si>
    <t>KLEINBERG, DAVID M &amp;TRACY</t>
  </si>
  <si>
    <t>PRIZGINTAS, JULIA</t>
  </si>
  <si>
    <t>KOLODZEJ, MATTHEW S</t>
  </si>
  <si>
    <t>VILLALOBOS, S &amp; M GIL</t>
  </si>
  <si>
    <t>ALLEN, MATTHEW &amp; ANA</t>
  </si>
  <si>
    <t>MURPHY, J &amp; K MARK</t>
  </si>
  <si>
    <t>PREBOLA, A &amp; M TRUONG</t>
  </si>
  <si>
    <t>KUNDU, SANKAR K</t>
  </si>
  <si>
    <t>ALLEN, ROBERT &amp; CHRISTINE</t>
  </si>
  <si>
    <t>MATTHEW, SOJI N</t>
  </si>
  <si>
    <t>VAN EPPS, TIMOTHY K</t>
  </si>
  <si>
    <t>POCIASK, JOHN &amp; DEANNE</t>
  </si>
  <si>
    <t>BEHRNS, JOSHUA</t>
  </si>
  <si>
    <t>GOLDSTEIN, MENECHAM</t>
  </si>
  <si>
    <t>CANNON JR, PAUL &amp; SANDRA</t>
  </si>
  <si>
    <t>RIBEIRO, JOAO &amp; CAMILA PI</t>
  </si>
  <si>
    <t>STROUSE, KRISTINE T</t>
  </si>
  <si>
    <t>NINO, JAVIER &amp; A SALGUERO</t>
  </si>
  <si>
    <t>STANLEY, JASON &amp; JANINA</t>
  </si>
  <si>
    <t>THOMAS, BARRY &amp; DIANNE</t>
  </si>
  <si>
    <t>ADAMS, WILLIAM &amp; NADINE</t>
  </si>
  <si>
    <t>WAWRZYNIAKOWSKI, EUGENE</t>
  </si>
  <si>
    <t>CHRISTENSEN, MATTHEW &amp; B</t>
  </si>
  <si>
    <t>LAROCCO, RANDI &amp; BRANDON</t>
  </si>
  <si>
    <t>ACEVEDO, R &amp; Y PALMA</t>
  </si>
  <si>
    <t>GREENSPAN, STEVE &amp; LINDA</t>
  </si>
  <si>
    <t>MANUEL, HOWARD &amp; CHRISTY</t>
  </si>
  <si>
    <t>MATHEWS, SHERRY P</t>
  </si>
  <si>
    <t>CAVICCHIONI, DAVID &amp; R</t>
  </si>
  <si>
    <t>POLK, JOHN &amp; SYNDEE</t>
  </si>
  <si>
    <t>OVERHOLT, LISA</t>
  </si>
  <si>
    <t>GRAFF, PAUL &amp; ALEXIS</t>
  </si>
  <si>
    <t>DE GUZMAN, FERDINAND &amp; A</t>
  </si>
  <si>
    <t>RIZZO, MARY &amp; A ECKHOUSE</t>
  </si>
  <si>
    <t>SESSA JR, ERNEST &amp; K</t>
  </si>
  <si>
    <t>NARAYANAN, VIGNESH &amp; A VI</t>
  </si>
  <si>
    <t>MADHOK, RAJI RAJINDER</t>
  </si>
  <si>
    <t>LEMAN, MATTHEW &amp; JULIE</t>
  </si>
  <si>
    <t>PIZZURRO, ROBERT E</t>
  </si>
  <si>
    <t>MURTHY, ARUN &amp; ANITHA</t>
  </si>
  <si>
    <t>BALDACCI, THOMAS &amp; GRACE</t>
  </si>
  <si>
    <t>VILLARREAL-PROCHASKA, T L</t>
  </si>
  <si>
    <t>DUNNING, CHARLES&amp;MARGARET</t>
  </si>
  <si>
    <t>HAYMON, R &amp; E CANELO</t>
  </si>
  <si>
    <t>GROVE, ADAM &amp; PATRICIA</t>
  </si>
  <si>
    <t>FEDANZO, GENO &amp; SUSAN</t>
  </si>
  <si>
    <t>YERRA, SATISH</t>
  </si>
  <si>
    <t>GLONEK, PAUL &amp; DIANE</t>
  </si>
  <si>
    <t>HAVLIK, GARY A &amp; ODETTE</t>
  </si>
  <si>
    <t>CHAVIS, SHANE &amp; KATHRYN B</t>
  </si>
  <si>
    <t>GREGORI, PAUL &amp; LAUREN</t>
  </si>
  <si>
    <t>SWORNAMMAL, JAYA</t>
  </si>
  <si>
    <t>SCHOENE, JOHN &amp; INGRID</t>
  </si>
  <si>
    <t>SIMKINS, RYAN J</t>
  </si>
  <si>
    <t>DUMLAO, ERIC &amp; E LIRA</t>
  </si>
  <si>
    <t>BINDLER, FREDRIC &amp; DEBRA</t>
  </si>
  <si>
    <t>HEIN, AMY J</t>
  </si>
  <si>
    <t>NAHAS, THIAGO &amp; RENATA AN</t>
  </si>
  <si>
    <t>SUGANO, CHRISTOPHER</t>
  </si>
  <si>
    <t>YANG, SYLVIA H</t>
  </si>
  <si>
    <t>NG, HENRY K</t>
  </si>
  <si>
    <t>PIETRAS, MARIAN &amp; ANNA</t>
  </si>
  <si>
    <t>FUSINETTI, ERIC &amp; J</t>
  </si>
  <si>
    <t>KOBLESKI, ROBERT P</t>
  </si>
  <si>
    <t>BAKSI, MOUSHUMI</t>
  </si>
  <si>
    <t>CRUZ, ARNOLD &amp; ANNA</t>
  </si>
  <si>
    <t>SHUDNOW, ELAN</t>
  </si>
  <si>
    <t>KULICK, J &amp; S BIRDSALL</t>
  </si>
  <si>
    <t>LEE, CHAI C &amp; M SHON</t>
  </si>
  <si>
    <t>PAMPENELLA, FRANK &amp; JULIE</t>
  </si>
  <si>
    <t>VENTURI, VICTOR &amp; CAITLIN</t>
  </si>
  <si>
    <t>GONZALEZ, ERIK A</t>
  </si>
  <si>
    <t>PETROV, ANDREY &amp; ELENA</t>
  </si>
  <si>
    <t>SCHILTZ, GARY E &amp; MARY B</t>
  </si>
  <si>
    <t>CHU, WAICHIN</t>
  </si>
  <si>
    <t>BLACK, TIMOTHY &amp; KAYLA</t>
  </si>
  <si>
    <t>LAHTI, ALLYSSA &amp; HENRY</t>
  </si>
  <si>
    <t>WLODARCZYK, MICHAEL &amp; A</t>
  </si>
  <si>
    <t>JOHNSON, KARLA K</t>
  </si>
  <si>
    <t>SEBBY, MELANIE</t>
  </si>
  <si>
    <t>GANDHI TR, VEENA</t>
  </si>
  <si>
    <t>NORTON, R &amp; L RICHARDS</t>
  </si>
  <si>
    <t>ZADLO TR, CHARLES &amp; JESSI</t>
  </si>
  <si>
    <t>RUSCHKE, ROBERT</t>
  </si>
  <si>
    <t>SMITH, KRISTOPHER &amp; M</t>
  </si>
  <si>
    <t>HUBERT, GREGORY &amp; SHELLEY</t>
  </si>
  <si>
    <t>KEGL, ANTHONY A &amp; DONNA M</t>
  </si>
  <si>
    <t>ROGLANS RIBAS, JORDI</t>
  </si>
  <si>
    <t>KREFFT, MICHAEL &amp;L STANEK</t>
  </si>
  <si>
    <t>DUBEY, SWAPNAL &amp; DEEPSRI</t>
  </si>
  <si>
    <t>GREK, LISA</t>
  </si>
  <si>
    <t>MARCANO, JOSE A</t>
  </si>
  <si>
    <t>HIMMILWRIGHT, PAULINE</t>
  </si>
  <si>
    <t>MALLOY, LAUREN G</t>
  </si>
  <si>
    <t>TSIOLES, ROBERT &amp; MICHELL</t>
  </si>
  <si>
    <t>NAMPERUMAL, RAJAGOPAL &amp; B</t>
  </si>
  <si>
    <t>GHAI, P &amp; A MENDIRATTA</t>
  </si>
  <si>
    <t>EBERLY, MARIETTA</t>
  </si>
  <si>
    <t>BOKHARI, SOHAIB &amp; ZAINAB</t>
  </si>
  <si>
    <t>SMITH, DAVID C</t>
  </si>
  <si>
    <t>TENG, QIAN &amp; WUZHI MA</t>
  </si>
  <si>
    <t>CYR, GREGORY P &amp; MARY G</t>
  </si>
  <si>
    <t>NANJUNDAPPA, BASAVARAJU</t>
  </si>
  <si>
    <t>DEMCHUK, OLEKSIY</t>
  </si>
  <si>
    <t>MUKARDAMWALA, SUHEL &amp; S</t>
  </si>
  <si>
    <t>THERADY, MATHEW &amp; AGNES</t>
  </si>
  <si>
    <t>ANTAR, ABRAHAM Y &amp; ZAHRA</t>
  </si>
  <si>
    <t>BOTWINSKI, ROBERT J &amp; S A</t>
  </si>
  <si>
    <t>LIM, F &amp; S LIAN</t>
  </si>
  <si>
    <t>SHAIKH, WASIM &amp; NOORULAYN</t>
  </si>
  <si>
    <t>WALT, RICHARD J &amp; DONNA J</t>
  </si>
  <si>
    <t>KOSTRYKO, VITALI</t>
  </si>
  <si>
    <t>MISASI, MARIE A</t>
  </si>
  <si>
    <t>KRAL, CHRISTINE B</t>
  </si>
  <si>
    <t>THANGAMANI,ELANJCHEZHIYAN</t>
  </si>
  <si>
    <t>WANG, C &amp; J CHANG</t>
  </si>
  <si>
    <t>VITALE, RICHARD &amp; LAURA</t>
  </si>
  <si>
    <t>KACZOR, JULIE</t>
  </si>
  <si>
    <t>KEIPER, BOGUSLAW</t>
  </si>
  <si>
    <t>CAMPBELL, CHRISTOPHER &amp; E</t>
  </si>
  <si>
    <t>BOROWS, KAREN L</t>
  </si>
  <si>
    <t>COLLINS, ERIN</t>
  </si>
  <si>
    <t>YE, ZONGLIN &amp; DING</t>
  </si>
  <si>
    <t>PETRILLA, CHRISTINE ELISE</t>
  </si>
  <si>
    <t>PRAKASH, ROHIT</t>
  </si>
  <si>
    <t>LI, HUI C &amp; LI J CHEN</t>
  </si>
  <si>
    <t>VEERAIAH, G &amp; R GANESH</t>
  </si>
  <si>
    <t>REISS, DANIEL &amp; MEAGAN</t>
  </si>
  <si>
    <t>KHAN, AAMIR</t>
  </si>
  <si>
    <t>BOZONELOS, JOHN &amp; MARIA</t>
  </si>
  <si>
    <t>SUH, SOYOUNG</t>
  </si>
  <si>
    <t>JIRJEES, KARAM S</t>
  </si>
  <si>
    <t>KIBURG, BRENDAN E</t>
  </si>
  <si>
    <t>KIRTHI, SURYA &amp; VANITHA</t>
  </si>
  <si>
    <t>GIBBONS, SUSAN M</t>
  </si>
  <si>
    <t>REN, NING &amp; YUHONG ZHANG</t>
  </si>
  <si>
    <t>PETRIK, JACLYN</t>
  </si>
  <si>
    <t>WINNICKI, MARIUSZ</t>
  </si>
  <si>
    <t>AHMED, SYED &amp; NADIA</t>
  </si>
  <si>
    <t>SWANSON, JAMES &amp; MICHELLE</t>
  </si>
  <si>
    <t>ANWAR, KM MORSHED</t>
  </si>
  <si>
    <t>CAITHAMER, MARK &amp; TERRY</t>
  </si>
  <si>
    <t>1615 LOIS ANN LLC</t>
  </si>
  <si>
    <t>LAM, TERRY Y</t>
  </si>
  <si>
    <t>STOCKTON, WILLIAM D</t>
  </si>
  <si>
    <t>PATHAK, G &amp; I JASWAL</t>
  </si>
  <si>
    <t>CHERVINKO, BRENDON</t>
  </si>
  <si>
    <t>JIN, XIAO &amp; AILIAN</t>
  </si>
  <si>
    <t>KIRKMAN, ANDREW &amp; JANET</t>
  </si>
  <si>
    <t>MATHEW, JOSHY J &amp; NISHA</t>
  </si>
  <si>
    <t>PISKE, JENNIFER &amp; GLENROY</t>
  </si>
  <si>
    <t>MOIZUDDIN, RASEQ</t>
  </si>
  <si>
    <t>VOLK, WILLIAM &amp; KATHLEEN</t>
  </si>
  <si>
    <t>PIHA, WENDY W</t>
  </si>
  <si>
    <t>KULIGOWSKI, KEVIN &amp; PEGGY</t>
  </si>
  <si>
    <t>HUSSAINI, SYED &amp; ASRA</t>
  </si>
  <si>
    <t>LEGG, BEATRIZ S</t>
  </si>
  <si>
    <t>WESLEY, TALMAGE &amp; AVRIL</t>
  </si>
  <si>
    <t>MERTES, LAWRENCE &amp; CAROL</t>
  </si>
  <si>
    <t>NAJDOVSKI, DRAGAN &amp; A</t>
  </si>
  <si>
    <t>1667 HINTERLONG LLC</t>
  </si>
  <si>
    <t>MAHESHWARI, PIYUSH</t>
  </si>
  <si>
    <t>LUKASEVICS, STANISLAVS</t>
  </si>
  <si>
    <t>SANTHANAM, P &amp; K MAMGAI</t>
  </si>
  <si>
    <t>LEE, GRACE</t>
  </si>
  <si>
    <t>SELANDER, ELIZABETH S</t>
  </si>
  <si>
    <t>HUBER, NANCY H</t>
  </si>
  <si>
    <t>ZWIERZCHLEYSKI, JACEK</t>
  </si>
  <si>
    <t>MENNENGA, SCOTT A</t>
  </si>
  <si>
    <t>FERNANDEZ, SERGIO &amp; L</t>
  </si>
  <si>
    <t>CHERUVIL, L &amp; MARY JOSE</t>
  </si>
  <si>
    <t>TSOU, CHIU SHUN &amp; HUIYU</t>
  </si>
  <si>
    <t>YAN, LI &amp; YUE LU</t>
  </si>
  <si>
    <t>CHEN, SHYH S &amp; Y H LIAO</t>
  </si>
  <si>
    <t>TIPTON, BENJAMIN &amp; ALYCIA</t>
  </si>
  <si>
    <t>OLSON, KURT &amp; ANGELA</t>
  </si>
  <si>
    <t>SURMANN, EVA &amp; EDGAR RAMI</t>
  </si>
  <si>
    <t>ORTIZ, JOSEPH &amp; TARA</t>
  </si>
  <si>
    <t>RAMASUBRAMANIAN, A</t>
  </si>
  <si>
    <t>KHAN, MOHAMMAD &amp; SYEDA</t>
  </si>
  <si>
    <t>KLAMMER, BERND</t>
  </si>
  <si>
    <t>DESAI,  RASHMI &amp; NAVIN</t>
  </si>
  <si>
    <t>LA, VI CHI &amp; TINA</t>
  </si>
  <si>
    <t>LU, JU &amp; YUE HE</t>
  </si>
  <si>
    <t>PETERSON, RONALD &amp; DENISE</t>
  </si>
  <si>
    <t>ISAAC, GEORGE</t>
  </si>
  <si>
    <t>FOTOPOULOS, ROBERT A</t>
  </si>
  <si>
    <t>VOSS, MICHAEL R</t>
  </si>
  <si>
    <t>ZAVADOVICS, JOSEPH S &amp; L</t>
  </si>
  <si>
    <t>NORTELL, BRUCE</t>
  </si>
  <si>
    <t>MORLEY, PATRICK &amp; MAE LYN</t>
  </si>
  <si>
    <t>NELSON, DALE &amp; GINA</t>
  </si>
  <si>
    <t>RAHMAN, MOHAMMED &amp; G  TRS</t>
  </si>
  <si>
    <t>ANDERSON, JEANNINE M</t>
  </si>
  <si>
    <t>PERYSHKIN, ALEXANDER &amp; T</t>
  </si>
  <si>
    <t>GAO, CHONGYU</t>
  </si>
  <si>
    <t>WULF, ERIC &amp; JOLANTA</t>
  </si>
  <si>
    <t>BAIRD, WILLIAM</t>
  </si>
  <si>
    <t>BACANI, MANUEL &amp; PAULITA</t>
  </si>
  <si>
    <t>DENTON, THOMAS</t>
  </si>
  <si>
    <t>GARCIA, MICHAEL &amp; MILDRED</t>
  </si>
  <si>
    <t>SANCHEZ, D &amp; E JIMENEZ</t>
  </si>
  <si>
    <t>TUSZYNSKI, PIOTR &amp; SYLWIA</t>
  </si>
  <si>
    <t>NIEMI, NICHOLAS &amp; MELISSA</t>
  </si>
  <si>
    <t>ARUNACHALAM, SUNDARARAJ</t>
  </si>
  <si>
    <t>LARSON, NIKKI</t>
  </si>
  <si>
    <t>TURCO, JOSEPH &amp; SHERRY</t>
  </si>
  <si>
    <t>WALKER, MATTHEW &amp; LINDSEY</t>
  </si>
  <si>
    <t>MO, XUESHENG</t>
  </si>
  <si>
    <t>SUNDARARAJAN, S &amp; E JANAG</t>
  </si>
  <si>
    <t>PYRITZ, SEAN &amp; ERIN</t>
  </si>
  <si>
    <t>MEHL, RENEE</t>
  </si>
  <si>
    <t>JACKSON, ROBERT D &amp; LORI</t>
  </si>
  <si>
    <t>CASINA, MICHAEL</t>
  </si>
  <si>
    <t>WOODFORD, RICHARD L</t>
  </si>
  <si>
    <t>LUBUGUIN, GIL &amp; EDNA</t>
  </si>
  <si>
    <t>OLSON, GREGORY &amp; JILL</t>
  </si>
  <si>
    <t>OESTERLING, JENNIFER</t>
  </si>
  <si>
    <t>AGARWAL, VINOD KUMAR &amp; AN</t>
  </si>
  <si>
    <t>SKOWRONSKI, GLEN &amp; J</t>
  </si>
  <si>
    <t>LI, Q &amp; N ZHANG</t>
  </si>
  <si>
    <t>KUMAR, RAJESH &amp; PRIYA SAI</t>
  </si>
  <si>
    <t>MUKA, ILIR</t>
  </si>
  <si>
    <t>STORINO, ANTHONY &amp; JULIE</t>
  </si>
  <si>
    <t>AGUAYO, AUGUSTO &amp; K S</t>
  </si>
  <si>
    <t>JOHNSON, EVAN &amp; BETHANY</t>
  </si>
  <si>
    <t>SARMA, RAMYA</t>
  </si>
  <si>
    <t>CUDONE, BARBARA A</t>
  </si>
  <si>
    <t>CHAN, ANTHONY &amp; ANNA</t>
  </si>
  <si>
    <t>COX, ERIN L</t>
  </si>
  <si>
    <t>MITTAL, GUNJALI</t>
  </si>
  <si>
    <t>SUN, JINAI</t>
  </si>
  <si>
    <t>RAO, S &amp; V CHANDRAKUMAR</t>
  </si>
  <si>
    <t>ALAWANI, RAHUL</t>
  </si>
  <si>
    <t>RANGACHARI, V</t>
  </si>
  <si>
    <t>ARUMUGAM &amp; KANAGARAJ</t>
  </si>
  <si>
    <t>TODOROVIC, ZORAN</t>
  </si>
  <si>
    <t>TRINKO, LAURIE B</t>
  </si>
  <si>
    <t>ALINIAZEE, YASEEN</t>
  </si>
  <si>
    <t>HE, HUI</t>
  </si>
  <si>
    <t>PEIGUSS, ERIN B</t>
  </si>
  <si>
    <t>SORICH, STEVEN &amp; ANNETTE</t>
  </si>
  <si>
    <t>KAGEFF, KEITH E</t>
  </si>
  <si>
    <t>MICHALAK, STANISLAW &amp; ANH</t>
  </si>
  <si>
    <t>KHAN TR, SAAD &amp; MALIHA IR</t>
  </si>
  <si>
    <t>XIAO, YALI &amp; PEIRONG JIA</t>
  </si>
  <si>
    <t>BRAGG, SARAH L</t>
  </si>
  <si>
    <t>KOZLOWSKI, ROY J</t>
  </si>
  <si>
    <t>THEEB, MAHMOUD</t>
  </si>
  <si>
    <t>VARGHAI, PARHAM</t>
  </si>
  <si>
    <t>JIANG, JIANHUA &amp; H ZHANG</t>
  </si>
  <si>
    <t>JUREC, THOMAS A &amp; OLGA B</t>
  </si>
  <si>
    <t>SINGHAL, KRASHAN</t>
  </si>
  <si>
    <t>AGARWAL, DHARMENDRA &amp; RAS</t>
  </si>
  <si>
    <t>BROWN, JEREMY &amp; STACY</t>
  </si>
  <si>
    <t>RANCILIO, KARA</t>
  </si>
  <si>
    <t>HASAN, SYED &amp; SOBIA</t>
  </si>
  <si>
    <t>PURCELL, KEVIN &amp; CYNTHIA</t>
  </si>
  <si>
    <t>MASEK,RICHARD&amp;PATRICIA TR</t>
  </si>
  <si>
    <t>SIGNORINI, M &amp; L IMBERT</t>
  </si>
  <si>
    <t>HUANG, WESLEY</t>
  </si>
  <si>
    <t>HECKMAN, VALERIE</t>
  </si>
  <si>
    <t>JAWADWALA, MUSTAFA &amp; F</t>
  </si>
  <si>
    <t>TRIPPIEDI, MATT &amp; TIFFANY</t>
  </si>
  <si>
    <t>SULTANA, FOUZIA</t>
  </si>
  <si>
    <t>SHANKER, RAVI</t>
  </si>
  <si>
    <t>KOULTOURIDES, C&amp;N SIAMBIS</t>
  </si>
  <si>
    <t>ZHANG, MING &amp; BANGJI CAO</t>
  </si>
  <si>
    <t>THAKKAR, PANKAJ &amp; PRAGNA</t>
  </si>
  <si>
    <t>THOMAS, NENA G</t>
  </si>
  <si>
    <t>DANAPAL, UDAYAPRAKASH</t>
  </si>
  <si>
    <t>DAWOOD, SHAIK</t>
  </si>
  <si>
    <t>SHAH, JIGNESH &amp; KINJALBEN</t>
  </si>
  <si>
    <t>CCIC CHICAGO INC</t>
  </si>
  <si>
    <t>GANESAN, MAHAALAXMI</t>
  </si>
  <si>
    <t>WOJCIECHOWSKI, BRIAN &amp; K</t>
  </si>
  <si>
    <t>TARVAINIS, JOSEPH &amp; C</t>
  </si>
  <si>
    <t>BAILEY, ALEXIS &amp; JOSHUA</t>
  </si>
  <si>
    <t>BHATT, PRITI</t>
  </si>
  <si>
    <t>GOMEZ, CARLOS</t>
  </si>
  <si>
    <t>CHIZANA, DAVID &amp; SHARI</t>
  </si>
  <si>
    <t>KOLVITZ, BRIAN</t>
  </si>
  <si>
    <t>OH, HYUN CHANG &amp; CHOO K</t>
  </si>
  <si>
    <t>SUN, M &amp; Y LIU</t>
  </si>
  <si>
    <t>WALDORF, TERRY &amp; LINDSEY</t>
  </si>
  <si>
    <t>ALGER, PETER &amp; ALLISON</t>
  </si>
  <si>
    <t>BRANN, RALPH &amp; MARY</t>
  </si>
  <si>
    <t>SACHAR, SUPRIYA</t>
  </si>
  <si>
    <t>TAKSAS, DANIEL &amp;KATHERINE</t>
  </si>
  <si>
    <t>PAL, UDAY</t>
  </si>
  <si>
    <t>HAQ, MOHAMMED</t>
  </si>
  <si>
    <t>COLLINS, CATHLEEN K</t>
  </si>
  <si>
    <t>DIXIT, A &amp; N TREHAN</t>
  </si>
  <si>
    <t>LEWIS, JEREMY</t>
  </si>
  <si>
    <t>SCHUMACHER, LETICIA &amp; R</t>
  </si>
  <si>
    <t>1590 NAPERVILLE LLC</t>
  </si>
  <si>
    <t>ZHENG, G &amp; Y WANG</t>
  </si>
  <si>
    <t>KARIMKUTTYIL, JOHN</t>
  </si>
  <si>
    <t>LUPORINI, NICOLE G</t>
  </si>
  <si>
    <t>WANG, TAO &amp; FANG</t>
  </si>
  <si>
    <t>MORGAN, WILLIAM &amp; S</t>
  </si>
  <si>
    <t>SMITH TRUST 19681972</t>
  </si>
  <si>
    <t>SHANMUGAM, RAJA &amp; N RAJA</t>
  </si>
  <si>
    <t>DAVIS, ALLISON &amp; JOHN</t>
  </si>
  <si>
    <t>KURUVILLA, REGI</t>
  </si>
  <si>
    <t>SMITH, GREGORY M</t>
  </si>
  <si>
    <t>TAYLOR, ROBERT &amp; BONNIE</t>
  </si>
  <si>
    <t>BOKUNIEWICZ, DAVID &amp; A</t>
  </si>
  <si>
    <t>MUSHTAQ, FARHAN</t>
  </si>
  <si>
    <t>ENGMAN, STEVEN JOHN</t>
  </si>
  <si>
    <t>DI PRIMA, SALVATORE &amp; S L</t>
  </si>
  <si>
    <t>HELLER, DONALD &amp; LINDA</t>
  </si>
  <si>
    <t>NAM, DAVID J</t>
  </si>
  <si>
    <t>MUTHUSAMY, P &amp; E PANDIAN</t>
  </si>
  <si>
    <t>WILE, J &amp; M VAN VOSSEN</t>
  </si>
  <si>
    <t>AKGUN, ANIL</t>
  </si>
  <si>
    <t>HAGEN, BEVERLY A</t>
  </si>
  <si>
    <t>BAJWA, RASPAL &amp; RUPINDER</t>
  </si>
  <si>
    <t>DIULUS, MICHAEL</t>
  </si>
  <si>
    <t>SHARP, LAWRENCE &amp; SANDRA</t>
  </si>
  <si>
    <t>CRUZ, JOSE A &amp; YVETE</t>
  </si>
  <si>
    <t>SINGH, PRIYA</t>
  </si>
  <si>
    <t>JIA, FUMIN &amp; YUHUA HE</t>
  </si>
  <si>
    <t>ARE, LENIN K</t>
  </si>
  <si>
    <t>HATFIELD, AMY B</t>
  </si>
  <si>
    <t>YU, CHIH &amp; SHIRLIN</t>
  </si>
  <si>
    <t>WU, JAIMEE</t>
  </si>
  <si>
    <t>CRUZ, PABLO V &amp; ADRIANA</t>
  </si>
  <si>
    <t>RUPICH JR, B &amp; T</t>
  </si>
  <si>
    <t>KRAFCISIN,NICHOLAS&amp;AGATHA</t>
  </si>
  <si>
    <t>JAGANATHAN &amp; ARAVAMUDHAN</t>
  </si>
  <si>
    <t>SYED, IRFAN &amp; KANWAL ZEHR</t>
  </si>
  <si>
    <t>LIU, BOTAO</t>
  </si>
  <si>
    <t>QIN, WENJIU</t>
  </si>
  <si>
    <t>CAO, ZHUANG &amp; LI PAN</t>
  </si>
  <si>
    <t>STOJMENOVIC, GORAN</t>
  </si>
  <si>
    <t>YOO, YONG</t>
  </si>
  <si>
    <t>WHEELER, T &amp; C NWOSU</t>
  </si>
  <si>
    <t>DEA JR TTEE, PHILIP P</t>
  </si>
  <si>
    <t>NURCZYK, BENJAMIN W</t>
  </si>
  <si>
    <t>FERRIS, MICHAEL G</t>
  </si>
  <si>
    <t>CAPRA, SHIRLEY</t>
  </si>
  <si>
    <t>BROWN, KEVIN</t>
  </si>
  <si>
    <t>THOMPSON, LETICIA</t>
  </si>
  <si>
    <t>RYGH, BRANDON &amp; ESTHER</t>
  </si>
  <si>
    <t>MERRIMAN, JAMES &amp; BRENDA</t>
  </si>
  <si>
    <t>LAMBRAKIS, PETER &amp; P</t>
  </si>
  <si>
    <t>BEZVOLEV, A &amp; E SHVETSOVA</t>
  </si>
  <si>
    <t>SRA, KULDEEP S</t>
  </si>
  <si>
    <t>HB BUILDERS LLC</t>
  </si>
  <si>
    <t>STEIN, SCOTT M &amp; EMMA</t>
  </si>
  <si>
    <t>BATA, S &amp; V LAKHIA</t>
  </si>
  <si>
    <t>ROBERTS, TROY C &amp; RUTH E</t>
  </si>
  <si>
    <t>SCHERF, DEBRA</t>
  </si>
  <si>
    <t>TRIEU, V &amp; T TRAN</t>
  </si>
  <si>
    <t>BORDEN, KARYN J</t>
  </si>
  <si>
    <t>WALSH, CHISTOPHER &amp; LINDA</t>
  </si>
  <si>
    <t>DEGRAFF, CARA</t>
  </si>
  <si>
    <t>FANG, YIN &amp; KOHSIN CHIEH</t>
  </si>
  <si>
    <t>CHAVAT, CARL R</t>
  </si>
  <si>
    <t>CASHILL, THOMAS &amp; IL SUN</t>
  </si>
  <si>
    <t>NEPOMUCENO, ANGEL LIZA</t>
  </si>
  <si>
    <t>SUSIN, J SHALE &amp; LISA L</t>
  </si>
  <si>
    <t>KOMAR, MATTHEW</t>
  </si>
  <si>
    <t>DRAKE, JON</t>
  </si>
  <si>
    <t>NIE, X &amp; X MI</t>
  </si>
  <si>
    <t>ANANDAM, DHILLIP</t>
  </si>
  <si>
    <t>MIKA, RICHARD &amp; SUSAN</t>
  </si>
  <si>
    <t>SUBRAMANIAN, RAVINDRA K</t>
  </si>
  <si>
    <t>SU, CHIN PING &amp; C YANG</t>
  </si>
  <si>
    <t>MIKA, KIMBERLY</t>
  </si>
  <si>
    <t>CELINSKI, D &amp; K CELINSKA</t>
  </si>
  <si>
    <t>KEEP, ALEXANDER &amp; C</t>
  </si>
  <si>
    <t>PRAKASH, P &amp; M THACKER</t>
  </si>
  <si>
    <t>SALLAKONDA, PRAMOD K</t>
  </si>
  <si>
    <t>PATEL, BHARAT R &amp; SMITA B</t>
  </si>
  <si>
    <t>RANJAN, RAJIV &amp; NARNITA</t>
  </si>
  <si>
    <t>TURKSTRA, RICHARD &amp; MARY</t>
  </si>
  <si>
    <t>LA MONTAGNA, RONALD &amp;MARY</t>
  </si>
  <si>
    <t>SIEGERS, JACOB M</t>
  </si>
  <si>
    <t>STAYKOV, IVAN</t>
  </si>
  <si>
    <t>ROBERT, EMMANUEL &amp; LINDA</t>
  </si>
  <si>
    <t>CHE, LIXIAO &amp; WEI YANG</t>
  </si>
  <si>
    <t>TNG LLC LAKEWOOD SERIES</t>
  </si>
  <si>
    <t>BUI, DINH G &amp; HAN N</t>
  </si>
  <si>
    <t>WOO, DENNIS N &amp; HILDA F</t>
  </si>
  <si>
    <t>CHANDA, DEBASIS &amp; S</t>
  </si>
  <si>
    <t>BOROWSKI, WILLIAM &amp; CAROL</t>
  </si>
  <si>
    <t>YU, HONGLI</t>
  </si>
  <si>
    <t>SCHWICHTENBERG, BRADLEY</t>
  </si>
  <si>
    <t>SMILAK, MATTHEW &amp; BECKY</t>
  </si>
  <si>
    <t>WISBROCK, KYLE &amp; TAYLOR</t>
  </si>
  <si>
    <t>SCHMIDT, PETER &amp; MELISSA</t>
  </si>
  <si>
    <t>VOLOVYK, YURIY &amp; ET AL</t>
  </si>
  <si>
    <t>WEISS, HOWARD A</t>
  </si>
  <si>
    <t>CHAKRABORTY, A &amp; S PAUL</t>
  </si>
  <si>
    <t>BHATIA, S &amp; M MITTAL</t>
  </si>
  <si>
    <t>CUZZONE, JOSEPH &amp; C M</t>
  </si>
  <si>
    <t>LAURENTIN, C &amp; E SALAZAR</t>
  </si>
  <si>
    <t>SHIH, WILLIAM &amp; NATALLE</t>
  </si>
  <si>
    <t>DIMARCO, E JOSEPH &amp; F C</t>
  </si>
  <si>
    <t>NANCE WINKLER LLC</t>
  </si>
  <si>
    <t>PEREZ, MATTHEW &amp; BIANCA</t>
  </si>
  <si>
    <t>LOPEZ, JESUS &amp; DELIA T</t>
  </si>
  <si>
    <t>YANG, GUOLIN &amp; J LIANG</t>
  </si>
  <si>
    <t>GILBERT, MARK &amp; DIANE</t>
  </si>
  <si>
    <t>FERNANDEZ, AMY LUZ</t>
  </si>
  <si>
    <t>PELLICO, BRIAN &amp;V CLAUNCH</t>
  </si>
  <si>
    <t>MIAO, KEVIN &amp; GIGI LEUNG</t>
  </si>
  <si>
    <t>CHOWATTUKUNNEL, T &amp; B</t>
  </si>
  <si>
    <t>MUTHLER, MARK D &amp; K A</t>
  </si>
  <si>
    <t>PICKETT, JOEY</t>
  </si>
  <si>
    <t>KRABEC, CHERYL &amp; SANDRA J</t>
  </si>
  <si>
    <t>TRES, CLINTON &amp; BRITTANY</t>
  </si>
  <si>
    <t>MC HUGH, GAVIN T</t>
  </si>
  <si>
    <t>RAMAMOORTHY, SUNDAR</t>
  </si>
  <si>
    <t>CATALANO, MICHAEL</t>
  </si>
  <si>
    <t>BROWN, ASHER &amp; SARAH</t>
  </si>
  <si>
    <t>WOLFE, BRITTANY</t>
  </si>
  <si>
    <t>GUPTA, DEEPA</t>
  </si>
  <si>
    <t>DHANDAPANI, V</t>
  </si>
  <si>
    <t>ALZAIED, FUAD</t>
  </si>
  <si>
    <t>BESSA, MATHIS</t>
  </si>
  <si>
    <t>BUNCE, M &amp; J RACHAN</t>
  </si>
  <si>
    <t>GALI, HARISH &amp; G VELIDAND</t>
  </si>
  <si>
    <t>FRIPTULEAC, LEONIDA</t>
  </si>
  <si>
    <t>FU, JUN &amp; H WANG</t>
  </si>
  <si>
    <t>JOSHI, ARUN &amp; NEHA</t>
  </si>
  <si>
    <t>PRICE, STEVEN D &amp; PAMELA</t>
  </si>
  <si>
    <t>OLEN TR, MARGARET</t>
  </si>
  <si>
    <t>BOTIROV, JASUR</t>
  </si>
  <si>
    <t>LI, ZHENG</t>
  </si>
  <si>
    <t>PATEL, PANNA &amp; DHARMISTH</t>
  </si>
  <si>
    <t>NAUMANN, JEFFREY &amp; TANIA</t>
  </si>
  <si>
    <t>DANIEL, ROBERT &amp; E</t>
  </si>
  <si>
    <t>YIU, WING WAH&amp;FU LIN CHAN</t>
  </si>
  <si>
    <t>LUCIUS, KEVIN &amp; CHRISTINE</t>
  </si>
  <si>
    <t>MIRA, GALVINO</t>
  </si>
  <si>
    <t>ALANI, ARKAN</t>
  </si>
  <si>
    <t>FLADELAND, ERIC&amp;CATHERINE</t>
  </si>
  <si>
    <t>FROLIK, PAUL &amp; LISA</t>
  </si>
  <si>
    <t>VALENZUELA, LIZA</t>
  </si>
  <si>
    <t>SENGUPTA, A &amp; T DAS</t>
  </si>
  <si>
    <t>BALACHANDRAN, V &amp; J</t>
  </si>
  <si>
    <t>SMITH, TERESA R</t>
  </si>
  <si>
    <t>GARDE, S &amp; S</t>
  </si>
  <si>
    <t>AIRATOV, YERSIN</t>
  </si>
  <si>
    <t>RUFO, ANTHONY &amp; REBECCA</t>
  </si>
  <si>
    <t>LAMANTEER, MATTHEW &amp; JILL</t>
  </si>
  <si>
    <t>AL LAMI, WISSAM &amp; HIND</t>
  </si>
  <si>
    <t>NITIYANANDAM, SABITHA</t>
  </si>
  <si>
    <t>PARIKH, PRASHANT H</t>
  </si>
  <si>
    <t>DAVISON, JOEL &amp; COLEEN</t>
  </si>
  <si>
    <t>RAFFERTY, W &amp; M MUSKIEVIC</t>
  </si>
  <si>
    <t>TIR, EDWARD &amp; GLORIA</t>
  </si>
  <si>
    <t>JAKSIC, DANIJEL &amp; MILENA</t>
  </si>
  <si>
    <t>DONALDSON, SAMUEL &amp; SARAH</t>
  </si>
  <si>
    <t>GUERRERO, MARIA</t>
  </si>
  <si>
    <t>ATHULURU, VAMESEE &amp; V</t>
  </si>
  <si>
    <t>FERNBACH, JOHN M</t>
  </si>
  <si>
    <t>LEVIN, ALEX &amp; T CRAVEN</t>
  </si>
  <si>
    <t>MAZUR, STEVEN A &amp; SANDRA</t>
  </si>
  <si>
    <t>QUNELL, JEREMY &amp; ALISON L</t>
  </si>
  <si>
    <t>SIMON, JEFFERY N</t>
  </si>
  <si>
    <t>THAPANAWAT, CHACHAWAL &amp; C</t>
  </si>
  <si>
    <t>SARAIYA, MANISH</t>
  </si>
  <si>
    <t>WINKELMANN, KENNETH J</t>
  </si>
  <si>
    <t>LU, FENGCHUN</t>
  </si>
  <si>
    <t>SRIRAM, RAM &amp; SUBHASHINI</t>
  </si>
  <si>
    <t>LONDHE, SANDEEP &amp;J HUSAIN</t>
  </si>
  <si>
    <t>RAMIREZ, EFRAIN</t>
  </si>
  <si>
    <t>MARTINEZ, ANCELMA</t>
  </si>
  <si>
    <t>SELVARAJ, SARAVANAN</t>
  </si>
  <si>
    <t>SIEBEN, JEFFREY B</t>
  </si>
  <si>
    <t>MARIK, RICHARD &amp; SUSAN</t>
  </si>
  <si>
    <t>GILL, LUIS</t>
  </si>
  <si>
    <t>NORMAN, JOHN R &amp; BETH ANN</t>
  </si>
  <si>
    <t>ROMANO, BARBARA</t>
  </si>
  <si>
    <t>EDUKUTAHRAYIL, KURUVILLA</t>
  </si>
  <si>
    <t>HAAS, ANDREW &amp; C KELLY</t>
  </si>
  <si>
    <t>VISWANATHAN, SHIVAM</t>
  </si>
  <si>
    <t>WRIGHT, MARLA D</t>
  </si>
  <si>
    <t>KARTHA, SREEDHARAN &amp; S</t>
  </si>
  <si>
    <t>BRAGA, JUDY</t>
  </si>
  <si>
    <t>1212 SAMUEL COURT LLC</t>
  </si>
  <si>
    <t>KANG, YONG KYU &amp; MINHEE</t>
  </si>
  <si>
    <t>CORONA, FELIPE S</t>
  </si>
  <si>
    <t>PROSZOWSKI, JOHN &amp; P A</t>
  </si>
  <si>
    <t>LYNCH, MICHAEL &amp; PATRICIA</t>
  </si>
  <si>
    <t>CASWICK, SCOTT &amp; KRISTI</t>
  </si>
  <si>
    <t>DIRIENZO, KAREN</t>
  </si>
  <si>
    <t>PULLABHATLA, S &amp;MOKKAPATY</t>
  </si>
  <si>
    <t>HAWK, MICHELLE</t>
  </si>
  <si>
    <t>JOST, JEFFREY &amp; LAUREL</t>
  </si>
  <si>
    <t>PATEL, JITENDRA F</t>
  </si>
  <si>
    <t>BARTELT, SCOTT B &amp; SOPHIE</t>
  </si>
  <si>
    <t>SOTO RIVERA, MIGUEL A &amp; J</t>
  </si>
  <si>
    <t>DUBIN, DANIEL &amp; MICHELLE</t>
  </si>
  <si>
    <t>PATIL, V &amp; K KHANOLKAR</t>
  </si>
  <si>
    <t>SMOLEK, SCOTT &amp; JERI</t>
  </si>
  <si>
    <t>LI, S &amp; M ZHANG</t>
  </si>
  <si>
    <t>LAGHARI, BASHARAT &amp;JAIME</t>
  </si>
  <si>
    <t>TRAN, ANDY &amp; KEVIN</t>
  </si>
  <si>
    <t>VORA, VINIT</t>
  </si>
  <si>
    <t>HANSON, KURT</t>
  </si>
  <si>
    <t>RENDER, DENNIS &amp; SANDRA</t>
  </si>
  <si>
    <t>ACOSTA, JORGE</t>
  </si>
  <si>
    <t>REINKE III, ALBERT &amp; LISA</t>
  </si>
  <si>
    <t>JENNRICH, ANDREW &amp; LAUREN</t>
  </si>
  <si>
    <t>MORALES, JOSEPH C, ET AL</t>
  </si>
  <si>
    <t>BONDER, DEANNA &amp; GREG FER</t>
  </si>
  <si>
    <t>DAMHORST, DOUGLAS A</t>
  </si>
  <si>
    <t>MORLEY, JOHN &amp; CATHERINE</t>
  </si>
  <si>
    <t>LIN, RE-MIN &amp; WELLIN CHEN</t>
  </si>
  <si>
    <t>GWYNN, GARY J &amp; GINA</t>
  </si>
  <si>
    <t>FLEMING, HAYDEN &amp; CALLIE</t>
  </si>
  <si>
    <t>BAER, DAN &amp; BRIDGETTE</t>
  </si>
  <si>
    <t>KRECKMAN, JOHN &amp; JANE</t>
  </si>
  <si>
    <t>WILLETT, PATRICK &amp;THERESA</t>
  </si>
  <si>
    <t>1606 NAPERVILLE LLC</t>
  </si>
  <si>
    <t>VUPPALA, N &amp; H A YANDURL</t>
  </si>
  <si>
    <t>1602 HINTERLONG LLC</t>
  </si>
  <si>
    <t>SIMANOVICH, GLEB</t>
  </si>
  <si>
    <t>MCDONALD, JASON &amp; LAURA</t>
  </si>
  <si>
    <t>KING, MICHAEL</t>
  </si>
  <si>
    <t>LANGENBERG, CLAIRE</t>
  </si>
  <si>
    <t>WANG, X &amp; K SHEN</t>
  </si>
  <si>
    <t>IBRAHIM, ELAMIN</t>
  </si>
  <si>
    <t>MERCANTONIO, JEANNETTE</t>
  </si>
  <si>
    <t>KRISHNAKUMAR, K &amp; S</t>
  </si>
  <si>
    <t>STEIMLE TR, DAVID &amp; SUSAN</t>
  </si>
  <si>
    <t>AXLEY, JANE BROWN</t>
  </si>
  <si>
    <t>QIU, X &amp; Y CHEN</t>
  </si>
  <si>
    <t>RACZAK, STEVEN &amp; KATHLEEN</t>
  </si>
  <si>
    <t>STAVROU, JARILAOS &amp; P</t>
  </si>
  <si>
    <t>REINWALD, LISA &amp; ANDREW</t>
  </si>
  <si>
    <t>WIDD, DAVID J</t>
  </si>
  <si>
    <t>PACCIONE, BARBARA</t>
  </si>
  <si>
    <t>HYLAND, JOAN &amp; THOMAS</t>
  </si>
  <si>
    <t>HOPP, GRETA</t>
  </si>
  <si>
    <t>PORRAS, JODY S</t>
  </si>
  <si>
    <t>GORO, JOHN R &amp; JUDY R</t>
  </si>
  <si>
    <t>BACARELLA LIVING TRUST</t>
  </si>
  <si>
    <t>ZADROZNY, MARY A</t>
  </si>
  <si>
    <t>KAPADIA, HEMANT &amp; M</t>
  </si>
  <si>
    <t>LIN, SHU MIN</t>
  </si>
  <si>
    <t>GIRIJALA, GOURI &amp; MALATHI</t>
  </si>
  <si>
    <t>NUCUM, FERNANDO &amp; MARIA</t>
  </si>
  <si>
    <t>LIN, FANG &amp; SHANZHU</t>
  </si>
  <si>
    <t>WU, KUANG LUNG &amp; PHOEBE</t>
  </si>
  <si>
    <t>AGUILAR, JUSTIN &amp; M BROWN</t>
  </si>
  <si>
    <t>JONES, LILIANA P</t>
  </si>
  <si>
    <t>PRILUTSKIY, DENIS</t>
  </si>
  <si>
    <t>KETHESWARAN, V &amp; U</t>
  </si>
  <si>
    <t>HORNER, NICOLE</t>
  </si>
  <si>
    <t>NEGLEY, KENNETH H</t>
  </si>
  <si>
    <t>STEVENS, AVA &amp; EDWARD M</t>
  </si>
  <si>
    <t>HENNESSY, GREGORY P &amp; C K</t>
  </si>
  <si>
    <t>WANG, SHAN &amp; YU CHEN</t>
  </si>
  <si>
    <t>MODI, JIGAR R &amp; ZALAK J</t>
  </si>
  <si>
    <t>BLINSTRUBIS/BLINSTRUBIENE</t>
  </si>
  <si>
    <t>WILCOX, RICHARD E</t>
  </si>
  <si>
    <t>ROBERTS, FREDERICK</t>
  </si>
  <si>
    <t>HAYES, THOMAS &amp; JENNIFER</t>
  </si>
  <si>
    <t>SAMIOS, DIMITRIOS</t>
  </si>
  <si>
    <t>JONES, MATTHEW &amp; KATHLEEN</t>
  </si>
  <si>
    <t>VENKATRAM, R &amp; A KUMAR</t>
  </si>
  <si>
    <t>HUBER, ERIC R</t>
  </si>
  <si>
    <t>BUGAJSKY, NICHOLAS &amp; LIND</t>
  </si>
  <si>
    <t>ZAIN, NADEEM</t>
  </si>
  <si>
    <t>BAJRAKTARI, ANDRI &amp;MIMOZA</t>
  </si>
  <si>
    <t>ORTIZ, JORGE &amp; J ROMERO</t>
  </si>
  <si>
    <t>MUNDRAWALA, NEIL &amp; DEEPTI</t>
  </si>
  <si>
    <t>BATTAGLIA, JOHN &amp; KAREN</t>
  </si>
  <si>
    <t>GUVA, EIGENIJUS</t>
  </si>
  <si>
    <t>OLSON, ERICH &amp; MICHELLE F</t>
  </si>
  <si>
    <t>THAKKAR, KAMLESH &amp; RASILA</t>
  </si>
  <si>
    <t>HWANG, STEPHEN &amp; YEN LEE</t>
  </si>
  <si>
    <t>WITTE, BRYAN &amp; CAROLYN</t>
  </si>
  <si>
    <t>MACHADO, ALBERTO G &amp; RITA</t>
  </si>
  <si>
    <t>PENG, JUI KUN</t>
  </si>
  <si>
    <t>BOYLE, JOHN &amp; LISA</t>
  </si>
  <si>
    <t>KUDIMOV, B &amp; Y SHANCHUK</t>
  </si>
  <si>
    <t>FUNK, TROY &amp; DENISE</t>
  </si>
  <si>
    <t>SHENOY, RAHUL PRAKASH</t>
  </si>
  <si>
    <t>GADDE, RAVINDRA</t>
  </si>
  <si>
    <t>DEHLINGER, MARK &amp; R</t>
  </si>
  <si>
    <t>PATEL, RAJESH &amp; DASHA R</t>
  </si>
  <si>
    <t>VATHIS, MARY E</t>
  </si>
  <si>
    <t>ZHANG, XIAOHONG</t>
  </si>
  <si>
    <t>HORBACZ, BEN J &amp; SUSAN I</t>
  </si>
  <si>
    <t>AVENA, RICHARD &amp; THERESA</t>
  </si>
  <si>
    <t>LORES, DENISE</t>
  </si>
  <si>
    <t>PANICKER, SANATHANAN &amp; P</t>
  </si>
  <si>
    <t>RIVAS, R &amp; G MARTIN</t>
  </si>
  <si>
    <t>CHORNOPYSKYI, VIKTOR</t>
  </si>
  <si>
    <t>NORJINBAL, ENKHBUYANT</t>
  </si>
  <si>
    <t>CLIFTON JR, MORTON &amp; D L</t>
  </si>
  <si>
    <t>TORMA, MARK &amp; DEBRA</t>
  </si>
  <si>
    <t>GAINAITE, EDITA</t>
  </si>
  <si>
    <t>KAMBHAMPATI, KIRIAN</t>
  </si>
  <si>
    <t>MACUPA, JOSEPH M</t>
  </si>
  <si>
    <t>IMTIAZ TR, HARIS &amp; BUSHRA</t>
  </si>
  <si>
    <t>SUDHARSANAM, SHARMILA</t>
  </si>
  <si>
    <t>ORJUELA, NESTOR</t>
  </si>
  <si>
    <t>CARDER, CHAD W &amp; DEBORAH</t>
  </si>
  <si>
    <t>CARROLL, JAMES</t>
  </si>
  <si>
    <t>SHEN, SHIMING &amp; M ZHAI</t>
  </si>
  <si>
    <t>SREENIVASAN, ANILAL</t>
  </si>
  <si>
    <t>MADHWALA, FAKHRUDDIN &amp; F</t>
  </si>
  <si>
    <t>TILLY, ROBERT R</t>
  </si>
  <si>
    <t>CASHMAN, LINDSEY R</t>
  </si>
  <si>
    <t>VARGAS, MARK &amp; GINEEN</t>
  </si>
  <si>
    <t>HINDERLITER, CHARLES E</t>
  </si>
  <si>
    <t>SHAKIL, F &amp; R REHMAN</t>
  </si>
  <si>
    <t>MC GOVERN, GERALD &amp; A M</t>
  </si>
  <si>
    <t>HALVORSON, ANDRE &amp; J</t>
  </si>
  <si>
    <t>SRIVASTAVA, SAURABH &amp; T</t>
  </si>
  <si>
    <t>PATEL, RICKIN &amp; PRIYA</t>
  </si>
  <si>
    <t>CLAY, KEITH D &amp; KIM L</t>
  </si>
  <si>
    <t>OJWANG, WILSON O</t>
  </si>
  <si>
    <t>ROE, MARK</t>
  </si>
  <si>
    <t>YOU, W &amp; S WHOANG</t>
  </si>
  <si>
    <t>BROSS, KORINA &amp; BENJAMIN</t>
  </si>
  <si>
    <t>SAVAGE, RICHARD M &amp; P A</t>
  </si>
  <si>
    <t>MONTANO, ANA LUISA</t>
  </si>
  <si>
    <t>MALINSKI, AARON &amp; BREANNA</t>
  </si>
  <si>
    <t>FAROOQ, AYESHA</t>
  </si>
  <si>
    <t>MARCUS, JEONG SOO KIM</t>
  </si>
  <si>
    <t>MC QUILLAN FAMILY HOME</t>
  </si>
  <si>
    <t>SAPUTERA, H &amp; J MULIA</t>
  </si>
  <si>
    <t>WILLIAMSON, M &amp; M ONO</t>
  </si>
  <si>
    <t>GOMEZ, JOSEPH &amp; LUCRESE</t>
  </si>
  <si>
    <t>HALL, SCOTT</t>
  </si>
  <si>
    <t>BASAR, AHMET &amp; SALIHA</t>
  </si>
  <si>
    <t>SCARPINITI, PETER</t>
  </si>
  <si>
    <t>HUNT, MARIA E</t>
  </si>
  <si>
    <t>KWAFO, GLORIA</t>
  </si>
  <si>
    <t>FRANTZ, RICHARD &amp; SUSAN</t>
  </si>
  <si>
    <t>PAI, M &amp; M BHAT</t>
  </si>
  <si>
    <t>VENKATAPATHY, RATHIKA</t>
  </si>
  <si>
    <t>RIZWAN, FAHAD B</t>
  </si>
  <si>
    <t>SEN, SABYASACHI &amp; P</t>
  </si>
  <si>
    <t>CANNEK, LAWRENCE</t>
  </si>
  <si>
    <t>KOLZOW, DEBORA L</t>
  </si>
  <si>
    <t>AUDIEJAITIS, A&amp; BORORWSKA</t>
  </si>
  <si>
    <t>SHORT, LEESHELLE M</t>
  </si>
  <si>
    <t>KANG, Y &amp; L XIONG</t>
  </si>
  <si>
    <t>SUKUMAR, NARAYANASAMI &amp; L</t>
  </si>
  <si>
    <t>WHITEHOUSE, JOHN &amp; LOREN</t>
  </si>
  <si>
    <t>SUCOE, DAVID &amp; MARILYN</t>
  </si>
  <si>
    <t>MC MULLEN, KEN &amp; JULIE</t>
  </si>
  <si>
    <t>BERNOUDY, MEA</t>
  </si>
  <si>
    <t>THOMSON, JOHN &amp; TRACY</t>
  </si>
  <si>
    <t>NOSCHESE, RICHARD &amp; L</t>
  </si>
  <si>
    <t>BAIG, MIRZA FAHIM</t>
  </si>
  <si>
    <t>WALSH SR, ROBERT C &amp; R</t>
  </si>
  <si>
    <t>MILNER, J &amp; A KOMPANOWSKI</t>
  </si>
  <si>
    <t>BHATARAI, RAVI</t>
  </si>
  <si>
    <t>BATHINENI, SRINIVASARAO</t>
  </si>
  <si>
    <t>UNIQUEBIZ LLC NAPR</t>
  </si>
  <si>
    <t>HAGAN, TIMOTHY &amp; MEGHAN</t>
  </si>
  <si>
    <t>ABHISHEK, KUMAR &amp; MEGHA S</t>
  </si>
  <si>
    <t>ZEWDIE, B &amp; M GEBREMARIAM</t>
  </si>
  <si>
    <t>MADJAH, FRED</t>
  </si>
  <si>
    <t>CHEN, FU-GWO &amp; JEANNE T</t>
  </si>
  <si>
    <t>KALITKA, VLADISLAV</t>
  </si>
  <si>
    <t>MWANGI, G &amp; M KARANJA</t>
  </si>
  <si>
    <t>BOGGAVARAPU, V</t>
  </si>
  <si>
    <t>JK USA INCORPORATED</t>
  </si>
  <si>
    <t>STEGMEIER, WILLIAM &amp; MARY</t>
  </si>
  <si>
    <t>NEWHOUSE, ROBERT &amp; SUSAN</t>
  </si>
  <si>
    <t>DEA, ELAINE ANN</t>
  </si>
  <si>
    <t>HE, RONG</t>
  </si>
  <si>
    <t>BURGESS, BRIAN &amp; JENNIFER</t>
  </si>
  <si>
    <t>SOHAIL, SYED T &amp; TALAT</t>
  </si>
  <si>
    <t>HUANG, JAMIE</t>
  </si>
  <si>
    <t>CHRISTIAN, RAJESH &amp; SAROJ</t>
  </si>
  <si>
    <t>CHRISTY, MILTON &amp; RITA</t>
  </si>
  <si>
    <t>MAY, A &amp; K COOKE</t>
  </si>
  <si>
    <t>GOPALAN, MOHAN &amp; SIND HU</t>
  </si>
  <si>
    <t>O REILLY, LAWRENCE X</t>
  </si>
  <si>
    <t>HAWKINSON, D &amp; C LEASE</t>
  </si>
  <si>
    <t>VIJAYAGOPAL, R</t>
  </si>
  <si>
    <t>ITONYO, JOSHUA &amp; COURTNEY</t>
  </si>
  <si>
    <t>MANCILLA, DANIEL &amp; V</t>
  </si>
  <si>
    <t>PILLAI, SHILPA &amp; SUNIL CH</t>
  </si>
  <si>
    <t>ASTRAUSKAS, ARUNAS &amp; EGLE</t>
  </si>
  <si>
    <t>PAMINTUAN, ESTELITA L</t>
  </si>
  <si>
    <t>TIMOTHY, SAMUEL</t>
  </si>
  <si>
    <t>DESAI, KAMLESH &amp; DARSHANA</t>
  </si>
  <si>
    <t>SINOVICH, T &amp; R MOODY</t>
  </si>
  <si>
    <t>AKUNEVICH, ALIAKSANDR &amp; V</t>
  </si>
  <si>
    <t>PASHA, AZMATH</t>
  </si>
  <si>
    <t>SOUNDARARAJAN, R &amp; U</t>
  </si>
  <si>
    <t>HERRMANN, JOHN J &amp; JOANNE</t>
  </si>
  <si>
    <t>THULASEEDAS, JOLLY</t>
  </si>
  <si>
    <t>JONES, DAVID R</t>
  </si>
  <si>
    <t>HSU, EMILY MINGHWEI</t>
  </si>
  <si>
    <t>GHARIA, AJAYSINH</t>
  </si>
  <si>
    <t>BENAVENTE, R &amp; P FIETS</t>
  </si>
  <si>
    <t>SINGH, RAJENDRA &amp; NEERA</t>
  </si>
  <si>
    <t>O CONNOR, MICHAEL &amp; KELLY</t>
  </si>
  <si>
    <t>PETRAUSKAS, JOSEPH &amp; G</t>
  </si>
  <si>
    <t>WAWRZASZEK, BETH M</t>
  </si>
  <si>
    <t>AMEGATSE, JOHN &amp; FELICIA</t>
  </si>
  <si>
    <t>PAGE, FLOYD &amp; MELISSA</t>
  </si>
  <si>
    <t>SUNG, SHEN-WEN &amp; H P YANG</t>
  </si>
  <si>
    <t>SUN, YAN</t>
  </si>
  <si>
    <t>AVILA, DAMIANA C</t>
  </si>
  <si>
    <t>SUKHEJA, P &amp; K RIJHWANI</t>
  </si>
  <si>
    <t>ADEKUNLE, PHILIP M &amp; O A</t>
  </si>
  <si>
    <t>MULLINS, JOHN N &amp; MELISSA</t>
  </si>
  <si>
    <t>CHO, PING TSE &amp; SHAOWEN C</t>
  </si>
  <si>
    <t>PATEL, BHAVIKKUMAR &amp; ETAL</t>
  </si>
  <si>
    <t>WALLACE, MARTIN &amp;JENNIFER</t>
  </si>
  <si>
    <t>WANG, XIAOPENG</t>
  </si>
  <si>
    <t>PATEL, DHARMISHTHA</t>
  </si>
  <si>
    <t>BALAJI, YOGA &amp; P PRIYA</t>
  </si>
  <si>
    <t>WEOBLEY52 JR LLC</t>
  </si>
  <si>
    <t>WEBB, JAMES &amp; BECKY</t>
  </si>
  <si>
    <t>HACHAJ, NATALIA</t>
  </si>
  <si>
    <t>TELLAPRAGADA, S &amp; S</t>
  </si>
  <si>
    <t>DOJKI, HENNA KASSIM</t>
  </si>
  <si>
    <t>JIN, XIAO LIANG &amp; AILIAN</t>
  </si>
  <si>
    <t>LAVE, JAMES M</t>
  </si>
  <si>
    <t>LEE, ROBERT &amp; MONIKA</t>
  </si>
  <si>
    <t>KASIK, MICHELLE &amp; JARED L</t>
  </si>
  <si>
    <t>KEMPLINGER, JAYSON</t>
  </si>
  <si>
    <t>HAVENS NEST LLC</t>
  </si>
  <si>
    <t>CRUZ, ELMER &amp; DAISY E</t>
  </si>
  <si>
    <t>MC DOWELL, MICHELLE</t>
  </si>
  <si>
    <t>GIORNI, RICARDO G</t>
  </si>
  <si>
    <t>KOLANOWSKI, ANDREW &amp; JOAN</t>
  </si>
  <si>
    <t>GLADYS, MARIUSZ &amp; SABAE A</t>
  </si>
  <si>
    <t>LIBRIZZI, MATTHEW&amp;KATHRIN</t>
  </si>
  <si>
    <t>SOYLUANG, PROKCHON &amp; S</t>
  </si>
  <si>
    <t>FULLER, SCOTT &amp; ELENA</t>
  </si>
  <si>
    <t>CRANE, JO ELLEN</t>
  </si>
  <si>
    <t>THORNE, PATRICIA</t>
  </si>
  <si>
    <t>DOHERTY, MICHAEL &amp; LINDA</t>
  </si>
  <si>
    <t>KIM, CHARLES</t>
  </si>
  <si>
    <t>BRANCEVICIUTE, GINTARE</t>
  </si>
  <si>
    <t>NEAL, JAMES &amp; PAMELA</t>
  </si>
  <si>
    <t>KLEIN, RICHARD &amp; ELLEN</t>
  </si>
  <si>
    <t>PERISUTTI, MARK &amp; JIAKUN</t>
  </si>
  <si>
    <t>BEAN, HOLLY</t>
  </si>
  <si>
    <t>BOROWIEC, BARTHOLOWMEW &amp;</t>
  </si>
  <si>
    <t>HENKEL, STEPHANIE J</t>
  </si>
  <si>
    <t>NAM, YOON &amp; JI SUN</t>
  </si>
  <si>
    <t>MOMMER, LAMONT</t>
  </si>
  <si>
    <t>BATEMAN TR, J R &amp; P CHASE</t>
  </si>
  <si>
    <t>LEDEBUHR, SUSAN &amp; PETER</t>
  </si>
  <si>
    <t>FARNKLIN, DARRYL &amp; S</t>
  </si>
  <si>
    <t>ENTWHISTLE, CHRISTOPHER</t>
  </si>
  <si>
    <t>ANDERSON, WILLIAM &amp; MONIC</t>
  </si>
  <si>
    <t>LUNDY, RENEE Z</t>
  </si>
  <si>
    <t>CUSICK, M &amp; N MALDONADO</t>
  </si>
  <si>
    <t>MATTERA, SCOTT G</t>
  </si>
  <si>
    <t>SATRE, DANIEL A &amp; G J</t>
  </si>
  <si>
    <t>SUH, DUCKIN</t>
  </si>
  <si>
    <t>AIYER, RAVINDRA &amp; RUCHI</t>
  </si>
  <si>
    <t>ABOUSAFAT, AHMED</t>
  </si>
  <si>
    <t>SHUTER JR, ARTHUR &amp; AMY</t>
  </si>
  <si>
    <t>ROWAN TR, SUSAN C &amp; MICHA</t>
  </si>
  <si>
    <t>PRESCOTT, THOMAS</t>
  </si>
  <si>
    <t>SCHRODER, NANCY</t>
  </si>
  <si>
    <t>RAGONESE, KELLY M</t>
  </si>
  <si>
    <t>SCOTT, ROBERT &amp; JACQUELIN</t>
  </si>
  <si>
    <t>VANDLIK, MARK &amp; KATHLEEN</t>
  </si>
  <si>
    <t>PLYWACZYNSKI, KEITH A</t>
  </si>
  <si>
    <t>STEINMETZ, STEPHEN &amp; MARY</t>
  </si>
  <si>
    <t>DECOOK, JASON &amp; TRACY</t>
  </si>
  <si>
    <t>ANDERSON, ROBT &amp; JEAN</t>
  </si>
  <si>
    <t>PECK, GEORGE TERHUNE JR</t>
  </si>
  <si>
    <t>ABE, PETER W &amp; JOHN W</t>
  </si>
  <si>
    <t>SHOAF, JOSEPH &amp; JULIA</t>
  </si>
  <si>
    <t>LESNIK, CHARLES</t>
  </si>
  <si>
    <t>NOOTI, R &amp; A BHASKARANI</t>
  </si>
  <si>
    <t>WERNEKE, JOHN &amp; JENNIFER</t>
  </si>
  <si>
    <t>COSTABILE, SHARON &amp; JAMES</t>
  </si>
  <si>
    <t>CORWELL, STEPHEN &amp; KAY</t>
  </si>
  <si>
    <t>GEIB, KLAUS &amp; LINDA</t>
  </si>
  <si>
    <t>GARG, G &amp; P GUPTA</t>
  </si>
  <si>
    <t>PATEL, JAY &amp; PRITI</t>
  </si>
  <si>
    <t>WILSON, DAVID &amp; SUSAN</t>
  </si>
  <si>
    <t>GERALD TR, JESSICA</t>
  </si>
  <si>
    <t>HU, VICTOR &amp; D NIGRO TR</t>
  </si>
  <si>
    <t>LADD, DAVID &amp; SONDRA</t>
  </si>
  <si>
    <t>PATEL, ASHISH &amp; ELIZABETH</t>
  </si>
  <si>
    <t>VOHRA, SHIVANI &amp; A BATRA</t>
  </si>
  <si>
    <t>RIORDAN, DENNIS &amp; E</t>
  </si>
  <si>
    <t>OKEN, TODRA &amp; JEFFREY</t>
  </si>
  <si>
    <t>GUNUKULA, V &amp; S ADE</t>
  </si>
  <si>
    <t>DODGE, ERIC</t>
  </si>
  <si>
    <t>WALKER, JASON &amp; SANDRA</t>
  </si>
  <si>
    <t>BARKDOLL JR, R &amp; SUSAN</t>
  </si>
  <si>
    <t>MILLER, JASON &amp; CHRISTI</t>
  </si>
  <si>
    <t>GRIMES, TERRY L TR</t>
  </si>
  <si>
    <t>DAUSE, KEVIN</t>
  </si>
  <si>
    <t>GOPALAKRISHNAN, M &amp; K SHA</t>
  </si>
  <si>
    <t>LOWRY, ALEXIS &amp; RICHARD</t>
  </si>
  <si>
    <t>MOGHADAM, M</t>
  </si>
  <si>
    <t>BARKDOLL, LOUISE E</t>
  </si>
  <si>
    <t>MANDEL, LEE &amp; PORTIA</t>
  </si>
  <si>
    <t>AGARWAL, AMIT &amp; ANDREA NA</t>
  </si>
  <si>
    <t>RIGBY, JILL A</t>
  </si>
  <si>
    <t>KEMPF M &amp; A DYSON</t>
  </si>
  <si>
    <t>LEDEBUHR, PETER &amp; SUSAN</t>
  </si>
  <si>
    <t>YOUNG, RICHARD A &amp; M V</t>
  </si>
  <si>
    <t>HASTINGS IV, THURMAN &amp; W</t>
  </si>
  <si>
    <t>POLHEBER, AMELIA &amp; G</t>
  </si>
  <si>
    <t>DOWNS, RICHARD &amp; JAKEDA</t>
  </si>
  <si>
    <t>LEDEBUHR, BRIAN &amp; MEG</t>
  </si>
  <si>
    <t>KAUSHIK, ROHIT &amp; PARUL</t>
  </si>
  <si>
    <t>MC NICHOLS, MATTHEW</t>
  </si>
  <si>
    <t>CRAWFORD, NICK &amp; MIKI</t>
  </si>
  <si>
    <t>MO PRO BUILDERS INC</t>
  </si>
  <si>
    <t>BAKTHAVACHALU, HARIKRISHN</t>
  </si>
  <si>
    <t>CHEN, YAN LIN &amp; WANGPIN L</t>
  </si>
  <si>
    <t>COBB, CHRISTOPHER A</t>
  </si>
  <si>
    <t>FONASH, LUKE</t>
  </si>
  <si>
    <t>URZUA, FERNANDO &amp; ARTHI</t>
  </si>
  <si>
    <t>MASA, UMA &amp; SIVA</t>
  </si>
  <si>
    <t>UY, MANOLO B &amp; LANA L</t>
  </si>
  <si>
    <t>NGUYEN, HOANG THI</t>
  </si>
  <si>
    <t>428 E CHICAGO AVE DEV LLC</t>
  </si>
  <si>
    <t>JEYAPRAKASH, S &amp; ET AL</t>
  </si>
  <si>
    <t>SITAILO, D &amp; X CAO</t>
  </si>
  <si>
    <t>SIK, KAH &amp; LEI TAN</t>
  </si>
  <si>
    <t>CODE, KATHLEEN F</t>
  </si>
  <si>
    <t>KORETKE, CHARLES  &amp; JOYCE</t>
  </si>
  <si>
    <t>SANDERS, JAMES &amp; JUDITH</t>
  </si>
  <si>
    <t>SRI BALAJI LLC</t>
  </si>
  <si>
    <t>BHATT, ABHIJEET &amp; CHITRA</t>
  </si>
  <si>
    <t>SATRE, MATTHEW J</t>
  </si>
  <si>
    <t>NADELHOFFER, JOANNE L</t>
  </si>
  <si>
    <t>GUPTA, SANJEEV</t>
  </si>
  <si>
    <t>KUBIELEWICZ, KRISTA L</t>
  </si>
  <si>
    <t>GARDNER, ROLAND &amp; SAKENA</t>
  </si>
  <si>
    <t>VORA, KALPANA &amp; BIPIN</t>
  </si>
  <si>
    <t>ANERINO, GREGORY &amp; RUTH E</t>
  </si>
  <si>
    <t>GERDIS, CARLENE B</t>
  </si>
  <si>
    <t>BAID, MANISH &amp; SWATI</t>
  </si>
  <si>
    <t>MAC INTYRE, R &amp; N RORKE</t>
  </si>
  <si>
    <t>QI, F &amp; J LI</t>
  </si>
  <si>
    <t>MACALAGUIN, JUSTIAN &amp; J</t>
  </si>
  <si>
    <t>STRATIGAKIS, CONSTANTINE</t>
  </si>
  <si>
    <t>CHANDRA, SHASHWAT</t>
  </si>
  <si>
    <t>RAJASHEKAR, SANDEEPSHEKAR</t>
  </si>
  <si>
    <t>DEAN TR, DENNIS &amp; DEBRA</t>
  </si>
  <si>
    <t>MISHRA, RAJEEV &amp; SUNITA</t>
  </si>
  <si>
    <t>SRINIVASAN, R &amp; S RAMESH</t>
  </si>
  <si>
    <t>TANNURA, MICHAEL &amp; M</t>
  </si>
  <si>
    <t>LONG, ERIK &amp; JEAN</t>
  </si>
  <si>
    <t>IMBURGIA, DOMINIC &amp; J</t>
  </si>
  <si>
    <t>NIBHANUPUDI, VASUDEVA</t>
  </si>
  <si>
    <t>420 INFINITY LLC</t>
  </si>
  <si>
    <t>NEUMANN, ERIC N</t>
  </si>
  <si>
    <t>WEBER, DANIEL</t>
  </si>
  <si>
    <t>ENCA, C &amp; C ZUNIGA</t>
  </si>
  <si>
    <t>ANKIREDDYPALLE &amp; GADDAM</t>
  </si>
  <si>
    <t>KONDAM, S &amp; M MUCHA</t>
  </si>
  <si>
    <t>BASSETTO, WILLIAM &amp; LANA</t>
  </si>
  <si>
    <t>HANREHAN, ROBERT &amp; GRACE</t>
  </si>
  <si>
    <t>HILL, CASSIDY C</t>
  </si>
  <si>
    <t>THAKKAR, AALAP &amp; AANAL</t>
  </si>
  <si>
    <t>SAMONDS, MATTHEW &amp; C</t>
  </si>
  <si>
    <t>LEE, KEITH &amp; COLLEEN</t>
  </si>
  <si>
    <t>MONTENEGRO, HUGO</t>
  </si>
  <si>
    <t>TANNER, LEAH &amp; JENNIFER L</t>
  </si>
  <si>
    <t>COOK, MEAGAN &amp; RYAN</t>
  </si>
  <si>
    <t>KMEC, MICHAEL &amp; LAURA</t>
  </si>
  <si>
    <t>MITCHELL, WILLIAM &amp; NANCY</t>
  </si>
  <si>
    <t>KAMATALA, MAHESH &amp; G</t>
  </si>
  <si>
    <t>SCHUTTE, TODD &amp; MEHRIBAN</t>
  </si>
  <si>
    <t>SWISS, TIMOTHY &amp; SARAH</t>
  </si>
  <si>
    <t>FITCH SR, ANDREW &amp; SUSAN</t>
  </si>
  <si>
    <t>SHENK, JOSHUA &amp; MARIA</t>
  </si>
  <si>
    <t>CHASE, CHRISTIAN &amp; JOSIE</t>
  </si>
  <si>
    <t>CONWAY, MARK &amp; MOLLY</t>
  </si>
  <si>
    <t>AVILA, LILIANA</t>
  </si>
  <si>
    <t>BANDI, R B &amp; N S YANDRTHI</t>
  </si>
  <si>
    <t>LEE, CARLETON &amp; HOLLY</t>
  </si>
  <si>
    <t>PARK, KI HONG &amp; JA AE HON</t>
  </si>
  <si>
    <t>MILLER, BRENT &amp; NILE</t>
  </si>
  <si>
    <t>O BRIEN, W &amp; R SANDERS</t>
  </si>
  <si>
    <t>GODDE, DAVID &amp; ELIZABETH</t>
  </si>
  <si>
    <t>BUECHE, AUDREY</t>
  </si>
  <si>
    <t>HIGGINS, THOMAS E &amp; DAWN</t>
  </si>
  <si>
    <t>RUFFOLO, SCOTT &amp; LYNN</t>
  </si>
  <si>
    <t>SCHWER, CHARLES &amp; J</t>
  </si>
  <si>
    <t>HASSE, BRENT &amp; KAITLYN</t>
  </si>
  <si>
    <t>JOSTLEIN, HANS &amp; ANGELA</t>
  </si>
  <si>
    <t>URDA, MARK V &amp; MELISA C</t>
  </si>
  <si>
    <t>FINCK, CHRIS &amp; SUSAN</t>
  </si>
  <si>
    <t>MILLIGAN,ROBERT&amp;STEPHANIE</t>
  </si>
  <si>
    <t>SCHWEITZER, DOREEN TR</t>
  </si>
  <si>
    <t>HAUGSNES, ERIK &amp; OLONBAYA</t>
  </si>
  <si>
    <t>KERTH, WILLIAM O</t>
  </si>
  <si>
    <t>HOOVER, DAWN K</t>
  </si>
  <si>
    <t>ZYLSTRA, ERIC &amp; SAMANTHA</t>
  </si>
  <si>
    <t>SCHROEDER, JEFFREY &amp; SVET</t>
  </si>
  <si>
    <t>LAHIRI, DHIMAN &amp; MITALI</t>
  </si>
  <si>
    <t>WEAVER, RIVIAN</t>
  </si>
  <si>
    <t>RATHOD, VIVEK &amp; S RANADE</t>
  </si>
  <si>
    <t>LEE, ISAAC &amp; ESTHER CHANG</t>
  </si>
  <si>
    <t>GILL, S &amp; B BENIPAL</t>
  </si>
  <si>
    <t>RBS PROPERTIES 5S LLC</t>
  </si>
  <si>
    <t>KLINGBEIL, RICHARD &amp; L</t>
  </si>
  <si>
    <t>BRISTOW, DAL &amp; LINDSEY</t>
  </si>
  <si>
    <t>CARSELLO, NATASHA &amp; J</t>
  </si>
  <si>
    <t>RRMLS BREE LLC</t>
  </si>
  <si>
    <t>BREE, RONALD &amp; ROBERTA</t>
  </si>
  <si>
    <t>WEINSTEIN, CRAIG &amp; KATE</t>
  </si>
  <si>
    <t>FAWELL, RICHARD &amp; YVONNE</t>
  </si>
  <si>
    <t>WILLIAMS, JILADA &amp; JILLIA</t>
  </si>
  <si>
    <t>WEBER, DEREK &amp; AMY</t>
  </si>
  <si>
    <t>ASHCRAFT, DAVID R &amp; TERES</t>
  </si>
  <si>
    <t>MILLIGAN, ROBERT &amp; KRISTE</t>
  </si>
  <si>
    <t>PRATT, JASON &amp; JULIE</t>
  </si>
  <si>
    <t>FRNCZYK, RONALD &amp; ERIN</t>
  </si>
  <si>
    <t>GOOLIK, SCOTT M</t>
  </si>
  <si>
    <t>BOALER, SIMON &amp; ISIL</t>
  </si>
  <si>
    <t>PETERSON, STEVEN &amp; M</t>
  </si>
  <si>
    <t>YEATES, NORMA J</t>
  </si>
  <si>
    <t>BUDNIK, ROBERT &amp; LAURA</t>
  </si>
  <si>
    <t>SNODGRASS, CHRIS &amp; ANDREA</t>
  </si>
  <si>
    <t>JAVVADI, Y &amp; V MEDURI</t>
  </si>
  <si>
    <t>MEHTA, PRATIK &amp; DIPAL</t>
  </si>
  <si>
    <t>SKARUPA, ANDREW A</t>
  </si>
  <si>
    <t>BULAK, EDWARD A &amp; SUSAN M</t>
  </si>
  <si>
    <t>CALDWELL, SHANE A</t>
  </si>
  <si>
    <t>SLYKAS TR, JAMES &amp; MARY</t>
  </si>
  <si>
    <t>VUJIC, S &amp; D HERBST</t>
  </si>
  <si>
    <t>SIEGEL, GREGORY A</t>
  </si>
  <si>
    <t>ANDREOLI, MICHAEL &amp; JESSI</t>
  </si>
  <si>
    <t>BLACK, MELISSA</t>
  </si>
  <si>
    <t>ELLIOTT, RICHARD &amp; SUSAN</t>
  </si>
  <si>
    <t>PETERSON, KEVIN S</t>
  </si>
  <si>
    <t>SPRING PROPERTIES LLC</t>
  </si>
  <si>
    <t>YADAV, AJAY &amp; PRANATI</t>
  </si>
  <si>
    <t>MADALAM, YASWANTH &amp; P</t>
  </si>
  <si>
    <t>GIBBS, THOMAS M &amp; MARIA M</t>
  </si>
  <si>
    <t>VONDRASEK, CURTIS &amp; HAJAR</t>
  </si>
  <si>
    <t>SELBO, JOSHUA &amp; JULIA</t>
  </si>
  <si>
    <t>SARICKS, BRENDAN &amp;TIFFANY</t>
  </si>
  <si>
    <t>MEHTA, HARDIK P &amp; BINOLI</t>
  </si>
  <si>
    <t>PARIKH , KUNHAL &amp; SAJANI</t>
  </si>
  <si>
    <t>PATEL, W &amp; B J MC CABE</t>
  </si>
  <si>
    <t>BOLLIGER, BRIAN &amp; NANCY</t>
  </si>
  <si>
    <t>CAMMELOT, JUDITH A</t>
  </si>
  <si>
    <t>CHERRY, JOHN &amp; J DUSINA</t>
  </si>
  <si>
    <t>JUSTICE, JONATHAN &amp; ADAM</t>
  </si>
  <si>
    <t>RAI, NAGESH &amp; APARNA</t>
  </si>
  <si>
    <t>KATNUR, JAGADISH &amp; SWATHI</t>
  </si>
  <si>
    <t>PINISETTI, S &amp; R MUMMANA</t>
  </si>
  <si>
    <t>KELKAR, ADWAIT A</t>
  </si>
  <si>
    <t>LOHMAN, STEPHAN &amp; KATHLEE</t>
  </si>
  <si>
    <t>CHOUDHARY, HITESH</t>
  </si>
  <si>
    <t>HALL TR, JESSICA E</t>
  </si>
  <si>
    <t>RUCYS, JOSEPH &amp; SANDRA</t>
  </si>
  <si>
    <t>SONI, NIMESH M</t>
  </si>
  <si>
    <t>DESAI, SHALIN &amp; PRUTHA</t>
  </si>
  <si>
    <t>LESLIE, JULIE &amp; BRAD</t>
  </si>
  <si>
    <t>PATEL, SHITAL &amp; S GIALANI</t>
  </si>
  <si>
    <t>SANCHEZ, HECTOR &amp; J</t>
  </si>
  <si>
    <t>KANETKAR, V &amp; V UPASANI</t>
  </si>
  <si>
    <t>GOSSELIN, JOSEPH &amp; LYNN</t>
  </si>
  <si>
    <t>SMITH, DANIEL &amp; CHELSEA W</t>
  </si>
  <si>
    <t>SHAIK, AHAMED &amp; NAZEEM</t>
  </si>
  <si>
    <t>MURPHY, M &amp; W LYMANGOOD</t>
  </si>
  <si>
    <t>JAYARAMAN, DINESH</t>
  </si>
  <si>
    <t>METZGER, DOUGLAS &amp; J</t>
  </si>
  <si>
    <t>D J K CUSTOM HOMES INC</t>
  </si>
  <si>
    <t>AUERBACH, B &amp; S LOCKWITZ</t>
  </si>
  <si>
    <t>BRADY, TYLER G</t>
  </si>
  <si>
    <t>SMITH, SHANNON BONNER</t>
  </si>
  <si>
    <t>CHUNG</t>
  </si>
  <si>
    <t>GOTUR, V &amp;LIKHITHA GADDAM</t>
  </si>
  <si>
    <t>RYTYCH, CARL &amp; JENNIFER</t>
  </si>
  <si>
    <t>KHAN, SHAHAB &amp; TEHMINA</t>
  </si>
  <si>
    <t>VITTAL PADMAJA &amp; ET AL</t>
  </si>
  <si>
    <t>BAIG, OBAID &amp; BINISH</t>
  </si>
  <si>
    <t>MILLER, PAIGE</t>
  </si>
  <si>
    <t>HASELHORST, JOSEPH</t>
  </si>
  <si>
    <t>SEYFARTH, JEFFREY &amp; MARCI</t>
  </si>
  <si>
    <t>KIRKPATRICK, MATTHEW &amp; J</t>
  </si>
  <si>
    <t>BHARGAVA, CHIRAG &amp; PREETI</t>
  </si>
  <si>
    <t>WENDEL, BARBARA JO</t>
  </si>
  <si>
    <t>THANGAMANI, E &amp; ET AL</t>
  </si>
  <si>
    <t>KALARI, SARAH &amp; SASANKA</t>
  </si>
  <si>
    <t>ARROYO, ANGEL &amp; KELLY</t>
  </si>
  <si>
    <t>PERREAULT, YANIC &amp; ET AL</t>
  </si>
  <si>
    <t>WONG, RICHARD &amp; VICKY FAN</t>
  </si>
  <si>
    <t>BUCHANAN, RUTH S</t>
  </si>
  <si>
    <t>BOX, MARYBETH</t>
  </si>
  <si>
    <t>CHENG, BEE JUNE</t>
  </si>
  <si>
    <t>NUGENT, DOMINIC &amp; KRIS</t>
  </si>
  <si>
    <t>GOWANI, ALI &amp; SOHA</t>
  </si>
  <si>
    <t>KUNAL &amp; MARGI VORA</t>
  </si>
  <si>
    <t>PUTTAGUNTA, V &amp; C DADI</t>
  </si>
  <si>
    <t>CAMPOS, JOHN &amp; LORIE</t>
  </si>
  <si>
    <t>PICKETT, DWAYNE &amp; CHRISTI</t>
  </si>
  <si>
    <t>SHAH, A &amp; M DESAI</t>
  </si>
  <si>
    <t>SCHAUFENBUEL, BRADLEY &amp; Y</t>
  </si>
  <si>
    <t>SHAH, R &amp; RINKESH PATEL</t>
  </si>
  <si>
    <t>C &amp; M LAND LLC C &amp; M IV</t>
  </si>
  <si>
    <t>DADI, SRINIVAS &amp; ETAL</t>
  </si>
  <si>
    <t>TURCOTTE, DAVID &amp; VALERIE</t>
  </si>
  <si>
    <t>SHARMA, ASHISH &amp; MEENU</t>
  </si>
  <si>
    <t>SOWA, KATHRYN &amp; REBECCA</t>
  </si>
  <si>
    <t>LOPATKA, KEITH &amp; JULIE</t>
  </si>
  <si>
    <t>BURGOS, LAMAR &amp; AIZA</t>
  </si>
  <si>
    <t>CALDWELL, DUNCAN &amp; TINA</t>
  </si>
  <si>
    <t>RANDHAWA, UMAIR &amp; SARA KH</t>
  </si>
  <si>
    <t>MIDDENDORF, D &amp; A DU</t>
  </si>
  <si>
    <t>IYYADURAI, RAVI S &amp; S RS</t>
  </si>
  <si>
    <t>BEATTY, MICHAEL &amp; HALEY</t>
  </si>
  <si>
    <t>MARTINIS, MICHAEL &amp; BETH</t>
  </si>
  <si>
    <t>NALAWADI, RUMYA &amp; S</t>
  </si>
  <si>
    <t>DAVIES, SVEN</t>
  </si>
  <si>
    <t>PRUETER, BARRETT &amp; ERIN</t>
  </si>
  <si>
    <t>PANDEY, ARUN &amp; GUDDI</t>
  </si>
  <si>
    <t>ANAND, GAURAV &amp; SHAGUN</t>
  </si>
  <si>
    <t>JOHNSON, DONALD &amp; BARBARA</t>
  </si>
  <si>
    <t>SCOTT, SIDNEY H &amp; SHIRLEY</t>
  </si>
  <si>
    <t>DETAMBLE, MELISSA &amp; ERIC</t>
  </si>
  <si>
    <t>JOSHI, ABHIJIT &amp; SUVERNA</t>
  </si>
  <si>
    <t>ZAVALA, ALEX &amp; JAIME</t>
  </si>
  <si>
    <t>SAMI, MARK &amp; E M ASSAD</t>
  </si>
  <si>
    <t>MORSE, GEOFFREY &amp; CAROL</t>
  </si>
  <si>
    <t>GUNDA, SAAHITHI &amp; ROHAN D</t>
  </si>
  <si>
    <t>RAJPOOT, RAHUL &amp; ROOPA SI</t>
  </si>
  <si>
    <t>CALIENDO, PAUL &amp; LINDA</t>
  </si>
  <si>
    <t>DOLORES, JAMESSON &amp; KIMBE</t>
  </si>
  <si>
    <t>KAMINSKI, KARA &amp; JUSTIN</t>
  </si>
  <si>
    <t>BRODNICK, ANNACLAIRE &amp; VE</t>
  </si>
  <si>
    <t>WEISSENBORN FAMILY TR</t>
  </si>
  <si>
    <t>PHOTOWALA, FATEMA &amp; H</t>
  </si>
  <si>
    <t>HARMS, SHARON</t>
  </si>
  <si>
    <t>LOPEZ MARTINEZ, NEFTALI C</t>
  </si>
  <si>
    <t>AGGARWAL, SAHIL &amp; SAKSHI</t>
  </si>
  <si>
    <t>MUELLER, DAVID</t>
  </si>
  <si>
    <t>EBL LEASING LLC</t>
  </si>
  <si>
    <t>TRIPURANENI, S &amp; ET AL</t>
  </si>
  <si>
    <t>DEER TR, ANN  E</t>
  </si>
  <si>
    <t>MC FADDEN, MICHAEL &amp; SUZA</t>
  </si>
  <si>
    <t>ALLEN, MICHAEL</t>
  </si>
  <si>
    <t>GAJARA, SIVA KUMAR &amp;  K S</t>
  </si>
  <si>
    <t>SRIRAJ, P S &amp; K PALAMUTHY</t>
  </si>
  <si>
    <t>HILTZ, RODNEY &amp; BARBARA</t>
  </si>
  <si>
    <t>PATEL, CHIRAG &amp; PRIYA</t>
  </si>
  <si>
    <t>PATEL, MONIL G &amp; ET AL</t>
  </si>
  <si>
    <t>PRIYANKA RANJIT TRUST</t>
  </si>
  <si>
    <t>JAMES, GERALD &amp; M MATHEW</t>
  </si>
  <si>
    <t>BURKE, LAWRENCE &amp; LYNNANN</t>
  </si>
  <si>
    <t>GADDAM, S &amp; S YARATAPALLI</t>
  </si>
  <si>
    <t>CHIVUKULA LIVING TRUST</t>
  </si>
  <si>
    <t>FLYNN, BRIAN &amp; ABIGAIL</t>
  </si>
  <si>
    <t>CHIEN, MING T</t>
  </si>
  <si>
    <t>GILL, PAVANDEEP &amp;G BHATTI</t>
  </si>
  <si>
    <t>ANDERSON, RYAN &amp; CANDICE</t>
  </si>
  <si>
    <t>KALIGOTLA, SATYA &amp; T</t>
  </si>
  <si>
    <t>MOELLER, LANE &amp; KATHERINE</t>
  </si>
  <si>
    <t>GROSS, LINDSAY A</t>
  </si>
  <si>
    <t>JOHNSON, JAMEY &amp; JULIE</t>
  </si>
  <si>
    <t>KLOTTER, JEFFREY &amp;JANELLE</t>
  </si>
  <si>
    <t>GRIMMER, J &amp; S MACKNIGHT</t>
  </si>
  <si>
    <t>DJK CUSTOM HOMES</t>
  </si>
  <si>
    <t>GODUGUCHINTA, INDEEVAR</t>
  </si>
  <si>
    <t>BUSCH, JOSEPH &amp; NICOLE</t>
  </si>
  <si>
    <t>FREDERICK, GREGORY &amp; K</t>
  </si>
  <si>
    <t>URBAN, JONATHAN &amp; MEGAN</t>
  </si>
  <si>
    <t>CRUCE, CHARLES</t>
  </si>
  <si>
    <t>SHEPHARD, KARSTON &amp; KATEL</t>
  </si>
  <si>
    <t>BURLAND, COURTNEY &amp; MARY</t>
  </si>
  <si>
    <t>KIM, SOOCHUL &amp; J</t>
  </si>
  <si>
    <t>MONTANARI, STEPHANIE</t>
  </si>
  <si>
    <t>WEGER, LARRY R</t>
  </si>
  <si>
    <t>ELOE, TIMOTHY J</t>
  </si>
  <si>
    <t>LTC HTNA 3062</t>
  </si>
  <si>
    <t>BAUMGARTNER, WM &amp; DEBORAH</t>
  </si>
  <si>
    <t>CHERRINGTON, TODD &amp;ALAYNA</t>
  </si>
  <si>
    <t>D J K CUSTOME HOMES INC</t>
  </si>
  <si>
    <t>TANG TR, GEORGE C</t>
  </si>
  <si>
    <t>CHAWLA, N &amp; M GUPTA</t>
  </si>
  <si>
    <t>KUMAR, S &amp; F RANI</t>
  </si>
  <si>
    <t>LAKSHMINARAYANAN, KARTHIK</t>
  </si>
  <si>
    <t>ABRAMOV, R &amp; V IVANOYA</t>
  </si>
  <si>
    <t>KRASOWSKI, MICHAEL &amp; LISA</t>
  </si>
  <si>
    <t>WOODS, NICOLE &amp; ROBERT JR</t>
  </si>
  <si>
    <t>PATEL, HARSH &amp; SWETHA NUK</t>
  </si>
  <si>
    <t>MASSAGEE, BENJAMIN &amp;VOLHA</t>
  </si>
  <si>
    <t>WILLS, CHARLES &amp; NORA</t>
  </si>
  <si>
    <t>COX, SHAUN W &amp; KATHERINE</t>
  </si>
  <si>
    <t>BLAIR JR, BRUCE LINDLEY</t>
  </si>
  <si>
    <t>BOLOGNANI, T &amp; K MEYERS</t>
  </si>
  <si>
    <t>SUNDARESHAN, VISHWANATH</t>
  </si>
  <si>
    <t>LEIS, ALAN E &amp; KATHERINE</t>
  </si>
  <si>
    <t>CASIPIT, ROI FRANCO L</t>
  </si>
  <si>
    <t>SATSANGI, RUPANSHU &amp; ETAL</t>
  </si>
  <si>
    <t>SATRE, MATTHEW J &amp; BLANCA</t>
  </si>
  <si>
    <t>ALWOOD, RYAN &amp; EMILY</t>
  </si>
  <si>
    <t>DERN, ERIN D &amp; JOHN III</t>
  </si>
  <si>
    <t>CHAMPION, JARED &amp; PATRICI</t>
  </si>
  <si>
    <t>HUGHES, CHARLES &amp; HEATHER</t>
  </si>
  <si>
    <t>NATARAJAN, R</t>
  </si>
  <si>
    <t>WOO, CHEN &amp; FUI CHONG</t>
  </si>
  <si>
    <t>DESAI, VIVEK D &amp; ANNA</t>
  </si>
  <si>
    <t>BORGHESI FAMILY TRUST</t>
  </si>
  <si>
    <t>SUN, ZHENXU</t>
  </si>
  <si>
    <t>KAPALA, LAURA M</t>
  </si>
  <si>
    <t>MITTAL, PRATIK &amp; ROOPALI</t>
  </si>
  <si>
    <t>CAINE, STEPHEN &amp; PAMELA</t>
  </si>
  <si>
    <t>HARRIS, MICHAEL E</t>
  </si>
  <si>
    <t>STIFF, PATRICK &amp; ASTRID</t>
  </si>
  <si>
    <t>WAGNER, RYAN</t>
  </si>
  <si>
    <t>MOTURU, UJWAL &amp; G REDDY</t>
  </si>
  <si>
    <t>SUGUNAKUMAR, ARULRAJ</t>
  </si>
  <si>
    <t>MITCHELL, PAUL &amp; SUSAN</t>
  </si>
  <si>
    <t>CHOW, YEE M TRUST</t>
  </si>
  <si>
    <t>BROWN, KEITH &amp; KELLY</t>
  </si>
  <si>
    <t>TOLAPPA, BHARATH &amp; MAYA</t>
  </si>
  <si>
    <t>VAN LAERHOVEN, D &amp; ET AL</t>
  </si>
  <si>
    <t>HILTENBRAND, A &amp; B SEYRIN</t>
  </si>
  <si>
    <t>PRABHAKARA, V &amp; S OMKAR</t>
  </si>
  <si>
    <t>HASELHORST, JOSEPH A</t>
  </si>
  <si>
    <t>DURCZAK, JAMES</t>
  </si>
  <si>
    <t>FLYNN, KELLY &amp; HOLLY</t>
  </si>
  <si>
    <t>KULKARNI, ROHAN &amp; VAIDEHI</t>
  </si>
  <si>
    <t>KRAMER RESTORATION OF DUP</t>
  </si>
  <si>
    <t>CHITNIS, VIJAY</t>
  </si>
  <si>
    <t>BUTT, AMBRINA &amp; AFZAL SYE</t>
  </si>
  <si>
    <t>SANTNER, WARREN &amp; KATRINA</t>
  </si>
  <si>
    <t>GIESE, RUSSELL J</t>
  </si>
  <si>
    <t>BALUSU, A &amp; K BOLLEMPALLI</t>
  </si>
  <si>
    <t>SRISHALA, RAGHAVENDRA</t>
  </si>
  <si>
    <t>DREYER, ROBERT D</t>
  </si>
  <si>
    <t>PAYALA, V &amp; L KOLLA</t>
  </si>
  <si>
    <t>GOUDA, DAVID E</t>
  </si>
  <si>
    <t>KOVACS, JAMES &amp; BRIDGET</t>
  </si>
  <si>
    <t>PACH, JAMES &amp; KATHLEEN</t>
  </si>
  <si>
    <t>SONG, ZHIWEN &amp; KE PAN</t>
  </si>
  <si>
    <t>CHO, DAVID &amp; SANDY</t>
  </si>
  <si>
    <t>MALHOTRA, SUDHIR &amp; UPASNA</t>
  </si>
  <si>
    <t>WANG, JING</t>
  </si>
  <si>
    <t>RASANAYAGAM, EMILY</t>
  </si>
  <si>
    <t>KORETKE, PAUL</t>
  </si>
  <si>
    <t>MANN, MICHAEL S &amp; ANITA H</t>
  </si>
  <si>
    <t>NGUYEN &amp; PHAM JOINT TRUST</t>
  </si>
  <si>
    <t>MATTERN, ROBERT &amp; LINDA</t>
  </si>
  <si>
    <t>OLIVEIRA, A &amp; J FERREIRA</t>
  </si>
  <si>
    <t>HEITMANEK, JOHN &amp; LANA</t>
  </si>
  <si>
    <t>BUCHANAN, ANGUS</t>
  </si>
  <si>
    <t>STUBBS, JUSTIN &amp; EMILY</t>
  </si>
  <si>
    <t>BASILE, PAUL</t>
  </si>
  <si>
    <t>ATWOOD, KAREN</t>
  </si>
  <si>
    <t>ZAJAC, MICHELE &amp; GREGORY</t>
  </si>
  <si>
    <t>HACKEMER, JOHN &amp; DONNA</t>
  </si>
  <si>
    <t>ROSS, J &amp; C DALZELL</t>
  </si>
  <si>
    <t>TRASATT, ANDREW D</t>
  </si>
  <si>
    <t>FORASIEPI, ALISA J</t>
  </si>
  <si>
    <t>PAYTON, ROBERT &amp; NUALA</t>
  </si>
  <si>
    <t>PHILLIPS, DAVID &amp; AMY COF</t>
  </si>
  <si>
    <t>MCKINLEY, EDWARD</t>
  </si>
  <si>
    <t>FINCK, SANDRA</t>
  </si>
  <si>
    <t>DAVIS, KATHARINE</t>
  </si>
  <si>
    <t>NORDGREN, KRISTIAN &amp; MARI</t>
  </si>
  <si>
    <t>GJELDUM, TIANA &amp; DAVID</t>
  </si>
  <si>
    <t>DI SANTO, MICHAEL R &amp; K A</t>
  </si>
  <si>
    <t>PORTER, DANNY &amp; VERONICA</t>
  </si>
  <si>
    <t>MILLER, RICHARD &amp;DOROTHIE</t>
  </si>
  <si>
    <t>VERNON, ARTHUR &amp; BARBARA</t>
  </si>
  <si>
    <t>SHINDLER, J &amp; R PAINE TR</t>
  </si>
  <si>
    <t>BUTTS, MARK &amp; KYMBERLY</t>
  </si>
  <si>
    <t>NOVAK, KENNETH &amp; EVA</t>
  </si>
  <si>
    <t>PHEONIX, RIVER J</t>
  </si>
  <si>
    <t>FITZGERALD, JOHN &amp; MARY</t>
  </si>
  <si>
    <t>THIYAGARAJAN&amp;BALASUBRAMAN</t>
  </si>
  <si>
    <t>PENG, A &amp; K LEE</t>
  </si>
  <si>
    <t>GOSWAMI, MANOJ &amp; MINAL</t>
  </si>
  <si>
    <t>WARFIELD, CHARLES A</t>
  </si>
  <si>
    <t>STORM, PATSY LEIGH</t>
  </si>
  <si>
    <t>NAGPAL, NIDHI &amp; MANEET</t>
  </si>
  <si>
    <t>CHIDAMBARAM, J</t>
  </si>
  <si>
    <t>FLESNER, MAYUMI &amp; ADRIAN</t>
  </si>
  <si>
    <t>DONKIN, BRETT T</t>
  </si>
  <si>
    <t>GRIFFITH, GERALD &amp; LINDA</t>
  </si>
  <si>
    <t>REICHARDT, MICHAEL &amp; DANA</t>
  </si>
  <si>
    <t>INTEGRITY HOME BUILDERS L</t>
  </si>
  <si>
    <t>O CONNOR, ELEANOR J</t>
  </si>
  <si>
    <t>GIDO, EMILIE</t>
  </si>
  <si>
    <t>BAGAVATSSING, ARUNPRASAD</t>
  </si>
  <si>
    <t>DUNPHY, JAMES &amp; MICHAEL</t>
  </si>
  <si>
    <t>MADDI, B &amp; J VANGOORI</t>
  </si>
  <si>
    <t>SYED, SALMAN B</t>
  </si>
  <si>
    <t>ROETTER, J &amp; M CROCKETT</t>
  </si>
  <si>
    <t>WAITE, JERRY R</t>
  </si>
  <si>
    <t>MIKULA, SHANE &amp; BETTY</t>
  </si>
  <si>
    <t>BIFF LLC</t>
  </si>
  <si>
    <t>MATHIESON HOUSE LLC</t>
  </si>
  <si>
    <t>ARENS, PATRICK J &amp; K L</t>
  </si>
  <si>
    <t>SHAIKH, ERUM</t>
  </si>
  <si>
    <t>HUAN HUYNH &amp; HUONG TRAN</t>
  </si>
  <si>
    <t>KATIYAR, AJAY &amp; DARSHITA</t>
  </si>
  <si>
    <t>AURORA, NITIN &amp; RILIKA</t>
  </si>
  <si>
    <t>LEITNER, MICHAEL</t>
  </si>
  <si>
    <t>MILLER, STEVEN &amp; CAROL</t>
  </si>
  <si>
    <t>WILLIAMS, CALVIN &amp; VIVIAN</t>
  </si>
  <si>
    <t>BERRES, CRAIG &amp; CHRISTINE</t>
  </si>
  <si>
    <t>SEREDYNSKI, JEFFREY &amp; ASH</t>
  </si>
  <si>
    <t>KAUTZ, JODI &amp; JEFFREY</t>
  </si>
  <si>
    <t>LIPIEN, DAVID &amp; JILL</t>
  </si>
  <si>
    <t>CAPUTO, GINA &amp; MICHAEL</t>
  </si>
  <si>
    <t>REBLING, AARON &amp; DANIELLE</t>
  </si>
  <si>
    <t>SHEPARD, TIMOTHY E</t>
  </si>
  <si>
    <t>RIEGLE, ANNE M</t>
  </si>
  <si>
    <t>SHINK, STEPHEN &amp; VICTORIA</t>
  </si>
  <si>
    <t>ANNAMREDDY, R &amp; B REDDY</t>
  </si>
  <si>
    <t>GAWDE, SANTOSH &amp; ASHWINI</t>
  </si>
  <si>
    <t>THOMAS, LIJO &amp; MITHU LIJO</t>
  </si>
  <si>
    <t>PENN, BRIAN &amp; SHANNON</t>
  </si>
  <si>
    <t>HUBER, DEVIN &amp; AMY</t>
  </si>
  <si>
    <t>RAMADOSS, S &amp; D NAGARAJAN</t>
  </si>
  <si>
    <t>JAASTHI, RAJKRISHNA &amp; SAI</t>
  </si>
  <si>
    <t>ORIOLE &amp; ALMOND LLC</t>
  </si>
  <si>
    <t>YIN, MABEL YEE MUI</t>
  </si>
  <si>
    <t>ANERINO, SCOTT &amp; ALAYNA</t>
  </si>
  <si>
    <t>MESSER, TIMOTHY A</t>
  </si>
  <si>
    <t>KATAKAM, PRAVEEN &amp; NEELIM</t>
  </si>
  <si>
    <t>GUY, WILLIAM  W</t>
  </si>
  <si>
    <t>NORTHRUP, HEIDI</t>
  </si>
  <si>
    <t>PARR, JUSTIN &amp; JESSICA</t>
  </si>
  <si>
    <t>SOMALRAJU, B</t>
  </si>
  <si>
    <t>MUKKALA, S &amp; B KAKARLA</t>
  </si>
  <si>
    <t>BERGERON, RUTH M  TR</t>
  </si>
  <si>
    <t>SCHMITTER, VIVIAN &amp; CHRIS</t>
  </si>
  <si>
    <t>HOMETOWN DWELLINGS LLC</t>
  </si>
  <si>
    <t>SIDDIQUI, H &amp; H SULEMAN</t>
  </si>
  <si>
    <t>KHAN, D N &amp; R M RIAZ</t>
  </si>
  <si>
    <t>SHAH H &amp; H DESAI</t>
  </si>
  <si>
    <t>PRIORE, MICHAEL &amp; ERIN DO</t>
  </si>
  <si>
    <t>SALEHINIA, IMAN</t>
  </si>
  <si>
    <t>MESSIER, MATTHEW &amp;JOHNNIE</t>
  </si>
  <si>
    <t>PETRIKAS, JAMES &amp; MARY</t>
  </si>
  <si>
    <t>930 NLS LLC</t>
  </si>
  <si>
    <t>THAKKAR, SAMEER &amp; BHUMI</t>
  </si>
  <si>
    <t>MALONE, PATRICK &amp; DONNA</t>
  </si>
  <si>
    <t>BALLANO TR, EMIL F</t>
  </si>
  <si>
    <t>WEISSENBORN, SARA &amp; TIM</t>
  </si>
  <si>
    <t>ACUESTA, K &amp; M JAHNKE</t>
  </si>
  <si>
    <t>WISTERIA INVESTMENTS LLC</t>
  </si>
  <si>
    <t>WERNER, C &amp; A VEGHTS</t>
  </si>
  <si>
    <t>JONNAIA, R &amp; D ANKIREDDY</t>
  </si>
  <si>
    <t>HOFFMAN, MICHAEL &amp; DEBORA</t>
  </si>
  <si>
    <t>GRAVER, CHRISTOPHER &amp; H</t>
  </si>
  <si>
    <t>HUFF, YORLI P</t>
  </si>
  <si>
    <t>ALMASE, GARY &amp; JENNIFER</t>
  </si>
  <si>
    <t>MAAVANI LLC MILL SERIES</t>
  </si>
  <si>
    <t>HAQUE, SYED M &amp; QUISAR</t>
  </si>
  <si>
    <t>KHAN, ATIF &amp; DO HYUN KIM</t>
  </si>
  <si>
    <t>CARMICHAEL, STEPHEN P</t>
  </si>
  <si>
    <t>REMEC, GREGORY &amp; LYNDA</t>
  </si>
  <si>
    <t>MOYERS, MICHAEL K</t>
  </si>
  <si>
    <t>HISTORIC LLC</t>
  </si>
  <si>
    <t>DOROW, MACIE &amp; BRIAN HARV</t>
  </si>
  <si>
    <t>BUFORT, JONATHAN &amp; JESSIC</t>
  </si>
  <si>
    <t>CHARVAT, DENNIS</t>
  </si>
  <si>
    <t>THOTA, ABHILASH &amp; A URADI</t>
  </si>
  <si>
    <t>SPERL, SUSAN D</t>
  </si>
  <si>
    <t>SHARIFF, MEHBOOB &amp;ARSHIYA</t>
  </si>
  <si>
    <t>POSANPALLY, SANDEEP</t>
  </si>
  <si>
    <t>HOLLANDER, JESSICA &amp; RICH</t>
  </si>
  <si>
    <t>WITTE, JEFFREY &amp; E GIESE</t>
  </si>
  <si>
    <t>HUTTON, DOUGLAS</t>
  </si>
  <si>
    <t>GOODMAN, THEODORE &amp; ALICE</t>
  </si>
  <si>
    <t>KUMAR, S &amp; S SINHA</t>
  </si>
  <si>
    <t>NARASIMHAN, SRIKANT</t>
  </si>
  <si>
    <t>SMELTZER, ANNE</t>
  </si>
  <si>
    <t>UNIT 9 SSS PROPERTY INVES</t>
  </si>
  <si>
    <t>SHARMA, SUMIT &amp; NIKITA</t>
  </si>
  <si>
    <t>840 N SLEIGHT LLC</t>
  </si>
  <si>
    <t>KOWAL, JAMES</t>
  </si>
  <si>
    <t>GOMBAS, JAMES &amp; JULIE</t>
  </si>
  <si>
    <t>NGUYEN, JOSEPH</t>
  </si>
  <si>
    <t>KIM, RICHARD C</t>
  </si>
  <si>
    <t>BONN, KRISTINA L</t>
  </si>
  <si>
    <t>TELLAPRAGADA, SUCHITRA</t>
  </si>
  <si>
    <t>BINKOWSKI, KAREN</t>
  </si>
  <si>
    <t>MANNE, K &amp; S KANTAMNENI</t>
  </si>
  <si>
    <t>DAVIS TR, PAMELA M</t>
  </si>
  <si>
    <t>AMIN TR, PINKY A</t>
  </si>
  <si>
    <t>CHOWDHURY, M &amp; T SALAM</t>
  </si>
  <si>
    <t>EVESLAGE, BRIAN</t>
  </si>
  <si>
    <t>LORD, DANIEL &amp; DIANE</t>
  </si>
  <si>
    <t>OURS, STEPHANIE L</t>
  </si>
  <si>
    <t>BENSON, ERIC &amp; KATHLEEN</t>
  </si>
  <si>
    <t>DAMARLA, U &amp; A JONNAULA</t>
  </si>
  <si>
    <t>PENMETSA, RAVINDRARAJU</t>
  </si>
  <si>
    <t>SYED, KAYNAAT &amp; SUHAIL KH</t>
  </si>
  <si>
    <t>MOLLOY, DUNCAN</t>
  </si>
  <si>
    <t>MORTELL, KAREN K</t>
  </si>
  <si>
    <t>KANRAR, SAGARIKA &amp; K</t>
  </si>
  <si>
    <t>PAL, SAYANTANI &amp; RAHULJIT</t>
  </si>
  <si>
    <t>CORONEL, LISA</t>
  </si>
  <si>
    <t>FLYNN, THOMAS F</t>
  </si>
  <si>
    <t>BULUSU, K &amp; R K PERALI</t>
  </si>
  <si>
    <t>NEUMAN, DAVID &amp; KATHI</t>
  </si>
  <si>
    <t>REID, WILLIAM &amp; TERESA</t>
  </si>
  <si>
    <t>BURNS, BYRON &amp; SUSAN</t>
  </si>
  <si>
    <t>CREEVY, CINDY J</t>
  </si>
  <si>
    <t>MC ROBERTS, THOMAS &amp; C P</t>
  </si>
  <si>
    <t>SCHREINER, CHRISTOPHER</t>
  </si>
  <si>
    <t>STIBBE, THOMAS &amp;ELIZABETH</t>
  </si>
  <si>
    <t>FEELY, SHANE &amp; NIYATI</t>
  </si>
  <si>
    <t>BARRAZA, BARRIOS</t>
  </si>
  <si>
    <t>SCHLECHTE, NATHAN &amp; ASHLE</t>
  </si>
  <si>
    <t>SHANAHAN, BERNICE A</t>
  </si>
  <si>
    <t>MIRZA, NADEEM &amp; NADIA FAS</t>
  </si>
  <si>
    <t>ALMALLA INTERNATIONAL INC</t>
  </si>
  <si>
    <t>SHUKLA, ANUBHAV &amp; POOJA M</t>
  </si>
  <si>
    <t>GOEL, ANJU &amp; DINESH</t>
  </si>
  <si>
    <t>DESAI, HITESH &amp; NISHA</t>
  </si>
  <si>
    <t>VUNDI, S &amp; R PRATHIGUDUPU</t>
  </si>
  <si>
    <t>KHOSLA, SONIKA &amp; SAGAR</t>
  </si>
  <si>
    <t>ALDRICH, THOMAS M</t>
  </si>
  <si>
    <t>FIGOLA, BRYAN SAMUEL</t>
  </si>
  <si>
    <t>PRASAD, RAVINDER &amp; KUMARI</t>
  </si>
  <si>
    <t>PRABHAKARAN, SHYAM &amp;</t>
  </si>
  <si>
    <t>LEISTEN, DANIEL &amp; ISABELA</t>
  </si>
  <si>
    <t>BRATTA, DANIEL</t>
  </si>
  <si>
    <t>ELKHATIB, OSAMA &amp; DANA DA</t>
  </si>
  <si>
    <t>HILT, WAYNE &amp; DONNA</t>
  </si>
  <si>
    <t>VICEVICH, CHAD</t>
  </si>
  <si>
    <t>YARDI, AVINASH &amp; SWAPNA</t>
  </si>
  <si>
    <t>YOUNGREN, DOUGLAS &amp; S</t>
  </si>
  <si>
    <t>PATEL, KRUNAL &amp; MAYA</t>
  </si>
  <si>
    <t>PATEL TR, RICKY &amp; IVA</t>
  </si>
  <si>
    <t>NAGPURE, RAM &amp; KEERTI</t>
  </si>
  <si>
    <t>PULOORI, C &amp; R PEDDI</t>
  </si>
  <si>
    <t>CHITRA, S &amp; V P D SISTIA</t>
  </si>
  <si>
    <t>LEWANDOWSKI, EDWARD &amp; T</t>
  </si>
  <si>
    <t>HASELHORST, JAMES</t>
  </si>
  <si>
    <t>PARROTT, JASON &amp; TRACY</t>
  </si>
  <si>
    <t>MARTIN, JJ &amp; A MILLER</t>
  </si>
  <si>
    <t>PATEL, BHAVIN &amp; KINJAL</t>
  </si>
  <si>
    <t>JANOR, RICHARD A</t>
  </si>
  <si>
    <t>PIEKOS FAMILY TRUST</t>
  </si>
  <si>
    <t>MUDGAL, NEHA &amp; ET AL</t>
  </si>
  <si>
    <t>RAHEJA, SUDHIR &amp; ANJALI</t>
  </si>
  <si>
    <t>FATTORUSO, MICHELE</t>
  </si>
  <si>
    <t>BHADRACHALAMVPR, V</t>
  </si>
  <si>
    <t>KOLLER, JAMES C</t>
  </si>
  <si>
    <t>KANURI, V &amp; S BOPPANA</t>
  </si>
  <si>
    <t>JERMAN, STEPHEN M &amp; F T</t>
  </si>
  <si>
    <t>NORTHLIGHT FOUR LLC</t>
  </si>
  <si>
    <t>MOTAMARRI, S &amp; K GUNDA</t>
  </si>
  <si>
    <t>ARTHAM, SANTOSH &amp; ET AL</t>
  </si>
  <si>
    <t>DESAI, BANKIM &amp; ALKA</t>
  </si>
  <si>
    <t>ROJAS, CHRISTIAN &amp;MAUREEN</t>
  </si>
  <si>
    <t>MOONDRA, MAYUR &amp; NIMITA</t>
  </si>
  <si>
    <t>KUTHALAM, B &amp; D BALAJI</t>
  </si>
  <si>
    <t>RAJULAPUDI, UDAIKANTH &amp; N</t>
  </si>
  <si>
    <t>KUMAR, P &amp; PRIYA MAKKAR</t>
  </si>
  <si>
    <t>JANI, SAMIP H &amp; DIPTI S</t>
  </si>
  <si>
    <t>MOHAMMAD, SAMDANI &amp; SAKEE</t>
  </si>
  <si>
    <t>HENRIQUEZ, H &amp; M COLGROVE</t>
  </si>
  <si>
    <t>ALEXANDER, RACHEL &amp; JAMES</t>
  </si>
  <si>
    <t>KUMAR, S &amp; R BAYAS</t>
  </si>
  <si>
    <t>RATHNAKARA, SURANJANI</t>
  </si>
  <si>
    <t>SANGHVI, C &amp; H JOSHI</t>
  </si>
  <si>
    <t>VEERAM, NAGA KP</t>
  </si>
  <si>
    <t>NYSTROM, ERIC M &amp;</t>
  </si>
  <si>
    <t>LEE, FOO CHOO</t>
  </si>
  <si>
    <t>ZOLLER, CONSTANCE &amp; J</t>
  </si>
  <si>
    <t>KUMAR, VINOD &amp; S VINOD</t>
  </si>
  <si>
    <t>MAHADEVAN, ARCHANA</t>
  </si>
  <si>
    <t>MANTHENA, VARMA</t>
  </si>
  <si>
    <t>PANDYA, NEHAL C &amp;PRIYANKA</t>
  </si>
  <si>
    <t>CHAWLA, RISHAB &amp; RASHI</t>
  </si>
  <si>
    <t>PATEL, SHETAL &amp; SHWETA</t>
  </si>
  <si>
    <t>NETTAM, B &amp; S KALAVAKURI</t>
  </si>
  <si>
    <t>INALA, S &amp; R REGINTALA</t>
  </si>
  <si>
    <t>LEE, DANIELLE</t>
  </si>
  <si>
    <t>MOHAN TR, H &amp; S BALAKRISH</t>
  </si>
  <si>
    <t>SUKUMAR, SENTHIL</t>
  </si>
  <si>
    <t>DESAI, APURVA &amp; SHIRLEY</t>
  </si>
  <si>
    <t>NAREN, S &amp; N VENKATESH</t>
  </si>
  <si>
    <t>TULLURI, S &amp; M SOMPALLE</t>
  </si>
  <si>
    <t>SHARMA, A &amp; S PATIL</t>
  </si>
  <si>
    <t>BODDUPALLI, NARASIMHAM</t>
  </si>
  <si>
    <t>TAYLOR, ANDREW &amp; JILLIAN</t>
  </si>
  <si>
    <t>SAUNTRY TR, JOHN &amp; CLAIRE</t>
  </si>
  <si>
    <t>BLUMHOEFER, TODD &amp; KATE</t>
  </si>
  <si>
    <t>DHANASEKARAN, SUNDAR</t>
  </si>
  <si>
    <t>SAVAIANO, JOSEPH ROMAN</t>
  </si>
  <si>
    <t>ZAININGER, DONALD R</t>
  </si>
  <si>
    <t>RASTOGI, GUNJA &amp; NITIN</t>
  </si>
  <si>
    <t>BOHNSTEDT, CHAD &amp; JULIET</t>
  </si>
  <si>
    <t>WILSON, D &amp; J WHITESIDE</t>
  </si>
  <si>
    <t>LITCHER, CHRISTOPHER</t>
  </si>
  <si>
    <t>SYED, ZEESHAN &amp; SAFURAH A</t>
  </si>
  <si>
    <t>VELUSAMY, S &amp; M BATTU</t>
  </si>
  <si>
    <t>ALVAREZ, RAUL &amp; VERONICA</t>
  </si>
  <si>
    <t>JAMUNA, S &amp; S NARAYANA</t>
  </si>
  <si>
    <t>SAGAR, GANESH &amp; SHRADDHA</t>
  </si>
  <si>
    <t>KRISHNAMOORTHY, A &amp; K PER</t>
  </si>
  <si>
    <t>SIMPSON, ROYCE &amp; JOSEPHNI</t>
  </si>
  <si>
    <t>SHIKHARE, NITIN &amp; SHEETAL</t>
  </si>
  <si>
    <t>SWANSON, DONALD</t>
  </si>
  <si>
    <t>GERALD, JENNIFER</t>
  </si>
  <si>
    <t>CHATTERJEA, R &amp; S BOSE</t>
  </si>
  <si>
    <t>PANNEERSELVAM, V &amp; S ASHO</t>
  </si>
  <si>
    <t>DESMOND TR, CHARLES G</t>
  </si>
  <si>
    <t>SCHOENJOHN , MARY ELLEN</t>
  </si>
  <si>
    <t>BOZAI, NAVEED &amp; NOSHIN KH</t>
  </si>
  <si>
    <t>KHAN, ERUM &amp; FAIZAN YAR</t>
  </si>
  <si>
    <t>YUAN, JACK &amp; JINJUAN HSIA</t>
  </si>
  <si>
    <t>SHAH, KEVAL &amp; KRINA PATEL</t>
  </si>
  <si>
    <t>DZUGAN, MATTHEW &amp; LINDA</t>
  </si>
  <si>
    <t>CHAVEZ, ALEJANDRO &amp; IRELY</t>
  </si>
  <si>
    <t>ORLOWICZ, MARTHA &amp; PETER</t>
  </si>
  <si>
    <t>MOHAMMED, ANSARUDDIN &amp; AD</t>
  </si>
  <si>
    <t>YACKLEY, CAROLE</t>
  </si>
  <si>
    <t>BAKSHI, ANSHUL &amp; TANVI</t>
  </si>
  <si>
    <t>GERLICZKI, ARON &amp; SARA</t>
  </si>
  <si>
    <t>ABBAMONTE, ALFRED &amp; CHRIS</t>
  </si>
  <si>
    <t>MEHTA, KAMALDEEP &amp; ANJU C</t>
  </si>
  <si>
    <t>CAMP, MARK D &amp; CATHY M</t>
  </si>
  <si>
    <t>ANDERSON, ROBERT &amp; ANNE</t>
  </si>
  <si>
    <t>CORONA, ERNESTO &amp; DONNA</t>
  </si>
  <si>
    <t>WANG, HAILIANG &amp; YING KAU</t>
  </si>
  <si>
    <t>KHALIL, DURRE</t>
  </si>
  <si>
    <t>PATEL, MAYA</t>
  </si>
  <si>
    <t>STEVEN, C &amp; V ALITOVSKA</t>
  </si>
  <si>
    <t>KAVOURIS, JOHN</t>
  </si>
  <si>
    <t>SCHUBERT, MARTIN &amp; ITZEL</t>
  </si>
  <si>
    <t>CHISZAR, DAVID M</t>
  </si>
  <si>
    <t>ACQUAH, PAPA &amp; AMA</t>
  </si>
  <si>
    <t>MOLLOY, T &amp; A MUNDT</t>
  </si>
  <si>
    <t>BRUCE, DOUGLAS T</t>
  </si>
  <si>
    <t>KACZMAREK, ROBT &amp; LAUREL</t>
  </si>
  <si>
    <t>ZEIDLHACK, MICHAEL &amp; M</t>
  </si>
  <si>
    <t>SMITH, WARREN &amp; GERALYN</t>
  </si>
  <si>
    <t>BEVEL, ELIZABETH</t>
  </si>
  <si>
    <t>RUSSELL, WILLIAM</t>
  </si>
  <si>
    <t>KELLY, SARAH</t>
  </si>
  <si>
    <t>FOX, RANDALL K</t>
  </si>
  <si>
    <t>SMITH, VANESSA &amp; D KRELL</t>
  </si>
  <si>
    <t>JAIN, MANISH &amp; MADHU</t>
  </si>
  <si>
    <t>SANDHU, GURJI &amp; S KAUR</t>
  </si>
  <si>
    <t>CHERUKU, B &amp; S SAMA</t>
  </si>
  <si>
    <t>HARMON, THOMAS &amp; KARA</t>
  </si>
  <si>
    <t>HARIHARAN, RAVI</t>
  </si>
  <si>
    <t>DENDUKURI, ARJUN &amp;SRIDEVI</t>
  </si>
  <si>
    <t>SCHLEIGER FAMILY TRUST</t>
  </si>
  <si>
    <t>ZUBAIR, GHULAM</t>
  </si>
  <si>
    <t>GIZZO, MARK &amp; ANGELA</t>
  </si>
  <si>
    <t>CHERIAN, VIVEK &amp; NIKHILA</t>
  </si>
  <si>
    <t>LAUGHLIN, COLIN R &amp; AMAND</t>
  </si>
  <si>
    <t>TAYLOR, MARK E</t>
  </si>
  <si>
    <t>JOHNSON, MICHAEL R</t>
  </si>
  <si>
    <t>MILLER, BRIAN &amp; WHITNEY</t>
  </si>
  <si>
    <t>MC ROBERTS, THOMAS &amp; C</t>
  </si>
  <si>
    <t>FOWLER, S &amp; S REDDY</t>
  </si>
  <si>
    <t>BROWN, STACY &amp; DONALD</t>
  </si>
  <si>
    <t>BARON, LYNN M</t>
  </si>
  <si>
    <t>BARTH, ROSEMARY</t>
  </si>
  <si>
    <t>PAVEY TR, MASHELLE</t>
  </si>
  <si>
    <t>PECAK, ROBERT &amp; KELLY  TR</t>
  </si>
  <si>
    <t>BECKER, JAY T</t>
  </si>
  <si>
    <t>153 CENTER STREET LLC</t>
  </si>
  <si>
    <t>LANGER, LARRY &amp; GRETCHEN</t>
  </si>
  <si>
    <t>SHARMA, RANJIV</t>
  </si>
  <si>
    <t>BROOKS, COLLEEN</t>
  </si>
  <si>
    <t>CAPPETTA, MEGHAN &amp; PETER</t>
  </si>
  <si>
    <t>RAMCKE, CARL &amp; R EAGLESON</t>
  </si>
  <si>
    <t>WIESEN, J &amp; A HARWATH</t>
  </si>
  <si>
    <t>WARGA, GREG &amp; JASMINE</t>
  </si>
  <si>
    <t>HANNA, T &amp; G BOUMITRI</t>
  </si>
  <si>
    <t>ALASWAD, LAYTH T</t>
  </si>
  <si>
    <t>CANTY, DONALD P &amp; KAREN I</t>
  </si>
  <si>
    <t>FEIGHTNER, ALBERT &amp; RUTH</t>
  </si>
  <si>
    <t>SPECA, CHRISTOPHER</t>
  </si>
  <si>
    <t>DUTTON, WILLIAM M</t>
  </si>
  <si>
    <t>GLAZER, EVAN &amp; JENNIFER</t>
  </si>
  <si>
    <t>RANJAN, TANUJA</t>
  </si>
  <si>
    <t>ZAHORA, MATTHEW &amp; RUTA CE</t>
  </si>
  <si>
    <t>LOFTUS, MICHAEL</t>
  </si>
  <si>
    <t>CUTLER, JEREMY &amp; KELLI</t>
  </si>
  <si>
    <t>MILLER, GEORGE &amp; M BROWN</t>
  </si>
  <si>
    <t>ASHLEY JR, JAMES W &amp; B D</t>
  </si>
  <si>
    <t>POTAPCZAK, MICHAEL &amp; J</t>
  </si>
  <si>
    <t>SHAH, SUJAY &amp; SWETA</t>
  </si>
  <si>
    <t>MC DOWELL, PATRICK J &amp; B</t>
  </si>
  <si>
    <t>LARA, GUMERCINDO &amp; FRANNY</t>
  </si>
  <si>
    <t>MORIARTY, JEFFREY &amp; AIMEE</t>
  </si>
  <si>
    <t>ANDERSON, M &amp; C CHAVEZ</t>
  </si>
  <si>
    <t>CALDERON, M &amp; A NOWAK</t>
  </si>
  <si>
    <t>DODSON, BRIAN</t>
  </si>
  <si>
    <t>LABUD, T &amp; A ERICKSON</t>
  </si>
  <si>
    <t>MEYER, DANIEL &amp; LAUREN</t>
  </si>
  <si>
    <t>COGKASS ASSOC LLC</t>
  </si>
  <si>
    <t>JENKINS, JON &amp; JENN NUNN</t>
  </si>
  <si>
    <t>KOLI, RAJENDRA &amp; RATNAMAL</t>
  </si>
  <si>
    <t>RECHENMACHER, RONALD &amp; GR</t>
  </si>
  <si>
    <t>JOHNSON, BRADLEY &amp; A</t>
  </si>
  <si>
    <t>HOULIHAN, BRENDAN &amp; O</t>
  </si>
  <si>
    <t>SCHILLERSTROM, JOHN C</t>
  </si>
  <si>
    <t>SHUKIS, MICHAEL &amp; REBECCA</t>
  </si>
  <si>
    <t>KIRCHER, ALBERT &amp; ERIKA</t>
  </si>
  <si>
    <t>COATES, RONALD &amp; CAROLIN</t>
  </si>
  <si>
    <t>GUSTIN, GREGORY &amp;PATRICIA</t>
  </si>
  <si>
    <t>HJORTH, LAWRENCE P &amp; LISA</t>
  </si>
  <si>
    <t>MEACHUM, LAUREN K</t>
  </si>
  <si>
    <t>WILCE, SIMON</t>
  </si>
  <si>
    <t>COLGROVE TR, PEGGY S</t>
  </si>
  <si>
    <t>PHILLIPS, MARY K</t>
  </si>
  <si>
    <t>MEEKER, MARK D</t>
  </si>
  <si>
    <t>O CONNELL, JAMES</t>
  </si>
  <si>
    <t>KHANNA, RAJESH</t>
  </si>
  <si>
    <t>SHESHANNAGUPTA, S &amp; M POO</t>
  </si>
  <si>
    <t>HUMANSKI, JOHN S</t>
  </si>
  <si>
    <t>MCKINLEY, TRACY</t>
  </si>
  <si>
    <t>SU, DEVLIN N</t>
  </si>
  <si>
    <t>MANI, SRINIVASAN &amp; VINOTH</t>
  </si>
  <si>
    <t>CHRISTIAN, LAWRENCE &amp; N</t>
  </si>
  <si>
    <t>FAROOQUI, USMAN</t>
  </si>
  <si>
    <t>CLIMO, STEPHEN &amp; GILLIAN</t>
  </si>
  <si>
    <t>WHITED, SANDEE A</t>
  </si>
  <si>
    <t>O CONNOR TR, KEVIN &amp; MARY</t>
  </si>
  <si>
    <t>ABREGO SANTUCCI, PATRICIA</t>
  </si>
  <si>
    <t>LOQUERCIO, MICHAEL &amp; D</t>
  </si>
  <si>
    <t>LEAHY, DENNIS &amp; JOANNE</t>
  </si>
  <si>
    <t>ROBBINS, JOHN W</t>
  </si>
  <si>
    <t>TYNSKI, R &amp; C PANZARELLA</t>
  </si>
  <si>
    <t>REGAN, NORA A</t>
  </si>
  <si>
    <t>BERKLEY, R &amp; J WILTZ</t>
  </si>
  <si>
    <t>HICKS, T &amp; M GARLAND</t>
  </si>
  <si>
    <t>TAYLOR, GUY</t>
  </si>
  <si>
    <t>HU, ERIC &amp; LI FENG</t>
  </si>
  <si>
    <t>MUHAMMAD, MARY ANN</t>
  </si>
  <si>
    <t>LENKAPALLI, V &amp; P MADALA</t>
  </si>
  <si>
    <t>LISY, ROGER J &amp; SANDRA S</t>
  </si>
  <si>
    <t>ZUREK, MATTHEW A</t>
  </si>
  <si>
    <t>BRIDGES, DANIEL &amp; DAWN</t>
  </si>
  <si>
    <t>WRIGHT, P &amp; A HERNANDEZ</t>
  </si>
  <si>
    <t>ACOSTA, JOHN &amp; CLYDE</t>
  </si>
  <si>
    <t>BENNETT, JAMES</t>
  </si>
  <si>
    <t>EIFLER TR, JAMES R</t>
  </si>
  <si>
    <t>FU, GAIL S</t>
  </si>
  <si>
    <t>CHEN, ZU JIAN</t>
  </si>
  <si>
    <t>GROAT, MICHAEL &amp; RACHEL</t>
  </si>
  <si>
    <t>BUCKLEY, CRAIG &amp; SHUNJANE</t>
  </si>
  <si>
    <t>MC GOLDRICK, BARRY &amp; M</t>
  </si>
  <si>
    <t>SCHULER, JAMES &amp; MAUREEN</t>
  </si>
  <si>
    <t>KALAL, SATISH &amp; NIKITA</t>
  </si>
  <si>
    <t>LARSEN, LAWRENCE &amp; TARA</t>
  </si>
  <si>
    <t>MESSNER, MURRAY &amp; CONNIE</t>
  </si>
  <si>
    <t>TEWARY, BRAJENDRA &amp; P</t>
  </si>
  <si>
    <t>LACKEY, NANCY J</t>
  </si>
  <si>
    <t>GUSAIN, SUKHADEV &amp;NAMRATA</t>
  </si>
  <si>
    <t>MORKER, PARESHKUMAR &amp; J P</t>
  </si>
  <si>
    <t>WOOD, PAUL &amp; ELIZABETH</t>
  </si>
  <si>
    <t>RAMINENI &amp; VEERAGANDHAM</t>
  </si>
  <si>
    <t>SESHADRI, V &amp; S JAGANNATH</t>
  </si>
  <si>
    <t>CUSTAR, GLENN</t>
  </si>
  <si>
    <t>DAVULURI, S &amp; C YADLA</t>
  </si>
  <si>
    <t>MEHKERI, ZAINAB A</t>
  </si>
  <si>
    <t>AKINS, REBECCA &amp; BRIAN</t>
  </si>
  <si>
    <t>CHURILLA, BRIAN &amp; JODY LY</t>
  </si>
  <si>
    <t>IKRAMULLAH, SYED TR</t>
  </si>
  <si>
    <t>SHU, JESSICA R</t>
  </si>
  <si>
    <t>MONTERA, STEVE &amp; CYNTHIA</t>
  </si>
  <si>
    <t>BECK-WALLER, BURT &amp; SUZAN</t>
  </si>
  <si>
    <t>FELDMAN, DREW &amp; JILL</t>
  </si>
  <si>
    <t>GARRISON, P &amp; L URBAN</t>
  </si>
  <si>
    <t>SCHWEIGER, MATTHEW &amp; R</t>
  </si>
  <si>
    <t>HAVEL, JEFFREY &amp; SARA</t>
  </si>
  <si>
    <t>BLANDON, ROBERTA</t>
  </si>
  <si>
    <t>DURHAM, CHERYL &amp; CHRISTOP</t>
  </si>
  <si>
    <t>DORIWALA, MANSOOR</t>
  </si>
  <si>
    <t>DISCIPIO, LAURA &amp; JOSEPH</t>
  </si>
  <si>
    <t>NANDAGOPAL, H &amp; S NILAKHE</t>
  </si>
  <si>
    <t>MONK II, JAMES F</t>
  </si>
  <si>
    <t>HAMBURG, DANIEL C</t>
  </si>
  <si>
    <t>FIESER, MARGARET &amp; JOHN</t>
  </si>
  <si>
    <t>SASVELD, DEBRA D</t>
  </si>
  <si>
    <t>WANG Z &amp; Y LIU</t>
  </si>
  <si>
    <t>ODGERS, MATTHEW &amp; BRANDI</t>
  </si>
  <si>
    <t>FRYE, THOMAS R &amp; MARY KAY</t>
  </si>
  <si>
    <t>GLENN, LYNN M</t>
  </si>
  <si>
    <t>CASTADY, DANIEL</t>
  </si>
  <si>
    <t>BANSAL, VIKAS &amp; SHOBHANA</t>
  </si>
  <si>
    <t>BUTLER, MATTHEW G</t>
  </si>
  <si>
    <t>TANCREDI, JAMES &amp; NADIA</t>
  </si>
  <si>
    <t>NASH, GEORGE &amp; STEPHANIE</t>
  </si>
  <si>
    <t>NAIR, V &amp; K AHLUWALIA</t>
  </si>
  <si>
    <t>KUMAR, PRASHANT &amp; UMA</t>
  </si>
  <si>
    <t>FORTHAUS, CHRISTOPHER &amp; S</t>
  </si>
  <si>
    <t>DENG,SHUYUAN</t>
  </si>
  <si>
    <t>KHAWAJA, MOHAMMED &amp; MAHA</t>
  </si>
  <si>
    <t>SONG, MING &amp; XIANG</t>
  </si>
  <si>
    <t>HOWARD, DAVID R</t>
  </si>
  <si>
    <t>WILLIAMS, EDWARD &amp; ROBIN</t>
  </si>
  <si>
    <t>BOLOGNANI TR, ANN M</t>
  </si>
  <si>
    <t>CULLEN, RYAN &amp; SARAH</t>
  </si>
  <si>
    <t>HANNA, TONY &amp; MARIE</t>
  </si>
  <si>
    <t>MOYER, M &amp; S LUCIBELLO</t>
  </si>
  <si>
    <t>ANASTASIA, T &amp; C VICEVICH</t>
  </si>
  <si>
    <t>JOSHI, S &amp; S KSHIRSAGAR</t>
  </si>
  <si>
    <t>HOZIAN, ANTHONY &amp; ANNA M</t>
  </si>
  <si>
    <t>NEUENDORF, THOMAS A &amp; K A</t>
  </si>
  <si>
    <t>SWANSON, BRADLEY &amp; ANNE V</t>
  </si>
  <si>
    <t>ALHAMOUD, ALMOTHANA &amp; GHA</t>
  </si>
  <si>
    <t>EXCHANGE STATE BANK</t>
  </si>
  <si>
    <t>DAVIS, THOMAS &amp; MARY</t>
  </si>
  <si>
    <t>D J K CUSOM HOMES INC</t>
  </si>
  <si>
    <t>QURESHI, MOHAMMED M</t>
  </si>
  <si>
    <t>ALLEN, HOWARD M &amp; RUBY L</t>
  </si>
  <si>
    <t>PAMPA SMART LLC</t>
  </si>
  <si>
    <t>VELEZ FELFLE, SANDRA</t>
  </si>
  <si>
    <t>BAFTIRI, AGIM</t>
  </si>
  <si>
    <t>OLSON, COLLIN</t>
  </si>
  <si>
    <t>MEYER, JASON &amp; SHOMA</t>
  </si>
  <si>
    <t>SARGIS, ROBERT &amp;R FRANIUK</t>
  </si>
  <si>
    <t>MCHUGH, MATTHEW &amp; JESSICA</t>
  </si>
  <si>
    <t>PETTERSON, DAVID &amp; SARAH</t>
  </si>
  <si>
    <t>NEWCOMB, CHARLES &amp; AMY</t>
  </si>
  <si>
    <t>PRESPERIN, THOMAS</t>
  </si>
  <si>
    <t>MARTIN, CATHERINE</t>
  </si>
  <si>
    <t>COLGLAZIER, RYAN &amp; LORA</t>
  </si>
  <si>
    <t>HERNANDEZ, LAURA C</t>
  </si>
  <si>
    <t>FRIGO, JUDITH &amp; MICHAEL</t>
  </si>
  <si>
    <t>RAHTZ, DAVID E &amp; DIANA L</t>
  </si>
  <si>
    <t>SCHWANEBECK, ALEXANDRA &amp;</t>
  </si>
  <si>
    <t>BISCHOFF, TRACY</t>
  </si>
  <si>
    <t>SCHUBERT, ITZEL &amp; MARTIN</t>
  </si>
  <si>
    <t>VARNA, GEETHA &amp; ET AL</t>
  </si>
  <si>
    <t>HEAP, ANDREW &amp; MELANIE</t>
  </si>
  <si>
    <t>HARVEY, JOHN &amp; ELIZABETH</t>
  </si>
  <si>
    <t>KJC CAPITAL LLC</t>
  </si>
  <si>
    <t>HANNA, MARIE</t>
  </si>
  <si>
    <t>MC DONALD, RICHARD &amp; LISA</t>
  </si>
  <si>
    <t>BHATIA, VIPIN &amp; GUNJAN</t>
  </si>
  <si>
    <t>GAR CONSTRUCTION SERVICES</t>
  </si>
  <si>
    <t>WASSELL, KELLY M</t>
  </si>
  <si>
    <t>SCHILLERSTROM, JOHN</t>
  </si>
  <si>
    <t>LIN, LONG</t>
  </si>
  <si>
    <t>MAGGARD, KEVIN &amp; M</t>
  </si>
  <si>
    <t>WELCH AVENUE PROPERTIES</t>
  </si>
  <si>
    <t>CHICAGO COMMON ES LLC</t>
  </si>
  <si>
    <t>GROSSKOPF, STEVEN &amp; K</t>
  </si>
  <si>
    <t>HUIGENS, ELIZABETH</t>
  </si>
  <si>
    <t>ORY, VINCENT &amp; SYLVIA</t>
  </si>
  <si>
    <t>BROWN, JOHN</t>
  </si>
  <si>
    <t>FIGI, DEBRA &amp; STEVEN</t>
  </si>
  <si>
    <t>ADABALA, G &amp; V ANNABATHUL</t>
  </si>
  <si>
    <t>BIANCHETTA, ROBERT</t>
  </si>
  <si>
    <t>VAN KUIKEN, PHILLIP</t>
  </si>
  <si>
    <t>RAY, HARDESH &amp; TARIT</t>
  </si>
  <si>
    <t>ENGELBRECHT, JEFFREY &amp; LI</t>
  </si>
  <si>
    <t>KEABLES, JAMES &amp; ERIN</t>
  </si>
  <si>
    <t>DONALDSON, DAVID &amp; K</t>
  </si>
  <si>
    <t>RIORDAN, MICHELE &amp; BRIAN</t>
  </si>
  <si>
    <t>VATTIMO, DAVID &amp; GINA</t>
  </si>
  <si>
    <t>MOY, AARON &amp; MARGRIT</t>
  </si>
  <si>
    <t>PARIKH, N &amp; S TALLAPRAGAD</t>
  </si>
  <si>
    <t>CHAUHAN, BHAVIN &amp; PUJA JA</t>
  </si>
  <si>
    <t>GOSSE, DAVID &amp; KATHERINE</t>
  </si>
  <si>
    <t>KNUNDSON, R &amp; D LIAO</t>
  </si>
  <si>
    <t>LONGENBAUGH, ROBERT</t>
  </si>
  <si>
    <t>BEDER, DANIEL &amp; HANNAH</t>
  </si>
  <si>
    <t>HARTZELL, COLIN &amp; NATALIE</t>
  </si>
  <si>
    <t>JOHNSON, CLARK H</t>
  </si>
  <si>
    <t>HASAN, SYED HAIDER &amp; ETAL</t>
  </si>
  <si>
    <t>HUTCHISON, JENI K</t>
  </si>
  <si>
    <t>SCHUURMAN, JOHN &amp; LAURA</t>
  </si>
  <si>
    <t>ALI AND ERONA LLC</t>
  </si>
  <si>
    <t>TUCICH LLC</t>
  </si>
  <si>
    <t>MAYNARD, TERENCE &amp; ANNE</t>
  </si>
  <si>
    <t>GAJULAVARTHI, SINDHU</t>
  </si>
  <si>
    <t>COLGROVE, K &amp; J WIEHN</t>
  </si>
  <si>
    <t>CROSBY, BLAKE &amp; JOANNA</t>
  </si>
  <si>
    <t>ROBBINS, W &amp; B GURLEY</t>
  </si>
  <si>
    <t>STEPHANI, MARK &amp; C</t>
  </si>
  <si>
    <t>DURR, JAMES G</t>
  </si>
  <si>
    <t>BRINDAC, MICHAEL</t>
  </si>
  <si>
    <t>GOROSIN, ROBERT</t>
  </si>
  <si>
    <t>YOUNG, K &amp; S WHITMORE</t>
  </si>
  <si>
    <t>CHRISTIAN, WALTER &amp; R W</t>
  </si>
  <si>
    <t>SIZEMORE, SHANE &amp; KIMBERL</t>
  </si>
  <si>
    <t>KASPER DEVELOPMENT LLC</t>
  </si>
  <si>
    <t>MUELLER, DANIEL J &amp; TAMMY</t>
  </si>
  <si>
    <t>SATRE, MATTHEW &amp; BLANCA</t>
  </si>
  <si>
    <t>NIGRO, MITCHELL A</t>
  </si>
  <si>
    <t>HEALY JR, JAMES</t>
  </si>
  <si>
    <t>KUHRT, WILLIAM H &amp; DIANE</t>
  </si>
  <si>
    <t>MUHAMMED, SAHEED &amp; OLA</t>
  </si>
  <si>
    <t>MILLIGAN, ROBERT B</t>
  </si>
  <si>
    <t>SCOTT, DAVID &amp; MAUREEN</t>
  </si>
  <si>
    <t>CHADRABA, PETR G</t>
  </si>
  <si>
    <t>KLAAS, ANDREW &amp; MIRANDA</t>
  </si>
  <si>
    <t>SETHI, D &amp; N KHANDELWAL</t>
  </si>
  <si>
    <t>ROE III, JOHN &amp; CONNIE</t>
  </si>
  <si>
    <t>AWAN, M &amp; S PARVEEN</t>
  </si>
  <si>
    <t>ZHANG, JUN &amp; JIANQI XING</t>
  </si>
  <si>
    <t>GRANHOLM, PETER</t>
  </si>
  <si>
    <t>MERINO REAL ESTATE LLC</t>
  </si>
  <si>
    <t>FREUND, PATRICK &amp; MCKENNA</t>
  </si>
  <si>
    <t>LAND TRUST CO</t>
  </si>
  <si>
    <t>BAUMGARTNER, GARY F</t>
  </si>
  <si>
    <t>SMITH, THOMAS &amp; BARBRA</t>
  </si>
  <si>
    <t>MC CAULEY, KEVIN &amp; J</t>
  </si>
  <si>
    <t>LYCHEE HOLDINGS LLC</t>
  </si>
  <si>
    <t>YANG, NING &amp; XIN</t>
  </si>
  <si>
    <t>GARCHITORENA, GIL &amp; C N L</t>
  </si>
  <si>
    <t>WERNICK, FAYETTE P</t>
  </si>
  <si>
    <t>PAI, TANUSREE &amp; HARBINDER</t>
  </si>
  <si>
    <t>VEMULA, SOUJANYA</t>
  </si>
  <si>
    <t>ABDULKADIR, N &amp; J VEERAN</t>
  </si>
  <si>
    <t>HINDS, MAUREEN S TR</t>
  </si>
  <si>
    <t>WALISHETTI, ANAND &amp; ANUPA</t>
  </si>
  <si>
    <t>SUNDARAM, DINESH</t>
  </si>
  <si>
    <t>TIWARI, MANOJ &amp; JIYA</t>
  </si>
  <si>
    <t>KRUGER, KAYLA &amp; TERENCE</t>
  </si>
  <si>
    <t>SONAR, KRUSHANG &amp; MUKTI</t>
  </si>
  <si>
    <t>AKARAPU, SWETHA &amp; KRANTHI</t>
  </si>
  <si>
    <t>RAMAKRISHNAN &amp; SRINIVASAN</t>
  </si>
  <si>
    <t>NANNAPANENI, K</t>
  </si>
  <si>
    <t>VIJAY, VIMAL &amp; KALPANA</t>
  </si>
  <si>
    <t>KAMATH, CHETAN &amp; TEJASWIN</t>
  </si>
  <si>
    <t>MAHADASU, R &amp; S PAGADALA</t>
  </si>
  <si>
    <t>SRIVASTAVA, V &amp; T CHINDA</t>
  </si>
  <si>
    <t>SUN, J &amp; J TAN</t>
  </si>
  <si>
    <t>THANGARAJ, BALAMURUGAN</t>
  </si>
  <si>
    <t>SAHU, CHANDRAKANT &amp; G</t>
  </si>
  <si>
    <t>KANKANALA, G &amp; L PABBA</t>
  </si>
  <si>
    <t>GARCIA, J &amp; N GIANNIOS</t>
  </si>
  <si>
    <t>GUPTA, MAYANK &amp; GARGI THA</t>
  </si>
  <si>
    <t>AKULA, PRAVEEN &amp; DEEPIKA</t>
  </si>
  <si>
    <t>SINGH, DHARMESH &amp; PARUL M</t>
  </si>
  <si>
    <t>KUMAWAT, ABHISHEK &amp; SONIA</t>
  </si>
  <si>
    <t>MAURYA, SUSHIL &amp; MINAL</t>
  </si>
  <si>
    <t>HEGDE, ROHAN &amp; VINEETHA</t>
  </si>
  <si>
    <t>POLAMRAJU, S</t>
  </si>
  <si>
    <t>WANG, SHENG &amp; YAN WU</t>
  </si>
  <si>
    <t>RENGANATHAN, SRIRAM</t>
  </si>
  <si>
    <t>YAN, P &amp; B ZHANG</t>
  </si>
  <si>
    <t>ELADASARI, B &amp; P RAO</t>
  </si>
  <si>
    <t>MANAM, SREEMAN &amp; NAGA MOK</t>
  </si>
  <si>
    <t>THANKAPPAN, PANCHAMI</t>
  </si>
  <si>
    <t>BHATT, NAITIK &amp; RUCHA</t>
  </si>
  <si>
    <t>MIDDHA, DEEPAK &amp; PALLVI</t>
  </si>
  <si>
    <t>NAREDDY, RAVI &amp; U LEVAKU</t>
  </si>
  <si>
    <t>HUTTON, DOUGLAS &amp; ANGELA</t>
  </si>
  <si>
    <t>VERMA, KAMAL</t>
  </si>
  <si>
    <t>BHATT, PATHIK &amp; BHUMI</t>
  </si>
  <si>
    <t>ARIKATLA, A &amp; S TALLURI</t>
  </si>
  <si>
    <t>KORALLUS TR, TIMOTHY</t>
  </si>
  <si>
    <t>ADUSUMALLI, S &amp; S POLAVAR</t>
  </si>
  <si>
    <t>BOJJA, R &amp; K BOBBALI</t>
  </si>
  <si>
    <t>RAVI, S &amp; N TIPIRNENI</t>
  </si>
  <si>
    <t>KAR, K G &amp; SARAOGI, D</t>
  </si>
  <si>
    <t>JAIN, SANDEEP &amp; SWATI</t>
  </si>
  <si>
    <t>RAJAN, S &amp; S GANAPATHY</t>
  </si>
  <si>
    <t>CTLTC TR #9002345446</t>
  </si>
  <si>
    <t>GILLS, LEBECCA A</t>
  </si>
  <si>
    <t>SRINIVASAN, N &amp; S KUMAR</t>
  </si>
  <si>
    <t>CHENNUR,NAGARAJA</t>
  </si>
  <si>
    <t>WEINREIS, ALEX &amp; CHERYL</t>
  </si>
  <si>
    <t>RAJ, AMIT &amp; SHEFALI JAIN</t>
  </si>
  <si>
    <t>JADAV, RAMESHCHANDRA &amp; PR</t>
  </si>
  <si>
    <t>MAYOR, MICHAEL &amp; JEANNE</t>
  </si>
  <si>
    <t>HUSHEK, THOMAS &amp; EVE</t>
  </si>
  <si>
    <t>AHMED, MOHAMMED &amp; UZMA KO</t>
  </si>
  <si>
    <t>SYED, OMAR &amp; SANA AKBAR</t>
  </si>
  <si>
    <t>BOYD, DONALD M</t>
  </si>
  <si>
    <t>PATIO 6 LAND TRUST</t>
  </si>
  <si>
    <t>ISRAEL, IRENE &amp; JEREMIAH</t>
  </si>
  <si>
    <t>ZHU, GUANGWEI &amp; CE WU</t>
  </si>
  <si>
    <t>REZABEK, GERALD &amp; SUSAN</t>
  </si>
  <si>
    <t>LOPATKA, ADAM &amp; HANNA</t>
  </si>
  <si>
    <t>TURCIC, ASHLEY L</t>
  </si>
  <si>
    <t>SUDDAPALLI, GAUTAM &amp; S A</t>
  </si>
  <si>
    <t>BELMONTE, TERESA &amp; JAMIE</t>
  </si>
  <si>
    <t>CLEARY, MICHAEL</t>
  </si>
  <si>
    <t>HEMANTHAKUMAR, V &amp; S M GA</t>
  </si>
  <si>
    <t>OXENKNECHT, ERNEST</t>
  </si>
  <si>
    <t>CHANDRAM, PRAJEETH &amp; SIND</t>
  </si>
  <si>
    <t>GLASBY, BRIAN &amp; COLLEEN</t>
  </si>
  <si>
    <t>KEATING, KENNETH &amp; NANCY</t>
  </si>
  <si>
    <t>CARLSEN, CHRISTOPHER &amp; J</t>
  </si>
  <si>
    <t>TROLLOPE, D &amp; D BARROWMAN</t>
  </si>
  <si>
    <t>SLIWA, STELLA M</t>
  </si>
  <si>
    <t>MILLER, TYLER &amp; CHRISTA</t>
  </si>
  <si>
    <t>BYRAM, CHRISTOPHER</t>
  </si>
  <si>
    <t>ZHANG, YICHI</t>
  </si>
  <si>
    <t>MAYWOOD HOLDINGS LLC</t>
  </si>
  <si>
    <t>GLEASON, ROBERT &amp; MAURA</t>
  </si>
  <si>
    <t>MURVAY, MICHELE</t>
  </si>
  <si>
    <t>BARRERA, ARGEO &amp; CELESTE</t>
  </si>
  <si>
    <t>ROSENSTEIN, KENNETH</t>
  </si>
  <si>
    <t>MCGOLDRICK, CONOR</t>
  </si>
  <si>
    <t>RAKOW, KENNETH</t>
  </si>
  <si>
    <t>MONTAGUE, MATTHEW &amp; KERRI</t>
  </si>
  <si>
    <t>MUHAMMAD, ABDUL HADI</t>
  </si>
  <si>
    <t>LUBAWSKI, WOJCIECH &amp; WERO</t>
  </si>
  <si>
    <t>ROTROFF, JEREMY &amp; TAJ GUB</t>
  </si>
  <si>
    <t>OMAR, MARWAN &amp; YARA SHAMO</t>
  </si>
  <si>
    <t>HICKS, TIMOTHY &amp; MOLLY</t>
  </si>
  <si>
    <t>YEATER, KENNETH &amp; BERNICE</t>
  </si>
  <si>
    <t>RYNEX, ELIZABETH</t>
  </si>
  <si>
    <t>HEDL TR, DORIS M</t>
  </si>
  <si>
    <t>KAUFHOLD, K R &amp; CORINNE</t>
  </si>
  <si>
    <t>RUSNAK JR, JOHN &amp; GAIL</t>
  </si>
  <si>
    <t>BOYLE, ZACHARY</t>
  </si>
  <si>
    <t>VINCENT, HYACINTH</t>
  </si>
  <si>
    <t>DIAZ, AINHOA &amp; MOEIN MAYE</t>
  </si>
  <si>
    <t>SHEDBALKAR, SALMA &amp; SYED</t>
  </si>
  <si>
    <t>SHAIKH, ALVINA</t>
  </si>
  <si>
    <t>KANG TR, HYUN OK</t>
  </si>
  <si>
    <t>PATEL, VIKASH</t>
  </si>
  <si>
    <t>PATEL, MANSEE &amp; JACOB HOU</t>
  </si>
  <si>
    <t>MANSOOR, SYED &amp; RUBA NAZ</t>
  </si>
  <si>
    <t>KHARBANDA, JASPREET &amp; H</t>
  </si>
  <si>
    <t>KHAN, FAIZAN &amp; MINAAL</t>
  </si>
  <si>
    <t>BAILEY, CLARANCE &amp; GAYLE</t>
  </si>
  <si>
    <t>TOHAN, ANIMESH &amp; SURITI</t>
  </si>
  <si>
    <t>KIM, PETER D &amp; HAI JUNG</t>
  </si>
  <si>
    <t>SAYAR, KIAVASH &amp; NEGAR RO</t>
  </si>
  <si>
    <t>NELMS, JACOB &amp; DEANNA</t>
  </si>
  <si>
    <t>SETTANNI, JAKE &amp; SARAH</t>
  </si>
  <si>
    <t>JUSUFI, AGIM &amp; ALLA</t>
  </si>
  <si>
    <t>SUH, MIKYONG &amp; J BORGSTHA</t>
  </si>
  <si>
    <t>KING, GREGORY &amp; MICHAEL T</t>
  </si>
  <si>
    <t>URBAN, GREGORY</t>
  </si>
  <si>
    <t>JURJOVEC TR, THOMAS &amp; EIL</t>
  </si>
  <si>
    <t>SHETTY, SANDHYA &amp; JAYARAM</t>
  </si>
  <si>
    <t>BHAGAT, PARTH &amp; MAITRI PA</t>
  </si>
  <si>
    <t>DAY, MICHAEL &amp; STEPHANIE</t>
  </si>
  <si>
    <t>NAVEA, TRACEY &amp; EDWIN CRU</t>
  </si>
  <si>
    <t>KING, TIMOTHY A</t>
  </si>
  <si>
    <t>DWOINEN, WILLIAM &amp; JESSIC</t>
  </si>
  <si>
    <t>SADAPS, MEENA &amp; ET AL</t>
  </si>
  <si>
    <t>BADARUDDIN, M &amp; T BADAR</t>
  </si>
  <si>
    <t>SUBRAMANIAN, R &amp; S THIAGA</t>
  </si>
  <si>
    <t>ROSS, CHRISTINA &amp; MICHAEL</t>
  </si>
  <si>
    <t>MOHAMMED, SADIA &amp; ABDUL</t>
  </si>
  <si>
    <t>JARVIS, STEVEN &amp; TARA L</t>
  </si>
  <si>
    <t>PATEL, ROHAN V &amp; ZALAK</t>
  </si>
  <si>
    <t>NOORANI, IMAD &amp; SYEDAH FA</t>
  </si>
  <si>
    <t>IFTEKHAR, OSMAN</t>
  </si>
  <si>
    <t>GAHLEY, YUVKARAN &amp; AMRITA</t>
  </si>
  <si>
    <t>KOSHGARIAN, JORDON &amp; L</t>
  </si>
  <si>
    <t>BABAR, ASIM &amp; FARAH</t>
  </si>
  <si>
    <t>CISERELLA, JESSICA &amp; MATT</t>
  </si>
  <si>
    <t>PILLI, JENITHA &amp; SAI B AT</t>
  </si>
  <si>
    <t>ZHONG, PINGLI &amp; X LIU</t>
  </si>
  <si>
    <t>JOHNSON, LAURIE &amp; DANIEL</t>
  </si>
  <si>
    <t>SHARAN, D &amp; A SINHA</t>
  </si>
  <si>
    <t>BASSIRATPOUR, M &amp; M BAHAR</t>
  </si>
  <si>
    <t>KALELKAR, RAKHEE ARVIND</t>
  </si>
  <si>
    <t>PATEL, YUSUF &amp; ZARINA</t>
  </si>
  <si>
    <t>HELLRIEGEL, ZACHARY &amp; DA</t>
  </si>
  <si>
    <t>NOLAN, J DARRELL &amp; LAURA</t>
  </si>
  <si>
    <t>PEREZ, MARC</t>
  </si>
  <si>
    <t>CHEN, FEI PING</t>
  </si>
  <si>
    <t>DRENNEN, RICHARD &amp; SUSAN</t>
  </si>
  <si>
    <t>GUIDO, LOUIS &amp; DINA</t>
  </si>
  <si>
    <t>MARRONE, PHILIP</t>
  </si>
  <si>
    <t>HILDENBRAND, JACOB</t>
  </si>
  <si>
    <t>GRANT, GREGORY S</t>
  </si>
  <si>
    <t>NANAVATI, SHIREEN &amp; PARTH</t>
  </si>
  <si>
    <t>MIREK, SYLWIA &amp; PAWEL</t>
  </si>
  <si>
    <t>CHO, BRIAN H &amp; EUN Y KOH</t>
  </si>
  <si>
    <t>MAINI, GUNMEET &amp; MANDEEP</t>
  </si>
  <si>
    <t>EVANS, GARY</t>
  </si>
  <si>
    <t>SEAGREN, MICHAEL &amp; ET AL</t>
  </si>
  <si>
    <t>GJELDUM, ANDREA L</t>
  </si>
  <si>
    <t>ZHU, KEYU</t>
  </si>
  <si>
    <t>KROLICK, MARK &amp; JENNIFER</t>
  </si>
  <si>
    <t>KANTER, VICTORIA &amp; SHERI</t>
  </si>
  <si>
    <t>FANTHORPE, PATRICIA</t>
  </si>
  <si>
    <t>SHALES, MICHAEL &amp; KAREN</t>
  </si>
  <si>
    <t>GUILL IV, JOHN H &amp; RITA M</t>
  </si>
  <si>
    <t>BEVERLEY, CATHERINE &amp; J</t>
  </si>
  <si>
    <t>CONOVER, MARK E</t>
  </si>
  <si>
    <t>TERRELL, ADAM &amp; BROOKE</t>
  </si>
  <si>
    <t>SCHMIDGALL, EDGAR &amp; JUDY</t>
  </si>
  <si>
    <t>LARUE, JOHN &amp; LAURA</t>
  </si>
  <si>
    <t>PLUTH, RYAN &amp; SARAH</t>
  </si>
  <si>
    <t>PUTMAN, JASON &amp; NICOLE</t>
  </si>
  <si>
    <t>HOPE III, JAMES &amp; K</t>
  </si>
  <si>
    <t>CHOKSHI, NANDAN &amp; ET AL</t>
  </si>
  <si>
    <t>MARTIN TR, FREDRIC &amp; BONI</t>
  </si>
  <si>
    <t>HARRIS, RALPH E</t>
  </si>
  <si>
    <t>RAMBACK, ROYCE R</t>
  </si>
  <si>
    <t>SANGDAHL III, GEORGE S</t>
  </si>
  <si>
    <t>206 W FRANKLIN LLC</t>
  </si>
  <si>
    <t>SATHAYE, AJIT</t>
  </si>
  <si>
    <t>MUELLER, KEITH &amp; THERESA</t>
  </si>
  <si>
    <t>DOWD, MARK &amp; LYNN</t>
  </si>
  <si>
    <t>GAZALL, LONDA &amp; MICHAEL</t>
  </si>
  <si>
    <t>HANNA, TONY &amp; RIMA</t>
  </si>
  <si>
    <t>SCHWEITZER, STEVEN &amp; PAUL</t>
  </si>
  <si>
    <t>MC DANIEL, G SHANNON</t>
  </si>
  <si>
    <t>KENNEDY, J CAMPBELL &amp; GAI</t>
  </si>
  <si>
    <t>MAYOR, LAUREN E</t>
  </si>
  <si>
    <t>ERICKSON, MATTHEW &amp; BRIEN</t>
  </si>
  <si>
    <t>WARREN, TIMOTHY &amp; LISA</t>
  </si>
  <si>
    <t>KALELKAR TR, MITRA B</t>
  </si>
  <si>
    <t>ELLSWORTH ST PROPERTY MAN</t>
  </si>
  <si>
    <t>PERKINS, REED &amp; AMY</t>
  </si>
  <si>
    <t>EGOS, ANSELMO</t>
  </si>
  <si>
    <t>SMOLINSKI, CARRIE &amp; M</t>
  </si>
  <si>
    <t>CHARTER TTEE, MILTON &amp; MA</t>
  </si>
  <si>
    <t>RIOS, CARLOS &amp; JENNIFER</t>
  </si>
  <si>
    <t>MEIBOS, JOHN &amp; I CORIN</t>
  </si>
  <si>
    <t>DOWD, T &amp; S PARK</t>
  </si>
  <si>
    <t>WARDEN, ABIGAIL</t>
  </si>
  <si>
    <t>MICHALICK, SHANE &amp; MAREE</t>
  </si>
  <si>
    <t>DOWD, SEAN &amp; REBECCA</t>
  </si>
  <si>
    <t>HALL, EDWARD D</t>
  </si>
  <si>
    <t>ORDUNO, ANNETTE</t>
  </si>
  <si>
    <t>PATRICIA FISCUS</t>
  </si>
  <si>
    <t>SKEEN, BRETT A</t>
  </si>
  <si>
    <t>TOMCSIK, JEFFREY &amp; JESSIC</t>
  </si>
  <si>
    <t>BARNHART FAMILY PROPERTIE</t>
  </si>
  <si>
    <t>18 N MAIN STREET LLC</t>
  </si>
  <si>
    <t>TAMS, SARA &amp; MICHAEL</t>
  </si>
  <si>
    <t>SCOTTI, WILLIAM &amp; LINDA</t>
  </si>
  <si>
    <t>STEINER, PAT &amp; P GOWIN</t>
  </si>
  <si>
    <t>HUNT, EVAN</t>
  </si>
  <si>
    <t>JADAAN, MAYSOON</t>
  </si>
  <si>
    <t>DESHPANDE, SHARAD &amp; P</t>
  </si>
  <si>
    <t>MELE, JOHN &amp; ANNE</t>
  </si>
  <si>
    <t>SOHN, RICHARD L</t>
  </si>
  <si>
    <t>CHVALOVSKY, BRUCE C</t>
  </si>
  <si>
    <t>HANSEN, LAURA &amp; RICHARD</t>
  </si>
  <si>
    <t>MC ELROY TR, JOSEPH &amp; KAY</t>
  </si>
  <si>
    <t>GIOVANNONI, LISA M &amp; ETAL</t>
  </si>
  <si>
    <t>LEODORO, MARY ANN</t>
  </si>
  <si>
    <t>WANG, TIANYUAN &amp; CONG FU</t>
  </si>
  <si>
    <t>REIFF, JEAN E</t>
  </si>
  <si>
    <t>4TH &amp; LOOMIS LTD</t>
  </si>
  <si>
    <t>SATRE, DANIEL &amp; G</t>
  </si>
  <si>
    <t>OZINGA READY MIX CONCRETE</t>
  </si>
  <si>
    <t>KMA HOLDINGS TRUST</t>
  </si>
  <si>
    <t>MAPLE WOODS HOLDINGS LLC</t>
  </si>
  <si>
    <t>FRANKLIN MAIN LLC</t>
  </si>
  <si>
    <t>PAUL DAVIS RESTORATION</t>
  </si>
  <si>
    <t>RUNNING GOOD LLC</t>
  </si>
  <si>
    <t>PENNYLAND LLC</t>
  </si>
  <si>
    <t>DERN III, JOHN &amp; ERIN</t>
  </si>
  <si>
    <t>ENTRUST IRA ADMIN 1632105</t>
  </si>
  <si>
    <t>KOZLOWSKI DEVELOPMENT CO</t>
  </si>
  <si>
    <t>KSTRICK CORPORATION</t>
  </si>
  <si>
    <t>MERLE, JUSTIN &amp; LAUREN</t>
  </si>
  <si>
    <t>JWICK REAL ESTATE HOLDING</t>
  </si>
  <si>
    <t>LUXICA LLC 701 SERIES</t>
  </si>
  <si>
    <t>FRIENDLY FAMILY PROPRTIES</t>
  </si>
  <si>
    <t>LGKT LLC</t>
  </si>
  <si>
    <t>PECK, TAYLOR C &amp; KATHRYN</t>
  </si>
  <si>
    <t>PAEZ, JOSEPH L &amp; SHEILA M</t>
  </si>
  <si>
    <t>ATKINS, MATTHEW &amp; ANITA</t>
  </si>
  <si>
    <t>SALUJA, SUBASH</t>
  </si>
  <si>
    <t>GARIPPO, STEPHEN &amp; D</t>
  </si>
  <si>
    <t>LAFATA, JOSEPH J &amp; MARY T</t>
  </si>
  <si>
    <t>DIVINAGRACIA, ELSON &amp; PHO</t>
  </si>
  <si>
    <t>GRAMAJO, ALCI</t>
  </si>
  <si>
    <t>DALESSANDRO, JOSEPH</t>
  </si>
  <si>
    <t>ABBADI, WALEED &amp; NUHA</t>
  </si>
  <si>
    <t>WUERFFEL, JAMES A</t>
  </si>
  <si>
    <t>PATEL, VIRENDRA &amp; RITA</t>
  </si>
  <si>
    <t>SKAHILL, RYAN &amp; MICHELLE</t>
  </si>
  <si>
    <t>VELICKOVICH, D &amp; D AUSTIN</t>
  </si>
  <si>
    <t>JENSKI, LEONARD &amp; KATHRYN</t>
  </si>
  <si>
    <t>KLYUCHENKO, IGOR</t>
  </si>
  <si>
    <t>BLESSON, R &amp; B VARGHESE</t>
  </si>
  <si>
    <t>SOLARZ, ANTHONY &amp; MELISA</t>
  </si>
  <si>
    <t>CARNEY, RYAN</t>
  </si>
  <si>
    <t>SEGOVIANO, JULIE A</t>
  </si>
  <si>
    <t>TREJO, LEE</t>
  </si>
  <si>
    <t>PEKALA, EDWARD</t>
  </si>
  <si>
    <t>MUSSMAN, C &amp; J JACOBSEN</t>
  </si>
  <si>
    <t>MOHAMMED, W &amp; G ALI</t>
  </si>
  <si>
    <t>ALBRIGHT, MATTHEW &amp; LISA</t>
  </si>
  <si>
    <t>SHAH, KISHOR C &amp; RASHMI K</t>
  </si>
  <si>
    <t>MARCHESE, KRISTI L</t>
  </si>
  <si>
    <t>SHAH, BHAGAVATI &amp; S B</t>
  </si>
  <si>
    <t>D'ANTONIO, CARLA</t>
  </si>
  <si>
    <t>BRADY TR, JOHN &amp; SUSAN</t>
  </si>
  <si>
    <t>SHAH, HITESH &amp; RUPAL</t>
  </si>
  <si>
    <t>WRIGHTSON, MARK &amp; DONNA</t>
  </si>
  <si>
    <t>DERESINSKI, DANIEL L</t>
  </si>
  <si>
    <t>VALLONE, TRAM &amp; NICOLA</t>
  </si>
  <si>
    <t>PEREZ, MANUEL &amp; M FLORES</t>
  </si>
  <si>
    <t>LUBAS, LESTER &amp; TERESA</t>
  </si>
  <si>
    <t>PATEL, UMANG</t>
  </si>
  <si>
    <t>TURKOWSKI, ALEC</t>
  </si>
  <si>
    <t>GEORGE, AMBILY T</t>
  </si>
  <si>
    <t>PAPPAS, GEORGE &amp; PATRICE</t>
  </si>
  <si>
    <t>ZOOK, BRIAN &amp; AMY</t>
  </si>
  <si>
    <t>RUGGIRELLO, THOMAS &amp; CHER</t>
  </si>
  <si>
    <t>WIERTZ, STEVEN &amp; DEBORAH</t>
  </si>
  <si>
    <t>BIALEK, JOHN B &amp; TAMARA</t>
  </si>
  <si>
    <t>PATEL, CHIRAG &amp; ROSHANI</t>
  </si>
  <si>
    <t>PATEL, ARCHANA P</t>
  </si>
  <si>
    <t>CHICAGO TITLE 8002347415</t>
  </si>
  <si>
    <t>MODI, SANJAY</t>
  </si>
  <si>
    <t>CASCIARO, GIUSEPPE &amp; B</t>
  </si>
  <si>
    <t>THEODORE, MATTHEW &amp; J</t>
  </si>
  <si>
    <t>DEPINTO, ANTHONY &amp; R</t>
  </si>
  <si>
    <t>CAPUTO JR, FRANK</t>
  </si>
  <si>
    <t>MODI, MIHIR V &amp; SONAL M</t>
  </si>
  <si>
    <t>SACCAMENO, JOHN &amp; S MEYER</t>
  </si>
  <si>
    <t>PATEL, CHIRAG &amp; SHEETAL</t>
  </si>
  <si>
    <t>SEVERINAS MASIULIONIS</t>
  </si>
  <si>
    <t>CHEN, HAO JING</t>
  </si>
  <si>
    <t>SMITS, JOHANNES &amp; KATHI</t>
  </si>
  <si>
    <t>PELTZ, JOHN &amp; DEBORAH</t>
  </si>
  <si>
    <t>KHAN, Y &amp; H FAROOQUI</t>
  </si>
  <si>
    <t>KUNA, JOEL &amp; COLLEEN</t>
  </si>
  <si>
    <t>SHULIATYTSKA, MARYNA</t>
  </si>
  <si>
    <t>POREMBA, CHRISTOPHER</t>
  </si>
  <si>
    <t>DADIAN, JAMES</t>
  </si>
  <si>
    <t>MALETSKY, VOLODIA &amp;YULIYA</t>
  </si>
  <si>
    <t>MILLER, WILLIAM E</t>
  </si>
  <si>
    <t>AHMED, ZIA</t>
  </si>
  <si>
    <t>STEDER, PHILLIP &amp;J WRIGHT</t>
  </si>
  <si>
    <t>BILL &amp; SID EXCELLENT REAL</t>
  </si>
  <si>
    <t>RUTH, LYNN C TR</t>
  </si>
  <si>
    <t>CATALANO, DINO</t>
  </si>
  <si>
    <t>GOLDSTEIN, CHARLES &amp; M L</t>
  </si>
  <si>
    <t>KALINOWSKI, JANUSZ &amp; D</t>
  </si>
  <si>
    <t>JAROCK, JASON &amp; CRYSTLE</t>
  </si>
  <si>
    <t>KAZMI, IMRAN &amp; SAMIN</t>
  </si>
  <si>
    <t>NORBERT, ERIC &amp; AMY</t>
  </si>
  <si>
    <t>VALKER, PATTY A</t>
  </si>
  <si>
    <t>BAULAC, ROBT A &amp; VICKI L</t>
  </si>
  <si>
    <t>POHLSCHNEIDER, J &amp; J RYAN</t>
  </si>
  <si>
    <t>SANAN, PARDEEP &amp; PRAMA</t>
  </si>
  <si>
    <t>SUVACAROV, MARIJA &amp; R</t>
  </si>
  <si>
    <t>WOJTOWICZ, ROBERT</t>
  </si>
  <si>
    <t>JACOVIC, ZORAN</t>
  </si>
  <si>
    <t>MACZKO, JEFFREY &amp; REBECCA</t>
  </si>
  <si>
    <t>LISTWAN, KAMIL</t>
  </si>
  <si>
    <t>MERTES, ROBERT &amp; BARBARA</t>
  </si>
  <si>
    <t>PIORKOWSKI, THOMAS W</t>
  </si>
  <si>
    <t>KAPSOURIS, ANTONIOS</t>
  </si>
  <si>
    <t>KOBURI, KYLE &amp; MARY</t>
  </si>
  <si>
    <t>RABBANI, SAIYED &amp; SAIYEDA</t>
  </si>
  <si>
    <t>MOLINA, DAGOBERTO &amp; MARIA</t>
  </si>
  <si>
    <t>SHOWALTER, JOHN &amp; M</t>
  </si>
  <si>
    <t>SIDDIQI, MAJID &amp; DAYNA FA</t>
  </si>
  <si>
    <t>PATEL, HARESH &amp; DAXESH</t>
  </si>
  <si>
    <t>WOODS, RONALD &amp; JUDITH</t>
  </si>
  <si>
    <t>HALL, JOANNE S</t>
  </si>
  <si>
    <t>WAWRONOWICZ, STANLEY &amp; M</t>
  </si>
  <si>
    <t>CAMPO, JOHN &amp; GRACE M</t>
  </si>
  <si>
    <t>KRZYSTOFIAK, JOHN</t>
  </si>
  <si>
    <t>GOODMAN, JACK &amp; KATHLEEN</t>
  </si>
  <si>
    <t>PATEL, ARPEET &amp; VANDITA</t>
  </si>
  <si>
    <t>RYBA, JAMES W &amp; KIM M</t>
  </si>
  <si>
    <t>MUELLER, ANTHONY A &amp; K K</t>
  </si>
  <si>
    <t>ZABILSKI, GREGORY &amp; T</t>
  </si>
  <si>
    <t>DI NUZZO, SALVATORE &amp; A</t>
  </si>
  <si>
    <t>SANGHANI, GOVIND</t>
  </si>
  <si>
    <t>FRESCHINI, GUISEPPE &amp; ENZ</t>
  </si>
  <si>
    <t>LEKBELLO, ANTHONY &amp; K</t>
  </si>
  <si>
    <t>WITHEY JR, ARMON &amp; LINDA</t>
  </si>
  <si>
    <t>HE, LINGPING</t>
  </si>
  <si>
    <t>LI, CHONG &amp; LINDA B YANG</t>
  </si>
  <si>
    <t>SALAZAR, SHARON &amp; DAVID</t>
  </si>
  <si>
    <t>DEPA, BRADLEY</t>
  </si>
  <si>
    <t>PATEL, AASITA</t>
  </si>
  <si>
    <t>SWIATKOWSKI, MICHAEL &amp; K</t>
  </si>
  <si>
    <t>ROSS, ANSELMO &amp; TERESITA</t>
  </si>
  <si>
    <t>LINDER, TAMARA G</t>
  </si>
  <si>
    <t>QUADRI, SUEDA M</t>
  </si>
  <si>
    <t>BURKETT, PAUL &amp; LYNDA</t>
  </si>
  <si>
    <t>SIDDIQUI, MUNEEM &amp; AYESHA</t>
  </si>
  <si>
    <t>JACH, JONATHAN &amp; SHARON</t>
  </si>
  <si>
    <t>HANNA, MIKE</t>
  </si>
  <si>
    <t>ATKINS, KATHERINE M</t>
  </si>
  <si>
    <t>DUMS, KEVIN &amp; BEVERLY</t>
  </si>
  <si>
    <t>XU, QIAOYAN &amp; XIUKAI CHEN</t>
  </si>
  <si>
    <t>MALLOY, PATRICK &amp; KRISTEN</t>
  </si>
  <si>
    <t>VANDERGRIFT, ANNETTE</t>
  </si>
  <si>
    <t>PATEL, VIJAY &amp; KUSUM</t>
  </si>
  <si>
    <t>RENELLA JR, ROBERT &amp; J</t>
  </si>
  <si>
    <t>PETERS, WILLIAM J</t>
  </si>
  <si>
    <t>TALWAR, ARON &amp;TINA BANSAL</t>
  </si>
  <si>
    <t>VECCHIO, TRACEY A</t>
  </si>
  <si>
    <t>KLINKNER, JOSEPH&amp;PATRICIA</t>
  </si>
  <si>
    <t>PANZECA, MARIO</t>
  </si>
  <si>
    <t>BOLDA, RICHARD R</t>
  </si>
  <si>
    <t>TRETYAK, ROMAN &amp; NADIYA</t>
  </si>
  <si>
    <t>KHURSHID, S &amp; H MOHSIN</t>
  </si>
  <si>
    <t>SENTHIKUMAR, V &amp; S SEETHA</t>
  </si>
  <si>
    <t>ROMANO, VINCENT W &amp; DENIS</t>
  </si>
  <si>
    <t>CLAYTON, DENNIS &amp; CHER</t>
  </si>
  <si>
    <t>IVANOVA FAMILY TRUST</t>
  </si>
  <si>
    <t>WARDER, SUSAN R</t>
  </si>
  <si>
    <t>MOHAMMED, H &amp; K KARWA</t>
  </si>
  <si>
    <t>PIERCE, SHELLY &amp; BRANDON</t>
  </si>
  <si>
    <t>GIOVANINI, E &amp; L KIEWERT</t>
  </si>
  <si>
    <t>SZCZEKOCKI, DARIUS &amp; JILL</t>
  </si>
  <si>
    <t>HERZING, BRIAN</t>
  </si>
  <si>
    <t>GLATT, YEHONATAN &amp; KINERE</t>
  </si>
  <si>
    <t>CHICAGO TITLE 8002378419</t>
  </si>
  <si>
    <t>D AVANZO, ANTHONY &amp; H GAY</t>
  </si>
  <si>
    <t>PATEL, MEERA &amp; SAGAR SHAH</t>
  </si>
  <si>
    <t>MOORE, KARIN</t>
  </si>
  <si>
    <t>CRANE, GERALD &amp; JODY</t>
  </si>
  <si>
    <t>MATEO, SEGISMUNDO &amp; MARIA</t>
  </si>
  <si>
    <t>FOLEY, JAMES T &amp; DAWN M</t>
  </si>
  <si>
    <t>PEYKOV, NASKO &amp; TZETZA</t>
  </si>
  <si>
    <t>KAPADIA, CHANDRIKA &amp; D H</t>
  </si>
  <si>
    <t>KAISER, JEFFREY &amp; CHERYL</t>
  </si>
  <si>
    <t>HAUSFELD, ALLAN &amp; DONNA</t>
  </si>
  <si>
    <t>DOMANSKA, J &amp; R OFFMAN</t>
  </si>
  <si>
    <t>GOMOPOULOS, NIKOLAOS &amp;</t>
  </si>
  <si>
    <t>NAQVI, ALI &amp; ANAS ISMALI</t>
  </si>
  <si>
    <t>BURZAWA, DAVID</t>
  </si>
  <si>
    <t>SPADAFINO, PAUL E &amp; LINDA</t>
  </si>
  <si>
    <t>800 MEADE LLC</t>
  </si>
  <si>
    <t>PLATANIA, ANTHONY</t>
  </si>
  <si>
    <t>SHAH, MANISH &amp; KETKI M</t>
  </si>
  <si>
    <t>WELLS, MATTHEW</t>
  </si>
  <si>
    <t>ZAJDEL, KENNETH J</t>
  </si>
  <si>
    <t>MUCZYNSKI, RADOSLAW &amp; R</t>
  </si>
  <si>
    <t>FUECHTMANN, MICHAEL B</t>
  </si>
  <si>
    <t>URBANO, JOHN &amp; ANNA</t>
  </si>
  <si>
    <t>BRACHER, ROBERT</t>
  </si>
  <si>
    <t>BLIN, MAREK</t>
  </si>
  <si>
    <t>CASTILLO TR, SALVADOR</t>
  </si>
  <si>
    <t>ADR CUSTOM BUILDERS INC</t>
  </si>
  <si>
    <t>SISON, ROMMEL &amp; MARYBETH</t>
  </si>
  <si>
    <t>PIORKOWSKI, STEPHEN J &amp; D</t>
  </si>
  <si>
    <t>SPINA, LOUIS</t>
  </si>
  <si>
    <t>ELSLAGER, JONATHON &amp; A</t>
  </si>
  <si>
    <t>BENDER, KELLY L</t>
  </si>
  <si>
    <t>PATEL, HARGOVINDHAI &amp; G E</t>
  </si>
  <si>
    <t>SKUPIEN, BILL &amp; TINA</t>
  </si>
  <si>
    <t>SILVESTRI, DIANE</t>
  </si>
  <si>
    <t>TUCKETT, ROHAN &amp; DEBORAH</t>
  </si>
  <si>
    <t>NAGEL, MICHAEL &amp; LAVERNE</t>
  </si>
  <si>
    <t>WIATR, PAUL J &amp; A PUN</t>
  </si>
  <si>
    <t>KADIWALA, SANJAY &amp; KUNJAL</t>
  </si>
  <si>
    <t>CULLEN, DONALD &amp; GINA SZW</t>
  </si>
  <si>
    <t>KESTEL, JOSEPH J</t>
  </si>
  <si>
    <t>SHAH, NIKHIL &amp; VANITABEN</t>
  </si>
  <si>
    <t>BAVARO, DINO &amp; TIZIANA</t>
  </si>
  <si>
    <t>PATEL, VISHNU P</t>
  </si>
  <si>
    <t>PATEL, NILESH &amp; KAJAL</t>
  </si>
  <si>
    <t>STONE, TIFFANY ANNA</t>
  </si>
  <si>
    <t>XU, ZHIQIANG</t>
  </si>
  <si>
    <t>MABBOTT, JOHN</t>
  </si>
  <si>
    <t>BARNES, RANDALL &amp; CATHY</t>
  </si>
  <si>
    <t>BIANCHI, CANDICE L</t>
  </si>
  <si>
    <t>REILLY, BRIAN P</t>
  </si>
  <si>
    <t>PHILLIPS, TIFFANY</t>
  </si>
  <si>
    <t>PALMER, GEORGE &amp; GERI ANN</t>
  </si>
  <si>
    <t>SORENSEN, MICHAEL &amp; M</t>
  </si>
  <si>
    <t>PATEL, RAMANLAL A</t>
  </si>
  <si>
    <t>MERCHANT, SANJAY &amp; ERIN</t>
  </si>
  <si>
    <t>HARPER, JOSEPH &amp; OPAL L</t>
  </si>
  <si>
    <t>GEORGIEV, MARIN &amp; SILVIYA</t>
  </si>
  <si>
    <t>PATEL, MUKESH C &amp; KIRTI M</t>
  </si>
  <si>
    <t>PENDERGAST, ELIZABETH M</t>
  </si>
  <si>
    <t>KLEESCHULTE, MARY R</t>
  </si>
  <si>
    <t>GOSALIA, BHAMASHA &amp; SAROJ</t>
  </si>
  <si>
    <t>GONZALEZ, MANUEL</t>
  </si>
  <si>
    <t>MC GUIRE, CHRISTOPHER</t>
  </si>
  <si>
    <t>TOWNSEND, DAREN &amp; MONICA</t>
  </si>
  <si>
    <t>ALONZO, GEORGE V</t>
  </si>
  <si>
    <t>SINSABAUGH, JUSTIN &amp; S</t>
  </si>
  <si>
    <t>MASON, CLIFFORD B</t>
  </si>
  <si>
    <t>GLADKOWSKI, MARKETA</t>
  </si>
  <si>
    <t>FURGAT, ERIN &amp; EDWARD</t>
  </si>
  <si>
    <t>KLOS, RICHARD &amp; CAROL</t>
  </si>
  <si>
    <t>KLIBAS, ARUNAS</t>
  </si>
  <si>
    <t>PATEL, D &amp; J SHAH</t>
  </si>
  <si>
    <t>KAMDAR TR, ASHVIN &amp; K</t>
  </si>
  <si>
    <t>PICHAY, ARTURO &amp; JENNIFER</t>
  </si>
  <si>
    <t>CATRAMBONE, LORI E</t>
  </si>
  <si>
    <t>BOAN, GEORGE &amp; LORRAINE</t>
  </si>
  <si>
    <t>BILLMEYER, BRIAN J</t>
  </si>
  <si>
    <t>JACOB, LEGI</t>
  </si>
  <si>
    <t>PATEL, MAHENDRA &amp; TARA</t>
  </si>
  <si>
    <t>SCLAFANI MARICONDA, LISA</t>
  </si>
  <si>
    <t>PATEL, SARANGI R</t>
  </si>
  <si>
    <t>CHOKSHI, HARDEE &amp; PRATIK</t>
  </si>
  <si>
    <t>PATHAK, SNEHAL &amp; PREETY</t>
  </si>
  <si>
    <t>TREVINO, MICHELE L</t>
  </si>
  <si>
    <t>NAPOLI, JOSEPH</t>
  </si>
  <si>
    <t>DOMBROWSKI, RICHARD W &amp; M</t>
  </si>
  <si>
    <t>DOWLING, VICTORIA &amp; SHAWN</t>
  </si>
  <si>
    <t>KARINGADA, D &amp; A GEORGE</t>
  </si>
  <si>
    <t>PIOTROWSKI, DANIEL J</t>
  </si>
  <si>
    <t>KUKULA, ERIC</t>
  </si>
  <si>
    <t>RICO, LOURDES</t>
  </si>
  <si>
    <t>ADAMS, CHARLES</t>
  </si>
  <si>
    <t>EDUKUTHARAYIL, MATHEW</t>
  </si>
  <si>
    <t>YILDIZ, FAITH</t>
  </si>
  <si>
    <t>SERAFINI, CAROLYN</t>
  </si>
  <si>
    <t>BHUNGALIA, NAREN &amp; SONAL</t>
  </si>
  <si>
    <t>SHEFFER, THOMAS &amp; E</t>
  </si>
  <si>
    <t>LENA, JOSEPH &amp; LENA</t>
  </si>
  <si>
    <t>CHLAIMOUN, MARIE</t>
  </si>
  <si>
    <t>HORNIK, KASIMIER</t>
  </si>
  <si>
    <t>PATEL, SUJAL &amp; PRATIKSHA</t>
  </si>
  <si>
    <t>JAREOU, A &amp; R ALZUBAIDI</t>
  </si>
  <si>
    <t>WOLKOTTE, ERIN</t>
  </si>
  <si>
    <t>ABBAS, SYED</t>
  </si>
  <si>
    <t>HAAS, ROBERT J &amp; SUSAN M</t>
  </si>
  <si>
    <t>SWANEY, SAMANTHA J</t>
  </si>
  <si>
    <t>LANZAROTTA, JUSTIN &amp; KATE</t>
  </si>
  <si>
    <t>ROSARIO, PAUL &amp; CHARLENE</t>
  </si>
  <si>
    <t>BURROWS, M &amp; D ZIELINSKI</t>
  </si>
  <si>
    <t>FEELEY II, MICHAEL T</t>
  </si>
  <si>
    <t>STEC, SANDRA K</t>
  </si>
  <si>
    <t>DARZINS, CHRISTOPHER &amp; K</t>
  </si>
  <si>
    <t>BARNUM, PAUL &amp; MARILYN</t>
  </si>
  <si>
    <t>MATOVIC, DEJAN &amp; S</t>
  </si>
  <si>
    <t>HERBA, SYLWIA &amp; MACIEJ</t>
  </si>
  <si>
    <t>ANDREWS, GEORGE</t>
  </si>
  <si>
    <t>ROTT, KEITH E</t>
  </si>
  <si>
    <t>KUCHARSKI, KENNETH</t>
  </si>
  <si>
    <t>REGULA, ARTUR</t>
  </si>
  <si>
    <t>ZEBALA, GRZEGORZ &amp; DANUTA</t>
  </si>
  <si>
    <t>COPPOLA, J &amp; A REAVES</t>
  </si>
  <si>
    <t>BICBIC, RICHARD N &amp; AMY</t>
  </si>
  <si>
    <t>INGERSOL, TIMOTHY</t>
  </si>
  <si>
    <t>FORBES, ROLLAND &amp; JO ANN</t>
  </si>
  <si>
    <t>CHIRICO, LAWRENCE &amp; NANCY</t>
  </si>
  <si>
    <t>MATUSZAK, MICHAEL</t>
  </si>
  <si>
    <t>CRUZ, FORTUNATO</t>
  </si>
  <si>
    <t>JAHASKE, RYAN &amp; CHRISTINE</t>
  </si>
  <si>
    <t>RESILLEZ, ERNESTO &amp; CAROL</t>
  </si>
  <si>
    <t>KUBALA, DANUTA</t>
  </si>
  <si>
    <t>PEPPLER, MARTIN &amp; KATHLEE</t>
  </si>
  <si>
    <t>ADAMIDIS, LAZARUS &amp; ETAL</t>
  </si>
  <si>
    <t>BALLARD, PAMELA A</t>
  </si>
  <si>
    <t>GRISCO, MICHAEL &amp; P</t>
  </si>
  <si>
    <t>GARCIA, ALFONSO</t>
  </si>
  <si>
    <t>THOM, JULIANNA &amp; DANIEL</t>
  </si>
  <si>
    <t>LEGAN, LYLE &amp; LYNNE</t>
  </si>
  <si>
    <t>SANGHANI, MANISH</t>
  </si>
  <si>
    <t>SCUTOSKI, JOHN A</t>
  </si>
  <si>
    <t>KARAGUITLIEV, PETKO&amp; E</t>
  </si>
  <si>
    <t>NASH, H JAMES &amp; GEORGIA</t>
  </si>
  <si>
    <t>STEVENSON, ELIZABETH J</t>
  </si>
  <si>
    <t>POLACEK, FREDERICK J &amp; M</t>
  </si>
  <si>
    <t>PALACE, MARYLOU</t>
  </si>
  <si>
    <t>ILAG, AUGUSTUS &amp; IRMA</t>
  </si>
  <si>
    <t>GASPARRO, MICHAEL 55379</t>
  </si>
  <si>
    <t>MC LINDEN, B &amp; J FIRLEJ</t>
  </si>
  <si>
    <t>LEE, HENRY</t>
  </si>
  <si>
    <t>PENDOWSKI, FRANK &amp; JOANNE</t>
  </si>
  <si>
    <t>KONDYS, KAROLINA &amp; DAMIAN</t>
  </si>
  <si>
    <t>GOLOJUCH, MICHAEL &amp; M</t>
  </si>
  <si>
    <t>LUCANIA, CARMELA</t>
  </si>
  <si>
    <t>KRISTO, IRENA &amp; STAVRE</t>
  </si>
  <si>
    <t>WYNKOOP, NICOLE</t>
  </si>
  <si>
    <t>CASILLAS, EPIFANIO</t>
  </si>
  <si>
    <t>GISMONDO, M &amp; K CAMPBELL</t>
  </si>
  <si>
    <t>WUNNICKE, ROBERT J, JR.</t>
  </si>
  <si>
    <t>WESSEL, HENRY &amp; JULIE</t>
  </si>
  <si>
    <t>LTC 008002365815</t>
  </si>
  <si>
    <t>CASSINELLI, ROBERT &amp; B</t>
  </si>
  <si>
    <t>SIMONE GREGORY &amp; SIMONE</t>
  </si>
  <si>
    <t>WRONSKI, JAMES &amp; MAUREEN</t>
  </si>
  <si>
    <t>KRISTO, KOSTIKA &amp; AMANDA</t>
  </si>
  <si>
    <t>GASTEINER, BRIAN &amp; NANCY</t>
  </si>
  <si>
    <t>WRIGHT, JOHN &amp; MARY</t>
  </si>
  <si>
    <t>OROZEN, RICHARD &amp; B</t>
  </si>
  <si>
    <t>CALCAGNO, CARMEN J</t>
  </si>
  <si>
    <t>KASALLIS, BRIAN</t>
  </si>
  <si>
    <t>PARAS, ALLEN &amp; CAROLYN L</t>
  </si>
  <si>
    <t>HELGESON, MARC</t>
  </si>
  <si>
    <t>REPETSKY, ROBERT &amp; CATHER</t>
  </si>
  <si>
    <t>VAIS, MICHAEL</t>
  </si>
  <si>
    <t>BAKER, CYNTHIA L</t>
  </si>
  <si>
    <t>WODARSKI, BRIAN &amp; ANGELA</t>
  </si>
  <si>
    <t>BOYARSHINOV, ARTEM</t>
  </si>
  <si>
    <t>DIVITA, DALE A</t>
  </si>
  <si>
    <t>KAMIZELICH, MARIUSZ</t>
  </si>
  <si>
    <t>IWANICKI, STANISLAW</t>
  </si>
  <si>
    <t>PAVLICK, MICHAEL &amp; KACIE</t>
  </si>
  <si>
    <t>BLEA, ALEJANDRO &amp; A SALAZ</t>
  </si>
  <si>
    <t>BOURBET, M &amp; W BELHARET</t>
  </si>
  <si>
    <t>OSTREGA, CHRISTOPHER &amp; C</t>
  </si>
  <si>
    <t>AHMED, AHMED &amp; HAYFAA FAD</t>
  </si>
  <si>
    <t>YURCHIK, JOHN &amp; MARYELLEN</t>
  </si>
  <si>
    <t>NEBEL, RUSSEL &amp; CYNTHIA</t>
  </si>
  <si>
    <t>GUEVARA, NICENA</t>
  </si>
  <si>
    <t>DIAZ, RODRIGO</t>
  </si>
  <si>
    <t>MIKAL, DEVIN &amp; B LAMORENA</t>
  </si>
  <si>
    <t>MICKLOS, RANDOLPH &amp; S R</t>
  </si>
  <si>
    <t>HAWKINS, JASON &amp; JENNIFER</t>
  </si>
  <si>
    <t>GALAS, M &amp; M SZCZUR</t>
  </si>
  <si>
    <t>FIEDOREZUK, ROBERT &amp; BEAT</t>
  </si>
  <si>
    <t>PATEL, ROSHNEE</t>
  </si>
  <si>
    <t>GORDON, STEPHEN &amp; DORIE</t>
  </si>
  <si>
    <t>ORLANDINO, VITORIO &amp; K</t>
  </si>
  <si>
    <t>BYRNE, C &amp; A PALUCKI</t>
  </si>
  <si>
    <t>PETERSON, ADAM &amp; TRISHA</t>
  </si>
  <si>
    <t>BRUMMEL, JAMES H</t>
  </si>
  <si>
    <t>KOGUT, ARTUR</t>
  </si>
  <si>
    <t>LAWRECKI, RICHARD S</t>
  </si>
  <si>
    <t>ORLOVE, MARTIN &amp; JEANETTE</t>
  </si>
  <si>
    <t>MILLER, PAUL</t>
  </si>
  <si>
    <t>PL0VANICH, JAMES &amp; C M</t>
  </si>
  <si>
    <t>CARPENTER, CLIFFORD D</t>
  </si>
  <si>
    <t>CZOP, GEORGE &amp; URSULA</t>
  </si>
  <si>
    <t>PODOSEK, MAREK J</t>
  </si>
  <si>
    <t>FISHER, THOMAS &amp; SUSAN</t>
  </si>
  <si>
    <t>RASHID, JOSEPH HOMER &amp; RU</t>
  </si>
  <si>
    <t>HECKINGER, JAMES J</t>
  </si>
  <si>
    <t>LYNCH, CAROL</t>
  </si>
  <si>
    <t>POULOPOULOS, ARTHUR &amp; R A</t>
  </si>
  <si>
    <t>MEYNART, BERNARDETTE</t>
  </si>
  <si>
    <t>BERNDT, WILLIAM &amp; ROSEANN</t>
  </si>
  <si>
    <t>RINCHIUSO, RACHAEL</t>
  </si>
  <si>
    <t>CONNELLY, JANICE</t>
  </si>
  <si>
    <t>OSUCH, ADAM &amp; MEGHNA</t>
  </si>
  <si>
    <t>ATA, SHARIQ &amp; NASIMUS ASH</t>
  </si>
  <si>
    <t>SITTA, LAUREN M &amp; BRIAN</t>
  </si>
  <si>
    <t>ONDEK, JOHN M &amp; CATHERINE</t>
  </si>
  <si>
    <t>WEGLARZ, JANUSZ</t>
  </si>
  <si>
    <t>KERULIS, JOSEPH</t>
  </si>
  <si>
    <t>WHITTENHALL, JOHN</t>
  </si>
  <si>
    <t>FANG, GARY M &amp; BARBARA J</t>
  </si>
  <si>
    <t>GUERRA, V &amp; E GUERRERO</t>
  </si>
  <si>
    <t>CAPUONG, MICHAEL &amp; JANET</t>
  </si>
  <si>
    <t>VAN WINKLE, LAWRENCE &amp; MM</t>
  </si>
  <si>
    <t>KLOSER, JOHN P</t>
  </si>
  <si>
    <t>STONE, NICHOLAS &amp; NICOLE</t>
  </si>
  <si>
    <t>SHAH, SURESH &amp; RITA</t>
  </si>
  <si>
    <t>WANDERS III, JOSEPH A</t>
  </si>
  <si>
    <t>PECORA, RAYMOND &amp; ALLISON</t>
  </si>
  <si>
    <t>PRESTIGIACOMO, MICHAEL A</t>
  </si>
  <si>
    <t>DE DECKER, MATTHEW &amp; P</t>
  </si>
  <si>
    <t>WEISS, DAVID L &amp; P A</t>
  </si>
  <si>
    <t>DESAI, NARANDRA</t>
  </si>
  <si>
    <t>AMICO, CHARLES</t>
  </si>
  <si>
    <t>CURRY, JASON &amp; VICTORIA</t>
  </si>
  <si>
    <t>TEDESCHI, P &amp; L PEGORARO</t>
  </si>
  <si>
    <t>MILLER, TERRY</t>
  </si>
  <si>
    <t>MACH, CHRISTINE M</t>
  </si>
  <si>
    <t>TARCO, W &amp; M ENRIQUEZ</t>
  </si>
  <si>
    <t>BIERNAT, RYSZARD &amp; ANNA</t>
  </si>
  <si>
    <t>LESLIE, CHRIS &amp; CAROL</t>
  </si>
  <si>
    <t>PULLMAN, MATTHEW &amp; P</t>
  </si>
  <si>
    <t>AVILA, JOSEPH &amp; LAURIE</t>
  </si>
  <si>
    <t>CAMPOS, DOUGLAS &amp; BEATRIZ</t>
  </si>
  <si>
    <t>SIBIGA, AGNIESZKA</t>
  </si>
  <si>
    <t>HERNANDEZ, RICARDO CARRIO</t>
  </si>
  <si>
    <t>TRUDAN, GEORGE &amp; MARILYN</t>
  </si>
  <si>
    <t>COLLINS, PATRICIA</t>
  </si>
  <si>
    <t>SPECIALE, JOHN A &amp; SUSAN</t>
  </si>
  <si>
    <t>AMORE, DEANNA M</t>
  </si>
  <si>
    <t>SALTER, JOHN &amp; ASHLEY</t>
  </si>
  <si>
    <t>DICKEY, GORDON &amp;KATHERINE</t>
  </si>
  <si>
    <t>GRIMALDI, MICHAEL &amp;URSULA</t>
  </si>
  <si>
    <t>MADIGAN, THOMAS P</t>
  </si>
  <si>
    <t>PASEK, WALDEK &amp; MONIKA</t>
  </si>
  <si>
    <t>MONTIEL, AMADOR &amp; LISA</t>
  </si>
  <si>
    <t>VELAZQUEZ, JOSHUA &amp; J</t>
  </si>
  <si>
    <t>FITZGERALD, DANIEL &amp; MARI</t>
  </si>
  <si>
    <t>CARAVELLO, BRIAN &amp; IRVINE</t>
  </si>
  <si>
    <t>BUECHERS, JOHN &amp; DEBRA ZE</t>
  </si>
  <si>
    <t>SMIGIEL, SUSAN &amp; ROBERT</t>
  </si>
  <si>
    <t>KROLIKOWSKI, MITCHELL A</t>
  </si>
  <si>
    <t>SHAKIR, MOHAMMED</t>
  </si>
  <si>
    <t>RICCHIO, RICHARD &amp; VIOLET</t>
  </si>
  <si>
    <t>MC DERMOTT, JOHN</t>
  </si>
  <si>
    <t>CORRAL, GABRIEL</t>
  </si>
  <si>
    <t>OCHOA, MICAELA</t>
  </si>
  <si>
    <t>WILSON, BRIAN &amp; CARLENE</t>
  </si>
  <si>
    <t>RACE, KRISTOPHER</t>
  </si>
  <si>
    <t>STAMBOLIEV, NIKOLA</t>
  </si>
  <si>
    <t>SCHULTZ, MICHAEL &amp; KARLA</t>
  </si>
  <si>
    <t>GARCIA, O &amp; C CRUZ</t>
  </si>
  <si>
    <t>LIKA, L &amp; K NURA</t>
  </si>
  <si>
    <t>DAR, MOHAMMAD &amp; N JALCEN</t>
  </si>
  <si>
    <t>BANNING, TREVOR</t>
  </si>
  <si>
    <t>PATEL, HASMUKHBHAI &amp; D</t>
  </si>
  <si>
    <t>HORN, BARBARA A</t>
  </si>
  <si>
    <t>JOHNSON, STEVEN &amp;JENNIFER</t>
  </si>
  <si>
    <t>PETERSEN, RICHARD R</t>
  </si>
  <si>
    <t>MARCHESE, RICHARD</t>
  </si>
  <si>
    <t>MEYER, JACK &amp; KAREN</t>
  </si>
  <si>
    <t>BUKOWSKI, DILLON F</t>
  </si>
  <si>
    <t>VIVERITO, AMY M</t>
  </si>
  <si>
    <t>DANIEL, GREGORY S</t>
  </si>
  <si>
    <t>IBANEZ, DEMETRIO &amp; B</t>
  </si>
  <si>
    <t>BLOCK JR, HENRY &amp; KATHLEE</t>
  </si>
  <si>
    <t>MCDONALD, VICTOR &amp;CECILIA</t>
  </si>
  <si>
    <t>KIFARKIS, M &amp; C HONEIN</t>
  </si>
  <si>
    <t>STALBAUM, DONALD F</t>
  </si>
  <si>
    <t>ANSARI, ZAIN &amp; SANA MOHSI</t>
  </si>
  <si>
    <t>BUCKNER, MICHAEL &amp; NANCY</t>
  </si>
  <si>
    <t>COLE, GREGORY &amp; ANN</t>
  </si>
  <si>
    <t>MILLS, GARY W &amp; HEATHER L</t>
  </si>
  <si>
    <t>MC VITTIE, REBECCA J</t>
  </si>
  <si>
    <t>THR PROPERTY ILLINOIS LP</t>
  </si>
  <si>
    <t>RODRIGUEZ, ALEJANDRO &amp; D</t>
  </si>
  <si>
    <t>HOYTT, CHEVONNE &amp; KEENAN</t>
  </si>
  <si>
    <t>SOKOLOWSKI, JOHN J &amp; C F</t>
  </si>
  <si>
    <t>SCHNABEL, DERRICK &amp; K</t>
  </si>
  <si>
    <t>WHATES, JOHN &amp; ROBIN</t>
  </si>
  <si>
    <t>SOVERINO JR, FRANK J</t>
  </si>
  <si>
    <t>BORRE, STEPHEN &amp; PATRICIA</t>
  </si>
  <si>
    <t>JABAK, JUSSEIN</t>
  </si>
  <si>
    <t>AYYAD, ZAINAB</t>
  </si>
  <si>
    <t>RUSTMAN, LINDA &amp; JAY</t>
  </si>
  <si>
    <t>TUZ, PETER &amp; LUIBOV</t>
  </si>
  <si>
    <t>MRUK, SCOTT &amp; DOREEN</t>
  </si>
  <si>
    <t>SZCZUROWSKI, JAKUB C</t>
  </si>
  <si>
    <t>MACIAS, J &amp; R ZIELNIK</t>
  </si>
  <si>
    <t>BINETTI TR, ESTERINA</t>
  </si>
  <si>
    <t>TRICON RESIDENTIAL</t>
  </si>
  <si>
    <t>YDE, THOMAS G &amp; SHIRLEY L</t>
  </si>
  <si>
    <t>MARCHUT, TADEUSZ &amp; W</t>
  </si>
  <si>
    <t>BORGMAN, JAKOB &amp; GINA</t>
  </si>
  <si>
    <t>FRANCO, DIEGO &amp; LEONEL</t>
  </si>
  <si>
    <t>SCHEIDECKER, SCOTT</t>
  </si>
  <si>
    <t>MOREJON, JULIO &amp; MIREYA</t>
  </si>
  <si>
    <t>FORSYTHE, STEVE &amp; CHELSEA</t>
  </si>
  <si>
    <t>SLIZ, JERZY &amp; ANNA</t>
  </si>
  <si>
    <t>WALTERS, TROY</t>
  </si>
  <si>
    <t>HALE, BRYAN &amp; KRISTEN</t>
  </si>
  <si>
    <t>PERNA, KIMBERLY</t>
  </si>
  <si>
    <t>GORAJEWSKA, REGINA</t>
  </si>
  <si>
    <t>MIKINA, PIOTR</t>
  </si>
  <si>
    <t>RUNDLE, J &amp; K MULLIGAN</t>
  </si>
  <si>
    <t>SPRENGER, JUDITH M</t>
  </si>
  <si>
    <t>BENITEZ, ALEXIS &amp; CAROLIN</t>
  </si>
  <si>
    <t>LOTZ, WALTER C &amp; PAULETTE</t>
  </si>
  <si>
    <t>LARA, FRANCISCO &amp; R</t>
  </si>
  <si>
    <t>PECORARO, JOSEPH &amp; DIANE</t>
  </si>
  <si>
    <t>GIRON, DIEGO</t>
  </si>
  <si>
    <t>HESSE, JAMES &amp; BRITTNEY</t>
  </si>
  <si>
    <t>CRUZ, FELICIA ANN</t>
  </si>
  <si>
    <t>BUKOWSKI, PAUL &amp; ANGELIKA</t>
  </si>
  <si>
    <t>THOMPSON, MICHAEL P &amp; M A</t>
  </si>
  <si>
    <t>IANNELLI TORRES, SABRINA</t>
  </si>
  <si>
    <t>SALKOVSKI, EMIL</t>
  </si>
  <si>
    <t>BURTON, JAMES M &amp; SUSAN L</t>
  </si>
  <si>
    <t>TOMCZYK, JOHN J</t>
  </si>
  <si>
    <t>FKH SFR R LP</t>
  </si>
  <si>
    <t>CORSO, VINCE &amp; K MEYER</t>
  </si>
  <si>
    <t>LUNDE, KIRK</t>
  </si>
  <si>
    <t>VELASQUEZ, FERNANDO &amp; M</t>
  </si>
  <si>
    <t>SANDEN, KARA M</t>
  </si>
  <si>
    <t>LEE, HERMAN &amp; MYRNA</t>
  </si>
  <si>
    <t>AGUILAR, HERNANDO &amp; L P</t>
  </si>
  <si>
    <t>KRASNOW, MATTHEW &amp; PAULA</t>
  </si>
  <si>
    <t>GALLO, ROMANO &amp; CAROLINA</t>
  </si>
  <si>
    <t>EMMERICH, ROGER &amp; LYNN</t>
  </si>
  <si>
    <t>ZEPEDA, ELIZABETH</t>
  </si>
  <si>
    <t>KRZYSZTOF, KAZIMIERZ &amp; A</t>
  </si>
  <si>
    <t>GREEN, ERIC L</t>
  </si>
  <si>
    <t>KLUGGER, MICHAEL &amp; GENE</t>
  </si>
  <si>
    <t>WELCH, RONALD L &amp; DONNA M</t>
  </si>
  <si>
    <t>JAWORSKI, KRYSTYNA</t>
  </si>
  <si>
    <t>BIENEMAN, RICHARD J</t>
  </si>
  <si>
    <t>ARIAS, EDWARDC</t>
  </si>
  <si>
    <t>MASELLA, JAMES</t>
  </si>
  <si>
    <t>JARAMILLO, MONICA</t>
  </si>
  <si>
    <t>ROBERTS, GREG &amp; THERESA</t>
  </si>
  <si>
    <t>LOPEZ, JESSICA</t>
  </si>
  <si>
    <t>HALLIN, PETER R &amp; K A</t>
  </si>
  <si>
    <t>POLSTER, MICHAEL &amp; B E</t>
  </si>
  <si>
    <t>FIDDICK, DEBRA &amp; MICHAEL</t>
  </si>
  <si>
    <t>BRUNS, DEBRA L</t>
  </si>
  <si>
    <t>CUMMINS, CAROL</t>
  </si>
  <si>
    <t>FILIPOWSKI, SEBASTIAN</t>
  </si>
  <si>
    <t>POGUE, CHRISTOPHER &amp; JILL</t>
  </si>
  <si>
    <t>KUBAN, SCOTT &amp; JENNIFER</t>
  </si>
  <si>
    <t>MICHALIK, SLAWOMIR</t>
  </si>
  <si>
    <t>HALL, NANCY J</t>
  </si>
  <si>
    <t>VANWINKLE, ROBERT &amp; SARA</t>
  </si>
  <si>
    <t>FRANCOIS, NICHOLAS &amp; N</t>
  </si>
  <si>
    <t>PATEL, ANIKET &amp; CHITRA</t>
  </si>
  <si>
    <t>PYTELL, NICHOLAS &amp; STACEY</t>
  </si>
  <si>
    <t>KRZTON, STANISLAW &amp; B</t>
  </si>
  <si>
    <t>KEFER, LAURA</t>
  </si>
  <si>
    <t>FORESTER SR, RAYMOND &amp; S</t>
  </si>
  <si>
    <t>CAPITULO, RICARDO &amp; ANTON</t>
  </si>
  <si>
    <t>JOHNSON, SHAWN &amp; PAULA</t>
  </si>
  <si>
    <t>GODHANI, PRAVIN</t>
  </si>
  <si>
    <t>JAVED, SAJIDA</t>
  </si>
  <si>
    <t>TOMS, SHANE &amp; TESSA SHEEK</t>
  </si>
  <si>
    <t>HAMLIN, JOSEPH &amp; JULIE</t>
  </si>
  <si>
    <t>BEGAJ, ALBERT &amp; MIRIANA</t>
  </si>
  <si>
    <t>DULEMBA, NANCY J &amp; CASEY</t>
  </si>
  <si>
    <t>SLIZ, M &amp; M CHIARAMONTE</t>
  </si>
  <si>
    <t>PONCE, ROXANA &amp; JOSE</t>
  </si>
  <si>
    <t>LADYNSKI, D &amp; K UTRACIK</t>
  </si>
  <si>
    <t>FIGIEL, THOMAS &amp; LYNN</t>
  </si>
  <si>
    <t>GORA, GREGORY C</t>
  </si>
  <si>
    <t>KIRSTEIN, INARA V  TR</t>
  </si>
  <si>
    <t>LISZKA, DANIEL &amp; DEBORAH</t>
  </si>
  <si>
    <t>LITTWIN, DAVID &amp; E</t>
  </si>
  <si>
    <t>CHANGNON III, EUGENE A</t>
  </si>
  <si>
    <t>WILLIAMS, MARY E</t>
  </si>
  <si>
    <t>KAFTANSKI, MARK &amp; YOLANTA</t>
  </si>
  <si>
    <t>ALLEN, GARY &amp; STEPHANIE</t>
  </si>
  <si>
    <t>MALCOLM, RYAN &amp; C</t>
  </si>
  <si>
    <t>ELLIOTT, CHAD &amp; MELANIE</t>
  </si>
  <si>
    <t>REBAHI, BACHIR</t>
  </si>
  <si>
    <t>SIEWERTH JR, RALPH A</t>
  </si>
  <si>
    <t>ACEVEDO, SALVADOR &amp; C</t>
  </si>
  <si>
    <t>WASHAK, STEPHEN &amp; A</t>
  </si>
  <si>
    <t>CRONIN, MARTIN &amp; LYNDA</t>
  </si>
  <si>
    <t>SIEMIENKOWICZ, RICHARD</t>
  </si>
  <si>
    <t>AVELLA, DONNA J</t>
  </si>
  <si>
    <t>RODRIGUEZ, D &amp; J DORADO</t>
  </si>
  <si>
    <t>SHIRES, FRANK C &amp; LAURA J</t>
  </si>
  <si>
    <t>ZLOCH, KATARZYNA</t>
  </si>
  <si>
    <t>ZHENG, LINDA</t>
  </si>
  <si>
    <t>GAFFEY, JAMES &amp; SUSAN</t>
  </si>
  <si>
    <t>TORONYI, PAUL &amp; CYNTHIA</t>
  </si>
  <si>
    <t>POE, ANGELINA AEDEH</t>
  </si>
  <si>
    <t>ARISTODEMO, FRANK &amp; CINDY</t>
  </si>
  <si>
    <t>URBANOWSKI, JOLANTA &amp; R</t>
  </si>
  <si>
    <t>Z &amp; Z HOMES LLC</t>
  </si>
  <si>
    <t>PERKAY, STEVEN C &amp; PAMELA</t>
  </si>
  <si>
    <t>BARTOLONE, ANTONIO</t>
  </si>
  <si>
    <t>ADKINS, ZACHARY &amp; SAMANTH</t>
  </si>
  <si>
    <t>SZATROWINSKI, DANIEL L</t>
  </si>
  <si>
    <t>CANNING, JOHN &amp; SANDRA</t>
  </si>
  <si>
    <t>BEHLES, FORREST</t>
  </si>
  <si>
    <t>KUCHARSKI, MATTHEW &amp; N</t>
  </si>
  <si>
    <t>ROHLWING, SAMANTHA R</t>
  </si>
  <si>
    <t>CHIERO, SCOTT &amp; MARNI</t>
  </si>
  <si>
    <t>MENOS, DEMETRIOS &amp; S</t>
  </si>
  <si>
    <t>SHEPHERD, RICHARD &amp; B</t>
  </si>
  <si>
    <t>VIKTORA, PATRICK</t>
  </si>
  <si>
    <t>ALBAN, SARAH J</t>
  </si>
  <si>
    <t>DREYFUSS, RICHARD</t>
  </si>
  <si>
    <t>JANKOVEC, JAMES &amp; LAUREN</t>
  </si>
  <si>
    <t>THORSEN, THOMAS &amp; MELISSA</t>
  </si>
  <si>
    <t>THIEMAN, EDWARD &amp; NANCY</t>
  </si>
  <si>
    <t>GALLEGOS, E &amp; K DOBSON</t>
  </si>
  <si>
    <t>PATEL, KRUNAL &amp; MANSI</t>
  </si>
  <si>
    <t>MICHELSEN, SANDRA</t>
  </si>
  <si>
    <t>ROWINSKI, DAVID &amp;MARGARET</t>
  </si>
  <si>
    <t>DUX, WILLIAM &amp; MICHELE</t>
  </si>
  <si>
    <t>ALVAREZ, EDGAR</t>
  </si>
  <si>
    <t>CROCILLA, MARIA</t>
  </si>
  <si>
    <t>VANASSCHE, ROBERT</t>
  </si>
  <si>
    <t>GRYNYK, DMYTRO &amp; O</t>
  </si>
  <si>
    <t>BLAS, THOMAS &amp; MARIANNE</t>
  </si>
  <si>
    <t>SIWA, LUKASZ &amp; MARTA</t>
  </si>
  <si>
    <t>BARRERA, EVENIN G</t>
  </si>
  <si>
    <t>GRUBER, TODD &amp; CARRIE</t>
  </si>
  <si>
    <t>YAKES, STUART &amp; MARY</t>
  </si>
  <si>
    <t>HOWE, STEVEN &amp; KRISTINA</t>
  </si>
  <si>
    <t>PARKER, ELEANOR</t>
  </si>
  <si>
    <t>ARYA, KEVIN</t>
  </si>
  <si>
    <t>BENZA, KIM F</t>
  </si>
  <si>
    <t>CARAVELLO III, STEPHEN J</t>
  </si>
  <si>
    <t>PAPPADEMETRIOU, VASILIOS</t>
  </si>
  <si>
    <t>EIGENFELD, PETER B &amp; J R</t>
  </si>
  <si>
    <t>KOT, STANLEY &amp; MICHELL</t>
  </si>
  <si>
    <t>ALVAREZ, E &amp; E PAGAN</t>
  </si>
  <si>
    <t>BATES SR, HAROLD V</t>
  </si>
  <si>
    <t>ANDERSON, MICHAEL &amp; K</t>
  </si>
  <si>
    <t>TRAN, THUYNUONG</t>
  </si>
  <si>
    <t>LUCHAK, JOHN &amp; MONICA</t>
  </si>
  <si>
    <t>MILLER, JACQUELINE A</t>
  </si>
  <si>
    <t>NAQUIN, JOHN &amp; ASHLEY</t>
  </si>
  <si>
    <t>MIKHAIL, KLAIRT &amp; MARY</t>
  </si>
  <si>
    <t>DI BENEDETTO, MICHAEL &amp; M</t>
  </si>
  <si>
    <t>MAZZONE, DOMENICO</t>
  </si>
  <si>
    <t>PESCE, ENZA &amp; JOSEPH LELI</t>
  </si>
  <si>
    <t>HOO, CHEH &amp; CHAIBENG SOH</t>
  </si>
  <si>
    <t>GUEVARA JR, MONTY &amp; L</t>
  </si>
  <si>
    <t>WHYLE, JEFFREY J</t>
  </si>
  <si>
    <t>BURNS TTEE, ROBERT D &amp;</t>
  </si>
  <si>
    <t>FAROOQUI, SHAHZAD</t>
  </si>
  <si>
    <t>JOHNSTON, MICHELLE A</t>
  </si>
  <si>
    <t>SOLANO, JAMES &amp; ROMILY</t>
  </si>
  <si>
    <t>BOJAN, JAMES S &amp; KRISTINA</t>
  </si>
  <si>
    <t>REED, AARON &amp; HEATHER</t>
  </si>
  <si>
    <t>OWEN, DANIEL</t>
  </si>
  <si>
    <t>LEE, JUNG HO &amp; YEJIN</t>
  </si>
  <si>
    <t>CARNDUFF, WILLIAM S &amp; V</t>
  </si>
  <si>
    <t>BURCK, BRANDON &amp; SAMANTHA</t>
  </si>
  <si>
    <t>IDA, ROBERT &amp; BRIANNA</t>
  </si>
  <si>
    <t>SAUVE, MARY E</t>
  </si>
  <si>
    <t>KEITH, CLARK &amp; MARILYN</t>
  </si>
  <si>
    <t>PARIKH, GHANSHYAM</t>
  </si>
  <si>
    <t>O CONNELL, SEAN</t>
  </si>
  <si>
    <t>DEMARINO, MICHAEL &amp; SUSAN</t>
  </si>
  <si>
    <t>BECKER, TYLER &amp; GERALDINE</t>
  </si>
  <si>
    <t>SAMBORSKI, DANIEL A &amp; R M</t>
  </si>
  <si>
    <t>JOHANSEN, J &amp; T OWEN</t>
  </si>
  <si>
    <t>PERALEZ, ESTEBAN &amp; RACHAE</t>
  </si>
  <si>
    <t>SOLIS, MARIA</t>
  </si>
  <si>
    <t>ANTEQUINO, ROBERT &amp; K</t>
  </si>
  <si>
    <t>GILAR, TOMAS</t>
  </si>
  <si>
    <t>CHOLEWINSKI, JACEK &amp; ANNA</t>
  </si>
  <si>
    <t>RODRIGUEZ, MARIA CARMINA</t>
  </si>
  <si>
    <t>DE COLA, CHARLES &amp;LIBORIA</t>
  </si>
  <si>
    <t>MAYER, MARCUS &amp; VALERIE</t>
  </si>
  <si>
    <t>AMODEO, RAYMOND &amp; NANCY</t>
  </si>
  <si>
    <t>KROLL, ANDREW</t>
  </si>
  <si>
    <t>MOUNT NUGENT CONSTR</t>
  </si>
  <si>
    <t>CARONE, ANTONIO</t>
  </si>
  <si>
    <t>GRALIK, APRIL D</t>
  </si>
  <si>
    <t>JENSEN, LISA A</t>
  </si>
  <si>
    <t>DONATES, LEO &amp; BARBARA</t>
  </si>
  <si>
    <t>FERRANTE, DONNA M</t>
  </si>
  <si>
    <t>JOHANNES, GENE &amp; LINDA C</t>
  </si>
  <si>
    <t>SANDERS, STEVEN M</t>
  </si>
  <si>
    <t>MELNYK, ROMAN &amp; GALYNA</t>
  </si>
  <si>
    <t>LIM, HEEJIN &amp; JOSEPH CHAN</t>
  </si>
  <si>
    <t>BEDOLLA, WYNDHAM &amp; JAMES</t>
  </si>
  <si>
    <t>CASTILLO, JEROME</t>
  </si>
  <si>
    <t>EICHINGER, ROY &amp; CYNTHIA</t>
  </si>
  <si>
    <t>HAMDEN, Z &amp; L SIMRIN</t>
  </si>
  <si>
    <t>KRZAK, BARTLOMIEJI</t>
  </si>
  <si>
    <t>NEURAUTER, ELMER &amp; JOANNE</t>
  </si>
  <si>
    <t>SIEVERS, KIRK &amp; ADELE</t>
  </si>
  <si>
    <t>CASTILLO TR, MARIA JESUS</t>
  </si>
  <si>
    <t>TORRES, PAULINO &amp; ANA</t>
  </si>
  <si>
    <t>YAGOW, LISA M</t>
  </si>
  <si>
    <t>THOMPSON, NANCY &amp; DONNA C</t>
  </si>
  <si>
    <t>ROZO, ASHLEY &amp; ROBIN</t>
  </si>
  <si>
    <t>UNDERDOWN, J &amp; K CARTINA</t>
  </si>
  <si>
    <t>509 W SCHAUMBURG LLC</t>
  </si>
  <si>
    <t>CASTEL-TOVAR, CRISTAL E</t>
  </si>
  <si>
    <t>VAZQUEZ, DIEGO</t>
  </si>
  <si>
    <t>CRIGLEY, EDWARD &amp; S NOVAK</t>
  </si>
  <si>
    <t>DI SYLVESTER, ANNA MARIE</t>
  </si>
  <si>
    <t>PODGORSKI, TOMASZ G</t>
  </si>
  <si>
    <t>AWAN, SUJATA</t>
  </si>
  <si>
    <t>SHEEHAN, KEVIN</t>
  </si>
  <si>
    <t>SCIULLO, GINO</t>
  </si>
  <si>
    <t>EHRENBERG, KEITH &amp; TARA</t>
  </si>
  <si>
    <t>GAUGHAN, TRACY A</t>
  </si>
  <si>
    <t>GARIMELLA, SANTOSH &amp; SREE</t>
  </si>
  <si>
    <t>SCHEKHTAYAN, NOR &amp; LUANNE</t>
  </si>
  <si>
    <t>SIDOR, DAVID</t>
  </si>
  <si>
    <t>VALLDEPERAS, ENRIQUE &amp;R M</t>
  </si>
  <si>
    <t>CHANGO, GRACIELA G</t>
  </si>
  <si>
    <t>OVERTON, J &amp; K ARNETT</t>
  </si>
  <si>
    <t>PROBOLA, JACEK &amp; ALICJA</t>
  </si>
  <si>
    <t>SMITH, MATTHEW &amp; IZOIDA</t>
  </si>
  <si>
    <t>MASON, JOSEPH J</t>
  </si>
  <si>
    <t>NEIDHARDT, T &amp; M RACE</t>
  </si>
  <si>
    <t>MCCLAREY, KENNETH L &amp; C M</t>
  </si>
  <si>
    <t>KHUON, PRASNA C &amp; LORA J</t>
  </si>
  <si>
    <t>ZELINKA, DEBRA</t>
  </si>
  <si>
    <t>GALBADRAKH, GANBILEG</t>
  </si>
  <si>
    <t>CONTRERAS, MANUEL</t>
  </si>
  <si>
    <t>DUBUQUE, STEPHANIE &amp; ADAM</t>
  </si>
  <si>
    <t>LUCENTE JR, JOSEPH</t>
  </si>
  <si>
    <t>BERNDT, W &amp; K WASHKOWIAK</t>
  </si>
  <si>
    <t>SHAHABUDDIN, SYED &amp;KAUSAR</t>
  </si>
  <si>
    <t>SMITH, TIMOTHY &amp; JO ANN</t>
  </si>
  <si>
    <t>MALLHI, MOHAN &amp;SUKHJINDER</t>
  </si>
  <si>
    <t>GRECO, JOSEPH F &amp; LINDA M</t>
  </si>
  <si>
    <t>TURLEY, P &amp; Y MATTSON</t>
  </si>
  <si>
    <t>KUCHARSKI TR,JANINA &amp; JAN</t>
  </si>
  <si>
    <t>SZCZEPANIAK, STANISLAW &amp;K</t>
  </si>
  <si>
    <t>KUCHARSKI, JOZEF &amp; ANITA</t>
  </si>
  <si>
    <t>MIGLIACCIO, ROSARIA &amp; TIF</t>
  </si>
  <si>
    <t>PAULSKI, STANISLAW &amp; B</t>
  </si>
  <si>
    <t>PADUA, JOSHUA &amp; C</t>
  </si>
  <si>
    <t>WEGNER, RONALD &amp; DAWN</t>
  </si>
  <si>
    <t>TOLKSON TR, MARC</t>
  </si>
  <si>
    <t>MARZULLO, TYLER</t>
  </si>
  <si>
    <t>KENNEFICK, TRACY A</t>
  </si>
  <si>
    <t>BURGER, DANIEL C</t>
  </si>
  <si>
    <t>SALEHI, ASHTIANI, KOUROSH</t>
  </si>
  <si>
    <t>SHEHU, ARBEN &amp; LINDITA</t>
  </si>
  <si>
    <t>HUSMILLO, CESAR &amp; GEMMA</t>
  </si>
  <si>
    <t>DOUGLAS, JAMES &amp; JESSICA</t>
  </si>
  <si>
    <t>MENCHACA, THOMAS &amp; KATIA</t>
  </si>
  <si>
    <t>URIZAR, CARLOS &amp; NANCY</t>
  </si>
  <si>
    <t>GAUTHIER, JEROME M</t>
  </si>
  <si>
    <t>BURGOS, KATELYN &amp; S SCHWE</t>
  </si>
  <si>
    <t>GERHARDT, BARBARA J</t>
  </si>
  <si>
    <t>CRUZ, ABELARDO &amp; MILAGROS</t>
  </si>
  <si>
    <t>PISARCZYK, J</t>
  </si>
  <si>
    <t>HENSHAW, LAWRENCE &amp; CHERY</t>
  </si>
  <si>
    <t>ITALIA, DAN &amp; TANYA</t>
  </si>
  <si>
    <t>LUCAS, MARILYN</t>
  </si>
  <si>
    <t>MOY, ROBERT</t>
  </si>
  <si>
    <t>KING, KYLE</t>
  </si>
  <si>
    <t>NGUYEN, RYAN &amp; SANG</t>
  </si>
  <si>
    <t>MCHUGH, M &amp; A WASSERMAN</t>
  </si>
  <si>
    <t>GEORGANTELIS, SYMEON</t>
  </si>
  <si>
    <t>PROST, MARY &amp; DANIEL</t>
  </si>
  <si>
    <t>KOWALSKY, MARK &amp; MARY JO</t>
  </si>
  <si>
    <t>MORA, GUADALUPE</t>
  </si>
  <si>
    <t>POPIEL, SLAWOMIR &amp; DOROTA</t>
  </si>
  <si>
    <t>MORENO MARTINEZ, ERICA</t>
  </si>
  <si>
    <t>WOLF, NEAL &amp; ROSE</t>
  </si>
  <si>
    <t>PADISH, WILLIAM &amp; BEATRIZ</t>
  </si>
  <si>
    <t>PAYNE, SHAWN</t>
  </si>
  <si>
    <t>MAHESHWARI, A &amp; A SINGLA</t>
  </si>
  <si>
    <t>HOEPFNER, N E &amp; R ELAPUNK</t>
  </si>
  <si>
    <t>DAMANI, SHAZIL</t>
  </si>
  <si>
    <t>LEVITA, GUY &amp; DEBBIE A</t>
  </si>
  <si>
    <t>VARGAS, A &amp; M GONZALEZ</t>
  </si>
  <si>
    <t>ALIKAJ, KLAJDI &amp; ZYLFO</t>
  </si>
  <si>
    <t>VASILEV, ILIAN</t>
  </si>
  <si>
    <t>LA CAVERA, HARRY &amp; DELLA</t>
  </si>
  <si>
    <t>BURDI, JOSEPH A</t>
  </si>
  <si>
    <t>BOMBECK, RAYMOND P &amp; RORI</t>
  </si>
  <si>
    <t>PONCE, FRANCISCO</t>
  </si>
  <si>
    <t>PULLIAM, THEODIS</t>
  </si>
  <si>
    <t>GRIFFIN, P &amp; A OLIVA</t>
  </si>
  <si>
    <t>LOY, DENNIS &amp; LINDA</t>
  </si>
  <si>
    <t>MANZARA FAMILY TRUST</t>
  </si>
  <si>
    <t>PATEL, DHARTI</t>
  </si>
  <si>
    <t>PODHAJSKI, ALAN &amp; RUTH</t>
  </si>
  <si>
    <t>VARRASSI, GERALD &amp; MARY</t>
  </si>
  <si>
    <t>SCIULLO TR, GINO &amp; G</t>
  </si>
  <si>
    <t>GARCIA, MANUEL &amp; MARIA</t>
  </si>
  <si>
    <t>DUGAN, JOSEPH &amp; LAURA</t>
  </si>
  <si>
    <t>JATAPUTRA, A &amp; J CHAPMAN</t>
  </si>
  <si>
    <t>ALI, AHMED &amp; KAMAL</t>
  </si>
  <si>
    <t>PERHAM, MICHAEL J</t>
  </si>
  <si>
    <t>ONDRUS, DONALD &amp; CINDY</t>
  </si>
  <si>
    <t>BUJAK, WOJCIECH &amp; A</t>
  </si>
  <si>
    <t>BAIG, YASMEEN &amp; AKBER</t>
  </si>
  <si>
    <t>MOY, WILLIAM &amp;</t>
  </si>
  <si>
    <t>SHULKA, DIPAK &amp; MINA</t>
  </si>
  <si>
    <t>TIPNER, JASON</t>
  </si>
  <si>
    <t>MAZURK, RICHARD</t>
  </si>
  <si>
    <t>DELGADO, EVELIO &amp; ADIS</t>
  </si>
  <si>
    <t>WHITE, THOMAS &amp; SHEILA</t>
  </si>
  <si>
    <t>PODOSEK, DAVID K</t>
  </si>
  <si>
    <t>DASKALOV, STANIMIR &amp; A</t>
  </si>
  <si>
    <t>BALLMAIER, OLIMPIA</t>
  </si>
  <si>
    <t>BOYLE, MARIANNE</t>
  </si>
  <si>
    <t>ARKHAMULA, BOHDAN</t>
  </si>
  <si>
    <t>FORRO, VIRGILIO &amp; VILMA</t>
  </si>
  <si>
    <t>PEEL, DANIEL L</t>
  </si>
  <si>
    <t>ESPOSITO, GERARDO &amp;DAGMAR</t>
  </si>
  <si>
    <t>OBLINGER, JOHN</t>
  </si>
  <si>
    <t>ROCHOCKI, RYAN &amp; R</t>
  </si>
  <si>
    <t>DOLINNY, MARIUSZ &amp; MARTA</t>
  </si>
  <si>
    <t>YPIL, ELEANOR D</t>
  </si>
  <si>
    <t>SENARA JR, RICARDO</t>
  </si>
  <si>
    <t>RUGGIERI, M &amp; S ALICEA</t>
  </si>
  <si>
    <t>SODERLUND, JOHN &amp; JANICE</t>
  </si>
  <si>
    <t>RODRUGUEZ, RAMIRO M</t>
  </si>
  <si>
    <t>ELLIS, SCOTT R</t>
  </si>
  <si>
    <t>NEGRI, RICHARD</t>
  </si>
  <si>
    <t>VICARY, THOMAS &amp; ANNA</t>
  </si>
  <si>
    <t>PATEL, NAVIN &amp; BHAVNA</t>
  </si>
  <si>
    <t>BIENIEK, T &amp; T SHEEKS</t>
  </si>
  <si>
    <t>PAJOR, ANNA M</t>
  </si>
  <si>
    <t>HONE, TERRY D &amp; SHERI L</t>
  </si>
  <si>
    <t>MULLER, TONY &amp; JULIE</t>
  </si>
  <si>
    <t>CHERNITSKA, OLGA</t>
  </si>
  <si>
    <t>BIERNACKI, ROGER &amp; R</t>
  </si>
  <si>
    <t>LOPEZ, JONATHON &amp; ASHLEY</t>
  </si>
  <si>
    <t>RODRIGUEZ, CHRISTIAN</t>
  </si>
  <si>
    <t>MAKARYSHCHAK, VASYL &amp; T</t>
  </si>
  <si>
    <t>MISEVICIUTE, JURGITA</t>
  </si>
  <si>
    <t>MILLER, CHRISTOPHER &amp; S M</t>
  </si>
  <si>
    <t>CINCINELLO TR, DIANA</t>
  </si>
  <si>
    <t>BORISOVA, ANITA</t>
  </si>
  <si>
    <t>RESENDEZ, JENNY A</t>
  </si>
  <si>
    <t>HALLBERG, J &amp; A SAVERINO</t>
  </si>
  <si>
    <t>KARI, DAVID &amp; ABEER</t>
  </si>
  <si>
    <t>WOJCIK, DONNA</t>
  </si>
  <si>
    <t>SANTANA, HENRY R</t>
  </si>
  <si>
    <t>JUNG JR, DAVID &amp; DANIELLA</t>
  </si>
  <si>
    <t>STARK, CATHERINE</t>
  </si>
  <si>
    <t>KARAGJOZI, LEFTIAN</t>
  </si>
  <si>
    <t>SLAGA, LINDSAY</t>
  </si>
  <si>
    <t>DIAKONOW, ROMAN A</t>
  </si>
  <si>
    <t>OLSZYNSKI, WACLAW</t>
  </si>
  <si>
    <t>MORALES, JACQUELINE</t>
  </si>
  <si>
    <t>ZIENTY, ANTHONY</t>
  </si>
  <si>
    <t>PAWLOWSKI, ANDRZEJ &amp; M</t>
  </si>
  <si>
    <t>NOVAK, JAMES E</t>
  </si>
  <si>
    <t>SAVYUK, TARAS</t>
  </si>
  <si>
    <t>THOMAS, LISA R</t>
  </si>
  <si>
    <t>KENNEDY II, PATRICK J</t>
  </si>
  <si>
    <t>CARL TR, KIMBERLY M</t>
  </si>
  <si>
    <t>YACOUB, ABE &amp; GIUSEPPINA</t>
  </si>
  <si>
    <t>ESTEBAN, AGNES</t>
  </si>
  <si>
    <t>QUINONES, K &amp; E OLGUIN</t>
  </si>
  <si>
    <t>SPRYSZAK, ROBERT &amp; LYNNE</t>
  </si>
  <si>
    <t>FELTEN, NEAL &amp; VERA</t>
  </si>
  <si>
    <t>TROJAN, CEZARY S</t>
  </si>
  <si>
    <t>ARMSTRONG, VIRGINIA</t>
  </si>
  <si>
    <t>WONG, YING LIN</t>
  </si>
  <si>
    <t>FIGUEROA, MICHAEL</t>
  </si>
  <si>
    <t>SPIZZIRRI, ANTONIO</t>
  </si>
  <si>
    <t>SPIEWAK, TADEUSZ</t>
  </si>
  <si>
    <t>SPIRES, KIMBERLY &amp; KYLE</t>
  </si>
  <si>
    <t>MACKO, TANYA N</t>
  </si>
  <si>
    <t>LAU, GEORGE &amp; MARISOL</t>
  </si>
  <si>
    <t>VASILEV, VALIVANOV</t>
  </si>
  <si>
    <t>IH3 PROPERTY IL LP</t>
  </si>
  <si>
    <t>GO FUEL 3 INC</t>
  </si>
  <si>
    <t>RUSTAM, LOUAY</t>
  </si>
  <si>
    <t>YANEZ, JOSE</t>
  </si>
  <si>
    <t>MOSKAL, ROBERT &amp; AGAT</t>
  </si>
  <si>
    <t>SKOWRON, JOZEF A</t>
  </si>
  <si>
    <t>PLACHTA, M &amp; A HAJDUK</t>
  </si>
  <si>
    <t>PATEL, NITIN &amp; ARUNA</t>
  </si>
  <si>
    <t>DE SARNO, MARIE</t>
  </si>
  <si>
    <t>SHAH TR, PRADYUMNA &amp; SUDH</t>
  </si>
  <si>
    <t>TLC PROPERTY SERVICES LLC</t>
  </si>
  <si>
    <t>OSTROWSKI, RYAN &amp; KATARZY</t>
  </si>
  <si>
    <t>RUSSO, DOMINIC A</t>
  </si>
  <si>
    <t>CAO, KENNETH</t>
  </si>
  <si>
    <t>LECHUGA, JAMIE &amp; BERNIDIN</t>
  </si>
  <si>
    <t>RELAN, PUSHPA R</t>
  </si>
  <si>
    <t>JEDRZEJCZYK, ZBIGNIEW</t>
  </si>
  <si>
    <t>CALIENDO, MICHELE</t>
  </si>
  <si>
    <t>DACKA, MICHAL</t>
  </si>
  <si>
    <t>TENTHOREY, CORINE L</t>
  </si>
  <si>
    <t>SAVAGE, DONN &amp; PATRICIA</t>
  </si>
  <si>
    <t>SMIETANA, MARCIN &amp; A</t>
  </si>
  <si>
    <t>BADGLEY, LEE &amp; BARBARA</t>
  </si>
  <si>
    <t>LAGUNAS, O &amp; G MARTINEZ</t>
  </si>
  <si>
    <t>WINSOR, STEPHEN</t>
  </si>
  <si>
    <t>GABRYEL, MALGORZATA &amp; R</t>
  </si>
  <si>
    <t>MUSCIA, MATTHEW M</t>
  </si>
  <si>
    <t>FRANZEN, RONALD S</t>
  </si>
  <si>
    <t>WEINER, ADAM &amp; KAREN</t>
  </si>
  <si>
    <t>RANSDELL, DENNIS</t>
  </si>
  <si>
    <t>CANTY, THOMAS &amp; FRANCINE</t>
  </si>
  <si>
    <t>SPOCZYNSKI, THOMAS &amp; M A</t>
  </si>
  <si>
    <t>SYE, MICHAEL S</t>
  </si>
  <si>
    <t>CARUSO, MICHELLE</t>
  </si>
  <si>
    <t>KASPAR, GRAYSON</t>
  </si>
  <si>
    <t>LOPEZ SUSANA</t>
  </si>
  <si>
    <t>COLE, STEVEN</t>
  </si>
  <si>
    <t>SEEHAFER, BRENT &amp; GINGER</t>
  </si>
  <si>
    <t>TRUST NUMBER 00815</t>
  </si>
  <si>
    <t>GRIFFITHS, WILLIAM &amp; C L</t>
  </si>
  <si>
    <t>FARRUGGIA, BARBARA E</t>
  </si>
  <si>
    <t>AHMED, AMIR</t>
  </si>
  <si>
    <t>SANETRA, ROBERT</t>
  </si>
  <si>
    <t>JANDURA, WOJCIECH</t>
  </si>
  <si>
    <t>MILLER, CHARLES &amp; CAROL</t>
  </si>
  <si>
    <t>SIMONE, FRANCESCO</t>
  </si>
  <si>
    <t>MAJERANOWSKI, ALEXANDRA</t>
  </si>
  <si>
    <t>FLORES, DAGO</t>
  </si>
  <si>
    <t>WU, SHOUHAO &amp; Z YUAN</t>
  </si>
  <si>
    <t>STROH, SANDRA L</t>
  </si>
  <si>
    <t>GRIEF, ROBT &amp; JENNIFER</t>
  </si>
  <si>
    <t>ESPINOZA, KATHY</t>
  </si>
  <si>
    <t>BUDREAU, MATTHEW &amp; NICOLE</t>
  </si>
  <si>
    <t>LIU, XIN &amp; YONG XIA</t>
  </si>
  <si>
    <t>SCHOPOFF, MARK C</t>
  </si>
  <si>
    <t>MAHAS, MYKHAILO &amp; IRYNA</t>
  </si>
  <si>
    <t>KOROL, SLAWOMIR &amp; DOROTA</t>
  </si>
  <si>
    <t>APNB PROPERTIES LLC</t>
  </si>
  <si>
    <t>PODSIADLO,DOMINIK&amp;JUSTYNA</t>
  </si>
  <si>
    <t>MYTYCH, GLENN R</t>
  </si>
  <si>
    <t>ORIVIDA, MILDRED &amp; ROWEL</t>
  </si>
  <si>
    <t>HUSIATYNSKI, CZESLAW &amp; M</t>
  </si>
  <si>
    <t>GEORGIEV, IVAYLO</t>
  </si>
  <si>
    <t>RUD, GARY J &amp; LISA M</t>
  </si>
  <si>
    <t>PATEL, NANDKUMAR &amp; SHAKUN</t>
  </si>
  <si>
    <t>DE VILLA, PAULINE &amp; J HUR</t>
  </si>
  <si>
    <t>DIAZ, ARMANDO</t>
  </si>
  <si>
    <t>CARRETO, JOSE &amp; ANN MARIE</t>
  </si>
  <si>
    <t>WICKEMEYER, CHADD &amp; A</t>
  </si>
  <si>
    <t>RHONEY, HAYDEN</t>
  </si>
  <si>
    <t>PATEL, HEMANTKUMAR</t>
  </si>
  <si>
    <t>BASARIA, LELA NENSEY</t>
  </si>
  <si>
    <t>PARADA, ROZA A</t>
  </si>
  <si>
    <t>ANNAPURNA PROPERTIES LLC</t>
  </si>
  <si>
    <t>CLARK, AARON &amp; JULIA</t>
  </si>
  <si>
    <t>SMITH, BRIAN</t>
  </si>
  <si>
    <t>HAMAD, BASSAM &amp; ALBIN</t>
  </si>
  <si>
    <t>PEDROZA, PERLA</t>
  </si>
  <si>
    <t>SOPHCO LLC</t>
  </si>
  <si>
    <t>OSTAFIICHUK, PETRO</t>
  </si>
  <si>
    <t>HABEL, EDNA &amp; RAYMOND</t>
  </si>
  <si>
    <t>MACKEY, ROBERT A</t>
  </si>
  <si>
    <t>COBEAN, CRAIG W &amp; JANICE</t>
  </si>
  <si>
    <t>WITTY, LYNN C</t>
  </si>
  <si>
    <t>PATEL, RAJIVKUMAR</t>
  </si>
  <si>
    <t>BAUTISTA, RUBIROSA</t>
  </si>
  <si>
    <t>HALIYAN, ANDRIY &amp; O</t>
  </si>
  <si>
    <t>SHEEKS, COLE T</t>
  </si>
  <si>
    <t>STEWART, NICOLE A</t>
  </si>
  <si>
    <t>SLIWA, CHRIS &amp; RACHEL</t>
  </si>
  <si>
    <t>SANTANA, EDDY &amp; SANG LEE</t>
  </si>
  <si>
    <t>PATEL, ROSHNEE R</t>
  </si>
  <si>
    <t>BRYJA, MIECZYSLAW</t>
  </si>
  <si>
    <t>ZIEGLER, TOM &amp; DONNA</t>
  </si>
  <si>
    <t>YONAITES, DENNIS &amp; MARIA</t>
  </si>
  <si>
    <t>SIMMONS, BRIAN &amp; JENNIFER</t>
  </si>
  <si>
    <t>BOWL, JOSE K G &amp; LORGIA H</t>
  </si>
  <si>
    <t>ISKRA, MATEUSZ</t>
  </si>
  <si>
    <t>THOMAS, JAKE</t>
  </si>
  <si>
    <t>LEPIANKA, JO ELLEN</t>
  </si>
  <si>
    <t>JELER, LAURENTIU ADIN</t>
  </si>
  <si>
    <t>PESAVENT, JASON &amp; J</t>
  </si>
  <si>
    <t>WORKMAN, JOHN &amp; BARBARA</t>
  </si>
  <si>
    <t>CYBULSKI, NEAL C</t>
  </si>
  <si>
    <t>TUCKER, RYAN J</t>
  </si>
  <si>
    <t>FURLIN, ROBERT &amp; ANITA</t>
  </si>
  <si>
    <t>GANDHI, ASWIN, &amp; RITA</t>
  </si>
  <si>
    <t>MATUSZEWSKI, BRIAN</t>
  </si>
  <si>
    <t>WROCENSKI, ANDRZEJ</t>
  </si>
  <si>
    <t>STANKOV, DINKO &amp; PETYA</t>
  </si>
  <si>
    <t>AVRAMOV, ALEKSANDAR &amp; ISK</t>
  </si>
  <si>
    <t>BORUCH, JAKUB &amp; JUDYTA</t>
  </si>
  <si>
    <t>MAULDIN, GERALDINE</t>
  </si>
  <si>
    <t>YARBROUGH, MAIE F</t>
  </si>
  <si>
    <t>WEGLOS, LINDA M &amp; JAMES E</t>
  </si>
  <si>
    <t>BOROSAK, THOMAS</t>
  </si>
  <si>
    <t>MISTINA TR, BARBARA</t>
  </si>
  <si>
    <t>MIKHAIL, ALBERT</t>
  </si>
  <si>
    <t>SIUDUT, KRZYSZTOF &amp; P</t>
  </si>
  <si>
    <t>MANNO, FREDERICK &amp; V TR</t>
  </si>
  <si>
    <t>KOTAS, MICHAEL</t>
  </si>
  <si>
    <t>GANDHI, RAMESH</t>
  </si>
  <si>
    <t>PANTOJA, A &amp; J MARTINEZ</t>
  </si>
  <si>
    <t>BURANICZ, JAKE</t>
  </si>
  <si>
    <t>RATAY, FAITH A</t>
  </si>
  <si>
    <t>BEYNON, KENNETH &amp; COLETTE</t>
  </si>
  <si>
    <t>DELGADILLO, ERIC &amp; KAREN</t>
  </si>
  <si>
    <t>SURDYNSKI, JAMES A</t>
  </si>
  <si>
    <t>DIMITROV, NANTCHO</t>
  </si>
  <si>
    <t>BORON WARZECHA, IWONA</t>
  </si>
  <si>
    <t>SAHNI, SUBHASH C</t>
  </si>
  <si>
    <t>ROTER, GREGORY</t>
  </si>
  <si>
    <t>SAVAGE, SCOT &amp; NICOLETTE</t>
  </si>
  <si>
    <t>JURCZYK, MALGORZATA &amp; MAR</t>
  </si>
  <si>
    <t>KAWULA, DARIUSZ</t>
  </si>
  <si>
    <t>GRZYBOWICZ, PIOTR</t>
  </si>
  <si>
    <t>MUKHERJEE, BIMAN B &amp; C</t>
  </si>
  <si>
    <t>TOLEDO, TAMMY</t>
  </si>
  <si>
    <t>ROBERTO, VITO M</t>
  </si>
  <si>
    <t>RZESZUTEK, JOLANTA</t>
  </si>
  <si>
    <t>KOLASINSKI, CASEY M</t>
  </si>
  <si>
    <t>RAMOS-DE-LOERA, JUAN C</t>
  </si>
  <si>
    <t>BRINAS, MELITON &amp; RUTH</t>
  </si>
  <si>
    <t>DOWNING, PAMELA</t>
  </si>
  <si>
    <t>KUCZYNSKI &amp; POKOLENCZUK</t>
  </si>
  <si>
    <t>HUFFMAN, ERIC &amp; LEAH</t>
  </si>
  <si>
    <t>VALDEZ, NERCY &amp; KARLA MEN</t>
  </si>
  <si>
    <t>WEBER, GARRICK D &amp; C H</t>
  </si>
  <si>
    <t>GARCIA, MYNOR</t>
  </si>
  <si>
    <t>ASCHOM, STEPHEN R</t>
  </si>
  <si>
    <t>GERDES, TRACY A</t>
  </si>
  <si>
    <t>CURIC, GRAZYNA</t>
  </si>
  <si>
    <t>BAI, YAROSLAV &amp; VALENTYNA</t>
  </si>
  <si>
    <t>FISH, DOUGLAS &amp; JANICE</t>
  </si>
  <si>
    <t>HUMBERT, JULIA &amp; JONATHAN</t>
  </si>
  <si>
    <t>DOMBROWSKI, DANIEL A</t>
  </si>
  <si>
    <t>KOSHIOL, BOB &amp; SHERRY</t>
  </si>
  <si>
    <t>CALVIN, BRADLEY</t>
  </si>
  <si>
    <t>NEWMAN, LUCAS &amp; REBECCA</t>
  </si>
  <si>
    <t>CARABALLO, ANGEL &amp; V</t>
  </si>
  <si>
    <t>HUANG, RONG &amp; LE LU</t>
  </si>
  <si>
    <t>CHAVEZ, LUIS</t>
  </si>
  <si>
    <t>MACIEJEWSKI, JOHN &amp; MARY</t>
  </si>
  <si>
    <t>MIARA, KRYSTIAN &amp; K</t>
  </si>
  <si>
    <t>ZAREBA, THADDEUS</t>
  </si>
  <si>
    <t>ROMAN, DAISY</t>
  </si>
  <si>
    <t>SALUJA, SANJEEV</t>
  </si>
  <si>
    <t>BERRIOS, MIGUEL A</t>
  </si>
  <si>
    <t>PEREZ, LUISITO &amp; MARIA S</t>
  </si>
  <si>
    <t>ZHOU, TING</t>
  </si>
  <si>
    <t>COSTA, DAVID &amp; RENEE</t>
  </si>
  <si>
    <t>ADVANI, SUNDER &amp; MIRA</t>
  </si>
  <si>
    <t>SMITH, REX &amp; VALERIE</t>
  </si>
  <si>
    <t>BARRERA, S &amp; J ROSALES</t>
  </si>
  <si>
    <t>ZOLEDZIEWSKI ,ANTONI</t>
  </si>
  <si>
    <t>SCHNORR, EDWARD &amp; ANDREA</t>
  </si>
  <si>
    <t>CASEK, RICHARD &amp; THERESE</t>
  </si>
  <si>
    <t>BAMBINI, NICHOLAS &amp; V</t>
  </si>
  <si>
    <t>WOOLUM, EARL &amp; KIMBERLY</t>
  </si>
  <si>
    <t>CASTEEL, DAVID</t>
  </si>
  <si>
    <t>DUMELLE, DONALD &amp; JOANN</t>
  </si>
  <si>
    <t>GNATEK, LESLAW &amp; RENATA</t>
  </si>
  <si>
    <t>MATTI, S &amp; F MEKHO</t>
  </si>
  <si>
    <t>BLOCH, MATTHEW I</t>
  </si>
  <si>
    <t>DE LA TORRE, JUAN R</t>
  </si>
  <si>
    <t>SANCHEZ, JOSE H &amp; ANA R</t>
  </si>
  <si>
    <t>KRATOCHVIL, F &amp; M CECHOVA</t>
  </si>
  <si>
    <t>STACHURA, ELSABETH</t>
  </si>
  <si>
    <t>PROCHAZKA, GEORGE &amp; A M</t>
  </si>
  <si>
    <t>KENNEY, ROBERT &amp; GINGER</t>
  </si>
  <si>
    <t>JANDURA, MICHAEL J</t>
  </si>
  <si>
    <t>BINANTI, LORETO S &amp; KAREN</t>
  </si>
  <si>
    <t>WOLBIS, MICHAL &amp; BECKY</t>
  </si>
  <si>
    <t>NYTKO, DAVID</t>
  </si>
  <si>
    <t>POPKO, MARIOLA</t>
  </si>
  <si>
    <t>DENGES, NICHOLAS</t>
  </si>
  <si>
    <t>HALINSKI, THOMAS &amp; K</t>
  </si>
  <si>
    <t>DALAL, BIJAL</t>
  </si>
  <si>
    <t>RZEWNICKI, RONALD &amp;MELODY</t>
  </si>
  <si>
    <t>CHAUDHARI, BIPIN</t>
  </si>
  <si>
    <t>PATEL, MITULKUMAR</t>
  </si>
  <si>
    <t>BUSCAR, CARLO &amp; SHERRY</t>
  </si>
  <si>
    <t>SABADASZKA, ANNIE &amp; N</t>
  </si>
  <si>
    <t>MEHTA, RAMANJIT &amp;GURINDER</t>
  </si>
  <si>
    <t>JOSHI, G &amp; P MARATHE</t>
  </si>
  <si>
    <t>KLIMEK, IZABELLA &amp; MARCIN</t>
  </si>
  <si>
    <t>COHN, ADAM</t>
  </si>
  <si>
    <t>PBL INVEMENTS LLC</t>
  </si>
  <si>
    <t>LARA, FLOR &amp; L CHAVEZ</t>
  </si>
  <si>
    <t>TURNER, DANIEL</t>
  </si>
  <si>
    <t>ELUSZKIEWICZ, MACIEJ</t>
  </si>
  <si>
    <t>TENNEY, I &amp; J JUNG</t>
  </si>
  <si>
    <t>FAKHOURI, NATHAN</t>
  </si>
  <si>
    <t>VALDEZ, R &amp; A CARDENAS</t>
  </si>
  <si>
    <t>KADUK, P &amp; M BRENNAN TR</t>
  </si>
  <si>
    <t>CTLTC 9002345932</t>
  </si>
  <si>
    <t>BAKER, ZANE &amp; BEGUM KUTAY</t>
  </si>
  <si>
    <t>CABRERA JR, FRANCISCO JOS</t>
  </si>
  <si>
    <t>ZEGGER, ANTHONY &amp; DEB</t>
  </si>
  <si>
    <t>COLOMB, TIMOTHY</t>
  </si>
  <si>
    <t>ORLANDIC, RATKO</t>
  </si>
  <si>
    <t>ALEXANDER, JACOB &amp; G</t>
  </si>
  <si>
    <t>SCHUMANN, LISA MARIA</t>
  </si>
  <si>
    <t>MILLER, AUDREY M</t>
  </si>
  <si>
    <t>PIOTROWS, MIROSLAW &amp; A J</t>
  </si>
  <si>
    <t>WOJTASZEK, CZESLAW</t>
  </si>
  <si>
    <t>HARNEY, JOCELYN Y</t>
  </si>
  <si>
    <t>MUZIK, MARGIE M</t>
  </si>
  <si>
    <t>OAK BROOK LAKE SERIES</t>
  </si>
  <si>
    <t>PEREZ, JORGE R</t>
  </si>
  <si>
    <t>INTL SWAMINARAYAN</t>
  </si>
  <si>
    <t>JAREOU, ZAID</t>
  </si>
  <si>
    <t>INTL SWAMINARAYA</t>
  </si>
  <si>
    <t>FIRST MIDWEST BK 9290</t>
  </si>
  <si>
    <t>QARMAZA, JOSEPH E</t>
  </si>
  <si>
    <t>FAVA, PAUL J</t>
  </si>
  <si>
    <t>CULP, EPEFANIA</t>
  </si>
  <si>
    <t>BANK TRUST 1-6710</t>
  </si>
  <si>
    <t>IL AMERICAN WATER CO</t>
  </si>
  <si>
    <t>WOJTAL, DONALD JOHN</t>
  </si>
  <si>
    <t>CV IRVING PROPERTY LLC</t>
  </si>
  <si>
    <t>PILUT, SUSAN J</t>
  </si>
  <si>
    <t>MESSMER, DAWN</t>
  </si>
  <si>
    <t>MALINOWSKI, PAWEL</t>
  </si>
  <si>
    <t>K &amp; D ELITE LLC</t>
  </si>
  <si>
    <t>AMERICAN ESTATE LLC</t>
  </si>
  <si>
    <t>LEONETTI, MARY</t>
  </si>
  <si>
    <t>DE FOREST, JAMES &amp; P</t>
  </si>
  <si>
    <t>BAESSLER, MARK &amp; BARBARA</t>
  </si>
  <si>
    <t>LEONETTI, MICHAEL</t>
  </si>
  <si>
    <t>BALCERSKI, ROBERT</t>
  </si>
  <si>
    <t>COBURN, PEGGY S</t>
  </si>
  <si>
    <t>BURR RIDGE DEVELOPMENT</t>
  </si>
  <si>
    <t>REALESTATE 911 LLC</t>
  </si>
  <si>
    <t>KOB LLC &amp; ILLINOIS LLC</t>
  </si>
  <si>
    <t>UNZUETA. ESTELA &amp; JESUS</t>
  </si>
  <si>
    <t>JANIS SR, RONALD</t>
  </si>
  <si>
    <t>ADAM, KELLY &amp; DON</t>
  </si>
  <si>
    <t>SHULTZ, BARBARA &amp; WILLIAM</t>
  </si>
  <si>
    <t>HAWTHORNEWORLD VILLA PARK</t>
  </si>
  <si>
    <t>COTTAGE HILL LEASING CO</t>
  </si>
  <si>
    <t>BMO HARRIS BANK NA</t>
  </si>
  <si>
    <t>ALBERTSONS COMPANIES</t>
  </si>
  <si>
    <t>PACIFIC NUT COMPANY INC</t>
  </si>
  <si>
    <t>STICKLER, PETER</t>
  </si>
  <si>
    <t>443 E ST CHARLES RD LLC</t>
  </si>
  <si>
    <t>SHEN, GLASSMAN, LIN , MIL</t>
  </si>
  <si>
    <t>ARDMORE FLATS LLC</t>
  </si>
  <si>
    <t>DE MITO, DEBORAH M</t>
  </si>
  <si>
    <t>R &amp; E ARDMORE LAND HOLD</t>
  </si>
  <si>
    <t>MUNSTERMAN, TOM</t>
  </si>
  <si>
    <t>J &amp; J PROPERTIES</t>
  </si>
  <si>
    <t>COTTAGE HILL OPERATING CO</t>
  </si>
  <si>
    <t>PACIFIC NUT COMPANY</t>
  </si>
  <si>
    <t>SHULTZ, WM &amp; BARBARA</t>
  </si>
  <si>
    <t>GENTILE, FRANK</t>
  </si>
  <si>
    <t>CHAPMAN FAMILY PROPERTIES</t>
  </si>
  <si>
    <t>GRINDER HILL PROPERTIES L</t>
  </si>
  <si>
    <t>ESPANOZA RENTALS LLC</t>
  </si>
  <si>
    <t>299 &amp; 295 AT VILLA PARK</t>
  </si>
  <si>
    <t>BAMBA PROPERTIES LLC</t>
  </si>
  <si>
    <t>524 W SAINT CHARLES LLC</t>
  </si>
  <si>
    <t>204 SVVP LLC</t>
  </si>
  <si>
    <t>ZAGARA LLC 131 ST CHARLES</t>
  </si>
  <si>
    <t>116 W ST CHARLES LLC</t>
  </si>
  <si>
    <t>LUKACEK, KEVIN</t>
  </si>
  <si>
    <t>105 VILLA PARK LLC</t>
  </si>
  <si>
    <t>AVILES, ANDRES &amp; ALEHIDA</t>
  </si>
  <si>
    <t>OLSEN, ANDREW M</t>
  </si>
  <si>
    <t>MELESIO, M &amp; J MARTELL</t>
  </si>
  <si>
    <t>SMITH, WILLIAM BRUCE</t>
  </si>
  <si>
    <t>KURBY, LUCILLE J</t>
  </si>
  <si>
    <t>ORTIZ, LEONEL</t>
  </si>
  <si>
    <t>TOLENTINO, EDUARDO &amp;LINDA</t>
  </si>
  <si>
    <t>RICHARDSON, DARLENE A</t>
  </si>
  <si>
    <t>MARKIEWICZ, STEVEN &amp; DAWN</t>
  </si>
  <si>
    <t>PARK, J &amp; C CHANGHOON</t>
  </si>
  <si>
    <t>KLOPPKE, MICHAEL J &amp; C M</t>
  </si>
  <si>
    <t>GONZALEZ, M &amp; J VILLAREAL</t>
  </si>
  <si>
    <t>ALPHA HOME HEALTH CARE</t>
  </si>
  <si>
    <t>BOLIVAR, THOMAS &amp; JESUS</t>
  </si>
  <si>
    <t>SYED, IMRAN A</t>
  </si>
  <si>
    <t>SYED, IMRAN</t>
  </si>
  <si>
    <t>OLSON, ANDREW</t>
  </si>
  <si>
    <t>AKHTAR, PARVEEN</t>
  </si>
  <si>
    <t>KOZAR LTD</t>
  </si>
  <si>
    <t>BACHMAN, SUSAN</t>
  </si>
  <si>
    <t>CLARKE, GARY &amp; COLLEEN</t>
  </si>
  <si>
    <t>BARRERA, ALBERTO</t>
  </si>
  <si>
    <t>KOMPERDA, MICHAEL K</t>
  </si>
  <si>
    <t>SMOLYER, LUDMILA</t>
  </si>
  <si>
    <t>ALVAREZ, RENE &amp; LETICIA</t>
  </si>
  <si>
    <t>MARSHALL, LLEWELLYN V</t>
  </si>
  <si>
    <t>DELGADILLO, J &amp; M GUZMAN</t>
  </si>
  <si>
    <t>BELTRAN, J &amp; E KUMS</t>
  </si>
  <si>
    <t>WATKINS, CATHERINE A</t>
  </si>
  <si>
    <t>LTC B7900595546</t>
  </si>
  <si>
    <t>MUNOZ, NOE Q</t>
  </si>
  <si>
    <t>TERRAZAS, M &amp; J GALVAN</t>
  </si>
  <si>
    <t>TALABER, OTTO</t>
  </si>
  <si>
    <t>AUTOZONE #6303</t>
  </si>
  <si>
    <t>REPUBLIC BANK OF CHICAGO</t>
  </si>
  <si>
    <t>RIVERA, LUIS</t>
  </si>
  <si>
    <t>ALE MARK LLC</t>
  </si>
  <si>
    <t>PEREZ, THOMAS &amp; VENUS</t>
  </si>
  <si>
    <t>PROA PROPERTY HOLDINGS</t>
  </si>
  <si>
    <t>GUZMAN, ELIZABETH</t>
  </si>
  <si>
    <t>TALWAR, JENNIFER</t>
  </si>
  <si>
    <t>SANTOS, HORACIO &amp; SARA AL</t>
  </si>
  <si>
    <t>SILLITTI, STEPHEN &amp; N</t>
  </si>
  <si>
    <t>MARQUEZ, BERNARDINO</t>
  </si>
  <si>
    <t>PEREZ, GUADALUPE</t>
  </si>
  <si>
    <t>GALLEGOS, ANTONIO &amp; L</t>
  </si>
  <si>
    <t>ORTIZ, JUSTO</t>
  </si>
  <si>
    <t>DURAN, BALDEMAR</t>
  </si>
  <si>
    <t>BENNIER, STEVEN A</t>
  </si>
  <si>
    <t>ARMCHAIR INVESTORS LLC</t>
  </si>
  <si>
    <t>RAMOS, P &amp; E RODRIGUEZ</t>
  </si>
  <si>
    <t>BALLINES, MARIANO</t>
  </si>
  <si>
    <t>ALVAREZ GUTIERREZ, ALVARO</t>
  </si>
  <si>
    <t>MEYERS, RONALD J</t>
  </si>
  <si>
    <t>HERNANDEZ, JULIO</t>
  </si>
  <si>
    <t>GARCIA, EFREN &amp; YOLANDA</t>
  </si>
  <si>
    <t>CARRASCO, A &amp; M GARCIA</t>
  </si>
  <si>
    <t>KESSLER, D &amp; M O SHEA</t>
  </si>
  <si>
    <t>HAYWARD, DAVID &amp; KATHERIN</t>
  </si>
  <si>
    <t>GONZALEZ, MARTHA</t>
  </si>
  <si>
    <t>LIZYNESS, THOMAS C</t>
  </si>
  <si>
    <t>RATCLIFFE, JOHN &amp; LAUREL</t>
  </si>
  <si>
    <t>MAAS, PAUL</t>
  </si>
  <si>
    <t>CORREA, JOSE</t>
  </si>
  <si>
    <t>LTC 2NDW14561</t>
  </si>
  <si>
    <t>DUPAGE HABITAT 4 HUMANITY</t>
  </si>
  <si>
    <t>HARIRAJ INC</t>
  </si>
  <si>
    <t>COVARRUBIAS, EDMUND &amp; R L</t>
  </si>
  <si>
    <t>GENEVA STATION APARTMENTS</t>
  </si>
  <si>
    <t>CYNOWA LIVING TRUST</t>
  </si>
  <si>
    <t>ARMAN KASS R E QUINCY</t>
  </si>
  <si>
    <t>CARLSON SR, WILLIAM M</t>
  </si>
  <si>
    <t>CHICAGO TITLE 8002383057</t>
  </si>
  <si>
    <t>SHEFFIELD INVESTMENTS LLC</t>
  </si>
  <si>
    <t>INSPIRA FINANCIAL TRUST L</t>
  </si>
  <si>
    <t>MEHRA REAL ESTATE INC</t>
  </si>
  <si>
    <t>DE WAAL, ANDREW</t>
  </si>
  <si>
    <t>SHEMSHEDIN, USEN &amp; NEKE</t>
  </si>
  <si>
    <t>GAMBOA, S &amp; L MARTINEZ &amp;</t>
  </si>
  <si>
    <t>PATEL, SUNIL</t>
  </si>
  <si>
    <t>CASS AVE PROPERTIES LLC</t>
  </si>
  <si>
    <t>THERIAULT, T</t>
  </si>
  <si>
    <t>HIGGINS, MICHAEL</t>
  </si>
  <si>
    <t>OAK BROOK RESEARCH INC</t>
  </si>
  <si>
    <t>CAPPETTA, ANTHONY</t>
  </si>
  <si>
    <t>CIRILLO, RAFFAELE &amp; MICHE</t>
  </si>
  <si>
    <t>DILWORTH, GERALD &amp; KAREN</t>
  </si>
  <si>
    <t>ICCA INC</t>
  </si>
  <si>
    <t>VERDI, JAMES &amp; PHYLLIS</t>
  </si>
  <si>
    <t>32 W BURLINGTON LLC</t>
  </si>
  <si>
    <t>HAMIDI, ASIF</t>
  </si>
  <si>
    <t>FOX TR, GERARD M &amp; CAMILL</t>
  </si>
  <si>
    <t>CONOVER, STUART &amp; LEAH</t>
  </si>
  <si>
    <t>RIVERA, CHRISTIAN</t>
  </si>
  <si>
    <t>CLOSE, DAVID</t>
  </si>
  <si>
    <t>LANGONE, JAMES</t>
  </si>
  <si>
    <t>POWERS, LAUREN N</t>
  </si>
  <si>
    <t>5628 SOUTH CASS LLC</t>
  </si>
  <si>
    <t>RASMUSSEN, MARK &amp;VICTORIA</t>
  </si>
  <si>
    <t>KAIZEN CONSTRUCTION CORP</t>
  </si>
  <si>
    <t>R&amp;P SEAVEY FAMILY LLC</t>
  </si>
  <si>
    <t>MURALLES, J</t>
  </si>
  <si>
    <t>MISEK, CARL &amp; GAIL REESE</t>
  </si>
  <si>
    <t>MOICEANU, CORNEL &amp; ELENA</t>
  </si>
  <si>
    <t>ORBELL JR, JACK E &amp; HELEN</t>
  </si>
  <si>
    <t>CAO, GUICHAN</t>
  </si>
  <si>
    <t>BU, PING &amp; LIANG QIAO</t>
  </si>
  <si>
    <t>BASSETT, CHRISTOPHER J</t>
  </si>
  <si>
    <t>CIUPINSKI, LORETTA M</t>
  </si>
  <si>
    <t>SWIERENGA, GARRETT E &amp; K</t>
  </si>
  <si>
    <t>PEREZ, JOSE A</t>
  </si>
  <si>
    <t>RETZLAFF, DELRAY &amp; DONNA</t>
  </si>
  <si>
    <t>YALLAPRAGADA, RATHNA &amp; J</t>
  </si>
  <si>
    <t>FERNANDEZ, IVAN</t>
  </si>
  <si>
    <t>KANE, ETHAN &amp; BRETT SAMEK</t>
  </si>
  <si>
    <t>QOUDSI, WAEL</t>
  </si>
  <si>
    <t>LDD GROUP LLC</t>
  </si>
  <si>
    <t>NAVARRO, DAVID &amp; CARMEN</t>
  </si>
  <si>
    <t>CTLTC TR #1095630</t>
  </si>
  <si>
    <t>JOHNS, ERIC &amp; KRISTINA</t>
  </si>
  <si>
    <t>BMW CONSTRUCTION LLC</t>
  </si>
  <si>
    <t>IONA, MICHAEL &amp; SUSAN</t>
  </si>
  <si>
    <t>MURPHY, BRIAN &amp; KENDRA</t>
  </si>
  <si>
    <t>JOHNSON, GARY L &amp; LINDA M</t>
  </si>
  <si>
    <t>PETERSON, ERIC D</t>
  </si>
  <si>
    <t>HARTMANN, TARA</t>
  </si>
  <si>
    <t>NELSON, MICHAEL J</t>
  </si>
  <si>
    <t>LEWIS, JEFFREY</t>
  </si>
  <si>
    <t>MENEAR, JEFFERY BLAKE</t>
  </si>
  <si>
    <t>DOYLE, JOHN E</t>
  </si>
  <si>
    <t>BUTLER, CARL &amp; BERNADETTE</t>
  </si>
  <si>
    <t>LIMONE TREE HOLDINGS LLC</t>
  </si>
  <si>
    <t>YESSA, MARK</t>
  </si>
  <si>
    <t>HERNANDEZ GARCIA, M A &amp; E</t>
  </si>
  <si>
    <t>SOLORZANO, EDUARDO</t>
  </si>
  <si>
    <t>DI BRITO, A &amp;P ROBICHEAUX</t>
  </si>
  <si>
    <t>GARCIA GARCIA, JAVIER &amp; C</t>
  </si>
  <si>
    <t>RADOSAVLJEVIC, STEFAN</t>
  </si>
  <si>
    <t>JOYCE JR, EARL J</t>
  </si>
  <si>
    <t>KOTTOS, P &amp; S FRENTZAS</t>
  </si>
  <si>
    <t>BUTLER, GREGORY J</t>
  </si>
  <si>
    <t>BIELECKI, RYAN</t>
  </si>
  <si>
    <t>SMITH, DALE L &amp; BARBARA J</t>
  </si>
  <si>
    <t>COFFEY, DAVID &amp; MICHELLE</t>
  </si>
  <si>
    <t>RIVERSTONE REALTY GROUP</t>
  </si>
  <si>
    <t>MUSCH, CHERYL &amp; WALTER OL</t>
  </si>
  <si>
    <t>JASINSKI, MELISSA P</t>
  </si>
  <si>
    <t>CARLSON, MARYBETH C</t>
  </si>
  <si>
    <t>VICTORIA, FRANCISCO S</t>
  </si>
  <si>
    <t>LAUDER, NORMA J &amp; DAVID C</t>
  </si>
  <si>
    <t>JACKSON, KIMBERLY</t>
  </si>
  <si>
    <t>WILSON, JOHN &amp; DIANE</t>
  </si>
  <si>
    <t>BARTH, NICHOLAS J</t>
  </si>
  <si>
    <t>BURCH, JOHNATHAN &amp; C</t>
  </si>
  <si>
    <t>OBODZINSKI, ROBERT &amp; MARY</t>
  </si>
  <si>
    <t>CARLSON, MATTHEW J</t>
  </si>
  <si>
    <t>REYES, DELFINO</t>
  </si>
  <si>
    <t>MURRAY, P &amp; A JUNE</t>
  </si>
  <si>
    <t>MC KENZIE, CRAIG &amp; DONNA</t>
  </si>
  <si>
    <t>DERER, RICHARD &amp; MERIKAY</t>
  </si>
  <si>
    <t>DURBIN, RITA</t>
  </si>
  <si>
    <t>ZAJAC, JOSHUA</t>
  </si>
  <si>
    <t>WALSH TR, LAURIE A</t>
  </si>
  <si>
    <t>DEL CAMPO, ALBERTO</t>
  </si>
  <si>
    <t>BIG DOOR HOME BUYERS LLC</t>
  </si>
  <si>
    <t>ROTOLO, PATRICIA</t>
  </si>
  <si>
    <t>BIGECK, RYAN R</t>
  </si>
  <si>
    <t>ARQUINES JR, ARNOLD D</t>
  </si>
  <si>
    <t>FARWELL REV TRUST</t>
  </si>
  <si>
    <t>BRECHLIN, CHARLIE</t>
  </si>
  <si>
    <t>VESELIK, JOHN &amp; ELLE</t>
  </si>
  <si>
    <t>RUEDLINGER, K &amp; J CORRO M</t>
  </si>
  <si>
    <t>DUNPHY, JAMES &amp; MARK</t>
  </si>
  <si>
    <t>BRINDAC JR, ROBERT</t>
  </si>
  <si>
    <t>RY ENTERPRISES</t>
  </si>
  <si>
    <t>HAIMANN, SANDRA L</t>
  </si>
  <si>
    <t>ZUUNDARI, EGSHIG</t>
  </si>
  <si>
    <t>SHEN, Z &amp; A DE MORAES</t>
  </si>
  <si>
    <t>ROGERS, MATTHEW &amp; E</t>
  </si>
  <si>
    <t>MC GINN HURST, S &amp; T NAVA</t>
  </si>
  <si>
    <t>MIKULCIK, SUSAN L</t>
  </si>
  <si>
    <t>TORKELSON, THOMAS &amp; S</t>
  </si>
  <si>
    <t>PUGA, WILLIAM F</t>
  </si>
  <si>
    <t>ATWOOD, MILAN</t>
  </si>
  <si>
    <t>THOMAS, MICHAEL G</t>
  </si>
  <si>
    <t>O MALLEY, RYAN</t>
  </si>
  <si>
    <t>ELKHORN CAPITAL LLC</t>
  </si>
  <si>
    <t>MC CARTHY, JOHN K &amp; ET AL</t>
  </si>
  <si>
    <t>WESTERN HILLS DEVELOPMENT</t>
  </si>
  <si>
    <t>KASE RYAN BLDRS LLC</t>
  </si>
  <si>
    <t>PYRAMID CONSTRUCTION</t>
  </si>
  <si>
    <t>WESTMONT DEVELOPMENT CORP</t>
  </si>
  <si>
    <t>LTC 008002368488</t>
  </si>
  <si>
    <t>POLAK, NICOLE</t>
  </si>
  <si>
    <t>POLINSKI, CONRAD</t>
  </si>
  <si>
    <t>TAYLOR, KEVIN</t>
  </si>
  <si>
    <t>GLENDENNING, BAILEY R</t>
  </si>
  <si>
    <t>KLIS, MICHAEL</t>
  </si>
  <si>
    <t>SCHRAMER, JEANNE B</t>
  </si>
  <si>
    <t>SOUKUP, CAROLYN J</t>
  </si>
  <si>
    <t>CAMERON, BRYAN L</t>
  </si>
  <si>
    <t>PRICE, JOSHUA</t>
  </si>
  <si>
    <t>MEYER, ANDREW &amp; ALANA</t>
  </si>
  <si>
    <t>PAU, PETER</t>
  </si>
  <si>
    <t>BARGER, MARTHA M</t>
  </si>
  <si>
    <t>TARDY, MICHAEL H</t>
  </si>
  <si>
    <t>KIM, JON N</t>
  </si>
  <si>
    <t>DIMAS, JOHN A</t>
  </si>
  <si>
    <t>SHORE, SHAUN A</t>
  </si>
  <si>
    <t>MAGAR, SUBASH &amp; K MANGAR</t>
  </si>
  <si>
    <t>ALANIS, ANTONIO</t>
  </si>
  <si>
    <t>STEWART, STEVE</t>
  </si>
  <si>
    <t>MA, R &amp; K FURST</t>
  </si>
  <si>
    <t>GRAVES, BARBARA</t>
  </si>
  <si>
    <t>FENILI, WILLIAM &amp; V</t>
  </si>
  <si>
    <t>DUNN, E &amp; A SCHROEDER</t>
  </si>
  <si>
    <t>MESSERE, J &amp; S HERNANDEZ</t>
  </si>
  <si>
    <t>714 WARRENVILLE ROAD LLC</t>
  </si>
  <si>
    <t>BEDE, DEREK &amp; REBECCA AHR</t>
  </si>
  <si>
    <t>SCHRAGEL, MATT P</t>
  </si>
  <si>
    <t>CONICK, HAROLD &amp; EVELYN</t>
  </si>
  <si>
    <t>BLAZESKI, LUPCO &amp; ELIZABE</t>
  </si>
  <si>
    <t>REALTY INCOME IL PROP 3</t>
  </si>
  <si>
    <t>HUIZENGA, DOREANE &amp; PAUL</t>
  </si>
  <si>
    <t>WNA PROPERTY LLC</t>
  </si>
  <si>
    <t>518 ROOSEVELT LLC</t>
  </si>
  <si>
    <t>QUATTRO WHEATON LLC</t>
  </si>
  <si>
    <t>UNITED INVESTMENT HOLDING</t>
  </si>
  <si>
    <t>ACANTHUS PROPERTY GROUP</t>
  </si>
  <si>
    <t>SNOW, MARSHALL</t>
  </si>
  <si>
    <t>PROVIDENCE BANK &amp; TR</t>
  </si>
  <si>
    <t>311 E WESLEY LLC</t>
  </si>
  <si>
    <t>COMMUNITY BK WHEATON</t>
  </si>
  <si>
    <t>ALEX, ANDY</t>
  </si>
  <si>
    <t>INDUSTRY CONSULTING GROUP</t>
  </si>
  <si>
    <t>TRUST BANK</t>
  </si>
  <si>
    <t>G SQUARED IV LLC</t>
  </si>
  <si>
    <t>205 SOUTH MAIN LLC</t>
  </si>
  <si>
    <t>ROOSEVELT COMMONS LLC</t>
  </si>
  <si>
    <t>RDG REAL PROPERTIES LLC</t>
  </si>
  <si>
    <t>ANDERSON TTEE, ELAINE M</t>
  </si>
  <si>
    <t>TRUE NORTH QUALITY HOMES</t>
  </si>
  <si>
    <t>LAND LOFT LLC</t>
  </si>
  <si>
    <t>MONSTER WAGON LLC</t>
  </si>
  <si>
    <t>AJG PROPERTIES LLC</t>
  </si>
  <si>
    <t>GAROLD LEASING SERV LLC</t>
  </si>
  <si>
    <t>FCPT HOLDINGS LLC</t>
  </si>
  <si>
    <t>MIDWEST SHELTER HOMELESS</t>
  </si>
  <si>
    <t>CHICAGO TITLE LAND TRUST</t>
  </si>
  <si>
    <t>G M K LIMITED PARNTERSHIP</t>
  </si>
  <si>
    <t>WEST LIBERTY LLC</t>
  </si>
  <si>
    <t>LTC B7800614438</t>
  </si>
  <si>
    <t>BAUER REAL ESTATE LLC</t>
  </si>
  <si>
    <t>109 N HALE LLC</t>
  </si>
  <si>
    <t>CROSS FUNCTION LLC</t>
  </si>
  <si>
    <t>NOAHS REAL ESTATE</t>
  </si>
  <si>
    <t>129 NORTH MAIN LLC</t>
  </si>
  <si>
    <t>WESTMORE &amp; ASSOCIATES CON</t>
  </si>
  <si>
    <t>COLE CAPITAL CORP</t>
  </si>
  <si>
    <t>MEYER TTEE, STEVEN &amp; SHAR</t>
  </si>
  <si>
    <t>LIU, CHARLES M</t>
  </si>
  <si>
    <t>MATUCH, JOSEPH &amp; RACHEL</t>
  </si>
  <si>
    <t>JACKSON, ANTHONY</t>
  </si>
  <si>
    <t>SCHILTZ, KEVIN S &amp; AMY M</t>
  </si>
  <si>
    <t>DE VALDIVIELSO, CELIA M</t>
  </si>
  <si>
    <t>BINO, PETRIKA &amp; ARIANA</t>
  </si>
  <si>
    <t>HARTE, JAMES P &amp; SHIRLEY</t>
  </si>
  <si>
    <t>SEGER, DEBRA</t>
  </si>
  <si>
    <t>BARROW, DAVID &amp; SUSAN</t>
  </si>
  <si>
    <t>YLINEN, CHERYL N</t>
  </si>
  <si>
    <t>COLLING, BENJ &amp; JENELLE</t>
  </si>
  <si>
    <t>CLARK, JENNIFER</t>
  </si>
  <si>
    <t>MIKES, DAVID</t>
  </si>
  <si>
    <t>HOLEK, D &amp; C VEST</t>
  </si>
  <si>
    <t>PALMER, CHRISTINE T</t>
  </si>
  <si>
    <t>DREWS, LISA</t>
  </si>
  <si>
    <t>SEZONOV, GLORIA A</t>
  </si>
  <si>
    <t>CHICAGO TITLE 593</t>
  </si>
  <si>
    <t>ARMSTRONG, RUSSELL &amp; BARB</t>
  </si>
  <si>
    <t>LITFIN, JULIE J</t>
  </si>
  <si>
    <t>DESLAURIERS, DENIS W</t>
  </si>
  <si>
    <t>KAILER, TIMOTHY &amp; HANNAH</t>
  </si>
  <si>
    <t>WOJCIECHOWSKI, GENE</t>
  </si>
  <si>
    <t>ADAMS, M &amp; L VICICONDI</t>
  </si>
  <si>
    <t>SPINOSO, JOHN &amp; VIVIAN</t>
  </si>
  <si>
    <t>RDMA PROPERTY HOLDINGS LL</t>
  </si>
  <si>
    <t>LAKONIA MANAGEMENT LLC</t>
  </si>
  <si>
    <t>MJ SUBURBAN PROPERTIES</t>
  </si>
  <si>
    <t>AUTUMN MIST ON LORRAINE</t>
  </si>
  <si>
    <t>PAUGA, MATT</t>
  </si>
  <si>
    <t>WHEATON PROPERTY CORP</t>
  </si>
  <si>
    <t>202 S WASHINGTON TWNHMS</t>
  </si>
  <si>
    <t>ROGERS, SINDY M</t>
  </si>
  <si>
    <t>COOK, TIMOTHY &amp; JULIE</t>
  </si>
  <si>
    <t>HOULIHAN, JOHN P</t>
  </si>
  <si>
    <t>LEONARD, A &amp; J HARDWICK</t>
  </si>
  <si>
    <t>GLEN AYRE ENTERPRISES INC</t>
  </si>
  <si>
    <t>ETHAN D V HO LLC</t>
  </si>
  <si>
    <t>DEROO, CHRISTOPHER &amp; M</t>
  </si>
  <si>
    <t>MULLANEY, DOUGLAS &amp; JOY</t>
  </si>
  <si>
    <t>PRENDERGAST, THOMAS &amp; S</t>
  </si>
  <si>
    <t>HOLANDAY, JOHN &amp; IZABELA</t>
  </si>
  <si>
    <t>DEL RIO, JOSE &amp; KYLE</t>
  </si>
  <si>
    <t>GEPPINGER, KENNETH &amp; J</t>
  </si>
  <si>
    <t>OAKEY, SEAN R</t>
  </si>
  <si>
    <t>KENNEDY, TIM &amp; CAROL</t>
  </si>
  <si>
    <t>LADDAGA FAMILY TRUST</t>
  </si>
  <si>
    <t>BAUMAN, MICHAEL &amp; TORI</t>
  </si>
  <si>
    <t>WHITE, TODD A</t>
  </si>
  <si>
    <t>MENNECKE, EDWARD &amp; KATHER</t>
  </si>
  <si>
    <t>PETERSON, CARL M &amp; CARRI</t>
  </si>
  <si>
    <t>PHILLIPS, SHELDON &amp; LISA</t>
  </si>
  <si>
    <t>FICKLE, JOHN &amp; SUZANNE</t>
  </si>
  <si>
    <t>ROWE, ROGER W</t>
  </si>
  <si>
    <t>HASLETT, THOMAS P</t>
  </si>
  <si>
    <t>YODER, CARLETON &amp;KATHLEEN</t>
  </si>
  <si>
    <t>PACIORKA, TERRY H</t>
  </si>
  <si>
    <t>WARREN, ROSARIA &amp; BRIAN</t>
  </si>
  <si>
    <t>SPRECKELS, DAVID &amp; DONNA</t>
  </si>
  <si>
    <t>GRAND FUTURE INVESTMENTS</t>
  </si>
  <si>
    <t>BRICE, LEAH</t>
  </si>
  <si>
    <t>AG EQUITY GROUP LLC</t>
  </si>
  <si>
    <t>TUMA, CHERYL A</t>
  </si>
  <si>
    <t>HOSACK, THOMAS L &amp; JONIE</t>
  </si>
  <si>
    <t>CRNICH, M &amp; E CAHILL</t>
  </si>
  <si>
    <t>LINDGREN, CLAYTON &amp; B</t>
  </si>
  <si>
    <t>MJR PROPERTIES LLC</t>
  </si>
  <si>
    <t>LOGAN, MARGARITA</t>
  </si>
  <si>
    <t>FORESMAN, CHARLES</t>
  </si>
  <si>
    <t>CLINTON, JEANNINE BUSH</t>
  </si>
  <si>
    <t>WOOD, KYLE &amp; AMANDA</t>
  </si>
  <si>
    <t>ROSE, THOMAS J</t>
  </si>
  <si>
    <t>BORDEN, SARAH R</t>
  </si>
  <si>
    <t>ROSS, TOM &amp; FLORENCE</t>
  </si>
  <si>
    <t>WONSER, BARBARA J</t>
  </si>
  <si>
    <t>RILEY, M &amp; S BOGDAN</t>
  </si>
  <si>
    <t>STEIER, D &amp; M BROOKS</t>
  </si>
  <si>
    <t>ELBEL, JEFFREY P &amp; M R</t>
  </si>
  <si>
    <t>DUDAK, M &amp; A BURDA</t>
  </si>
  <si>
    <t>DE MAY, ERIC N &amp; ABBY A</t>
  </si>
  <si>
    <t>MC CULLOUGH, KATHLEEN S</t>
  </si>
  <si>
    <t>MESCH, PAULA</t>
  </si>
  <si>
    <t>NORRIS, LINDA M</t>
  </si>
  <si>
    <t>MAYFIELD, JOSEPH &amp; KATHAR</t>
  </si>
  <si>
    <t>SCHARDT, J &amp; J YOUNGLOVE</t>
  </si>
  <si>
    <t>EGAN, DENNIS</t>
  </si>
  <si>
    <t>NIELSON, A &amp; V DENIGOT</t>
  </si>
  <si>
    <t>NKHOMA, BEATRICE</t>
  </si>
  <si>
    <t>BUNDY, SANDY S</t>
  </si>
  <si>
    <t>LOWRIE, EDMUND G</t>
  </si>
  <si>
    <t>MC NEILY, MARY  S</t>
  </si>
  <si>
    <t>SEKOWSKI, MARGARET</t>
  </si>
  <si>
    <t>MARSICEK, CHARLES</t>
  </si>
  <si>
    <t>HORBAL, PAUL M</t>
  </si>
  <si>
    <t>KELNE, NICHOLAS &amp; LISA WH</t>
  </si>
  <si>
    <t>REYNOSO, MARIA G</t>
  </si>
  <si>
    <t>MAYER METZ LLC</t>
  </si>
  <si>
    <t>GILLIES, K &amp; J STEINHAUER</t>
  </si>
  <si>
    <t>MYRICK, DAVID T</t>
  </si>
  <si>
    <t>MARTUCCI, SAM</t>
  </si>
  <si>
    <t>RODRIGUEZ, PATRICIA</t>
  </si>
  <si>
    <t>ZENTNER, RANDAL &amp; ANNE</t>
  </si>
  <si>
    <t>HELLAND, RICHARD H</t>
  </si>
  <si>
    <t>CARUSO, JOHN &amp; ROBERTA</t>
  </si>
  <si>
    <t>SCHERRY, BRANDON</t>
  </si>
  <si>
    <t>KUNTARICH, AARON &amp; HEIDI</t>
  </si>
  <si>
    <t>KROCULICK, TERESA</t>
  </si>
  <si>
    <t>BEATY, NEIL</t>
  </si>
  <si>
    <t>YOUNG, WADE &amp; KELLY</t>
  </si>
  <si>
    <t>SCHLEUTER, CHRIS A</t>
  </si>
  <si>
    <t>SZYMANSKI, HELEN M</t>
  </si>
  <si>
    <t>PINNS, DOUGLAS &amp; MARGO</t>
  </si>
  <si>
    <t>NELSON, EMILY B</t>
  </si>
  <si>
    <t>LANZARA, ANTHONY &amp; E</t>
  </si>
  <si>
    <t>KUCH, JAMES &amp; SELENA</t>
  </si>
  <si>
    <t>MC ILROY, PATRICIA A</t>
  </si>
  <si>
    <t>ELLIOTT, DANIEL &amp; DIANE</t>
  </si>
  <si>
    <t>BAKER, STEPHEN &amp; JENNIFER</t>
  </si>
  <si>
    <t>BRODECKI, JOSEPH A</t>
  </si>
  <si>
    <t>MCALLISTER, DOUGLASS &amp; V</t>
  </si>
  <si>
    <t>TONER, ROBERT</t>
  </si>
  <si>
    <t>JENNINGS, ROBERT &amp; DIANA</t>
  </si>
  <si>
    <t>OCHWAT, KIMBERLE D</t>
  </si>
  <si>
    <t>CRANE, PHILLIP MARK</t>
  </si>
  <si>
    <t>DARNELL, GAIL</t>
  </si>
  <si>
    <t>ROAT, REBECCA A</t>
  </si>
  <si>
    <t>PECK, LUCAS &amp; SAMANTHA</t>
  </si>
  <si>
    <t>MOORE, MATT</t>
  </si>
  <si>
    <t>GILL, M &amp; H MICHAELS</t>
  </si>
  <si>
    <t>RIORDAN, CORNELIUS</t>
  </si>
  <si>
    <t>ZAMILI INC</t>
  </si>
  <si>
    <t>PURCELL, MARGARET ANN</t>
  </si>
  <si>
    <t>SZR WILLOWBROOK ANNEX</t>
  </si>
  <si>
    <t>O BRIEN III, THOMAS &amp; W</t>
  </si>
  <si>
    <t>SILVA, BERTA M</t>
  </si>
  <si>
    <t>HARRIS, CHRISTOPHER &amp; C</t>
  </si>
  <si>
    <t>JATCZAK, DAVID &amp; JOAN</t>
  </si>
  <si>
    <t>KEGALY, MARGARET L</t>
  </si>
  <si>
    <t>CHEN, LIHAO &amp; YUNQIAN YAN</t>
  </si>
  <si>
    <t>KESWANI, ABDULHAMID &amp; O</t>
  </si>
  <si>
    <t>SALACH, GREGORY &amp; G</t>
  </si>
  <si>
    <t>NASH, JAMES J</t>
  </si>
  <si>
    <t>PAGNANO, GAYLE &amp;A CAPOSTO</t>
  </si>
  <si>
    <t>STANG, DAVID &amp; EILEEN</t>
  </si>
  <si>
    <t>CTLTC 8002382702</t>
  </si>
  <si>
    <t>GUETTER, ROBERT</t>
  </si>
  <si>
    <t>COX, SUSAN M</t>
  </si>
  <si>
    <t>DI CIOLLA, MICHAEL &amp; D</t>
  </si>
  <si>
    <t>ATASSI, MUFIDAH</t>
  </si>
  <si>
    <t>BANNON, JOHN &amp; ELIZABETH</t>
  </si>
  <si>
    <t>KIPPIS PROPERTIES LLC</t>
  </si>
  <si>
    <t>ATASSI, SALAM &amp; GHAZEL</t>
  </si>
  <si>
    <t>GASPARAC, MARY ANN</t>
  </si>
  <si>
    <t>SHENG, RONGQIN &amp; B HUANG</t>
  </si>
  <si>
    <t>ALHARASH, JIHAD &amp; IRENE K</t>
  </si>
  <si>
    <t>WALLENS, MARY</t>
  </si>
  <si>
    <t>SHAMSAI, ROOHANGUIZ</t>
  </si>
  <si>
    <t>BUSHAW, JEFFREY A</t>
  </si>
  <si>
    <t>GOSLAWSKI, PHILLIP S</t>
  </si>
  <si>
    <t>PYTEL, FRANK &amp; KAREN</t>
  </si>
  <si>
    <t>MEHTA, PRASHANT &amp; SHAILJA</t>
  </si>
  <si>
    <t>WONG, PHIL WEKONG &amp; PIMEI</t>
  </si>
  <si>
    <t>SYED, AHAD &amp; SADAF</t>
  </si>
  <si>
    <t>ROG JR, STANLEY &amp; MARISSA</t>
  </si>
  <si>
    <t>LEE, SHIN HO</t>
  </si>
  <si>
    <t>COLLINS, LAWRENCE &amp; KAREN</t>
  </si>
  <si>
    <t>LEAL BARRERA, CIRO ANDRES</t>
  </si>
  <si>
    <t>PATEL, TARAK</t>
  </si>
  <si>
    <t>BRIDGFORD, PAMELA J</t>
  </si>
  <si>
    <t>LIANG, RYAN &amp; HUI XIE</t>
  </si>
  <si>
    <t>LEONGSON, JO ANN MACAPAGA</t>
  </si>
  <si>
    <t>PAIK, JAY &amp; LINDA</t>
  </si>
  <si>
    <t>ATASSI, HADIA</t>
  </si>
  <si>
    <t>MASSARO, ELAINE M</t>
  </si>
  <si>
    <t>PAWELA, RICHARD &amp; SHIRLEY</t>
  </si>
  <si>
    <t>LEE, HONG &amp; SHUANG LIANG</t>
  </si>
  <si>
    <t>LIBERTAS SOLARIS LLC</t>
  </si>
  <si>
    <t>KONIECZNY, J &amp; A CHENG</t>
  </si>
  <si>
    <t>KLINE, JIM H</t>
  </si>
  <si>
    <t>MALONE, T BRIAN &amp; P</t>
  </si>
  <si>
    <t>JTM 3 LLC</t>
  </si>
  <si>
    <t>PANTOLA, SANDRA J</t>
  </si>
  <si>
    <t>TRAN, NGUYEN &amp; KHANH</t>
  </si>
  <si>
    <t>ROTH, BRADFORD &amp; MARY</t>
  </si>
  <si>
    <t>SANTARELLI, MICHAEL &amp;</t>
  </si>
  <si>
    <t>BURK, JOHN T &amp; MARY A</t>
  </si>
  <si>
    <t>SIMON, STEVEN &amp; DEBRA</t>
  </si>
  <si>
    <t>SALEM CONSTRUCTION INC</t>
  </si>
  <si>
    <t>TROTTO, ANTHONY J &amp; JANE</t>
  </si>
  <si>
    <t>MELONE, MICHAEL D</t>
  </si>
  <si>
    <t>MARLLAS PROPERTIES LLC</t>
  </si>
  <si>
    <t>CHAVEZ, VEN</t>
  </si>
  <si>
    <t>SBR R E INVESTMENTS LLC</t>
  </si>
  <si>
    <t>265 VENTURE PARTNERS LLC</t>
  </si>
  <si>
    <t>SBR R E INVESMENTS LLC</t>
  </si>
  <si>
    <t>CHAVADIYIL, R &amp;M PURATHUR</t>
  </si>
  <si>
    <t>CORREIA, CORINNA</t>
  </si>
  <si>
    <t>PIZZOFERRATO, GEORGIA</t>
  </si>
  <si>
    <t>RAIMONDI, FILOMENA</t>
  </si>
  <si>
    <t>SOKOLEWICZ FAMILY TRUST</t>
  </si>
  <si>
    <t>BERARDI, ROSALIE J</t>
  </si>
  <si>
    <t>WROBEL, PATRYCJUSZ</t>
  </si>
  <si>
    <t>COSTA, ROBERT &amp; MARIANNE</t>
  </si>
  <si>
    <t>LARSON, CHRIS D</t>
  </si>
  <si>
    <t>RODRIGUEZ, VICTOR &amp; A</t>
  </si>
  <si>
    <t>NATAN CRUZ, CLAUDEN</t>
  </si>
  <si>
    <t>SOBARNIA, KRZYSZTOF</t>
  </si>
  <si>
    <t>CHELLBELLA INC</t>
  </si>
  <si>
    <t>KASTNER, PATRICE A</t>
  </si>
  <si>
    <t>GARCIA, L &amp; H CAMACHO</t>
  </si>
  <si>
    <t>OSTBERG, COLIN &amp; JENNY</t>
  </si>
  <si>
    <t>GILLAM, MICHAEL &amp; RAGEN</t>
  </si>
  <si>
    <t>MORGAN, JOHN F</t>
  </si>
  <si>
    <t>CASTENSON, DREW &amp; MARIA P</t>
  </si>
  <si>
    <t>LOPEZ, DANNY J</t>
  </si>
  <si>
    <t>SHAVER, DILLON</t>
  </si>
  <si>
    <t>ABDELMALAK, M &amp; M WAHBA</t>
  </si>
  <si>
    <t>SPENCER, PAUL</t>
  </si>
  <si>
    <t>BONDI, JAMES O</t>
  </si>
  <si>
    <t>LEWANDOWSKI, STEVEN &amp; JEN</t>
  </si>
  <si>
    <t>KETT, TRESSA S</t>
  </si>
  <si>
    <t>HAMILTON, JUSTIN</t>
  </si>
  <si>
    <t>KOZIC, NIKOLA</t>
  </si>
  <si>
    <t>MALONE, DARRICK &amp; GREGORY</t>
  </si>
  <si>
    <t>EROGLU, FATIH</t>
  </si>
  <si>
    <t>MOY, THOMAS S</t>
  </si>
  <si>
    <t>PANDOLA, LAURA M</t>
  </si>
  <si>
    <t>SWANSON, TROY</t>
  </si>
  <si>
    <t>EWING, THOMAS F</t>
  </si>
  <si>
    <t>MORMAN, GEOFFREY A &amp; J E</t>
  </si>
  <si>
    <t>BOAK, FREDERICK &amp; CAROL</t>
  </si>
  <si>
    <t>VARGHESE, SIJO</t>
  </si>
  <si>
    <t>SALINAS, DAVID &amp; C</t>
  </si>
  <si>
    <t>RENCHIN, CORY &amp; E M</t>
  </si>
  <si>
    <t>HANSEN, MICHAEL &amp; RENEE</t>
  </si>
  <si>
    <t>SAMEL, MARK &amp; PATRICIA</t>
  </si>
  <si>
    <t>BROYLES, RYAN</t>
  </si>
  <si>
    <t>LUEVANO, MANUEL J &amp; M L</t>
  </si>
  <si>
    <t>WALSH JR, JOHN &amp; KIM</t>
  </si>
  <si>
    <t>ROTH, THOMAS &amp; CHRISTINE</t>
  </si>
  <si>
    <t>MABUS, JOHN &amp; ELISA</t>
  </si>
  <si>
    <t>JONES FAMILY TRUST</t>
  </si>
  <si>
    <t>TIPTON, R &amp; A HARRIS</t>
  </si>
  <si>
    <t>THILAGAM, KANTHYRAJ</t>
  </si>
  <si>
    <t>BARTKEVICIUS, VALDIS</t>
  </si>
  <si>
    <t>POWERS, EDWARD W &amp; ANN M</t>
  </si>
  <si>
    <t>KECELI, MURAT</t>
  </si>
  <si>
    <t>ANTONACCI, ANDREW P &amp; M M</t>
  </si>
  <si>
    <t>DINKEL, JOSEPH &amp; STEPHANI</t>
  </si>
  <si>
    <t>PUNCHES, MICHAEL &amp; L</t>
  </si>
  <si>
    <t>AHMED, AFIA</t>
  </si>
  <si>
    <t>PARIKH, BIPIN R &amp; HANSA B</t>
  </si>
  <si>
    <t>FORD, JOHN T</t>
  </si>
  <si>
    <t>MOSCINSKI, ROY</t>
  </si>
  <si>
    <t>MC COLLOM, PATRICIA</t>
  </si>
  <si>
    <t>CHASE, JOHN &amp; KRISTIN</t>
  </si>
  <si>
    <t>CUYA, ROGELIO</t>
  </si>
  <si>
    <t>HOCKEMEYER, KRISTIN</t>
  </si>
  <si>
    <t>DUTCHER, JENNIFER M</t>
  </si>
  <si>
    <t>VALLERA, RYAN &amp; ANGELA</t>
  </si>
  <si>
    <t>MORAN, SUSAN &amp; GARRETT</t>
  </si>
  <si>
    <t>EWANIC, PENELOPE</t>
  </si>
  <si>
    <t>ZAGARIYA, ALEX &amp; ELENA</t>
  </si>
  <si>
    <t>MARCINKOWSKI, DAVID &amp; R M</t>
  </si>
  <si>
    <t>RAWAILLOT, MICHAEL &amp; D A</t>
  </si>
  <si>
    <t>FRUSCIONE, RICHARD &amp; N</t>
  </si>
  <si>
    <t>LARSEN, ERIC &amp; CARRIE</t>
  </si>
  <si>
    <t>DOVZHYK, I &amp; V SANDULIAK</t>
  </si>
  <si>
    <t>MEJDRECH, DANIEL &amp; JENNIF</t>
  </si>
  <si>
    <t>BARREA, CRISTIAN &amp; SHANNO</t>
  </si>
  <si>
    <t>DELGADO, ARTURO &amp; RUTH</t>
  </si>
  <si>
    <t>KIM, SUNG</t>
  </si>
  <si>
    <t>PERKINS, ANTHONY</t>
  </si>
  <si>
    <t>ESCOTO, AMOR &amp; FE</t>
  </si>
  <si>
    <t>SHAH, BRIJESH &amp; NEHAL</t>
  </si>
  <si>
    <t>MATHEW, REJI T</t>
  </si>
  <si>
    <t>PHAM, KIMCHAU</t>
  </si>
  <si>
    <t>HARDY, GILBERT L &amp; JANET</t>
  </si>
  <si>
    <t>MC COMBS RICHARD</t>
  </si>
  <si>
    <t>PATHAK TR, BINDU KUMARI</t>
  </si>
  <si>
    <t>HOGAN, SUSAN A</t>
  </si>
  <si>
    <t>SHAH TR, BHUPENDRA S</t>
  </si>
  <si>
    <t>NWANZE, NNAMDI &amp; SYLVIA</t>
  </si>
  <si>
    <t>KANDAKUDY, TONY &amp; TRESSY</t>
  </si>
  <si>
    <t>SCHMITT, SCOTT M</t>
  </si>
  <si>
    <t>MATHEW, LIBI</t>
  </si>
  <si>
    <t>BRANA, DAVID</t>
  </si>
  <si>
    <t>MARTINO, LOUIS &amp; CAROL</t>
  </si>
  <si>
    <t>CLIFTON, KYLE W</t>
  </si>
  <si>
    <t>KURDI, NASER &amp; FATIMA</t>
  </si>
  <si>
    <t>SUHAYDA, JOSEPH Z</t>
  </si>
  <si>
    <t>SHAH, NIKHIL &amp; BINDI</t>
  </si>
  <si>
    <t>LANDESMAN, E &amp; Y KIM</t>
  </si>
  <si>
    <t>LUTHER, C &amp; M BROAD</t>
  </si>
  <si>
    <t>SHETTY, RAMA P &amp; NEENA R</t>
  </si>
  <si>
    <t>PAIM, ROSANE SAMURIO</t>
  </si>
  <si>
    <t>MENDOZA, NOLI R</t>
  </si>
  <si>
    <t>ZIMBRICH, M &amp; P BARAJAS</t>
  </si>
  <si>
    <t>STOCK, WILLIAM O &amp; LESLEY</t>
  </si>
  <si>
    <t>KADAKIA, GIRISH &amp; TRUPTI</t>
  </si>
  <si>
    <t>KLINE, DANIEL &amp; RUTH</t>
  </si>
  <si>
    <t>LIAO, CHING SHIH &amp; LI LIN</t>
  </si>
  <si>
    <t>SINGH, YASHPAL &amp; ANITA</t>
  </si>
  <si>
    <t>DATO, GIANFRANCO</t>
  </si>
  <si>
    <t>SOBOTKA, BRUCE &amp; SUSAN</t>
  </si>
  <si>
    <t>LEMON JR, WM J &amp; ROBERTA</t>
  </si>
  <si>
    <t>2632 BERN CT TRUST</t>
  </si>
  <si>
    <t>KUCHAR, LESTER D</t>
  </si>
  <si>
    <t>HERRES, SHAUN &amp; EDEN</t>
  </si>
  <si>
    <t>NEARY, JOHN C &amp; PATRICIA</t>
  </si>
  <si>
    <t>MARTIN, JEFFREY &amp; E BUCK</t>
  </si>
  <si>
    <t>URGELLO, LILIBETH &amp; A</t>
  </si>
  <si>
    <t>CIENIAWA, DAVID A</t>
  </si>
  <si>
    <t>VINH, H &amp; L MARQUEZ</t>
  </si>
  <si>
    <t>ZEDNICK, STEVEN B</t>
  </si>
  <si>
    <t>MOLZAHN, KIRK E &amp; NANCY M</t>
  </si>
  <si>
    <t>RZEPKA, KATHLEEN</t>
  </si>
  <si>
    <t>KHARAT, MANDAR &amp; SUMEDHA</t>
  </si>
  <si>
    <t>BRIGGS, DAVID &amp; LYNETTE</t>
  </si>
  <si>
    <t>MICIUNAS, DANIEL &amp; SHAUNA</t>
  </si>
  <si>
    <t>HUNT, JERRY &amp; NADINE</t>
  </si>
  <si>
    <t>PATACSIL, GERARDO &amp; MARIA</t>
  </si>
  <si>
    <t>MERRITT SR, KENNETH J</t>
  </si>
  <si>
    <t>LYNN, M &amp; C COKINIS</t>
  </si>
  <si>
    <t>PANCHAL, MAHENDRA &amp; USHA</t>
  </si>
  <si>
    <t>MASTANDREA, F A &amp; A W</t>
  </si>
  <si>
    <t>SCHEFFER, TODD &amp; JULIE</t>
  </si>
  <si>
    <t>MAZZARELLA, NICK &amp; MARY</t>
  </si>
  <si>
    <t>MOHAMMED  F  HUSSAIN</t>
  </si>
  <si>
    <t>FREDETTE, JEREMY &amp; S</t>
  </si>
  <si>
    <t>GONZALEZ, GREGORIO</t>
  </si>
  <si>
    <t>GROVER, ANSHU</t>
  </si>
  <si>
    <t>NACHMAN, JOHN &amp; REBECCA</t>
  </si>
  <si>
    <t>GORDON, BARBARA</t>
  </si>
  <si>
    <t>THOMAS, JASON C</t>
  </si>
  <si>
    <t>COLELLA, KEVIN &amp; KATHLEEN</t>
  </si>
  <si>
    <t>PEREZ, ARTURO</t>
  </si>
  <si>
    <t>ANMANLU, SRINIVAS &amp; DASAR</t>
  </si>
  <si>
    <t>KEHOE, ANDREW &amp; RONENE</t>
  </si>
  <si>
    <t>MORKEVICIUS, EGIDIJUS</t>
  </si>
  <si>
    <t>MATLOCK, JAMES A &amp; HOLLY</t>
  </si>
  <si>
    <t>SHAH, NIRODH</t>
  </si>
  <si>
    <t>TRIVEDI, JAGDISH</t>
  </si>
  <si>
    <t>LTC 008002388239</t>
  </si>
  <si>
    <t>NOLFI, ERIKA N</t>
  </si>
  <si>
    <t>RAUSCH, LEONARD A</t>
  </si>
  <si>
    <t>THATCHER, JAMES R</t>
  </si>
  <si>
    <t>WHITE, FRANCES J  TR</t>
  </si>
  <si>
    <t>LTC MDD98-034</t>
  </si>
  <si>
    <t>SPAGNOLO, RONALD</t>
  </si>
  <si>
    <t>KHELLA, EMAD &amp; SHEREEN EL</t>
  </si>
  <si>
    <t>WANG, YONG &amp; HUI GUO</t>
  </si>
  <si>
    <t>MUTHALALY, G &amp; M GEORGE</t>
  </si>
  <si>
    <t>SALERNO, SCOTT</t>
  </si>
  <si>
    <t>VINCENT, BRIAN</t>
  </si>
  <si>
    <t>RAUCH, DAVID &amp; KAREN</t>
  </si>
  <si>
    <t>KMIOTEK JR, THEODORE &amp; M</t>
  </si>
  <si>
    <t>CECCHINI, FRANCO &amp; TINA</t>
  </si>
  <si>
    <t>FAZIO, TOM &amp; ELLEN</t>
  </si>
  <si>
    <t>WASH, MATTHEW</t>
  </si>
  <si>
    <t>JOHNSON, GINGER TODD</t>
  </si>
  <si>
    <t>WOODS, RICHARD</t>
  </si>
  <si>
    <t>VARGEESE, JOS &amp; JAYA</t>
  </si>
  <si>
    <t>MORRISSEY, KEVIN &amp; C</t>
  </si>
  <si>
    <t>PEBOONTOM, WEBOON</t>
  </si>
  <si>
    <t>MOTT, CASEY &amp; HANNAH</t>
  </si>
  <si>
    <t>AUSTIN, CHRIS &amp; BETH TR</t>
  </si>
  <si>
    <t>ABROMAITIS, MICHAEL</t>
  </si>
  <si>
    <t>KIDSTON, RICHARD &amp; G</t>
  </si>
  <si>
    <t>PHILIP, VARUGHESE</t>
  </si>
  <si>
    <t>LIN, CHAO-NAN &amp; MEI-YING</t>
  </si>
  <si>
    <t>LOWN, JORDON &amp; MOLLY</t>
  </si>
  <si>
    <t>SALDINA, DELFIN &amp; JULIETA</t>
  </si>
  <si>
    <t>GONZALEZ, HUMBERTO</t>
  </si>
  <si>
    <t>LEE, TSUNG SHUNG &amp; C</t>
  </si>
  <si>
    <t>MORENO, M &amp; M FRANCO</t>
  </si>
  <si>
    <t>THATCHER, A &amp; T ANGELO</t>
  </si>
  <si>
    <t>JAMBROSEK, GUY &amp; SARAH</t>
  </si>
  <si>
    <t>BLOOD, HARRY D &amp; BARBARA</t>
  </si>
  <si>
    <t>MURPHY, CHRISTOPHER &amp; W</t>
  </si>
  <si>
    <t>ORONA, ANTHONY &amp; S</t>
  </si>
  <si>
    <t>WELLS, A &amp; J COBURN</t>
  </si>
  <si>
    <t>MILLER, JEFFREY</t>
  </si>
  <si>
    <t>MILOS, KEVIN</t>
  </si>
  <si>
    <t>VENOUZIOU, SAMUEL</t>
  </si>
  <si>
    <t>WILLS, PAULA &amp; RAYMOND</t>
  </si>
  <si>
    <t>DRAKE, BRUCE A &amp; PAULA M</t>
  </si>
  <si>
    <t>TALSANIA, KIRTIKUMAR P</t>
  </si>
  <si>
    <t>GARDLEY, RANDON &amp; TIFFANY</t>
  </si>
  <si>
    <t>ROSE, WILLIAM &amp; ALLISON</t>
  </si>
  <si>
    <t>KREZEL, MICHAEL &amp; DANA M</t>
  </si>
  <si>
    <t>BHATT, SATISH PUSHPA</t>
  </si>
  <si>
    <t>AWAD, HANI &amp; MAGI</t>
  </si>
  <si>
    <t>JOSEPH, JOSHY &amp; ROSALINE</t>
  </si>
  <si>
    <t>ROCHA, CHRIS &amp; M BARAJAS</t>
  </si>
  <si>
    <t>KIRBY, WILLIAM</t>
  </si>
  <si>
    <t>GRIFFIN, RAYMOND G</t>
  </si>
  <si>
    <t>LEIDECKER, CHRISTOPHER &amp;</t>
  </si>
  <si>
    <t>TIERNEY, THOMAS &amp; CARON</t>
  </si>
  <si>
    <t>GHAZALEH, NASSER A</t>
  </si>
  <si>
    <t>GORSKI, MARTIN &amp; CARLY EV</t>
  </si>
  <si>
    <t>BUONAMICI, CURT &amp; M MARKS</t>
  </si>
  <si>
    <t>ABEL, KAREN L</t>
  </si>
  <si>
    <t>MC VICAR, DAVID W &amp; C</t>
  </si>
  <si>
    <t>WILSON JR, DONALD J</t>
  </si>
  <si>
    <t>LO, BESSIE</t>
  </si>
  <si>
    <t>JOYCE, PETER J &amp; MARY M</t>
  </si>
  <si>
    <t>FATORA, PAUL M &amp;CAROL ANN</t>
  </si>
  <si>
    <t>ENRIGHT, TIMOTHY J &amp;DONNA</t>
  </si>
  <si>
    <t>KASPRZYCKI, EDWARD &amp; MARY</t>
  </si>
  <si>
    <t>OPOKA, JAMES &amp; JOAN</t>
  </si>
  <si>
    <t>IEREMIA, CHARLY &amp; REID</t>
  </si>
  <si>
    <t>IMRISEK, JASON</t>
  </si>
  <si>
    <t>GASPAR, JEFFREY</t>
  </si>
  <si>
    <t>HOUDA, THOMAS</t>
  </si>
  <si>
    <t>KLEIN, CHRISTOPHER &amp; J</t>
  </si>
  <si>
    <t>ALLARD, CHRISTINE M</t>
  </si>
  <si>
    <t>MAMOOTTILE, SANTHOSH T</t>
  </si>
  <si>
    <t>MOLINA, CELSO &amp; CHRISTINA</t>
  </si>
  <si>
    <t>MATTA, I &amp; A KRISTOF</t>
  </si>
  <si>
    <t>BEIERWALTES, PAUL &amp; MELIS</t>
  </si>
  <si>
    <t>MIAO, KELLEY</t>
  </si>
  <si>
    <t>DELESIO, JAMES &amp; NADINE</t>
  </si>
  <si>
    <t>LENHARD, SHARYL L</t>
  </si>
  <si>
    <t>CASTILLO, ADOLFO &amp; H</t>
  </si>
  <si>
    <t>WILLIAM, SAMUEL &amp; ANDREA</t>
  </si>
  <si>
    <t>ANGELO, BARBARA</t>
  </si>
  <si>
    <t>CHAVLA, GURMEET &amp; H</t>
  </si>
  <si>
    <t>JHOBALIA, SUNIL &amp; DINA</t>
  </si>
  <si>
    <t>ELLIS PROPERTY HOLDINGS</t>
  </si>
  <si>
    <t>BLACK, MICHAEL &amp; JENNIFER</t>
  </si>
  <si>
    <t>BECKWITH, CANDACE</t>
  </si>
  <si>
    <t>ZEKIRI, SADIN &amp; AZBL &amp; S</t>
  </si>
  <si>
    <t>WERNER, MICHAEL &amp; APRIL</t>
  </si>
  <si>
    <t>HARGREAVES, GLENNA</t>
  </si>
  <si>
    <t>LODHI, ELIZABETH</t>
  </si>
  <si>
    <t>PINELLI, ARTHUR &amp; P A</t>
  </si>
  <si>
    <t>FULLERTON, TIMOTHY T</t>
  </si>
  <si>
    <t>SPISAK, STEVEN J &amp; LORI M</t>
  </si>
  <si>
    <t>HARRIS JR, ARCHIBALD</t>
  </si>
  <si>
    <t>PETSCHINSKY, MARY &amp; J</t>
  </si>
  <si>
    <t>WHITMAN, ELLEN</t>
  </si>
  <si>
    <t>BLEAU, TERRANCE T</t>
  </si>
  <si>
    <t>ZIPPER, MAXIMO &amp; A ZURBRI</t>
  </si>
  <si>
    <t>GURYN, TIMOTHY &amp; KRISTINA</t>
  </si>
  <si>
    <t>LEDENBACH, LIBBI &amp; KEVIN</t>
  </si>
  <si>
    <t>MORRISON, EDWARD &amp; KAREN</t>
  </si>
  <si>
    <t>SKRYPKUN, VILAI</t>
  </si>
  <si>
    <t>GUPANA, ERNEST &amp; TERESITA</t>
  </si>
  <si>
    <t>GUILLEM, ROBERT W</t>
  </si>
  <si>
    <t>LEE, WAN KYU &amp; KUNJA</t>
  </si>
  <si>
    <t>DE LOS SANTOS, OSCAR &amp; M</t>
  </si>
  <si>
    <t>MORALES, NICHOLAS</t>
  </si>
  <si>
    <t>TSAI, YING MEY LIN &amp; ANN</t>
  </si>
  <si>
    <t>LARSEN, JOHN H &amp; LYNN M</t>
  </si>
  <si>
    <t>DARIAN, PATRICK</t>
  </si>
  <si>
    <t>ROCHELLE N ROCHELLE LLC</t>
  </si>
  <si>
    <t>CHENG, GIN &amp; WEN</t>
  </si>
  <si>
    <t>PANEK, BRIAN &amp; RENITA</t>
  </si>
  <si>
    <t>SPENCER, GIANNINA</t>
  </si>
  <si>
    <t>KOWALCZYK, RICHARD R</t>
  </si>
  <si>
    <t>LAMS, STEVEN</t>
  </si>
  <si>
    <t>JONENAS, R &amp; K GUDONYTE</t>
  </si>
  <si>
    <t>PALMA, SARA</t>
  </si>
  <si>
    <t>NEWMAN, BARRY &amp; LINDA</t>
  </si>
  <si>
    <t>OBRETENOV, OBRETEN &amp; M</t>
  </si>
  <si>
    <t>TANHUECO, VERENA M</t>
  </si>
  <si>
    <t>WIND, ANDREW J</t>
  </si>
  <si>
    <t>APGAR, ERIC</t>
  </si>
  <si>
    <t>LACPLESIS, KRISTINA</t>
  </si>
  <si>
    <t>KEMMERLING III, DONALD R</t>
  </si>
  <si>
    <t>GRONSKI, ROBERT &amp; NATALIE</t>
  </si>
  <si>
    <t>BUSCEMI, RACHEL</t>
  </si>
  <si>
    <t>TERESAS, PAULIUS</t>
  </si>
  <si>
    <t>KROK, MICHAEL &amp; MARY</t>
  </si>
  <si>
    <t>ANDERSON, DAVID &amp; AMY</t>
  </si>
  <si>
    <t>RUGGIERO, M &amp; J KONICEK</t>
  </si>
  <si>
    <t>HEGGIE, CHRISTOPHER D</t>
  </si>
  <si>
    <t>HEMEWAY, WAYNE &amp; TRINA</t>
  </si>
  <si>
    <t>CHANDNA, KUNAL &amp; RIDDHI</t>
  </si>
  <si>
    <t>VANOMY, STUART &amp; JULIE</t>
  </si>
  <si>
    <t>ERMITAGE, MICHAEL &amp; JILL</t>
  </si>
  <si>
    <t>ANTONOFF, MARK &amp; SANDRA</t>
  </si>
  <si>
    <t>ONG, BRIAN &amp; J PINKERTON</t>
  </si>
  <si>
    <t>HUGHES, RUTH</t>
  </si>
  <si>
    <t>EL ZABET, MAGED &amp; AMAL</t>
  </si>
  <si>
    <t>MILESKI, JUDITH E</t>
  </si>
  <si>
    <t>HOLTROP, JEFFREY C</t>
  </si>
  <si>
    <t>FRANKS, BRIAN J</t>
  </si>
  <si>
    <t>MIRMIRA, RAMARAO &amp;J TRUST</t>
  </si>
  <si>
    <t>SAPARITO, ANGELA</t>
  </si>
  <si>
    <t>BACA, NICOLAS A</t>
  </si>
  <si>
    <t>FOSTER, ROBT &amp; CAROL</t>
  </si>
  <si>
    <t>BUSH, JENNIFER &amp; MARIO DI</t>
  </si>
  <si>
    <t>GEORGE, SARA</t>
  </si>
  <si>
    <t>BEHME, TODD J</t>
  </si>
  <si>
    <t>CAMPBELL, WALTER &amp; K</t>
  </si>
  <si>
    <t>ROCCO, MATTHEW J</t>
  </si>
  <si>
    <t>MELENDEZ, V &amp; MELISSA</t>
  </si>
  <si>
    <t>KIM, JIN HO &amp; SOON JA</t>
  </si>
  <si>
    <t>RUGGERIO, SALVATORE &amp; MAR</t>
  </si>
  <si>
    <t>RISZKO, AMANDA &amp; WILLIAM</t>
  </si>
  <si>
    <t>LIPINSKI, JAMES &amp; AMY</t>
  </si>
  <si>
    <t>SHEETZ, THOMAS W &amp; SUSAN</t>
  </si>
  <si>
    <t>ECKARDT, HERBERT</t>
  </si>
  <si>
    <t>CHIROS, JOHN &amp; DEANNA</t>
  </si>
  <si>
    <t>FLEGEL, ROY E &amp; TERESA B</t>
  </si>
  <si>
    <t>FERNANDEZ, EDUARDO</t>
  </si>
  <si>
    <t>ALDWORTH, ALAN &amp; AMY</t>
  </si>
  <si>
    <t>CAUNCA, EULALIO &amp; ESTER</t>
  </si>
  <si>
    <t>DEMETZENSKY, DOROTHY</t>
  </si>
  <si>
    <t>US MANAGEMENT GROUP LLC</t>
  </si>
  <si>
    <t>ENGEL, MARK &amp; TINA</t>
  </si>
  <si>
    <t>ELLIOTT, LINDSEY</t>
  </si>
  <si>
    <t>MONTOYA, DAVID &amp; LORENA</t>
  </si>
  <si>
    <t>LYERLY FAMILY TRUST</t>
  </si>
  <si>
    <t>BAXTER TR, SARAH J</t>
  </si>
  <si>
    <t>LOVE, KATHLEEN M</t>
  </si>
  <si>
    <t>DUTLER, SANDRA J TR</t>
  </si>
  <si>
    <t>CHADIEV, ZORAN &amp; A</t>
  </si>
  <si>
    <t>GALVIN, JOHN &amp; KATHLEEN</t>
  </si>
  <si>
    <t>ULASZEK, MARIANNE</t>
  </si>
  <si>
    <t>OCHANEY, GUL</t>
  </si>
  <si>
    <t>ABRAHAM, THOMAS</t>
  </si>
  <si>
    <t>VOGEL, ARTHUR &amp; BARBARA</t>
  </si>
  <si>
    <t>KUECKER, ANDREW &amp; MELANIE</t>
  </si>
  <si>
    <t>WEISS, DANIEL J &amp; JODY L</t>
  </si>
  <si>
    <t>CALDWELL TTEE, WAYNE D</t>
  </si>
  <si>
    <t>WIGGINS, RYAN</t>
  </si>
  <si>
    <t>ROBERTS, ANTHONY &amp; ETTA</t>
  </si>
  <si>
    <t>JENSEN, KEVIN</t>
  </si>
  <si>
    <t>BASILIOUS, M &amp; M HOZAIEN</t>
  </si>
  <si>
    <t>GLISSON, DANIEL</t>
  </si>
  <si>
    <t>KULAGA, B &amp; ERIN GIETMAN</t>
  </si>
  <si>
    <t>GUTSHALL, LEIGH</t>
  </si>
  <si>
    <t>TRIVEDI, MADHU &amp; HIMAXI</t>
  </si>
  <si>
    <t>CASTRO, STEVEN &amp; RHIANNON</t>
  </si>
  <si>
    <t>TROTTA, PATRICK &amp; J</t>
  </si>
  <si>
    <t>WILLOUGHBY, JERRY &amp; KATEL</t>
  </si>
  <si>
    <t>CONNORS, WILLIAM F &amp; B A</t>
  </si>
  <si>
    <t>PREKWAS, JEFFREY &amp;REBECCA</t>
  </si>
  <si>
    <t>MORRIS, ALAN P</t>
  </si>
  <si>
    <t>YIESLA, SHARON A</t>
  </si>
  <si>
    <t>CUNNINGHAM, TREVOR &amp; JESS</t>
  </si>
  <si>
    <t>RICE, ANTONIO</t>
  </si>
  <si>
    <t>MATHEWS, ASHIL &amp; SHERYL</t>
  </si>
  <si>
    <t>MUGNAINI, RICO &amp; DORIS</t>
  </si>
  <si>
    <t>BODE, ROBERT J &amp; SHARON K</t>
  </si>
  <si>
    <t>ROSSMAN, JOHN W</t>
  </si>
  <si>
    <t>CHUKAS, CHRISTOPHER J</t>
  </si>
  <si>
    <t>STRISKA, JAMES &amp; KARI</t>
  </si>
  <si>
    <t>HAVRILLA, JEANINE</t>
  </si>
  <si>
    <t>GUERRERO, ERIN</t>
  </si>
  <si>
    <t>SHAH, HEMANT &amp; JAYSIKA</t>
  </si>
  <si>
    <t>INGRAM, DRUSILLA D</t>
  </si>
  <si>
    <t>HAKIM, NAGY S</t>
  </si>
  <si>
    <t>BURBEY, MATTHEW &amp; JANET</t>
  </si>
  <si>
    <t>LUCKY REAL EST MANAGEMENT</t>
  </si>
  <si>
    <t>LEE, E &amp; C SMITH</t>
  </si>
  <si>
    <t>JOHNSON, LUCAS &amp; DELILAH</t>
  </si>
  <si>
    <t>KAUR, GURWINDER &amp; G SINGH</t>
  </si>
  <si>
    <t>KIZIOR, MARY &amp; LAURA</t>
  </si>
  <si>
    <t>BARON, JEFFREY</t>
  </si>
  <si>
    <t>RISKUS, JENNIFER &amp; J</t>
  </si>
  <si>
    <t>ZALDIVAR, DERIAN</t>
  </si>
  <si>
    <t>RIVERA, DAVID</t>
  </si>
  <si>
    <t>GRAF, BARBARA</t>
  </si>
  <si>
    <t>SCHWARZ, DONALD &amp; BETH</t>
  </si>
  <si>
    <t>GEORGE, A &amp; W LOPEZ</t>
  </si>
  <si>
    <t>LEPSI, DIANE</t>
  </si>
  <si>
    <t>EAGEN, STACY</t>
  </si>
  <si>
    <t>ORTIZ, SAMUEL &amp; TERESA</t>
  </si>
  <si>
    <t>MENDEZ, JOSE A</t>
  </si>
  <si>
    <t>WOODRIDGE PROPERTY MGMT L</t>
  </si>
  <si>
    <t>LOVEJOY, JAMES &amp; JANET</t>
  </si>
  <si>
    <t>BEGITSCHKE, DAVID &amp; SARA</t>
  </si>
  <si>
    <t>LUSTYK, RYAN &amp; JESSICA</t>
  </si>
  <si>
    <t>ZEMANOVA, LINDA</t>
  </si>
  <si>
    <t>TORRES, STACY &amp; EMIL</t>
  </si>
  <si>
    <t>HARRIS, VANN &amp; BARBARA</t>
  </si>
  <si>
    <t>FULTON, JULIE A &amp; ROBERT</t>
  </si>
  <si>
    <t>TUMMALA, P &amp; C NEMCHAUSKY</t>
  </si>
  <si>
    <t>DEVARAJ, SURESH &amp; GLADYS</t>
  </si>
  <si>
    <t>RYSER, RACHELLE R</t>
  </si>
  <si>
    <t>VASILI, I &amp; V SAVOPOULOS</t>
  </si>
  <si>
    <t>BLANDA, ANTHONY E</t>
  </si>
  <si>
    <t>ALVAREZ, JOSE L</t>
  </si>
  <si>
    <t>SCHAMBACH, JENSEN &amp; J</t>
  </si>
  <si>
    <t>FRANKLIN, JEFFREY &amp; DIXIE</t>
  </si>
  <si>
    <t>KAPSA, THOMAS &amp; GLORIA</t>
  </si>
  <si>
    <t>PEREZ, EPIFANIO&amp;MARGARITA</t>
  </si>
  <si>
    <t>BRIGMAN, SHAWN &amp; LINDA</t>
  </si>
  <si>
    <t>CTLTC TR #9002347168</t>
  </si>
  <si>
    <t>MUELLER, DREAMA M</t>
  </si>
  <si>
    <t>KISSANE, KEVIN</t>
  </si>
  <si>
    <t>AVILA, ELOY A</t>
  </si>
  <si>
    <t>STARKENBURG, LOGAN &amp; ERIK</t>
  </si>
  <si>
    <t>DREW, MATTHEW</t>
  </si>
  <si>
    <t>OSSEY, JAMES</t>
  </si>
  <si>
    <t>FALLAD, JORGE &amp; JUANA</t>
  </si>
  <si>
    <t>BLAZEK, GAIL</t>
  </si>
  <si>
    <t>WEHN, HELEN L</t>
  </si>
  <si>
    <t>WERICH, RAYMOND</t>
  </si>
  <si>
    <t>DILKOVSKI, BRANIMIR &amp; I</t>
  </si>
  <si>
    <t>RIVERA, STEPHEN &amp; ELLEN</t>
  </si>
  <si>
    <t>DWAN, RAY</t>
  </si>
  <si>
    <t>APARICIO, JESSE &amp; HELEN</t>
  </si>
  <si>
    <t>SCHMITH, ROGER &amp; B A</t>
  </si>
  <si>
    <t>CHRISTY, LINDA</t>
  </si>
  <si>
    <t>SASS, BRIAN &amp; REBECCA</t>
  </si>
  <si>
    <t>GUNDERSON, ROGER &amp; K A</t>
  </si>
  <si>
    <t>RIOS, FRANCISCO G</t>
  </si>
  <si>
    <t>VICTOR, DEAN</t>
  </si>
  <si>
    <t>GAETA, DANIEL &amp; SHARON</t>
  </si>
  <si>
    <t>BAHENA, JOSE L</t>
  </si>
  <si>
    <t>SMITH, MEGHAN M</t>
  </si>
  <si>
    <t>GAMBLE, MARC</t>
  </si>
  <si>
    <t>PETROV, OLEG &amp; GALINA</t>
  </si>
  <si>
    <t>MARTIN, LAURA J</t>
  </si>
  <si>
    <t>BAJZEK, MICHAEL &amp; N</t>
  </si>
  <si>
    <t>THOMPSON, KYLE &amp; ANNA</t>
  </si>
  <si>
    <t>BAGGOT, M &amp; K BERMAN</t>
  </si>
  <si>
    <t>SINGH, LAKHWINDER</t>
  </si>
  <si>
    <t>BODENSTAB, STEVEN &amp; T M</t>
  </si>
  <si>
    <t>RUSSELL, JOHN E &amp; SANDRA</t>
  </si>
  <si>
    <t>MOORE, MICHELE &amp; JACOB</t>
  </si>
  <si>
    <t>ROBBINS, MARY K</t>
  </si>
  <si>
    <t>HANRAHAN, MARC &amp; JEANNE</t>
  </si>
  <si>
    <t>LENOS, ZACHARY &amp; JENNIFER</t>
  </si>
  <si>
    <t>SCOTT, LORETTA H</t>
  </si>
  <si>
    <t>PINEDA, OLGA</t>
  </si>
  <si>
    <t>MOSS, SUSAN M</t>
  </si>
  <si>
    <t>KARNEFFEL, WESLEY &amp; WENDY</t>
  </si>
  <si>
    <t>BVEE PROPERTIES LLC 6636</t>
  </si>
  <si>
    <t>SANDACZ, JOHN</t>
  </si>
  <si>
    <t>MORGAN, REBECCA &amp; MATTHEW</t>
  </si>
  <si>
    <t>MENDEZ, PAULO &amp; VERONICA</t>
  </si>
  <si>
    <t>SOTO, RAYMOND R &amp; JANE M</t>
  </si>
  <si>
    <t>KREKELBERG, THOMAS &amp; MARY</t>
  </si>
  <si>
    <t>PERZYNA, D &amp; S SCHUETT</t>
  </si>
  <si>
    <t>BALDWIN, DUANE A</t>
  </si>
  <si>
    <t>SCHMITH, JEREMY &amp;BEATRICE</t>
  </si>
  <si>
    <t>JOHNSON, IAN D</t>
  </si>
  <si>
    <t>MENDOZA, ANTHONY &amp; PAMELA</t>
  </si>
  <si>
    <t>SCHEIER, THOMAS &amp; RENEE</t>
  </si>
  <si>
    <t>FELMLY, DANA M &amp; JAMES H</t>
  </si>
  <si>
    <t>AHMED, NAZNEEN &amp; VIQAR</t>
  </si>
  <si>
    <t>JOHNSON, PAUL B</t>
  </si>
  <si>
    <t>LANENGA, AMY</t>
  </si>
  <si>
    <t>HUBBARD, JOE</t>
  </si>
  <si>
    <t>GRIFFIN, MARY P</t>
  </si>
  <si>
    <t>MEYER, HELMUT &amp; ANA LIZA</t>
  </si>
  <si>
    <t>BARTASH, DEBORAH</t>
  </si>
  <si>
    <t>GUSTAFSON, NICHOLAS &amp; V</t>
  </si>
  <si>
    <t>LERNOR, LAWRENCE &amp; JUDITH</t>
  </si>
  <si>
    <t>RIEWER, M &amp; S DILLON</t>
  </si>
  <si>
    <t>WRZESINSKI, LORI A</t>
  </si>
  <si>
    <t>LEHMAN, DONALD R &amp; K A</t>
  </si>
  <si>
    <t>TOMICH, K &amp; M SCHRIEBER</t>
  </si>
  <si>
    <t>IEHL, DONALD W &amp; BARBARA</t>
  </si>
  <si>
    <t>THIELE, DAVID</t>
  </si>
  <si>
    <t>BHARADWAJ, S &amp; D VASUDE</t>
  </si>
  <si>
    <t>KOCH FAMILY TRUST</t>
  </si>
  <si>
    <t>JAWEED, K &amp; M BILALUDDIN</t>
  </si>
  <si>
    <t>ROST, MICHAEL D</t>
  </si>
  <si>
    <t>FRIDAY, JEREMY G &amp; ROBERT</t>
  </si>
  <si>
    <t>CHESNEY, DANIELLE &amp; D</t>
  </si>
  <si>
    <t>GEIGER, KAREN</t>
  </si>
  <si>
    <t>ROBERTS, THOMAS &amp; RAQUEL</t>
  </si>
  <si>
    <t>RAJSKY, NICHOLAS &amp; AMY</t>
  </si>
  <si>
    <t>SKOCZ, RICHARD C &amp; T A</t>
  </si>
  <si>
    <t>LOPEZ, ROBERT &amp; CHRISTINE</t>
  </si>
  <si>
    <t>BRENNAN, JOHN &amp; PAULA</t>
  </si>
  <si>
    <t>US BANK TRUST NATL ASSOC</t>
  </si>
  <si>
    <t>SPECHT, WILLIAM A &amp; S J</t>
  </si>
  <si>
    <t>SHAFFNER, PAUL A</t>
  </si>
  <si>
    <t>WETHINGTON, TERRY L</t>
  </si>
  <si>
    <t>OASAY, EILEEN F</t>
  </si>
  <si>
    <t>PETERSEN, RONALD K&amp; CAROL</t>
  </si>
  <si>
    <t>EVITT, A &amp; S KRAGEL</t>
  </si>
  <si>
    <t>CANAMEDI, KIRAN G</t>
  </si>
  <si>
    <t>KACMARCIK, J &amp; A COOK</t>
  </si>
  <si>
    <t>KVETON, ROBERT A</t>
  </si>
  <si>
    <t>CRAIG, STEVEN &amp; CINDA</t>
  </si>
  <si>
    <t>SIDDIQUI, MASOUDUL &amp; Z</t>
  </si>
  <si>
    <t>VISCONTI JR, LOUIS C</t>
  </si>
  <si>
    <t>BUSTOS, MANUEL</t>
  </si>
  <si>
    <t>WOLFF, DAVID A &amp; JOAN C</t>
  </si>
  <si>
    <t>SAND, PAUL &amp; SANDRA</t>
  </si>
  <si>
    <t>MARTINO, FRANK &amp; A</t>
  </si>
  <si>
    <t>SZYMULANSKI, ANDREW T</t>
  </si>
  <si>
    <t>LIPKA, CYNTHIA</t>
  </si>
  <si>
    <t>O'CONNOR, JESSE</t>
  </si>
  <si>
    <t>JOCOM, ANTONIA SOLIS</t>
  </si>
  <si>
    <t>SINNOTT, MATTHEW</t>
  </si>
  <si>
    <t>LEVIN, RIEDA C</t>
  </si>
  <si>
    <t>MURDOCK, G STEVEN</t>
  </si>
  <si>
    <t>PRINCE, GURDIP SINGH</t>
  </si>
  <si>
    <t>MOONEY, DAVID J</t>
  </si>
  <si>
    <t>WEST, WILLIAM &amp; ANNAMARIE</t>
  </si>
  <si>
    <t>TAMULEVICIUS, RENATAS</t>
  </si>
  <si>
    <t>CHA, WONSUK</t>
  </si>
  <si>
    <t>VICENCIO, JOELITO &amp; MA RO</t>
  </si>
  <si>
    <t>SALATA, YOLANDA</t>
  </si>
  <si>
    <t>MANDOLIA, RISHU</t>
  </si>
  <si>
    <t>DYCHITAN, M &amp; C DYCHITAN</t>
  </si>
  <si>
    <t>OSTROSKY, MICHAEL &amp; S</t>
  </si>
  <si>
    <t>MADDEN, DAVID &amp; ANA</t>
  </si>
  <si>
    <t>BERNIER, STEVEN &amp; CAROL</t>
  </si>
  <si>
    <t>KORNIJENKO, AUDRONE</t>
  </si>
  <si>
    <t>ANDRE, BEVERLY SUE</t>
  </si>
  <si>
    <t>HUBBARD, A TINDALL</t>
  </si>
  <si>
    <t>MOLINA, FRANCISCO &amp; PATRI</t>
  </si>
  <si>
    <t>RODRIGUEZ, MARIO &amp;DOLORES</t>
  </si>
  <si>
    <t>BHATT, HITESH</t>
  </si>
  <si>
    <t>GOOD, KEVIN</t>
  </si>
  <si>
    <t>KOSINSKI, JANUSZ</t>
  </si>
  <si>
    <t>TESKA, JAMES</t>
  </si>
  <si>
    <t>MC KENDREE, JENNIFER</t>
  </si>
  <si>
    <t>TRIPLETT, TONI L</t>
  </si>
  <si>
    <t>ANDRIJAUSKIENE, RASA</t>
  </si>
  <si>
    <t>BLONDELL, LANE &amp; JOANNE</t>
  </si>
  <si>
    <t>BRINKOETTER SR, N &amp; A</t>
  </si>
  <si>
    <t>FORD, KAREN</t>
  </si>
  <si>
    <t>RASMUSSEN, ASHLEY</t>
  </si>
  <si>
    <t>MUNOZ, SALVADOR</t>
  </si>
  <si>
    <t>NEGA, MICHAEL &amp; ASAMI</t>
  </si>
  <si>
    <t>TARUSKIENE, SVETLANA</t>
  </si>
  <si>
    <t>MCGRATH, MATTHEW J &amp; J J</t>
  </si>
  <si>
    <t>PETRAITIS, DARIUS</t>
  </si>
  <si>
    <t>FOX, TARA J</t>
  </si>
  <si>
    <t>HOWE, JOHN E &amp; KATHLEEN M</t>
  </si>
  <si>
    <t>MATHILE, CLAYTON</t>
  </si>
  <si>
    <t>PALUKAITIS, ALGIRDAS</t>
  </si>
  <si>
    <t>SPRECHER, G &amp; S SAINSBURY</t>
  </si>
  <si>
    <t>KARAFIAT, MATTHEW &amp; ALIX</t>
  </si>
  <si>
    <t>TESTOLIN JR, JOSEPH &amp; A</t>
  </si>
  <si>
    <t>JONES, DEWEY R &amp; MARIA E</t>
  </si>
  <si>
    <t>WALES, DIANE E</t>
  </si>
  <si>
    <t>ARCOS, LARITZA &amp; AMIEL LO</t>
  </si>
  <si>
    <t>GUZEMAN, LAURA</t>
  </si>
  <si>
    <t>URBAN, PAVEL</t>
  </si>
  <si>
    <t>PASHOV, VALERY &amp; MARIA</t>
  </si>
  <si>
    <t>SAROFIM, ABDO M</t>
  </si>
  <si>
    <t>DANIEL, SAMI &amp; GEORGETTE</t>
  </si>
  <si>
    <t>WRIGHT, DAVID R</t>
  </si>
  <si>
    <t>BURBA, BRETT &amp; MIA</t>
  </si>
  <si>
    <t>DUFFIN, NANCY L</t>
  </si>
  <si>
    <t>DESCHRYVER, LORI</t>
  </si>
  <si>
    <t>BOZHINOV, H &amp; E BEKIROVIK</t>
  </si>
  <si>
    <t>CARPENTER, JEFFREY &amp; N</t>
  </si>
  <si>
    <t>DSR &amp; MSR PROPERTIES</t>
  </si>
  <si>
    <t>MULCAHY, JAMES</t>
  </si>
  <si>
    <t>LONG, DAVID A</t>
  </si>
  <si>
    <t>TSANG, H &amp; C HUANG</t>
  </si>
  <si>
    <t>KOVALCHUK, YURIY</t>
  </si>
  <si>
    <t>JACK MOY &amp; JUSTIN MOY</t>
  </si>
  <si>
    <t>PALASZ, RONALD &amp; GINA</t>
  </si>
  <si>
    <t>JOHNSON, SUSAN</t>
  </si>
  <si>
    <t>RAMOS, A &amp; K BECVAR</t>
  </si>
  <si>
    <t>GONZALEZ, JORGE</t>
  </si>
  <si>
    <t>WEEKS, DENNIS &amp; SHARON</t>
  </si>
  <si>
    <t>SVEC, JEANNE M</t>
  </si>
  <si>
    <t>FRANSON, ROBERT &amp; BARBARA</t>
  </si>
  <si>
    <t>EINWALTER, ROY T &amp; DIANE</t>
  </si>
  <si>
    <t>BOTROS, JOSEPH</t>
  </si>
  <si>
    <t>HRYCYK, PETER M &amp; LEONA L</t>
  </si>
  <si>
    <t>MARSH, THOMAS &amp; STEPHANIE</t>
  </si>
  <si>
    <t>ANDA, KEVIN &amp; D PERRI</t>
  </si>
  <si>
    <t>BOGDANOVIC, DARKO &amp;NATASA</t>
  </si>
  <si>
    <t>BROWN, M D &amp; M M MURIEL</t>
  </si>
  <si>
    <t>WLEKLINSKI, RAYMOND &amp; M</t>
  </si>
  <si>
    <t>HERTZ, K &amp; M GALLEGOS</t>
  </si>
  <si>
    <t>DIDDIA, MICHAEL &amp;KIMBERLY</t>
  </si>
  <si>
    <t>PETER, ABEY &amp; FNU</t>
  </si>
  <si>
    <t>BRUSOKAS, RIMAS</t>
  </si>
  <si>
    <t>PRESS, JOSHUA &amp; MELISSA</t>
  </si>
  <si>
    <t>HALL, JESSICA</t>
  </si>
  <si>
    <t>WILLIAMS, KEVIN</t>
  </si>
  <si>
    <t>DANIAL, M &amp; M MEKHAEIL</t>
  </si>
  <si>
    <t>BARREA, RAUL</t>
  </si>
  <si>
    <t>CISERNOS, K &amp; V DELGADO</t>
  </si>
  <si>
    <t>COHN, JEFFREY</t>
  </si>
  <si>
    <t>SALAMOWICZ, RAYMOND &amp; M</t>
  </si>
  <si>
    <t>PILONI, PAUL</t>
  </si>
  <si>
    <t>CORSON, BRUCE &amp; MARIA</t>
  </si>
  <si>
    <t>SCHULTZ, RONALD &amp; MARIA</t>
  </si>
  <si>
    <t>SERNEK, JAMES &amp; A HINTON</t>
  </si>
  <si>
    <t>FUGER, SARAH &amp; MARCIN</t>
  </si>
  <si>
    <t>CARTER, JOSEPH &amp; VICTORIA</t>
  </si>
  <si>
    <t>WINGIER, DAVID &amp; C</t>
  </si>
  <si>
    <t>WESTBERG, THOMAS &amp; CHERYL</t>
  </si>
  <si>
    <t>SALVADOR, VIVIAN &amp; NIKKI</t>
  </si>
  <si>
    <t>SANA, DANE</t>
  </si>
  <si>
    <t>STILLWELL, CRAIG T &amp; RITA</t>
  </si>
  <si>
    <t>CHU, LAURA W</t>
  </si>
  <si>
    <t>ADDISON, BRAY &amp; KATHERINE</t>
  </si>
  <si>
    <t>SOLANKI, CHIRAG</t>
  </si>
  <si>
    <t>RUSSELL, GERALDINE</t>
  </si>
  <si>
    <t>TESKA, KENNETH M</t>
  </si>
  <si>
    <t>EDGAR, DANNY KHOA</t>
  </si>
  <si>
    <t>PINEDA, GUADALUPE</t>
  </si>
  <si>
    <t>MC GREAL, TIMOTHY M</t>
  </si>
  <si>
    <t>SHERLOCK, ROSE</t>
  </si>
  <si>
    <t>PATEL, JAGDISH J &amp;KAILASH</t>
  </si>
  <si>
    <t>AUGUSTIN, LYNNETTE N</t>
  </si>
  <si>
    <t>MILADINOSKI, NADICA &amp; I</t>
  </si>
  <si>
    <t>PATEL, SHANTIKUMAR &amp; JALP</t>
  </si>
  <si>
    <t>ABARCA, DAISY</t>
  </si>
  <si>
    <t>RUSCHKE JR, CHARLES J &amp; D</t>
  </si>
  <si>
    <t>CONTRERAS, S &amp;M HERNANDEZ</t>
  </si>
  <si>
    <t>VELIC, IRENA</t>
  </si>
  <si>
    <t>COLLIER, OLGA</t>
  </si>
  <si>
    <t>SIEVERT, GEORGIA</t>
  </si>
  <si>
    <t>PETKEVICIUS, DARIUS &amp; D</t>
  </si>
  <si>
    <t>PRASEK, DOLORES</t>
  </si>
  <si>
    <t>VALLE, MICHAELA T</t>
  </si>
  <si>
    <t>ALMAZAN, ELIAS &amp; NOHEMI</t>
  </si>
  <si>
    <t>KLECYNGIER, J &amp; S BECKER</t>
  </si>
  <si>
    <t>KYERE, GEORGE</t>
  </si>
  <si>
    <t>ARRIZON, ANICA &amp; CARLOS</t>
  </si>
  <si>
    <t>PAKULIS, ANDRIEJUS &amp; I</t>
  </si>
  <si>
    <t>NEGRETE, JOSE &amp; DELORES</t>
  </si>
  <si>
    <t>MARSTELLER, DOUGLAS &amp; J A</t>
  </si>
  <si>
    <t>JADHAV, B &amp; S SHINDE</t>
  </si>
  <si>
    <t>LANIGAN, S &amp; J NICOLETTI</t>
  </si>
  <si>
    <t>BORCHICHI, CLAUDIO M</t>
  </si>
  <si>
    <t>LAUER, ROBERT &amp; QUANI</t>
  </si>
  <si>
    <t>LAMAR, GERALD &amp; LISA</t>
  </si>
  <si>
    <t>VITOLIENE, I &amp; R VITOLIS</t>
  </si>
  <si>
    <t>CORTES, MARCO A</t>
  </si>
  <si>
    <t>VILLAFUERTE, A &amp; J DONES</t>
  </si>
  <si>
    <t>SIMANONYTE, R &amp; J BERGLUN</t>
  </si>
  <si>
    <t>GONZALEZ, H &amp; E OROZCO</t>
  </si>
  <si>
    <t>PATINO, MARGARET &amp; FRANK</t>
  </si>
  <si>
    <t>CAPUL, CARL &amp; MICHELLE</t>
  </si>
  <si>
    <t>ROBINSON, JOSHUA A</t>
  </si>
  <si>
    <t>JIMENEZ, CELIA</t>
  </si>
  <si>
    <t>MAROCCO, ALESSIA M</t>
  </si>
  <si>
    <t>INCOR LLC</t>
  </si>
  <si>
    <t>MEDRANO, B &amp; G HERNANDEZ</t>
  </si>
  <si>
    <t>KOLODZIEJ, DARIUSZ</t>
  </si>
  <si>
    <t>SPANGLER LIVING TRUST</t>
  </si>
  <si>
    <t>FLORINO, PETER &amp; CAROL</t>
  </si>
  <si>
    <t>6836 RED WING LLC</t>
  </si>
  <si>
    <t>SIMS, SHALISE</t>
  </si>
  <si>
    <t>GANTZ, CURTIS &amp; ELIZABETH</t>
  </si>
  <si>
    <t>CHAN, A &amp; G AZCARRAGA</t>
  </si>
  <si>
    <t>CARLSON, CHRISTOPHER &amp; H</t>
  </si>
  <si>
    <t>JAWEED, KHAJA Z</t>
  </si>
  <si>
    <t>PETRAITIS, ANTHONY</t>
  </si>
  <si>
    <t>PETRICK, JOSEPH &amp; M</t>
  </si>
  <si>
    <t>ZITKEVICIUS, INNE &amp; R</t>
  </si>
  <si>
    <t>TRIVEDI, KAMLESH C</t>
  </si>
  <si>
    <t>WACHOWSKI, MORGAN</t>
  </si>
  <si>
    <t>WOLTHUSEN, JOHN</t>
  </si>
  <si>
    <t>REYNOSO, SILVERIA TR</t>
  </si>
  <si>
    <t>LOEHMAN, KATHLEEN</t>
  </si>
  <si>
    <t>MORALES, CRISANTO &amp; HELEN</t>
  </si>
  <si>
    <t>FAGAN, ROBERTA</t>
  </si>
  <si>
    <t>MAGGITT UNDERWOOD, K</t>
  </si>
  <si>
    <t>PAWLAK, LUKASZ &amp; TINA</t>
  </si>
  <si>
    <t>BLIZNICK, ELIZA</t>
  </si>
  <si>
    <t>QUINTANA, ESTHER</t>
  </si>
  <si>
    <t>CHOATE, SHARON M</t>
  </si>
  <si>
    <t>LUI, CIPING</t>
  </si>
  <si>
    <t>BRYANT, JULIE A</t>
  </si>
  <si>
    <t>PASCAL, S &amp; N NIHAILA</t>
  </si>
  <si>
    <t>OHK, JOOHEE &amp; JOHN</t>
  </si>
  <si>
    <t>CELADA, OSMAN</t>
  </si>
  <si>
    <t>EJUPI, A &amp; P UKA</t>
  </si>
  <si>
    <t>GRUDEM, KEVIN L &amp; ALTHEA</t>
  </si>
  <si>
    <t>POLEN, STACEY L</t>
  </si>
  <si>
    <t>LAWRENCE, MARY E TR</t>
  </si>
  <si>
    <t>BIELAWA, JEFFREY &amp;CYNTHIA</t>
  </si>
  <si>
    <t>CAMACHO, CARLOS &amp; ERICA</t>
  </si>
  <si>
    <t>SCHUMAN, G &amp; C STAUNTON</t>
  </si>
  <si>
    <t>SZYMANSKI, JOSHUA &amp; M</t>
  </si>
  <si>
    <t>VALENTINE, DIANE</t>
  </si>
  <si>
    <t>ESTOQUE, ARTHUR &amp; SUZANNE</t>
  </si>
  <si>
    <t>SINGH, S &amp; S SOHAL</t>
  </si>
  <si>
    <t>BOGDANOVSKI, J &amp; S</t>
  </si>
  <si>
    <t>MOAQAD, TAOUFIK</t>
  </si>
  <si>
    <t>ROMERO, ROSINA</t>
  </si>
  <si>
    <t>KAUFMAN, JOANN</t>
  </si>
  <si>
    <t>DEMAS JASON &amp; JESSICA</t>
  </si>
  <si>
    <t>GREGERS LLC</t>
  </si>
  <si>
    <t>YOUSSEF, MERVAT Y</t>
  </si>
  <si>
    <t>KERNER, ELIZABETH S</t>
  </si>
  <si>
    <t>OTTEN, ROLF &amp; MELISSA</t>
  </si>
  <si>
    <t>ELAPUMKAL, JOBIN &amp; ALEX K</t>
  </si>
  <si>
    <t>FICK, ADAM &amp; MAYRA</t>
  </si>
  <si>
    <t>SOLIMAN, I &amp; S MOUSA</t>
  </si>
  <si>
    <t>NORTON, PETER J &amp; SUSAN F</t>
  </si>
  <si>
    <t>NOIA, DOMINIC &amp; BETH</t>
  </si>
  <si>
    <t>KASCHNER, TYLER &amp; AMY VAN</t>
  </si>
  <si>
    <t>VEERABAHU, SUBRAMANIAN &amp;M</t>
  </si>
  <si>
    <t>HUMBERT, LISA</t>
  </si>
  <si>
    <t>BUTLER, EILEEN M</t>
  </si>
  <si>
    <t>VATH, PATRICK</t>
  </si>
  <si>
    <t>CARILLO, PHILIP M</t>
  </si>
  <si>
    <t>MARQUEZ, JESUS P &amp; GLORIA</t>
  </si>
  <si>
    <t>MC AVINCHEY, LORI</t>
  </si>
  <si>
    <t>SIMANSKIS, VALENTINA</t>
  </si>
  <si>
    <t>HUERTA, R &amp; L GUERRA</t>
  </si>
  <si>
    <t>LEWANDOWSKI, T &amp; C PETZKE</t>
  </si>
  <si>
    <t>KONSTANTOPOULOS, VASILIOS</t>
  </si>
  <si>
    <t>JOE MAKKIL</t>
  </si>
  <si>
    <t>SETINA, BARBARA C</t>
  </si>
  <si>
    <t>DE SCHRYVER, DAVID &amp; ROSE</t>
  </si>
  <si>
    <t>STRUMILA, GUOSTE &amp;KAROLIS</t>
  </si>
  <si>
    <t>CUPIAL, AGNIESZKA</t>
  </si>
  <si>
    <t>DIANA, SANDRA MARIE</t>
  </si>
  <si>
    <t>BARKER, ROBERT &amp; LORA ANN</t>
  </si>
  <si>
    <t>FREUND, CHRISTOPHER P</t>
  </si>
  <si>
    <t>PALMER, BARRY &amp; LORI</t>
  </si>
  <si>
    <t>MURPHY, ANDREW C</t>
  </si>
  <si>
    <t>SAFRANEK, KELSEY LYNN</t>
  </si>
  <si>
    <t>MAMPRISIO, DEAN &amp; J</t>
  </si>
  <si>
    <t>NAIK, VANDANKUMAR &amp; NINA</t>
  </si>
  <si>
    <t>HOOS, KATHRYN L</t>
  </si>
  <si>
    <t>LTC ZS6274</t>
  </si>
  <si>
    <t>LTC ZS8385</t>
  </si>
  <si>
    <t>CONSTANCE, ELIZABETH</t>
  </si>
  <si>
    <t>HAYMAN, RICHARD &amp; JEAN</t>
  </si>
  <si>
    <t>LILLENBERG, JAMES &amp; NANCY</t>
  </si>
  <si>
    <t>BARRON, KAREN &amp; ROBERT BE</t>
  </si>
  <si>
    <t>RUHLING, LINDA &amp; ALBERT</t>
  </si>
  <si>
    <t>GONZALEZ, LISA</t>
  </si>
  <si>
    <t>GOFF, BARBARA</t>
  </si>
  <si>
    <t>BRETZ, DANIEL &amp; SANDRA</t>
  </si>
  <si>
    <t>KOVACH, RICHARD A</t>
  </si>
  <si>
    <t>SCHODROF, EDWARD &amp; KATHLE</t>
  </si>
  <si>
    <t>ORSETTI, L &amp; M JUDD</t>
  </si>
  <si>
    <t>WHEET TR, JANE</t>
  </si>
  <si>
    <t>RAFACZ, DANIEL</t>
  </si>
  <si>
    <t>TIPPORI LLC</t>
  </si>
  <si>
    <t>WOODWARD AVE INVESTORS II</t>
  </si>
  <si>
    <t>PULTE HOME COMPANY LLC</t>
  </si>
  <si>
    <t>SMITH, ARTHUR &amp; JACQUELIN</t>
  </si>
  <si>
    <t>TIEDE TR, L JAY &amp; CHERYL</t>
  </si>
  <si>
    <t>LIAO, MINLIN</t>
  </si>
  <si>
    <t>LIMAYE, ASHA</t>
  </si>
  <si>
    <t>KRAUS, ROBERT &amp; LESLIE</t>
  </si>
  <si>
    <t>MARTINEZ, JOHN R</t>
  </si>
  <si>
    <t>CHANDE, PRITI &amp; JIGNESH</t>
  </si>
  <si>
    <t>BAKER, SARA RENEE</t>
  </si>
  <si>
    <t>HERNANDEZ, MARTIN</t>
  </si>
  <si>
    <t>SCHOLTES, RONALD &amp; JADVIG</t>
  </si>
  <si>
    <t>KRYSIAK, KAREN M</t>
  </si>
  <si>
    <t>Last sale date</t>
  </si>
  <si>
    <t>Last sale price $</t>
  </si>
  <si>
    <t>Last sale deed type</t>
  </si>
  <si>
    <t>ED</t>
  </si>
  <si>
    <t>WD</t>
  </si>
  <si>
    <t>TD</t>
  </si>
  <si>
    <t>TR</t>
  </si>
  <si>
    <t>QC</t>
  </si>
  <si>
    <t>SW</t>
  </si>
  <si>
    <t>BI</t>
  </si>
  <si>
    <t>Last sale buyer</t>
  </si>
  <si>
    <t>RAK, DANIEL &amp; MONIKA K K</t>
  </si>
  <si>
    <t>BOHDAN VYNNYTSKYY</t>
  </si>
  <si>
    <t>EIDE, ALEXA R/RISTOW, DANIEL</t>
  </si>
  <si>
    <t>AFROZE, HAMID A/MASOOD, SHEREEN</t>
  </si>
  <si>
    <t>FLOREA, CLAUDIU &amp; MIRELA N</t>
  </si>
  <si>
    <t>DREW BEHRENS</t>
  </si>
  <si>
    <t>NAVAID, KRISTEN &amp; OMER</t>
  </si>
  <si>
    <t>BWISHO AKUGIZIBWE</t>
  </si>
  <si>
    <t>NAHRI, SYEDA &amp; SHAHED, MOHAMMED</t>
  </si>
  <si>
    <t>LARA, BEATRICE &amp; STEVEN</t>
  </si>
  <si>
    <t>GEBARSKI, ANTHONY J</t>
  </si>
  <si>
    <t>AMITA PATEL</t>
  </si>
  <si>
    <t>OCAMPO, DIEGO A &amp; MAYRA S</t>
  </si>
  <si>
    <t>MERZA, JEMMER C</t>
  </si>
  <si>
    <t>WILSON, ELIZABETH &amp; RODNEY</t>
  </si>
  <si>
    <t>ATKINSON, PAKOU VANG- &amp; TROY</t>
  </si>
  <si>
    <t>PATEL, RAMESHBDHAI/INDRAVADON B</t>
  </si>
  <si>
    <t>VINOD SOMAIYA</t>
  </si>
  <si>
    <t>HYDER, NAFIS SYED</t>
  </si>
  <si>
    <t>ALEXANDER, KOSHY &amp; BRINCY THOMAS</t>
  </si>
  <si>
    <t>SANJAYKUMAR PATEL</t>
  </si>
  <si>
    <t>DUMAS, KENNETH J &amp; KIMBERLY A</t>
  </si>
  <si>
    <t>BYNES, BREANNE &amp; JEFF</t>
  </si>
  <si>
    <t>ZACCARDI, LAURA T &amp; ROCCO T</t>
  </si>
  <si>
    <t>RAIMONDI, JULIE T &amp; NICOLAS V</t>
  </si>
  <si>
    <t>MC ADAMS, MEGHANN &amp; THOMAS, JAMES</t>
  </si>
  <si>
    <t>BUCK, DEBORAH L &amp; DE BUHR JEFFREY</t>
  </si>
  <si>
    <t>SAVALIA, BHARAT</t>
  </si>
  <si>
    <t>PATEL, KENA B &amp; VISHALKUMAR N</t>
  </si>
  <si>
    <t>LAURA K. CARTER</t>
  </si>
  <si>
    <t>BHATT, MRUNAL &amp; BORASTE, SONAL</t>
  </si>
  <si>
    <t>COLLINS-EARLEY, NICOLE</t>
  </si>
  <si>
    <t>OSMAN-FABISZ, DOROTA/PRZEMYSLAW</t>
  </si>
  <si>
    <t>VAHORA, NANU M &amp; NAZMA N</t>
  </si>
  <si>
    <t>SHARFU AZAM</t>
  </si>
  <si>
    <t>MC CLELLAN, KRISTA J</t>
  </si>
  <si>
    <t>PRAGOVICH, ERICK A &amp; LISA A</t>
  </si>
  <si>
    <t>GINGRASS, KATHERINE &amp; NICHOLAS</t>
  </si>
  <si>
    <t>KANADA,FALGUNI &amp; NILESH, ET AL</t>
  </si>
  <si>
    <t>WICKS, COLLIN A &amp; REBECKA L</t>
  </si>
  <si>
    <t>MEYER JR, JEFFREY R &amp; DOROTA</t>
  </si>
  <si>
    <t>DE FRANCESCO, AUDREY J</t>
  </si>
  <si>
    <t>KACHAKOVA, VALENTIN I &amp; ANDREA</t>
  </si>
  <si>
    <t>WILKE, LINDA A &amp; ROBERT O</t>
  </si>
  <si>
    <t>LEWANDOWSKI, BARTLOMIEJ P</t>
  </si>
  <si>
    <t>CHARLES NDUKWE</t>
  </si>
  <si>
    <t>PATEL, BHUMI &amp; NIKUNJ</t>
  </si>
  <si>
    <t>DMYTRO MYRONCHUK</t>
  </si>
  <si>
    <t>ADEL BENBOUYA</t>
  </si>
  <si>
    <t>VALENTINE PRISIAJNI</t>
  </si>
  <si>
    <t>AHMED, SAIMA E/CHOWDHURY, SAQUIB</t>
  </si>
  <si>
    <t>A &amp; E LUXURY DEVELOPMENTS, LLC</t>
  </si>
  <si>
    <t>MACKIN LND CO LLC</t>
  </si>
  <si>
    <t>BUCHANAN ENERGY N LLC</t>
  </si>
  <si>
    <t>ILLINOIS CABINETS DEPOT LLC</t>
  </si>
  <si>
    <t>WINDY LNDINGS INC</t>
  </si>
  <si>
    <t>PANICKER, JOHN N</t>
  </si>
  <si>
    <t>LABOVIC, BOBAN &amp; VALENTINA</t>
  </si>
  <si>
    <t>PARKWAY B&amp;T CO</t>
  </si>
  <si>
    <t>CLEAR CUT BUILDERS INC</t>
  </si>
  <si>
    <t>1204 WEST IRVING PARK ROAD LLC</t>
  </si>
  <si>
    <t>KUKICH, DENNY</t>
  </si>
  <si>
    <t>O HARE AUTO BODY LTD</t>
  </si>
  <si>
    <t>CHICAGO TITLE LAND TRUST COMPANY DBA THE LAND TRUST COMPANY TRUST # 9002351204</t>
  </si>
  <si>
    <t>ROXY PROPERTIES LLC</t>
  </si>
  <si>
    <t>OMEGA PRO PROPERTIES LLC</t>
  </si>
  <si>
    <t>URBANSKI, MARCIN</t>
  </si>
  <si>
    <t>VELASQUEZ, BLANCA E &amp; JUAN C</t>
  </si>
  <si>
    <t>HERNANDEZ-NEVAREZ/RIVERA-SANTIAGO</t>
  </si>
  <si>
    <t>ABEL HERNANDEZ</t>
  </si>
  <si>
    <t>MORALES, M D CARMEN &amp; M D PILAR</t>
  </si>
  <si>
    <t>CHICAGO TITLE LAND TRUST COMPANY AS TRUSTEE UNDER THE PROVISIONS OF TRUST AGREEMENT DATED 11/8/2023</t>
  </si>
  <si>
    <t>MEMORIAL DR PRPTIES INC</t>
  </si>
  <si>
    <t>NORTH STAR TR/G &amp; W PARTNERS</t>
  </si>
  <si>
    <t>KSR HOME IMPROVEMENT, INC.</t>
  </si>
  <si>
    <t>NORTH STAR TR CO TRUSTEE</t>
  </si>
  <si>
    <t>STARK, DONALD L TRUSTEE</t>
  </si>
  <si>
    <t>DANUBE PRPTIES LLC</t>
  </si>
  <si>
    <t>KONRAD &amp; ELZBIETA PAJOR</t>
  </si>
  <si>
    <t>CATAPANO, JORDAN &amp; ROSANNA</t>
  </si>
  <si>
    <t>TAMAYO, ANTONIO &amp; ADRIANA</t>
  </si>
  <si>
    <t>BERENDS, WM J</t>
  </si>
  <si>
    <t>JENNIFER M. ELLIOTT</t>
  </si>
  <si>
    <t>BARRY J FRENCH</t>
  </si>
  <si>
    <t>HARE,SARAH L/LEMANSKI,KYLE &amp; THOMAS</t>
  </si>
  <si>
    <t>JOSEPH STERCHELE</t>
  </si>
  <si>
    <t>BONAVOLONTA, ANTHONY A &amp; ANTHONY</t>
  </si>
  <si>
    <t>MARQUETTE BK/EDWARD PALIATKA</t>
  </si>
  <si>
    <t>WU, ASIA</t>
  </si>
  <si>
    <t>CASACCIO, TERRANCE &amp; KRISTINA</t>
  </si>
  <si>
    <t>ESPOSITO, GIOVANNI</t>
  </si>
  <si>
    <t>NEKOLA, RICHARD A &amp; BARBARA A TTEES</t>
  </si>
  <si>
    <t>HOYLE, LORIANN &amp; BENJAMIN</t>
  </si>
  <si>
    <t>WATORSKI, EWA &amp; ZBIGNIEW</t>
  </si>
  <si>
    <t>SMITH, DANIEL J &amp; EILEEN R</t>
  </si>
  <si>
    <t>PATKOWA, ERIKA &amp; JON</t>
  </si>
  <si>
    <t>SYDNEY M. SODERGREN</t>
  </si>
  <si>
    <t>PARKWAY BANK AND TRUST COMPANY ITS SUCCESSOR OR SUCCESSORS AS TRUSTEE UNDER THE PROVISIONS OF A TRUST AGREEMENT DATED MARCH 14 2025 AND KNOWN AS TRUST NUMBER 17117</t>
  </si>
  <si>
    <t>PECORARO, GIAN B &amp; VINCENZA R</t>
  </si>
  <si>
    <t>CURIEL,DANIEL &amp; SAUL &amp; LABOY,RAQUEL</t>
  </si>
  <si>
    <t>ALBRECHT, ERIC R &amp; KRAGE,MELISSA A</t>
  </si>
  <si>
    <t>DEMAS, KATHERINE M &amp; LOUIS</t>
  </si>
  <si>
    <t>DELFIDIO J NARVAEZ</t>
  </si>
  <si>
    <t>LUCENTI II, ALBERT A</t>
  </si>
  <si>
    <t>VAN DORN, KATHRYN M &amp; NATHAN T</t>
  </si>
  <si>
    <t>THREADGILL, CHRISTOPHER/ELIZABETH A</t>
  </si>
  <si>
    <t>ROSNER, MATTHEW/UMBDENSTOCK, C</t>
  </si>
  <si>
    <t>STEVEN F. WEISER</t>
  </si>
  <si>
    <t>MATAS, FRANCISCO J &amp; JANELL R</t>
  </si>
  <si>
    <t>DAMIAN KWASNIEWSKI</t>
  </si>
  <si>
    <t>GRZEGORZ ZABIEROWSKI</t>
  </si>
  <si>
    <t>JOHNS, STANLY&amp; SUJA</t>
  </si>
  <si>
    <t>SREEDHARAN, SURESH</t>
  </si>
  <si>
    <t>SRINIVASAN KRISHNASWAMY</t>
  </si>
  <si>
    <t>REMPALA, MIA C</t>
  </si>
  <si>
    <t>CHIMIENTI, DENISE R &amp; DENISE R</t>
  </si>
  <si>
    <t>EL KHATIB, JEHAD K</t>
  </si>
  <si>
    <t>DIGIURO, DENISE MARIE</t>
  </si>
  <si>
    <t>MARIO A. NAPOLITANO</t>
  </si>
  <si>
    <t>BINGHAM, HALEY &amp; LEDFORD, STEVEN</t>
  </si>
  <si>
    <t>PETRI, KEITH A TRUST</t>
  </si>
  <si>
    <t>JOSHI, AMANDA &amp; ANAND</t>
  </si>
  <si>
    <t>BROYLES, PETER T &amp; VALERIE S</t>
  </si>
  <si>
    <t>ADAMS, JOHN M &amp; MICHELLE A</t>
  </si>
  <si>
    <t>BECKORD, KURT D &amp; JOHANNES,TRACEY L</t>
  </si>
  <si>
    <t>NIRAV N. PATEL</t>
  </si>
  <si>
    <t>MONTEMAYOR, MARCELO &amp; SYLVIA</t>
  </si>
  <si>
    <t>LENISA, MICHAEL J &amp; SUZANNE M</t>
  </si>
  <si>
    <t>KESSLING, DARLENE J &amp; WAYNE</t>
  </si>
  <si>
    <t>MARY O'NEILL</t>
  </si>
  <si>
    <t>GUIDO, LOUIS J &amp; SANDRA C</t>
  </si>
  <si>
    <t>COLIN AUBIN</t>
  </si>
  <si>
    <t>VITTORIO TRICASE</t>
  </si>
  <si>
    <t>ALVAREZ,WILLIAM M &amp; JACOBSEN, M L</t>
  </si>
  <si>
    <t>KEMPER, STEPHANIE N &amp; STEVEN R</t>
  </si>
  <si>
    <t>MORI, JOHN B</t>
  </si>
  <si>
    <t>HAMILTON, JAMES R &amp; VALORIE</t>
  </si>
  <si>
    <t>BATTIN, SUZAN D/LIVA, ERIN</t>
  </si>
  <si>
    <t>UNZICKER, KRISTINA J &amp; RYAN D</t>
  </si>
  <si>
    <t>CARRERA, MARIA &amp; VICTOR M</t>
  </si>
  <si>
    <t>JASON SZETO</t>
  </si>
  <si>
    <t>FALLICO, KEITH A &amp; PATRICIA M</t>
  </si>
  <si>
    <t>DONNELLY, MICHAEL J</t>
  </si>
  <si>
    <t>VARGAS, LORIANNA J &amp; PABLO</t>
  </si>
  <si>
    <t>LORI PONTE</t>
  </si>
  <si>
    <t>SPRADLING, DAVID W &amp; MONICA M</t>
  </si>
  <si>
    <t>EGEL, RACHEL A/ROSENBLOOM, MITCHELL</t>
  </si>
  <si>
    <t>AMY YANG TIEN</t>
  </si>
  <si>
    <t>SHAVER, JULIA/WALKER, WESLEY</t>
  </si>
  <si>
    <t>CHRISTOPHER LOUIS SMID</t>
  </si>
  <si>
    <t>MEHTA, RIPALBEN V &amp; VIRAL</t>
  </si>
  <si>
    <t>KHUNDMIRI, MUNAWER</t>
  </si>
  <si>
    <t>PETRUSEK SR, JOSEPH E</t>
  </si>
  <si>
    <t>VITO TRENTADUE</t>
  </si>
  <si>
    <t>BARADZIEJ, NATALIA &amp; DABROWSKI, M</t>
  </si>
  <si>
    <t>SOFIYA M. MILEVA</t>
  </si>
  <si>
    <t>PATEL, BINA &amp; TROOSHALL</t>
  </si>
  <si>
    <t>BHESANIA, DHIRAJ V &amp; KAMLA</t>
  </si>
  <si>
    <t>SZTUCZKA, JESSICA</t>
  </si>
  <si>
    <t>WOLF, CHARLES J &amp; SANDRA</t>
  </si>
  <si>
    <t>WEBER, LAURA &amp; RYAN</t>
  </si>
  <si>
    <t>JULIANNA MARIA HUBBERTS</t>
  </si>
  <si>
    <t>HUBBERTS, JOSEPH J &amp; JULIANA M</t>
  </si>
  <si>
    <t>SAGUNDINA CAROL SALISE</t>
  </si>
  <si>
    <t>NICOLAS SHAHWAN AS TO AN UNDIVIDED 90% INTEREST</t>
  </si>
  <si>
    <t>WARCO, MARY K &amp; MATTHEW O</t>
  </si>
  <si>
    <t>DELUCA, ANTHONY R &amp; DONNA</t>
  </si>
  <si>
    <t>UNDERWOOD, KELLY &amp; NICHOLAS</t>
  </si>
  <si>
    <t>ABDELLATIF BENZZINE</t>
  </si>
  <si>
    <t>CATALANO, JAIME &amp; JOHN</t>
  </si>
  <si>
    <t>RODRIGUEZ, MARISA/VELARDE, JAMES</t>
  </si>
  <si>
    <t>MATTHIES, JESSICA H &amp; STEVEN G</t>
  </si>
  <si>
    <t>RONALD KOZLOWSKI</t>
  </si>
  <si>
    <t>SPERANDO, JENNIFER &amp; MAX</t>
  </si>
  <si>
    <t>TORRACO, CARLY &amp; ROBERT D</t>
  </si>
  <si>
    <t>TRAN, HOA &amp; MY-HAN S/VAN, VUONG</t>
  </si>
  <si>
    <t>XHUBA, EGLANTINA &amp; KOSTANDIN</t>
  </si>
  <si>
    <t>JELENIC, MILOS &amp; JOVANKA STOJICIC</t>
  </si>
  <si>
    <t>DZIEDZIC, JOLANTA &amp; WALDEMAR</t>
  </si>
  <si>
    <t>HEJNAR, KRZYSTOF</t>
  </si>
  <si>
    <t>ZIDEK, CHARLES &amp; KARIN</t>
  </si>
  <si>
    <t>SAJID HUSSAIN SIDDIQUI</t>
  </si>
  <si>
    <t>RYAN, MICHELE L &amp; PATRICK D</t>
  </si>
  <si>
    <t>BATURA, JAMES</t>
  </si>
  <si>
    <t>LASALVIA, ALEXIS &amp; SORCI, JOSEPH</t>
  </si>
  <si>
    <t>MARK P. CALAYAG</t>
  </si>
  <si>
    <t>NINA M ITO</t>
  </si>
  <si>
    <t>ROG, BARBARA M &amp; KONRAD B</t>
  </si>
  <si>
    <t>MARTINEZ, MARIA C &amp; MARIO</t>
  </si>
  <si>
    <t>SANA ALI</t>
  </si>
  <si>
    <t>BOEHNE, DANIEL P &amp; LINDSEY</t>
  </si>
  <si>
    <t>BUMP-WHITE, BETHANY &amp; CHAD</t>
  </si>
  <si>
    <t>YAUNG, ANGELA LEE &amp; DEVIN S</t>
  </si>
  <si>
    <t>DESIO, CAROL</t>
  </si>
  <si>
    <t>GUERRIERI, MARK E</t>
  </si>
  <si>
    <t>MADISON RAE SHOEMAKER</t>
  </si>
  <si>
    <t>GRIMALDI, CHERYL &amp; MICHAEL</t>
  </si>
  <si>
    <t>TROYKA, CHRISTOPHER M &amp; ROBBIN L</t>
  </si>
  <si>
    <t>DAILEY, TERA</t>
  </si>
  <si>
    <t>ESTARITA, HUGO A &amp; TERESA P</t>
  </si>
  <si>
    <t>GRACES, DENNIS L</t>
  </si>
  <si>
    <t>MC CLEARN, CHRISTOPHER R &amp;KRISTIN M</t>
  </si>
  <si>
    <t>FARAJ, AHMED &amp; HASAN, ALYAA ALI</t>
  </si>
  <si>
    <t>MC CORMACK, KIMBERLY &amp; MICHAEL</t>
  </si>
  <si>
    <t>DELIN WANG</t>
  </si>
  <si>
    <t>OLIWA, BOZENA &amp; SLAWOMIR</t>
  </si>
  <si>
    <t>MALIEKKAL, PAULSON</t>
  </si>
  <si>
    <t>KULBA, IAROSLAV &amp; VISTOVSKA, IRYNA</t>
  </si>
  <si>
    <t>HAN, JUN &amp; SHANG, LI</t>
  </si>
  <si>
    <t>GIANNAS, THOMAS &amp; VALDERAS, JOSE</t>
  </si>
  <si>
    <t>ZAREMBA, JOYCE &amp; STEPHEN F</t>
  </si>
  <si>
    <t>YOUNG, BENJAMIN</t>
  </si>
  <si>
    <t>POKRYWKA, MARCIN</t>
  </si>
  <si>
    <t>BENNICI, MARY ALBANO &amp; PAUL</t>
  </si>
  <si>
    <t>SCHRACK, DONALD</t>
  </si>
  <si>
    <t>DOHAN KIM</t>
  </si>
  <si>
    <t>SKWAREK, PIOTR P</t>
  </si>
  <si>
    <t>PORTER, DAVID M &amp; HEATHER A</t>
  </si>
  <si>
    <t>JEFFREY OLLADA</t>
  </si>
  <si>
    <t>ANTONIO, CATHERINE/FULGENCIO, D P</t>
  </si>
  <si>
    <t>VILLAGRAN, MATILDE &amp; PRISCILLA</t>
  </si>
  <si>
    <t>PEREZ, ROSEMARY</t>
  </si>
  <si>
    <t>ALDEN VILL II INC</t>
  </si>
  <si>
    <t>ALQAISI, ALI I &amp; SABAR, ZINA S</t>
  </si>
  <si>
    <t>SAHAR ASHRAFI</t>
  </si>
  <si>
    <t>DAVENPORT, RYAN &amp; TRIVEDI, NEHA</t>
  </si>
  <si>
    <t>AVCI, ALBINA &amp; YABUKOGLU, OZCAN</t>
  </si>
  <si>
    <t>JOHN, LITTLE &amp; KACHAPILLY, JOHN</t>
  </si>
  <si>
    <t>QURESHI, AISHA MOHSIN &amp; MOHSIN</t>
  </si>
  <si>
    <t>BEARD, MELANIE &amp; STEPHEN</t>
  </si>
  <si>
    <t>LE, TOLIEN T &amp; TONG T</t>
  </si>
  <si>
    <t>DERVISHAJ,D &amp; WILKISON, JONATHAN R</t>
  </si>
  <si>
    <t>ITASCA B&amp;T CO</t>
  </si>
  <si>
    <t>HERNANDEZ, CAROL E &amp; RICARDO G</t>
  </si>
  <si>
    <t>SHAH, BHUMIKA &amp; KALPESH</t>
  </si>
  <si>
    <t>WAHID, ZEINAB A</t>
  </si>
  <si>
    <t>CASTRO, RUBEN &amp; CASSANDRA P WRIGHT</t>
  </si>
  <si>
    <t>ALSABBAR, BASHAR SALIM/ SAHIB, MAIS</t>
  </si>
  <si>
    <t>SHERRY, JEFFREY</t>
  </si>
  <si>
    <t>VICARIO, SAM &amp; REBECCA</t>
  </si>
  <si>
    <t>PATEL, SHAILAJA &amp; SOURABHKUMAR</t>
  </si>
  <si>
    <t>JENKINS, CARMEN &amp; KEVIN</t>
  </si>
  <si>
    <t>TRUJILLO, ADRIANA</t>
  </si>
  <si>
    <t>DROZD, JOAN H &amp; JOSEPH K</t>
  </si>
  <si>
    <t>RAJU, RICHU VAZHAYIL</t>
  </si>
  <si>
    <t>ABBINANTE, PHILLIP J/C H BROWN</t>
  </si>
  <si>
    <t>DARIUSZ BATKO</t>
  </si>
  <si>
    <t>ARMAN, TAYLOR &amp; BABULA, JOSEPH</t>
  </si>
  <si>
    <t>GREEN, JEFFREY R &amp; LAUREN M</t>
  </si>
  <si>
    <t>BAKOS, ROBERT &amp; ELIZONDO, MONICA</t>
  </si>
  <si>
    <t>ODONNELL,ELIZABETH/TURKOSZ,TEODORA</t>
  </si>
  <si>
    <t>LUBAS, ROBT C &amp; SARA Y</t>
  </si>
  <si>
    <t>LWIN, TIN MOE &amp; THWE, TIN LAY</t>
  </si>
  <si>
    <t>GERACE, BRADLEY &amp; SKOURLIS, TRISHA</t>
  </si>
  <si>
    <t>JANUSKA, ANDRIUS</t>
  </si>
  <si>
    <t>KHAN, SAJID &amp; SAJID, AYESHA</t>
  </si>
  <si>
    <t>PARRY, KARA &amp; NICHOLAS</t>
  </si>
  <si>
    <t>JOYSON, SUSAMMA/MATHEW, JOYSON</t>
  </si>
  <si>
    <t>TRACIE DULCEAK</t>
  </si>
  <si>
    <t>CULLEN, BETHANY J &amp; JOSEPH H</t>
  </si>
  <si>
    <t>MAWIA PAUL</t>
  </si>
  <si>
    <t>FAGAN, BRIAN</t>
  </si>
  <si>
    <t>ASENCIO, ANGELICA &amp; DANIEL</t>
  </si>
  <si>
    <t>FERRUZZA, SAM</t>
  </si>
  <si>
    <t>PEREZ, SILVERIO S &amp; VERONICA</t>
  </si>
  <si>
    <t>AMEED, JACK J &amp; RUEDA, BETZAIDA</t>
  </si>
  <si>
    <t>NAZARII SOLOMCHAK</t>
  </si>
  <si>
    <t>ZGLOBIS, LIDIA M &amp; MARIUSZ</t>
  </si>
  <si>
    <t>KRYSKO, HANNA &amp; IGOR</t>
  </si>
  <si>
    <t>JOSEPH LA PORTE &amp; JOANN BENEDETTI</t>
  </si>
  <si>
    <t>AWALT, DARIN</t>
  </si>
  <si>
    <t>GRUEDER, MATTHEW &amp; LAMBE, AUDREY</t>
  </si>
  <si>
    <t>JOHNSON, GRAHAM</t>
  </si>
  <si>
    <t>ABBASI, SAMEER</t>
  </si>
  <si>
    <t>NEUROCK, DAN M &amp; STACEY</t>
  </si>
  <si>
    <t>DELA ROSA JR, ABRAHAM P/MAYLENE B</t>
  </si>
  <si>
    <t>FORSTER, JASON &amp; LAUREN R</t>
  </si>
  <si>
    <t>FLORES, LUIS G</t>
  </si>
  <si>
    <t>REYES, JAY G &amp; SUE A</t>
  </si>
  <si>
    <t>PATEL, DINA &amp; MUKESHKUMAR G</t>
  </si>
  <si>
    <t>SAMANTHA METALLO</t>
  </si>
  <si>
    <t>GONZALEZ, GUSTAVO</t>
  </si>
  <si>
    <t>MAYER, NATHANIEL C &amp; SARAH M</t>
  </si>
  <si>
    <t>DICENZO, DANL W</t>
  </si>
  <si>
    <t>AGUILAR, HERMINIA &amp; PANTALEON MENA</t>
  </si>
  <si>
    <t>GERSHON, MATHEW &amp; VENTRELLA, N</t>
  </si>
  <si>
    <t>ALI, FARKUNDA J &amp; MIR A</t>
  </si>
  <si>
    <t>ASILJON HOLMATOV</t>
  </si>
  <si>
    <t>ELDRENKAMP, JOSHUA D &amp; CHRISTINA M</t>
  </si>
  <si>
    <t>SONYA A MATSUMOTO</t>
  </si>
  <si>
    <t>NOLAN, SARA &amp; TODD</t>
  </si>
  <si>
    <t>ANN NGOC TRUONG</t>
  </si>
  <si>
    <t>NGUYEN, THAI &amp; PHAN, MY</t>
  </si>
  <si>
    <t>BULLIVANT, BRIAN/PEEREZ, ANGELIA</t>
  </si>
  <si>
    <t>MADISON, CATHERINE A &amp; MARK A</t>
  </si>
  <si>
    <t>JARIWALA, SHIVANI N/PATEL, SHIVANI</t>
  </si>
  <si>
    <t>GROSS, TUONG VI T</t>
  </si>
  <si>
    <t>VOGEL, MIA K</t>
  </si>
  <si>
    <t>SANTIAGO, ELIDA &amp; RYAN A</t>
  </si>
  <si>
    <t>DUDAR, TETIANA &amp; SAVKIV, BORYS</t>
  </si>
  <si>
    <t>ALLEMAN, ROBERT H</t>
  </si>
  <si>
    <t>MOHAMMED IMRAN ALI</t>
  </si>
  <si>
    <t>COHN, SETH &amp; LESZKO, ALICIA</t>
  </si>
  <si>
    <t>PIERZGA, ANETA &amp; MACIEJ</t>
  </si>
  <si>
    <t>BETHI, SRAVAN K &amp; MEDA, AKHILA</t>
  </si>
  <si>
    <t>TRICASE, ASHLEY R &amp; NICHOLAS</t>
  </si>
  <si>
    <t>MC GEE, KERRI LYNN &amp; KEVIN M</t>
  </si>
  <si>
    <t>SAN MARTIN, FRANK</t>
  </si>
  <si>
    <t>HASSAN, MOINUDDIN K ET AL</t>
  </si>
  <si>
    <t>SHULGA, DARLENE J &amp; RONALD</t>
  </si>
  <si>
    <t>KARBOWSKI, AUGUST/LOCH, JESSICA</t>
  </si>
  <si>
    <t>FUNEZ,CHRISTOPHER O/CASTRO,B O ETAL</t>
  </si>
  <si>
    <t>OSCAR A. MERGINIO</t>
  </si>
  <si>
    <t>BELLO,EMMANUEL &amp; TEOFILO/DE LATORRE</t>
  </si>
  <si>
    <t>WROBE, DARIA</t>
  </si>
  <si>
    <t>LEDESMA, GUADALUPE/LOPEZ, EDUARDO</t>
  </si>
  <si>
    <t>STARK, ALYCIA &amp; ERIC</t>
  </si>
  <si>
    <t>THOTTUPURAM, ANIE &amp; CHERIAN</t>
  </si>
  <si>
    <t>MARKIEWICZ, SEAN/WEIGL, MELISSA</t>
  </si>
  <si>
    <t>CAMPION, DAVID R/SOTO, MARIELA</t>
  </si>
  <si>
    <t>SUMARA, ERIN &amp; MAREK</t>
  </si>
  <si>
    <t>CIECK, RONALD &amp; DIANA</t>
  </si>
  <si>
    <t>ANTHONY, AMY &amp; JACK</t>
  </si>
  <si>
    <t>GALLEGOS, GREGORIO</t>
  </si>
  <si>
    <t>KERR, CYNTHIA A &amp; JOHN R</t>
  </si>
  <si>
    <t>PATEL, KANTILAL &amp; RAMA</t>
  </si>
  <si>
    <t>CANESSA, CARLOS A/ROMERO, GABRIELLA</t>
  </si>
  <si>
    <t>MELODY, MELISSA &amp; MUEHLING, KELLY</t>
  </si>
  <si>
    <t>FRCEK, DEBRA A &amp; NICHOLAS</t>
  </si>
  <si>
    <t>HO, THANG &amp; THUONG, THANH</t>
  </si>
  <si>
    <t>CARAVAN SERAI INC</t>
  </si>
  <si>
    <t>NGUYEN, KHANH &amp; NHON</t>
  </si>
  <si>
    <t>TRUC X. NGUYEN</t>
  </si>
  <si>
    <t>ROBERT PETER ANDERSON JR.</t>
  </si>
  <si>
    <t>MICHAEL P PROVINZINO</t>
  </si>
  <si>
    <t>PETER RUIZ</t>
  </si>
  <si>
    <t>COFFMAN, CHARLES Z &amp; TORRES,JERIZA</t>
  </si>
  <si>
    <t>CALEB UCZEN</t>
  </si>
  <si>
    <t>BRITTANY TANNER</t>
  </si>
  <si>
    <t>MARTIN DAO AND JESSICA DAO</t>
  </si>
  <si>
    <t>DIMITROV,VESSELIN M/YAKOVA,MARIYA</t>
  </si>
  <si>
    <t>KATAVIC, MIJO</t>
  </si>
  <si>
    <t>RENDINA, BRIAN</t>
  </si>
  <si>
    <t>BINDER, FRANCIS</t>
  </si>
  <si>
    <t>LIDDLE,JEREMIAH D &amp; MCDOUGAL, J B</t>
  </si>
  <si>
    <t>VY V HO &amp; TUYENT TRAN</t>
  </si>
  <si>
    <t>ARMANDO CHAIREZ</t>
  </si>
  <si>
    <t>MAZUR, ANNA I &amp; ROMAN</t>
  </si>
  <si>
    <t>CATHERINE NGUYEN</t>
  </si>
  <si>
    <t>ANTONIO CARBAJAL</t>
  </si>
  <si>
    <t>KANNEY, ADAM/WILTFONG, RACHEL</t>
  </si>
  <si>
    <t>AMID, GEORGES &amp; SARKOUN</t>
  </si>
  <si>
    <t>DANIEL SCHRADER</t>
  </si>
  <si>
    <t>JABLONSKI, BRIAN &amp; JODI</t>
  </si>
  <si>
    <t>BRODA, ANNA</t>
  </si>
  <si>
    <t>AMAN A. JAFFRI</t>
  </si>
  <si>
    <t>THAKKAR, AMI K &amp; KALPIT J</t>
  </si>
  <si>
    <t>BUSH, KEVIN T &amp; KRISTI</t>
  </si>
  <si>
    <t>LATIF, MARZIA &amp; MOHAMMAD</t>
  </si>
  <si>
    <t>NGUYEN, THANG &amp; TRAN, KHANH</t>
  </si>
  <si>
    <t>REILLY, DEBORAH M &amp; PATRICK</t>
  </si>
  <si>
    <t>ROBERTS, CHRISTINA Y &amp; ERIC R</t>
  </si>
  <si>
    <t>ROFKAHR, JENNIFER L &amp; NATHANIEL D</t>
  </si>
  <si>
    <t>ITURBIDE, KELLY J</t>
  </si>
  <si>
    <t>CLEMENTE RENE VELASQUEZ GARCIA</t>
  </si>
  <si>
    <t>SHULIGA, LUBA &amp; PAUL</t>
  </si>
  <si>
    <t>CHAUHAN, CHINMAY/PARIKH, AMI</t>
  </si>
  <si>
    <t>BUCIO, ELIZABETH &amp; MARIO</t>
  </si>
  <si>
    <t>DEVINE, PATRICK M/PERRONE, L TRSTES</t>
  </si>
  <si>
    <t>LIGHT, MICHAEL &amp; LONG, SHENELL</t>
  </si>
  <si>
    <t>RAMIREZ, CLAUDIA &amp; JOSE W</t>
  </si>
  <si>
    <t>SERNA, RODOLFO &amp; SERNA</t>
  </si>
  <si>
    <t>TRUNG THACH</t>
  </si>
  <si>
    <t>BAXI, VIKAS</t>
  </si>
  <si>
    <t>JOHNSON, ALEXANDER S/PUZON, A M</t>
  </si>
  <si>
    <t>LANHAM, EDWARD &amp; CAROL NELSON</t>
  </si>
  <si>
    <t>PHILLIPS EDISON GROCERY CENTER OP</t>
  </si>
  <si>
    <t>LAMPLIGHTER AGENCY MGT DU PRPTY LLC</t>
  </si>
  <si>
    <t>CHICAGO TITLE LND TR CO</t>
  </si>
  <si>
    <t>WALKER CH PRPTY LLC</t>
  </si>
  <si>
    <t>LITOWITZ, MERLE &amp; HARLEY, WILLIAM</t>
  </si>
  <si>
    <t>SAYLAWALA, JUMANA &amp; ZULFIQAR</t>
  </si>
  <si>
    <t>RAELSON, SEVIA &amp; SAZANT, JORDAN E</t>
  </si>
  <si>
    <t>MITCHELL, BRAD &amp; KIMBERLY</t>
  </si>
  <si>
    <t>PEREZ, DENISE &amp; ROLDAN, MARVIN H</t>
  </si>
  <si>
    <t>LEBAN, CAROLINE &amp; RONALD</t>
  </si>
  <si>
    <t>HILL, JEFFREY S &amp; KATHLEEN BETH</t>
  </si>
  <si>
    <t>MARK DONAHUE</t>
  </si>
  <si>
    <t>OMALLEY, JONATHAN T &amp; VALOSEK,A &amp; P</t>
  </si>
  <si>
    <t>HUDDLE, ERICA S &amp; KOERT J</t>
  </si>
  <si>
    <t>AZIM, ANSWER C &amp; FARIHA A</t>
  </si>
  <si>
    <t>KAZLAUSKAITE,JOLANTA/ZINIS, RENATAS</t>
  </si>
  <si>
    <t>CIUS, JILLIAN</t>
  </si>
  <si>
    <t>ASTETE, JOSEFINA</t>
  </si>
  <si>
    <t>MOUDRY, AMANDA A &amp; TIMOTHY J</t>
  </si>
  <si>
    <t>EVANS, MICHAEL &amp; PAULA M</t>
  </si>
  <si>
    <t>NICOL, ANDREW A &amp; CAMI C</t>
  </si>
  <si>
    <t>GREGORY, MELVIN</t>
  </si>
  <si>
    <t>NICHOLAS EFOSA AGBONIFO</t>
  </si>
  <si>
    <t>MUKENSCHNABL, ROBERT &amp; TAMARA</t>
  </si>
  <si>
    <t>LORIN WUERTH</t>
  </si>
  <si>
    <t>CAJTHAML, DAVID &amp; KIMBERLY</t>
  </si>
  <si>
    <t>JENNINGS, RANDLE G/MOORMAN,JEANNINE</t>
  </si>
  <si>
    <t>TORTORICH, JOSEPH &amp; LAUREN</t>
  </si>
  <si>
    <t>RONALD AVERY HUCKS</t>
  </si>
  <si>
    <t>VANDERPLOW, KRISTY J &amp; MICHAEL E</t>
  </si>
  <si>
    <t>LARGE, JOHN S/ROPER, ELIZABETH A</t>
  </si>
  <si>
    <t>CONVERY, TERESA &amp; THOMAS</t>
  </si>
  <si>
    <t>MABBORANG, EDEN A &amp; JOSEPH T</t>
  </si>
  <si>
    <t>RAMLER, BRADLEY S &amp; JENNIFER</t>
  </si>
  <si>
    <t>ZACHARY JAKAITIS</t>
  </si>
  <si>
    <t>BENNI, CONNIE A &amp; MARISSA</t>
  </si>
  <si>
    <t>KARALIS, ADELE I &amp; MICHAEL T</t>
  </si>
  <si>
    <t>MAUREEN E RUSH</t>
  </si>
  <si>
    <t>RICHARD L VANCURA</t>
  </si>
  <si>
    <t>JASON, JEFFREY T &amp; PATRICIA M</t>
  </si>
  <si>
    <t>STEPHEN T. HOPKINS AND KATHLEEN S. HOPKINS, AS TRUSTEES OF THE STEPHEN T. HOPKINS TRUST, DATED NOVEMBER 26, 2019 AND KATHLEEN S. HOPKINS AND STEPHEN T. HOPKINS, AS TRUSTEES OF THE KATHLEEN S. HOPKINS TRUST</t>
  </si>
  <si>
    <t>GAZMEN, ETHELBERT &amp; LOURDES</t>
  </si>
  <si>
    <t>OOMEN, SOOSAN &amp; SAKHARIAH, OMMAN</t>
  </si>
  <si>
    <t>JOE EGGEBEEN</t>
  </si>
  <si>
    <t>KLETSKY, BRUCE J &amp; CARLOTTA</t>
  </si>
  <si>
    <t>JAMES FARRELL</t>
  </si>
  <si>
    <t>VEGA, CHRISTINA L &amp; GILBERT</t>
  </si>
  <si>
    <t>POLIMEROS,DAVID A/MEY,JESSALYN R V</t>
  </si>
  <si>
    <t>LUSTYK, JESSICA L &amp; RYAN M</t>
  </si>
  <si>
    <t>DIAZ, BRENDA &amp; JOSE</t>
  </si>
  <si>
    <t>BAUER JR, GERALD L &amp; MARIE</t>
  </si>
  <si>
    <t>MARKICH, IVAN S &amp; BILJANA</t>
  </si>
  <si>
    <t>AL SAFADI, SIMA/PHARAON, BEDER</t>
  </si>
  <si>
    <t>NOVAK, GEO E TRTEE</t>
  </si>
  <si>
    <t>RADDATZ, CLAUS D &amp; JENNIFER B</t>
  </si>
  <si>
    <t>SMIAROWSKI, ANDREA &amp; MAREK</t>
  </si>
  <si>
    <t>MOCZARNA, GRAZYNA &amp; MOCZARNY,JACEK</t>
  </si>
  <si>
    <t>HOERSTER, DONNA M TTEE</t>
  </si>
  <si>
    <t>DUFFY, ANTHONY &amp; SUSAN</t>
  </si>
  <si>
    <t>DANIELLE LAMORGESE</t>
  </si>
  <si>
    <t>WELLS III, HOY N &amp; CHRISTINE V</t>
  </si>
  <si>
    <t>LABRIOLA, ELIZA &amp; JUSTIN</t>
  </si>
  <si>
    <t>KAREN A PICCOLI 2013 LIVING TRUST</t>
  </si>
  <si>
    <t>SHARIF, MAHER A</t>
  </si>
  <si>
    <t>PUZ, MATTHEW F &amp; REBECCA A</t>
  </si>
  <si>
    <t>BONNETTE, L STEVE</t>
  </si>
  <si>
    <t>KOWALSKI, MARK I &amp; STEPHANIE D</t>
  </si>
  <si>
    <t>MAUS, JORDAN &amp; PURCELL, BRANDON</t>
  </si>
  <si>
    <t>PETER CANGIALOSI</t>
  </si>
  <si>
    <t>SAILENDRA PAUDEL</t>
  </si>
  <si>
    <t>GLASHIN, BRANDON E &amp; GARRETT</t>
  </si>
  <si>
    <t>BARCA, JAMES P/SNOW, MARY CHRISTIN</t>
  </si>
  <si>
    <t>SCHMIDT, MICHELLE &amp; RUSSELL</t>
  </si>
  <si>
    <t>JACQUELINE HERRERIAS, AS TRUSTEE OF THE JACQUELINE HERRERIAS TRUST DATED OCTOBER 7, 2016</t>
  </si>
  <si>
    <t>MARCHESE, MAUREEN J &amp; RICHARD A</t>
  </si>
  <si>
    <t>YASMEEN B PANAWALA</t>
  </si>
  <si>
    <t>HAACK, DAVID</t>
  </si>
  <si>
    <t>VITAGLIANO JR, ANTHONY N/LAUREN M</t>
  </si>
  <si>
    <t>CHIAMAS, CHRISTINA &amp; PETER</t>
  </si>
  <si>
    <t>MAMPILLY, JOBBY J</t>
  </si>
  <si>
    <t>VEVEK P PARIKH</t>
  </si>
  <si>
    <t>WHALEN, WM J &amp; LOUISE</t>
  </si>
  <si>
    <t>MICHAEL, MARK</t>
  </si>
  <si>
    <t>JACKSON, CHRISTOPHER &amp; KRISTEN</t>
  </si>
  <si>
    <t>SHU, DEMING /XU, SHENGLAN</t>
  </si>
  <si>
    <t>LABERG, JONATHAN &amp; SARA</t>
  </si>
  <si>
    <t>BOZZI, SCOTT &amp; MAKARIS, RITA</t>
  </si>
  <si>
    <t>LEGA, COREY L &amp; THEODORE J</t>
  </si>
  <si>
    <t>GANGI CHIODO, LINDA &amp; PAUL</t>
  </si>
  <si>
    <t>LEONARD M CUNZALO</t>
  </si>
  <si>
    <t>ZAKAR, JOM &amp; SEEMA SIMON</t>
  </si>
  <si>
    <t>RIORDAN, LINDA A &amp; MICHAEL J</t>
  </si>
  <si>
    <t>KARKAZIS, PATRICIA &amp; ROBERT PARCHEM</t>
  </si>
  <si>
    <t>MEREDITH WATERSTRAAT</t>
  </si>
  <si>
    <t>SZYMON J MUCHA</t>
  </si>
  <si>
    <t>ROBINSON, KATIE &amp; SAMUEL</t>
  </si>
  <si>
    <t>ALA E. SASSILA TRUST DATED APRIL 16, 2014 AND AMER SASSILA</t>
  </si>
  <si>
    <t>MONROE, ASHLEY E &amp; ZACHARY T</t>
  </si>
  <si>
    <t>PATEL, PRITESH</t>
  </si>
  <si>
    <t>ROBERT JAMES GONZINI, JR.</t>
  </si>
  <si>
    <t>BRESLIN, EILEEN GARRIGAN &amp; JOHN M</t>
  </si>
  <si>
    <t>BLAND, MAUREEN A &amp; ROBERT S</t>
  </si>
  <si>
    <t>HESTER,JAMES PATRICK &amp; KASSANDRA C</t>
  </si>
  <si>
    <t>BATCHU GREEN, PREM &amp; C GREEN</t>
  </si>
  <si>
    <t>DROUIN, AMY &amp; RYAN</t>
  </si>
  <si>
    <t>ADNANUL A. ARAIN</t>
  </si>
  <si>
    <t>ALVEAR, ALISON F &amp; JOHN</t>
  </si>
  <si>
    <t>KOCH, SANDRA P &amp; TIMOTHY A</t>
  </si>
  <si>
    <t>LAURA A. AYENTO</t>
  </si>
  <si>
    <t>WANER, LINDA A TRUSTEE</t>
  </si>
  <si>
    <t>EMILY MARGARET GARVANOVIC AND MIODRAG TOSIC</t>
  </si>
  <si>
    <t>COLEMAN, DONALD &amp; NOVAK, CHRISTINA</t>
  </si>
  <si>
    <t>AL WAFAI, AMEER/SAFADI, RUBA</t>
  </si>
  <si>
    <t>BURNETT, ADAM J &amp; ELYSE K</t>
  </si>
  <si>
    <t>MOHAMED ALRAGHIB</t>
  </si>
  <si>
    <t>MAHER, CARRIE H &amp; JOHN W</t>
  </si>
  <si>
    <t>KIRSTIN R DIECK</t>
  </si>
  <si>
    <t>PARK, JUN-SANG</t>
  </si>
  <si>
    <t>PODALAK II, CRAIG E &amp; JOAN P</t>
  </si>
  <si>
    <t>ALEJANDRO MARC SOINI</t>
  </si>
  <si>
    <t>MAZUR, CHRISTOPHER &amp; REBECCA</t>
  </si>
  <si>
    <t>PACENTINE, JANE F &amp; JOSEPH P</t>
  </si>
  <si>
    <t>EUSKE, JAMES W &amp; KIMBERLY R</t>
  </si>
  <si>
    <t>MARINELLI, KATHRYN &amp; MICHAEL</t>
  </si>
  <si>
    <t>TAHIR, ARIFA &amp; SAIF</t>
  </si>
  <si>
    <t>NAKAMURA, EMI &amp; KENICHIRO</t>
  </si>
  <si>
    <t>SARTHER, LYNETTE &amp; WILLIAM</t>
  </si>
  <si>
    <t>JONATHON P KOSCIEWICZ</t>
  </si>
  <si>
    <t>SWANSON, LISE S &amp; THORSBY, MARK</t>
  </si>
  <si>
    <t>BASATHIA, FEHMIDA &amp; HAROON</t>
  </si>
  <si>
    <t>MORALES, BRISEYDA &amp; TWAROWSKI, K</t>
  </si>
  <si>
    <t>JOHNSON, JONATHAN M &amp; TRACY E</t>
  </si>
  <si>
    <t>MANTEY, JOEL B &amp; LYNETTE S</t>
  </si>
  <si>
    <t>SERRATA,JERRY &amp; K L MACINTOSH-</t>
  </si>
  <si>
    <t>SCHINK, ALEXA &amp; CHRISTOPHER A</t>
  </si>
  <si>
    <t>VUJOVIC, ANDJELKA &amp; IVAN</t>
  </si>
  <si>
    <t>BOUDWIN, CONSTANCE J &amp; K J KEYES</t>
  </si>
  <si>
    <t>SCHUMANN, CATHERINE &amp; RICHARD</t>
  </si>
  <si>
    <t>ZALDUENDO, CARON &amp; PABLO</t>
  </si>
  <si>
    <t>DONALD BUONAVOLANTO</t>
  </si>
  <si>
    <t>GRIGONIS, EDVARDAS</t>
  </si>
  <si>
    <t>ALONSO, CLAUDIA &amp; RAFAEL</t>
  </si>
  <si>
    <t>SYED HASEEB</t>
  </si>
  <si>
    <t>HOSCHETT,STEPHANIE A/KIEFFER,C A</t>
  </si>
  <si>
    <t>GARCIA-MARTINEZ, JESUS/K D GARCIA</t>
  </si>
  <si>
    <t>NIKOLIC, MILOS &amp; VENSA</t>
  </si>
  <si>
    <t>PIERCE, STEVEN T</t>
  </si>
  <si>
    <t>RINCON, CARMEN &amp; WILLIAM</t>
  </si>
  <si>
    <t>SEQUOIA PRIVATE LAND TRUST</t>
  </si>
  <si>
    <t>VAHL, ERIN M &amp; MATTHEW E</t>
  </si>
  <si>
    <t>WASAN JOHN BALOCH</t>
  </si>
  <si>
    <t>SAVAGE, ERIN R &amp; KEVIN M</t>
  </si>
  <si>
    <t>HOFFMAN, LILIANE M &amp; MARK R</t>
  </si>
  <si>
    <t>JOAN M. RYAN NOE</t>
  </si>
  <si>
    <t>MULGREW, GARY</t>
  </si>
  <si>
    <t>MARINKOVIC, ANGELA &amp; MARIAN</t>
  </si>
  <si>
    <t>WYENT, LAURIE &amp; STEVEN</t>
  </si>
  <si>
    <t>VOUTIRITSAS, JAMES/WOJTYCZKA, J</t>
  </si>
  <si>
    <t>MOHAMMAD WASEEM HUSSEIN JAMALEDDIN</t>
  </si>
  <si>
    <t>BORQUEZ, ANA G &amp; HECTOR G</t>
  </si>
  <si>
    <t>RADENKOVIC, GORAN &amp; GORDANA</t>
  </si>
  <si>
    <t>MARTIN D. SCHULTZ</t>
  </si>
  <si>
    <t>JACOB T. AND RACHEL P. MCCONNELL FAMILY TRUST DATED OCTOBER 6, 2020</t>
  </si>
  <si>
    <t>JUAN JOSE CHAVEZ</t>
  </si>
  <si>
    <t>PATEL, RINKU J &amp; YAMINI</t>
  </si>
  <si>
    <t>HUEBENER, CATHERINE &amp; LISTON, BROCK</t>
  </si>
  <si>
    <t>MURPHY, ANNMARIE C &amp; MICHAEL P</t>
  </si>
  <si>
    <t>HESBON, BRUCE &amp; ELEANOR A O BRIEN</t>
  </si>
  <si>
    <t>FROST, NANCY &amp; STEPHEN</t>
  </si>
  <si>
    <t>GORMAN, NANCY E &amp; JOHN M TRUSTEES</t>
  </si>
  <si>
    <t>MAJID TARAHOMI</t>
  </si>
  <si>
    <t>MUNGOR, JILLIAN C &amp; NICHOLAS M</t>
  </si>
  <si>
    <t>JACOB, MATHEW &amp; MARY MATHEW</t>
  </si>
  <si>
    <t>LEATHERWOOD, DAVID &amp; NICOLE</t>
  </si>
  <si>
    <t>CHRISTIANO, DANIELLE &amp; NICHOLAS</t>
  </si>
  <si>
    <t>MC KEE, JAMES &amp; LISA</t>
  </si>
  <si>
    <t>FINN, SEAN</t>
  </si>
  <si>
    <t>MICHAEL WALSH</t>
  </si>
  <si>
    <t>BAUR, REBECCA ET AL TRUSTEES</t>
  </si>
  <si>
    <t>JML MGT LLC</t>
  </si>
  <si>
    <t>ANA B. CODARCEA</t>
  </si>
  <si>
    <t>GNEISER, DAVID S</t>
  </si>
  <si>
    <t>AMMAR SUNBULLI</t>
  </si>
  <si>
    <t>BRAVO TRANSPORT LLC</t>
  </si>
  <si>
    <t>CORSON, AMY L &amp; MICHAEL W</t>
  </si>
  <si>
    <t>YIYUN FAN AND MICHAEL PEDZIMAZ</t>
  </si>
  <si>
    <t>MULVEY, JAMES &amp; RITA</t>
  </si>
  <si>
    <t>AYALA, CHERRY JOY &amp; NILO</t>
  </si>
  <si>
    <t>FERNANDEZ, ANN MARY/VARGHESE, JIJU</t>
  </si>
  <si>
    <t>ZANIN,GINO P &amp; PHYLLIS K TRUSTEES</t>
  </si>
  <si>
    <t>RASSI, CARLA &amp; GREGORY G</t>
  </si>
  <si>
    <t>SAMANTHA BARNETT</t>
  </si>
  <si>
    <t>SIMIC, MOMCILO &amp; RADOJKA</t>
  </si>
  <si>
    <t>RYLANDER, TIMOTHY</t>
  </si>
  <si>
    <t>BEGLER, LISA M &amp; RICHARD J</t>
  </si>
  <si>
    <t>CONYER, KRAIG &amp; MARIA ROSS</t>
  </si>
  <si>
    <t>ALEJANDRA ORTEGA</t>
  </si>
  <si>
    <t>OTMANSKI, JACQUELINE &amp; MICHAEL</t>
  </si>
  <si>
    <t>LAJEONE, MARY A</t>
  </si>
  <si>
    <t>ERRANDI, GREGORY</t>
  </si>
  <si>
    <t>DRAGAN ZORAN ZLATANOVIC</t>
  </si>
  <si>
    <t>SINENI SR, JACOB R &amp; KEELEY</t>
  </si>
  <si>
    <t>CARLI, ROBERT &amp; SHARON</t>
  </si>
  <si>
    <t>MC RAVEN, MARY E &amp; MICHAEL DIXSON</t>
  </si>
  <si>
    <t>FILIPIAK, KRISTEN &amp; MICHAEL</t>
  </si>
  <si>
    <t>JOSEPH N FRAZETTA JR.</t>
  </si>
  <si>
    <t>DUAN, JINQIAO &amp; XIONG, YAN</t>
  </si>
  <si>
    <t>GIEDRE MICKEVICIENE</t>
  </si>
  <si>
    <t>MICHELLE C. WALASZEK</t>
  </si>
  <si>
    <t>PETERSEN, TODD D</t>
  </si>
  <si>
    <t>CABRERA, ROBT J &amp; SYLVIA B</t>
  </si>
  <si>
    <t>NELSON, JAMES C &amp; SUE M</t>
  </si>
  <si>
    <t>VELAZQUEZ, MARIA &amp; MELISSA</t>
  </si>
  <si>
    <t>MIRANDA,JOAQUIN F C &amp; OTAROLA, D M</t>
  </si>
  <si>
    <t>DUANE DANA WHITE</t>
  </si>
  <si>
    <t>TUNGET, SHELIA</t>
  </si>
  <si>
    <t>LIN, PAUL &amp; WANG, MORLIE</t>
  </si>
  <si>
    <t>DEVON BANK</t>
  </si>
  <si>
    <t>JINGJING CHEN</t>
  </si>
  <si>
    <t>ALBRIGHT, BRIANNA R &amp; JOHN</t>
  </si>
  <si>
    <t>DONNELLAN, DEBRA J/FISHER, DAVID A</t>
  </si>
  <si>
    <t>PITSCH, BRENDA TRUST</t>
  </si>
  <si>
    <t>MALENFANT, GAIL J</t>
  </si>
  <si>
    <t>MARSDEN, TYLER A</t>
  </si>
  <si>
    <t>RONALD CLAUSON</t>
  </si>
  <si>
    <t>KROLAK, ANTHONY &amp; KATHLEEN M HUBEK</t>
  </si>
  <si>
    <t>HOFBAUER, ADAM &amp; MEGAN</t>
  </si>
  <si>
    <t>PANG, YONGGANG &amp; WANG, XIAOLI</t>
  </si>
  <si>
    <t>NICHOLS, ANTHONY J &amp; KATHRYN</t>
  </si>
  <si>
    <t>ARMANDO ONORATO</t>
  </si>
  <si>
    <t>CHANGOVSKI, MILAN &amp; GABERSKI,GORDAN</t>
  </si>
  <si>
    <t>CIENIUCH, ALLAN &amp; MICHAEL</t>
  </si>
  <si>
    <t>ROUW, ALLYN L &amp; DANIEL J</t>
  </si>
  <si>
    <t>WEI L. TSAO</t>
  </si>
  <si>
    <t>ANING, AFUA O</t>
  </si>
  <si>
    <t>KRISTEN GRZYWACZ</t>
  </si>
  <si>
    <t>EVANGELISTA, TERESA M &amp; ORTIZ, JOHANNA</t>
  </si>
  <si>
    <t>WALID MOHAMAD ALAYAN</t>
  </si>
  <si>
    <t>NIU, ZHENYU</t>
  </si>
  <si>
    <t>PAUL LIN</t>
  </si>
  <si>
    <t>FILIPE ALEXANDRE WANG LIU</t>
  </si>
  <si>
    <t>ISBERG, KIMBERLY &amp; SIMON</t>
  </si>
  <si>
    <t>URBAN, LADISLAV</t>
  </si>
  <si>
    <t>ZHONG, RUI</t>
  </si>
  <si>
    <t>LIANG, SANDY JINGMIN</t>
  </si>
  <si>
    <t>LOVE, REBECCA &amp; PLESKOVICH, JOANNE</t>
  </si>
  <si>
    <t>LINDA STRADER</t>
  </si>
  <si>
    <t>KRUEGER, CHARLOTTE J TRUSTEE</t>
  </si>
  <si>
    <t>SARAH N ELLIOTT</t>
  </si>
  <si>
    <t>PADILLA, FRANCISCO &amp; MARIA A</t>
  </si>
  <si>
    <t>MATHEW, SUMANA S</t>
  </si>
  <si>
    <t>DARIEN CROSSING LLC A/K/A DARIEN CROSSING, LLC</t>
  </si>
  <si>
    <t>LOGAN ZETTLEMOYER</t>
  </si>
  <si>
    <t>SAMUEL G DOERR</t>
  </si>
  <si>
    <t>HANSSEL, LAURA E &amp; MATTHEW J</t>
  </si>
  <si>
    <t>REILLY III, JAMES J</t>
  </si>
  <si>
    <t>CAMPBELL, SHEILA R &amp; THOMAS R</t>
  </si>
  <si>
    <t>STANKUS, PETER</t>
  </si>
  <si>
    <t>LEONARD, OLIVER M &amp; SCHEY, TRINA</t>
  </si>
  <si>
    <t>15FIVE LLC</t>
  </si>
  <si>
    <t>HAYES, MICHAEL &amp; KOVANIC, KERI</t>
  </si>
  <si>
    <t>MACK, JEFFREY &amp; MARY A</t>
  </si>
  <si>
    <t>KELLER, TRAVIS &amp; MEYER, KATHARINE</t>
  </si>
  <si>
    <t>CHORNEY, DANL C</t>
  </si>
  <si>
    <t>MOAWAD, JAMES A &amp; SHERRY G</t>
  </si>
  <si>
    <t>KYLE CERAMI</t>
  </si>
  <si>
    <t>MULVEY, JOSEPH</t>
  </si>
  <si>
    <t>HUMMER, WAYNE TR CO</t>
  </si>
  <si>
    <t>HORMANSKI, ANTHONY J</t>
  </si>
  <si>
    <t>DEREK YERKOVICH</t>
  </si>
  <si>
    <t>MC INTYRE, JUDY</t>
  </si>
  <si>
    <t>HP VENTURES GROUP LLC -830 DOWNERS GROVE PROJECT</t>
  </si>
  <si>
    <t>O DONNELL, DAN</t>
  </si>
  <si>
    <t>IH3 PROPERTY ILLINOIS L P</t>
  </si>
  <si>
    <t>CASSON, KELLY A &amp; MICHAEL J</t>
  </si>
  <si>
    <t>BICAN, CARL &amp; ROBYN</t>
  </si>
  <si>
    <t>RYAN SANDER</t>
  </si>
  <si>
    <t>BRYAN DEAN OLSON</t>
  </si>
  <si>
    <t>BRAR, KELSEY &amp; ULOSWCEH, SCOTT J</t>
  </si>
  <si>
    <t>KENNY, GRACE C &amp; MADONIA, ANTHONY M</t>
  </si>
  <si>
    <t>SMITH, MARK P &amp; SHAWNA D</t>
  </si>
  <si>
    <t>FLEMING, PATRICK</t>
  </si>
  <si>
    <t>CICH, AMY ANN</t>
  </si>
  <si>
    <t>ERICKSEN, KAREN D</t>
  </si>
  <si>
    <t>MARIN, CORNELIA</t>
  </si>
  <si>
    <t>STOFFELS, SUSAN G &amp; WILLIAM R</t>
  </si>
  <si>
    <t>NEERAL KAMLESH SHETH</t>
  </si>
  <si>
    <t>DIBIASE, ANGELA</t>
  </si>
  <si>
    <t>CHEN, JULIE &amp; SAMUEL</t>
  </si>
  <si>
    <t>WHITING, BARBARA</t>
  </si>
  <si>
    <t>BUBULA, RICHARD</t>
  </si>
  <si>
    <t>SUAREZ, ALESSANDRA &amp; MARCELO</t>
  </si>
  <si>
    <t>MODUGNO,MICHAEL &amp; NICHOLAS</t>
  </si>
  <si>
    <t>EVANS, CATHERINE R &amp; ROBERT J</t>
  </si>
  <si>
    <t>GUZMAN, MAYRA I &amp; HERNANDEZ, BRIAN</t>
  </si>
  <si>
    <t>JAKELJA, DIANA &amp; JOHN</t>
  </si>
  <si>
    <t>JOHN T. TIERNEY, AS TRUSTEE OF THE JOHN T. TIERNEY 2000 REVOCABLE TRUST DATED FEBRUARY 11, 2000 AND SUSAN F. TIERNEY AS TRUSTEE OF THE SUSAN F. TIERNEY 2000 REVOCABLE TRUST DATED FEBRUARY 11, 2000</t>
  </si>
  <si>
    <t>DISPENSA, MARY ANN &amp; PETER P</t>
  </si>
  <si>
    <t>603-635 ROGERS LLC WASHINGTON CORNR</t>
  </si>
  <si>
    <t>CASEY, FRANCIS G &amp; PAUL E</t>
  </si>
  <si>
    <t>ALOK GAUR TRUSTEE</t>
  </si>
  <si>
    <t>GROVE HOUSE LLC</t>
  </si>
  <si>
    <t>N/A N/A</t>
  </si>
  <si>
    <t>DOWNERS GR NATL BK</t>
  </si>
  <si>
    <t>PLATINUM BUILDERS , AN ILLINOIS LIMITED LIABILITY COMPANY</t>
  </si>
  <si>
    <t>HART PRPTIES LLC</t>
  </si>
  <si>
    <t>THE FIFTY TWO HUNDRED, LLC</t>
  </si>
  <si>
    <t>ERICKSON, ANGELA M &amp; CHRISTOPHER T</t>
  </si>
  <si>
    <t>JAMES A. HEALY LIVING TRUST</t>
  </si>
  <si>
    <t>4919 FOREST AVE, LLC</t>
  </si>
  <si>
    <t>BARRIERE PROPERTIES, LLC</t>
  </si>
  <si>
    <t>SAGASTUME, REBECCA L &amp; ROBIN</t>
  </si>
  <si>
    <t>HAMMOND, CORIN &amp; GARRET</t>
  </si>
  <si>
    <t>JEFFREY PAUL WIKLUND AS TRUSTEE OF THE JW 2021 TRUST</t>
  </si>
  <si>
    <t>ABDUL KHAN</t>
  </si>
  <si>
    <t>KLAUSA, JONATHAN</t>
  </si>
  <si>
    <t>TIMOTHY M. WIETLISPACH</t>
  </si>
  <si>
    <t>ELIZABETH BJORNSETH TULLGREN</t>
  </si>
  <si>
    <t>BALLA, TRICIA S &amp; CANTILENA, C N</t>
  </si>
  <si>
    <t>SALMAN, STACEY &amp; TIMOTHY</t>
  </si>
  <si>
    <t>NICHOLAS KENNEDY</t>
  </si>
  <si>
    <t>LAUDIZIO, MICHAEL M</t>
  </si>
  <si>
    <t>BARBATO, DEBORAH L &amp; JAMES</t>
  </si>
  <si>
    <t>LAKSHMI PRIYA VIJAY</t>
  </si>
  <si>
    <t>SHILIGA, CATHERINE T &amp; JEREMY D</t>
  </si>
  <si>
    <t>PATE, JULIE &amp; MARK L</t>
  </si>
  <si>
    <t>WOLTHUSEN, CHARLES &amp; EIKO</t>
  </si>
  <si>
    <t>BOREK, DANIEL M &amp; KATE E</t>
  </si>
  <si>
    <t>GARDNER, JOSEPH P</t>
  </si>
  <si>
    <t>HOOD, KATHRYN &amp; RENDAK, JONATHAN</t>
  </si>
  <si>
    <t>KARGOL, J</t>
  </si>
  <si>
    <t>STAPLEY, KATHLEEN &amp; STEVEN</t>
  </si>
  <si>
    <t>LASS, CHRISTINA &amp; MOORE, FRANK</t>
  </si>
  <si>
    <t>HERNANDEZ, JACQUELINE J/WILLIAM M</t>
  </si>
  <si>
    <t>AGATE, GIUSEPPE &amp; ESTRADA, CRYSTAL</t>
  </si>
  <si>
    <t>DANIEL FREIN AND ELIZABETH BLACKWELL, CO-TRUSTEES UNDER THE PROVISIONS OF A TRUST AGREEMENT DATED MAY 4, 2022 AND KNOWN AS THE FREIN AND BLACKWELL LIVING TRUST</t>
  </si>
  <si>
    <t>GRABS, JOHN C/LARSON, DAWN M</t>
  </si>
  <si>
    <t>MC CARTHY, ELENA M &amp; LAURENCE M</t>
  </si>
  <si>
    <t>RIVERA, SONIA</t>
  </si>
  <si>
    <t>TIMOTHY M. LABUD</t>
  </si>
  <si>
    <t>WHITE, KATHLEEN &amp; WILLIAM</t>
  </si>
  <si>
    <t>QUINN HENNING</t>
  </si>
  <si>
    <t>NOFFSINGER, ANDREW</t>
  </si>
  <si>
    <t>SURIANO, FRANCESCA E &amp; WILLIAMS, C</t>
  </si>
  <si>
    <t>SOBKOWIAK, ANGELA &amp; SCOTT</t>
  </si>
  <si>
    <t>URSO, JAMES &amp; JUDITH M</t>
  </si>
  <si>
    <t>TOM, CHESTER &amp; YOUNG, JENNIFER H</t>
  </si>
  <si>
    <t>KUNNASSERIL, TOMY A &amp; VIMALA T</t>
  </si>
  <si>
    <t>SOMORA, KIMBERLY &amp; MICHAEL J</t>
  </si>
  <si>
    <t>WOROBEY, MICHAEL R &amp; STEPHANIE E</t>
  </si>
  <si>
    <t>RAY, CHRIS</t>
  </si>
  <si>
    <t>HERNANDEZ, JUNIOR &amp; MARI &amp; KWAK, T</t>
  </si>
  <si>
    <t>MONTEIRO, AMBILY &amp; RUDOLPH</t>
  </si>
  <si>
    <t>FONNEMANN, BRANDON J &amp; KATHERINE A</t>
  </si>
  <si>
    <t>CERVAK, MARIBETH &amp; TERENCE</t>
  </si>
  <si>
    <t>SHOOP, ANDREA &amp; DAVID</t>
  </si>
  <si>
    <t>ASHLEY CARBONI</t>
  </si>
  <si>
    <t>MICHAEL CARVELL</t>
  </si>
  <si>
    <t>MILLER, RITA J &amp; POTTS, DAVID W</t>
  </si>
  <si>
    <t>DUZEK, MARIANA &amp; MARIO</t>
  </si>
  <si>
    <t>AMIT GUPTA</t>
  </si>
  <si>
    <t>MCDONNELL, KIMBERLY &amp; MICHAEL</t>
  </si>
  <si>
    <t>PETERSON, JOHN K &amp; SHANNON R</t>
  </si>
  <si>
    <t>DZIEKAN, JANET M &amp; SUSAN C</t>
  </si>
  <si>
    <t>BURKS, ELIZABETH &amp; KURT B</t>
  </si>
  <si>
    <t>NEIL C FRANCIS JR</t>
  </si>
  <si>
    <t>GRANT, CHRISTOPHER P &amp; KENDALL M</t>
  </si>
  <si>
    <t>D URSO, JILL &amp; JOSEPH</t>
  </si>
  <si>
    <t>PATRICK R. AND MOLLY K. HAYES</t>
  </si>
  <si>
    <t>STEVEN OERTEL</t>
  </si>
  <si>
    <t>NATHAN PRATT</t>
  </si>
  <si>
    <t>MICHAEL C JOSEFIK</t>
  </si>
  <si>
    <t>DONALD WALKER III</t>
  </si>
  <si>
    <t>COLACI, DIANA/SCHERQUIST, SCOTT</t>
  </si>
  <si>
    <t>MASTERSON, JANETTE B &amp; THOMAS B</t>
  </si>
  <si>
    <t>TERESA MILLER</t>
  </si>
  <si>
    <t>STREZO, LARRY &amp; TERRI</t>
  </si>
  <si>
    <t>LEONG, LISA L &amp; WILSON C</t>
  </si>
  <si>
    <t>TIMOTHY BUSH</t>
  </si>
  <si>
    <t>DECHANT, PAUL L/SCHOMBURG, MARGARET</t>
  </si>
  <si>
    <t>SWANSON JR, JAMES G &amp; MEREDITH</t>
  </si>
  <si>
    <t>ROGERS, LESLEY &amp; RYAN</t>
  </si>
  <si>
    <t>LODL, CHERIE &amp; O CONNOR, BARRY</t>
  </si>
  <si>
    <t>MOUIN ELKHATIB</t>
  </si>
  <si>
    <t>CANO, JESSE</t>
  </si>
  <si>
    <t>BAKTOR, HABIB</t>
  </si>
  <si>
    <t>ALMA-RITA CASTILLO HOLANDAY</t>
  </si>
  <si>
    <t>DAVID BEARD</t>
  </si>
  <si>
    <t>AIKMAN, KEVIN E &amp; TAMI M TRUSTEES</t>
  </si>
  <si>
    <t>DE LEON, WINNIE</t>
  </si>
  <si>
    <t>WIELGOSZ, MATINA &amp; ROBERT</t>
  </si>
  <si>
    <t>CAROL KOVACIK</t>
  </si>
  <si>
    <t>KESTNER, CATHERINE &amp; J MATTHEW</t>
  </si>
  <si>
    <t>KOLZOW, SARAH G &amp; WIDLOCK, CURTIS A</t>
  </si>
  <si>
    <t>CHICAGO TITLE LAND TRUST COMPANY, AN ILLINOIS CORPORATION D/B/A THE LAND TRUST COMPANY, AS TRUSTEE UNDER TRUST NUMBER 9002351148, DATED FEBRUARY 10, 2026</t>
  </si>
  <si>
    <t>SMITH, JEFFREY P</t>
  </si>
  <si>
    <t>CELIC JR, DANILO J &amp; MELISSA L</t>
  </si>
  <si>
    <t>LEONHART, BRIAN &amp; MONTES,MINELLY C</t>
  </si>
  <si>
    <t>CLAFFEY, JAMES &amp; JOCELYN</t>
  </si>
  <si>
    <t>BRIAN PEPICH</t>
  </si>
  <si>
    <t>EGGERSDORFER, KAREN &amp; STEVEN</t>
  </si>
  <si>
    <t>PADRON, ANDREW</t>
  </si>
  <si>
    <t>LEGG, CHARLES &amp; VALERIE E</t>
  </si>
  <si>
    <t>BELOKAS, ANTHONY J &amp; ELISABETH A</t>
  </si>
  <si>
    <t>PAIGE, TATE &amp; JODY</t>
  </si>
  <si>
    <t>RAYMOND MANGAN</t>
  </si>
  <si>
    <t>GRIFFIN, TRACY C</t>
  </si>
  <si>
    <t>MILLER, PATRICIA &amp; REGINALD D</t>
  </si>
  <si>
    <t>TUREK, MARTIN D &amp; NICOLE L</t>
  </si>
  <si>
    <t>FAGAN, NICOLE &amp; SWARD, CARTER</t>
  </si>
  <si>
    <t>NEMEC, DARRELL &amp; JAMIE</t>
  </si>
  <si>
    <t>GARRON, CAREY &amp; FERNANDO</t>
  </si>
  <si>
    <t>CASEY, KELLI L &amp; PATRICK T</t>
  </si>
  <si>
    <t>BORZELLO, DANIEL G &amp; CORRINE R FONG</t>
  </si>
  <si>
    <t>MARIANA ORTIZ</t>
  </si>
  <si>
    <t>ROMAN G PADILLA</t>
  </si>
  <si>
    <t>HALL, JOHN W &amp; SKYLA M</t>
  </si>
  <si>
    <t>BRENDAN LYNCH</t>
  </si>
  <si>
    <t>LASTOVKA, RICHARD</t>
  </si>
  <si>
    <t>MATTHEW N VELJKOVICH</t>
  </si>
  <si>
    <t>FUNG, TERRY L</t>
  </si>
  <si>
    <t>SCHULTZ, ERIC &amp; KRYSTYNA</t>
  </si>
  <si>
    <t>ESPINA, NORMAN &amp; PEREZ, MARI FLOR</t>
  </si>
  <si>
    <t>MICHAEL DEUTSCHMANN</t>
  </si>
  <si>
    <t>BROCK, NANCEE L &amp; STEVEN E MARGISON</t>
  </si>
  <si>
    <t>ENZBIGILIS, ALAN/SZCZEPANSKI, LINDA</t>
  </si>
  <si>
    <t>MOLINARI, JAYME &amp; MARK</t>
  </si>
  <si>
    <t>BLAIR, ARIELLE K &amp; TYLER C</t>
  </si>
  <si>
    <t>SLEIMAN, JOUHAINA &amp; SEMAAN</t>
  </si>
  <si>
    <t>GANTZ, LAURA &amp; MICHAEL</t>
  </si>
  <si>
    <t>MATHEW, JIBIN T</t>
  </si>
  <si>
    <t>HOPE, MARY ELLEN</t>
  </si>
  <si>
    <t>GUARDI,JENNIFER L &amp; R T TRUSTEES</t>
  </si>
  <si>
    <t>VALENZIO, JANET</t>
  </si>
  <si>
    <t>HONEY, SCOTT</t>
  </si>
  <si>
    <t>BECKMAN, DIANE &amp; VICEK, KENNETH</t>
  </si>
  <si>
    <t>SOTELO, NINA &amp; SCOTT S</t>
  </si>
  <si>
    <t>SAMINA KHAN</t>
  </si>
  <si>
    <t>ALFAWARES, DAHER &amp; DIANE</t>
  </si>
  <si>
    <t>DELAY, AMANDA &amp; JORDAN</t>
  </si>
  <si>
    <t>KEVIN JARZABKOWSKI</t>
  </si>
  <si>
    <t>WANG, SHIHONG</t>
  </si>
  <si>
    <t>ERDENBERGER, BRITTANY &amp; CRAIG</t>
  </si>
  <si>
    <t>MC GRATH, STEPHEN &amp; A L HECKINGER</t>
  </si>
  <si>
    <t>O ROURKE, CAROL A &amp; NEIL P</t>
  </si>
  <si>
    <t>MANROT, LAURA L &amp; MICHAEL S LIV TR</t>
  </si>
  <si>
    <t>VOGRIN, MELISSA L &amp; STEPHEN G</t>
  </si>
  <si>
    <t>MURPHY JR,MATTHEW J &amp; DALO, KATHRYN</t>
  </si>
  <si>
    <t>POLIKAITIS, DARIUS &amp; LYDIA</t>
  </si>
  <si>
    <t>SEAN BLACKBURN</t>
  </si>
  <si>
    <t>DOMKE, MARGARET R &amp; JARROD L</t>
  </si>
  <si>
    <t>SISUL, JUSTIN &amp; VANWICKLE, JENNIFER</t>
  </si>
  <si>
    <t>BEHLAND, AMY &amp; JEFFREY</t>
  </si>
  <si>
    <t>D ALESSANDRO, CARRIE &amp; JOHN</t>
  </si>
  <si>
    <t>RAPPEL, AMY &amp; KEVIN</t>
  </si>
  <si>
    <t>BAKULA, JAY R &amp; HAYES, MICHELLE L</t>
  </si>
  <si>
    <t>NGUYEN, TUAN VAN &amp; THAI, TUAN D</t>
  </si>
  <si>
    <t>CHRISTINE G COLLINS</t>
  </si>
  <si>
    <t>MULLA, PAJTIM &amp; TATJANA</t>
  </si>
  <si>
    <t>JOSEPH P. SCORPIO</t>
  </si>
  <si>
    <t>ROSE, PETRA &amp; VOLKER</t>
  </si>
  <si>
    <t>WILTZ, DANL A</t>
  </si>
  <si>
    <t>TOMECKI, REBECCA &amp; GEORGE</t>
  </si>
  <si>
    <t>MC MAHON, BRYAN J &amp; ERIN M</t>
  </si>
  <si>
    <t>COULES, NANCY JO &amp; PETER THOMAS</t>
  </si>
  <si>
    <t>DIEFENBACH, JOHN J &amp; PALMER,KELLY A</t>
  </si>
  <si>
    <t>ANGELE, ELIZABETH A &amp; NICHOLAS J</t>
  </si>
  <si>
    <t>NAIR, PRASANTH &amp; RESHMI</t>
  </si>
  <si>
    <t>MEEK, JONATHAN D &amp; YU, ANGEL</t>
  </si>
  <si>
    <t>KRECEK, JUNE &amp; PHILLIP J</t>
  </si>
  <si>
    <t>HOLUBETZ, JASON &amp; MEGAN L</t>
  </si>
  <si>
    <t>MC CAULEY, MARIA L &amp; SCOTT R</t>
  </si>
  <si>
    <t>ANDERSEN, MARY &amp; WILLIAM C HEIMER</t>
  </si>
  <si>
    <t>VONDRA, PATRICIA &amp; RUSSELL</t>
  </si>
  <si>
    <t>BELL, VALARIE &amp; ROACHE, CHRISTOPHER</t>
  </si>
  <si>
    <t>MADUZIA, CHARLES &amp; LISA B</t>
  </si>
  <si>
    <t>GERACI, ANDREW &amp; STONER, ALLISON</t>
  </si>
  <si>
    <t>DE LANGE, RICHARD/DOBIAS, KATHLEEN</t>
  </si>
  <si>
    <t>MIKULSKAYA, MARYNA &amp; ALIAXEI</t>
  </si>
  <si>
    <t>MILLER,TYLER J &amp; SCHREMENTI, TORI L</t>
  </si>
  <si>
    <t>SEXTON, BETH &amp; SCOTT</t>
  </si>
  <si>
    <t>KYLE SEAN COOTS</t>
  </si>
  <si>
    <t>BASCO, JOHN W &amp; HINKLE, KATHARINE A</t>
  </si>
  <si>
    <t>MARINA ROMERO</t>
  </si>
  <si>
    <t>SPRAU, ANASTASIA T &amp; BRANDON PETER</t>
  </si>
  <si>
    <t>VYTAUTAS IZGANAITE</t>
  </si>
  <si>
    <t>THOMAS &amp; BRENNA MATYSIK</t>
  </si>
  <si>
    <t>MIRANDA PADILLA</t>
  </si>
  <si>
    <t>KATHERINE PIEHL</t>
  </si>
  <si>
    <t>YBANEZ, CARLOS</t>
  </si>
  <si>
    <t>CHRISTOPHER CHAKONIS</t>
  </si>
  <si>
    <t>HUGET, CARLENA &amp; CHRISTOPHER</t>
  </si>
  <si>
    <t>BUTTS, MATTHEW DAVID</t>
  </si>
  <si>
    <t>FORST, JOSHUA K &amp; NICOLE E</t>
  </si>
  <si>
    <t>LAZZARETTO, BRENNAN/NAROTSKY, LISA</t>
  </si>
  <si>
    <t>WANG, CAROL S &amp; HSIEN HAU</t>
  </si>
  <si>
    <t>KREUTZ, ALYSSA &amp; TIMOTHY</t>
  </si>
  <si>
    <t>JURALBAL, ETHEL &amp; JORDAN</t>
  </si>
  <si>
    <t>KELLNER, MICHAEL J &amp; REBECCA D</t>
  </si>
  <si>
    <t>PIEGARI, ALEXANDER C &amp; KARYN L</t>
  </si>
  <si>
    <t>ANDRESHAK, ANN M &amp; MICHAEL L</t>
  </si>
  <si>
    <t>BLY, ERIC &amp; SHERYL</t>
  </si>
  <si>
    <t>CHEN, YONG L &amp; HONG MEI LI</t>
  </si>
  <si>
    <t>MOLITOR, GORDON A &amp; KAYLIE MICHELLE</t>
  </si>
  <si>
    <t>HERNANDEZ, ANTHONY/JOHNSON, JULIA A</t>
  </si>
  <si>
    <t>CHRISTIAN QUIROGA</t>
  </si>
  <si>
    <t>CHIAPPE JR, LAURENCE E/RHONDA SAELI</t>
  </si>
  <si>
    <t>STRLE, THERESE</t>
  </si>
  <si>
    <t>ALEXANDER, THOMAS/MATHAI, LALI P</t>
  </si>
  <si>
    <t>DANIEL COLEY</t>
  </si>
  <si>
    <t>HOU, LIPING &amp; HUANG, DINGSHENG</t>
  </si>
  <si>
    <t>ALVAREZ, LETICIA &amp; VICTOR</t>
  </si>
  <si>
    <t>STERLING, ANGELA</t>
  </si>
  <si>
    <t>HALLIN, DAVID G</t>
  </si>
  <si>
    <t>BORMAN, MARK</t>
  </si>
  <si>
    <t>VACHACHIRA, JAISON</t>
  </si>
  <si>
    <t>RUIZ, JESSICA L &amp; SAUL N</t>
  </si>
  <si>
    <t>MILLER, NICOLE &amp; WUCHTER, DANIEL</t>
  </si>
  <si>
    <t>AMBROSE,DANIEL J/WEBB,KRISTA J ETAL</t>
  </si>
  <si>
    <t>MC BRIDE, COLIN E/THOMPSON, HEATHER</t>
  </si>
  <si>
    <t>CORVINO, KAITLYN M/GRONEK, MARK W</t>
  </si>
  <si>
    <t>THOMAS MCBATH</t>
  </si>
  <si>
    <t>MUSSELMAN, BRENDA &amp; KEVIN</t>
  </si>
  <si>
    <t>MICHAEL &amp; JULIA CARROLL</t>
  </si>
  <si>
    <t>DICKE, GRANT</t>
  </si>
  <si>
    <t>BARBATO, AMANDA &amp; BRIAN</t>
  </si>
  <si>
    <t>QUENTIN PLOUSSARD</t>
  </si>
  <si>
    <t>MCELLIGOTT, DAVID J</t>
  </si>
  <si>
    <t>THATCHER, KENNETH BLAKE &amp; RASA</t>
  </si>
  <si>
    <t>TANG, XIAOSU</t>
  </si>
  <si>
    <t>BASILE, JASON J &amp; VALERIE W</t>
  </si>
  <si>
    <t>FEDUN, MICHELLE &amp; WATKINS, MAXWELL</t>
  </si>
  <si>
    <t>KOVACEVIC, GINA R</t>
  </si>
  <si>
    <t>JEANNETTE, AMANDA &amp; GUNNAR</t>
  </si>
  <si>
    <t>WEAVER, GREGORY S &amp; KOURTNI S</t>
  </si>
  <si>
    <t>RASHEEDA INC</t>
  </si>
  <si>
    <t>REVIVE PROPERTIES LLC, AN ILLINOIS LIMITED LIABILITY COMPANY</t>
  </si>
  <si>
    <t>HEPPNER, CHRISTOPHER &amp; DIANA J</t>
  </si>
  <si>
    <t>JASON MORGAN, TRUSTEE OF F EVERYONE TRUST</t>
  </si>
  <si>
    <t>KRUG, KENNETH &amp; MCGRAW, IVY</t>
  </si>
  <si>
    <t>ISLAND CONSTRUCTION, INC.</t>
  </si>
  <si>
    <t>CHRISTOPHER M. BUTTKUS</t>
  </si>
  <si>
    <t>O CONNOR, JOSEPHINE</t>
  </si>
  <si>
    <t>CUNNINGHAM, JAMES RICHARD TRUSTEE</t>
  </si>
  <si>
    <t>EDUARD DEMA</t>
  </si>
  <si>
    <t>AKKATHARA,MANESH/THEVALAKARA, BETSY</t>
  </si>
  <si>
    <t>ELIZABETH SUTON, AS TRUSTEE OF THE ELIZABETH C SUTTON REVOCABLE TRUST DATED JUNE 30, 2021</t>
  </si>
  <si>
    <t>CIENIAN, JULIE C &amp; MICHAEL A</t>
  </si>
  <si>
    <t>KATHLEEN M. LENCIONI, TRUSTEE OF THE KATHLEEN M. LENCIONI DECLARATION OF TRUST DATED MARCH 29, 2018</t>
  </si>
  <si>
    <t>WILKINS, THOMAS J TRUSTEE</t>
  </si>
  <si>
    <t>SACKS,STEVEN H &amp; DANA L CO TRUSTEES</t>
  </si>
  <si>
    <t>RODRIGO O DELIBERATO</t>
  </si>
  <si>
    <t>JORDAN, JENNIFER &amp; JASON</t>
  </si>
  <si>
    <t>SMOOT, STACY</t>
  </si>
  <si>
    <t>LINDSEY E. CONNOLLY, AS TRUSTEE, OR HER SUCCESSOR(S) UNDER THE LINDSEY E. CONNOLLY TRUST DATED NOVEMBER 22, 2017</t>
  </si>
  <si>
    <t>BERCIER, GEORGENE A &amp; MELISSA</t>
  </si>
  <si>
    <t>PETERSON, DONALD R</t>
  </si>
  <si>
    <t>FITZGERALD, DENNIS J &amp; NANCY A</t>
  </si>
  <si>
    <t>LOPEZ, JOSE G</t>
  </si>
  <si>
    <t>MEIER, EVANIS M &amp; DENNIS SLUGA</t>
  </si>
  <si>
    <t>HENDERSON, PATRICE M &amp; THOMAS B</t>
  </si>
  <si>
    <t>O CONNOR, ROBERT E</t>
  </si>
  <si>
    <t>LETIZIA, DANL &amp; NAN</t>
  </si>
  <si>
    <t>RICHARDSON, APRIL M TRUSTEE</t>
  </si>
  <si>
    <t>REUTHER, GEO &amp; MARY M</t>
  </si>
  <si>
    <t>CHRISTOPHER HANSON</t>
  </si>
  <si>
    <t>PUCCINI, JASON</t>
  </si>
  <si>
    <t>BULTHUIS, DANIEL &amp; LIZA</t>
  </si>
  <si>
    <t>HSRE DMG GLEN ELLYN LLC</t>
  </si>
  <si>
    <t>RAY WHALEN BLDRS INC</t>
  </si>
  <si>
    <t>JAMES GRACE PROPERTIES LLC</t>
  </si>
  <si>
    <t>AIA ENTERPRISES, LLC SERIES 5</t>
  </si>
  <si>
    <t>TRYNER, ELIZABETH ANNE</t>
  </si>
  <si>
    <t>FLASH PROPERTY MANAGEMENT LLC, AN ILLINOIS LIMITED LIABILITY COMPANY</t>
  </si>
  <si>
    <t>CHAN, YING OI</t>
  </si>
  <si>
    <t>BRUNO, LYNN &amp; ROBT</t>
  </si>
  <si>
    <t>ZACHARY L TRISKA</t>
  </si>
  <si>
    <t>CAPUTO, JILLIAN ELISE</t>
  </si>
  <si>
    <t>DETRICK, DEBBIE &amp; KURT A</t>
  </si>
  <si>
    <t>DE LANEY, HEATHER A &amp; MARK</t>
  </si>
  <si>
    <t>EGAN, JANE W &amp; TIMOTHY</t>
  </si>
  <si>
    <t>O CAMPO, ANTONIO</t>
  </si>
  <si>
    <t>PLASCENCIA, ELENA &amp; SERGIO</t>
  </si>
  <si>
    <t>DELGADO, RAUL</t>
  </si>
  <si>
    <t>RIGOBERTO TRUJILLO</t>
  </si>
  <si>
    <t>DAKHUM, SAR AUNG/WOM, CHO</t>
  </si>
  <si>
    <t>ISMAIL, KAZI M &amp; SULTANA, NAZIMA</t>
  </si>
  <si>
    <t>NKANGA, ARLETTE M &amp; JEAN-PIERRE K</t>
  </si>
  <si>
    <t>EMAD MOSTAFA</t>
  </si>
  <si>
    <t>MATEEN, MOHAMMED &amp; SOHELA</t>
  </si>
  <si>
    <t>SHAH, DIPTI &amp; JAYMIN</t>
  </si>
  <si>
    <t>SANTIAGO DEJESUS FLORES ROMERO</t>
  </si>
  <si>
    <t>TARA L BURCH</t>
  </si>
  <si>
    <t>MIGUEL SOTO SUAREZ</t>
  </si>
  <si>
    <t>POSADAS, MARIO &amp; NADIA</t>
  </si>
  <si>
    <t>KATIE JOHNSON</t>
  </si>
  <si>
    <t>GEMINI TWINS REALTY INC</t>
  </si>
  <si>
    <t>RODRIGUEZ, INDALECIO &amp; YOLANDA</t>
  </si>
  <si>
    <t>MUHAMMAD KASHIF MEMON</t>
  </si>
  <si>
    <t>DEL VALLE, CRYSTAL A &amp; EDWARD M</t>
  </si>
  <si>
    <t>PERKINS, DEBORAH &amp; PETER J R 111</t>
  </si>
  <si>
    <t>MANCENIDO, AMABLE N &amp; JOSEPHINE</t>
  </si>
  <si>
    <t>RADOUSKY, CHRISTOPHER A</t>
  </si>
  <si>
    <t>CORRAL, JAZMIN L</t>
  </si>
  <si>
    <t>LY, PATRICK T/NGUYEN, HOA T</t>
  </si>
  <si>
    <t>CLARK, CAROL &amp; STEVEN</t>
  </si>
  <si>
    <t>LE, TAN HONG</t>
  </si>
  <si>
    <t>PERRY, CHAS</t>
  </si>
  <si>
    <t>PATEL, MITHUNKUMAR &amp; PARUL</t>
  </si>
  <si>
    <t>TECLE, AMARE &amp; WORKE, YARMWORK</t>
  </si>
  <si>
    <t>MASHKOVICH,MICHAEL &amp; QAWAMI,ZINA S</t>
  </si>
  <si>
    <t>TOMAS CARDENAS</t>
  </si>
  <si>
    <t>SANDOVAL, DIONICIA L</t>
  </si>
  <si>
    <t>IH2 PRPTY ILL</t>
  </si>
  <si>
    <t>INDURANTE, KRISTINE/PAPEO,VITANGELO</t>
  </si>
  <si>
    <t>SHADMAN DURRANI</t>
  </si>
  <si>
    <t>SABA SYED</t>
  </si>
  <si>
    <t>MARIN, EUSEVIO &amp; ISAIAS &amp; JOEL</t>
  </si>
  <si>
    <t>MAHMOOD, S/SALMAN,AMNA/JAVAID,KAMIL</t>
  </si>
  <si>
    <t>JESSICA PENA</t>
  </si>
  <si>
    <t>CHAU, THU/LE, PHYALY</t>
  </si>
  <si>
    <t>OJEDA, GABRIELA A</t>
  </si>
  <si>
    <t>ASRA HAI</t>
  </si>
  <si>
    <t>CLEOPE, ROBEN</t>
  </si>
  <si>
    <t>JOSHI, ASHOK</t>
  </si>
  <si>
    <t>NEWELL, CARLA</t>
  </si>
  <si>
    <t>BHATTI, GULRIKH/TAQIUDDIN, SYED</t>
  </si>
  <si>
    <t>IMTIYAZ AHMED MOHAMMED</t>
  </si>
  <si>
    <t>RUPALBAHEN M. DAJI</t>
  </si>
  <si>
    <t>BAHENA, JOEL</t>
  </si>
  <si>
    <t>CHAWLA, JASVINDER</t>
  </si>
  <si>
    <t>VALDEZ, DIEGO &amp; BONILLA, F VALDEZ</t>
  </si>
  <si>
    <t>MUHAMMAD HASHIM ALI</t>
  </si>
  <si>
    <t>SHAH, SEVANTILAL A/RAMIBEN S</t>
  </si>
  <si>
    <t>VAIDYALINGAM, JEYANTHI/KANDASAMY</t>
  </si>
  <si>
    <t>SHAHJAHAN, SHARMIN/TANVEER, MANUN</t>
  </si>
  <si>
    <t>DROST, RYAN/WANG, CYNTHIA</t>
  </si>
  <si>
    <t>SANDU, LAKHBIR ET AL</t>
  </si>
  <si>
    <t>JOSE CESAR VARGAS AYALA</t>
  </si>
  <si>
    <t>RYAN PAUL</t>
  </si>
  <si>
    <t>HUSSAIN, FARWA</t>
  </si>
  <si>
    <t>THAKKAR, DIMPLE &amp; UMESH</t>
  </si>
  <si>
    <t>MEDINA, ANDREA/TESCHKY, JEREMY</t>
  </si>
  <si>
    <t>DINESH KUMAR JAYAMANI</t>
  </si>
  <si>
    <t>AVILEZ, SANTOS &amp; REYES, JOAQUIN L</t>
  </si>
  <si>
    <t>PATEL, ALPESH, NIYATI, SHOBHABEN</t>
  </si>
  <si>
    <t>BOUR, SOPANA &amp; KHAN, JENICE</t>
  </si>
  <si>
    <t>TSILIBIRIS, GEORGE/P KATSELIS</t>
  </si>
  <si>
    <t>SHARMA, RAJINDER KUMAR/SHASHI</t>
  </si>
  <si>
    <t>COREY G. ROSS</t>
  </si>
  <si>
    <t>PATEL, GAUTTAMKUMAR N &amp; MANISHA G</t>
  </si>
  <si>
    <t>PATEL, DAMJI</t>
  </si>
  <si>
    <t>FORD, MATTHEW D &amp; MOIRA R</t>
  </si>
  <si>
    <t>PATEL, DINESH, MANIULA &amp; REKHABEN</t>
  </si>
  <si>
    <t>CHAN, LAUREN &amp; MENG HSIU</t>
  </si>
  <si>
    <t>AKASH CHANDRAKANT PATEL</t>
  </si>
  <si>
    <t>LOCONTI SR, SCOTT M</t>
  </si>
  <si>
    <t>AMIN, ALKA K &amp; KIRI M</t>
  </si>
  <si>
    <t>MADADAKERE, MANJULA P &amp; PRAKASH P</t>
  </si>
  <si>
    <t>SPEARS, JOHN W &amp; TAMMY</t>
  </si>
  <si>
    <t>THAKAR, ANITA B &amp; BALKRISHNA R</t>
  </si>
  <si>
    <t>KEMPER, JAMES &amp; SANDRA</t>
  </si>
  <si>
    <t>JAYSWAL, CHANDRAKALA &amp; MUKUNDLAL</t>
  </si>
  <si>
    <t>SINGH, ARSHDEEP &amp; SHIKHA</t>
  </si>
  <si>
    <t>WAGNER, KYLE D &amp; MONICA G</t>
  </si>
  <si>
    <t>PATEL, HINA K &amp; KISHOR D</t>
  </si>
  <si>
    <t>KOTYZA, ADAM &amp; MARZENA</t>
  </si>
  <si>
    <t>PALACIOS, MARTHA MORA/VAN WINKLE, T</t>
  </si>
  <si>
    <t>PERACCA, ASHLEY &amp; TREVON</t>
  </si>
  <si>
    <t>BOND, GLENN R &amp; BRYANT, DEBBIE</t>
  </si>
  <si>
    <t>PATEL, MINAZI P &amp; PRALAD C</t>
  </si>
  <si>
    <t>ABDULLAH, SYED</t>
  </si>
  <si>
    <t>HAIDER, QASIM/HYDER, SYED W</t>
  </si>
  <si>
    <t>SENG YANG</t>
  </si>
  <si>
    <t>KEYUR PARIKH</t>
  </si>
  <si>
    <t>JAMES RAYMOND HOUSWERTH IV</t>
  </si>
  <si>
    <t>PREETPAL GREWAL</t>
  </si>
  <si>
    <t>CAMMELOT, WILLIAM A</t>
  </si>
  <si>
    <t>MIENTA, G M &amp; S W/TARNAWSKI, W W</t>
  </si>
  <si>
    <t>SAUBER, AMY &amp; KURT</t>
  </si>
  <si>
    <t>CHARLES J. WEIRICH JR.</t>
  </si>
  <si>
    <t>VICTORIA B TOMASIK</t>
  </si>
  <si>
    <t>TAMBURELLO, FRANCESCA &amp; GREGORY</t>
  </si>
  <si>
    <t>KACKI, MARTA &amp; TOMASZ M</t>
  </si>
  <si>
    <t>DIAZ, DEBORAH &amp; FRANCISCO</t>
  </si>
  <si>
    <t>LASCANO, OFELIA &amp; RODOLFO</t>
  </si>
  <si>
    <t>SANTOSH KUMAR OAD</t>
  </si>
  <si>
    <t>VILLAROS, CONSOLACION C</t>
  </si>
  <si>
    <t>MARKOVIC, IVAN</t>
  </si>
  <si>
    <t>MENDOZA, JESUS M</t>
  </si>
  <si>
    <t>MARTINEZ, JORGE L &amp; SARAH M</t>
  </si>
  <si>
    <t>ABDUL FASI MOHAMMED</t>
  </si>
  <si>
    <t>FRASER, JOSEPH R</t>
  </si>
  <si>
    <t>MONJE, ROANE LEE/TIMOG, RACHELLS</t>
  </si>
  <si>
    <t>SONI, HARSHAD &amp; PURVI</t>
  </si>
  <si>
    <t>HARTLEY, DAVID F &amp; MELISSA S</t>
  </si>
  <si>
    <t>SUJA KC TANDUR</t>
  </si>
  <si>
    <t>MARIO GARCIA</t>
  </si>
  <si>
    <t>HERNANDEZ, OSCAR P &amp; VACCARO,NINA</t>
  </si>
  <si>
    <t>JOSE MEDINA</t>
  </si>
  <si>
    <t>NAGLA, MANAV DAYAL</t>
  </si>
  <si>
    <t>UNION NATL B&amp;T CO ELGIN / J. WOITEL</t>
  </si>
  <si>
    <t>THAKER, AKSHAY M TTEE</t>
  </si>
  <si>
    <t>JOSE M. URIBE</t>
  </si>
  <si>
    <t>LUIS ROSAS-DAVILA</t>
  </si>
  <si>
    <t>LIEBERENZ, DIA &amp; STEVEN C</t>
  </si>
  <si>
    <t>MORAN, SHEILA</t>
  </si>
  <si>
    <t>POLLOCK, REBECCA &amp; SAMUEL,DANIELSON</t>
  </si>
  <si>
    <t>MAZZOLINI, KATHERINE &amp; MICHAEL G</t>
  </si>
  <si>
    <t>LOPEZ, TOMAS S</t>
  </si>
  <si>
    <t>ROGERS, JAMES E</t>
  </si>
  <si>
    <t>HUO, JIAN/PAN, PENG</t>
  </si>
  <si>
    <t>SB-WELLINGTON, LLC</t>
  </si>
  <si>
    <t>LAZO, ALFREDO R &amp; LEILA RIVERA</t>
  </si>
  <si>
    <t>MATTHEW DICIANNI</t>
  </si>
  <si>
    <t>SOMERSTORFER, STEVEN J</t>
  </si>
  <si>
    <t>BAWA, AASHEETA A &amp; AMIT K</t>
  </si>
  <si>
    <t>HANNA, JOHN D &amp; HEATHER WILSON</t>
  </si>
  <si>
    <t>MEZGER FAMILY REV TR</t>
  </si>
  <si>
    <t>DALY, ELIZABETH &amp; GEORGE</t>
  </si>
  <si>
    <t>SHVYDKO, NATALIA &amp; YURI</t>
  </si>
  <si>
    <t>WALLS, JUANITA &amp; RODERICK</t>
  </si>
  <si>
    <t>MUNOZ, DANIEL &amp; FREDLOCK, BAILIE</t>
  </si>
  <si>
    <t>KLODY, CHRISTINE A &amp; MATHEW T</t>
  </si>
  <si>
    <t>BRITTANIE CAMPBELL-TURNER</t>
  </si>
  <si>
    <t>HUANG, QUIANG</t>
  </si>
  <si>
    <t>XUANJU SHANG</t>
  </si>
  <si>
    <t>GO LMBD LLC</t>
  </si>
  <si>
    <t>IRED LMBD LLC</t>
  </si>
  <si>
    <t>BRIGHT FUTURE INVESTMENT, LLC</t>
  </si>
  <si>
    <t>GENOV, VELIMIR G/ULLOA, AMY C</t>
  </si>
  <si>
    <t>KELLEY, ELIZABETH &amp; ROGER</t>
  </si>
  <si>
    <t>BATOR, EMILY &amp; BENNICK, BRETT</t>
  </si>
  <si>
    <t>DASTHAGIR, S I A S G/IGBAL, M S S M</t>
  </si>
  <si>
    <t>SANDRA JENNETH MOUBACHER</t>
  </si>
  <si>
    <t>MALDONADO, ALBERTO</t>
  </si>
  <si>
    <t>SANELA HAMZA</t>
  </si>
  <si>
    <t>CHRISTOPHER A WOODWARD</t>
  </si>
  <si>
    <t>SANCHEZ, MANUEL &amp; SILVAS, YADIRA</t>
  </si>
  <si>
    <t>KAMAL, MUSTAFA MAHMOOD M</t>
  </si>
  <si>
    <t>DANICA DAUBENSPECK</t>
  </si>
  <si>
    <t>BABY K. GEORGE</t>
  </si>
  <si>
    <t>HARN, ADAM M &amp; MICHELLE N</t>
  </si>
  <si>
    <t>BELL FAMILY TR</t>
  </si>
  <si>
    <t>GONZALEZ, EDISON B &amp; RINCON, P F</t>
  </si>
  <si>
    <t>KING, CAROL M &amp; MARK K</t>
  </si>
  <si>
    <t>CONNOR RODHEIM</t>
  </si>
  <si>
    <t>CLARK, ANDREW D/KILKUS, CAITLIN</t>
  </si>
  <si>
    <t>DARCIE JONES</t>
  </si>
  <si>
    <t>FRANK C DELUCA</t>
  </si>
  <si>
    <t>LINDSEY RAPINCHUK</t>
  </si>
  <si>
    <t>CHERYL STARK</t>
  </si>
  <si>
    <t>FLYNN, KATHLEEN V &amp; ROBERT A</t>
  </si>
  <si>
    <t>GRESCHUK, DANYA J &amp; ERIC C</t>
  </si>
  <si>
    <t>POOLER,MACKLIN J/SANSONE,BRITTANY A</t>
  </si>
  <si>
    <t>SZKOLKA, EVELYN &amp; JOHN</t>
  </si>
  <si>
    <t>MALIEKAL, JOSE A &amp; MARIAMMA J</t>
  </si>
  <si>
    <t>MICHAEL HICKS</t>
  </si>
  <si>
    <t>BRITTON, KELLY</t>
  </si>
  <si>
    <t>KEEGAN GASPARI</t>
  </si>
  <si>
    <t>LOEFER, CHRISTINA &amp; TODD MUNSON</t>
  </si>
  <si>
    <t>HENEGHAN, THOMAS &amp; VALERIE</t>
  </si>
  <si>
    <t>DAVALOS, JORGE/MARIA T GUERRERO</t>
  </si>
  <si>
    <t>ESTKA, EDMUND &amp; ANNA MARTINEZ ESTKA</t>
  </si>
  <si>
    <t>DE LA ROSA, OLIVIA I</t>
  </si>
  <si>
    <t>EVERLY, JANINE K &amp; PEREZ, CAESAR I</t>
  </si>
  <si>
    <t>JOSE GREGORIE MEJIAS ALVARADO</t>
  </si>
  <si>
    <t>DIM, THANG K &amp; PIANG, ZAM</t>
  </si>
  <si>
    <t>ALIDOUSTI,AHMADREZA/JARMER,SVETLANA</t>
  </si>
  <si>
    <t>MANSON, SHARON</t>
  </si>
  <si>
    <t>BARSOUMIAN, SOSSY &amp; DIKRAN</t>
  </si>
  <si>
    <t>GARTMAN, RYAN &amp; GRANGER, ELIZABETH</t>
  </si>
  <si>
    <t>SUGHRA KALOTA</t>
  </si>
  <si>
    <t>OTTOSEN, TYLER D AND MAGDALENA B</t>
  </si>
  <si>
    <t>JOSEPH, ALEY &amp; J. KOLLAPARAMPEL</t>
  </si>
  <si>
    <t>EDWARD WISER</t>
  </si>
  <si>
    <t>MAKASIAR, CLEA &amp; EDWIN</t>
  </si>
  <si>
    <t>GEORGE, SEENA/JOHN, SHANNU</t>
  </si>
  <si>
    <t>SULAIMAN FOLARIN</t>
  </si>
  <si>
    <t>SCOTT, JACQUELINE S</t>
  </si>
  <si>
    <t>BRENNAN, KEVIN</t>
  </si>
  <si>
    <t>STEVE &amp; TAMI WINKLER</t>
  </si>
  <si>
    <t>SHERLY SAENZ</t>
  </si>
  <si>
    <t>FLORES, AMY M &amp; JOSEPH D</t>
  </si>
  <si>
    <t>JOSHUA LUNDGREN</t>
  </si>
  <si>
    <t>QAISER, AFZAAL &amp; HAFSA, UME</t>
  </si>
  <si>
    <t>ARA, ORION V &amp; SONILA</t>
  </si>
  <si>
    <t>BEUNAFE, RITCHE</t>
  </si>
  <si>
    <t>OMAR OSMAN</t>
  </si>
  <si>
    <t>STACY, BRIAN</t>
  </si>
  <si>
    <t>NAJAM SIDDIQUI</t>
  </si>
  <si>
    <t>RUSSO, DANIEL</t>
  </si>
  <si>
    <t>VERA, NICOLAS D &amp; SUSAN R</t>
  </si>
  <si>
    <t>ELEVEN THIRTY THREE L.L.C.</t>
  </si>
  <si>
    <t>BUENO, NOEL &amp; KAPUSTKA, JUSTYNA A</t>
  </si>
  <si>
    <t>ATANASOV, DANIEL &amp; VERONICA</t>
  </si>
  <si>
    <t>HANSEN, TRACEY A /QUINLAN, THOMAS J</t>
  </si>
  <si>
    <t>ROMERO, ISRAEL</t>
  </si>
  <si>
    <t>ORTIZ, YESENIA C/VALDIVIA, JESUS F</t>
  </si>
  <si>
    <t>SARAH AHMED</t>
  </si>
  <si>
    <t>SENNE, JENNIFER &amp; JONATHAN</t>
  </si>
  <si>
    <t>MOHAMMED, TAHSEEN &amp; QUADEER, YASMEE</t>
  </si>
  <si>
    <t>ELDI TOSKA</t>
  </si>
  <si>
    <t>BAKHSHI, ANJU &amp; SUNIL</t>
  </si>
  <si>
    <t>ALISHA PHILIP</t>
  </si>
  <si>
    <t>STONE, SHANNON</t>
  </si>
  <si>
    <t>MC GOVERN, BETH</t>
  </si>
  <si>
    <t>TRIPLETT-JONES, MAIGAN E</t>
  </si>
  <si>
    <t>OHARA, CAITLIN S &amp; KATHLEEN H</t>
  </si>
  <si>
    <t>ANTHONY PEZZULO</t>
  </si>
  <si>
    <t>CARR, PATRICIA A</t>
  </si>
  <si>
    <t>LENA ANANI</t>
  </si>
  <si>
    <t>MOHAMMED, TAHSEEN</t>
  </si>
  <si>
    <t>SONIA MARIBEL SANCHEZ</t>
  </si>
  <si>
    <t>INGENIOUS URBAN CONSTRUCTIONS LLC</t>
  </si>
  <si>
    <t>BLEFFER-RIDING, PENNY L &amp; ERIC S</t>
  </si>
  <si>
    <t>COPKO LLC, AN ILLINOIS LIMITED LIABILITY COMPANY</t>
  </si>
  <si>
    <t>ANGELICO JR, JAMES J &amp; LAUREN E</t>
  </si>
  <si>
    <t>JEFFREY KEN MEI</t>
  </si>
  <si>
    <t>HOWARD, JAMES</t>
  </si>
  <si>
    <t>GARICA, MA LETICIA</t>
  </si>
  <si>
    <t>SCHEFFERT, KELLY M &amp; PAUL R</t>
  </si>
  <si>
    <t>HERRERA, IRMA &amp; LUCAS P</t>
  </si>
  <si>
    <t>TONY CAKO</t>
  </si>
  <si>
    <t>GUDZ, KARI &amp; LOWE, CHRISTIAN</t>
  </si>
  <si>
    <t>FILIPOVIC, SONJA</t>
  </si>
  <si>
    <t>DUNCAN, KATHLEEN L/WILLIAM KENT</t>
  </si>
  <si>
    <t>ARFEEN, FATIMA &amp; ZAHID</t>
  </si>
  <si>
    <t>BERNATEK, DANL P &amp; V L FINKEL</t>
  </si>
  <si>
    <t>TIMOTHY DAVID MCGINTY</t>
  </si>
  <si>
    <t>EL OUBARI, ZOUHEIR A</t>
  </si>
  <si>
    <t>GERSILDA BACI</t>
  </si>
  <si>
    <t>MAAZ AHMAD SHAIKH</t>
  </si>
  <si>
    <t>AUBREY GUTHRIE</t>
  </si>
  <si>
    <t>NIELSON, CYNTHIA</t>
  </si>
  <si>
    <t>LEVI FRANCES MONTILLA</t>
  </si>
  <si>
    <t>GARCIA, LUIS A &amp; TATIANA S</t>
  </si>
  <si>
    <t>JOSEPH, JINCY</t>
  </si>
  <si>
    <t>DODGE JR, N P</t>
  </si>
  <si>
    <t>HELEN M MALONE</t>
  </si>
  <si>
    <t>NEDUMGOTTIL, JOSEPH</t>
  </si>
  <si>
    <t>LIPKA, AGATA &amp; MIROSLAW</t>
  </si>
  <si>
    <t>SCHUCHARDT, EVA MARIE &amp; JAMES B</t>
  </si>
  <si>
    <t>PHI DUNG NGUYEN</t>
  </si>
  <si>
    <t>SALMAN, MOHAMMED</t>
  </si>
  <si>
    <t>SHAH, JALPA, KEYUR &amp; JYOTI</t>
  </si>
  <si>
    <t>MOHAMMED, VASIUDDIN F &amp; TANVEER, S</t>
  </si>
  <si>
    <t>IBALIO, ALVIN L/MANOSCA, FRANCES I</t>
  </si>
  <si>
    <t>DANIEL HAFER</t>
  </si>
  <si>
    <t>NASREEN NISHAT ANSARI</t>
  </si>
  <si>
    <t>HUSSAINI, SYED A &amp; SYED F</t>
  </si>
  <si>
    <t>SINGH, ROOPALI &amp; SURINDER</t>
  </si>
  <si>
    <t>GIALO PROPERTIES LLC</t>
  </si>
  <si>
    <t>AZEEZ, NOMAAN</t>
  </si>
  <si>
    <t>ALI SIDDIQUI</t>
  </si>
  <si>
    <t>WALUS, ANGELIC &amp; PETER</t>
  </si>
  <si>
    <t>GALLT, KENNETH</t>
  </si>
  <si>
    <t>CATALANO, SUZANNETTE</t>
  </si>
  <si>
    <t>GREGORY, RICHARD L/NOLAN, CRYSTAL E</t>
  </si>
  <si>
    <t>OMAR, RIZWANA &amp; SYED</t>
  </si>
  <si>
    <t>WALLACE, ALEXANDRA &amp; RICHARD P</t>
  </si>
  <si>
    <t>BELAIDI, FARIDA &amp; ZOURDANI,SR R</t>
  </si>
  <si>
    <t>CHICAGO TITLE LAND TRUST COMPANY, AS TRUSTEE UNDER THE PROVISIONS OF A CERTAIN TRUST AGREEMENT DATED OCTOBER 27, 2023 AND KNOWN AS TRUST NUMBER 8002393119</t>
  </si>
  <si>
    <t>LOWRY, RICHARD M</t>
  </si>
  <si>
    <t>FAN, YANSHAN &amp; WANG, DAN</t>
  </si>
  <si>
    <t>JOHN K &amp; CHIN YU MA</t>
  </si>
  <si>
    <t>VAGHANI, SAVITABEN V &amp; VALLABH</t>
  </si>
  <si>
    <t>WANG, XU</t>
  </si>
  <si>
    <t>BIXIN DENG</t>
  </si>
  <si>
    <t>FEDOROVYCH, ANDRIY &amp; OLENA</t>
  </si>
  <si>
    <t>BERAN JR, ROBIN D</t>
  </si>
  <si>
    <t>HIBBERT, JAMES A &amp; JOYCE A</t>
  </si>
  <si>
    <t>LEE, RENEE &amp; ROBERT</t>
  </si>
  <si>
    <t>KRUEGER, JOHN &amp; MARY ELLEN</t>
  </si>
  <si>
    <t>WRIGHT, STEPHEN &amp; VIRGINIA</t>
  </si>
  <si>
    <t>DEBORAH L AND JOSEF A KONRAD FRANZ</t>
  </si>
  <si>
    <t>DAVIDSON, CHARLES L &amp; CHARLETTE A</t>
  </si>
  <si>
    <t>LARRY W HIIPAKKA AND SANDRA LEE HIIPAKKA AS TRUSTEES OF THE JOINT TRUST OF LARRY WALTER HIIPAKKA AND SANDRA LEE HIIPAKKA, DATED FEBRUARY 12, 2022</t>
  </si>
  <si>
    <t>XIAO, JIANHONG/XU, KUN</t>
  </si>
  <si>
    <t>TERRY L JONES</t>
  </si>
  <si>
    <t>SMITH-ZAHNER, RONNA/WINTERBURG, ROY</t>
  </si>
  <si>
    <t>DE LA PENA, L P &amp; VELDERRAIN, OSCAR</t>
  </si>
  <si>
    <t>GOYAL, ANURADHA D &amp; DIVAYESHKUMAR N</t>
  </si>
  <si>
    <t>B B M INC</t>
  </si>
  <si>
    <t>TRP 3436 S. WASHINGTON LLC</t>
  </si>
  <si>
    <t>BC 119 LLC/MLF 119 LLC ET AL</t>
  </si>
  <si>
    <t>YACKLEY HOLDING CO LLC</t>
  </si>
  <si>
    <t>RPAI NAPERVILLE MAIN N LLC</t>
  </si>
  <si>
    <t>JUDD DEVELOPMENT LLC</t>
  </si>
  <si>
    <t>YACKLEY, DWIGHT A REV TR</t>
  </si>
  <si>
    <t>LIS, MONIKA K &amp; PORTER, CHRISTOPHER</t>
  </si>
  <si>
    <t>SRINIVASA RAO DULLAM</t>
  </si>
  <si>
    <t>STONE, JULIE &amp; STEVEN</t>
  </si>
  <si>
    <t>SMITH, GARY</t>
  </si>
  <si>
    <t>STEINMEYER, JUDITH A</t>
  </si>
  <si>
    <t>HASTINGS, KATHERINE &amp; ROBT</t>
  </si>
  <si>
    <t>PILLAI, SUNIL</t>
  </si>
  <si>
    <t>KRUSENOSKI JR, GARY R &amp; JESSICA L</t>
  </si>
  <si>
    <t>GLISOVIC, DEJAN &amp; NATALIJA</t>
  </si>
  <si>
    <t>JIKAI JIA</t>
  </si>
  <si>
    <t>PARK, SAM Y &amp; YOO, JIN H</t>
  </si>
  <si>
    <t>JAIN, YAMINI &amp; VAISH, KSHITIJ</t>
  </si>
  <si>
    <t>DONOHOE, KEVIN J</t>
  </si>
  <si>
    <t>JABLONSKI, GEORGIANNA &amp; MARK</t>
  </si>
  <si>
    <t>ISMAIL YILDIRIM</t>
  </si>
  <si>
    <t>NALL, KAJAL &amp; VINCENT</t>
  </si>
  <si>
    <t>JASON WU</t>
  </si>
  <si>
    <t>BHAVSAR, SHEHAL E</t>
  </si>
  <si>
    <t>DI FRANCO, LISA &amp; ROCCO</t>
  </si>
  <si>
    <t>PHILLIPS, PATRICIA A</t>
  </si>
  <si>
    <t>SANTOYO JR, JEROME &amp; JESSICA</t>
  </si>
  <si>
    <t>GORTE, ERIC &amp; KAYLA</t>
  </si>
  <si>
    <t>ANVESH NAIDU GUNUPURU</t>
  </si>
  <si>
    <t>NAYAK, JAY &amp; KATHRYN</t>
  </si>
  <si>
    <t>HEATHER R. DUGENA</t>
  </si>
  <si>
    <t>FERGUSON, CHRISTOPHER/SAVITA CINDY</t>
  </si>
  <si>
    <t>JABRI, MOHAMED I</t>
  </si>
  <si>
    <t>HYLAND, EMILY &amp; DARIUSZ SZWARC</t>
  </si>
  <si>
    <t>JAUCH, GLENN</t>
  </si>
  <si>
    <t>SHAH, SOHIL D &amp; ZIL SOHIL</t>
  </si>
  <si>
    <t>JOHN D BROWN JR</t>
  </si>
  <si>
    <t>OSIRIS CARRION</t>
  </si>
  <si>
    <t>ARTUR PSHEDZIAL</t>
  </si>
  <si>
    <t>RAM ASHISH SHUKLA</t>
  </si>
  <si>
    <t>PETRI, LARRY W &amp; SIMA R</t>
  </si>
  <si>
    <t>CLAUDON, BETH E &amp; TIM J</t>
  </si>
  <si>
    <t>OLSON, JENNIFER &amp; MARK</t>
  </si>
  <si>
    <t>STANEK, LAURA E &amp; RICHARD A</t>
  </si>
  <si>
    <t>VENKITASUBRAMANIAN, V &amp; I SETHURAMAN</t>
  </si>
  <si>
    <t>CHEN, WAI &amp; KAM, KIN-MAN</t>
  </si>
  <si>
    <t>LANG, ASHLEY E &amp; PAPP, KYLE M</t>
  </si>
  <si>
    <t>JUNG H. LEE</t>
  </si>
  <si>
    <t>MEYER, ADAM</t>
  </si>
  <si>
    <t>WALLRICH, KATARZYNA J</t>
  </si>
  <si>
    <t>BHATIA, RISHI</t>
  </si>
  <si>
    <t>WEDDLE, JENNIFER J &amp; MATTTHEW J</t>
  </si>
  <si>
    <t>BETANCOURT, MINERBA/ORDUNA, JOSE H</t>
  </si>
  <si>
    <t>AARON M. JENKINS, JR</t>
  </si>
  <si>
    <t>SCHULTZ, MEGAN D &amp; PAUL J</t>
  </si>
  <si>
    <t>STROJNY, MICHAEL</t>
  </si>
  <si>
    <t>DE GEORGE, HEATHER &amp; MICHAEL</t>
  </si>
  <si>
    <t>ADAMS,EMILY A &amp; MONTALBANO, VINCENT</t>
  </si>
  <si>
    <t>SATEESH PASUPULETI</t>
  </si>
  <si>
    <t>SYAMALA SRINIVASAN REVOCABLE TRUST DATED JUNE 23, 2009</t>
  </si>
  <si>
    <t>VALLANDINGHAM, EILEEN &amp; JAMES</t>
  </si>
  <si>
    <t>ORIORDAN, ELIZABETH A &amp; TREVOR P</t>
  </si>
  <si>
    <t>ALESI, RICHARD E/ RODRIGUEZ A &amp; D</t>
  </si>
  <si>
    <t>OLVERA, JENNIFER E</t>
  </si>
  <si>
    <t>BHATT, JITENDRA</t>
  </si>
  <si>
    <t>DELOUGHERY, JAMES &amp; MAIERE</t>
  </si>
  <si>
    <t>JIMMY ZHU</t>
  </si>
  <si>
    <t>JAMES SHIOU</t>
  </si>
  <si>
    <t>KHAN, MOHAMMED &amp; SUHANA, SHAHEEN</t>
  </si>
  <si>
    <t>HERLIHY, PATRICIA A</t>
  </si>
  <si>
    <t>BERTUCA, JOHN M</t>
  </si>
  <si>
    <t>HUNG, PEI-YU &amp; MING-WEN</t>
  </si>
  <si>
    <t>ARNOLD, STACI L &amp; GUAJARDO, JOSE</t>
  </si>
  <si>
    <t>SHARP, JONATHAN &amp; CHESSER, LAURA C</t>
  </si>
  <si>
    <t>BOLAND, BONNIE &amp; BRIAN</t>
  </si>
  <si>
    <t>RUSSO, RYAN M &amp; SINGH, GEETA</t>
  </si>
  <si>
    <t>GRABOWSKI, ROBT E &amp; JULIE PABST</t>
  </si>
  <si>
    <t>PRIFTI, ULYSSES O</t>
  </si>
  <si>
    <t>TYLER THOMAS O'CONNOR</t>
  </si>
  <si>
    <t>FOGG, LORENA &amp; NATHAN</t>
  </si>
  <si>
    <t>DHAR, NAVEEN &amp; RAZDAN, SANJILA</t>
  </si>
  <si>
    <t>KLOMP,REBECCA &amp; MOSS, ANDREW</t>
  </si>
  <si>
    <t>RUSSELL, PARVATHY M &amp; PETER</t>
  </si>
  <si>
    <t>AYYAGARI, RAJASEKHAR</t>
  </si>
  <si>
    <t>SAFA AMAN</t>
  </si>
  <si>
    <t>REMEDI, CATHERINE &amp; ZLATOS, KEITH</t>
  </si>
  <si>
    <t>CONLON, THOMAS/WETHINGTON, MOLLY</t>
  </si>
  <si>
    <t>DUCHATELLIER, ALEC &amp; ANGELA M</t>
  </si>
  <si>
    <t>DENDRINOS, KARA &amp; SOTIRIOS</t>
  </si>
  <si>
    <t>PANZER, CHRISTOPHER &amp; NICOLE</t>
  </si>
  <si>
    <t>PRASAD, KESHAVAMURTHY B &amp; SOWMYA</t>
  </si>
  <si>
    <t>POCZOS, MARK J &amp; STEPHANIE</t>
  </si>
  <si>
    <t>KINTANAR, CARL J &amp; ELIZA J</t>
  </si>
  <si>
    <t>PARAMESWARAN, NATARAJ &amp; VIDYA IYER</t>
  </si>
  <si>
    <t>HARI,LAKSHMI M &amp; NAGA,RAVIKUMAR S V</t>
  </si>
  <si>
    <t>KAROOR, TEJASHREE/SHANKAR,SIDDHARTH</t>
  </si>
  <si>
    <t>BENAS, JOHN &amp; MARY ANNE MCCRICKARD</t>
  </si>
  <si>
    <t>ALI, ANAS &amp; QASEM, MAHA</t>
  </si>
  <si>
    <t>MICHAEL WILKINS</t>
  </si>
  <si>
    <t>FLOYD, BARRIE R &amp; LINDA</t>
  </si>
  <si>
    <t>RUIZ, CARL A TRUSTEE</t>
  </si>
  <si>
    <t>SWENSON, CYNTHIA J &amp; MICHAEL J</t>
  </si>
  <si>
    <t>SHARMA, SUNDEEP</t>
  </si>
  <si>
    <t>BAO TRAN TAN VO</t>
  </si>
  <si>
    <t>GAMARRA, CARLOS A &amp; VILLAJULCA, P</t>
  </si>
  <si>
    <t>KOLZOW, PATRICK W/MATHESIS, C M</t>
  </si>
  <si>
    <t>LOURDHURAJ PERIYATHAMBI</t>
  </si>
  <si>
    <t>RODRIGUEZ, ANGELICA &amp; SULTAN</t>
  </si>
  <si>
    <t>RECZKOWICZ, SCOTT T</t>
  </si>
  <si>
    <t>ROMERO, KATHARINE L/NICHOLAS A</t>
  </si>
  <si>
    <t>ZAGURSKI, KAREN &amp; SCOTT</t>
  </si>
  <si>
    <t>BAPATLA, SAI K &amp; GADDE, NAGA VANI</t>
  </si>
  <si>
    <t>BAKOVIC, IGOR &amp; JORDAN W</t>
  </si>
  <si>
    <t>PATEL, SAMIR</t>
  </si>
  <si>
    <t>HGW PRPTIES LLC</t>
  </si>
  <si>
    <t>HOMAN, JASON &amp; FLORES, DINORAH</t>
  </si>
  <si>
    <t>CENDANT MOBILITY SERVS CORP</t>
  </si>
  <si>
    <t>LINDHOLM, DEBRA &amp; PAUL F</t>
  </si>
  <si>
    <t>WANG, LAN &amp; XU, ZHENGQIANG</t>
  </si>
  <si>
    <t>VENKETRAMAN, GANESAN &amp; VARALAKSHMI</t>
  </si>
  <si>
    <t>HILDEBRANSKI, ELIZABETH A &amp; ROBERT</t>
  </si>
  <si>
    <t>GHASSAN, SANA &amp; TAYYAB</t>
  </si>
  <si>
    <t>GRATI, VASILE &amp; MARIACRE, NATALIA</t>
  </si>
  <si>
    <t>SCHMID, GREG &amp; MADELINE</t>
  </si>
  <si>
    <t>PRANAV NAIR</t>
  </si>
  <si>
    <t>HOVLAND, BRITTANY/KEATING, MATTHEW</t>
  </si>
  <si>
    <t>KHALID, AWAIS &amp; AAMNA</t>
  </si>
  <si>
    <t>DI MATTEO, GINA M &amp; THOMAS L</t>
  </si>
  <si>
    <t>SCOTT, DAVID A &amp; GLORIA J</t>
  </si>
  <si>
    <t>SKIRVIN, REBECCA &amp; TIMOTHY</t>
  </si>
  <si>
    <t>SCHROEDER, ALLISON E &amp; SCOTT W</t>
  </si>
  <si>
    <t>COYNE, KEVIN/MCCLEARY, KIMBERLY</t>
  </si>
  <si>
    <t>NIMER, ANGELA &amp; MICHAEL</t>
  </si>
  <si>
    <t>SURAVAJHELA, KUMAR K &amp; LALITHA</t>
  </si>
  <si>
    <t>ARIAS, MARIA &amp; DIEGO LOMBANA</t>
  </si>
  <si>
    <t>VAVRIK, JENNA R &amp; MATTHEW R</t>
  </si>
  <si>
    <t>CHINTANKUMAR PATEL</t>
  </si>
  <si>
    <t>EHAB BESHTA</t>
  </si>
  <si>
    <t>PETER EBERHARD</t>
  </si>
  <si>
    <t>CALVARUSO, LISA &amp; PAUL</t>
  </si>
  <si>
    <t>CHRISTOPHER SCOTT</t>
  </si>
  <si>
    <t>RAMENANI, BHANU K &amp; BRITTANY N</t>
  </si>
  <si>
    <t>KINNIARD, JOANNE &amp; RUSSELL</t>
  </si>
  <si>
    <t>HEISS, JASON M/WEIGT, VALERIE L</t>
  </si>
  <si>
    <t>JIRJEES, LUAY S/KHALID, MARYAN</t>
  </si>
  <si>
    <t>GAUSEMEL, AMY &amp; PAUL</t>
  </si>
  <si>
    <t>STEINER, AARON R</t>
  </si>
  <si>
    <t>KOLIN, MARGARET &amp; THEODORE</t>
  </si>
  <si>
    <t>BROWN, CORINNE &amp; MICHAEL A</t>
  </si>
  <si>
    <t>PIETRAS, JESSICA &amp; JONATHAN</t>
  </si>
  <si>
    <t>STEFFES, DANL &amp; LINDSEY</t>
  </si>
  <si>
    <t>GONUR, SUNIL KUMAR &amp; VASUKI</t>
  </si>
  <si>
    <t>GREGORY NOORIGIAN</t>
  </si>
  <si>
    <t>RENTAS, JOHN E &amp; PATRICIA D</t>
  </si>
  <si>
    <t>CAI, YULING</t>
  </si>
  <si>
    <t>ABHISHEK MEHTA</t>
  </si>
  <si>
    <t>BETHANASAMY, R &amp; PURUSHOTHAMAN, S</t>
  </si>
  <si>
    <t>CHOWDHURY, SHAHEEN &amp; SHAUKAT</t>
  </si>
  <si>
    <t>MORLEY, CATHY L &amp; JOHN C</t>
  </si>
  <si>
    <t>REINA, BEN</t>
  </si>
  <si>
    <t>LOBASH, WENDY J &amp; NEUMAN, JARED</t>
  </si>
  <si>
    <t>PEREZ, CHRISTIAN G &amp; SARAH M</t>
  </si>
  <si>
    <t>GUERIN, MICHAEL &amp; CHRISTINE</t>
  </si>
  <si>
    <t>PATEL,BEENA R/ROMIN/KAUSHIKKUMAR K</t>
  </si>
  <si>
    <t>JOEL DOUCETTE</t>
  </si>
  <si>
    <t>CALLEN P. FRAYCHINEAUD</t>
  </si>
  <si>
    <t>SURMA, ANTHONY T &amp; JENNIFER M</t>
  </si>
  <si>
    <t>NILLES, ANTHONY R &amp; NICOLE M</t>
  </si>
  <si>
    <t>BLAZEK, TIMOTHY &amp; KRISTINE</t>
  </si>
  <si>
    <t>STEART, KELLY A &amp; JOHN C III</t>
  </si>
  <si>
    <t>BARKER, BROOK &amp; CHAD</t>
  </si>
  <si>
    <t>YATES, CHERIE S &amp; STEVEN M</t>
  </si>
  <si>
    <t>MOLZAHN, DAVID &amp; SUZANNE</t>
  </si>
  <si>
    <t>MILLER, CHARLENE &amp; MICHAEL</t>
  </si>
  <si>
    <t>JAIN, SNEHA &amp; VAN DYCK, SAMUEL R</t>
  </si>
  <si>
    <t>DELGADO, FRANK</t>
  </si>
  <si>
    <t>EDWIN E. HARDEE</t>
  </si>
  <si>
    <t>GUCKEL, ERIK &amp; EFIMIG METSI</t>
  </si>
  <si>
    <t>AHMAD, AADIL &amp; SHAH, NABILA</t>
  </si>
  <si>
    <t>ERFURTH, SANDRA/NOTTESTAD, ANDREW E</t>
  </si>
  <si>
    <t>LUKE ANTHONY REICHOLD</t>
  </si>
  <si>
    <t>GRUBER, MATTHEW</t>
  </si>
  <si>
    <t>BO GAO</t>
  </si>
  <si>
    <t>CAI, JIA &amp; ZHENG</t>
  </si>
  <si>
    <t>ILYAS, IRFANA/MOGAL, ANWAR</t>
  </si>
  <si>
    <t>ALMAT ORYNTAY</t>
  </si>
  <si>
    <t>AITCHISON, SCOTT &amp; STACI A</t>
  </si>
  <si>
    <t>KORNIEK, MATTHEW</t>
  </si>
  <si>
    <t>LASETER, RAYMOND E</t>
  </si>
  <si>
    <t>DIJOHN, JOHN/MILAGROS ENRIQUEZ</t>
  </si>
  <si>
    <t>PATEL, ASHA NAVEEN &amp; NAVEEN</t>
  </si>
  <si>
    <t>PULKIT BHARGAVA AND PARUL BHARGAVA</t>
  </si>
  <si>
    <t>MC KENNA, KAREN S &amp; KYLE P</t>
  </si>
  <si>
    <t>PRUDENTIAL RELOCATION INC</t>
  </si>
  <si>
    <t>YU, FEIFAN &amp; LIN, JANET</t>
  </si>
  <si>
    <t>ASHFAQ SAJJAD</t>
  </si>
  <si>
    <t>KRISHNAN, S &amp; SAMPATHKUMAR, LAVANYA</t>
  </si>
  <si>
    <t>GAD, MAKARY &amp; SAMIRA</t>
  </si>
  <si>
    <t>SEFTON, KAY &amp; STEPHEN</t>
  </si>
  <si>
    <t>LI, HUI &amp; YING LIU</t>
  </si>
  <si>
    <t>DIMARCO,CHRISTOPHER J &amp; ZHANG,ALICE</t>
  </si>
  <si>
    <t>LAUER, AUDREY</t>
  </si>
  <si>
    <t>RAJIGARE, VAISHALI &amp; SAMUNDAR, S</t>
  </si>
  <si>
    <t>HAQUE,SHABBIR UI &amp; SHABBIR, SHAISTA</t>
  </si>
  <si>
    <t>VEERARAGHAVAN, NARAYANAN</t>
  </si>
  <si>
    <t>FARMER, LINDA &amp; ROBERT</t>
  </si>
  <si>
    <t>LOPEZ, ANTHONY S &amp; KATHERINE C</t>
  </si>
  <si>
    <t>MEJIA, ROGELIO C</t>
  </si>
  <si>
    <t>BITZER, MATTHEW &amp; BRENNAN, ALISON</t>
  </si>
  <si>
    <t>BENDRE, DHANANJAY &amp; MASON, K L</t>
  </si>
  <si>
    <t>BOGUTA, KRZYSZTOF &amp; EWELINA</t>
  </si>
  <si>
    <t>CALLAHAN, JENNIFER &amp; MICHAEL W</t>
  </si>
  <si>
    <t>NELSON, BEVERLY P &amp; CHARLES M</t>
  </si>
  <si>
    <t>SURAJ, K K &amp; RAGI</t>
  </si>
  <si>
    <t>YU SUN</t>
  </si>
  <si>
    <t>KUMAR, PUNEET &amp; DHIMAN, ANSA</t>
  </si>
  <si>
    <t>BURLAKOV, SERGEY A/ZEINALOVA, ANNA</t>
  </si>
  <si>
    <t>BAJZEK, PATRICIA &amp; THOMAS</t>
  </si>
  <si>
    <t>BRYAN AND CHRISTIE KRUP</t>
  </si>
  <si>
    <t>GOLAS, JOANN &amp; MATTHEW</t>
  </si>
  <si>
    <t>BASU, SANKHA &amp; TAMBAY, GAURI</t>
  </si>
  <si>
    <t>SALANI, CATHERINE</t>
  </si>
  <si>
    <t>WIEGAND, JESSICA &amp; RYAN</t>
  </si>
  <si>
    <t>BUCK, LAUREN &amp; KEY, ADAM</t>
  </si>
  <si>
    <t>KESSLER, JOHN P &amp; PATRICIA C</t>
  </si>
  <si>
    <t>MC CARTHY, MARY B/RUNNING, MARK</t>
  </si>
  <si>
    <t>RASATHURAI, ANITA S &amp; SUTHAHAN</t>
  </si>
  <si>
    <t>MANDERSCHIED, ANTHONY &amp; KELLY</t>
  </si>
  <si>
    <t>GAU, JENN-TERNE &amp; JUANG, JIN MEEI</t>
  </si>
  <si>
    <t>TUMBEV, DENITSA &amp; NIKOLAY</t>
  </si>
  <si>
    <t>BANERJEE, SOURAV &amp; SUPARNA</t>
  </si>
  <si>
    <t>KARNATI, SUDIPTHA R &amp; R R MOLUGU</t>
  </si>
  <si>
    <t>GURU, PADMAJA/VENUGOPALAN, N</t>
  </si>
  <si>
    <t>BENJAMIN, MARIAN N &amp; MINA</t>
  </si>
  <si>
    <t>ADAMIAN, LARISA &amp; VICTOR A</t>
  </si>
  <si>
    <t>ALAM, MUMTAZ &amp; SYED MAZHAR</t>
  </si>
  <si>
    <t>ANDREA BRICKNER</t>
  </si>
  <si>
    <t>WISCHWEH, GRETCHEN C</t>
  </si>
  <si>
    <t>HARKCOM, KELLY/LITCHER, CHRISTOPHER</t>
  </si>
  <si>
    <t>HEJNY, JEFFREY T/YON, RACHANA J</t>
  </si>
  <si>
    <t>PAMPINELLA, MICHAEL J &amp; TRICIA A</t>
  </si>
  <si>
    <t>FRANCIS XAVIER JOSEPH PULIKOTIL</t>
  </si>
  <si>
    <t>MAAJED, YAWAR &amp; SAIMA</t>
  </si>
  <si>
    <t>SETORK, AMIR</t>
  </si>
  <si>
    <t>RANSON, ARIK B &amp; TRUDIE</t>
  </si>
  <si>
    <t>AHSAN S &amp; ASMAT ARA</t>
  </si>
  <si>
    <t>SEN, SUDESHNA &amp; VIG, NITIN</t>
  </si>
  <si>
    <t>ROBINSON, WILSON</t>
  </si>
  <si>
    <t>BAUM, JODY L</t>
  </si>
  <si>
    <t>JAMES J &amp; JOANN T SHEAHAN</t>
  </si>
  <si>
    <t>LARMORE, KELLY A/LYNCH, JASON M</t>
  </si>
  <si>
    <t>WETZEL, JESSICA L &amp; LAWRENCE</t>
  </si>
  <si>
    <t>KELCI SCHULZ</t>
  </si>
  <si>
    <t>PINTO, GABRIEL/ASHLEY F</t>
  </si>
  <si>
    <t>ROBERT CASIELLO</t>
  </si>
  <si>
    <t>SAGUTURU, SHANKARANAND/YELCHURU, S</t>
  </si>
  <si>
    <t>SUNGHAY, SHWETHA R</t>
  </si>
  <si>
    <t>MUTOMBO, NTOMBI &amp; OSCAR N</t>
  </si>
  <si>
    <t>CONLEY, BRANDON &amp; JENNIFER</t>
  </si>
  <si>
    <t>PHILIP, ELSY &amp; GEORGE</t>
  </si>
  <si>
    <t>ROBERT JACKSON KOT</t>
  </si>
  <si>
    <t>MAYORALGO, JOSEPH J</t>
  </si>
  <si>
    <t>DALE J. KUBY</t>
  </si>
  <si>
    <t>MATOUSEK JR, THOMAS J &amp; DENISE J</t>
  </si>
  <si>
    <t>KAMDAR, PRATIK/SINGARAJU, SNEHITHA</t>
  </si>
  <si>
    <t>KGVAN, JENNA L &amp; ROGER</t>
  </si>
  <si>
    <t>VENEGAS, CARLOS &amp; MERCEDES</t>
  </si>
  <si>
    <t>CHAKRABARTY, ANURADHA &amp; ROBERT</t>
  </si>
  <si>
    <t>DAVID MARTIN KLEINBERG</t>
  </si>
  <si>
    <t>KOLODZEJ, MATTHEW</t>
  </si>
  <si>
    <t>GIL, MARY ISBEL/VILLALOBOS, SERGIO</t>
  </si>
  <si>
    <t>ALLEN, AVA &amp; MATTHEW</t>
  </si>
  <si>
    <t>MARK, KAREN E &amp; MURPHY, JONATHAN W</t>
  </si>
  <si>
    <t>ADAM PREBOLA</t>
  </si>
  <si>
    <t>KUNDU, SANKAR KUMAR</t>
  </si>
  <si>
    <t>MATHEW, SOJI N</t>
  </si>
  <si>
    <t>GOLDSTEIN, ALTA &amp; MENACHEM</t>
  </si>
  <si>
    <t>JOAO CARLOS RIBEIRO FERNANDEZ</t>
  </si>
  <si>
    <t>NINO, JAVIER D &amp; SALGUERO,ADILLY</t>
  </si>
  <si>
    <t>CHRISTENSEN, MATTHEW A</t>
  </si>
  <si>
    <t>RANDI LAROCCO</t>
  </si>
  <si>
    <t>ACEVEDO,RICARDO O /PALMA, YURIRIA M</t>
  </si>
  <si>
    <t>MANUEL, HOWARD C</t>
  </si>
  <si>
    <t>MATHEWS, SHERRY P &amp; UTHARAYIL,JISHY</t>
  </si>
  <si>
    <t>CAVICCHIONI, DAVID G &amp; KELLEY</t>
  </si>
  <si>
    <t>RIZZO, MARY</t>
  </si>
  <si>
    <t>SESSA JR, ERNEST J &amp; KRISTINA R</t>
  </si>
  <si>
    <t>VIGNESH SANKARA NARAYANAN</t>
  </si>
  <si>
    <t>MADHOK, RAJI RAJINDER SINGH</t>
  </si>
  <si>
    <t>LEMAN, JULIE &amp; MATTHEW</t>
  </si>
  <si>
    <t>CANELO, ELIZABETH P/HAYMON, RODNEY</t>
  </si>
  <si>
    <t>FEDANZO, GENE &amp; SUSAN</t>
  </si>
  <si>
    <t>SATISH YERRA</t>
  </si>
  <si>
    <t>SHANE CHRISTIAN CHAVIS</t>
  </si>
  <si>
    <t>GREGORI, LAUREN &amp; PAUL</t>
  </si>
  <si>
    <t>JAYA GANESH VENUGOPAL SWORNAMMAL</t>
  </si>
  <si>
    <t>SCHOENE, INGRID &amp; JOHN</t>
  </si>
  <si>
    <t>DUMLAO, ERIC &amp; ELIZABETH LIRA</t>
  </si>
  <si>
    <t>THIAGO L NAHAS</t>
  </si>
  <si>
    <t>SUGANO, CHRIS &amp; PATRICIA</t>
  </si>
  <si>
    <t>FUSINETTI, ERIC M &amp; JENNELLE M</t>
  </si>
  <si>
    <t>KOBLESKI, ERIN &amp; ROBERT</t>
  </si>
  <si>
    <t>CRUZ, ANNA LISA G &amp; ARNOLD J</t>
  </si>
  <si>
    <t>BIRDSALL, SARAH &amp; KULICK, JOSEPH</t>
  </si>
  <si>
    <t>JULIA PRIZGINTAS</t>
  </si>
  <si>
    <t>LEE, CHIA CHUNG &amp; SHAN, MAO JA</t>
  </si>
  <si>
    <t>WAICHIN TERESA CHU</t>
  </si>
  <si>
    <t>TIMOTHY BLACK</t>
  </si>
  <si>
    <t>CECCHI, DAVID &amp; KARI</t>
  </si>
  <si>
    <t>WLODARCZYK, AMANDA M &amp; MICHAEL L</t>
  </si>
  <si>
    <t>HERNANDEZ, KARLA</t>
  </si>
  <si>
    <t>NORTON, RYAN &amp; RICHARDS, LAURIE</t>
  </si>
  <si>
    <t>ZADLO, CHAS J</t>
  </si>
  <si>
    <t>REILLY, JOHN M &amp; KELLY</t>
  </si>
  <si>
    <t>SMITH, KRISTOPHER T &amp; MARGARET R</t>
  </si>
  <si>
    <t>KREFFT,MICHAEL R &amp; STANEK, LAUREN A</t>
  </si>
  <si>
    <t>SWAPNAL DUBEY</t>
  </si>
  <si>
    <t>CLARK, VINCENT P &amp; GREK, LISA</t>
  </si>
  <si>
    <t>MARCANO, JOSE S &amp; NORIEGA,MARIA G R</t>
  </si>
  <si>
    <t>TSIOLES, MICHELLE &amp; ROBERT</t>
  </si>
  <si>
    <t>GHAI, PARAS &amp; MENDIRATTA, AKSHI</t>
  </si>
  <si>
    <t>SOHAIB BOKHARI</t>
  </si>
  <si>
    <t>LOH, MICHAEL &amp; SUSAN</t>
  </si>
  <si>
    <t>NANJUNDAPPA, BASAVARAJU &amp; SANGEETA</t>
  </si>
  <si>
    <t>SUHEL MUKARDAMWALA</t>
  </si>
  <si>
    <t>THERADY, AGNES &amp; MATHEW</t>
  </si>
  <si>
    <t>ANTAR, ABRAHAM Y &amp; ZAHRA A</t>
  </si>
  <si>
    <t>LIAN, SHELLEY &amp; LIM, FELIX S L</t>
  </si>
  <si>
    <t>WASIM YAKUB SHAIKH</t>
  </si>
  <si>
    <t>VITALII KOSTRYKO</t>
  </si>
  <si>
    <t>THANGAMANI, ELANJCHEZHIYAN</t>
  </si>
  <si>
    <t>CHANG, JING &amp; WANG, CHEN WAN</t>
  </si>
  <si>
    <t>VITALE, LAURA &amp; RICHARD</t>
  </si>
  <si>
    <t>BOGUSLAW, KEIPER &amp; AGNIES</t>
  </si>
  <si>
    <t>CHRISTOPHER / J CAMPBELL AKA CHRISTOPHER CAMPBELL</t>
  </si>
  <si>
    <t>BOROWS, KAREN L &amp; MARK A</t>
  </si>
  <si>
    <t>YEE, ZONGLIN</t>
  </si>
  <si>
    <t>PETRILLA, CHRISTINE E</t>
  </si>
  <si>
    <t>VEERAIAH, GANESH</t>
  </si>
  <si>
    <t>DANIEL REISS</t>
  </si>
  <si>
    <t>SAFDAR KHAN</t>
  </si>
  <si>
    <t>KIBURG, BRENDAN/ROMINSKI, MANDY</t>
  </si>
  <si>
    <t>KIRTHI, SURYA</t>
  </si>
  <si>
    <t>PETRIK,JACLYN R &amp; TERNIG, JAMES J</t>
  </si>
  <si>
    <t>WINNICKI, HALINA &amp; MARIUSZ</t>
  </si>
  <si>
    <t>AHMED, NASREEN/MORSHED, KM</t>
  </si>
  <si>
    <t>JASWAL, ISHU &amp; PATHAK, G</t>
  </si>
  <si>
    <t>CHERVINKO, BRENDON J &amp; BRYNDAL N</t>
  </si>
  <si>
    <t>JIN, AILIAN LI &amp; XIAO LIANG</t>
  </si>
  <si>
    <t>KIRKMAN, ANDREW J &amp; JANET R</t>
  </si>
  <si>
    <t>MATHEW, JOSHY JOHN</t>
  </si>
  <si>
    <t>RASEQ MOIZUDDIN</t>
  </si>
  <si>
    <t>KULIGOWSKI, KEVIN &amp; PEGGY A</t>
  </si>
  <si>
    <t>U S CELLULAR CORP</t>
  </si>
  <si>
    <t>WESLEY, AVRIL Z &amp; TALMAGE H</t>
  </si>
  <si>
    <t>NAJDOVSKI, DRAGAN</t>
  </si>
  <si>
    <t>TODD MENNENGA</t>
  </si>
  <si>
    <t>MAMGAI, KAVITA &amp; SANTHANAM, P</t>
  </si>
  <si>
    <t>HUTCHINS, ELIZABETH S</t>
  </si>
  <si>
    <t>ZWIERZCHLEJSKI, JACEK</t>
  </si>
  <si>
    <t>RODRIGUEZ, LOURDES &amp; SERGIO</t>
  </si>
  <si>
    <t>CHERUVIL, LINTO &amp; JOSE, MARY</t>
  </si>
  <si>
    <t>LU, YUE &amp; YAN, LI</t>
  </si>
  <si>
    <t>TIPTON, ALYCIA F &amp; BENJAMIN A</t>
  </si>
  <si>
    <t>OLSON, ANGELA &amp; KURT</t>
  </si>
  <si>
    <t>EVA-MARIA SURMANN</t>
  </si>
  <si>
    <t>ORTIZ, JOSEPH</t>
  </si>
  <si>
    <t>RAMASUBRAMANIAN, ALAGARAJA</t>
  </si>
  <si>
    <t>KLAMMER, BERND/WASICKI, ASHLEY</t>
  </si>
  <si>
    <t>PETERSON,R/O BRIEN-PETERSON,D TTEES</t>
  </si>
  <si>
    <t>VOSS, MICHAEL R &amp; NEGIN S</t>
  </si>
  <si>
    <t>MORLEY, MAE L &amp; PATRICK</t>
  </si>
  <si>
    <t>CHONGYU GAO</t>
  </si>
  <si>
    <t>WULF, ERIC</t>
  </si>
  <si>
    <t>WILLIAM BAIRD</t>
  </si>
  <si>
    <t>SANCHEZ, DIANA C</t>
  </si>
  <si>
    <t>NIEMI, MELISSA M &amp; NICHOLAS W</t>
  </si>
  <si>
    <t>ARUNACHALAM, SUNDARARAJ/VADIVELU, M</t>
  </si>
  <si>
    <t>LARSON, GLORIA J &amp; RONALD C TRTEES</t>
  </si>
  <si>
    <t>WALKER, LINDSEY J &amp; MATTHEW M</t>
  </si>
  <si>
    <t>CHE, WEIHUA &amp; MO, XUESHENG</t>
  </si>
  <si>
    <t>JANAGARAJAN, E/SUNDARARAJAN, S</t>
  </si>
  <si>
    <t>SEAN PYRITZ</t>
  </si>
  <si>
    <t>HOGAN, SCOTT &amp; MEHL, RENEE M</t>
  </si>
  <si>
    <t>OLSON, GREG &amp; JILL</t>
  </si>
  <si>
    <t>SKOWRONSKI, GLEN &amp; JENNIFER</t>
  </si>
  <si>
    <t>LI, QING &amp; ZHANG, NI</t>
  </si>
  <si>
    <t>RAJESH KUMAR</t>
  </si>
  <si>
    <t>MUKA, FERZILET &amp; ILIR</t>
  </si>
  <si>
    <t>STORINO, ANTHONY A</t>
  </si>
  <si>
    <t>AUGUSTO &amp; KATHLEEN AGUAYO</t>
  </si>
  <si>
    <t>EVAN &amp; BETHANY JOHNSON</t>
  </si>
  <si>
    <t>CHAN, ANNA C W &amp; ANTHONY K C</t>
  </si>
  <si>
    <t>COX, ERIN &amp; JOSHUA</t>
  </si>
  <si>
    <t>SIARHEI MARKOVICH</t>
  </si>
  <si>
    <t>CHANDRAKUMAR, VIDHYA/RAO, SRIPATHI</t>
  </si>
  <si>
    <t>ALAWANI, RAHUL S</t>
  </si>
  <si>
    <t>RANGACHARI, VENKATESAN &amp; RADHIKA</t>
  </si>
  <si>
    <t>ARUMUGAM, KANAGARAJ &amp; SUGANTRI</t>
  </si>
  <si>
    <t>GRGUROVIC, MAJA/TODOROVIC, ZORAN</t>
  </si>
  <si>
    <t>TRINKO, ROBERT</t>
  </si>
  <si>
    <t>ALINIAZEE, Y LLC</t>
  </si>
  <si>
    <t>HE, HUI &amp; TONG, JINSONG</t>
  </si>
  <si>
    <t>PEIGUSS, ERIN</t>
  </si>
  <si>
    <t>SORICH, ANNETTE &amp; STEVEN</t>
  </si>
  <si>
    <t>MICHALAK, ANH &amp; STANISLAW</t>
  </si>
  <si>
    <t>KHAN, SAAD</t>
  </si>
  <si>
    <t>JIA, PEIRONG &amp; XIZO, YALI</t>
  </si>
  <si>
    <t>JIANG, JIANHUA</t>
  </si>
  <si>
    <t>JUREC, TOM</t>
  </si>
  <si>
    <t>AGARWAL, PALLAVI/SINGHAL, KRASHAN</t>
  </si>
  <si>
    <t>DHARMENDRA AGARWAL</t>
  </si>
  <si>
    <t>BROWN, JEREMY &amp; STACEY L</t>
  </si>
  <si>
    <t>HASAN, SOBIA &amp; SYED F</t>
  </si>
  <si>
    <t>MASEK, PATRICIA J &amp; RICHARD J</t>
  </si>
  <si>
    <t>IMBERT, LAURE M/SIGNORIM, MATIAS D</t>
  </si>
  <si>
    <t>JAWADWALA, FATEMA &amp; MUSTAFA</t>
  </si>
  <si>
    <t>RAVI SHANKER</t>
  </si>
  <si>
    <t>CAO, BANGJI &amp; ZHANG, MING</t>
  </si>
  <si>
    <t>DANAPAL, U &amp; SHUNMUGHAM, D</t>
  </si>
  <si>
    <t>ABUTHAHEER, SHARMI/DAWOOD, SHAIK</t>
  </si>
  <si>
    <t>SHAH, JIGNESH R &amp; KINJALBEN</t>
  </si>
  <si>
    <t>MAHAALAXMI GANESAN</t>
  </si>
  <si>
    <t>WOJCIECHOWSKI, BRIAN M &amp; KRISTYN M</t>
  </si>
  <si>
    <t>BAILEY, ALEXIS &amp; JOSHUA J</t>
  </si>
  <si>
    <t>GOMEZ, CARLOS/SILVIA/ERICK</t>
  </si>
  <si>
    <t>LIU, YUJUN &amp; SUN, MAOYUAN</t>
  </si>
  <si>
    <t>WALDORF, TERRY LEE &amp; LINDSEY JEAN</t>
  </si>
  <si>
    <t>ALGER, PETER</t>
  </si>
  <si>
    <t>TAKSAS, DANIEL &amp; KATHERINE</t>
  </si>
  <si>
    <t>PAI, UDAY &amp; VIDYA</t>
  </si>
  <si>
    <t>FARHEEN, RUBEENA/UL HAQ, MOHAMMAD A</t>
  </si>
  <si>
    <t>DIXIT, ARUN &amp; TREHAN, NAGMA</t>
  </si>
  <si>
    <t>JEREMY C LEWIS</t>
  </si>
  <si>
    <t>SCHUMACHER, LETICIA A &amp; RICHARD P</t>
  </si>
  <si>
    <t>WANG, YAN &amp; ZHENG, GUANPING</t>
  </si>
  <si>
    <t>CENDANT MOBILITY SERVICES</t>
  </si>
  <si>
    <t>LUPORINI, NICOLE</t>
  </si>
  <si>
    <t>WANG, TAO</t>
  </si>
  <si>
    <t>SMITH, DIANE</t>
  </si>
  <si>
    <t>RAJA, NALINI &amp; SHANMUGAM, RAJA</t>
  </si>
  <si>
    <t>DAVIS, ALLISON M &amp; JOHN G</t>
  </si>
  <si>
    <t>REGI KURUVILLA</t>
  </si>
  <si>
    <t>SMITH, GREGORY</t>
  </si>
  <si>
    <t>BOKUNIEWICZ, DAVID</t>
  </si>
  <si>
    <t>FARHAN MUSHTAQ</t>
  </si>
  <si>
    <t>ENGMAN, KRISTINE E &amp; STEPHEN</t>
  </si>
  <si>
    <t>MUTHUSAMY, PUSHPALATHA/PANDIAN, E</t>
  </si>
  <si>
    <t>VAN VOSSEN, MATTHEW/WILE, JULIET</t>
  </si>
  <si>
    <t>AKGUN, ORHAN ANIL</t>
  </si>
  <si>
    <t>CRUZ, JOSE &amp; YVETTE</t>
  </si>
  <si>
    <t>HE, YUHUA &amp; JIA, FUMIN</t>
  </si>
  <si>
    <t>ARE, LENIN KUMAR</t>
  </si>
  <si>
    <t>HATFIELD, AMY &amp; MARC</t>
  </si>
  <si>
    <t>YU, CHIH-LONG &amp; SHIRLIN LEE</t>
  </si>
  <si>
    <t>PRUDENTIAL RESIDENTIAL SERV</t>
  </si>
  <si>
    <t>RUPICH JR, BENJ N &amp; TINA E</t>
  </si>
  <si>
    <t>ARAVAMUDHAN,KRISHNA/JAGANATHAN, A</t>
  </si>
  <si>
    <t>IRFAN SYED</t>
  </si>
  <si>
    <t>LIU, BOTAO &amp; TSEUN-LING T LIU</t>
  </si>
  <si>
    <t>TRAVIS WHEELER</t>
  </si>
  <si>
    <t>NURCZYK, BENJ W</t>
  </si>
  <si>
    <t>CAPRA, JOANNA</t>
  </si>
  <si>
    <t>BROWN, KEVIN R</t>
  </si>
  <si>
    <t>RYGH, BRANDON R &amp; ESTHER</t>
  </si>
  <si>
    <t>MERRIMAN, BRENDA &amp; JAMES</t>
  </si>
  <si>
    <t>BEZVOLEV, ALEXNADR</t>
  </si>
  <si>
    <t>STEIN, SCOTT</t>
  </si>
  <si>
    <t>BATA, SHEHZAN &amp; LAKHIA, VRUSHI</t>
  </si>
  <si>
    <t>HAEGER, D &amp; SCHERF, J</t>
  </si>
  <si>
    <t>TRAN, TRINH T &amp; TRIEU, VINCENT T</t>
  </si>
  <si>
    <t>BORDEN, KARYN J &amp; KERRY C</t>
  </si>
  <si>
    <t>DE GRAFF, CARA S</t>
  </si>
  <si>
    <t>ANGEL LIZA G. AND FRANCIS DELA RAMA NEPOMUCENO</t>
  </si>
  <si>
    <t>KOMAR, MATTHEW E</t>
  </si>
  <si>
    <t>XUE MI</t>
  </si>
  <si>
    <t>ANANDAM, DHILLIP &amp; VARSHA DHARMARAJ</t>
  </si>
  <si>
    <t>SU, CHIN-PING/YANG, CHING</t>
  </si>
  <si>
    <t>MIKA, KIMBERLY K</t>
  </si>
  <si>
    <t>CELINSKA, KINGA &amp; DARIUSZ</t>
  </si>
  <si>
    <t>KEEP, ALEXANDER &amp; CHRISTINE</t>
  </si>
  <si>
    <t>PRAKASH, PREM &amp; THACKER, MONIKA</t>
  </si>
  <si>
    <t>RANJAN, RAJIV</t>
  </si>
  <si>
    <t>LA MONTAGNA, MARY &amp; RONALD</t>
  </si>
  <si>
    <t>STAYKOV, IVAN &amp; STAYKOVA, N</t>
  </si>
  <si>
    <t>HO, AARON &amp; SHIAOM DAPHINE</t>
  </si>
  <si>
    <t>CHANDA, DEBASIS</t>
  </si>
  <si>
    <t>SCHWICHTENBERG, BRAD</t>
  </si>
  <si>
    <t>SMILAK, BECKY &amp; MATTHEW</t>
  </si>
  <si>
    <t>KYLE WISBROCK</t>
  </si>
  <si>
    <t>VOLOVYK, YURIY</t>
  </si>
  <si>
    <t>WEISS, CHRISTINE R &amp; HOWARD A</t>
  </si>
  <si>
    <t>APURBA CHAKRABORTY</t>
  </si>
  <si>
    <t>MITTAL, MANISH</t>
  </si>
  <si>
    <t>LAURENTIN, CESAR E &amp; SALAZAR, E A</t>
  </si>
  <si>
    <t>SHIH, NATALIE K &amp; WILLIAM</t>
  </si>
  <si>
    <t>ISHIKAWA, MATT/WILLIAMS, CHRISTIAN</t>
  </si>
  <si>
    <t>MATTHEW AND BIANCA J. PEREZ</t>
  </si>
  <si>
    <t>GILBERT, MARK F</t>
  </si>
  <si>
    <t>AMY LUZ FERNANDEZ</t>
  </si>
  <si>
    <t>CLAUNCH, VICTORIA &amp; PELLICO, BRIAN</t>
  </si>
  <si>
    <t>CHOWATTUKUNNEL, THOMAS</t>
  </si>
  <si>
    <t>MUTHLER, KATHERINE ANDREA/MARK D</t>
  </si>
  <si>
    <t>TRES, BRITTANY Q &amp; CLINTON J</t>
  </si>
  <si>
    <t>MATEAS, DOUGLAS &amp; DEIRDRE</t>
  </si>
  <si>
    <t>BRITTANY WOLFE</t>
  </si>
  <si>
    <t>DHANDAPANI, V &amp; NATARAJAN, S</t>
  </si>
  <si>
    <t>FUAD ALZAIED</t>
  </si>
  <si>
    <t>MATHIS BESSA</t>
  </si>
  <si>
    <t>BUNCE, MICHAEL &amp; RACHAN, JENNIFER</t>
  </si>
  <si>
    <t>HARISH KUMAR GALI</t>
  </si>
  <si>
    <t>LEONIDA FRIPTULEAC</t>
  </si>
  <si>
    <t>FU, JUN &amp; WANG, HONGIJIAN</t>
  </si>
  <si>
    <t>JASUR BOTIROV</t>
  </si>
  <si>
    <t>NAUMANN, JEFFREY P &amp; TANIA MERCEDES</t>
  </si>
  <si>
    <t>DANIEL, ELIZABETH, ROBERT &amp; DANIEL</t>
  </si>
  <si>
    <t>LUCIUS, CHRISTINE M &amp; KEVIN T</t>
  </si>
  <si>
    <t>MIRA, GALVINO L</t>
  </si>
  <si>
    <t>ARKAN ALANI</t>
  </si>
  <si>
    <t>ARTALEJO, CARLOS</t>
  </si>
  <si>
    <t>DAS, TANUSREE &amp; SENGUPTA, ASHOKE</t>
  </si>
  <si>
    <t>BALACHANDRAN, V &amp; J KANNAN</t>
  </si>
  <si>
    <t>MALA, SHWETHA &amp; PADUPANAMBUR, S</t>
  </si>
  <si>
    <t>MATTHEW LAMANTEER</t>
  </si>
  <si>
    <t>RAFFERTY,WILLIAM E/MUSKIEVICZ, M M</t>
  </si>
  <si>
    <t>EDWARD TIR</t>
  </si>
  <si>
    <t>JAKSIC, DANIJEL</t>
  </si>
  <si>
    <t>ATHULURU, VAMSEE &amp; VENKATA</t>
  </si>
  <si>
    <t>CRAVEN, THERESE &amp; LEVIN, ALEXANDER</t>
  </si>
  <si>
    <t>QUNELL, ALISON &amp; JEREMY</t>
  </si>
  <si>
    <t>THAPANAWAT, CHACHAWAL &amp; CHAUEESA</t>
  </si>
  <si>
    <t>SARAIYA, KINNARI &amp; MANISH</t>
  </si>
  <si>
    <t>WINKELMANN, KENNETH &amp; KATHLEEN</t>
  </si>
  <si>
    <t>SRIRAM, SUBHASHINI/THIMARAJAPURAM,S</t>
  </si>
  <si>
    <t>SANDEEP LONDHE &amp; NAFISA HASAIN</t>
  </si>
  <si>
    <t>SARAVANAN SELVARAJ</t>
  </si>
  <si>
    <t>NUNEZ, ELIZABETH &amp; JEFFREY B SIEBEN</t>
  </si>
  <si>
    <t>ANDREW HAAS</t>
  </si>
  <si>
    <t>1212 SAMUEL CT LLC</t>
  </si>
  <si>
    <t>KANG, MINHEE &amp; YONG KYU</t>
  </si>
  <si>
    <t>MORLEY, CATHERINE &amp; JOHN</t>
  </si>
  <si>
    <t>MOKKAPATY, SMITHA I/PULLABHATLA, S</t>
  </si>
  <si>
    <t>RIVERA, MIGUEL A S &amp; VALENCIA, JL T</t>
  </si>
  <si>
    <t>KHANOLKAR, KANCHAN/PATIL, VINOD</t>
  </si>
  <si>
    <t>SMOLEK, JERI L &amp; SCOTT R</t>
  </si>
  <si>
    <t>LI, SHULIN &amp; ZHANG, MEI</t>
  </si>
  <si>
    <t>TRAN, PHUONG</t>
  </si>
  <si>
    <t>CHANDRASEKARAN, N/M VELIGOPALAN</t>
  </si>
  <si>
    <t>RENDER, DENNIS M &amp; SANDRA</t>
  </si>
  <si>
    <t>JORGE ACOSTA</t>
  </si>
  <si>
    <t>DEANNA BONDER</t>
  </si>
  <si>
    <t>MORLEY, CATHERINE L &amp; JOHN C</t>
  </si>
  <si>
    <t>GONZALEZ, C &amp; VELANTHOITTU, SIVA K</t>
  </si>
  <si>
    <t>BAER, BRIDGETTE &amp; DAN</t>
  </si>
  <si>
    <t>KIRINCIC, TIMOTHY J</t>
  </si>
  <si>
    <t>VUPPALA, NAVEEN &amp; YANDURI, HEMA A</t>
  </si>
  <si>
    <t>SIMANOVICH, GLEB M</t>
  </si>
  <si>
    <t>MC DONALD, JASON S A &amp; LAURA M</t>
  </si>
  <si>
    <t>KING, JAMES R &amp; MICHAEL</t>
  </si>
  <si>
    <t>COYLE, CLAIRE W</t>
  </si>
  <si>
    <t>SHEN, KUNHSU &amp; WANG, XIAO</t>
  </si>
  <si>
    <t>ELAMIN IBRAHIM</t>
  </si>
  <si>
    <t>CHEN, YANLING &amp; QIU, XIANGMING</t>
  </si>
  <si>
    <t>STAVROU, JARILAOS &amp; PRISCILLA</t>
  </si>
  <si>
    <t>REINWALD, ANDREW &amp; LISA</t>
  </si>
  <si>
    <t>HYLAND, JOAN C</t>
  </si>
  <si>
    <t>NUCUM, FERNANDO/MARIA DONNA MAE L</t>
  </si>
  <si>
    <t>GIRIJALA, GOURI S &amp; MALATHI</t>
  </si>
  <si>
    <t>BIRKNER, JEFFREY C</t>
  </si>
  <si>
    <t>LIN, FANG</t>
  </si>
  <si>
    <t>WU, KUANG-LUNG &amp; PHOEBE L</t>
  </si>
  <si>
    <t>JUSTIN AGUILAR</t>
  </si>
  <si>
    <t>JONES, LILIANA</t>
  </si>
  <si>
    <t>PRIKUTSKIY, DENIS</t>
  </si>
  <si>
    <t>KETHESWARAN, USHARANY/VISUVANATHAN</t>
  </si>
  <si>
    <t>STEVENS, AVA A &amp; EDWARD M</t>
  </si>
  <si>
    <t>CHEN, YU &amp; WANG, SHAN</t>
  </si>
  <si>
    <t>JIGAR RAJESH MODI</t>
  </si>
  <si>
    <t>BLINSTRUBIENE, AUSRA &amp; ARUNAS</t>
  </si>
  <si>
    <t>ROBERTS, BONNIE &amp; FREDERICK O</t>
  </si>
  <si>
    <t>JONES, KATHLEEN A &amp; MATTHEW M</t>
  </si>
  <si>
    <t>RAAGHAVAN EDAYATHUMANGALAM VENKATRAM</t>
  </si>
  <si>
    <t>HUBER, MICHELE J</t>
  </si>
  <si>
    <t>BUGAJSKY, LINDSAY M &amp; NICHOLASA</t>
  </si>
  <si>
    <t>NADEEM ZAIN</t>
  </si>
  <si>
    <t>BAJRAKTARI, ANDRI &amp; MIOZA</t>
  </si>
  <si>
    <t>ORTIZ, JORGE &amp; ROMERO, JACQUELINE</t>
  </si>
  <si>
    <t>MUNDRAWALA, DEEPTI &amp; NEIL</t>
  </si>
  <si>
    <t>GUVA, EUGENIJUS</t>
  </si>
  <si>
    <t>ERICH A OLSON</t>
  </si>
  <si>
    <t>HWANG, STEPHEN &amp; LEE, YEN</t>
  </si>
  <si>
    <t>JONES, CAROLYN M &amp; WITTE, BRYAN</t>
  </si>
  <si>
    <t>PENG, JUI-KUN</t>
  </si>
  <si>
    <t>KUDIMOV, BORIS/SHANCHUK, YAUHEN</t>
  </si>
  <si>
    <t>FUNK, DENISE &amp; TROY</t>
  </si>
  <si>
    <t>RAHUL PRAKASH SHENOY</t>
  </si>
  <si>
    <t>GADDE, RAVINDRA B &amp; LINGAMANENI,P</t>
  </si>
  <si>
    <t>DEHLINGER, MARK A &amp; RAIMONDA</t>
  </si>
  <si>
    <t>LORES, DENISE M</t>
  </si>
  <si>
    <t>PANICKER, PAM &amp; SAMATHANAN</t>
  </si>
  <si>
    <t>MARTIN, GEMMA S &amp; RIVAS, RAFAEL M</t>
  </si>
  <si>
    <t>TORMA, DEBRA &amp; MARK</t>
  </si>
  <si>
    <t>KIRAN KUMAR KAMBHAMPATI</t>
  </si>
  <si>
    <t>AHMED, IMTIAZ, HARIS &amp; FARHAT</t>
  </si>
  <si>
    <t>SHARMILA RAMASUNDARAM SUDHARSANAM</t>
  </si>
  <si>
    <t>NESTOR W. ORJUELA</t>
  </si>
  <si>
    <t>CARDER, CHAD W &amp; DEBORAH A</t>
  </si>
  <si>
    <t>CARROLL, JAMES O/SHARP, JESSICA M</t>
  </si>
  <si>
    <t>SHEN, SHIMING/ZHAI, MEMGYU</t>
  </si>
  <si>
    <t>ANILAL, SREENIVASAN</t>
  </si>
  <si>
    <t>MADHWALA, FAKHRUDDIN &amp; FATIMA</t>
  </si>
  <si>
    <t>VARGAS SR, MARK A &amp; GINEEN A</t>
  </si>
  <si>
    <t>REHMAN, RABBIA &amp; SHAKIL, FARRUKH</t>
  </si>
  <si>
    <t>HALVORSON, ANDRE &amp; JENNIFER</t>
  </si>
  <si>
    <t>SRIVASTAVA, SAURABH &amp; TULIKA</t>
  </si>
  <si>
    <t>RICKIN PATEL AND PRIYA PATEL, TRUSTEES OF THE RICKIN AND PRIYA PATEL REVOCABLE LIVING TRUST DATED MAY 31, 2018</t>
  </si>
  <si>
    <t>CLAY, KEITH &amp; KIM</t>
  </si>
  <si>
    <t>ROE, AKIKO &amp; MARK</t>
  </si>
  <si>
    <t>YOU, WON S/WHOANG, SOO DONG YOU</t>
  </si>
  <si>
    <t>BROSS, KORINA L</t>
  </si>
  <si>
    <t>MONTANO, ANA L</t>
  </si>
  <si>
    <t>AARON J MALINSKI</t>
  </si>
  <si>
    <t>MARCUS, JEONGSOO K</t>
  </si>
  <si>
    <t>MCQUILLAN FAMILY HOME RENTALS LLC</t>
  </si>
  <si>
    <t>MULIA, JULY &amp; SAPUTERA, HENKY</t>
  </si>
  <si>
    <t>ONO, MIYAKO &amp; WILLIAMSON, MATTHEW</t>
  </si>
  <si>
    <t>GOMEZ, JOSEPH J &amp; LUCRESE G</t>
  </si>
  <si>
    <t>BASAR, AHMET/SALIHA</t>
  </si>
  <si>
    <t>ROADY, NICOLA</t>
  </si>
  <si>
    <t>MARIA E &amp; MICHAEL W HUNT</t>
  </si>
  <si>
    <t>PAI, MAYUR T &amp; BHAT, MAHAMAYA H</t>
  </si>
  <si>
    <t>RIZWAN, FAHAD</t>
  </si>
  <si>
    <t>SEN, PURNAA &amp; SABYASACHI</t>
  </si>
  <si>
    <t>AUDIEJAITIS, ARTURAS/BOROWSKA, D</t>
  </si>
  <si>
    <t>KANG, YIJIN &amp; XIONG, LIN</t>
  </si>
  <si>
    <t>SUKUMAR, NARAYANASAMI/LAKSHMIPRIYA</t>
  </si>
  <si>
    <t>MC MULLEN, JULIE &amp; KEN</t>
  </si>
  <si>
    <t>THOMSON, JOHN &amp; TRACY SUZANNE</t>
  </si>
  <si>
    <t>NOSCHESE, LAURIE A &amp; RICHARD A</t>
  </si>
  <si>
    <t>BAIG, MIRZA</t>
  </si>
  <si>
    <t>WALSH SR, ROBT C &amp; ROSEMARY R</t>
  </si>
  <si>
    <t>KOMPANOWSKI, AMANDA &amp; MILNER, JAMES</t>
  </si>
  <si>
    <t>BHATARAI, RAVI &amp; NEUPANE, SUNANDA</t>
  </si>
  <si>
    <t>CENDANT MOBILITY FINANCIAL CORP</t>
  </si>
  <si>
    <t>HAGAN, MEGHAN &amp; TIMOTHY</t>
  </si>
  <si>
    <t>KUMAR ABHISHEK</t>
  </si>
  <si>
    <t>GEBREMARIAM, MEAZA &amp; BERHANE ZEWDIE</t>
  </si>
  <si>
    <t>MADJAH, FRED &amp; GLADYS S APPENAHIER</t>
  </si>
  <si>
    <t>KARANJA, MARY W/MWANGI, GEORGE K</t>
  </si>
  <si>
    <t>BOGGAVARAPU, VENKATESWARA RAO</t>
  </si>
  <si>
    <t>NEWHOUSE, ROBERT</t>
  </si>
  <si>
    <t>BURGESS, BRIAN &amp; JENIFER</t>
  </si>
  <si>
    <t>SOHAIL, SYED TARIQ</t>
  </si>
  <si>
    <t>CHRISTIAN, RAJESH, SAROJ &amp; PRIYANKA</t>
  </si>
  <si>
    <t>COOKE, KEVIN C &amp; MAY, ASHLEY N</t>
  </si>
  <si>
    <t>MOHAN GOPALAN &amp; SIND HU MOHAN</t>
  </si>
  <si>
    <t>OREILLY, LAWRENCE X</t>
  </si>
  <si>
    <t>HAWKINSON, DENISE</t>
  </si>
  <si>
    <t>PANDALAI, SRIDEVI D/VIJAYAGOPAL,RAM</t>
  </si>
  <si>
    <t>JOSHUA ITONYO</t>
  </si>
  <si>
    <t>MANCILLA, DANL E &amp; VERONICA D</t>
  </si>
  <si>
    <t>SHILPA PILLAI</t>
  </si>
  <si>
    <t>ASTRAUSKAS, ARUNAS</t>
  </si>
  <si>
    <t>TIMOTHY, ELVIRA &amp; SAMUEL</t>
  </si>
  <si>
    <t>MOODY, RACHEL &amp; SINOVICH, THOMAS</t>
  </si>
  <si>
    <t>AKUNEVICH, ALIAKSANDR</t>
  </si>
  <si>
    <t>JAFFER, HENA SYED &amp; PASHA, AZMATH</t>
  </si>
  <si>
    <t>SOUNDARARAJAN, RAJAPANDIAN &amp; U</t>
  </si>
  <si>
    <t>RAJENDRAN, RESMI/THULASEEDAS, JOLLY</t>
  </si>
  <si>
    <t>HSU, EMILY M</t>
  </si>
  <si>
    <t>PAITYN N FIETS</t>
  </si>
  <si>
    <t>O CONNOR, MICHAEL J</t>
  </si>
  <si>
    <t>WAWRZASZEK, BETH &amp; KALINOWSKI,JASON</t>
  </si>
  <si>
    <t>AMEGATSE, JOHN &amp; FELICIA D</t>
  </si>
  <si>
    <t>GONZALEZ, MARIA H &amp; MUNOZ, CARLOS M</t>
  </si>
  <si>
    <t>RIJHWANI, KAMLESH/SUKHEJA, PINKY</t>
  </si>
  <si>
    <t>ADEKUNLE, BUMNI A &amp; PHILIP M</t>
  </si>
  <si>
    <t>PING-TSE CHO</t>
  </si>
  <si>
    <t>PATEL, BHAVIKKUMAR,DASHARATHLAL &amp; H</t>
  </si>
  <si>
    <t>CHEN, LIN &amp; XIAOPENG WANG</t>
  </si>
  <si>
    <t>BALAJI, YOGA &amp; PADMA PRIYA</t>
  </si>
  <si>
    <t>WEBB, BECKY &amp; JAMES</t>
  </si>
  <si>
    <t>SINGARAJU, S &amp; TELLAPRAGADA, S</t>
  </si>
  <si>
    <t>JAMES M LAVE</t>
  </si>
  <si>
    <t>LEE, MONIKA L &amp; ROBERT W</t>
  </si>
  <si>
    <t>VIRK, JAGAT J &amp; SANDEEP</t>
  </si>
  <si>
    <t>KEMPINGER, JAYSON &amp; SUSAN</t>
  </si>
  <si>
    <t>MOHAMMED, BABADUR</t>
  </si>
  <si>
    <t>FRESKOS, STEPHEN J</t>
  </si>
  <si>
    <t>KOLANOWSKI, ANDREW &amp; JOANNA</t>
  </si>
  <si>
    <t>MARIUSZ MICHAL GLADYS</t>
  </si>
  <si>
    <t>LIBRIZZI, MATTHEW B/ZID, KATHRIN A</t>
  </si>
  <si>
    <t>SOYLUANG, PROKCHON</t>
  </si>
  <si>
    <t>FULLER, ELENA &amp; SCOTT</t>
  </si>
  <si>
    <t>CRANE, JOELLEN TRUSTEE</t>
  </si>
  <si>
    <t>THORNE, PATRICIA TRUSTEE</t>
  </si>
  <si>
    <t>MICHAEL F. DOHERTY AND LINDA E. DOHERTY, TRUSTEES OF THE MICHAEL F. DOHERTY AND LINDA E. DOHERTY LIVING TRUST DATED AUGUST 26, 2019</t>
  </si>
  <si>
    <t>CHARLES KIM</t>
  </si>
  <si>
    <t>JAMES R. NEAL</t>
  </si>
  <si>
    <t>RICHARD D. KLEIN</t>
  </si>
  <si>
    <t>DAVID PHILLIP SALVATO</t>
  </si>
  <si>
    <t>BOROWIEC, BARTHOLOMEW M &amp; MARIA L</t>
  </si>
  <si>
    <t>WYATT ORTON</t>
  </si>
  <si>
    <t>AIA ENTERPRISES LLC SERIES 2</t>
  </si>
  <si>
    <t>NAM, JI S &amp; YOON</t>
  </si>
  <si>
    <t>MOMMER, LAMONT E</t>
  </si>
  <si>
    <t>FRANKLIN, DARRYL P &amp; SHAROLYN</t>
  </si>
  <si>
    <t>ENTWHISTLE, ALYSON R &amp; CHRISTOPHER</t>
  </si>
  <si>
    <t>SATRE, DANIEL &amp; GWENDOLYN</t>
  </si>
  <si>
    <t>SUH, DUCKIN/SYLVIA H/ERIC I</t>
  </si>
  <si>
    <t>AIYER, RAVINDRA K/CHOUHAN, RUCHI</t>
  </si>
  <si>
    <t>AHMED ABOUSAFAT</t>
  </si>
  <si>
    <t>STEVEN OLLENDICK</t>
  </si>
  <si>
    <t>WOLNIEWICZ, CATHERINE &amp; MATTHEW</t>
  </si>
  <si>
    <t>DE COOK, JASON T &amp; TRACY</t>
  </si>
  <si>
    <t>PECK JR, GEORGE T &amp; KAREN VEDER</t>
  </si>
  <si>
    <t>JOSEPH E. SHOAF</t>
  </si>
  <si>
    <t>BHASKARANI, ANJANI L &amp; NOOTI, RAJA</t>
  </si>
  <si>
    <t>JOHN R WERNEKE</t>
  </si>
  <si>
    <t>CORWELL, KAY HUGHES/STEPHEN R</t>
  </si>
  <si>
    <t>GARG, GAURAV/GUPTA, PARUL</t>
  </si>
  <si>
    <t>GERALD, JOHN DOUGLAS</t>
  </si>
  <si>
    <t>HU, VICTOR &amp; NIGRO, DENISE</t>
  </si>
  <si>
    <t>DAVID LADD</t>
  </si>
  <si>
    <t>ASHISH PATEL</t>
  </si>
  <si>
    <t>ANKIT BATRA</t>
  </si>
  <si>
    <t>RIORDAN, DENNIS &amp; ELIZABETH</t>
  </si>
  <si>
    <t>OKEN, JEFFREY &amp; TODRA</t>
  </si>
  <si>
    <t>ADE, SWETHA/GUNUKULA, VANSHIKRISHNA</t>
  </si>
  <si>
    <t>DODGE, ERIC &amp; KENNEDY,KATHERINE</t>
  </si>
  <si>
    <t>WALKER, JASON T &amp; SANDRA W</t>
  </si>
  <si>
    <t>MILLER, JASON CR &amp; CHRISTI S TTEE</t>
  </si>
  <si>
    <t>GOPALAKRISHNAN, MANIGANDAN/SHARMA,K</t>
  </si>
  <si>
    <t>LOWRY, ALEXIS A/RICHARD M TRUSTEES</t>
  </si>
  <si>
    <t>MANDEL, LEE M &amp; PORTIA D</t>
  </si>
  <si>
    <t>AGARWAL, AMIT/NAIR, ANDREA</t>
  </si>
  <si>
    <t>DYSON, ANDREA &amp; KEMPF, MARK C</t>
  </si>
  <si>
    <t>HASTINGS IV, THURMAN H &amp; WHITNEY</t>
  </si>
  <si>
    <t>POLHEBER, AMELIA &amp; GREGORY</t>
  </si>
  <si>
    <t>MC NICHOLS, JENNIFER L/MATTHEW J</t>
  </si>
  <si>
    <t>GRANHOLM, NATASHA D &amp; PETER</t>
  </si>
  <si>
    <t>NICK CRAWFORD</t>
  </si>
  <si>
    <t>HUNTER, JOE R &amp; JUDITH JOY TR</t>
  </si>
  <si>
    <t>HARIKRISHNAN BAKTHAVACHALU</t>
  </si>
  <si>
    <t>YAN LIN CHEN</t>
  </si>
  <si>
    <t>DELAAT FONTASH, M C &amp; FONASH,LUKE A</t>
  </si>
  <si>
    <t>URZUA, ARTHI N TRUSTEE</t>
  </si>
  <si>
    <t>MASA, SIVA M L &amp; UMA M</t>
  </si>
  <si>
    <t>UY, LANA L &amp; MANOLO B</t>
  </si>
  <si>
    <t>PRASAD, CHANDRA N &amp; SANGEETA TTEES</t>
  </si>
  <si>
    <t>JEYAPRAKAS, S G/ THANIKODY, L P</t>
  </si>
  <si>
    <t>CAO, XINYAN &amp; SITAILO, DENIS</t>
  </si>
  <si>
    <t>SIK, KAH HWA ALEX &amp; TAN, LEI SAN</t>
  </si>
  <si>
    <t>BHATT, ABHIJEET H &amp; CHITRA</t>
  </si>
  <si>
    <t>VORA, BIPIN V &amp; KALPANA B</t>
  </si>
  <si>
    <t>GERDIS, CARLENE B TRUSTEE</t>
  </si>
  <si>
    <t>MACINTYRE, RORY C/RORKE, NICOLE</t>
  </si>
  <si>
    <t>LI, JIANNING/QI, FENGXIA</t>
  </si>
  <si>
    <t>MACALAGUIN, JENNIFER &amp; JUSTIAN</t>
  </si>
  <si>
    <t>STRATIGAKIS, CONSTANTINE P</t>
  </si>
  <si>
    <t>SANDEEPSHEKAR RAJASHEKAR</t>
  </si>
  <si>
    <t>DEAN, DEBRA S/DENNIS L TRUST</t>
  </si>
  <si>
    <t>MISHRA, RAJEEV P &amp; SUNITA</t>
  </si>
  <si>
    <t>RAMESH, SASIREKA/SRINIVASAN, RAMESH</t>
  </si>
  <si>
    <t>TANNURA,MICHAEL ALAN &amp; MARISSA ANNE</t>
  </si>
  <si>
    <t>LONG, ERIK T &amp; JEAN E</t>
  </si>
  <si>
    <t>NIBHANUPUDI, GURU L &amp; VASUDEVA</t>
  </si>
  <si>
    <t>420 INFINITY, LLC</t>
  </si>
  <si>
    <t>DANIEL WEBER</t>
  </si>
  <si>
    <t>ENEA,CALOGERO R/ZUNIGA,CASSANDRA C</t>
  </si>
  <si>
    <t>ANKIREDDYPALLE,SREENADHA R/GADDAM,S</t>
  </si>
  <si>
    <t>KONDAM, SUDHIR C R/MUCHA, MANASA</t>
  </si>
  <si>
    <t>BASSETTO, LANA E &amp; WILLIAM L</t>
  </si>
  <si>
    <t>HANREHAN, GRACE M &amp; ROBERT S</t>
  </si>
  <si>
    <t>HILL, CASSIDY &amp; JASON R</t>
  </si>
  <si>
    <t>SAMONDS, CYNTHIA AND MATTHEW</t>
  </si>
  <si>
    <t>LEE, COLLEEN &amp; KEITH</t>
  </si>
  <si>
    <t>TANNER, JENNIFER L &amp; LEAH</t>
  </si>
  <si>
    <t>MEAGAN L. COOK AND RYAN W. COOK</t>
  </si>
  <si>
    <t>KMEC, LAURA &amp; MICHAEL D</t>
  </si>
  <si>
    <t>KAMATALA, GAYATHRI &amp; MAHESH</t>
  </si>
  <si>
    <t>SCHUTTE, MEHRIBAN N &amp; TODD M</t>
  </si>
  <si>
    <t>SWISS, SARAH &amp; TIMOTHY</t>
  </si>
  <si>
    <t>SHENK, JOSHUA D &amp; MARIA JOSE</t>
  </si>
  <si>
    <t>CHASE, CHRISTIAN &amp; JOSIE L</t>
  </si>
  <si>
    <t>RAMON AVILA</t>
  </si>
  <si>
    <t>RANGANATH BABU BANDI</t>
  </si>
  <si>
    <t>KI HONG PARK</t>
  </si>
  <si>
    <t>MILLER, BRENT E &amp; NILE N</t>
  </si>
  <si>
    <t>WILLIAM CHARLES O'BRIEN JR.</t>
  </si>
  <si>
    <t>RUFFOLO, LYNN &amp; SCOTT</t>
  </si>
  <si>
    <t>SCHWER, CHARLES &amp; JENNIFER</t>
  </si>
  <si>
    <t>BRENT T HASSE</t>
  </si>
  <si>
    <t>URDA, MARK V &amp; MIELISA C</t>
  </si>
  <si>
    <t>FINCK, CHRISTOPHER &amp; SUSAN</t>
  </si>
  <si>
    <t>SCHWEITZER, DOREEN</t>
  </si>
  <si>
    <t>JASINSKI, ALEXANDER F &amp; AMANDA F</t>
  </si>
  <si>
    <t>DAWN K. HOOVER, AS TRUSTEE OF THE DAWN K HOOVER REVOCABLE TRUST AGREEMENT DATED FEBRUARY 26, 1998</t>
  </si>
  <si>
    <t>JEFFREY KARL AND SVETLANA N SCHROEDER</t>
  </si>
  <si>
    <t>VIVEK S. RATHOD</t>
  </si>
  <si>
    <t>ISAAC LEE</t>
  </si>
  <si>
    <t>BENIPAL, BRINDERJIT K &amp; GILL, S H</t>
  </si>
  <si>
    <t>BRISTOW, DAL M &amp; LINDSEY J TRUSTEES</t>
  </si>
  <si>
    <t>CARSELLO, JOSEPH A/NATASHA TRUSTEES</t>
  </si>
  <si>
    <t>BREE, ROBERTA &amp; RONALD</t>
  </si>
  <si>
    <t>BREE, ROBERT B &amp; RONALD D</t>
  </si>
  <si>
    <t>CRAIG L. WEINSTEIN</t>
  </si>
  <si>
    <t>JILLIAN DIMAS</t>
  </si>
  <si>
    <t>HIGH SMITH, SEAN M/FREEMAN W</t>
  </si>
  <si>
    <t>ASHCRAFT, DAVID &amp; TERESE</t>
  </si>
  <si>
    <t>MILLIGAN, KRISTEN &amp; ROBT B</t>
  </si>
  <si>
    <t>FRANCZYK, ERIN &amp; RONALD A</t>
  </si>
  <si>
    <t>BOALER, ISIL &amp; SIMON</t>
  </si>
  <si>
    <t>PETERSON, STEVE R</t>
  </si>
  <si>
    <t>SNODGRASS, ANDREA M &amp; CHRISTOPHER R</t>
  </si>
  <si>
    <t>JAVVADI, YAMINI L &amp; MEDURI, V</t>
  </si>
  <si>
    <t>MEHTA, DIPAL P &amp; PRATIK B</t>
  </si>
  <si>
    <t>SKARUPA, ANDREW A TRUSTEE</t>
  </si>
  <si>
    <t>RUTU S EZHUTHACHAN</t>
  </si>
  <si>
    <t>SLYKAS, JAMES &amp; MARY JO</t>
  </si>
  <si>
    <t>HERBST, DAWN &amp; VUJIC, STEVEN</t>
  </si>
  <si>
    <t>MICHAEL T. ANDREOLI, AS TRUSTEE OF THE MICHAEL T. ANDREOLI DECLARATION OF TRUST DATED APRIL 19, 2021</t>
  </si>
  <si>
    <t>BLACK, MELISSA &amp; SEAN P TRUST</t>
  </si>
  <si>
    <t>ELLIOTT, RICHARD A &amp; SUSAN M</t>
  </si>
  <si>
    <t>PETERSEN, KEVIN S</t>
  </si>
  <si>
    <t>HARRIS T&amp;S BK #5660</t>
  </si>
  <si>
    <t>D.J.K. CUSTOM HOMES, AN ILLINOIS CORPORATION</t>
  </si>
  <si>
    <t>YADAV, AJAY D &amp; PRANATI A</t>
  </si>
  <si>
    <t>D.J.K. CUSTOM HOMES, INC</t>
  </si>
  <si>
    <t>MADALAM, PADMAVATHI &amp; YASWANTH K</t>
  </si>
  <si>
    <t>THOMAS M &amp; MARIA M GIBBS</t>
  </si>
  <si>
    <t>CURTIS VONDRASEK</t>
  </si>
  <si>
    <t>JOSHUA GORDON &amp; JULIA NICOLE SELBO</t>
  </si>
  <si>
    <t>MEHTA, BINOLI H &amp; HARDIK P</t>
  </si>
  <si>
    <t>PARIKH, KUNHAL &amp; SAJANI</t>
  </si>
  <si>
    <t>MC CABE, BRIAN J/PATEL, WAYSHALEE</t>
  </si>
  <si>
    <t>BOLLIGER, BRIAN D &amp; NANCY J</t>
  </si>
  <si>
    <t>JONATHAN E. JUSTICE</t>
  </si>
  <si>
    <t>RAI, APARNA &amp; NAGESH</t>
  </si>
  <si>
    <t>KATNUR, JAGADISH &amp; SWATHI PRASUNA J</t>
  </si>
  <si>
    <t>MUMMANA, RAJANI/PINISETTI, SURYA P</t>
  </si>
  <si>
    <t>KELKAR, ADWAIT A &amp; DHARA</t>
  </si>
  <si>
    <t>STEPHEN K. LOHMAN</t>
  </si>
  <si>
    <t>JESSICA E. HALL N/K/A JESSICA E. BARNAS, TRUSTEE OF THE JESSICA E. HALL LIVING TRUST DATED MARCH 19, 2019</t>
  </si>
  <si>
    <t>PITRODA, TANYA &amp; SONI, NIMESH</t>
  </si>
  <si>
    <t>SHALIN CHETAN AND PRUTHA SHALIN DESAI</t>
  </si>
  <si>
    <t>GIALANI, SYD F &amp; SHITLA P</t>
  </si>
  <si>
    <t>SANCHEZ, HECTOR &amp; JACQUELINE</t>
  </si>
  <si>
    <t>KANETKAR, VIVEK &amp; UPASANI, V</t>
  </si>
  <si>
    <t>DANIEL SMITH</t>
  </si>
  <si>
    <t>SHAIK, AHAMED BASHA &amp; NAZEEM</t>
  </si>
  <si>
    <t>LYMANGOOD III, WM R/MEGHAN TRUSTEES</t>
  </si>
  <si>
    <t>JAYARAMAN, DINESH/VARADHARAJAN, S</t>
  </si>
  <si>
    <t>METZGER, DOUGLAS &amp; JOCELYN</t>
  </si>
  <si>
    <t>AUERBACH, BENJAMIN &amp; LOCKWITZ, S</t>
  </si>
  <si>
    <t>SMITH, SHANNON B</t>
  </si>
  <si>
    <t>MICHAEL JAMES CHUNG</t>
  </si>
  <si>
    <t>GADDAM, LIKHITHA R/GOTUR, V R</t>
  </si>
  <si>
    <t>SHAHAB FIRASAT &amp; TEHMINA KHAN</t>
  </si>
  <si>
    <t>CHANDRASEKHARAN, SAI/VITTAL, P</t>
  </si>
  <si>
    <t>OBAID &amp; BINISH KHAN- BAIG</t>
  </si>
  <si>
    <t>MILLER, CAROL &amp; EDWARD DANIEL</t>
  </si>
  <si>
    <t>SEYFARTH, JEFFREY A &amp; MARCIA K</t>
  </si>
  <si>
    <t>KIRKPATRICK, JESSICA &amp; MATTHEW</t>
  </si>
  <si>
    <t>CHIRAG BHARGAVA</t>
  </si>
  <si>
    <t>BALATHANDAYUTHAM, S &amp; THANGAMANI, E</t>
  </si>
  <si>
    <t>D.J.K. CUSTOM HOMES, INC.</t>
  </si>
  <si>
    <t>KALARI, RAMESH B &amp; SARAH &amp; SASANKA</t>
  </si>
  <si>
    <t>YANIC PERREAULT</t>
  </si>
  <si>
    <t>FAN, VICKY C &amp; WONG, RICHARD</t>
  </si>
  <si>
    <t>CHENG, BEE J TRUSTEE</t>
  </si>
  <si>
    <t>DJK CUSTOM HOMES, INC.,</t>
  </si>
  <si>
    <t>VORA, KUNAL &amp; MARGI</t>
  </si>
  <si>
    <t>DADI, CHANDRIMA/PUTTAGUNTA, V P</t>
  </si>
  <si>
    <t>JOHN CAMPOS</t>
  </si>
  <si>
    <t>PICKETT, DWAYNE</t>
  </si>
  <si>
    <t>DESAI, MANUSHI/SHAH, AMEESH</t>
  </si>
  <si>
    <t>SCHAUFENBUEL, BRADLEY J &amp; YING</t>
  </si>
  <si>
    <t>PATEL, RINKESH/SHAH, RIDDHI R</t>
  </si>
  <si>
    <t>JONES, CATHY H &amp; MICHAE R TRTEES</t>
  </si>
  <si>
    <t>DADI, SRINIVAS/RANGANATHAN, ANITHA</t>
  </si>
  <si>
    <t>ASHISH SHARMA</t>
  </si>
  <si>
    <t>SOWA, KATHRYN</t>
  </si>
  <si>
    <t>LOPATKA, KEITH A &amp; JULIE</t>
  </si>
  <si>
    <t>BURGOS, AIZA &amp; LAMAR</t>
  </si>
  <si>
    <t>CALDWELL, DUNCAN G &amp; TINA M</t>
  </si>
  <si>
    <t>UMAIR AHMED RANDHAWA</t>
  </si>
  <si>
    <t>DANIEL JAY MIDDENDORF</t>
  </si>
  <si>
    <t>IYYADURAI, RAVI S &amp;SANKAR, SURIYA R</t>
  </si>
  <si>
    <t>MICHAEL BEATTY</t>
  </si>
  <si>
    <t>MICHAEL A. MARTINIS</t>
  </si>
  <si>
    <t>NALAWADI, RUMYA &amp; SHANTESH</t>
  </si>
  <si>
    <t>DAVIES, STACY L &amp; SVEN T</t>
  </si>
  <si>
    <t>PANDEY, ARUN K &amp; GUDDI</t>
  </si>
  <si>
    <t>JOHNSON, BARBARA &amp; DONALD</t>
  </si>
  <si>
    <t>MDJH TRUST</t>
  </si>
  <si>
    <t>JOSHI, ABHIJIT RAVINDRA &amp; SUVERNA</t>
  </si>
  <si>
    <t>ALEX ZAVALA</t>
  </si>
  <si>
    <t>ASSAD, ELIZABETH M &amp; SAMI, MARK E</t>
  </si>
  <si>
    <t>MORSE, CAROL A &amp; GEOFFREY A</t>
  </si>
  <si>
    <t>SAAHITHI GUNDA</t>
  </si>
  <si>
    <t>RAHUL RAIPOOT</t>
  </si>
  <si>
    <t>JAMESSON &amp; KIMBERLY SUGAY DOLORES</t>
  </si>
  <si>
    <t>VENEEL VENKAT BHUPATHIRAJU</t>
  </si>
  <si>
    <t>PHOTOWALA, FATEMA &amp; HUZEFA</t>
  </si>
  <si>
    <t>HARMS, JAMES H</t>
  </si>
  <si>
    <t>MARTINEZ, NEFTALI C LOPEZ</t>
  </si>
  <si>
    <t>SAHIL AGGARWAL</t>
  </si>
  <si>
    <t>KOMMINENI,LAKSHMI P/TRIPURANEMI, S</t>
  </si>
  <si>
    <t>ANNE E. DEER REVOCABLE TRUST AGREEMENT DATED DECEMBER 16, 2015</t>
  </si>
  <si>
    <t>MC FADDEN, MICHAEL &amp; SUZANNE</t>
  </si>
  <si>
    <t>GAJARA, KARUNA SREE &amp; SILVA KUMAR</t>
  </si>
  <si>
    <t>PALAMUTHY, KALPANA/SRIRAJ, P S</t>
  </si>
  <si>
    <t>PATEL, CHIRAG S &amp; PRIYA</t>
  </si>
  <si>
    <t>PATEL, HINAL M, MONIL G &amp; NIDHI G</t>
  </si>
  <si>
    <t>BATCHU, RANJIT &amp; PONNURU, PRIYANKA</t>
  </si>
  <si>
    <t>JAMES, GERALD/MATHEW, MAXY</t>
  </si>
  <si>
    <t>GADDAM, SREENATH &amp; YARATAPALLI,S</t>
  </si>
  <si>
    <t>AKELLA, PRASANTHI/CHIVUKULA, SUDHIR</t>
  </si>
  <si>
    <t>FLYNN, ABIGAIL B &amp; BRIAN</t>
  </si>
  <si>
    <t>CHIEN, MING T &amp; DUNLOP, CHRISTINE</t>
  </si>
  <si>
    <t>BHATTI, GURDEEP &amp; GILL, PAVANDEEP</t>
  </si>
  <si>
    <t>ANDERSON, CANDICE M &amp; RYAN D</t>
  </si>
  <si>
    <t>KALIGOTLA, SATYA N/TALLAPRAGADA, T</t>
  </si>
  <si>
    <t>MOELLER, KATHERINE R &amp; LANE M</t>
  </si>
  <si>
    <t>KLOTTER, JANELLE M &amp; JEFFREY M</t>
  </si>
  <si>
    <t>D.J.K. CUSTOM HOMES INC.</t>
  </si>
  <si>
    <t>GODUGUCHINTA, INDEEVAR/YETIGADDA,M</t>
  </si>
  <si>
    <t>GKFREDDY PROPERTIES LLC</t>
  </si>
  <si>
    <t>SREEKANTH KANAPARTHI</t>
  </si>
  <si>
    <t>BURLAND, COURTNEY P &amp; MARY R</t>
  </si>
  <si>
    <t>KIM, SOOCHUL &amp; SOOMI</t>
  </si>
  <si>
    <t>STEPHANIE MONTANARI</t>
  </si>
  <si>
    <t>ELOE, REBECCA &amp; TIMOTHY</t>
  </si>
  <si>
    <t>HARRIS TRUST</t>
  </si>
  <si>
    <t>BAUMGARTNER, DEBORAH K &amp; WILLIAM J</t>
  </si>
  <si>
    <t>CHERRINGTON, ALAYNA &amp; TODD TRUST</t>
  </si>
  <si>
    <t>TANG, GEO</t>
  </si>
  <si>
    <t>CHAWLA, NAVEEN/GUPTA, MEENU</t>
  </si>
  <si>
    <t>KUMAR, SANJEEV &amp; RANI, FNU NIDHI</t>
  </si>
  <si>
    <t>LAKSHMINARAYANAN, K/MURUGAN, N</t>
  </si>
  <si>
    <t>ABRAMOV, RAFAIL &amp; ICANOVA, VICTORIA</t>
  </si>
  <si>
    <t>KRASOWSKI, LISA K &amp; MICHAEL J</t>
  </si>
  <si>
    <t>WOODS JR, ROBERT E &amp; NICOLE A</t>
  </si>
  <si>
    <t>PATEL, HARSH &amp; SWETHA NUKALA</t>
  </si>
  <si>
    <t>MASSAGEE, BENJAMIN W &amp; VOLHA</t>
  </si>
  <si>
    <t>WILLIS, CHAS M &amp; NORA D</t>
  </si>
  <si>
    <t>COX, KATHERINE H &amp; SHAUN W</t>
  </si>
  <si>
    <t>BRUCE LINDLEY BLAIR JR.</t>
  </si>
  <si>
    <t>BOLOGNANI,TIMOTHY J &amp; MEYERS,KARI E</t>
  </si>
  <si>
    <t>SUNDARESHAN, VISHWANATH &amp; SWATHI</t>
  </si>
  <si>
    <t>DHIR, ASHMA/SATSANGI, RUOANSHU</t>
  </si>
  <si>
    <t>MORALES-SATRE, BLANCA &amp; MATTHEW J</t>
  </si>
  <si>
    <t>ALWOOD, EMILY &amp; RYAN</t>
  </si>
  <si>
    <t>DERN III, JOHN &amp; ERIN D</t>
  </si>
  <si>
    <t>JARED CHAMPION</t>
  </si>
  <si>
    <t>HUGHES, CHARLES W &amp; HEATHER M</t>
  </si>
  <si>
    <t>NATARAJAN, RAMESH/SINGARAVELU, S</t>
  </si>
  <si>
    <t>CHONG, FUI TING &amp; WOO, CHEN CHING</t>
  </si>
  <si>
    <t>DESAI, ANNA &amp; VIVEK D</t>
  </si>
  <si>
    <t>JONI BORGHESI AND MICHAEL BORGHESI, AS TRUSTEES OF THE BORGHESI FAMILY TRUST, DATED JULY 17, 2019</t>
  </si>
  <si>
    <t>ZHENXU SUN</t>
  </si>
  <si>
    <t>KAPALA, LAURA M TRUSTEE</t>
  </si>
  <si>
    <t>MITTAL,PRATIK PAWANKUMAR &amp; ROOPALI</t>
  </si>
  <si>
    <t>CAINE, PAMELA &amp; STEPHEN</t>
  </si>
  <si>
    <t>STIFF, PATRICK J</t>
  </si>
  <si>
    <t>WAGNER, LISA &amp; RYAN</t>
  </si>
  <si>
    <t>MOTURU, UJWAL K &amp; REDDY, G R B</t>
  </si>
  <si>
    <t>GULIANI, CHARU/SUGUNAKUMAR, ARULRAJ</t>
  </si>
  <si>
    <t>MITCHELL, SUSAN G TRUSTEE</t>
  </si>
  <si>
    <t>CHOW, YEE M</t>
  </si>
  <si>
    <t>BROWN, KEITH T &amp; KELLY S</t>
  </si>
  <si>
    <t>HOGESLAG, C C E/VANLAERHOVEN, D L</t>
  </si>
  <si>
    <t>ASHLEY HILTENBRAND</t>
  </si>
  <si>
    <t>OMKAR, SAIPRIYA A/PRABHAKARA, V</t>
  </si>
  <si>
    <t>JOSEPH A HASELHORST</t>
  </si>
  <si>
    <t>COFFEY-FLYNN, HOLLY L &amp; KELLY J</t>
  </si>
  <si>
    <t>KULKARNI, ROHAN SUHAS/VAIDEHI ROHAN</t>
  </si>
  <si>
    <t>KRAMER RESTORATION OF DUPAGE COUNTY L.L.C.</t>
  </si>
  <si>
    <t>CHITNIS, JAYMAN</t>
  </si>
  <si>
    <t>AMBRINA NADIA BUTT</t>
  </si>
  <si>
    <t>SANTNER, KATRINA &amp; WARREN</t>
  </si>
  <si>
    <t>BALUSU, ARAVIND &amp; BOLLEMPALLI, K</t>
  </si>
  <si>
    <t>NARLA, UDAYASRI &amp; SRISHALA, R R</t>
  </si>
  <si>
    <t>KOLLA, LAVANYA &amp; PAYALA, VIVEK</t>
  </si>
  <si>
    <t>KOVACS, BRIDGET A BLAZEK &amp; JAMES A</t>
  </si>
  <si>
    <t>JAMES M &amp; KATHLEEN MARY PACH</t>
  </si>
  <si>
    <t>ZHIWEN SONG</t>
  </si>
  <si>
    <t>DAVID, SANDY &amp; SARAH CHO</t>
  </si>
  <si>
    <t>CAO, LEI &amp; WANG, JING</t>
  </si>
  <si>
    <t>MANN, ANITA &amp; MICHAEL S</t>
  </si>
  <si>
    <t>DANIEL J NGUYEN</t>
  </si>
  <si>
    <t>ANDRE F OLIVEIRA</t>
  </si>
  <si>
    <t>BUCHANAN, ANGUS &amp; KARIN</t>
  </si>
  <si>
    <t>JUSTIN STUBBS</t>
  </si>
  <si>
    <t>PAUL T BASILE</t>
  </si>
  <si>
    <t>KAREN ATWOOD, AS TRUSTEE OF THE MICHAEL ATWOOD FAMILY GIFT TRUST DATED SEPTEMBER 14, 2021</t>
  </si>
  <si>
    <t>TRASATT, ANDREW</t>
  </si>
  <si>
    <t>PAYTON, NUALA T &amp; ROBERT</t>
  </si>
  <si>
    <t>COFFMAN, AMY L/PHILLIPS, DAVID G</t>
  </si>
  <si>
    <t>MCKINLEY, EDWARD J</t>
  </si>
  <si>
    <t>FINCK, PETER W &amp; SANDRA H</t>
  </si>
  <si>
    <t>KRISTIAN NORDGREN</t>
  </si>
  <si>
    <t>DAVID GJELDUM</t>
  </si>
  <si>
    <t>BUTTS, KYMBERLY &amp; MARK</t>
  </si>
  <si>
    <t>PHOENIX, RIVER J</t>
  </si>
  <si>
    <t>FITZGERALD, JOHN</t>
  </si>
  <si>
    <t>BALASUBRAMANIAN, A/THIYAGARAIAN, P</t>
  </si>
  <si>
    <t>JDDD DEVELOPEMENT LLC</t>
  </si>
  <si>
    <t>LIAU, SHWN-WEI &amp; PENG, YUEH</t>
  </si>
  <si>
    <t>GOSWAMI, MANOJ G &amp; MINAL MANOJ</t>
  </si>
  <si>
    <t>NIDHI MANEET &amp; MANEET RAM NAGPAL</t>
  </si>
  <si>
    <t>CHIDAMBARAM, J &amp; SHUNMUGAM, S</t>
  </si>
  <si>
    <t>FLESNER, ADRIAN &amp; MAYUMI</t>
  </si>
  <si>
    <t>REICHARDT, DANA R &amp; MICHAEL D</t>
  </si>
  <si>
    <t>INTEGRITY HOME BLDRS</t>
  </si>
  <si>
    <t>AMARA, HUMAM/SAMARA, KINDA</t>
  </si>
  <si>
    <t>BAGAVATSSING, A/SIVARAMAN, SUJATHA</t>
  </si>
  <si>
    <t>DUMPHY, JAMES &amp; MICHAEL</t>
  </si>
  <si>
    <t>MADDI, BABUL REDDY/VANGOORI, JHANSI</t>
  </si>
  <si>
    <t>PALLAV PATNI</t>
  </si>
  <si>
    <t>CROCKETT, MEGHAN &amp; JOHN</t>
  </si>
  <si>
    <t>MIKULA, BETTY Y/SHANE M TRUST</t>
  </si>
  <si>
    <t>THOMAS III, DAVID LEE</t>
  </si>
  <si>
    <t>MATHIESON HOUSE, LLC</t>
  </si>
  <si>
    <t>ARENS, KRISTI L &amp; PATRICK J</t>
  </si>
  <si>
    <t>ERUM SHAIKH</t>
  </si>
  <si>
    <t>HUAN GIA HUYNH</t>
  </si>
  <si>
    <t>AURORA, NITIN &amp; RITIKA</t>
  </si>
  <si>
    <t>MICHAEL JERROL LEITNER</t>
  </si>
  <si>
    <t>CALVIN &amp; VIVIAN WILLIAMS</t>
  </si>
  <si>
    <t>JEFFREY &amp; ASHLEY M SEREDYNSKI</t>
  </si>
  <si>
    <t>JODI J. KAUTZ AND JEFFREY R. KAUTZ, AS TRUSTEES OF THE JODI J. KAUTZ 2005 DECLARATION OF TRUST DATED AUGUST 24, 2005, AS AMENDED</t>
  </si>
  <si>
    <t>GINA M &amp; MICHAEL A CAPUTO</t>
  </si>
  <si>
    <t>REBLING, AARON R &amp; DANIELLE L</t>
  </si>
  <si>
    <t>STEPHEN SHINK</t>
  </si>
  <si>
    <t>ANNAMREDDY, RAJASEKHAR C &amp; REDDY, B</t>
  </si>
  <si>
    <t>GAWDE, ASHWINI S &amp; SANTOSH B</t>
  </si>
  <si>
    <t>HUBER, AMY &amp; DEVIN</t>
  </si>
  <si>
    <t>NAGARAJAN, DIVYA/RAMADOSS, SENTHIL</t>
  </si>
  <si>
    <t>JAASTHI, RAJKRISHNA &amp; SAI LAKSHMI S</t>
  </si>
  <si>
    <t>YIN, MABLE Y AS TRUSTEE</t>
  </si>
  <si>
    <t>SCOTT L ANERINO</t>
  </si>
  <si>
    <t>LEWIS, ROSALIE &amp; MESSER, TIMOTHY</t>
  </si>
  <si>
    <t>AKULA, NEELIMA/KATAKAM, PRAVEEN K</t>
  </si>
  <si>
    <t>PARR, JESSICA R &amp; JUSTIN R</t>
  </si>
  <si>
    <t>SOMALRAJU,BALASUBRAMANYAM/SREEVANI</t>
  </si>
  <si>
    <t>KAKARLA, BHARATH &amp; MUKKALA, S</t>
  </si>
  <si>
    <t>VIVAN F. AND CHRISTIAN SCHMITTER</t>
  </si>
  <si>
    <t>DVORAK, JOHN C</t>
  </si>
  <si>
    <t>HARIS SIDDIQUI</t>
  </si>
  <si>
    <t>KHAN, DAHNISH N &amp; RABIYA M</t>
  </si>
  <si>
    <t>DESAI, HELI A &amp; SHAH, HARSHIT J</t>
  </si>
  <si>
    <t>MICHAEL DEL PRIORE</t>
  </si>
  <si>
    <t>SALEHINIA, IMAN &amp; VAHABZADEH, S</t>
  </si>
  <si>
    <t>MESSIER, JOHNNIE JEANETTE/MATTHEW</t>
  </si>
  <si>
    <t>PETRIKAS, JAMES J</t>
  </si>
  <si>
    <t>HENEGHAN, MARK G</t>
  </si>
  <si>
    <t>SAMEER K &amp; BHUMI S THAKKAR</t>
  </si>
  <si>
    <t>BALLANO, EMIL FRANCIS J</t>
  </si>
  <si>
    <t>ACUESTA, KIMBERLY &amp; JAHNKE, MARK</t>
  </si>
  <si>
    <t>CHRISTOPHER R. WERNER</t>
  </si>
  <si>
    <t>ANKIREDDY, DEEPIKA &amp; JONNALA, R S</t>
  </si>
  <si>
    <t>GRAVER, CHRISTOPHER &amp; HANNAH</t>
  </si>
  <si>
    <t>HUFF, YORLI</t>
  </si>
  <si>
    <t>ALMASE,GARY THOMAS &amp; JENNIFER WOLFF</t>
  </si>
  <si>
    <t>ARIBINDI, SHANTHI &amp; SYAN</t>
  </si>
  <si>
    <t>HAQUE, SYED MOIZ</t>
  </si>
  <si>
    <t>ATIF H KHAN</t>
  </si>
  <si>
    <t>MICHAEL K. MOYERS</t>
  </si>
  <si>
    <t>MACIE DOROW</t>
  </si>
  <si>
    <t>BUFORT, JESSICA &amp; JONATHAN</t>
  </si>
  <si>
    <t>THOTA, ABHILASH &amp; URADI, ANURADHA</t>
  </si>
  <si>
    <t>SHARIFF, ARSHIYA N &amp; MEHBOOB</t>
  </si>
  <si>
    <t>POSANPALLY, SANDEEEP R &amp; RAJAIAGARI</t>
  </si>
  <si>
    <t>JESSICA E. HOLLANDER</t>
  </si>
  <si>
    <t>GIESE, ELIZABETH &amp; WITTE, JEFFREY A</t>
  </si>
  <si>
    <t>HALL, RANDALL B &amp; SARAH ELLEN</t>
  </si>
  <si>
    <t>GOODMAN, ALICE J REVOCABLE TRUST</t>
  </si>
  <si>
    <t>KUMAR, SATYENDRA &amp; SINHA, SWETA</t>
  </si>
  <si>
    <t>NARASIMHAN,KIMBERLY WILSON /SRIKANT</t>
  </si>
  <si>
    <t>SMELTZER, ANNE E</t>
  </si>
  <si>
    <t>EICK, STEPHEN E &amp; SUSAN F</t>
  </si>
  <si>
    <t>PRABAKARAN MANI</t>
  </si>
  <si>
    <t>KOWAL, JAMES A</t>
  </si>
  <si>
    <t>JAMES J. GOMBAS</t>
  </si>
  <si>
    <t>BINKOWSKI, KAREN TRUSTEE</t>
  </si>
  <si>
    <t>KANTAMNENI, SINDHURA &amp; MANNE, KC</t>
  </si>
  <si>
    <t>DAVIS, PAMELA M</t>
  </si>
  <si>
    <t>THE PINKY A. AMIN TRUST DATED SEPTEMBER 6, 2013</t>
  </si>
  <si>
    <t>CHOWDHURY, MOHAMMED/SALAM, TANIA</t>
  </si>
  <si>
    <t>OURS, MATTHEW F &amp; STEPHANIE L</t>
  </si>
  <si>
    <t>DAMARLA, USHA R/JONNADULA, ARJUNA R</t>
  </si>
  <si>
    <t>PENMETSA,PRIYANKA P &amp; RAVINDRARAJU</t>
  </si>
  <si>
    <t>KAYNAAT SYED</t>
  </si>
  <si>
    <t>MOLLOY, DUNCAN R</t>
  </si>
  <si>
    <t>KANRAR, SAGARIKA/KUMAR, SANKAR</t>
  </si>
  <si>
    <t>PAL, RAHULJIT &amp; SAYANTANI</t>
  </si>
  <si>
    <t>LISA CORONEL</t>
  </si>
  <si>
    <t>FYLNN, THOMAS &amp; JOHN &amp; SHERRY</t>
  </si>
  <si>
    <t>BULUSU, KOWMUDI &amp; PERALI, R K</t>
  </si>
  <si>
    <t>DAVID GENE NEUMAN</t>
  </si>
  <si>
    <t>BURNS, BYRON L &amp; SUSAN B</t>
  </si>
  <si>
    <t>SCHREINER, CHRISTOPHER A &amp; EMILY</t>
  </si>
  <si>
    <t>FEELY, SHANE K &amp; NIYATI S</t>
  </si>
  <si>
    <t>BARRIOS, ELIANNA/MARTINEZ, ROLANDO</t>
  </si>
  <si>
    <t>SCHLECHTE, NATHAN &amp; ASHLEY</t>
  </si>
  <si>
    <t>NADEEM A MIRZA -TRUSTEE</t>
  </si>
  <si>
    <t>ALMALLA INTL INC</t>
  </si>
  <si>
    <t>ANUBHAV DAYASHANKAR SHUKLA</t>
  </si>
  <si>
    <t>ANJU &amp; DINESH K GOEL</t>
  </si>
  <si>
    <t>DESAI, HITESH R &amp; NISHA H</t>
  </si>
  <si>
    <t>PRATHIGUDUPU, R/VUNDI, S R</t>
  </si>
  <si>
    <t>SONIKA &amp; SAGAR KHOSLA</t>
  </si>
  <si>
    <t>ALDRICH, DANA B &amp; THOMAS M</t>
  </si>
  <si>
    <t>FIGOLA, BRYAN &amp; TABITHA</t>
  </si>
  <si>
    <t>KUMARI, SARITA/PRASAD, RAVINDER</t>
  </si>
  <si>
    <t>PRABHAKARAN, SHYAM S/SUNDAR, R S</t>
  </si>
  <si>
    <t>DANIEL W. AND ISABELA DIAS LEISTEN</t>
  </si>
  <si>
    <t>BRATTA, DANIEL R &amp; BRUMFIELD, LEIGH</t>
  </si>
  <si>
    <t>OSAMA ELKHATIB</t>
  </si>
  <si>
    <t>WAYNE A &amp; DONNA K HILT TRUSTEES</t>
  </si>
  <si>
    <t>YARDI, AVINASH G/SWAPNA AVINASH</t>
  </si>
  <si>
    <t>YOUNGREN, DOUGLAS R LIV TRUST</t>
  </si>
  <si>
    <t>KRUNAL &amp; MAYA PATEL</t>
  </si>
  <si>
    <t>PATEL, RICKY &amp; IVA</t>
  </si>
  <si>
    <t>NAGPURE, KEERTI &amp; RAM</t>
  </si>
  <si>
    <t>PEDDI, RAJU &amp; PULOORI, BABY C</t>
  </si>
  <si>
    <t>CHITRA,SATYA &amp; SISTLA, VENKATA P D</t>
  </si>
  <si>
    <t>LEWANDOWSKI, EDWARD M &amp; TRACY L</t>
  </si>
  <si>
    <t>PARROTT, JASON R &amp; TRACY A</t>
  </si>
  <si>
    <t>MARTIN, JOSEPH P &amp; ANNE M MILLER</t>
  </si>
  <si>
    <t>PATEL, BHAVIN H &amp; KINJAL B</t>
  </si>
  <si>
    <t>RICHARD A JANOR</t>
  </si>
  <si>
    <t>PAUL JOSEPH &amp; PATRICIA ANN PIEKOS</t>
  </si>
  <si>
    <t>MUDGAL, NEHA &amp; RANGAVAJHALA, V</t>
  </si>
  <si>
    <t>RAHEJA, ANJALI &amp; SUDHIR K</t>
  </si>
  <si>
    <t>FATTORUSO, M &amp; VELASQUEZ, ROSA I R</t>
  </si>
  <si>
    <t>BHADRACHALAMVPR, V/KESEVAMATHAM, C</t>
  </si>
  <si>
    <t>BOPPANA, SWAPNA/KANURI,VAMSIKRISHNA</t>
  </si>
  <si>
    <t>JERMAN, FRANCES T &amp; STPHEN M</t>
  </si>
  <si>
    <t>PATANKAR, NAYANA &amp; PADMAKAR</t>
  </si>
  <si>
    <t>GUNDA, KISHORE K/MOTAMARRI, S S</t>
  </si>
  <si>
    <t>ARTHAM, SANTOSH/DASHARATH, SOUMYA</t>
  </si>
  <si>
    <t>BANKIM BHUPENDRA &amp; ALKA BANKIM DESAI</t>
  </si>
  <si>
    <t>KUHN-ROJAS, MAUREEN &amp; CHRISTIAN</t>
  </si>
  <si>
    <t>BALAJI, DHANALEKSHMI/KUTHALAM, B S</t>
  </si>
  <si>
    <t>RAJULAPUDI, UDAIKANTH AND NAGA M</t>
  </si>
  <si>
    <t>KUMAR, PRASHANT &amp; MAKKAR, PRIYA</t>
  </si>
  <si>
    <t>JANI, DIPTI SAMIP &amp; SAMIP HEMENDRA</t>
  </si>
  <si>
    <t>MOHAMMAD, SAKEENA &amp; SAMDANI</t>
  </si>
  <si>
    <t>COLGROVE, MINDY C &amp; HENRIQUEZ, HANS</t>
  </si>
  <si>
    <t>RACHEL &amp; JAMES ALEXANDER</t>
  </si>
  <si>
    <t>BAYAS, RITA/KUMAR, SAURABH</t>
  </si>
  <si>
    <t>RATHNAKARA, SURANJANI/VISWANATH, R</t>
  </si>
  <si>
    <t>JOSHI, HETAL &amp; SANGHVI, CHIRAG M</t>
  </si>
  <si>
    <t>VEERAM, NAGA K P</t>
  </si>
  <si>
    <t>NYSTROM, ERIC M &amp; SAMANTHA A</t>
  </si>
  <si>
    <t>LEE, FOO C</t>
  </si>
  <si>
    <t>ZOLLER, CONSTANCE &amp; JOSEPH</t>
  </si>
  <si>
    <t>KUMAR, VINOD N/VINOD, SUKANYA</t>
  </si>
  <si>
    <t>MAHADEVAN, ARCHANA &amp; RAMAMURTHI,A T</t>
  </si>
  <si>
    <t>PANDYA, NEHAL C &amp; PRIYANKA</t>
  </si>
  <si>
    <t>PATEL,SHETAL T &amp; SHWETA S/SAVSANI,V</t>
  </si>
  <si>
    <t>KALAVAKURI, SANDHYA R/NETTAM, B N</t>
  </si>
  <si>
    <t>SAI CHAND INALA</t>
  </si>
  <si>
    <t>LEE, DANIELLE &amp; MATTHEW</t>
  </si>
  <si>
    <t>BALAKRISHNAN, S &amp; MOHAN, HARI GOPI</t>
  </si>
  <si>
    <t>KULANCHINATHAN, PADMAVATHY/SUKUMAR</t>
  </si>
  <si>
    <t>DESAI, APURVA G &amp; SHIRLEY</t>
  </si>
  <si>
    <t>NAREN, SHILPA/VENKATESH, NARENDRA</t>
  </si>
  <si>
    <t>SOMPALLE, MANJULA /TULLURI, SURESH</t>
  </si>
  <si>
    <t>PATIL, SUNITHA S/SHARMA, AMIT</t>
  </si>
  <si>
    <t>BODDUPALLI, KALYANI &amp; NARASIMHAM</t>
  </si>
  <si>
    <t>TAYLOR, ANDREW P N &amp; JILLIAN BIXLER</t>
  </si>
  <si>
    <t>BLUMHOEFER, KATE M &amp; TODD C</t>
  </si>
  <si>
    <t>DHANASEKARAN, SUNDAR/KAMALANATHAN,P</t>
  </si>
  <si>
    <t>SAVAIANO, JOSEPH R</t>
  </si>
  <si>
    <t>CHAD ROBERT BOHNSTEDT</t>
  </si>
  <si>
    <t>WILSON, DARYL</t>
  </si>
  <si>
    <t>CHRISTOPHER LITCHER</t>
  </si>
  <si>
    <t>ZEESHAN AHMED SYED</t>
  </si>
  <si>
    <t>VELUSAMY, SELVAKUMAR &amp; BATTU, M</t>
  </si>
  <si>
    <t>ALVAREZ, RAUL X &amp; VERONICA</t>
  </si>
  <si>
    <t>JAMUNA, SATHYA N P S/NARAYANA, S S</t>
  </si>
  <si>
    <t>SAGAR, GANESH S &amp; SHRADDHA G</t>
  </si>
  <si>
    <t>ANABAYAN KRISHNAMOORTHY</t>
  </si>
  <si>
    <t>BARBARA BRENNAN</t>
  </si>
  <si>
    <t>KADAM, SHEETAL &amp; SHIKHARE, NITIN M</t>
  </si>
  <si>
    <t>GERALD, MATTHEW NEIL TRUST</t>
  </si>
  <si>
    <t>BOSE, SHARMISTHA/CHATTERJEA, RAHUL</t>
  </si>
  <si>
    <t>VIJAY PANNEERSELVAM</t>
  </si>
  <si>
    <t>CHARLES G &amp; CHARYN DESMOND - TRUSTEES</t>
  </si>
  <si>
    <t>SCHOENJOHN JR, CHAS</t>
  </si>
  <si>
    <t>NAVEED BOZAI</t>
  </si>
  <si>
    <t>ERUM &amp; FAIZAN YAR KHAN</t>
  </si>
  <si>
    <t>JACK YUAN</t>
  </si>
  <si>
    <t>KEVAL RAJESH SHAH</t>
  </si>
  <si>
    <t>MATTHEW &amp; LINDA DZUGAN</t>
  </si>
  <si>
    <t>ALEJANDRO A CHAVEZ</t>
  </si>
  <si>
    <t>MARTHA R &amp; PETER J ORLOWICZ</t>
  </si>
  <si>
    <t>ANSARUDDIN KHAN MOHAMMED</t>
  </si>
  <si>
    <t>ANSHUL BAKSHI</t>
  </si>
  <si>
    <t>ARON &amp; SARA GERLICZKI</t>
  </si>
  <si>
    <t>ALFRED ABBAMONTE</t>
  </si>
  <si>
    <t>KAMALDEEP MEHTA</t>
  </si>
  <si>
    <t>CAMP, CATHY M &amp; MARK D</t>
  </si>
  <si>
    <t>ERNESTO &amp; DONNA CORONA</t>
  </si>
  <si>
    <t>HAILIANG WANG</t>
  </si>
  <si>
    <t>DURRE KHALIL</t>
  </si>
  <si>
    <t>MAYA PATEL</t>
  </si>
  <si>
    <t>CHRISTOPHER STEVEN</t>
  </si>
  <si>
    <t>MARTIN SCHUBERT</t>
  </si>
  <si>
    <t>ACQUAH, AMA M &amp; PAPA E</t>
  </si>
  <si>
    <t>MOLLOY, TIMOTHY &amp; MUNDT, ANGELIQUE</t>
  </si>
  <si>
    <t>BRUCE, DOUGLAS &amp; LARA</t>
  </si>
  <si>
    <t>KACZMAREK, LAUREL &amp; ROBERT</t>
  </si>
  <si>
    <t>STEPHEN TIMMINS</t>
  </si>
  <si>
    <t>KELLY, BRIAN</t>
  </si>
  <si>
    <t>KRELL, DAVID M/SMITH, VANESSA L</t>
  </si>
  <si>
    <t>JAIN, MADHU &amp; MANISH</t>
  </si>
  <si>
    <t>KAUR, SIMMY A &amp; SANDHU, GURJIT S</t>
  </si>
  <si>
    <t>CHERUKU, BHARATH/SAMA, SWATHI R</t>
  </si>
  <si>
    <t>HARMON, KARA N &amp; THOMAS D</t>
  </si>
  <si>
    <t>HARIHARAN, RAVI/NAGARETHINAM, S</t>
  </si>
  <si>
    <t>DENDUKURI, ARJUN R &amp; SRIDEVI</t>
  </si>
  <si>
    <t>SCHLEIGER, ANDREW M &amp; EMILY S V</t>
  </si>
  <si>
    <t>FAROOQ, AMNA &amp; ZUBAIR, GHULAM</t>
  </si>
  <si>
    <t>GIZZO, ANGELA M &amp; MARK B</t>
  </si>
  <si>
    <t>VIVIEK CHERIAN</t>
  </si>
  <si>
    <t>COLIN R LAUGHLIN</t>
  </si>
  <si>
    <t>MILLER, BRIAN J &amp; WHITNEY E</t>
  </si>
  <si>
    <t>MC ROBERTS, CHERYL &amp; THOMAS L</t>
  </si>
  <si>
    <t>SHARMILA FOWLER</t>
  </si>
  <si>
    <t>STACY E BROWN</t>
  </si>
  <si>
    <t>DOENGES, ROBT W</t>
  </si>
  <si>
    <t>BARTH, ROSEMARY &amp; SCHEUCHENZUBER, D</t>
  </si>
  <si>
    <t>MOORE, KELLY &amp; PECAK, ROBERT</t>
  </si>
  <si>
    <t>BECKER, JAY T &amp; MELISSA S</t>
  </si>
  <si>
    <t>BECKER, JAY &amp; MELISSA</t>
  </si>
  <si>
    <t>LANGER, GRETCHEN E &amp; LARRY F</t>
  </si>
  <si>
    <t>SHARMA, RANJIV K</t>
  </si>
  <si>
    <t>HUGUENARD, ANDREW J &amp; SHERYL A</t>
  </si>
  <si>
    <t>EAGLESON, RITA E &amp; RAMKE, CARL</t>
  </si>
  <si>
    <t>WIESEN, JAKE W &amp; HARWATCH, AMY I</t>
  </si>
  <si>
    <t>WARGA, GREGORY W &amp; JASMINE NAZEK</t>
  </si>
  <si>
    <t>BOUMITRI, GEORGETTE/HANNA, TONY</t>
  </si>
  <si>
    <t>LAYTH T ALASWAD TRUSTEE</t>
  </si>
  <si>
    <t>RANJAN, ASHISH &amp; TANUJA</t>
  </si>
  <si>
    <t>MATTHEW GRANT ZAHORA</t>
  </si>
  <si>
    <t>LOFTUS, MARY &amp; MICHAEL</t>
  </si>
  <si>
    <t>POTAPCZAK, JULLIANE &amp; MICHAEL</t>
  </si>
  <si>
    <t>SUJAY &amp; SWETA SHAH</t>
  </si>
  <si>
    <t>MC DOWELL, BRENDA K &amp; PATRICK J</t>
  </si>
  <si>
    <t>LARA, GUMERCINDO &amp; FRANNY LUNA</t>
  </si>
  <si>
    <t>JEFFREY MORIARTY</t>
  </si>
  <si>
    <t>ANDERSON,MAX J &amp; CHAVEZ,CRYSTIAN M</t>
  </si>
  <si>
    <t>CALDERON, MICHAEL &amp; NOWAK, ANITA</t>
  </si>
  <si>
    <t>NORTH, DEREK</t>
  </si>
  <si>
    <t>ERICKSON, ASHLYN Q/LABUD, TIMOTHY M</t>
  </si>
  <si>
    <t>MEYER, DANIEL R &amp; LAUREN M</t>
  </si>
  <si>
    <t>MAIER, TRAIAN</t>
  </si>
  <si>
    <t>JENKINS, JONATHAN/NUNN, JENNIFER</t>
  </si>
  <si>
    <t>KOLI, RAJENDRA &amp; RATNAMALA</t>
  </si>
  <si>
    <t>RONALD &amp; GRETCHEN RECHENMACHER</t>
  </si>
  <si>
    <t>JOHNSON, BRADLEY W</t>
  </si>
  <si>
    <t>GUSTIN, GREGORY &amp; PATRICIA TRUSTEES</t>
  </si>
  <si>
    <t>HJORTH, LAWRENCE P &amp; LISA M</t>
  </si>
  <si>
    <t>WILCE, SIMON R</t>
  </si>
  <si>
    <t>PEGGY S COLGROVE</t>
  </si>
  <si>
    <t>PEZZA, RANDALL/PHILLIPS, MARY TTEE</t>
  </si>
  <si>
    <t>MEEKER, MARK DENNIS</t>
  </si>
  <si>
    <t>O CONNELL, JAMES J &amp; VITA D</t>
  </si>
  <si>
    <t>PANDURENGAN, RAJESH K/RANGA, S C</t>
  </si>
  <si>
    <t>KUMAR SHRAVAN</t>
  </si>
  <si>
    <t>MCGOVERN, JENNY &amp; THOMAS</t>
  </si>
  <si>
    <t>SU, DEVLIN N &amp; KATHARINE N</t>
  </si>
  <si>
    <t>MANI, SRINIVASAN</t>
  </si>
  <si>
    <t>USMAN FAROOQUI</t>
  </si>
  <si>
    <t>SANDEE A WHITED AS TRUSTEE OF SANDEE A WHITED 2019 DECLARATION OF TRUST DATED 11-25-19</t>
  </si>
  <si>
    <t>O CONNOR, KEVIN J &amp; MARY JO</t>
  </si>
  <si>
    <t>LOQUERCIO, DIANE &amp; MICHAEL A</t>
  </si>
  <si>
    <t>REGAN, NORA A LIV TR</t>
  </si>
  <si>
    <t>BERKLEY, ROSS P &amp; WILTZ, JOAN M</t>
  </si>
  <si>
    <t>GARLAND, MARIKA R &amp; HICKS, TYLER C</t>
  </si>
  <si>
    <t>TAYLOR, GUY &amp; KIMBERLY GOODING</t>
  </si>
  <si>
    <t>HU, ERIC &amp; LIFENG</t>
  </si>
  <si>
    <t>MARY ANN MUHAMMAD, TRUSTEE</t>
  </si>
  <si>
    <t>LENKAPALLI, VASANTH K &amp; MADALA, P</t>
  </si>
  <si>
    <t>BENAITIS, DAWN M &amp; BRIDGES, DAN M</t>
  </si>
  <si>
    <t>HERNANDEZ, ALICIA &amp; WRIGHT, PETER J</t>
  </si>
  <si>
    <t>JOHN MATHEW J. ACOSTA</t>
  </si>
  <si>
    <t>JAMES BENNETT</t>
  </si>
  <si>
    <t>BUCKLEY, CRAIG &amp; SHUN JANE</t>
  </si>
  <si>
    <t>MC GOLDRICK, BARRY &amp; MARTINA</t>
  </si>
  <si>
    <t>KALAL, NIKITA &amp; SATISH</t>
  </si>
  <si>
    <t>LARSEN III, LAWRENCE B &amp; SARAH M</t>
  </si>
  <si>
    <t>MESSNER, CONNIE A &amp; MURRAY T</t>
  </si>
  <si>
    <t>TEWARY, BRAJENDRA N &amp; POONAM</t>
  </si>
  <si>
    <t>GUSAIN, NAMRATA S &amp; SUKHADEV R</t>
  </si>
  <si>
    <t>MORKER, JAGRUTI P &amp; PARESHKUMAR</t>
  </si>
  <si>
    <t>WOOD, ELIZABETH &amp; PAUL G</t>
  </si>
  <si>
    <t>RAMINENI, S &amp; VEERAGANDHAM, R</t>
  </si>
  <si>
    <t>JAGANNATH, SOWMYA &amp; SESHADRI, V</t>
  </si>
  <si>
    <t>CUSTAR, J GLENN &amp; KATHLEEN M</t>
  </si>
  <si>
    <t>DAVULURI, SRIDEVI/YADLA, CHANDRA K</t>
  </si>
  <si>
    <t>MATOS, ANDERSON L &amp; MEHKER, Z A</t>
  </si>
  <si>
    <t>REBECCA T AKINS</t>
  </si>
  <si>
    <t>CHURILLA, BRIAN &amp; JODYLYN</t>
  </si>
  <si>
    <t>IKRAMULLAH, SYED &amp; TAJDAR</t>
  </si>
  <si>
    <t>MONTERA, CYNTHIA D &amp; STEPHEN J</t>
  </si>
  <si>
    <t>CARPENTER, ALLIE M &amp; TICKLE,JACOB W</t>
  </si>
  <si>
    <t>FELDMAN, DREW A &amp; JILL R</t>
  </si>
  <si>
    <t>GARRISON, PHILIP &amp; URBAN, LAURA</t>
  </si>
  <si>
    <t>SCHWEIGER, MATTHEW E &amp; REBECCA R</t>
  </si>
  <si>
    <t>HAVEL, JEFFREY R &amp; SARA L</t>
  </si>
  <si>
    <t>CHERYL LYNN DURHAM</t>
  </si>
  <si>
    <t>DISCIPIO, JOSEPH L &amp; LAURA J TRTEES</t>
  </si>
  <si>
    <t>JENA HOLTBERG-BENGE</t>
  </si>
  <si>
    <t>FED NAT MORT ASSOC AKA FANNIE MAE</t>
  </si>
  <si>
    <t>LIU, YING &amp; WANG, ZHILONG</t>
  </si>
  <si>
    <t>ODGERS, BRANDI &amp; MATTHEW</t>
  </si>
  <si>
    <t>CHENG, BEE JUNE TRUSTEE</t>
  </si>
  <si>
    <t>FRYE, MARY K &amp; MARY KAY</t>
  </si>
  <si>
    <t>CASTADY, DANL/LAUREN &amp; METZ, TRACY</t>
  </si>
  <si>
    <t>BANSAL, SHOBHANA &amp; VIKAS</t>
  </si>
  <si>
    <t>NASH, GEORGE W &amp; STEPHANIE</t>
  </si>
  <si>
    <t>AHLUWALIA, KUMKUM/NAIR, VIHAS G</t>
  </si>
  <si>
    <t>DENG, SHUYUAN/WU, JIAO</t>
  </si>
  <si>
    <t>KHAWAJA, MAHA H &amp; MOHAMMAD H</t>
  </si>
  <si>
    <t>HONG, XIANG/SONG, MING</t>
  </si>
  <si>
    <t>BOLOGNANI, ANN</t>
  </si>
  <si>
    <t>CULLEN, RYAN BRADFORD</t>
  </si>
  <si>
    <t>BARCZI, S BLDRS INC</t>
  </si>
  <si>
    <t>ANASTASIA, TRACIANNE/VLCEVICH, CHAD</t>
  </si>
  <si>
    <t>JOSHI, SHIRISH/KSHIRSAGAR, SHUKLA</t>
  </si>
  <si>
    <t>HOZIAN, ANNA M &amp; ANTHONY</t>
  </si>
  <si>
    <t>ALMOTHANA ALHAMOUD</t>
  </si>
  <si>
    <t>KNEZ, AUDREY &amp; LANCE</t>
  </si>
  <si>
    <t>D J K CUSTOM HOME INC CO</t>
  </si>
  <si>
    <t>QURESHI, MOHAMMED MUKREMUDDIN</t>
  </si>
  <si>
    <t>D.J.K. CUSTOM HOMES INC, AN ILLINOIS CORPORATION</t>
  </si>
  <si>
    <t>JACHIMOWSKI, M &amp; SKALSKI, G</t>
  </si>
  <si>
    <t>AGIM BAFTIRI</t>
  </si>
  <si>
    <t>COLLIN OLSON</t>
  </si>
  <si>
    <t>FRANIUK, RENAE &amp; SARGIS, ROBERT M</t>
  </si>
  <si>
    <t>MCHUGH, JESSICA N &amp; MATTHEW A</t>
  </si>
  <si>
    <t>PETTERSON, DAVID R</t>
  </si>
  <si>
    <t>CHARLES T NEWCOMB III, TRUSTEE OF THE CHARLES T NEWCOMB III 2010 DECLARATION OF TRUST DATED APRIL 23, 2010</t>
  </si>
  <si>
    <t>DURBIN,ALEXANDER &amp; MARTIN,CATHERINE</t>
  </si>
  <si>
    <t>RYAN &amp; LORA COLGLAZIER</t>
  </si>
  <si>
    <t>MIRKO SCHWANEBECK</t>
  </si>
  <si>
    <t>BISCHOFF, JASON D &amp; TRACY A</t>
  </si>
  <si>
    <t>VARNA,GEETHA/PACHUNURI,HARSHAVARDHA</t>
  </si>
  <si>
    <t>HEAP, ANDREW H &amp; MELANIE D</t>
  </si>
  <si>
    <t>HARVEY, JOHN W</t>
  </si>
  <si>
    <t>CHRISTIANSEN, K &amp; SCHILDWACHTER, J</t>
  </si>
  <si>
    <t>BUSTAMANTE, SHEILA/GOTTLOEB/BRADLEY</t>
  </si>
  <si>
    <t>ALLGOOD, DEBRA S</t>
  </si>
  <si>
    <t>WASSELL, KELLY MARIE</t>
  </si>
  <si>
    <t>CHICAGO TITLE LND TRUST CO</t>
  </si>
  <si>
    <t>LONG LIN</t>
  </si>
  <si>
    <t>KEVIN F MAGGARD</t>
  </si>
  <si>
    <t>GAVARS, GUIDO &amp; MEADOWS, KRISTIN</t>
  </si>
  <si>
    <t>CHICAGO COMMONS ES LLC</t>
  </si>
  <si>
    <t>GROSSKOPF, KATHLEEN A &amp; STEVEN L</t>
  </si>
  <si>
    <t>ELIZABETH HULGENS</t>
  </si>
  <si>
    <t>LANDIS, CINDY A</t>
  </si>
  <si>
    <t>ADABALA, GOWTHAM/ANNABATHULA , V</t>
  </si>
  <si>
    <t>BELL, JANET &amp; BIANCHETTA, ROBERT</t>
  </si>
  <si>
    <t>VANKUIKEN, PHILLIP J &amp; SARA</t>
  </si>
  <si>
    <t>HARDESH RANI RAY</t>
  </si>
  <si>
    <t>JEFFREY ENGELBRECHT</t>
  </si>
  <si>
    <t>RIORDAN, BRIAN T &amp; MICHELE</t>
  </si>
  <si>
    <t>VATTIMO, DAVID C &amp; GINA</t>
  </si>
  <si>
    <t>MOY, AARON D &amp; MARGRIT J</t>
  </si>
  <si>
    <t>PARIKH, NIRAV &amp; TALLAPRAGADA, S</t>
  </si>
  <si>
    <t>BHAVIN ASHOKKUMAR CHAUHAN</t>
  </si>
  <si>
    <t>GOSSE, DAVID A &amp; KATHERINE KENNEDY</t>
  </si>
  <si>
    <t>KNUDSON, RUSSELL &amp; LIAO, DAN</t>
  </si>
  <si>
    <t>LONGENBAUGH, ALLISON &amp; ROBERT</t>
  </si>
  <si>
    <t>DANIEL BEDER</t>
  </si>
  <si>
    <t>JOHNSON, CLARK H &amp; HEATHER M</t>
  </si>
  <si>
    <t>SYED HAIDER &amp; ZEHRA HAIDER HASAN</t>
  </si>
  <si>
    <t>HUTCHISON, JENI &amp; SCOTT D</t>
  </si>
  <si>
    <t>SCHUURMAN, JOHN H</t>
  </si>
  <si>
    <t>ALI AND ERONA, LLC</t>
  </si>
  <si>
    <t>TERENCE W &amp; ANNE C MAYNARD</t>
  </si>
  <si>
    <t>GAJULAVARTHI, SINDHU/PINAPATI, N K</t>
  </si>
  <si>
    <t>KYNDELL COLGROVE</t>
  </si>
  <si>
    <t>BLAKE &amp; JOANNA CROSBY</t>
  </si>
  <si>
    <t>GURLEY, BRIAN S &amp; ROBBINS, WHITNEY</t>
  </si>
  <si>
    <t>STEPHANI, MARK J</t>
  </si>
  <si>
    <t>ROBERT GOROSIN</t>
  </si>
  <si>
    <t>WHITMORE,STEPHEN A &amp; YOUNG,KAREN E</t>
  </si>
  <si>
    <t>SHANE SIZEMORE</t>
  </si>
  <si>
    <t>SATRE, MATTHEW</t>
  </si>
  <si>
    <t>HEALY JR, JAMES P &amp; JOANNA L</t>
  </si>
  <si>
    <t>MUHAMMED, OLA-TOKUNBO O/SAHEED O</t>
  </si>
  <si>
    <t>SCOTT, DAVID &amp; MAUREEN TRUSTEES</t>
  </si>
  <si>
    <t>ANDREW AND MIRANDA JO KLAAS</t>
  </si>
  <si>
    <t>KHANDELWAL, NEHA &amp; SETHI, DEEPAK</t>
  </si>
  <si>
    <t>AWAN, MOHAMMAD A/PARVEEN, SHAQUFTA</t>
  </si>
  <si>
    <t>JUN ZHANG</t>
  </si>
  <si>
    <t>PETER GRANHOLM</t>
  </si>
  <si>
    <t>MERINO, CHRISTINE</t>
  </si>
  <si>
    <t>PATRICK BRADY FREUND</t>
  </si>
  <si>
    <t>HORVATH, KATHERINE &amp; PETER</t>
  </si>
  <si>
    <t>BAUMGARTNER, GARY TRUST</t>
  </si>
  <si>
    <t>SMITH, BARBRA JILL/THOMAS A</t>
  </si>
  <si>
    <t>MC CAULEY, KEVIN &amp; JACQUELINE G</t>
  </si>
  <si>
    <t>WOLBERT, EDWARD</t>
  </si>
  <si>
    <t>NING AND XIN YANG</t>
  </si>
  <si>
    <t>GIL NIKLUAS F &amp; CHRISTINE NANA LIN GARCHITORENA</t>
  </si>
  <si>
    <t>FAYETTE P WERNICK</t>
  </si>
  <si>
    <t>TANUSTREE PAI</t>
  </si>
  <si>
    <t>VEMULA, SOUJANYA &amp; SRINIVAS</t>
  </si>
  <si>
    <t>ABDULKADIR, NAZEEB &amp; VEERAN, JISMY</t>
  </si>
  <si>
    <t>HINDS, MAUREEN S/ TR</t>
  </si>
  <si>
    <t>ANAND WALISHETTI</t>
  </si>
  <si>
    <t>DINESH SUNDARAM</t>
  </si>
  <si>
    <t>TIWARI, JIYA &amp; MANOJ S</t>
  </si>
  <si>
    <t>KRUGER, KAYLA A &amp; TERENCE J</t>
  </si>
  <si>
    <t>KRUSHANG SONAR</t>
  </si>
  <si>
    <t>AKARAPU, KRANTHI K &amp; SWETHA</t>
  </si>
  <si>
    <t>RAMAKRISHNAN, SRINIVASAN &amp; VIJAYA</t>
  </si>
  <si>
    <t>NANNAPANENI, K/DOPPALAPUDI, K</t>
  </si>
  <si>
    <t>VIJAY, KALPANA &amp; VIMAL K</t>
  </si>
  <si>
    <t>CHETAN KAMATH</t>
  </si>
  <si>
    <t>MAHADASU, RAVI C &amp; PAGADALA, SRI D</t>
  </si>
  <si>
    <t>CHINDA, TWINKLE/SRIVASTAVA, VISHWAS</t>
  </si>
  <si>
    <t>SUN, JIONG &amp; TAN, JIA</t>
  </si>
  <si>
    <t>SAHU, CHANDRAKANT &amp; GHANESHWARI</t>
  </si>
  <si>
    <t>KANKANALA, GIRIDHAR/PABBA, LIKHITHA</t>
  </si>
  <si>
    <t>GARCIA, JOSUE G &amp; GIANNIOS, NATALIE</t>
  </si>
  <si>
    <t>GUPTA, MAYANK R &amp; THAKUR, GARGI</t>
  </si>
  <si>
    <t>AKULA, DEEPIKA &amp; PRAVEEN</t>
  </si>
  <si>
    <t>MAINWAL, PARUL/SINGH, DHARMESH</t>
  </si>
  <si>
    <t>KUMAWAT, ABHISHEK AND SONIA</t>
  </si>
  <si>
    <t>MAURYA, MINAL PATEL/SUSHIL KUMAR</t>
  </si>
  <si>
    <t>HEGDE, ROHAN &amp; VINEETHA V</t>
  </si>
  <si>
    <t>DRONAMRAJU, VENKATA/POLAMRAJU, S</t>
  </si>
  <si>
    <t>SHENG WANG</t>
  </si>
  <si>
    <t>NATARAJAN, UMA M &amp; RENGANATHAN, S</t>
  </si>
  <si>
    <t>PENG YAN</t>
  </si>
  <si>
    <t>ELADASARI, BABU R/RAO, PADMINI</t>
  </si>
  <si>
    <t>MANAM,SREEMAN N &amp; MOKKAPATI,NAGA S</t>
  </si>
  <si>
    <t>BHATT, NAITIK H &amp; RUCHA NAITIK</t>
  </si>
  <si>
    <t>MIDDHA, DEEPAK K &amp; PALLVI</t>
  </si>
  <si>
    <t>LEVAKU, UMADEVI/NAREDDY, RAVI S R</t>
  </si>
  <si>
    <t>HUTTON, ANGELA &amp; DOUGLAS</t>
  </si>
  <si>
    <t>BHATT, BHUMI &amp; PATHIK</t>
  </si>
  <si>
    <t>ARIKATLA, ASHOK K/TALLURI, S</t>
  </si>
  <si>
    <t>KORALLUS, TIMOTHY</t>
  </si>
  <si>
    <t>ADUSUMALLI, SIVA P/POLAVARAPU, S</t>
  </si>
  <si>
    <t>BOBBALI, KARUNA R &amp; RAGHAVENDER</t>
  </si>
  <si>
    <t>RAVI, SRIHARSHA/TIPIRNENI, N</t>
  </si>
  <si>
    <t>KAR, GANESH K/SARAOGI, DEEPALI</t>
  </si>
  <si>
    <t>RAJAN, S &amp; GANAPATHY, S</t>
  </si>
  <si>
    <t>CHICAGO TITLE LAND TRUST COMPANY</t>
  </si>
  <si>
    <t>SRINIVASAN,NISHANT &amp; KUMAR,SUSHMAR</t>
  </si>
  <si>
    <t>CHENNUR, NAGARAJA RAO &amp; SNIGDHA RAO</t>
  </si>
  <si>
    <t>ALEX TAYLOR WEINREIS</t>
  </si>
  <si>
    <t>RAMESHCHANDRA C &amp; PRAGNA R JADAV</t>
  </si>
  <si>
    <t>MAYOR, MICHAEL &amp; JEANNE TRUSTEES</t>
  </si>
  <si>
    <t>AHMED, MOHAMMED &amp; UZMA KOTHAWALA</t>
  </si>
  <si>
    <t>OMAR SYED</t>
  </si>
  <si>
    <t>IRENE ISRAEL, AS TRUSTEE OF THE IRENE ISRAEL TRUST DATED SEPTEMBER 23, 2025</t>
  </si>
  <si>
    <t>GUANGWEI ZHU TRUSTEES</t>
  </si>
  <si>
    <t>GERALD E &amp; SUSAN T REZABEK</t>
  </si>
  <si>
    <t>LOPATKA, ADAM D &amp; HANNA J</t>
  </si>
  <si>
    <t>GAUTAM SUDDAPALLI</t>
  </si>
  <si>
    <t>TERESA M BELMONTE</t>
  </si>
  <si>
    <t>MICHAEL T AND MELISSA J CLEARY</t>
  </si>
  <si>
    <t>VINAY HEMANTHAKUMAR</t>
  </si>
  <si>
    <t>PRAJEETH KUMAR REDDY CHANDRAM</t>
  </si>
  <si>
    <t>BRIAN &amp; COLLEEN GLASBY</t>
  </si>
  <si>
    <t>KEATING, KENNETH A &amp; NANCY L TTEES</t>
  </si>
  <si>
    <t>CARDUCCI, JULIE A &amp; C W CARLSEN</t>
  </si>
  <si>
    <t>STYRCZULA-SLIWA, STELLA M</t>
  </si>
  <si>
    <t>MILLER, CHRISTA D &amp; TYLER J</t>
  </si>
  <si>
    <t>BYRAM, CHRISTOPHER &amp; MARTHA</t>
  </si>
  <si>
    <t>YICHI ZHANG</t>
  </si>
  <si>
    <t>JOHN MEIBOS</t>
  </si>
  <si>
    <t>GLEASON, ANN/ROBERT G/ROBERT/MAURA</t>
  </si>
  <si>
    <t>MICHELE MURVAY TRUSTEE</t>
  </si>
  <si>
    <t>ARGEO BARRERA</t>
  </si>
  <si>
    <t>ROSENSTEIN, KENNETH &amp; MARIA H</t>
  </si>
  <si>
    <t>CONOR MCGOLDRICK</t>
  </si>
  <si>
    <t>AYOTTE, SCOTT E</t>
  </si>
  <si>
    <t>AUGUSTYNIAK, KERRI</t>
  </si>
  <si>
    <t>SAMIA, MUHAMMAD &amp; NAJMUSAHAR QADAR</t>
  </si>
  <si>
    <t>WOJCIECH &amp; WERONIKA HELENA MALEK LUBAWSKI</t>
  </si>
  <si>
    <t>JEREMY ROTROFF</t>
  </si>
  <si>
    <t>MARWAN OMAR</t>
  </si>
  <si>
    <t>MOLLY &amp; TIMOTHY HICKS</t>
  </si>
  <si>
    <t>RYNEX, ELIZABETH A</t>
  </si>
  <si>
    <t>LINTHICUM,ROY ROBERT &amp; ELIZABETH C</t>
  </si>
  <si>
    <t>BOYLE, ZACHARY M / MAI, CATHY T</t>
  </si>
  <si>
    <t>HYACINTH, JULIA &amp; ROSARINA VINCENT</t>
  </si>
  <si>
    <t>AINHOA IGLESIAS DIAZ</t>
  </si>
  <si>
    <t>SALMA SHEDBALKAR</t>
  </si>
  <si>
    <t>ALVINA SHAIKH</t>
  </si>
  <si>
    <t>HYUN OK KANG</t>
  </si>
  <si>
    <t>VIKASH PATEL</t>
  </si>
  <si>
    <t>MANSEE PATEL</t>
  </si>
  <si>
    <t>SYED TARIQ MANSOOR</t>
  </si>
  <si>
    <t>JASPREET SINGH KHARBANDA</t>
  </si>
  <si>
    <t>FAIZAN &amp; MINALL KHAN</t>
  </si>
  <si>
    <t>CLARANCE &amp; GAYLE ANNE BAILEY</t>
  </si>
  <si>
    <t>ANIMESH &amp; SURITI TOHAN</t>
  </si>
  <si>
    <t>PETER D &amp; HAI JUNG EIMLY KIM</t>
  </si>
  <si>
    <t>KIAVASH SAYAR</t>
  </si>
  <si>
    <t>JACOB &amp; DEANNA NELMS</t>
  </si>
  <si>
    <t>SARAH K &amp; JAKE P SETTANNI</t>
  </si>
  <si>
    <t>AGIM &amp; ALLA JUSUFI</t>
  </si>
  <si>
    <t>JASON BORGSTHAL</t>
  </si>
  <si>
    <t>GREGORY KENT KING</t>
  </si>
  <si>
    <t>GREGORY URBAN</t>
  </si>
  <si>
    <t>SANDHYA J SHETTY</t>
  </si>
  <si>
    <t>PARTH N BHAGAT</t>
  </si>
  <si>
    <t>MICHAEL &amp; STEPHANIE DAY</t>
  </si>
  <si>
    <t>TRACEY NAVEA</t>
  </si>
  <si>
    <t>TIMOTHY A KING</t>
  </si>
  <si>
    <t>WILLIAM AND JESSICA LYNN DWOINEN</t>
  </si>
  <si>
    <t>MEENA SADAPS</t>
  </si>
  <si>
    <t>MOHAMMAD BADARUDDIN</t>
  </si>
  <si>
    <t>RAJESH SABRAMANIAN</t>
  </si>
  <si>
    <t>CHRISTINA G &amp; MICHAEL E ROSS</t>
  </si>
  <si>
    <t>STEVEN L &amp; TARA L JARVIS</t>
  </si>
  <si>
    <t>ROHAN V &amp; ZALAK PATEL</t>
  </si>
  <si>
    <t>RAVI &amp; ARCHANA SHUKLA</t>
  </si>
  <si>
    <t>OSMAN IFTEKHAR</t>
  </si>
  <si>
    <t>YUVKARAN S. GAHLEY</t>
  </si>
  <si>
    <t>KOSHGARIAN, JORDON M &amp; LINDSEY U</t>
  </si>
  <si>
    <t>ASIM KHAN &amp; FARAH BABAR</t>
  </si>
  <si>
    <t>JESSICA &amp; MATTHEW CISERELLA</t>
  </si>
  <si>
    <t>JENITHA PILLI</t>
  </si>
  <si>
    <t>PINGLI ZHONG</t>
  </si>
  <si>
    <t>LAURIE &amp; DANIEL JOHNSON</t>
  </si>
  <si>
    <t>DHARMENDRA SHARAN</t>
  </si>
  <si>
    <t>MEHDI BASSIRATPOUR</t>
  </si>
  <si>
    <t>YUSUF VALLIBHAI &amp; ZARINA YUSUF PATEL</t>
  </si>
  <si>
    <t>ZACHARY &amp; DA MI HELLRIEGEL</t>
  </si>
  <si>
    <t>MARC PEREZ</t>
  </si>
  <si>
    <t>FEI-PING CHEN</t>
  </si>
  <si>
    <t>RICHARD M DRENNEN</t>
  </si>
  <si>
    <t>LOUIS A &amp; DINA GUIDO</t>
  </si>
  <si>
    <t>JACOB HILDENBRAND</t>
  </si>
  <si>
    <t>SHIREEN &amp; PARTH NANAVATI</t>
  </si>
  <si>
    <t>SYLWIA ANNA &amp; PAWEL PIOTR MIREK</t>
  </si>
  <si>
    <t>BRIAN H CHO</t>
  </si>
  <si>
    <t>GUNMEET MAINI</t>
  </si>
  <si>
    <t>MICHAEL C. SEAGREN</t>
  </si>
  <si>
    <t>KEYU ZHU</t>
  </si>
  <si>
    <t>KROLICK, JENNIFER L &amp; MARK J</t>
  </si>
  <si>
    <t>D HANSEL, SHERI &amp; VICTORIA ISOM</t>
  </si>
  <si>
    <t>FANTHORPE, JAMES D &amp; PATRICIA L</t>
  </si>
  <si>
    <t>GUILL, JOHN &amp; RITA</t>
  </si>
  <si>
    <t>BEVERLEY, JAMES/CATHERINE A - TTEE</t>
  </si>
  <si>
    <t>DAVID R. AND KIMBERLY MASTALERZ</t>
  </si>
  <si>
    <t>LARUE, JOHN ROBERT</t>
  </si>
  <si>
    <t>PLUTH, RYAN R &amp; SARAH K</t>
  </si>
  <si>
    <t>HOPE, JAMES H &amp; KATHLEEN O</t>
  </si>
  <si>
    <t>MARTIN, BONITA K &amp; FREDRIC T</t>
  </si>
  <si>
    <t>RAMBACK, ROYCE</t>
  </si>
  <si>
    <t>SANGDAHL,DOMINIQUE B &amp; GEORGE S 111</t>
  </si>
  <si>
    <t>MUELLER, KEITH &amp; THERESA CROAK</t>
  </si>
  <si>
    <t>MARK DOWD</t>
  </si>
  <si>
    <t>THE LONDA K. GAZALL TRUST DATED MARCH 1, 2007. AS RESTATED</t>
  </si>
  <si>
    <t>RESK, RACHAEL C</t>
  </si>
  <si>
    <t>KENNEDY, J CAMPBELL &amp; GAIL</t>
  </si>
  <si>
    <t>WEHRLI, MICHAEL J</t>
  </si>
  <si>
    <t>PERKINS,AMY ELIZABETH/REED MITCHELL</t>
  </si>
  <si>
    <t>COLBURN, CARRIE A &amp; CHRISTOPHER M</t>
  </si>
  <si>
    <t>ROIS, CARLOS &amp; JENNIFER</t>
  </si>
  <si>
    <t>JDDD DEVELOPMENT LLC</t>
  </si>
  <si>
    <t>MEIBOS, CORIN &amp; JOHN</t>
  </si>
  <si>
    <t>DOWD, TIMOTHY F &amp; PARK, SUSIE</t>
  </si>
  <si>
    <t>SHANE MICHALICK</t>
  </si>
  <si>
    <t>DOWD, MARK E</t>
  </si>
  <si>
    <t>LUCIBELLO, SARAH A &amp; MAYER, MICHAEL</t>
  </si>
  <si>
    <t>HALL, EDWARD D &amp; GEORGE KRASS IV</t>
  </si>
  <si>
    <t>ANNETTE ORDUNO</t>
  </si>
  <si>
    <t>FISCUS, PATRICIA &amp; STEPHEN SCOTT</t>
  </si>
  <si>
    <t>TOMCSIK, JEFFREY &amp; JESSICA</t>
  </si>
  <si>
    <t>BARHNHART FAMILY PROPERTIES, LLC, AN ILLINOIS LIMITED LIABILITY COMPANY</t>
  </si>
  <si>
    <t>WIORA, EMILY M &amp; GREGORY R</t>
  </si>
  <si>
    <t>DOWD, SEAN T</t>
  </si>
  <si>
    <t>MICHAEL EDMOND CARROLL</t>
  </si>
  <si>
    <t>EVAN J HUNT</t>
  </si>
  <si>
    <t>KENTON MORNEAU</t>
  </si>
  <si>
    <t>SHARAD SHANKAR DESHPANDE</t>
  </si>
  <si>
    <t>JOHN D MELE AND ANNE C MELE AS TRUSTEES OF THE JOHN D. AND ANNE C. MELE FAMILY TRUST DATED APRIL 4, 2016</t>
  </si>
  <si>
    <t>LAURA TALBOT &amp; RICHARD M HANSEN</t>
  </si>
  <si>
    <t>JOSEPH J &amp; KAY S TRUSTEES MCELROY</t>
  </si>
  <si>
    <t>LISA M. AND ROBERT GIOVANNIONI</t>
  </si>
  <si>
    <t>MARY ANN LEODORO</t>
  </si>
  <si>
    <t>CONG FU</t>
  </si>
  <si>
    <t>HEITMANEK, JOHN E &amp; LANA J</t>
  </si>
  <si>
    <t>JEAN E REIFF TRUSTEE</t>
  </si>
  <si>
    <t>SATRE, DANIEL A/GWENDOLYN J TRUST</t>
  </si>
  <si>
    <t>HENEGHAN, DENEEN &amp; TOM CO-TRUSTEES</t>
  </si>
  <si>
    <t>PENNY D. WOLF TRUST DATED 12/23/92</t>
  </si>
  <si>
    <t>OZINGA READY MIX CONCRETE INC</t>
  </si>
  <si>
    <t>ENTRUST IRA ADMN INC/M FRIGO</t>
  </si>
  <si>
    <t>KOZLOWSKI DEVELOPMENT CO., INC.</t>
  </si>
  <si>
    <t>TROLLOPE, DAVID</t>
  </si>
  <si>
    <t>MARPOSON, CHRISTOPHER &amp; KAREN</t>
  </si>
  <si>
    <t>JUSTIN MERLE</t>
  </si>
  <si>
    <t>JARED WICKSTROM, MANAGER</t>
  </si>
  <si>
    <t>675 E IRVING PARK ROAD LLC</t>
  </si>
  <si>
    <t>FRIENDLY FAMILY PRPTIES LLC</t>
  </si>
  <si>
    <t>ATKINS, ANITA &amp; MATTHEW</t>
  </si>
  <si>
    <t>GARIPPO, DARLINE &amp; STEPHEN J</t>
  </si>
  <si>
    <t>ALCI GRAMAJO</t>
  </si>
  <si>
    <t>ABBADI, WALEED</t>
  </si>
  <si>
    <t>KWIATKOWSKI, JEREMY &amp; KIMBERLY</t>
  </si>
  <si>
    <t>PATEL, VIRENDRA</t>
  </si>
  <si>
    <t>SKAHILL, MICHELLE B &amp; RYAN M</t>
  </si>
  <si>
    <t>KLYUCHENKO,IGOR &amp; ZVARYCHUK,TETYANA</t>
  </si>
  <si>
    <t>BLESSON, REENA V/VARGHESE, BLESSON</t>
  </si>
  <si>
    <t>TREJO, LEE A</t>
  </si>
  <si>
    <t>PEKALA, EDWARD F</t>
  </si>
  <si>
    <t>MOHAMMED, WASIFUDDIN &amp; ALI,GAZALA F</t>
  </si>
  <si>
    <t>ALBRIGHT, LISA M &amp; MATTHEW B</t>
  </si>
  <si>
    <t>SHAH, BHAGAVATI &amp; SANGITA B</t>
  </si>
  <si>
    <t>CARLA D'ANTONIO</t>
  </si>
  <si>
    <t>BRADY, JOHN &amp; SUSAN</t>
  </si>
  <si>
    <t>VALLONE, NICOLA &amp; TRAM</t>
  </si>
  <si>
    <t>FLORES, MARIA/PEREZ, MANUEL</t>
  </si>
  <si>
    <t>PATEL, MEGHA &amp; UMANG</t>
  </si>
  <si>
    <t>ALEC TURKOWSKI</t>
  </si>
  <si>
    <t>PAPPAS, GEO J/PEKOFSKE, GEORGE J</t>
  </si>
  <si>
    <t>ZOOK, AMY L &amp; BRIAN R</t>
  </si>
  <si>
    <t>BIALEK, JOHN &amp; TAMARA</t>
  </si>
  <si>
    <t>PATEL, CHIRAG R, ROSHANI C, RM &amp; J</t>
  </si>
  <si>
    <t>PATEL, ARCHANA P &amp; PARTHIV V</t>
  </si>
  <si>
    <t>THEODORE, JENNIFER &amp; MATTHEW</t>
  </si>
  <si>
    <t>CAPUTO JR, FRANK J</t>
  </si>
  <si>
    <t>MODI, MIHIR &amp; SONAL</t>
  </si>
  <si>
    <t>MASIULIONIS, SEVERINAS</t>
  </si>
  <si>
    <t>LEONG, PAUL &amp; QING L</t>
  </si>
  <si>
    <t>YAWAR KHAN</t>
  </si>
  <si>
    <t>GURDA, JOSEF</t>
  </si>
  <si>
    <t>POREMBA, CHRISTOPHER &amp; JENNIFER</t>
  </si>
  <si>
    <t>MALETSKY, VOLODIA &amp; YULIYA</t>
  </si>
  <si>
    <t>AHMED, FARWA &amp; ZIA K</t>
  </si>
  <si>
    <t>STEDER, PHILLIP S/WRIGHT, JESSICA L</t>
  </si>
  <si>
    <t>IMBURGIA, VINCE</t>
  </si>
  <si>
    <t>CATALANO, DINO &amp; MEG</t>
  </si>
  <si>
    <t>JAROCK, CRYSTAL &amp; JUSTIN</t>
  </si>
  <si>
    <t>NORBERG, AMY M &amp; ERIC J</t>
  </si>
  <si>
    <t>VALKER, PATRICIA &amp; ROBERT</t>
  </si>
  <si>
    <t>POHLSCHNEIDER, J / RYAN, J M</t>
  </si>
  <si>
    <t>THE SANAN FAMILY LIVING TRUST DATED FEBRUARY 24, 2023</t>
  </si>
  <si>
    <t>SUVACAROV, MARIJA &amp; RADIVOJ</t>
  </si>
  <si>
    <t>WOJTOWICZ, BOGUMILA &amp; ROBERT</t>
  </si>
  <si>
    <t>JACOVIC, ZORAN &amp; ANDJELIA</t>
  </si>
  <si>
    <t>MACZKO, JEFFREY S &amp; REBECCA S</t>
  </si>
  <si>
    <t>KAMIL LISTWAN</t>
  </si>
  <si>
    <t>PIORKOWSKI, THOMAS WILLIAM</t>
  </si>
  <si>
    <t>KAPSOURIS, ANTONIO &amp; NICHOLAS</t>
  </si>
  <si>
    <t>KYLE KOBURI</t>
  </si>
  <si>
    <t>MAJID SIDDIQI</t>
  </si>
  <si>
    <t>PATEL, DAXESH &amp; HARESH</t>
  </si>
  <si>
    <t>WOODS, JUDITH M &amp; RONALD T</t>
  </si>
  <si>
    <t>ANTHONY &amp; KIMBERLY MUELLER</t>
  </si>
  <si>
    <t>DI NUZZO, SALVATORE D</t>
  </si>
  <si>
    <t>ANTHONY LEKBELLO</t>
  </si>
  <si>
    <t>WHIHEY JR, ARMON &amp; LINDA</t>
  </si>
  <si>
    <t>SALAZAR, DAVID G &amp; SHARON D</t>
  </si>
  <si>
    <t>PATEL, AASITA/VIJAYARATNAM, GUNALAN</t>
  </si>
  <si>
    <t>SWIATKOWSKI, MICHAEL J &amp; KALY J</t>
  </si>
  <si>
    <t>QUADRI, SYEDA M</t>
  </si>
  <si>
    <t>SIDDIQUI, AYESHA &amp; MUNEEM</t>
  </si>
  <si>
    <t>DUMS, BEVERLY &amp; KEVIN</t>
  </si>
  <si>
    <t>QIAOYAN XU</t>
  </si>
  <si>
    <t>MALLOY, KRISTEN M &amp; PATRICK M</t>
  </si>
  <si>
    <t>VANDERGRIFT, ANNETTE &amp; JAMES</t>
  </si>
  <si>
    <t>RENELLA, ROBERT F JR &amp; JACQUELINE</t>
  </si>
  <si>
    <t>PETERS, WM J &amp; M ANGELA</t>
  </si>
  <si>
    <t>BANSAL, TINA &amp; TALWOR, ARON</t>
  </si>
  <si>
    <t>TRETYAK, NADIYA &amp; ROMAN</t>
  </si>
  <si>
    <t>KHURSHID, SHAHZAD &amp; MOHSIN, HEBA F</t>
  </si>
  <si>
    <t>SEETHARAMAN, S/SENTHILKUMAR, V</t>
  </si>
  <si>
    <t>CLAYTON, CHER &amp; DENNIS</t>
  </si>
  <si>
    <t>VIOLETA IVANOVA</t>
  </si>
  <si>
    <t>KARWA, KAUSER &amp; MOHAMMED, HARES</t>
  </si>
  <si>
    <t>BIRCH HOMES, LLC, A LIMITED LIABILITY COMPANY</t>
  </si>
  <si>
    <t>GIOVANINI,ERIC R &amp; KIEWERT,LORNA R</t>
  </si>
  <si>
    <t>YEHONATAN GLATT</t>
  </si>
  <si>
    <t>BENDIX, JEFFREY</t>
  </si>
  <si>
    <t>ANTHONY D'AVANZO</t>
  </si>
  <si>
    <t>PATEL, MEERA &amp; SHAH, SAGAR</t>
  </si>
  <si>
    <t>MCGREGOR, JAMES A</t>
  </si>
  <si>
    <t>CRANE, GERALD</t>
  </si>
  <si>
    <t>MATEO, MARIA &amp; SEGISMUNDO</t>
  </si>
  <si>
    <t>PEYKOV, NASKO I &amp; TZETZA M</t>
  </si>
  <si>
    <t>GOMOPOULOS, MARY &amp; NIKOLAOS</t>
  </si>
  <si>
    <t>ANAS M ISMAIL</t>
  </si>
  <si>
    <t>BURZAWA, DAVID &amp; ELIZBIETA W</t>
  </si>
  <si>
    <t>BOSCO, STEVEN W</t>
  </si>
  <si>
    <t>SHAH, KETKI &amp; MANISH</t>
  </si>
  <si>
    <t>MATTHEW WELLS</t>
  </si>
  <si>
    <t>MUCZYNSKI, RADOSLAW &amp; RENATA</t>
  </si>
  <si>
    <t>BRACHER, LISA &amp; ROBERT</t>
  </si>
  <si>
    <t>CASTILLO, SALVADOR/CONTRERAS, NORMA</t>
  </si>
  <si>
    <t>IRVING, KRISTIN &amp; SCOTT</t>
  </si>
  <si>
    <t>SISON, MARYBETH &amp; ROMMEL</t>
  </si>
  <si>
    <t>ELSLAGER, ASHLEY C &amp; JONATHON M</t>
  </si>
  <si>
    <t>FULTON, MARY L &amp; WILLIAM M</t>
  </si>
  <si>
    <t>TUCKETT, DEBORAH G &amp; ROHAN</t>
  </si>
  <si>
    <t>KADIWALA, KUNJAL &amp; SANJAY</t>
  </si>
  <si>
    <t>CULLEN, DONALD C/SZWED, GINA M</t>
  </si>
  <si>
    <t>KESTEL, JOSEPH J &amp; NAOMI SUSA</t>
  </si>
  <si>
    <t>PATEL, VANITABEN/SHAH, NIKHIL V</t>
  </si>
  <si>
    <t>BAVARO, BERARDINO &amp; TIZIANA</t>
  </si>
  <si>
    <t>PATEL, VISHNU P &amp; KANCHANBEN PATEL</t>
  </si>
  <si>
    <t>PATEL, NILESH P &amp; SHAH, KAJAL K</t>
  </si>
  <si>
    <t>DENG, HAIXIA &amp; XU, ZHIQIANG</t>
  </si>
  <si>
    <t>MABBOTT, JOHN &amp; LESLIE</t>
  </si>
  <si>
    <t>BARNES, CATHY J &amp; RANDALL G</t>
  </si>
  <si>
    <t>BIANCHI, CANDICE &amp; DARYL</t>
  </si>
  <si>
    <t>REILLY, BRIAN P &amp; DENISE S</t>
  </si>
  <si>
    <t>CRABTREE, MICHAEL/PHILLIPS, TIFFANY</t>
  </si>
  <si>
    <t>SORENSEN, MAULI &amp; MICHEAL</t>
  </si>
  <si>
    <t>PATEL, RAMANGAURI &amp; RAMANLAL A</t>
  </si>
  <si>
    <t>MERCHANT, ERIN MARIA &amp; SANJAY V</t>
  </si>
  <si>
    <t>HARPER, JOSEPH J &amp; OPAL L</t>
  </si>
  <si>
    <t>MARIN GEORGIEV AND SILVIYA VALCHEVA-GEORGIEVA</t>
  </si>
  <si>
    <t>GOERES,MATTHEW/PENDERGAST,ELIZABETH</t>
  </si>
  <si>
    <t>GOSALIA, BHAMASHA C &amp; SAROJ B</t>
  </si>
  <si>
    <t>MC GUIRE, CHRISTOPHER/SKALON,ANDREA</t>
  </si>
  <si>
    <t>SINSABAUGH, JUSTIN J &amp; SARAH</t>
  </si>
  <si>
    <t>GLADKOWSKI, DAVID A</t>
  </si>
  <si>
    <t>FURGAT, EDWARD L &amp; ERIN F</t>
  </si>
  <si>
    <t>PATEL, DIPTI &amp; JIPAL SHAH</t>
  </si>
  <si>
    <t>KAMDAR, ASHVIN &amp; KALPANA A</t>
  </si>
  <si>
    <t>PICHAY, ARTURO R &amp; JENIFER P</t>
  </si>
  <si>
    <t>CATRAMBONE, CHRISTOPHER &amp; LORI</t>
  </si>
  <si>
    <t>FIRST NATIONS BANK TRUST</t>
  </si>
  <si>
    <t>PATEL, SARANGI</t>
  </si>
  <si>
    <t>PATHAK, PREETY &amp; SNEHAL</t>
  </si>
  <si>
    <t>TREVINO, MICHELE LYNN</t>
  </si>
  <si>
    <t>DOWLING, SHAWN ET AL</t>
  </si>
  <si>
    <t>KARINGADA, DEEPU</t>
  </si>
  <si>
    <t>PIOTROWSKI, DANIEL</t>
  </si>
  <si>
    <t>KUKULA, ERIC &amp; VICTORIA L</t>
  </si>
  <si>
    <t>LOURDES RICO</t>
  </si>
  <si>
    <t>ADAMS, CHAS &amp; CONNIE DAY</t>
  </si>
  <si>
    <t>EDUKUTHARAYIL, JOSMY &amp; MATHEW</t>
  </si>
  <si>
    <t>FATIH YILDIZ</t>
  </si>
  <si>
    <t>SHEFFER, ELIZABETH M &amp; THOMAS L</t>
  </si>
  <si>
    <t>CHLAIMOUN, GABRIEL</t>
  </si>
  <si>
    <t>HORNIK, KAZIMIERZ</t>
  </si>
  <si>
    <t>SUJAL &amp; PRATIKSHA PATEL</t>
  </si>
  <si>
    <t>ALZUBAIDI, RASHA &amp; JAREOU, ALI</t>
  </si>
  <si>
    <t>ERIN SUZANNE WOLKOTTE</t>
  </si>
  <si>
    <t>ABBAS, SYED/ARSHEEN, SARA</t>
  </si>
  <si>
    <t>SAMANTHA JEAN SWANEY</t>
  </si>
  <si>
    <t>ROSARIO,CHARLENE M B &amp; PAUL JOHN D</t>
  </si>
  <si>
    <t>BURROWS, MICHAEL B &amp; ZIELINSKI, D M</t>
  </si>
  <si>
    <t>FEELEY II, MICHAEL T &amp; CHRISTINA</t>
  </si>
  <si>
    <t>STEC, SANDRA</t>
  </si>
  <si>
    <t>DARZINS, CHRISTOPHER A &amp; KRISTIE A</t>
  </si>
  <si>
    <t>MATOVIC, DEJAN D &amp; SLADJANA</t>
  </si>
  <si>
    <t>HERBA, MACIEJ &amp; SYLWIA KAPINOS</t>
  </si>
  <si>
    <t>ANDREWS, GEO</t>
  </si>
  <si>
    <t>ZEBALA, DANUTA &amp; GRZEGORZ</t>
  </si>
  <si>
    <t>COPPOLA, JERRY &amp; REAVES, AMANDA J</t>
  </si>
  <si>
    <t>BICBIC, RICHARD N</t>
  </si>
  <si>
    <t>INGERSOL, TIMOTHY M/ERIN J PETERSEN</t>
  </si>
  <si>
    <t>MATUSZAK, MICHAEL R</t>
  </si>
  <si>
    <t>JAHAKSE, CHRISTINE &amp; RYAN</t>
  </si>
  <si>
    <t>ADAMIDIS, LAZARUS &amp; NEOFOTISTOS, T</t>
  </si>
  <si>
    <t>GARCIA, ALFONSO &amp; SUSAN</t>
  </si>
  <si>
    <t>THOM, DANIEL &amp; JLIANNA</t>
  </si>
  <si>
    <t>BRIAN MCLINDEN</t>
  </si>
  <si>
    <t>PENDOWSKI JR. FRANK J &amp; JOANNE M</t>
  </si>
  <si>
    <t>KONDYS, DAMIAN &amp; KAROLINA A</t>
  </si>
  <si>
    <t>KRISTO, STAVVE</t>
  </si>
  <si>
    <t>WYNKOOP, NICOLE L</t>
  </si>
  <si>
    <t>CASILLAS, MR &amp; MRS MANUEL</t>
  </si>
  <si>
    <t>GISMONDO, MILO A</t>
  </si>
  <si>
    <t>ANDRE, KATHIE/WUNNICKI JR, ROBERT</t>
  </si>
  <si>
    <t>KLECZKOWSKA, CECYLIA</t>
  </si>
  <si>
    <t>CASSINELLI, BARBARA &amp; ROBERT</t>
  </si>
  <si>
    <t>SIMONE, BRIDGET &amp; GREGORY</t>
  </si>
  <si>
    <t>KRISTO, AMANDA</t>
  </si>
  <si>
    <t>WRIGHT, JOHN W &amp; MARY E</t>
  </si>
  <si>
    <t>KASALLIS, BARBARA M &amp; WILLIAM A</t>
  </si>
  <si>
    <t>HELGESON, ANNE &amp; MARC</t>
  </si>
  <si>
    <t>VAIS, MICHAL</t>
  </si>
  <si>
    <t>WODARSKI, ANGELA &amp; BRIAN</t>
  </si>
  <si>
    <t>GABRIEL A MOLINA</t>
  </si>
  <si>
    <t>ANA M SALAZAR</t>
  </si>
  <si>
    <t>MOULOUD BOURBET</t>
  </si>
  <si>
    <t>OSTREGA, CHRISTOPHER &amp; CYNTHIA</t>
  </si>
  <si>
    <t>AHMED AHMED AND HAYFAA FADEL</t>
  </si>
  <si>
    <t>LAMORENA, BERNA M/MIKAL, DEVIN J</t>
  </si>
  <si>
    <t>GALAS, MONIKA &amp; SZCZUR, MATEUSZ</t>
  </si>
  <si>
    <t>ROBERT FIEDORCZUK</t>
  </si>
  <si>
    <t>NRP REAL ESTATE LLC</t>
  </si>
  <si>
    <t>GORDON, DORIE &amp; STEPHEN</t>
  </si>
  <si>
    <t>BYRNE, COLIN &amp; PALUCKI, AGNES</t>
  </si>
  <si>
    <t>MILLER, COLLEEN &amp; PAUL</t>
  </si>
  <si>
    <t>CARPENTER, CLIFFORD</t>
  </si>
  <si>
    <t>PODOSEK, MAREK JAKUB</t>
  </si>
  <si>
    <t>JOSEPH HOMER RASHID</t>
  </si>
  <si>
    <t>BERNDT, ROSEANN &amp; WILLIAM</t>
  </si>
  <si>
    <t>SHARIQ SYED ATA</t>
  </si>
  <si>
    <t>KERULIS, ANGELA &amp; JOSEPH</t>
  </si>
  <si>
    <t>WHITTENHALL, GAYLE &amp; JOHN</t>
  </si>
  <si>
    <t>GUERRA, ESMERALDA &amp; GUERRA, VINCENT</t>
  </si>
  <si>
    <t>MICHAEL CAPULONG</t>
  </si>
  <si>
    <t>SHAH, RITA &amp; SURESH V</t>
  </si>
  <si>
    <t>PECORA, RAYMOND</t>
  </si>
  <si>
    <t>PRESTIGIACOMO,MICHAEL A/SHEEKS,C E</t>
  </si>
  <si>
    <t>DE DECKER, MATTHEW &amp; PENELOPE</t>
  </si>
  <si>
    <t>CURRY, JASON J &amp; VICTORIA</t>
  </si>
  <si>
    <t>PEGORARO, LINDSAY A &amp; TEDESCHI,P S</t>
  </si>
  <si>
    <t>ENRIQUEZ,MONICA A &amp; TARCO,WILMER E</t>
  </si>
  <si>
    <t>PULLMAN, PATRICIA &amp; MATTHEW</t>
  </si>
  <si>
    <t>AVILA, JOSEPH M &amp; LAURIE G</t>
  </si>
  <si>
    <t>SIBIGA, MAREK</t>
  </si>
  <si>
    <t>RICARDO CARRIOLA HERNANDEZ</t>
  </si>
  <si>
    <t>PETERSON, MARILYN &amp; TRUDAU, GEORGE</t>
  </si>
  <si>
    <t>AMORE, DEANNA</t>
  </si>
  <si>
    <t>SALTER, ASHLEY &amp; JOHN</t>
  </si>
  <si>
    <t>PASEK, MONIKA &amp; WALDEK</t>
  </si>
  <si>
    <t>MONTIEL, AMADOR A &amp; LISA M</t>
  </si>
  <si>
    <t>VELAZQUEZ, JASMINE V &amp; JOSHUA A</t>
  </si>
  <si>
    <t>CARAVELLO, BRIAN &amp; IRVINE, MEGAN</t>
  </si>
  <si>
    <t>SCHULTZ, KARLA &amp; MICHAEL</t>
  </si>
  <si>
    <t>CRUZ, CELIA A &amp; GARCIA, ONOFRE</t>
  </si>
  <si>
    <t>LIKA, LEDIO &amp; MURA, KRISTINA</t>
  </si>
  <si>
    <t>DAR, MOHAMMAD A/JALEEN, NIGHAT</t>
  </si>
  <si>
    <t>TREVOR BANNING</t>
  </si>
  <si>
    <t>HASMUKHBHAI AMBALAL PATEL</t>
  </si>
  <si>
    <t>MICHAEL KIFARAKIS</t>
  </si>
  <si>
    <t>STALBAUM, BERNICE K</t>
  </si>
  <si>
    <t>ZAIN GHULAM MOHAMMAD ANSARI AND SANA FAROOQ MOHSIN</t>
  </si>
  <si>
    <t>THR PROPERTY ILL</t>
  </si>
  <si>
    <t>HOYTT, CHEVONNE N</t>
  </si>
  <si>
    <t>SCHNABEL, DERRICK &amp; KIRSTEN</t>
  </si>
  <si>
    <t>JABAK, HUSSEIN H</t>
  </si>
  <si>
    <t>TUZ, LUIBOV &amp; PETER</t>
  </si>
  <si>
    <t>MACIAS, JACEK &amp; RENATA ZIELNIK</t>
  </si>
  <si>
    <t>HPA US1 PARENT BORROWER LLC</t>
  </si>
  <si>
    <t>MARCHUT, TADEUSZ &amp; WIESLAWA OZOG</t>
  </si>
  <si>
    <t>BORGMAN, GINA &amp; JAKOB</t>
  </si>
  <si>
    <t>FORSYTHE,CHELSEA LEIGH/STEVE GLEN</t>
  </si>
  <si>
    <t>SLIZ, ANNA &amp; JERZY</t>
  </si>
  <si>
    <t>TROY YINGXI WALTERS</t>
  </si>
  <si>
    <t>BRYAN HALE</t>
  </si>
  <si>
    <t>GORAJEWSKI, REGINA</t>
  </si>
  <si>
    <t>MIKINA, ANETA &amp; PIOTR</t>
  </si>
  <si>
    <t>MULLIGAN, KRISTIN &amp; RUNDLE,JARROD</t>
  </si>
  <si>
    <t>ALEXIS BENITEZ</t>
  </si>
  <si>
    <t>LARA, FRANCISCO</t>
  </si>
  <si>
    <t>HESSE, BRITTNEY &amp; JAMES</t>
  </si>
  <si>
    <t>CRUZ, FELICIA/SCHRADER, NICHOLE</t>
  </si>
  <si>
    <t>SABRINA IANNELLI-TORRES</t>
  </si>
  <si>
    <t>SALKOVSKI, EMIL T</t>
  </si>
  <si>
    <t>CSMA FT LLC</t>
  </si>
  <si>
    <t>CORSO, VINCENT &amp; MEYER, KRISTEN</t>
  </si>
  <si>
    <t>VELAZQUEZ, FERNANDO &amp; MARIBEL</t>
  </si>
  <si>
    <t>KRZYSZTOF, ANTONINA &amp; KAZIMIERZ</t>
  </si>
  <si>
    <t>KLUGGER, GENE ANNE &amp; MICHAEL JOHN</t>
  </si>
  <si>
    <t>JAWORSKI, KRYSTYNA &amp; ZBIGNIEW</t>
  </si>
  <si>
    <t>MASELLA, JAMES V</t>
  </si>
  <si>
    <t>MONICA E JARAMILLO</t>
  </si>
  <si>
    <t>ROBERTS, GREG B &amp; THERESA L</t>
  </si>
  <si>
    <t>HALLIN, PETER</t>
  </si>
  <si>
    <t>DEBRA L. BRUNS, TRUSTEE OF THE DEBRA L. BRUNS 2005 TRUST DATED JULY 20, 2005</t>
  </si>
  <si>
    <t>POGUE, CHRISTOPHER M &amp; JULLIAM M</t>
  </si>
  <si>
    <t>KUBAN, JENNIFER &amp; SCOTT M</t>
  </si>
  <si>
    <t>HALL, MARK &amp; NANCY</t>
  </si>
  <si>
    <t>VANWINKLE, ROBT</t>
  </si>
  <si>
    <t>FRANCOIS, NICHOLAS A &amp; NICOLE T</t>
  </si>
  <si>
    <t>ANIKET PATEL</t>
  </si>
  <si>
    <t>KEFER, LAURA &amp; STEPHEN</t>
  </si>
  <si>
    <t>RICARDO CAPITULO</t>
  </si>
  <si>
    <t>JAVED, ASIF</t>
  </si>
  <si>
    <t>SHANE ALAN PASCHAL TOMS</t>
  </si>
  <si>
    <t>GRZYBOWSKI, JULIE &amp; HAMLIN, JOSEPH</t>
  </si>
  <si>
    <t>BEGAJ, ALBERT &amp; MIRANA</t>
  </si>
  <si>
    <t>DULEMBA, CASEY &amp; NANCY J</t>
  </si>
  <si>
    <t>CHIARAMONTE, MASSIMO/SLIZ,MAGDALENA</t>
  </si>
  <si>
    <t>PONCE, JOSE D &amp; ROXANA</t>
  </si>
  <si>
    <t>LADYNSKI, DARIUSZ/UTRACIK,KATARZYNA</t>
  </si>
  <si>
    <t>FIGIEL, LYNN &amp; THOMAS G</t>
  </si>
  <si>
    <t>LITTWIN, DAVID S &amp; ELIZABETH J</t>
  </si>
  <si>
    <t>CHANGNON III, EUGENE</t>
  </si>
  <si>
    <t>MALCOLM, CHRISTINA A &amp; RYAN D</t>
  </si>
  <si>
    <t>ELLIOTT, CHAD</t>
  </si>
  <si>
    <t>GANGE, PAUL &amp; SHARON</t>
  </si>
  <si>
    <t>WASHAK, ALEXANDRA &amp; STEPHEN P</t>
  </si>
  <si>
    <t>DANIELA RODRIGUEZ</t>
  </si>
  <si>
    <t>PATEL, JITU M/PRATIK J/UMABEN J</t>
  </si>
  <si>
    <t>ANGELINA AEDEH POE</t>
  </si>
  <si>
    <t>URBANOWSKI, JOLANTA &amp; RYSZARD</t>
  </si>
  <si>
    <t>ZAMARRIPA, DORI L &amp; JUAN J</t>
  </si>
  <si>
    <t>ROZTOCKI, JERZY &amp; WOJCIECH</t>
  </si>
  <si>
    <t>PAISLEY, DIANE M &amp; L GORDON</t>
  </si>
  <si>
    <t>KUCHARSKI, MATTHEW &amp; NATALIE</t>
  </si>
  <si>
    <t>CHIERO, MARNI &amp; SCOTT</t>
  </si>
  <si>
    <t>MENOS, DEMETRIOS &amp; STEPHANIE</t>
  </si>
  <si>
    <t>VIKTORA, LESLIE &amp; PATRICK</t>
  </si>
  <si>
    <t>SARAH J ALBAN</t>
  </si>
  <si>
    <t>JANKOVEC, JAMES &amp; LAUREN A</t>
  </si>
  <si>
    <t>THORSEN SR, THOMAS W AND MELISSA</t>
  </si>
  <si>
    <t>THIEMANN, EDWARD</t>
  </si>
  <si>
    <t>DOBSON, KAREN &amp; GALLEGOS, ERIK</t>
  </si>
  <si>
    <t>KRUNAL R. PATEL</t>
  </si>
  <si>
    <t>VANASSCHE, ROBERT J</t>
  </si>
  <si>
    <t>GRYNYK, DMYTRO &amp; OLEKSANDRA</t>
  </si>
  <si>
    <t>SIWA, LUKASZ Z &amp; MARTA</t>
  </si>
  <si>
    <t>BARERRA, EVENIN G</t>
  </si>
  <si>
    <t>GRUBER, CARRIE &amp; TODD</t>
  </si>
  <si>
    <t>HOWE, KRISTINA D &amp; STEVEN D</t>
  </si>
  <si>
    <t>BANDOVICH, KIM</t>
  </si>
  <si>
    <t>VASILIOS PAPPADEMETRIOU</t>
  </si>
  <si>
    <t>EIGENFELD, JANICE R &amp; PETER B</t>
  </si>
  <si>
    <t>GACIA, MICHELL D &amp; STANLEY J KOT</t>
  </si>
  <si>
    <t>EDGAR ALVAREZ</t>
  </si>
  <si>
    <t>LY,THIEN/ TRAN,THUYNUONG &amp; QUANG X</t>
  </si>
  <si>
    <t>LUCHAK, JOHN M &amp; MONICA G</t>
  </si>
  <si>
    <t>JOHN E. NAQUIN JR.</t>
  </si>
  <si>
    <t>MIKHAIL, KLAIRT K</t>
  </si>
  <si>
    <t>DI BENEDETTO, MICHAEL</t>
  </si>
  <si>
    <t>ENZA PESCE</t>
  </si>
  <si>
    <t>HOO, CHEH</t>
  </si>
  <si>
    <t>GUEVARA, MONTY D/LILIANA VASQUEZ</t>
  </si>
  <si>
    <t>WHYLE, JEFFREY J AND JACQUELINE M</t>
  </si>
  <si>
    <t>BURNS, ANDREA M &amp; ROBERT D</t>
  </si>
  <si>
    <t>FAROOQUI, SHAHZAD/NAFEES, MAHNOOR</t>
  </si>
  <si>
    <t>SOLANO, JAMES</t>
  </si>
  <si>
    <t>OWEN, DANIEL &amp; VALERIE</t>
  </si>
  <si>
    <t>LEE, JUNG H &amp; YEJIN</t>
  </si>
  <si>
    <t>BURCK, BRANDON J &amp; SAMANTHA T</t>
  </si>
  <si>
    <t>IDA, BRIANNA N &amp; ROBERT A</t>
  </si>
  <si>
    <t>SAUVE, MARY</t>
  </si>
  <si>
    <t>KEITH, CLARK B &amp; MARILYN DIANE</t>
  </si>
  <si>
    <t>JOHANSEN, JASON C &amp; OWEN, THOMAS J</t>
  </si>
  <si>
    <t>PERALEZ, ESTEBAN</t>
  </si>
  <si>
    <t>SOLIS, FELIX &amp; MARIA</t>
  </si>
  <si>
    <t>ANTEQUINO, KIMBERLY &amp; ROBERT</t>
  </si>
  <si>
    <t>MARIA CARMINA RODRIGUEZ</t>
  </si>
  <si>
    <t>ANDREW KROLL</t>
  </si>
  <si>
    <t>MOUNT NUGENT CONSTR LTD</t>
  </si>
  <si>
    <t>CARONE, ANTONIO &amp; MELINDA</t>
  </si>
  <si>
    <t>JENSEN, LISA</t>
  </si>
  <si>
    <t>DONATES JR, LEONARDO DE JESUS &amp; B</t>
  </si>
  <si>
    <t>FERRANTE, DONNA</t>
  </si>
  <si>
    <t>MELNYK, GALYNA &amp; ROMAN</t>
  </si>
  <si>
    <t>HEEJIN LIM</t>
  </si>
  <si>
    <t>BEDOLLA, JAMES R/BESSEY, WYNDHAM S</t>
  </si>
  <si>
    <t>HAMDAN, ZEYAD M &amp; SIMRIN, LAILA M</t>
  </si>
  <si>
    <t>KRZAK, AGNIESZKA &amp; BARTLOMIEJ</t>
  </si>
  <si>
    <t>CASTILLO, MARIA J &amp; VILLANUEVA, S I</t>
  </si>
  <si>
    <t>ROZO, ASHLEY &amp; ROZO-BARRETO, ROBIN</t>
  </si>
  <si>
    <t>JOSEPH UNDERDOWN</t>
  </si>
  <si>
    <t>4F PROPERTIES LLC/509 W SCHAUMBURG</t>
  </si>
  <si>
    <t>CRYSTAL E. CASTEL-TOVAR</t>
  </si>
  <si>
    <t>ANNA MARIE DISYLVESTER</t>
  </si>
  <si>
    <t>HAFEEZ, RANA</t>
  </si>
  <si>
    <t>KEVIN SHEEHAN</t>
  </si>
  <si>
    <t>CATAPANO, JORDAN/SCIULLO, GINO TTEE</t>
  </si>
  <si>
    <t>SLONSKI, MICHAEL &amp; TRACEY</t>
  </si>
  <si>
    <t>SANTOSH KUMAR GARIMELLA</t>
  </si>
  <si>
    <t>SIDOR, DAVID M</t>
  </si>
  <si>
    <t>ARNETT, KIRSTIE M &amp; JASON OVERTON</t>
  </si>
  <si>
    <t>PROBOLA, JACEK</t>
  </si>
  <si>
    <t>SMITH, IZOLDA A &amp; MATTHEW J</t>
  </si>
  <si>
    <t>MASON, JOSEPH</t>
  </si>
  <si>
    <t>NEIDHARDT,TAYLOR L &amp; RACE,MICHAEL S</t>
  </si>
  <si>
    <t>GALBADRAKH, GANBILEG &amp; GANBAATAR, E</t>
  </si>
  <si>
    <t>CONTRERAS, GRISELDA &amp; MANUEL</t>
  </si>
  <si>
    <t>STEPHANIE LYNN &amp; ADAM DUBUQUE</t>
  </si>
  <si>
    <t>BERNDT, WILLIAM J/WASHKOWIAK, K S</t>
  </si>
  <si>
    <t>SMITH, JOANN L &amp; TIMOTHY J</t>
  </si>
  <si>
    <t>TURLEY PATRICK</t>
  </si>
  <si>
    <t>SZCZEPANIAK, STANISLAW</t>
  </si>
  <si>
    <t>ROSARIA MIGLIACCIO</t>
  </si>
  <si>
    <t>PAULSKI, BOZENA &amp; STANISLAW</t>
  </si>
  <si>
    <t>PADUA, CHRISTIAN M &amp; JOSHUA M</t>
  </si>
  <si>
    <t>TOLKSON, MARC E</t>
  </si>
  <si>
    <t>MARZULLO, SARAH R &amp; TYLER</t>
  </si>
  <si>
    <t>BURGER, DANL C</t>
  </si>
  <si>
    <t>SALEHI-ASHTIANI, KOUROSH</t>
  </si>
  <si>
    <t>MENCHACA, THOMAS &amp; KATIA DELISI</t>
  </si>
  <si>
    <t>URIZAR, CARLOS A &amp; NANCY</t>
  </si>
  <si>
    <t>KATELYN BURGOS</t>
  </si>
  <si>
    <t>PISARCZYK, JASON</t>
  </si>
  <si>
    <t>DILLON, TANYA &amp; ITALIA, DAN</t>
  </si>
  <si>
    <t>KING, ELIZABETH L &amp; KYLE P</t>
  </si>
  <si>
    <t>RYAN NGUYEN</t>
  </si>
  <si>
    <t>MONTOYA, ANDRIANNA &amp; STEPHEN</t>
  </si>
  <si>
    <t>GEORGANTELIS, SYMEON &amp; TOUFEXIS, A</t>
  </si>
  <si>
    <t>WUESTENFELD, MARY E</t>
  </si>
  <si>
    <t>POPIEL, DOROTA &amp; SLAWOMIR</t>
  </si>
  <si>
    <t>SHAWN PAYNE</t>
  </si>
  <si>
    <t>ABHIJEET MAHESHWARI</t>
  </si>
  <si>
    <t>NICHOLAS E HOEPFNER</t>
  </si>
  <si>
    <t>SHAZIL DAMANI</t>
  </si>
  <si>
    <t>GONZALEZ, MELISSA/VARGAS, ALEJANDRO</t>
  </si>
  <si>
    <t>VASILEN, ILIAN</t>
  </si>
  <si>
    <t>JOSEPH A BURDI</t>
  </si>
  <si>
    <t>PULLIAM, THEODIS &amp; SCOTT, TINA</t>
  </si>
  <si>
    <t>GRIFFIN, PAUL &amp; OLIVA, ABRIL</t>
  </si>
  <si>
    <t>MARQUEZ, MARICRUZ</t>
  </si>
  <si>
    <t>CATAPANO, JORDAN P/SCIULLO/SCIUL</t>
  </si>
  <si>
    <t>CHAPMAN, JASMINE C &amp; JATAPUTRA, A A</t>
  </si>
  <si>
    <t>ALI, AHMED K &amp; KAMAL S</t>
  </si>
  <si>
    <t>BUJAK, ALEKSANDRA &amp; WOJEICH</t>
  </si>
  <si>
    <t>BAIG, AKBER &amp; YASMEEN</t>
  </si>
  <si>
    <t>JASON TIPNER</t>
  </si>
  <si>
    <t>DELGADO, ADIS &amp; EVELIO</t>
  </si>
  <si>
    <t>DASKALOV, STANIMAR &amp; ALBENA</t>
  </si>
  <si>
    <t>BOYLE, JOHN &amp; MARIANNE</t>
  </si>
  <si>
    <t>ESPOSITO, DAGMAR &amp; GERARDO</t>
  </si>
  <si>
    <t>ROCHOCKI, ROKSOLANA L &amp; RYAN</t>
  </si>
  <si>
    <t>DOLINNY, MARIUSZ</t>
  </si>
  <si>
    <t>RICARDO P SENARA, JR.</t>
  </si>
  <si>
    <t>MICHAEL RUGGIERI</t>
  </si>
  <si>
    <t>ELLIS, GINA M &amp; SCOTT R</t>
  </si>
  <si>
    <t>BIENIEK, TREVOR /SHEEKS. TAYLOR</t>
  </si>
  <si>
    <t>CHICAGO TITLE LAND TRUST CO</t>
  </si>
  <si>
    <t>MULLER, JULIE E &amp; TONY A</t>
  </si>
  <si>
    <t>CHERNITSKA, OLGA &amp; THOR CHERNITSKYY</t>
  </si>
  <si>
    <t>JONATHON LOPEZ</t>
  </si>
  <si>
    <t>BOLANOS, A M/CHAVEZ, M/RODRIGUEZ, C</t>
  </si>
  <si>
    <t>MAKARYSHCHAK, TETYANA &amp; VASYL</t>
  </si>
  <si>
    <t>CINCINELLO, DIANA TRUSTEE</t>
  </si>
  <si>
    <t>BORISOVA, ANITA E</t>
  </si>
  <si>
    <t>KARI, ABEER &amp; DAVID F</t>
  </si>
  <si>
    <t>WOJCIK, DAN J &amp; DONNA</t>
  </si>
  <si>
    <t>HENRY R SANTANA</t>
  </si>
  <si>
    <t>JUNG JR, DAVID K &amp; DANIELLE L</t>
  </si>
  <si>
    <t>SLAGA, LINDSAY M</t>
  </si>
  <si>
    <t>PAWLOWSKI, ANDRZEJ &amp; MONIKA</t>
  </si>
  <si>
    <t>NOVAK, JAMES E &amp; JANELL M</t>
  </si>
  <si>
    <t>LISA R. THOMAS</t>
  </si>
  <si>
    <t>CARL, KIMBERLY &amp; RAYMOND</t>
  </si>
  <si>
    <t>YACOUB, ABE &amp; GUISEPPINE</t>
  </si>
  <si>
    <t>SIMON, AGNES &amp; RAMOLFO</t>
  </si>
  <si>
    <t>KRISTINA M. QUINONES</t>
  </si>
  <si>
    <t>CEZARY S. TROJAN</t>
  </si>
  <si>
    <t>MICHAEL T. FIGUEROA</t>
  </si>
  <si>
    <t>ROSEWELL, KIMBERLY</t>
  </si>
  <si>
    <t>MACKO, TANYA</t>
  </si>
  <si>
    <t>VAL IVANOV VASILEV</t>
  </si>
  <si>
    <t>STEELGLOVE, BRIAN</t>
  </si>
  <si>
    <t>LOUAY RUSTAM</t>
  </si>
  <si>
    <t>TISCARENO, MICHELLE &amp; YANEZ, JOSE S</t>
  </si>
  <si>
    <t>MOSKAL, AGAT &amp; ROBERT</t>
  </si>
  <si>
    <t>HAJDUK, ANNA M &amp; PLACHTA, MICHAL A</t>
  </si>
  <si>
    <t>PRADYUMNAT SHAH</t>
  </si>
  <si>
    <t>KLUZEK, ANGELIKA</t>
  </si>
  <si>
    <t>OSTROWSKI, RYAN T &amp; SAFIN,KATARZYNA</t>
  </si>
  <si>
    <t>JEDRZEJCZYK, BEATA EWA &amp; ZBIGNIEW</t>
  </si>
  <si>
    <t>MICHELE CALIENDO</t>
  </si>
  <si>
    <t>SKLARZ, THOMAS M/JUDI M/KIMBERLY J</t>
  </si>
  <si>
    <t>TENTHOREY, CORINE/WILSON, IAIN</t>
  </si>
  <si>
    <t>SMIETANA, MARCIN &amp; ANDZELIKA</t>
  </si>
  <si>
    <t>BADGLEY, BARBARA &amp; LEE</t>
  </si>
  <si>
    <t>ORLANDO LAGUNAS</t>
  </si>
  <si>
    <t>GABRYEL, MALGORZATA H &amp; RAFAL</t>
  </si>
  <si>
    <t>ADAM C WEINER AKA ADAM WEINER</t>
  </si>
  <si>
    <t>CARUSO, TONY &amp; MICHELLE</t>
  </si>
  <si>
    <t>GRAYSON G KASPAR</t>
  </si>
  <si>
    <t>LOPEZ, SUSANA</t>
  </si>
  <si>
    <t>STEVEN COLE TRUSTEE OF ALI 401K FBO</t>
  </si>
  <si>
    <t>PROKOPCZAK, IRENA &amp; MIROSLAW</t>
  </si>
  <si>
    <t>AMIR AHMED</t>
  </si>
  <si>
    <t>JANDURA, JADWIGA &amp; WOJCIECH</t>
  </si>
  <si>
    <t>CHAIDEZ, DANIELA/SIMONE, FRANCESCO</t>
  </si>
  <si>
    <t>ALEXANDRA MAJERANOWSKI</t>
  </si>
  <si>
    <t>GOLLWITZER, JAMES</t>
  </si>
  <si>
    <t>WU, SHOUHAO &amp; YUAN, ZHI</t>
  </si>
  <si>
    <t>GRIEF, JENNIFER &amp; ROBERT</t>
  </si>
  <si>
    <t>KATHY ESPINOZA</t>
  </si>
  <si>
    <t>BURDREAU, MATTHEW G</t>
  </si>
  <si>
    <t>LIU, XIN &amp; YONG, XIA</t>
  </si>
  <si>
    <t>MYKHAILO MAHAS</t>
  </si>
  <si>
    <t>KOROL, DOROTA A &amp; SLAWOMIR KOROL</t>
  </si>
  <si>
    <t>BLASZCZYK, PIOTR M</t>
  </si>
  <si>
    <t>PODSIADLO, DOMINIK ANTONI &amp; JUSTYNA</t>
  </si>
  <si>
    <t>OAIVIDA, MILDRED V &amp; ROWELL C</t>
  </si>
  <si>
    <t>HUSIATYNSKI, CZESLAW &amp; MARTA</t>
  </si>
  <si>
    <t>VINYARSKYY, NADIYA &amp; PETRO</t>
  </si>
  <si>
    <t>ARMANDO DIAZ</t>
  </si>
  <si>
    <t>WICKEMEYER, ALLYSON &amp; CHADD</t>
  </si>
  <si>
    <t>NENEY, AKBERALI M</t>
  </si>
  <si>
    <t>HAMAD, BASSAM ALBIN</t>
  </si>
  <si>
    <t>GOLLWITZER, JAMES M &amp; JILL A</t>
  </si>
  <si>
    <t>OSTAFIICHUK, IRYNA &amp; PETRO</t>
  </si>
  <si>
    <t>HABEL, EDNA E</t>
  </si>
  <si>
    <t>RAJIVKUMAR PATEL AKA RAJIVKUMAR A PATEL</t>
  </si>
  <si>
    <t>HALIYAN, ANDRIY &amp; OKSANA</t>
  </si>
  <si>
    <t>SHEEKS, COLE TYLER</t>
  </si>
  <si>
    <t>SLIWA, CHRISTOPHER J</t>
  </si>
  <si>
    <t>LEE, SANG H &amp; SANTANA JR,EDDY A</t>
  </si>
  <si>
    <t>BRYJA, MIERCZYSLAW</t>
  </si>
  <si>
    <t>ZIEGLER, THOMAS</t>
  </si>
  <si>
    <t>BOWL, LORGIA</t>
  </si>
  <si>
    <t>ISKRA, ARLETA &amp; MATEUSZ</t>
  </si>
  <si>
    <t>JAKE THOMAS</t>
  </si>
  <si>
    <t>JELER, LAURENTIU</t>
  </si>
  <si>
    <t>PESAVENT, WAYNE</t>
  </si>
  <si>
    <t>RYAN J. TUCKER</t>
  </si>
  <si>
    <t>WROCENSKI, ANDRZEJ &amp; DANUTA</t>
  </si>
  <si>
    <t>ALEKSANDAR AVRAMOV</t>
  </si>
  <si>
    <t>BORUCH, JAKUB</t>
  </si>
  <si>
    <t>ANNAPURNA PROPERTIES, LLC</t>
  </si>
  <si>
    <t>BOROSAK, THOMAS/WERNER, BRIANA</t>
  </si>
  <si>
    <t>BLASZCZYK, PIOTR</t>
  </si>
  <si>
    <t>SIUDUT, KRZYSZTOF &amp; PATRYCJA</t>
  </si>
  <si>
    <t>KELLEY, JOSEPH T &amp; MARGARET T</t>
  </si>
  <si>
    <t>DELGADILLO, ERIC A &amp; KAREN R</t>
  </si>
  <si>
    <t>DIMITROV, NANTCHO S</t>
  </si>
  <si>
    <t>BORON-WARZECHA, IWONA</t>
  </si>
  <si>
    <t>CHELIOS, NICOLETTE &amp; SAVAGE, SCOT</t>
  </si>
  <si>
    <t>WASILEWSKI, RAFAL</t>
  </si>
  <si>
    <t>CASEY M. KOLASINSKI</t>
  </si>
  <si>
    <t>DELOERA, JUAN C</t>
  </si>
  <si>
    <t>KUCZYNSKI, ROBT/POKOLENCZUK, U</t>
  </si>
  <si>
    <t>HUFFMAN, ERIC C &amp; LEAH N</t>
  </si>
  <si>
    <t>NERCY MEDRANO VALDEZ</t>
  </si>
  <si>
    <t>GARCIA, MAIRA G &amp; MYNOR F</t>
  </si>
  <si>
    <t>CURIC, ANDREW &amp; GRAZYNA</t>
  </si>
  <si>
    <t>BAI, VALENTYNA &amp; YAROSLAV</t>
  </si>
  <si>
    <t>JONATHAN LENZ</t>
  </si>
  <si>
    <t>KOSHIOL, BOB</t>
  </si>
  <si>
    <t>CALVIN, BRADLEY &amp; ELLSIA</t>
  </si>
  <si>
    <t>CARABALLO, ANGEL &amp; VICTORIA</t>
  </si>
  <si>
    <t>MACIEJEWSKI, JOHN J &amp; MARY ANN</t>
  </si>
  <si>
    <t>KAGANEK, KLAUDIA/MIARA, KRYSTIAN</t>
  </si>
  <si>
    <t>SALUJA, SAJEEV</t>
  </si>
  <si>
    <t>PEREZ, LUISITO &amp; MARIE SOLOME</t>
  </si>
  <si>
    <t>AYALA, JORDI &amp; BARRERA, SOCORRO</t>
  </si>
  <si>
    <t>ZOLEDZIEWSKA, B R &amp; ZOLEDZIEWSKI,A</t>
  </si>
  <si>
    <t>SCHNORR, ANDREA &amp; EDWARD</t>
  </si>
  <si>
    <t>NICHOLAS J. BAMBINI</t>
  </si>
  <si>
    <t>WOOLUM, CARVEL E</t>
  </si>
  <si>
    <t>DAVID CASTEEL</t>
  </si>
  <si>
    <t>GNATEK, LESLAW &amp; RENATA GNATEK</t>
  </si>
  <si>
    <t>MATTI, SARGON &amp; MEKHO, FATEN</t>
  </si>
  <si>
    <t>DELATORRE,JUAN R H &amp; HERNANDEZ,LISA</t>
  </si>
  <si>
    <t>KRATOCHVIL, FILIP</t>
  </si>
  <si>
    <t>KENNEY, GINGER &amp; ROBERT</t>
  </si>
  <si>
    <t>JANDURA, MICHAL J</t>
  </si>
  <si>
    <t>BINANTI, KAREN L &amp; LORETO S</t>
  </si>
  <si>
    <t>WOLBIS, BECKY K &amp; MICHAL</t>
  </si>
  <si>
    <t>DAVID NYTKO</t>
  </si>
  <si>
    <t>LAPSA, MARIUSZ/POPKO, MARILO</t>
  </si>
  <si>
    <t>DENGES, NICHOLAS C</t>
  </si>
  <si>
    <t>HALINSKI, THOMAS A</t>
  </si>
  <si>
    <t>SABADASZKA, ANNIE &amp; NICOLE A</t>
  </si>
  <si>
    <t>COHN, ADAM D/VAN WINKLE, VALERIE A</t>
  </si>
  <si>
    <t>DALESSANDRO, JOSEPH TRUST</t>
  </si>
  <si>
    <t>FRANCISCO PONCE</t>
  </si>
  <si>
    <t>PBC INVESTMENTS LLC</t>
  </si>
  <si>
    <t>LARA, FLOR</t>
  </si>
  <si>
    <t>TURNER, DANL</t>
  </si>
  <si>
    <t>MACIEJ ELUSZKIEWICZ</t>
  </si>
  <si>
    <t>JUNG, JENNIFER &amp; TENNEY, IAN</t>
  </si>
  <si>
    <t>NATHAN FAKHOURI</t>
  </si>
  <si>
    <t>CARDENAS, ALEJO &amp; VALDEZ, ROSALBA</t>
  </si>
  <si>
    <t>ZANE BAKER</t>
  </si>
  <si>
    <t>FRANCISCO JOSE CABRERA, JR</t>
  </si>
  <si>
    <t>CESNJAJ, MIRJANA &amp; RATKO ORLANDIC</t>
  </si>
  <si>
    <t>JACOB ALEXANDER</t>
  </si>
  <si>
    <t>PIOTROWSKA, AGNIESZKA J/MIROSLAW J</t>
  </si>
  <si>
    <t>S &amp; D ASSOCS LLC</t>
  </si>
  <si>
    <t>ALEJO CARDENAS</t>
  </si>
  <si>
    <t>BATHA INTERNATIONAL, INC.</t>
  </si>
  <si>
    <t>FIRST MIDWEST BANK</t>
  </si>
  <si>
    <t>WOJTASZEK, DANUTA &amp; JOZEF</t>
  </si>
  <si>
    <t>HARRIS T&amp;S BK</t>
  </si>
  <si>
    <t>HIPSKIND, JOHN</t>
  </si>
  <si>
    <t>HERMIZ, SAM</t>
  </si>
  <si>
    <t>ZEGGER, ANTHONY &amp; DEBORAH</t>
  </si>
  <si>
    <t>ILLINOIS AMERICAN WATER CO</t>
  </si>
  <si>
    <t>CV IRVING PROPERTY, LLC</t>
  </si>
  <si>
    <t>WOJCIECHOWSKI, EDWARD</t>
  </si>
  <si>
    <t>LEONETTI, MARY G TRUSTEE</t>
  </si>
  <si>
    <t>BAESSLER, BARBARA A &amp; MARK A TRUSTS</t>
  </si>
  <si>
    <t>LEONETTI, MICHAEL E TRUSTEE</t>
  </si>
  <si>
    <t>PEGGY SUE COBURN AS TRUSTEE OF THE PEGGY SUE COBURN DECLARATION OF TRUST DATED APRIL 10, 1997</t>
  </si>
  <si>
    <t>BURR RIDGE DEVELOPMENT LLC</t>
  </si>
  <si>
    <t>GRASS 1 INC</t>
  </si>
  <si>
    <t>K O B LLC &amp; ILLINOIS LLC</t>
  </si>
  <si>
    <t>ESTELA R. UNZUETA</t>
  </si>
  <si>
    <t>ADAM, DON &amp; KELLY C</t>
  </si>
  <si>
    <t>WEST SUBURBAN BANK</t>
  </si>
  <si>
    <t>HAWTHORNEWORLD VILLA PARK LP</t>
  </si>
  <si>
    <t>REALTY INCOME ILL PROPERTIES 4 LLC</t>
  </si>
  <si>
    <t>443 E ST CHARLES ROAD, LLC</t>
  </si>
  <si>
    <t>APEX ARDMORE LLC</t>
  </si>
  <si>
    <t>VILLA PK T&amp;S BK</t>
  </si>
  <si>
    <t>GRINDER HILL PROPERTIES LLC</t>
  </si>
  <si>
    <t>CHICAGO TITLE LAND TRUST COMPANY, AS SUCCESSOR TRUSTEE TO OLD SECOND NATIONAL BANK OF AURORA, AS TRUSTEE U/T/A DATED 24TH DAY OF MAY, 1974 A/K/A TRUST NUMBER 2013</t>
  </si>
  <si>
    <t>299 &amp; 295 VILLA PARK LLC</t>
  </si>
  <si>
    <t>BAMBA PRPTIES LLC</t>
  </si>
  <si>
    <t>LAZZARA, VINCENZO</t>
  </si>
  <si>
    <t>416 BEVERLY LLC</t>
  </si>
  <si>
    <t>ITASCA BANK &amp; TRUST TRUSTEE</t>
  </si>
  <si>
    <t>116 W. ST CHARLES, LLC</t>
  </si>
  <si>
    <t>LUKACEK, JAMES J ET AL</t>
  </si>
  <si>
    <t>MARGARITA, V &amp; ETAL</t>
  </si>
  <si>
    <t>SMITH, CYNTHIA &amp; WILLIAM</t>
  </si>
  <si>
    <t>BARNARD, CACI L/ORTIZ, MANUEL JESUS</t>
  </si>
  <si>
    <t>MARKIEWICZ, STEVEN M</t>
  </si>
  <si>
    <t>PARK, JOSEPH</t>
  </si>
  <si>
    <t>KLOPPKE, CAROLYN M &amp; MICHAEL J</t>
  </si>
  <si>
    <t>GONZALEZ, MELISSA/VILLAREAL, JOSE</t>
  </si>
  <si>
    <t>ALPHA HOME HEALTH CARE INC</t>
  </si>
  <si>
    <t>PRAIRIE MNR TRUST</t>
  </si>
  <si>
    <t>BACHMAN, SUSAN R/PETTY JR, GEORGE W</t>
  </si>
  <si>
    <t>CLARKE, COLLEEN &amp; GARY</t>
  </si>
  <si>
    <t>ALVAREZ, LETICIA &amp; RENE</t>
  </si>
  <si>
    <t>DELGADILLO, JESUS/GUZMAN, MARIA E G</t>
  </si>
  <si>
    <t>BELTRAN, JOSE</t>
  </si>
  <si>
    <t>ANTONIO &amp; ADAN Q. MUNOZ</t>
  </si>
  <si>
    <t>GALVAN, JAIME/TERRAZAS, MARGARITA R</t>
  </si>
  <si>
    <t>WEST CHGO CITY ATTN CITY ADMNSTTR</t>
  </si>
  <si>
    <t>LUIS RIVERA</t>
  </si>
  <si>
    <t>BERON, IVONE A &amp; JOSEPH FORNEL</t>
  </si>
  <si>
    <t>CITY OF WEST CHICAGO</t>
  </si>
  <si>
    <t>ALE-MARK LLC</t>
  </si>
  <si>
    <t>RIOS, MIGUEL</t>
  </si>
  <si>
    <t>MEDINA, ABRAHAM</t>
  </si>
  <si>
    <t>ALANIS, LUIS</t>
  </si>
  <si>
    <t>SILLITTI, NICOLE &amp; STEPHEN</t>
  </si>
  <si>
    <t>RAMOS, PORFIRIO R</t>
  </si>
  <si>
    <t>ALVARO ALVAREZ GUTIERREZ</t>
  </si>
  <si>
    <t>HERNANDEZ, JULIO &amp; RAFAEL</t>
  </si>
  <si>
    <t>CARRASCO, ADRIAN A &amp; GARCIA, MARIO</t>
  </si>
  <si>
    <t>KESSLER, DANIEL R &amp; O SHEA,MARY K</t>
  </si>
  <si>
    <t>DAVID P. HAYWARD</t>
  </si>
  <si>
    <t>GONZALEZ, MARTHA MEDELLIN</t>
  </si>
  <si>
    <t>CORREA, JOSE J</t>
  </si>
  <si>
    <t>CARROLL, ELIZABETH &amp; JAMES</t>
  </si>
  <si>
    <t>DUPAGE HABITAT FOR HUMANITY, INC.</t>
  </si>
  <si>
    <t>GENEVA STATION APTS LLC</t>
  </si>
  <si>
    <t>DOWNERS GROVE NAT'L BK</t>
  </si>
  <si>
    <t>CYNOWA, ROBERT &amp; DIANE TRUSTEES</t>
  </si>
  <si>
    <t>KASS R E LLC</t>
  </si>
  <si>
    <t>CHICAGO TITLE LAND TRUST CO - TTEE</t>
  </si>
  <si>
    <t>SHEFFIELD INVESTS LLC</t>
  </si>
  <si>
    <t>PICHE, BRADLEY P &amp; BRESNDA A</t>
  </si>
  <si>
    <t>PHALEN, JOSEPH J &amp; MICHELLE</t>
  </si>
  <si>
    <t>LOURDES MARTINEZ</t>
  </si>
  <si>
    <t>LA DOLCE VITA DAY SPA INC</t>
  </si>
  <si>
    <t>CAMJ LLC</t>
  </si>
  <si>
    <t>MICHAEL HIGGINS</t>
  </si>
  <si>
    <t>OAK BRK RESEARCH INC</t>
  </si>
  <si>
    <t>RAFFAELE CIRILLO</t>
  </si>
  <si>
    <t>SPA PROPERTIES, LLC</t>
  </si>
  <si>
    <t>CONOVER, LEAH &amp; STUART</t>
  </si>
  <si>
    <t>CHRISTIAN RIVERA</t>
  </si>
  <si>
    <t>JACOB MALES</t>
  </si>
  <si>
    <t>RASMUSSEN, MARK &amp; VICTORIA</t>
  </si>
  <si>
    <t>R &amp; P SEAVEY FAMILY TR/SEAVEY,TTEES</t>
  </si>
  <si>
    <t>MURALLES, JAIME A &amp; ROE, RAQUEL</t>
  </si>
  <si>
    <t>MOICEANU, CORNEL &amp; ELENA C</t>
  </si>
  <si>
    <t>CAO, GUICHAN/WANGA, HUNG CHEN</t>
  </si>
  <si>
    <t>BU, PING &amp; QIAO, LIANG</t>
  </si>
  <si>
    <t>BASSETT, CHRISTOPHER</t>
  </si>
  <si>
    <t>CHICAGO TITLE LAND TRUST COMPANY, AS TRUSTEE UNDER THE PROVISION OF A CERTAIN TRUST AGREEMENT DATED MAY 31, 2023 AND KNOWN AS TRUST NUMBER 8002391824</t>
  </si>
  <si>
    <t>PEREZ, JOSE ALFREDO</t>
  </si>
  <si>
    <t>YALLAPRAGADA, JYOTHI &amp; RATHNA K</t>
  </si>
  <si>
    <t>FERNANDEZ, IVAN &amp; WALKIRIS C</t>
  </si>
  <si>
    <t>LIU, XIANGFEI &amp; XUE, KAILAN</t>
  </si>
  <si>
    <t>WILDAN LLC/WQ DEVELOPMENT INC.</t>
  </si>
  <si>
    <t>NAVARRO, CARMEN &amp; DAVID</t>
  </si>
  <si>
    <t>BMW CONSTRUCTION LLC, AN ILLINOIS LIMITED LIABILITY COMPANY</t>
  </si>
  <si>
    <t>RICHARDSON, ERIC D</t>
  </si>
  <si>
    <t>LEWIS, JEFFREY C</t>
  </si>
  <si>
    <t>MENEAR, JEFFERY B</t>
  </si>
  <si>
    <t>DOYLE, JOHN EMMETT</t>
  </si>
  <si>
    <t>BUTLER, BERNADETTE &amp; CARL</t>
  </si>
  <si>
    <t>LIMONE, ADRIANO G</t>
  </si>
  <si>
    <t>GARCIA, MIGUEL A HERNANDEZ</t>
  </si>
  <si>
    <t>JAVIER GARCIA GARCIA</t>
  </si>
  <si>
    <t>KOTTOS, STAVROS</t>
  </si>
  <si>
    <t>RYAN BIELECKI</t>
  </si>
  <si>
    <t>CYNOWA, LORRAINE P &amp; ROBERT P</t>
  </si>
  <si>
    <t>MUSCH, CHERYL A</t>
  </si>
  <si>
    <t>NORMA J. LAUDER</t>
  </si>
  <si>
    <t>KIMBERLY JO JACKSON</t>
  </si>
  <si>
    <t>WILSON, DIANE B &amp; JOHN S</t>
  </si>
  <si>
    <t>BURCH, CATHERINE L &amp; JONATHAN D</t>
  </si>
  <si>
    <t>MATTHEW J. CARLSON</t>
  </si>
  <si>
    <t>JUNE, AMANDA S &amp; MURRAY, PATRICK M</t>
  </si>
  <si>
    <t>CRAIG MARTIN MCKENZIE &amp; DONNA J. MCKENZIE</t>
  </si>
  <si>
    <t>DERER, MERIKAY &amp; RICHARD</t>
  </si>
  <si>
    <t>WALSH, LAURIE A TRUSTEE</t>
  </si>
  <si>
    <t>CERVANTES, OYUKI &amp; A M DEL CAMPO</t>
  </si>
  <si>
    <t>PLUNKETT, DIANE M &amp; PATRICK A</t>
  </si>
  <si>
    <t>CARA M. PAGELS, AS TRUSTEE OF THE FARWELL REVOCABLE TRUST DATED SEPTEMBER 18, 2025</t>
  </si>
  <si>
    <t>VESELIK, JOHN SCOTT</t>
  </si>
  <si>
    <t>LEONARD, SANDRA &amp; WILLIAM</t>
  </si>
  <si>
    <t>JAMES DUNPHY</t>
  </si>
  <si>
    <t>EGSHIG ZUUNDARI</t>
  </si>
  <si>
    <t>SHEN, ZHIQIANG &amp; ANA C M DEMORAES</t>
  </si>
  <si>
    <t>ROGERS, ELIZABETH &amp; MATTHEW R</t>
  </si>
  <si>
    <t>HURST, STACEY M</t>
  </si>
  <si>
    <t>TORKELSON, THOMAS B</t>
  </si>
  <si>
    <t>PUGA, WM F</t>
  </si>
  <si>
    <t>ATWOOD,MARYANNE/PAUL &amp; BOJANIC,L/M</t>
  </si>
  <si>
    <t>RYAN O'MALLEY</t>
  </si>
  <si>
    <t>ELKHORN CAPITAL, INC.</t>
  </si>
  <si>
    <t>FINLEY, MICHELLE &amp; MCCARTHY, JOHN K</t>
  </si>
  <si>
    <t>PYRAMID CONSTRUCTION LLC</t>
  </si>
  <si>
    <t>FOX, GERARD M</t>
  </si>
  <si>
    <t>VESEKUBIVUC, WALTER/ROSA REAL EST</t>
  </si>
  <si>
    <t>CARLSON, MARYBETH C TRUSTEE</t>
  </si>
  <si>
    <t>CONRAD ROBERT POLINSKI</t>
  </si>
  <si>
    <t>BRYAN CAMERON</t>
  </si>
  <si>
    <t>JOSHUA J PRICE</t>
  </si>
  <si>
    <t>MEYER, ANDREW</t>
  </si>
  <si>
    <t>BARGER, JEFFREY &amp; MARTHA</t>
  </si>
  <si>
    <t>SHORE, SHAUN</t>
  </si>
  <si>
    <t>MAGAR, SUBASH &amp; MANGAR, KALU RAM</t>
  </si>
  <si>
    <t>STEWART, STEPHEN &amp; HILDA TTEES</t>
  </si>
  <si>
    <t>FURST, KATHERINE &amp; MA, RENYUAN</t>
  </si>
  <si>
    <t>FENILI, VICTORIA &amp; WILLIAM J</t>
  </si>
  <si>
    <t>DUNN, EMILY R &amp; SCHROEDER, AARON C</t>
  </si>
  <si>
    <t>HERNANDEZ, S M &amp; MESSERE, JR J</t>
  </si>
  <si>
    <t>KOZMA III, ARTHUR J</t>
  </si>
  <si>
    <t>AHRENDT, REBECCA L &amp; BEDE, DEREK E</t>
  </si>
  <si>
    <t>LUPCO BLAZESKI</t>
  </si>
  <si>
    <t>I M PRPTIES ILL 7 LLC</t>
  </si>
  <si>
    <t>DOREANE HUIZENGA</t>
  </si>
  <si>
    <t>518 ROOSEVELT, LLC</t>
  </si>
  <si>
    <t>UNITED INVESTMENT HOLDINGS LLC</t>
  </si>
  <si>
    <t>TCF MGT CORP</t>
  </si>
  <si>
    <t>TRUSTBANK</t>
  </si>
  <si>
    <t>G SQUARED IV, LLC</t>
  </si>
  <si>
    <t>205 S MAIN LLC</t>
  </si>
  <si>
    <t>ROCKFORD MEDICAL ASSOCS LLC</t>
  </si>
  <si>
    <t>RDG REAL PROPERTIES, LLC, AN ILLINOIS LIMITED LIABILITY COMPANY</t>
  </si>
  <si>
    <t>ADDISON DEVEL CO INC</t>
  </si>
  <si>
    <t>1800 E RSVLT LLC</t>
  </si>
  <si>
    <t>TRUE NORTH QUALITY HOMES LLC</t>
  </si>
  <si>
    <t>WHEATON HARDWARE BUILDING, LLC</t>
  </si>
  <si>
    <t>NOAH REAL ESTATE WHEATON LLC</t>
  </si>
  <si>
    <t>AMLINGS RLTY LLC</t>
  </si>
  <si>
    <t>LEACH, SHARON &amp; MEYER, STEVEN</t>
  </si>
  <si>
    <t>LIU, CHARLES</t>
  </si>
  <si>
    <t>KEVIN S. SCHILTZ</t>
  </si>
  <si>
    <t>DEBRA SEGER</t>
  </si>
  <si>
    <t>BARROW,DAVID M &amp; SUSAN M HAWKINSON-</t>
  </si>
  <si>
    <t>COLLING,BENJAMIN EDWARD/ JENELLE A</t>
  </si>
  <si>
    <t>HOLEK, DAIVD &amp; VEST, COLLEEN</t>
  </si>
  <si>
    <t>CHRISTINE T PALMER AS TRUSTEE OF THE CHRISTINE T. PALMER LIVING TRUST DATED MAY 20, 1997</t>
  </si>
  <si>
    <t>LISA DREWS AS TRUSTEE OF THE LISA DREWS TRUST DTD 9/21/2000</t>
  </si>
  <si>
    <t>SEZONOV, GLORIA &amp; LUCIAN</t>
  </si>
  <si>
    <t>RUSSELL SCOTT ARMSTRONG</t>
  </si>
  <si>
    <t>JULIE J. LITFIN, NOT INDIVIDUALLY, BUT AS TRUSTEE OF THE JULIE J. LITFIN LIVING TRUST DATED 8/30/1999</t>
  </si>
  <si>
    <t>DE SLAIRIERS, DENIS</t>
  </si>
  <si>
    <t>TIMOTHY R KAILER</t>
  </si>
  <si>
    <t>COFFEY, CHERYL &amp; WOJCIECHOWSKI,GENE</t>
  </si>
  <si>
    <t>ADAMS, MICHAEL &amp; VICICONDI, LISA</t>
  </si>
  <si>
    <t>SPINOSO, JOHN C &amp; VIVIAN TRUSTEES</t>
  </si>
  <si>
    <t>RDMA LAND HOLDINGS, LLC</t>
  </si>
  <si>
    <t>REBIRTH LMIITED PARTNERSHIP</t>
  </si>
  <si>
    <t>WESTERN STREET PRPTY LLC</t>
  </si>
  <si>
    <t>TIMOTHY A. COOK AND JULIE M. COOK, AS CO-TRUSTEES OF THE TIMOTHY A. COOK LIVING TRUST DATED AUGUST 6, 2008, AND ANY AMENDMENTS THERETO AS TO AN UNDIVIDED 50% INTEREST</t>
  </si>
  <si>
    <t>DEROO, CHRISTOPHER M &amp; MEGAN</t>
  </si>
  <si>
    <t>PRENDERGAST, SHELLEY A &amp; THOMAS L</t>
  </si>
  <si>
    <t>HOLANDAY, IZABELA &amp; JOHN C</t>
  </si>
  <si>
    <t>DEL RIO, JOSE C &amp; STEPHENS, KYLE M</t>
  </si>
  <si>
    <t>GEPPINGER, JEANNINE K &amp; KENNETH</t>
  </si>
  <si>
    <t>KENNEDY, CAROL A &amp; TIMOTHY J</t>
  </si>
  <si>
    <t>BAUMAN, MICHAEL R &amp; SAMANTA J</t>
  </si>
  <si>
    <t>WHITE, JENNIFER E &amp; TODD A</t>
  </si>
  <si>
    <t>EDWARD B MENNECKE AND KATHERINE A MENNECKE TRUST DATED 2-1-2024</t>
  </si>
  <si>
    <t>PETERSON, CARL M &amp; CARRI N</t>
  </si>
  <si>
    <t>PHILLIPS, LISA M &amp; SHELDON M</t>
  </si>
  <si>
    <t>FICKLE, JOHN W &amp; SUZANNE D</t>
  </si>
  <si>
    <t>ROWE, DIANA &amp; ROGER W</t>
  </si>
  <si>
    <t>HASLETT, THOMAS</t>
  </si>
  <si>
    <t>YODER, CARLETON WESLEY/KATHLEEN M</t>
  </si>
  <si>
    <t>ROSARIA WARREN</t>
  </si>
  <si>
    <t>GRAND FUTURE INVESTS LLC</t>
  </si>
  <si>
    <t>TUMA, CHAS A</t>
  </si>
  <si>
    <t>CAHILL,CATHERINE E &amp; CRNICH,MICHAEL</t>
  </si>
  <si>
    <t>LINDGREN, BIRGIT &amp; CLAYTON</t>
  </si>
  <si>
    <t>LOGAN, JOSEPH S</t>
  </si>
  <si>
    <t>HORVATH, SCOTT &amp; JOBES, LISA</t>
  </si>
  <si>
    <t>WOOD, AMANDA &amp; KYLE</t>
  </si>
  <si>
    <t>ROSE, MICHELLE &amp; THOMAS</t>
  </si>
  <si>
    <t>CHICAGO TITLE LAND TRUST COMPANY, AN ILLINOIS CORPORATION, D/B/A THE LAND TRUST COMPANY, AS TRUSTEE UNDER THE PROVISIONS OF A CERTAIN TRUST AGREEMENT DATED JANUARY 20, 2026 AND KNOWN AS TRUST NUMBER 900235</t>
  </si>
  <si>
    <t>WONSER, BARBARA J LIV TRUST</t>
  </si>
  <si>
    <t>BOGDAN, SHANNON M/RILEY, MORGAN A</t>
  </si>
  <si>
    <t>DOMINIC STEIER</t>
  </si>
  <si>
    <t>ELBEL, JEFFREY P</t>
  </si>
  <si>
    <t>BURDA, ALEXANDRA, DUDAK, MATTHEW J</t>
  </si>
  <si>
    <t>COOK, ABBY &amp; DEMAY, ERIC</t>
  </si>
  <si>
    <t>MC CULLOUGH, KATHLEEN S TRUSTEE</t>
  </si>
  <si>
    <t>NORRIS, LINDA</t>
  </si>
  <si>
    <t>JOSEPH MAYFIELD</t>
  </si>
  <si>
    <t>SCHARDT, JAMES &amp; YOUNGLOVE, JODI</t>
  </si>
  <si>
    <t>NIELSON, ALYSSA AKA ALYSSA C</t>
  </si>
  <si>
    <t>MARY S MCNEILY NOT INDIVIDUALLY BUT AS TRUSTEE OF THE MARY S. MCNEILY TRUST DATED SEPTEMBER 26, 2003</t>
  </si>
  <si>
    <t>MARSICEK, CHAS &amp; FRANCES</t>
  </si>
  <si>
    <t>KELNE, NICHOLAS/WHITNEY, LISA A</t>
  </si>
  <si>
    <t>KAMINSKI, PIOTR P &amp; REYNOSO, MARIA</t>
  </si>
  <si>
    <t>MAYER, BRIAN</t>
  </si>
  <si>
    <t>GILLIES, KATIE A/STEINHAUER, J C</t>
  </si>
  <si>
    <t>SAM MARTUCCI</t>
  </si>
  <si>
    <t>ZENTNER, ANNE &amp; RANDAL</t>
  </si>
  <si>
    <t>CACIOPPO, ROBERTA &amp; JOHN CARUSO</t>
  </si>
  <si>
    <t>BRANDON SCHERRY</t>
  </si>
  <si>
    <t>BENYOUSSEF, ABDEL M/KROCULICK, T</t>
  </si>
  <si>
    <t>BEATY, NEIL &amp; ELIZABETH</t>
  </si>
  <si>
    <t>SCHLUETER, CHRIS A</t>
  </si>
  <si>
    <t>LANZARA, ANTHONY J &amp; ELIZABETH A</t>
  </si>
  <si>
    <t>DANIEL C. ELLIOTT</t>
  </si>
  <si>
    <t>VERBERKE, AMY J</t>
  </si>
  <si>
    <t>MCALLISTER, DOUGLASS S &amp; VICTORIA V</t>
  </si>
  <si>
    <t>TONER, ROBT P</t>
  </si>
  <si>
    <t>JENNINGS, DIANA &amp; ROBERT</t>
  </si>
  <si>
    <t>WISNER, BRIAN</t>
  </si>
  <si>
    <t>REILLY, REBECCA</t>
  </si>
  <si>
    <t>PECK, LUCAS J &amp; SAMANTHA P</t>
  </si>
  <si>
    <t>MATTHEW MOORE</t>
  </si>
  <si>
    <t>GILL, MATTHEW C/MICHAELS, HOLLYN M</t>
  </si>
  <si>
    <t>RIORDAN, CORNELIUS F &amp; VICKI J</t>
  </si>
  <si>
    <t>ZAMILI, INC.</t>
  </si>
  <si>
    <t>WANG, XICHENG</t>
  </si>
  <si>
    <t>PURCELL, MARGARET A</t>
  </si>
  <si>
    <t>WHITE, ROBIN</t>
  </si>
  <si>
    <t>SZR WILLOWBRK ANNEX LLC</t>
  </si>
  <si>
    <t>OBRIEN, THOMAS B &amp; WENDY</t>
  </si>
  <si>
    <t>HARRIS, CHRISTOPHER E</t>
  </si>
  <si>
    <t>JATCZAK, DAVID J &amp; JOAN M</t>
  </si>
  <si>
    <t>KEGALY, MARGARET L TR</t>
  </si>
  <si>
    <t>LIHAO CHEN</t>
  </si>
  <si>
    <t>KESWANI, ABDULHAMID</t>
  </si>
  <si>
    <t>SALACH, GERIANNE M &amp; GREGORY S</t>
  </si>
  <si>
    <t>KOMPARE, JANET L/NASH, JAMES JOSEPH</t>
  </si>
  <si>
    <t>GAYLE PAGNANO</t>
  </si>
  <si>
    <t>STANG, DAVID &amp; EILEEN BARTOLOME</t>
  </si>
  <si>
    <t>CHICAGO TITLE LAND TRUST CO TRUSTEE</t>
  </si>
  <si>
    <t>ROBERT W. GUETTER</t>
  </si>
  <si>
    <t>SUSAN M COX</t>
  </si>
  <si>
    <t>DI CIOLLA, MICHAEL</t>
  </si>
  <si>
    <t>ATASSI, AMEAD &amp; MUFIDAH</t>
  </si>
  <si>
    <t>BANNON, ELIZABETH M &amp; JOHN P</t>
  </si>
  <si>
    <t>LGT PA LLC</t>
  </si>
  <si>
    <t>843 BRETON LAKES LLC</t>
  </si>
  <si>
    <t>HARRIS BK HINSDALE TRUST</t>
  </si>
  <si>
    <t>HUANG, BEILI/SHENG, RONGQIN</t>
  </si>
  <si>
    <t>JIHAD ALHARASH</t>
  </si>
  <si>
    <t>WALLENS, EDMUND R</t>
  </si>
  <si>
    <t>SHAMSAI, ROOHU MD</t>
  </si>
  <si>
    <t>PYTEL, FRANK P</t>
  </si>
  <si>
    <t>MEHTA, PRASHANT</t>
  </si>
  <si>
    <t>SYED, AHAD</t>
  </si>
  <si>
    <t>ROG JR, STANLEY L &amp; MARISSA</t>
  </si>
  <si>
    <t>COLLINS, LAWRENCE</t>
  </si>
  <si>
    <t>BARRERA,CIRO A L &amp; MENDOZA,NATALIE</t>
  </si>
  <si>
    <t>TARAK PATEL</t>
  </si>
  <si>
    <t>RYAN LIANG</t>
  </si>
  <si>
    <t>JO-ANN MACAPAGAL LEONGSON</t>
  </si>
  <si>
    <t>PAIK, JAY CL &amp; LINDA E TRUSTEES</t>
  </si>
  <si>
    <t>MASSARO, ELAINE &amp; RUSSELL</t>
  </si>
  <si>
    <t>LEE, HONG &amp; LIANG, SHUANG</t>
  </si>
  <si>
    <t>CHENG, ANGELA &amp; KONIECZNY, JOSHUA</t>
  </si>
  <si>
    <t>MALONE, PATRICIA &amp; T BRIAN</t>
  </si>
  <si>
    <t>MALONE, JOHN T &amp; MARTIN J &amp; MARIA C</t>
  </si>
  <si>
    <t>PANTOLA, SANDRA J TRUSTEE</t>
  </si>
  <si>
    <t>TRAN, KHANH L &amp; NGUYEN Q</t>
  </si>
  <si>
    <t>ROTH, BRADFORD D &amp; MARY</t>
  </si>
  <si>
    <t>SANTARELLI, JANET &amp; MICHAEL</t>
  </si>
  <si>
    <t>SIMON, DEBRA &amp; STEVEN</t>
  </si>
  <si>
    <t>SALEM CONSTR INC</t>
  </si>
  <si>
    <t>TROTTO, ANTHONY J</t>
  </si>
  <si>
    <t>SBR R E INVESTS LLC</t>
  </si>
  <si>
    <t>265 VENTURE PARTNERS, LLC - SERIES IRVING</t>
  </si>
  <si>
    <t>CHAVADIYIL, ROY C/PURATHUR, MARIA V</t>
  </si>
  <si>
    <t>LARSEN, CHRIS D</t>
  </si>
  <si>
    <t>RODRIGUEZ, ANGELIQUE &amp; VICTOR</t>
  </si>
  <si>
    <t>CHELABELLA, INC.</t>
  </si>
  <si>
    <t>LAURA L GARCIA</t>
  </si>
  <si>
    <t>OSTBERG, COLIN R &amp; JENNY L</t>
  </si>
  <si>
    <t>DREW CASTENSON</t>
  </si>
  <si>
    <t>ABDELMALAK, MAGDY/WAHBA, MARIAM M</t>
  </si>
  <si>
    <t>BEZLAY, JENNIFER A</t>
  </si>
  <si>
    <t>DARRICK C. MALONE</t>
  </si>
  <si>
    <t>PANDOLA, FRANK E &amp; LAURA M</t>
  </si>
  <si>
    <t>SWANSON, KIMBERLY &amp; TROY</t>
  </si>
  <si>
    <t>MORMAN, GEOFFREY A &amp; JESSICA E</t>
  </si>
  <si>
    <t>SALINAS, CHRISTENE L &amp; DAVID L</t>
  </si>
  <si>
    <t>RENCHIN, CORY &amp; ELIZABETH M</t>
  </si>
  <si>
    <t>LUEVANO, MANUEL &amp; MARTHA</t>
  </si>
  <si>
    <t>MABUS, ELISA &amp; JOHN</t>
  </si>
  <si>
    <t>JONES, CHRISTOPHER &amp; RACHEL</t>
  </si>
  <si>
    <t>HARRIS, ANDREA S &amp; TIPTON, RAYNARD</t>
  </si>
  <si>
    <t>BARTKEVICIENE, VALDIS</t>
  </si>
  <si>
    <t>KECELI, MURAT &amp; SEVNUR K</t>
  </si>
  <si>
    <t>DINKEL, JOSEPH &amp; STEPHANIE</t>
  </si>
  <si>
    <t>PUNCHES, LINDSAY P &amp; MICHAEL J</t>
  </si>
  <si>
    <t>AFIA AHMED</t>
  </si>
  <si>
    <t>CHICAGO TITLE LAND TRUST TRUSTE</t>
  </si>
  <si>
    <t>CHASE, JOHN J</t>
  </si>
  <si>
    <t>HOCKEMEYER, GREGORY A &amp; KRISTIN E</t>
  </si>
  <si>
    <t>VALLERA, ANGELA &amp; RYAN</t>
  </si>
  <si>
    <t>BOLLINGER, SUSAN</t>
  </si>
  <si>
    <t>LARSEN, CARRIE M &amp; ERIC D</t>
  </si>
  <si>
    <t>IRYNA DOVZHYK</t>
  </si>
  <si>
    <t>DANIEL HAYDEN MEJDRECH</t>
  </si>
  <si>
    <t>CRISTIAN RAUL BARREA</t>
  </si>
  <si>
    <t>KIM, BU Y</t>
  </si>
  <si>
    <t>KIERNICKI, LISA &amp; PERKINS, ANTHONY</t>
  </si>
  <si>
    <t>MATHEW, REENA A &amp; REJI THOMAS</t>
  </si>
  <si>
    <t>ZYGLER, STEVEN</t>
  </si>
  <si>
    <t>CSMA</t>
  </si>
  <si>
    <t>NNAMDI NWANZE</t>
  </si>
  <si>
    <t>BRANA, DAVID &amp; KAREN JOHNSON</t>
  </si>
  <si>
    <t>MARTINO, CAROL &amp; LOUIS</t>
  </si>
  <si>
    <t>KURDI, NASER</t>
  </si>
  <si>
    <t>KIM, YUMI &amp; LANDESMAN, ETHAN</t>
  </si>
  <si>
    <t>LUTHER, CHLOE</t>
  </si>
  <si>
    <t>PAIM-REES, ROSANE S</t>
  </si>
  <si>
    <t>BARAJAS, PRISCILLA &amp; ZIMBRICH, M</t>
  </si>
  <si>
    <t>WILLIAM O &amp; LESLEY A STOCK</t>
  </si>
  <si>
    <t>KADAKIA, GIRISH K</t>
  </si>
  <si>
    <t>ALEKSEY REZVOI</t>
  </si>
  <si>
    <t>KHAMIS, MAGIDA R</t>
  </si>
  <si>
    <t>2632 BERN CRT TRUST A LIVING TRUST</t>
  </si>
  <si>
    <t>HERRES, SHAUN</t>
  </si>
  <si>
    <t>BUCK, ERIN &amp; MARTIN, JEFFREY</t>
  </si>
  <si>
    <t>URGELLO, ANTONIO T &amp; LILIBETH G</t>
  </si>
  <si>
    <t>MARQUEZ, LORENA &amp; VINH, HUNG</t>
  </si>
  <si>
    <t>KHARAT, MANDAR &amp; SUMEDHA M</t>
  </si>
  <si>
    <t>HANNON, SHAUNA M/MICIUNAS, DANIEL R</t>
  </si>
  <si>
    <t>COKINIS, CAROL &amp; LYNN, MICHAEL J</t>
  </si>
  <si>
    <t>SCHEFFER, JULIE &amp; TODD</t>
  </si>
  <si>
    <t>HUSSAIN, MOHAMMED F</t>
  </si>
  <si>
    <t>FREDETTE, JEREMY M &amp; SHELBIE</t>
  </si>
  <si>
    <t>THOMAS, JASON C &amp; TAMBRA L</t>
  </si>
  <si>
    <t>COLELLA, KEVIN M</t>
  </si>
  <si>
    <t>SRINIVAS S ANMANLU</t>
  </si>
  <si>
    <t>KEHOE, ANDREW</t>
  </si>
  <si>
    <t>KINSELLA, BECKY &amp; JOHN</t>
  </si>
  <si>
    <t>EMAD KHELLA</t>
  </si>
  <si>
    <t>GUO, HUI &amp; WANG, YONG</t>
  </si>
  <si>
    <t>MUTHALALY, GEO G &amp; MARIANNA</t>
  </si>
  <si>
    <t>VINCENT, BRIAN &amp; HILARY</t>
  </si>
  <si>
    <t>FRANCO J. CECCHINI</t>
  </si>
  <si>
    <t>AMBROMAITIS, MICHAEL</t>
  </si>
  <si>
    <t>PHILIP, VARUGHESE /VARGHESE, M</t>
  </si>
  <si>
    <t>HAMBY, MOLLY &amp; LOWN, JORDAN</t>
  </si>
  <si>
    <t>SALDANA, DELFIN ET AL</t>
  </si>
  <si>
    <t>JUAN AND ANASTACIO GONZALEZ</t>
  </si>
  <si>
    <t>AMY THATCHER</t>
  </si>
  <si>
    <t>JAMBROSEK, GUY O &amp; SARAH L</t>
  </si>
  <si>
    <t>MURPHY, CHRISTOPHER B &amp; WENDY</t>
  </si>
  <si>
    <t>WELLS, AZTON &amp; COBURN, JENNIFER</t>
  </si>
  <si>
    <t>MILLER, EILEEN &amp; JEFFREY</t>
  </si>
  <si>
    <t>MILOS, KEVIN &amp; SHAWN</t>
  </si>
  <si>
    <t>GARDLEY, RANDON C &amp; TIFFANY M</t>
  </si>
  <si>
    <t>ROSE, WILLIAM J</t>
  </si>
  <si>
    <t>KREZEL, DANA M &amp; MICHAEL</t>
  </si>
  <si>
    <t>AWAD, HANI M &amp; MAGI</t>
  </si>
  <si>
    <t>BARAJAS, MARITZA/ROCHA, CHRISTOPHER</t>
  </si>
  <si>
    <t>KIRBY, WILLIAM &amp; YVETTE</t>
  </si>
  <si>
    <t>CHRISTOPHER LEIDECKER</t>
  </si>
  <si>
    <t>MARTIN GORSKI</t>
  </si>
  <si>
    <t>BUONAMICI, CURT</t>
  </si>
  <si>
    <t>JOYCE, MARY M &amp; PETER J</t>
  </si>
  <si>
    <t>JAMES OPOKA</t>
  </si>
  <si>
    <t>IEREMIA, CHARLY C &amp; REID I</t>
  </si>
  <si>
    <t>IMRISEK, JASON &amp; TAMI</t>
  </si>
  <si>
    <t>GASPAR, JEFFREY A &amp; NICOLE M</t>
  </si>
  <si>
    <t>HOUDA, RUTH ANN &amp; THOMAS R</t>
  </si>
  <si>
    <t>KLEIN, CHRISTOPHER R &amp; JENNIFER S</t>
  </si>
  <si>
    <t>ALLARD, CHRISTINE M &amp; JOHNATHAN W</t>
  </si>
  <si>
    <t>MAMOOTTILE, SANTHOSH T &amp; SUJA S</t>
  </si>
  <si>
    <t>KRISTOF, ANTONIN &amp; MATTA, INGRID</t>
  </si>
  <si>
    <t>MIAO, KELLEY Y-H/CHEN, ALLEN Y</t>
  </si>
  <si>
    <t>CASTILLO, ADOLFO</t>
  </si>
  <si>
    <t>WILLIAM, ANDREA P &amp; SAMUEL S</t>
  </si>
  <si>
    <t>ELLIS, CHRISTINA M &amp; GEOFFREY T</t>
  </si>
  <si>
    <t>BLACK, JENNIFER L &amp; MICHAEL W</t>
  </si>
  <si>
    <t>ZEKIRI, AZBL &amp; SHEFKIE &amp; ZEQIRI, S</t>
  </si>
  <si>
    <t>MICHAEL &amp; APRIL WERNER</t>
  </si>
  <si>
    <t>LODHI, NADEEM &amp; ELIZABETH</t>
  </si>
  <si>
    <t>FULLERTON, AMY &amp; TIMOTHY T</t>
  </si>
  <si>
    <t>SPISAK, LORI M &amp; STEVEN J</t>
  </si>
  <si>
    <t>GORD, MARY CATHERINE</t>
  </si>
  <si>
    <t>WHITMAN, DAVID &amp; ELLEN</t>
  </si>
  <si>
    <t>MAXIMO ZIPPER</t>
  </si>
  <si>
    <t>GURYN, T J, MARTINEZ-GURYN, K B</t>
  </si>
  <si>
    <t>TODNEM, LIBBI L &amp; SCOTT A</t>
  </si>
  <si>
    <t>PATRICK DARIAN</t>
  </si>
  <si>
    <t>HP ILL I LLC</t>
  </si>
  <si>
    <t>HUBBARD, JOE N</t>
  </si>
  <si>
    <t>CHENG, GIN F &amp; WEN FUNG</t>
  </si>
  <si>
    <t>WILSON, GIANNINA</t>
  </si>
  <si>
    <t>GUDONYTE,KRISTINA/JONENAS,REMIGIJUS</t>
  </si>
  <si>
    <t>NIKOLOVA, MILENA/OBRETENOV, O A</t>
  </si>
  <si>
    <t>KEMMERLING, DON</t>
  </si>
  <si>
    <t>GRONSKI, NATALIE RAE &amp; ROBERT W</t>
  </si>
  <si>
    <t>PAULIUS TERESAS</t>
  </si>
  <si>
    <t>MICHAEL KROK</t>
  </si>
  <si>
    <t>ANDERSON, AMY &amp; DAVID</t>
  </si>
  <si>
    <t>KONICEK, JUSTIN T/RUGGIERO, MARIA</t>
  </si>
  <si>
    <t>HEGGIE, ANNETTE PACETTI &amp; THOMAS D</t>
  </si>
  <si>
    <t>CHANDNA, KUNAL</t>
  </si>
  <si>
    <t>VANORNY, STUART &amp; JULIE WITT</t>
  </si>
  <si>
    <t>ERMITAGE, JILL MARIE/MICHAEL LEE</t>
  </si>
  <si>
    <t>ONG, BRIAN T/PINKERTON, JACQUELINE</t>
  </si>
  <si>
    <t>EL-ZABET, AMAL M</t>
  </si>
  <si>
    <t>FRANKS, BRIAN &amp; DANYELLE</t>
  </si>
  <si>
    <t>BACA, NICOLAS</t>
  </si>
  <si>
    <t>FOSTER, CAROL M &amp; ROBERT F</t>
  </si>
  <si>
    <t>JENNIFER ANN BUSH</t>
  </si>
  <si>
    <t>BEHME, JOAN C &amp; TODD J</t>
  </si>
  <si>
    <t>DAVILA MELENDEZ, MELISSA/MELENDEZ,V</t>
  </si>
  <si>
    <t>AMANDA RISZKO</t>
  </si>
  <si>
    <t>LIPINSKI, AMY J &amp; JAMES</t>
  </si>
  <si>
    <t>CHIROS, DEANNA C &amp; JOHN M</t>
  </si>
  <si>
    <t>FERNANDEZ, EDUARDO/STEPHAN, BETH</t>
  </si>
  <si>
    <t>PEBELSKE, SARAH J</t>
  </si>
  <si>
    <t>CHADIEV, ALEKSANDRA &amp; ZORAN</t>
  </si>
  <si>
    <t>GALVAN, JOHN D &amp; KATHLEEN T</t>
  </si>
  <si>
    <t>KUECKER, ANDREW S &amp; MELANIE L</t>
  </si>
  <si>
    <t>CALDWELL, WAYNE D</t>
  </si>
  <si>
    <t>BASILIOUS, MOKHLES &amp; HOZAIEN, MARY</t>
  </si>
  <si>
    <t>GLISSON, DANIEL C &amp; STEPHANIE</t>
  </si>
  <si>
    <t>BRIAN S KULAGA</t>
  </si>
  <si>
    <t>CASTRO, RHIANNON &amp; STEVEN</t>
  </si>
  <si>
    <t>TROTTA, JENNIFER L &amp; PATRICK A</t>
  </si>
  <si>
    <t>WILLOUGHY, JERRY/ZIOLKOWSKI,KATELYN</t>
  </si>
  <si>
    <t>JESSICA CUNNINGHAM</t>
  </si>
  <si>
    <t>ASHIL R. MATHEWS</t>
  </si>
  <si>
    <t>ROSSMAN, JOHN W &amp; KATHLEEN</t>
  </si>
  <si>
    <t>CHRISTOPHER J CHUKAS</t>
  </si>
  <si>
    <t>JAMES STRISKA</t>
  </si>
  <si>
    <t>HAVRILLA, BRIAN/OOSTMAN, JEANINE J</t>
  </si>
  <si>
    <t>GUERRERO, WILFREDO</t>
  </si>
  <si>
    <t>SHAO, RONG &amp; XI, MI</t>
  </si>
  <si>
    <t>ERIC LEE</t>
  </si>
  <si>
    <t>JOHNSON, DELILAH A &amp; LUCAS</t>
  </si>
  <si>
    <t>KAUR, PARMJEET/SINGH, GURMEET</t>
  </si>
  <si>
    <t>KIZIOR, MARY C &amp; LAURA T</t>
  </si>
  <si>
    <t>BARON, JEFFREY &amp; NICOLE</t>
  </si>
  <si>
    <t>RISKUS, JENNIFER L &amp; JUSTINAS G</t>
  </si>
  <si>
    <t>DERIAN ZALDIVAR</t>
  </si>
  <si>
    <t>GEORGE, ALLAN/LOPEZ, WILLIAM</t>
  </si>
  <si>
    <t>JOSEPH LEPSI</t>
  </si>
  <si>
    <t>ORTIZ, SAMUEL V &amp; TERESA S TRUSTEES</t>
  </si>
  <si>
    <t>MENDEZ, JOSE A MARCOS</t>
  </si>
  <si>
    <t>SCHUSTER, ANDREW A</t>
  </si>
  <si>
    <t>DAVID G. BEGITSCHKE</t>
  </si>
  <si>
    <t>LUSTYK, RYAN</t>
  </si>
  <si>
    <t>TORRES, STACY L</t>
  </si>
  <si>
    <t>FULTON, JULIE &amp; ROBERT</t>
  </si>
  <si>
    <t>NEMCHAUSKY, C A &amp; TUMMALA, PRANEEL</t>
  </si>
  <si>
    <t>HACKELBERG, HOLLY</t>
  </si>
  <si>
    <t>VASILIOS SAVOPOULOS</t>
  </si>
  <si>
    <t>BLANDA, ANTHONY E/TERRY, ROSANNE</t>
  </si>
  <si>
    <t>JENSEN W. SCHAMBACH</t>
  </si>
  <si>
    <t>KAPSA, GLORIA &amp; THOMAS F</t>
  </si>
  <si>
    <t>BRIGMAN, LINDA &amp; SHAWN</t>
  </si>
  <si>
    <t>AHMED, MOHAMED A. &amp; NIGHAT</t>
  </si>
  <si>
    <t>STARKENBURG, ERIKA PATRICIA &amp; LOGAN</t>
  </si>
  <si>
    <t>NATL RESIDENTIAL NOMINEE SERVICES</t>
  </si>
  <si>
    <t>WERICH, RAYMOND &amp; TERRY</t>
  </si>
  <si>
    <t>DILKOVSKA, ILIANA &amp; BRANIMIR</t>
  </si>
  <si>
    <t>RIVERA JR, STEPHEN &amp; ELLEN M</t>
  </si>
  <si>
    <t>RAY DAWN AS TRUSTEE OF THE RAY DAWN 2024 TRUST DATED 11/19/24</t>
  </si>
  <si>
    <t>BRIAN SASS AND REBECCA SASS</t>
  </si>
  <si>
    <t>FRANCISCO G. RIOS</t>
  </si>
  <si>
    <t>BAHENA, JOSE L RAMOS</t>
  </si>
  <si>
    <t>SLADE-SMITH, MEGHAN M</t>
  </si>
  <si>
    <t>GAMBLE, KATHY &amp; MARC</t>
  </si>
  <si>
    <t>BAJZEK, M &amp; NATALIJA AKA EMORY, N</t>
  </si>
  <si>
    <t>THOMPSON, ANNA &amp; KYLE</t>
  </si>
  <si>
    <t>BAGGOT, MICAHEL &amp; KATHLEEN</t>
  </si>
  <si>
    <t>MOORE, JACOB J &amp; MICHELE N</t>
  </si>
  <si>
    <t>ROBBINS, MARY</t>
  </si>
  <si>
    <t>HANRAHAN, JEANNE &amp; MARC</t>
  </si>
  <si>
    <t>LENOS, JENNIFER D &amp; ZACHARY J</t>
  </si>
  <si>
    <t>PINEDA, OLGA &amp; RODOLFO</t>
  </si>
  <si>
    <t>CHERNIVSKY, BENJAMIN M</t>
  </si>
  <si>
    <t>SANDACZ, JOHN B &amp; KATHLEEN</t>
  </si>
  <si>
    <t>SFR ACQUISITIONS 1 LLC</t>
  </si>
  <si>
    <t>REBECCA LYNN MORGAN</t>
  </si>
  <si>
    <t>PERZYNA, DANIEL G/SCHUETT, SAMANTHA</t>
  </si>
  <si>
    <t>SCHMITH, JEREMY</t>
  </si>
  <si>
    <t>SCHEIER, THOMAS H/WELSH, RENEE M</t>
  </si>
  <si>
    <t>FELMLY, DANA M</t>
  </si>
  <si>
    <t>AHMED, NAZNEEN F/FARAH, TILATH</t>
  </si>
  <si>
    <t>KING, DEBORAH J &amp; JOHN D</t>
  </si>
  <si>
    <t>GUSTAFSON, NICHOLAS J/VICTORIA L</t>
  </si>
  <si>
    <t>DILLON, SARAH &amp; RIEWER, MATTHEW</t>
  </si>
  <si>
    <t>SCHRIEBER, MARISA J/TOMICH, KEVIN P</t>
  </si>
  <si>
    <t>BHARADWAJ, SANDEEP &amp; VASUDE, DIVYA</t>
  </si>
  <si>
    <t>KOCH FAMILY TRUST DATED FEBRUARY 25, 2009</t>
  </si>
  <si>
    <t>BILALUDDIN,MOHAMMED/JAWEED,KHAJA Z</t>
  </si>
  <si>
    <t>ROST, MICHAEL</t>
  </si>
  <si>
    <t>JEREMY G. FRIDAY</t>
  </si>
  <si>
    <t>KACZKOWSKI JR, D J/MARAMBA, D A</t>
  </si>
  <si>
    <t>NICHOLAS &amp; AMY NICOLE RAJSKY</t>
  </si>
  <si>
    <t>SKOCZ, RICHARD C &amp; THERESE A</t>
  </si>
  <si>
    <t>LOPEZ, ROBERT</t>
  </si>
  <si>
    <t>BRENNAN, JOHN B &amp; PAULA M</t>
  </si>
  <si>
    <t>HUSPEN, BRIAN</t>
  </si>
  <si>
    <t>TERRY L WETHINGTON</t>
  </si>
  <si>
    <t>EVITT, ALEXANDER R/KRAGEL, SHANNON</t>
  </si>
  <si>
    <t>CANAMEDI, KIRAN G &amp; TEJASHREE</t>
  </si>
  <si>
    <t>COOK, ALBERT/KACMARCIK, JOYCE</t>
  </si>
  <si>
    <t>SIDDIQUI, MASOUDUL &amp; ETAL</t>
  </si>
  <si>
    <t>MARTINO, ANTOINETTE &amp; FRANK</t>
  </si>
  <si>
    <t>JESSE O'CONNOR</t>
  </si>
  <si>
    <t>MATTHEW SINNOT</t>
  </si>
  <si>
    <t>LEVIN, ALBERT C</t>
  </si>
  <si>
    <t>INGRAM, DEBRA J &amp; G STEVEN MURDOCK</t>
  </si>
  <si>
    <t>MANDOLIA, RISHU G</t>
  </si>
  <si>
    <t>DYCHITAN, CHRISTIAN E &amp; MARIE T</t>
  </si>
  <si>
    <t>MADDEN, ANA C &amp; DAVID M</t>
  </si>
  <si>
    <t>BEVERLY SUE ANDRE</t>
  </si>
  <si>
    <t>JOE N. HUBBARD</t>
  </si>
  <si>
    <t>FUGATE, JOSEPH &amp; PATRICIA</t>
  </si>
  <si>
    <t>MC KENDREE, JENNIFER &amp; RAYMOND</t>
  </si>
  <si>
    <t>BRINKOETTER SR, NATHAN &amp; ANNE</t>
  </si>
  <si>
    <t>NEGA, ASAMI O &amp; MICHAEL J</t>
  </si>
  <si>
    <t>FOX, TARA</t>
  </si>
  <si>
    <t>CLAYTON MATHILE</t>
  </si>
  <si>
    <t>KARAFIAT, ALIX M &amp; MATTHEW J</t>
  </si>
  <si>
    <t>TESTOLIN JR, JOSEPH J/ZAIDEL,AMANDA</t>
  </si>
  <si>
    <t>ELLIS, CHRISTINA/GEOFFREY TRUSTEES</t>
  </si>
  <si>
    <t>DIANE E. WALES</t>
  </si>
  <si>
    <t>AMIEL LOPEZ</t>
  </si>
  <si>
    <t>PASHOV, MARIA &amp; VALERY</t>
  </si>
  <si>
    <t>LABIB, ESHAK/FIFO &amp; SARAFIM, ABDO</t>
  </si>
  <si>
    <t>DANIEL, GEORGETTE G &amp; SAMI C</t>
  </si>
  <si>
    <t>BURBA, BRETT M &amp; MIA R LIEBMANN-</t>
  </si>
  <si>
    <t>DE SCHRYVER, LORI</t>
  </si>
  <si>
    <t>HARLAMPI BOZHINOV</t>
  </si>
  <si>
    <t>CARPENTER, JEFFREY S &amp; NANCY</t>
  </si>
  <si>
    <t>DSR &amp; MSR PRPTIES LLC</t>
  </si>
  <si>
    <t>HUANG, CHING YU &amp; TSANG, HO-CHUEN</t>
  </si>
  <si>
    <t>MARZULLO, GINA</t>
  </si>
  <si>
    <t>RAMOS, ANDREW &amp; KATLYN BECVAR</t>
  </si>
  <si>
    <t>GONZALEZ, JORGE &amp; KIM</t>
  </si>
  <si>
    <t>JOSEPH BASHA ZEKRI BOTROS</t>
  </si>
  <si>
    <t>HRYCYK, LEONA &amp; PETER</t>
  </si>
  <si>
    <t>ANDA, KEVIN &amp; PERRI, DANIELLE</t>
  </si>
  <si>
    <t>BOGDANOVIC, DARKO &amp; NATASA JANIC</t>
  </si>
  <si>
    <t>BROWN, MICHAEL D &amp; MURIEL, MYEL M</t>
  </si>
  <si>
    <t>WLEKLINSKI, RAYMOND &amp; MANAMI</t>
  </si>
  <si>
    <t>KATHLEEN HERTZ</t>
  </si>
  <si>
    <t>ABEY KURUVILLA PETER</t>
  </si>
  <si>
    <t>BRUSOKAS, RIMAS &amp; BRUSOKIENE, EDITA</t>
  </si>
  <si>
    <t>PRESS, JOSHUA D &amp; MELISSA A</t>
  </si>
  <si>
    <t>DANIAL, MAGED S/MEKHAEIL, MARIN K</t>
  </si>
  <si>
    <t>BARREA, ADELA &amp; RAUL</t>
  </si>
  <si>
    <t>CISERNOS, KATIA D &amp; DELGADO, VICTOR</t>
  </si>
  <si>
    <t>COHN, JEFFREY &amp; KATHLEEN</t>
  </si>
  <si>
    <t>RONALD SCHULTZ</t>
  </si>
  <si>
    <t>HINTON, ARIEL &amp; SERNEK, JAMES</t>
  </si>
  <si>
    <t>FUGER, MARCIN &amp; SARAH</t>
  </si>
  <si>
    <t>LODE, KYLE</t>
  </si>
  <si>
    <t>WINGIER, CHRISTINA &amp; DAVID A</t>
  </si>
  <si>
    <t>SALVADOR, NIKKI JOHN &amp; VIVIAN</t>
  </si>
  <si>
    <t>MCGREAL, TIMOTHY M</t>
  </si>
  <si>
    <t>AUGUSTIN, LYNETTE N</t>
  </si>
  <si>
    <t>MILADINOSKI, ILO &amp; NADICA</t>
  </si>
  <si>
    <t>SHANTIKUMAR PATEL</t>
  </si>
  <si>
    <t>DAISY ABARCA</t>
  </si>
  <si>
    <t>CONTRERAS, STEPHANIE/HERNANDEZ, M E</t>
  </si>
  <si>
    <t>PETKEVICIENE, DAIVA/PETKEVICIUS, D</t>
  </si>
  <si>
    <t>TARYOVA VALLE, MICHAELA &amp; WILLIAM J</t>
  </si>
  <si>
    <t>BECKER, SAMANTHA/KLECYNGIER, JOHN</t>
  </si>
  <si>
    <t>GEORGE KYERE</t>
  </si>
  <si>
    <t>PAKULIS, ANDRIEJUS &amp; ILONA</t>
  </si>
  <si>
    <t>NEGRETE, JOSE</t>
  </si>
  <si>
    <t>MARSTELLER, DOUGLAS &amp; JULIE</t>
  </si>
  <si>
    <t>SARAH LANIGAN</t>
  </si>
  <si>
    <t>GUTIERREZ, QUANI &amp; LAUER, ROBERT</t>
  </si>
  <si>
    <t>VITOLIENE, INGA &amp; VITOLIS, RONALDAS</t>
  </si>
  <si>
    <t>JOSEPH A. DONES</t>
  </si>
  <si>
    <t>RUTA SIMANONYTE</t>
  </si>
  <si>
    <t>RODRIGO OROZCO GONZALEZ</t>
  </si>
  <si>
    <t>PATINO, FRANK E &amp; MARGARET M</t>
  </si>
  <si>
    <t>JIMENEZ, CELIA &amp; MIGUEL A</t>
  </si>
  <si>
    <t>HERNANDEZ, GABRIELA/MOEDRAN, B</t>
  </si>
  <si>
    <t>RONALD G. SPENGLER AND KATHLEEN K. SPENGLER AS CO-TRUSTEES OF THE RONALD G. SPENGLER AND KATHLEEN K. SPENGLER LIVING TRUST DATED SEPTEMBER 14, 2021</t>
  </si>
  <si>
    <t>CURTIS GANTZ</t>
  </si>
  <si>
    <t>CARLSON, CHRISTOPHER</t>
  </si>
  <si>
    <t>PETRAITIS, ANTHONY &amp; TORRES, J</t>
  </si>
  <si>
    <t>ZITKERIVIENE, JANE &amp; RIMANTAS</t>
  </si>
  <si>
    <t>MORGAN WACHOWSKI</t>
  </si>
  <si>
    <t>EXTRAORDINARY RENTALS LLC</t>
  </si>
  <si>
    <t>ROBERTA FAGAN</t>
  </si>
  <si>
    <t>MAGGITT-UNDERWOOD, KATHERINE</t>
  </si>
  <si>
    <t>GAURYLIUS, ELIZA &amp; RITIAS</t>
  </si>
  <si>
    <t>LIU, CIPING</t>
  </si>
  <si>
    <t>PASCAL, SERGIU &amp; MIHAILA, NADEJDA</t>
  </si>
  <si>
    <t>OHK, JOHN &amp; JOOHEE K</t>
  </si>
  <si>
    <t>EJUPI, ASTRIT</t>
  </si>
  <si>
    <t>NIGITO, MARY E</t>
  </si>
  <si>
    <t>CARLOS CAMACHO, SR.</t>
  </si>
  <si>
    <t>ARMSTRONG, MARY M</t>
  </si>
  <si>
    <t>SZYMANSKI, JOSHUA R &amp; MICHELLE L</t>
  </si>
  <si>
    <t>VALENTINE, DIANE P</t>
  </si>
  <si>
    <t>SOHINDERJIT SINGH</t>
  </si>
  <si>
    <t>DEMAS, JASON F &amp; JESSICA L</t>
  </si>
  <si>
    <t>MOLLER, DYLAN</t>
  </si>
  <si>
    <t>YOUSSEF, MERVAT YACOUB</t>
  </si>
  <si>
    <t>IH2 PRPTY ILL LP</t>
  </si>
  <si>
    <t>KERNER, ELISABETH S</t>
  </si>
  <si>
    <t>D AMORE, MELISSA &amp; ROLF OTTEN</t>
  </si>
  <si>
    <t>JOBIN ELAPUMKAL</t>
  </si>
  <si>
    <t>FICK, ADAM G &amp; MAYRA</t>
  </si>
  <si>
    <t>MOUSA, SAMIA/SOLIMAN, IBRAHIM</t>
  </si>
  <si>
    <t>NOIA, BETH A &amp; DOMINIC E</t>
  </si>
  <si>
    <t>TYLER KASCHNER</t>
  </si>
  <si>
    <t>PATRICK VATH</t>
  </si>
  <si>
    <t>SIMANSKYTE, SKIRMANTE</t>
  </si>
  <si>
    <t>ROBERT HUERTA JR.</t>
  </si>
  <si>
    <t>LEWANDOWSKI, THOMAS A &amp; C L PETZKE</t>
  </si>
  <si>
    <t>KONSTANOPOULOS, VASILIOS</t>
  </si>
  <si>
    <t>DAVID W &amp; ROSE DESCHRYVER</t>
  </si>
  <si>
    <t>STRUMILA, GUOSTE &amp; KAROLIS</t>
  </si>
  <si>
    <t>CUPIAL, AGNIESZKA &amp; DAWID</t>
  </si>
  <si>
    <t>DIANA, SANDRA M</t>
  </si>
  <si>
    <t>BARKER, ROBERT J &amp; SANDRA L</t>
  </si>
  <si>
    <t>PALMER, BARRY R &amp; LORI L</t>
  </si>
  <si>
    <t>MAMPRISIO, DEAN R</t>
  </si>
  <si>
    <t>HOOS, KATHRYN LYNN</t>
  </si>
  <si>
    <t>ELIZABETH A. CONSTANCE, TRUSTEE OF THE ELIZABETH A. CONSTANCE REVOCABLE TRUST DATED APRIL 9, 2020, AND ANY AMENDMENT THERETO</t>
  </si>
  <si>
    <t>RICHARD F. HAYMAN AND JEAN HAYMAN, TRUSTEES OF THE HAYMAN FAMILY TRUST DATED APRIL 25, 2014, AND ANY AMENDMENTS THERETO</t>
  </si>
  <si>
    <t>JAMES E LILLENBERG AND NANCY J HAACK LILLENBERG, TRUSTEES OF THE JAMES E. LILLENBERG LIFETIME TRUST DATED JANUARY 12, 2008 AND ANY AMENDMENTS THERETO</t>
  </si>
  <si>
    <t>KAREN BARRON</t>
  </si>
  <si>
    <t>LINDA &amp; ALBERT RUHLING</t>
  </si>
  <si>
    <t>LISA GONZALEZ</t>
  </si>
  <si>
    <t>BARBARA GOFF</t>
  </si>
  <si>
    <t>DANIEL &amp; SANDRA BRETZ</t>
  </si>
  <si>
    <t>RICHARD A KOVACH</t>
  </si>
  <si>
    <t>EDWARD J &amp; KATHLEEN F SCHODROF</t>
  </si>
  <si>
    <t>LORRAINE J. ORSETTI AND MARK J. JUDD, TRUSTEES OF THE LORRAINE J. ORSETTI LIVING TRUST DATED MAY 25, 2016, AND ANY AMENDMENTS THERETO</t>
  </si>
  <si>
    <t>JANE A WHEET TRUSTEE OF THE JANE A WHEET LIVING TRUST DATED DECEMBER 21, 2022</t>
  </si>
  <si>
    <t>CHICAGO TITLE LND TRUST</t>
  </si>
  <si>
    <t>L. JAY TIEDE AND CHERYL TIEDE, AS CO-TRUSTEES OF THE L. JAY TIEDE AND CHERYL TIEDE TRUST DATED MARCH 1, 2005</t>
  </si>
  <si>
    <t>ROBERT C. KRAUS</t>
  </si>
  <si>
    <t>PRITI CHANDE</t>
  </si>
  <si>
    <t>SARA RENEE BAKER</t>
  </si>
  <si>
    <t>MARTIN HERNANDEZ</t>
  </si>
  <si>
    <t>TRUE</t>
  </si>
  <si>
    <t>Listing link</t>
  </si>
  <si>
    <t>Listing price $</t>
  </si>
  <si>
    <t>Check for sale (Zillow)</t>
  </si>
  <si>
    <t>County sales record</t>
  </si>
  <si>
    <t>Flags</t>
  </si>
  <si>
    <t>building footprint present; vacant lot owned by the owner of an adjoining improved parcel (likely side yard)</t>
  </si>
  <si>
    <t>vacant lot owned by the owner of an adjoining improved parcel (likely side yard)</t>
  </si>
  <si>
    <t>review: house footprint crosses a lot line (possible duplex)</t>
  </si>
  <si>
    <t>Latitude</t>
  </si>
  <si>
    <t>Longitude</t>
  </si>
  <si>
    <t>Map link</t>
  </si>
  <si>
    <t>TOTAL</t>
  </si>
  <si>
    <t>Vacant land – parcels</t>
  </si>
  <si>
    <t>Vacant land – acres</t>
  </si>
  <si>
    <t>Single-family home – parcels</t>
  </si>
  <si>
    <t>Single-family home – acres</t>
  </si>
  <si>
    <t>Multi-family (apartments) – parcels</t>
  </si>
  <si>
    <t>Multi-family (townhouse/attached) – parcels</t>
  </si>
  <si>
    <t>Commercial/mixed-use allowing apartments – parcels</t>
  </si>
  <si>
    <t>Listed address</t>
  </si>
  <si>
    <t>30W300 North Ave</t>
  </si>
  <si>
    <t>27W607 Devon Ave</t>
  </si>
  <si>
    <t>1830 W Lake St</t>
  </si>
  <si>
    <t>1651 W Irving Park Rd</t>
  </si>
  <si>
    <t>2630 W Lake St</t>
  </si>
  <si>
    <t>NEC Boughton Rd &amp; Woodward Ave Lot 2</t>
  </si>
  <si>
    <t>115 E Green St</t>
  </si>
  <si>
    <t>1035 S York Rd</t>
  </si>
  <si>
    <t>175 May St</t>
  </si>
  <si>
    <t>17W174 Woodland Ave</t>
  </si>
  <si>
    <t>301 W Grand Lake Blvd</t>
  </si>
  <si>
    <t>27W046 North Ave</t>
  </si>
  <si>
    <t>29W080 Bolles Ave</t>
  </si>
  <si>
    <t>311 E Loop Rd</t>
  </si>
  <si>
    <t>30 Gary Ave</t>
  </si>
  <si>
    <t>117 E Elm St</t>
  </si>
  <si>
    <t>26W181 Grand Ave</t>
  </si>
  <si>
    <t>1S728 Shaffner Rd</t>
  </si>
  <si>
    <t>1601 W Wiesbrook Rd</t>
  </si>
  <si>
    <t>1860 W Wiesbrook Rd</t>
  </si>
  <si>
    <t>3300 Finley Rd</t>
  </si>
  <si>
    <t>3131 Finley Rd</t>
  </si>
  <si>
    <t>4816 Francisco Ave</t>
  </si>
  <si>
    <t>115 60th St</t>
  </si>
  <si>
    <t>730 Plainfield Rd</t>
  </si>
  <si>
    <t>4342 Washington St</t>
  </si>
  <si>
    <t>230 Grant St</t>
  </si>
  <si>
    <t>743 W North Ave</t>
  </si>
  <si>
    <t>204 E Hill St</t>
  </si>
  <si>
    <t>201 N Biermann Ave</t>
  </si>
  <si>
    <t>1800 W Diehl Rd</t>
  </si>
  <si>
    <t>1975 Glacier Park Ave</t>
  </si>
  <si>
    <t>1328 Illinois Rte 59</t>
  </si>
  <si>
    <t>24W554 Burlington Ave</t>
  </si>
  <si>
    <t>4036 Ashwood Park Ct</t>
  </si>
  <si>
    <t>4034 Ashwood Park Ct</t>
  </si>
  <si>
    <t>4503 Dumoulin Ave</t>
  </si>
  <si>
    <t>2820 Burlington Ave</t>
  </si>
  <si>
    <t>1632 Ogden Ave</t>
  </si>
  <si>
    <t>118 S Gary Ave</t>
  </si>
  <si>
    <t>321 Edgewater Dr</t>
  </si>
  <si>
    <t>127 W Lake St</t>
  </si>
  <si>
    <t>6120 S Cass Ave</t>
  </si>
  <si>
    <t>3918 N Cass Ave</t>
  </si>
  <si>
    <t>3920 N Cass Ave</t>
  </si>
  <si>
    <t>205 S Lincoln St</t>
  </si>
  <si>
    <t>224 E 55th St</t>
  </si>
  <si>
    <t>504 Ryan Ct</t>
  </si>
  <si>
    <t>5725 S Wilmette Ave</t>
  </si>
  <si>
    <t>27W130 St Charles Rd</t>
  </si>
  <si>
    <t>909 N Addison Ave</t>
  </si>
  <si>
    <t>389 S West Ave</t>
  </si>
  <si>
    <t>113 N Oak St</t>
  </si>
  <si>
    <t>261 Melrose Ave</t>
  </si>
  <si>
    <t>197 N Bonnie Brae Ave</t>
  </si>
  <si>
    <t>313 N Larch Ave</t>
  </si>
  <si>
    <t>535 N York St</t>
  </si>
  <si>
    <t>127 E 13th Pl</t>
  </si>
  <si>
    <t>471 S Garfield St</t>
  </si>
  <si>
    <t>935 E St Charles Rd</t>
  </si>
  <si>
    <t>1007 Highmoor Rd</t>
  </si>
  <si>
    <t>828 E 14th St</t>
  </si>
  <si>
    <t>325 Lambert Rd</t>
  </si>
  <si>
    <t>240 Hill Ave</t>
  </si>
  <si>
    <t>424 Forest Ave</t>
  </si>
  <si>
    <t>22 Poss St</t>
  </si>
  <si>
    <t>22W350 Butterfield Rd</t>
  </si>
  <si>
    <t>24W459 Lawrence Ave</t>
  </si>
  <si>
    <t>460 W Irving Park Rd</t>
  </si>
  <si>
    <t>6N632 Gary Ave</t>
  </si>
  <si>
    <t>1675 Seward St</t>
  </si>
  <si>
    <t>1630 Myrtle Park St</t>
  </si>
  <si>
    <t>1333 S Ridge Rd</t>
  </si>
  <si>
    <t>7113 Clarendon Hills Rd</t>
  </si>
  <si>
    <t>Town</t>
  </si>
  <si>
    <t>Asking price $</t>
  </si>
  <si>
    <t>Acres (listing)</t>
  </si>
  <si>
    <t>Source</t>
  </si>
  <si>
    <t>https://www.cbre.com/properties/properties-for-lease/land/details/US-SMPL-121627/30w300-north-avenue-west-chicago-il-60185</t>
  </si>
  <si>
    <t>https://www.redfin.com/city/29485/IL/Hanover-Park/land</t>
  </si>
  <si>
    <t>https://www.commercialsearch.com/commercial-property/us/il/hanover-park/1830-west-lake-street/</t>
  </si>
  <si>
    <t>https://www.commercialcafe.com/commercial-property/us/il/hanover-park/1651-west-irving-park-road/</t>
  </si>
  <si>
    <t>https://www.landbrokermls.com/property/822026350/0-34-acres-of-land-for-sale-in-hanover-park-il</t>
  </si>
  <si>
    <t>https://www.commercialsearch.com/commercial-property/us/il/woodridge/nec-boughton-rd-woodward-ave-lot-2-207/</t>
  </si>
  <si>
    <t>https://www.crexi.com/properties/IL/Bensenville/Commercial-Land</t>
  </si>
  <si>
    <t>https://www.coldwellbanker.com/il/bensenville/175-may-st/lid-P00800000HD3ncQmeY7wopbdcm2eCAnbjyD8spuG</t>
  </si>
  <si>
    <t>https://www.atproperties.com/12643033/17w174-woodland-avenue-bensenville-illinois-60106-nei</t>
  </si>
  <si>
    <t>https://www.landbrokermls.com/property/999286620/18-acres-of-land-for-sale-in-west-chicago-illinois</t>
  </si>
  <si>
    <t>https://www.showcase.com/27w046-north-ave-west-chicago-il-60185/32618517/</t>
  </si>
  <si>
    <t>https://www.landbrokermls.com/property/337656662/land-for-sale-in-west-chicago-illinois</t>
  </si>
  <si>
    <t>https://www.commercialcafe.com/commercial-property/us/il/wheaton/311-e-loop-rd/</t>
  </si>
  <si>
    <t>https://www.weichert.com/137291053/</t>
  </si>
  <si>
    <t>https://www.weichert.com/137285865/</t>
  </si>
  <si>
    <t>https://www.acrevalue.com/land-for-sale-near-me/26w181-grand-avenue-wheaton-il-60187/587c40e8-d785-4b6d-b9bb-0e97515d6abd/</t>
  </si>
  <si>
    <t>https://www.beycome.com/1S728-Shaffner-Road/MRED12480613</t>
  </si>
  <si>
    <t>https://norfolkdailynews.com/online_features/press_releases/real-estate-listing-agent-in-wheaton-il-highlights-rare-build-ready-forested-lot-near-downtown/article_cf9da82e-51c4-508f-ba9a-8f9865a99a26.html</t>
  </si>
  <si>
    <t>https://www.atproperties.com/12747113/1860-w-wiesbrook-road-wheaton-illinois-60189-nei</t>
  </si>
  <si>
    <t>https://www.commercialcafe.com/commercial-property/us/il/downers-grove/3300-finley-road/</t>
  </si>
  <si>
    <t>https://www.commercialcafe.com/commercial-property/us/il/downers-grove/3131-finley-rd-1/</t>
  </si>
  <si>
    <t>https://www.landbrokermls.com/property/366957885/vacant-land-in-downers-grove</t>
  </si>
  <si>
    <t>https://www.landbrokermls.com/property/817380008/0-82-acres-of-land-for-sale-in-downers-grove-il</t>
  </si>
  <si>
    <t>https://www.landbrokermls.com/property/535987663/vacant-land-in-downers-grove</t>
  </si>
  <si>
    <t>https://www.landbrokermls.com/property/325487939/0-16-acres-of-land-for-sale-in-downers-grove-il</t>
  </si>
  <si>
    <t>https://www.landbrokermls.com/property/818631830/0-19-acres-of-land-for-sale-in-downers-grove-illinois</t>
  </si>
  <si>
    <t>https://www.invillapark.com/DocumentCenter/View/7153/743-W-North-Ave-land-for-sale-06-19</t>
  </si>
  <si>
    <t>https://www.redfin.com/city/19673/IL/Villa-Park/land</t>
  </si>
  <si>
    <t>https://www.commercialcafe.com/commercial-property/us/il/naperville/diehl-road-vacant-land/</t>
  </si>
  <si>
    <t>https://www.commercialcafe.com/commercial-property/us/il/naperville/naperville-industrial-flex-development-opportunity/</t>
  </si>
  <si>
    <t>https://www.crexi.com/properties/IL/Naperville_Park_District/Commercial-Land</t>
  </si>
  <si>
    <t>https://www.houzeo.com/homes/24w554-burlington-ave-naperville-il-60563/hzid_67241404</t>
  </si>
  <si>
    <t>https://www.showcase.com/4036-ashwood-park-ct-naperville-il-60564/40666071/</t>
  </si>
  <si>
    <t>https://www.landbrokermls.com/brokers/123513216</t>
  </si>
  <si>
    <t>https://www.ratemyagent.com/property/1632-ogden-ave-lisle-il-60532-3wyjq</t>
  </si>
  <si>
    <t>https://www.commercialcafe.com/commercial-property/us/il/bloomingdale/land-property-in-bloomingdale-il/</t>
  </si>
  <si>
    <t>https://www.cbre.com/properties/properties-for-lease/land/details/US-SMPL-185930/321-edgewater-drive-bloomingdale-il-60108</t>
  </si>
  <si>
    <t>https://www.crexi.com/properties/2587147/illinois-127-w-lake-st</t>
  </si>
  <si>
    <t>https://www.commercialcafe.com/commercial-property/us/il/westmont/6120-s-cass-avenue/</t>
  </si>
  <si>
    <t>https://www.weichert.com/132161743/</t>
  </si>
  <si>
    <t>https://www.weichert.com/132161744/</t>
  </si>
  <si>
    <t>https://www.landbrokermls.com/property/20165545/0-21-acres-of-land-for-sale-in-westmont-il</t>
  </si>
  <si>
    <t>https://www.coldwellbankerhomes.com/il/westmont/224-e-55th-street-e/pid_72738311/</t>
  </si>
  <si>
    <t>https://www.homefront.com/homes/il/westmont/property/504-ryan-court-29147d57-2146-3053-b1a5-03a2cf5385fe</t>
  </si>
  <si>
    <t>https://www.acrevalue.com/land-for-sale-near-me/5725-s-wilmette-avenue-westmont-il-60559/42d7044b-b77c-4a72-8b2d-12c3edbe424f/</t>
  </si>
  <si>
    <t>https://www.showcase.com/27w130-st.-charles-rd-carol-stream-il-60188/31625386/</t>
  </si>
  <si>
    <t>https://www.homes.com/elmhurst-il/60126/land-for-sale/</t>
  </si>
  <si>
    <t>https://www.atproperties.com/12691562/389-s-west-avenue-elmhurst-illinois-60126-nei</t>
  </si>
  <si>
    <t>https://www.atproperties.com/12688640/113-n-oak-street-elmhurst-illinois-60126-nei</t>
  </si>
  <si>
    <t>https://www.commercialsearch.com/commercial-property/us/il/elmhurst/535-n-york-st/</t>
  </si>
  <si>
    <t>https://www.landsearch.com/properties/127-e-13th-pl-lombard-il-60148/5230292</t>
  </si>
  <si>
    <t>https://www.landbrokermls.com/property/522999011/0-38-acres-of-land-for-sale-in-lombard-il</t>
  </si>
  <si>
    <t>https://www.landbrokermls.com/property/175583911/0-45-acres-of-land-for-sale-in-lombard-il</t>
  </si>
  <si>
    <t>https://www.acrevalue.com/land-for-sale-near-me/828-e-14th-street-lombard-il-60148/29a780c0-04b9-468b-b48b-8382124dc319/</t>
  </si>
  <si>
    <t>https://www.landbrokermls.com/property/59764943/1-52-acres-of-land-for-sale-in-glen-ellyn-illinois</t>
  </si>
  <si>
    <t>https://www.atproperties.com/12686172/240-hill-avenue-glen-ellyn-illinois-60137-nei</t>
  </si>
  <si>
    <t>https://www.showcase.com/424-forest-ave-glen-ellyn-il-60137/32111889/</t>
  </si>
  <si>
    <t>https://www.cbre.com/properties/properties-for-lease/land/details/US-SMPL-206610/22-poss-street-glen-ellyn-il-60137</t>
  </si>
  <si>
    <t>https://www.landbrokermls.com/property-search/il-dupage-county-land-for-sale?p=2</t>
  </si>
  <si>
    <t>https://www.landsearch.com/properties/24w459-lawrence-ave-roselle-il-60172/4842866</t>
  </si>
  <si>
    <t>https://www.crexi.com/properties/IL/Roselle/Land</t>
  </si>
  <si>
    <t>https://www.acrevalue.com/land-for-sale-near-me/1675-seward-street-roselle-il-60172/17811709-ac0f-4c1e-be07-d7d9d131cb2d/</t>
  </si>
  <si>
    <t>https://www.homes.com/roselle-il/60172/land-for-sale/</t>
  </si>
  <si>
    <t>https://www.landbrokermls.com/property/655366373/0-27-acres-of-land-for-sale-in-willowbrook-illinois</t>
  </si>
  <si>
    <t>https://www.neighborhoods.com/il/darien/7113-clarendon-hills-rd/property/7968761</t>
  </si>
  <si>
    <t>Note</t>
  </si>
  <si>
    <t>CBRE land for sale; price on request; listing says B-3 zoning</t>
  </si>
  <si>
    <t>Redfin land listing; date not confirmed</t>
  </si>
  <si>
    <t>CBRE; approved for 80 units; subject to offer</t>
  </si>
  <si>
    <t>vacant land</t>
  </si>
  <si>
    <t>commercial land zoned BP; possibly stale</t>
  </si>
  <si>
    <t>retail pad</t>
  </si>
  <si>
    <t>Crexi commercial land</t>
  </si>
  <si>
    <t>Crexi redevelopment opportunity</t>
  </si>
  <si>
    <t>residential lot 50x149</t>
  </si>
  <si>
    <t>may be closed</t>
  </si>
  <si>
    <t>industrial</t>
  </si>
  <si>
    <t>commercial land</t>
  </si>
  <si>
    <t>residential lot</t>
  </si>
  <si>
    <t>C5 commercial lot</t>
  </si>
  <si>
    <t>two platted lots</t>
  </si>
  <si>
    <t>downtown lot</t>
  </si>
  <si>
    <t>listing from Aug 2025</t>
  </si>
  <si>
    <t>forested lot</t>
  </si>
  <si>
    <t>commercial outlot</t>
  </si>
  <si>
    <t>commercial</t>
  </si>
  <si>
    <t>house not habitable; land value</t>
  </si>
  <si>
    <t>double lot with house</t>
  </si>
  <si>
    <t>teardown lot</t>
  </si>
  <si>
    <t>village TIF land</t>
  </si>
  <si>
    <t>subdividable lot</t>
  </si>
  <si>
    <t>older snapshot</t>
  </si>
  <si>
    <t>B-3; parcels A and B</t>
  </si>
  <si>
    <t>industrial/flex</t>
  </si>
  <si>
    <t>Crexi</t>
  </si>
  <si>
    <t>wooded lot</t>
  </si>
  <si>
    <t>pending</t>
  </si>
  <si>
    <t>cleared lot</t>
  </si>
  <si>
    <t>lot</t>
  </si>
  <si>
    <t>B-3 infill lots</t>
  </si>
  <si>
    <t>infill site</t>
  </si>
  <si>
    <t>C-1; sale or ground lease</t>
  </si>
  <si>
    <t>vacant lot</t>
  </si>
  <si>
    <t>teardown</t>
  </si>
  <si>
    <t>residential parcel</t>
  </si>
  <si>
    <t>I1 zoning</t>
  </si>
  <si>
    <t>C3 lot</t>
  </si>
  <si>
    <t>corner lot</t>
  </si>
  <si>
    <t>house; land value</t>
  </si>
  <si>
    <t>house sold as-is for land</t>
  </si>
  <si>
    <t>bungalow estate sale</t>
  </si>
  <si>
    <t>build-to-suit lot</t>
  </si>
  <si>
    <t>B-4 commercial</t>
  </si>
  <si>
    <t>assemblage with house</t>
  </si>
  <si>
    <t>splittable</t>
  </si>
  <si>
    <t>estate sale; land value</t>
  </si>
  <si>
    <t>downtown; 30+ units possible</t>
  </si>
  <si>
    <t>industrial/outdoor storage</t>
  </si>
  <si>
    <t>R-3 unincorporated</t>
  </si>
  <si>
    <t>R-4 residential land</t>
  </si>
  <si>
    <t>corner parcel</t>
  </si>
  <si>
    <t>three parcels</t>
  </si>
  <si>
    <t>vacant parcel</t>
  </si>
  <si>
    <t>home</t>
  </si>
  <si>
    <t>Matched candidate PINs</t>
  </si>
  <si>
    <t>0101100019, 0101100017</t>
  </si>
  <si>
    <t>Burr Ridge</t>
  </si>
  <si>
    <t>Oak Brook</t>
  </si>
  <si>
    <t>Warrenville</t>
  </si>
  <si>
    <t>District</t>
  </si>
  <si>
    <t>SR-6</t>
  </si>
  <si>
    <t>GENERALBUSINESSDISTRICT</t>
  </si>
  <si>
    <t>GERNRALBUSINESSDISTRICT</t>
  </si>
  <si>
    <t>C6</t>
  </si>
  <si>
    <t>Category</t>
  </si>
  <si>
    <t>Basis</t>
  </si>
  <si>
    <t>Description</t>
  </si>
  <si>
    <t>Suburban Residence (Medium Density Multi-Family)</t>
  </si>
  <si>
    <t>Village Center district (downtown)</t>
  </si>
  <si>
    <t>Multiple-Family Dwelling High Rise District</t>
  </si>
  <si>
    <t>R-5 Planned Residence District</t>
  </si>
  <si>
    <t>R-6 Residential and Congregate Care District</t>
  </si>
  <si>
    <t>Town Center district: retail, office, residential</t>
  </si>
  <si>
    <t>Downtown B-2: residential appropriate for upper-story space</t>
  </si>
  <si>
    <t>Downtown B-2 (misspelled in layer)</t>
  </si>
  <si>
    <t>Planned Residential District</t>
  </si>
  <si>
    <t>Commercial/Multi-Use Planned Development</t>
  </si>
  <si>
    <t>R-5 Residence (attached/townhouse) district</t>
  </si>
  <si>
    <t>Multiple-Family Residence: multiple-family dwellings and townhomes</t>
  </si>
  <si>
    <t>Multi-Family Residential: single-, two-, and multiple-family dwellings</t>
  </si>
  <si>
    <t>(none)</t>
  </si>
  <si>
    <t>Addison</t>
  </si>
  <si>
    <t>Batavia</t>
  </si>
  <si>
    <t>Bolingbrook</t>
  </si>
  <si>
    <t>Chicago</t>
  </si>
  <si>
    <t>Elk Grove</t>
  </si>
  <si>
    <t>Hinsdale</t>
  </si>
  <si>
    <t>Itasca</t>
  </si>
  <si>
    <t>Lemont</t>
  </si>
  <si>
    <t>Oakbrook Terrace</t>
  </si>
  <si>
    <t>Schaumburg</t>
  </si>
  <si>
    <t>St Charles</t>
  </si>
  <si>
    <t>Unincorporated DuPage</t>
  </si>
  <si>
    <t>Wayne</t>
  </si>
  <si>
    <t>Winfield</t>
  </si>
  <si>
    <t>Parcels in county layer</t>
  </si>
  <si>
    <t>Parcels matched to a zoning district</t>
  </si>
  <si>
    <t>Parcels in an apartment-allowing district</t>
  </si>
  <si>
    <t>Zoning source</t>
  </si>
  <si>
    <t>none found</t>
  </si>
  <si>
    <t>https://gis.aurora.il.us/arcgis/rest/services/MyPlace/MyPlace/MapServer/22</t>
  </si>
  <si>
    <t>https://maps.vbartlett.org/server/rest/services/All_Data_Public/FeatureServer/102</t>
  </si>
  <si>
    <t>https://ags.gisconsortium.org/arcgis/rest/services/VBV/AGOL_VBV_Project/MapServer/0</t>
  </si>
  <si>
    <t>https://services6.arcgis.com/nHwZFPzhWRbCrBdy/arcgis/rest/services/Zoning_Boundaries/FeatureServer/16</t>
  </si>
  <si>
    <t>https://services1.arcgis.com/55JaHxBzqQBTWeG7/arcgis/rest/services/Zoning_(Public_View)/FeatureServer/1</t>
  </si>
  <si>
    <t>https://services5.arcgis.com/74bZbbuf05Ctvbzv/arcgis/rest/services/Carol_Stream_Zoning_Districts/FeatureServer/0</t>
  </si>
  <si>
    <t>https://services5.arcgis.com/cnI60UwnKJOhQqOd/arcgis/rest/services/ClarendonHillsInteractiveZoningMap2020/FeatureServer/4</t>
  </si>
  <si>
    <t>https://services2.arcgis.com/ujU8BLaouMWRzTbX/arcgis/rest/services/Darien_Zoning_Map_2022/FeatureServer/8</t>
  </si>
  <si>
    <t>https://parcels.downers.us/arcgis/rest/services/Zoning/MapServer/5</t>
  </si>
  <si>
    <t>https://ags.gisconsortium.org/arcgis/rest/services/CEH/AGOL_CEH_Project/MapServer/0</t>
  </si>
  <si>
    <t>https://ags.gisconsortium.org/arcgis/rest/services/VGE/AGOL_VGE_Project/MapServer/0</t>
  </si>
  <si>
    <t>https://ags.gisconsortium.org/arcgis/rest/services/VGH/AGOL_VGH_Project/MapServer/0</t>
  </si>
  <si>
    <t>https://ags.gisconsortium.org/arcgis/rest/services/VHP/AGOL_VHP_Project/MapServer/0</t>
  </si>
  <si>
    <t>https://vhgis.villageoflisle.org/arcgis/rest/services/Public/ZONING/FeatureServer/0</t>
  </si>
  <si>
    <t>https://services6.arcgis.com/vs0Q5ds549q7lQMm/arcgis/rest/services/Zoning/FeatureServer/0</t>
  </si>
  <si>
    <t>https://portal.naperville.il.us/arcgis/rest/services/GTX/YourPlace/MapServer/21</t>
  </si>
  <si>
    <t>https://utility.arcgis.com/usrsvcs/servers/df29c9991bc848b08589b580aeac9789/rest/services/Oakbrook/GHA_OakBrook_Online/MapServer/11</t>
  </si>
  <si>
    <t>https://ags.gisconsortium.org/arcgis/rest/services/VRO/AGOL_VRO_Project/MapServer/0</t>
  </si>
  <si>
    <t>https://gis.dupageco.org/arcgis/rest/services/Zoning/UnincorporatedZoningData/MapServer/0</t>
  </si>
  <si>
    <t>https://utility.arcgis.com/usrsvcs/servers/c296f22648eb4511bfe2fd9e2557c7b8/rest/services/ENG_Zoning/Zoning_Districts/MapServer/0</t>
  </si>
  <si>
    <t>https://services5.arcgis.com/TkBKgQn8d3sPkMZo/arcgis/rest/services/Base_Data_Public/FeatureServer/1</t>
  </si>
  <si>
    <t>https://services1.arcgis.com/m5a11YBVmO0IIPPX/arcgis/rest/services/2025_WC_Zoning_service/FeatureServer/0</t>
  </si>
  <si>
    <t>https://services5.arcgis.com/XWUAZV69Zk3cPZHa/arcgis/rest/services/Zoning_PublicView/FeatureServer/0</t>
  </si>
  <si>
    <t>https://services2.arcgis.com/YyIQHvpylgCY7DEY/arcgis/rest/services/Zoning/FeatureServer/0</t>
  </si>
  <si>
    <t>https://ags.gisconsortium.org/arcgis/rest/services/VWB/AGOL_VWB_Project/MapServer/0</t>
  </si>
  <si>
    <t>https://services3.arcgis.com/gtOFGDNHdftP2Pps/arcgis/rest/services/CommunityDevelopment/FeatureServer/0</t>
  </si>
  <si>
    <t>https://ags.gisconsortium.org/arcgis/rest/services/VWR/AGOL_VWR_Project/MapServer/2</t>
  </si>
</sst>
</file>

<file path=xl/styles.xml><?xml version="1.0" encoding="utf-8"?>
<styleSheet xmlns="http://schemas.openxmlformats.org/spreadsheetml/2006/main">
  <numFmts count="2">
    <numFmt numFmtId="164" formatCode="#,##0"/>
    <numFmt numFmtId="165" formatCode="yyyy-mm-dd"/>
  </numFmts>
  <fonts count="4">
    <font>
      <sz val="11"/>
      <color theme="1"/>
      <name val="Calibri"/>
      <family val="2"/>
      <scheme val="minor"/>
    </font>
    <font>
      <b/>
      <sz val="11"/>
      <color rgb="FFFFFFFF"/>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1F3A5F"/>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xf numFmtId="164" fontId="0" fillId="0" borderId="0" xfId="0" applyNumberFormat="1"/>
    <xf numFmtId="0" fontId="3" fillId="0" borderId="0" xfId="0" applyFon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2"/>
  <sheetViews>
    <sheetView tabSelected="1" workbookViewId="0">
      <pane ySplit="1" topLeftCell="A2" activePane="bottomLeft" state="frozen"/>
      <selection pane="bottomLeft"/>
    </sheetView>
  </sheetViews>
  <sheetFormatPr defaultRowHeight="15"/>
  <cols>
    <col min="1" max="1" width="48.7109375" customWidth="1"/>
    <col min="2" max="2" width="120.7109375" customWidth="1"/>
  </cols>
  <sheetData>
    <row r="1" spans="1:2">
      <c r="A1" s="1" t="s">
        <v>0</v>
      </c>
      <c r="B1" s="1" t="s">
        <v>28</v>
      </c>
    </row>
    <row r="2" spans="1:2">
      <c r="A2" s="2" t="s">
        <v>1</v>
      </c>
      <c r="B2" s="2" t="s">
        <v>3</v>
      </c>
    </row>
    <row r="3" spans="1:2">
      <c r="A3" s="2" t="s">
        <v>2</v>
      </c>
      <c r="B3" s="2" t="s">
        <v>29</v>
      </c>
    </row>
    <row r="4" spans="1:2">
      <c r="A4" s="2" t="s">
        <v>3</v>
      </c>
      <c r="B4" s="2" t="s">
        <v>3</v>
      </c>
    </row>
    <row r="5" spans="1:2">
      <c r="A5" s="3" t="s">
        <v>4</v>
      </c>
      <c r="B5" s="2" t="s">
        <v>3</v>
      </c>
    </row>
    <row r="6" spans="1:2">
      <c r="A6" s="2" t="s">
        <v>5</v>
      </c>
      <c r="B6" s="2" t="s">
        <v>30</v>
      </c>
    </row>
    <row r="7" spans="1:2">
      <c r="A7" s="2" t="s">
        <v>6</v>
      </c>
      <c r="B7" s="2" t="s">
        <v>31</v>
      </c>
    </row>
    <row r="8" spans="1:2">
      <c r="A8" s="2" t="s">
        <v>7</v>
      </c>
      <c r="B8" s="2" t="s">
        <v>32</v>
      </c>
    </row>
    <row r="9" spans="1:2">
      <c r="A9" s="2" t="s">
        <v>8</v>
      </c>
      <c r="B9" s="2" t="s">
        <v>33</v>
      </c>
    </row>
    <row r="10" spans="1:2">
      <c r="A10" s="2" t="s">
        <v>3</v>
      </c>
      <c r="B10" s="2" t="s">
        <v>3</v>
      </c>
    </row>
    <row r="11" spans="1:2">
      <c r="A11" s="3" t="s">
        <v>9</v>
      </c>
      <c r="B11" s="2" t="s">
        <v>3</v>
      </c>
    </row>
    <row r="12" spans="1:2">
      <c r="A12" s="2" t="s">
        <v>10</v>
      </c>
      <c r="B12" s="2" t="s">
        <v>34</v>
      </c>
    </row>
    <row r="13" spans="1:2">
      <c r="A13" s="2" t="s">
        <v>11</v>
      </c>
      <c r="B13" s="2" t="s">
        <v>35</v>
      </c>
    </row>
    <row r="14" spans="1:2">
      <c r="A14" s="2" t="s">
        <v>12</v>
      </c>
      <c r="B14" s="2" t="s">
        <v>36</v>
      </c>
    </row>
    <row r="15" spans="1:2">
      <c r="A15" s="2" t="s">
        <v>3</v>
      </c>
      <c r="B15" s="2" t="s">
        <v>3</v>
      </c>
    </row>
    <row r="16" spans="1:2">
      <c r="A16" s="3" t="s">
        <v>13</v>
      </c>
      <c r="B16" s="2" t="s">
        <v>3</v>
      </c>
    </row>
    <row r="17" spans="1:2">
      <c r="A17" s="2" t="s">
        <v>14</v>
      </c>
      <c r="B17" s="2" t="s">
        <v>37</v>
      </c>
    </row>
    <row r="18" spans="1:2">
      <c r="A18" s="2" t="s">
        <v>5</v>
      </c>
      <c r="B18" s="2" t="s">
        <v>38</v>
      </c>
    </row>
    <row r="19" spans="1:2">
      <c r="A19" s="2" t="s">
        <v>15</v>
      </c>
      <c r="B19" s="2" t="s">
        <v>39</v>
      </c>
    </row>
    <row r="20" spans="1:2">
      <c r="A20" s="2" t="s">
        <v>16</v>
      </c>
      <c r="B20" s="2" t="s">
        <v>40</v>
      </c>
    </row>
    <row r="21" spans="1:2">
      <c r="A21" s="2" t="s">
        <v>17</v>
      </c>
      <c r="B21" s="2" t="s">
        <v>41</v>
      </c>
    </row>
    <row r="22" spans="1:2">
      <c r="A22" s="2" t="s">
        <v>18</v>
      </c>
      <c r="B22" s="2" t="s">
        <v>42</v>
      </c>
    </row>
    <row r="23" spans="1:2">
      <c r="A23" s="2" t="s">
        <v>19</v>
      </c>
      <c r="B23" s="2" t="s">
        <v>43</v>
      </c>
    </row>
    <row r="24" spans="1:2">
      <c r="A24" s="2" t="s">
        <v>20</v>
      </c>
      <c r="B24" s="2" t="s">
        <v>44</v>
      </c>
    </row>
    <row r="25" spans="1:2">
      <c r="A25" s="2" t="s">
        <v>3</v>
      </c>
      <c r="B25" s="2" t="s">
        <v>3</v>
      </c>
    </row>
    <row r="26" spans="1:2">
      <c r="A26" s="3" t="s">
        <v>21</v>
      </c>
      <c r="B26" s="2" t="s">
        <v>3</v>
      </c>
    </row>
    <row r="27" spans="1:2">
      <c r="A27" s="2" t="s">
        <v>22</v>
      </c>
      <c r="B27" s="2" t="s">
        <v>45</v>
      </c>
    </row>
    <row r="28" spans="1:2">
      <c r="A28" s="2" t="s">
        <v>23</v>
      </c>
      <c r="B28" s="2" t="s">
        <v>46</v>
      </c>
    </row>
    <row r="29" spans="1:2">
      <c r="A29" s="2" t="s">
        <v>24</v>
      </c>
      <c r="B29" s="2" t="s">
        <v>47</v>
      </c>
    </row>
    <row r="30" spans="1:2">
      <c r="A30" s="2" t="s">
        <v>25</v>
      </c>
      <c r="B30" s="2" t="s">
        <v>48</v>
      </c>
    </row>
    <row r="31" spans="1:2">
      <c r="A31" s="2" t="s">
        <v>26</v>
      </c>
      <c r="B31" s="2" t="s">
        <v>49</v>
      </c>
    </row>
    <row r="32" spans="1:2">
      <c r="A32" s="2" t="s">
        <v>27</v>
      </c>
      <c r="B32" s="2"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F7596"/>
  <sheetViews>
    <sheetView workbookViewId="0">
      <pane ySplit="1" topLeftCell="A2" activePane="bottomLeft" state="frozen"/>
      <selection pane="bottomLeft"/>
    </sheetView>
  </sheetViews>
  <sheetFormatPr defaultRowHeight="15"/>
  <cols>
    <col min="1" max="1" width="12.7109375" customWidth="1"/>
    <col min="2" max="2" width="25.7109375" customWidth="1"/>
    <col min="3" max="3" width="28.7109375" customWidth="1"/>
    <col min="4" max="4" width="14.7109375" customWidth="1"/>
    <col min="5" max="5" width="20.7109375" customWidth="1"/>
    <col min="6" max="6" width="42.7109375" customWidth="1"/>
    <col min="7" max="7" width="29.7109375" customWidth="1"/>
    <col min="8" max="8" width="15.7109375" customWidth="1"/>
    <col min="9" max="9" width="60.7109375" customWidth="1"/>
    <col min="10" max="10" width="22.7109375" customWidth="1"/>
    <col min="11" max="12" width="11.7109375" customWidth="1"/>
    <col min="13" max="13" width="26.7109375" customWidth="1"/>
    <col min="14" max="14" width="16.7109375" customWidth="1"/>
    <col min="15" max="15" width="17.7109375" customWidth="1"/>
    <col min="16" max="16" width="21.7109375" customWidth="1"/>
    <col min="17" max="17" width="18.7109375" customWidth="1"/>
    <col min="18" max="18" width="35.7109375" customWidth="1"/>
    <col min="19" max="19" width="27.7109375" customWidth="1"/>
    <col min="20" max="20" width="12.7109375" customWidth="1"/>
    <col min="21" max="21" width="19.7109375" customWidth="1"/>
    <col min="22" max="22" width="21.7109375" customWidth="1"/>
    <col min="23" max="23" width="60.7109375" customWidth="1"/>
    <col min="24" max="24" width="28.7109375" customWidth="1"/>
    <col min="25" max="25" width="60.7109375" customWidth="1"/>
    <col min="26" max="26" width="17.7109375" customWidth="1"/>
    <col min="27" max="29" width="60.7109375" customWidth="1"/>
    <col min="30" max="30" width="11.7109375" customWidth="1"/>
    <col min="31" max="31" width="12.7109375" customWidth="1"/>
    <col min="32" max="32" width="60.7109375" customWidth="1"/>
  </cols>
  <sheetData>
    <row r="1" spans="1:32">
      <c r="A1" s="1" t="s">
        <v>51</v>
      </c>
      <c r="B1" s="1" t="s">
        <v>7647</v>
      </c>
      <c r="C1" s="1" t="s">
        <v>15096</v>
      </c>
      <c r="D1" s="1" t="s">
        <v>16192</v>
      </c>
      <c r="E1" s="1" t="s">
        <v>16216</v>
      </c>
      <c r="F1" s="1" t="s">
        <v>16219</v>
      </c>
      <c r="G1" s="1" t="s">
        <v>16223</v>
      </c>
      <c r="H1" s="1" t="s">
        <v>16301</v>
      </c>
      <c r="I1" s="1" t="s">
        <v>16304</v>
      </c>
      <c r="J1" s="1" t="s">
        <v>16384</v>
      </c>
      <c r="K1" s="1" t="s">
        <v>16388</v>
      </c>
      <c r="L1" s="1" t="s">
        <v>16389</v>
      </c>
      <c r="M1" s="1" t="s">
        <v>16390</v>
      </c>
      <c r="N1" s="1" t="s">
        <v>16391</v>
      </c>
      <c r="O1" s="1" t="s">
        <v>16397</v>
      </c>
      <c r="P1" s="1" t="s">
        <v>16398</v>
      </c>
      <c r="Q1" s="1" t="s">
        <v>16399</v>
      </c>
      <c r="R1" s="1" t="s">
        <v>16400</v>
      </c>
      <c r="S1" s="1" t="s">
        <v>16401</v>
      </c>
      <c r="T1" s="1" t="s">
        <v>23735</v>
      </c>
      <c r="U1" s="1" t="s">
        <v>23736</v>
      </c>
      <c r="V1" s="1" t="s">
        <v>23737</v>
      </c>
      <c r="W1" s="1" t="s">
        <v>23745</v>
      </c>
      <c r="X1" s="1" t="s">
        <v>17</v>
      </c>
      <c r="Y1" s="1" t="s">
        <v>27866</v>
      </c>
      <c r="Z1" s="1" t="s">
        <v>27867</v>
      </c>
      <c r="AA1" s="1" t="s">
        <v>27868</v>
      </c>
      <c r="AB1" s="1" t="s">
        <v>27869</v>
      </c>
      <c r="AC1" s="1" t="s">
        <v>27870</v>
      </c>
      <c r="AD1" s="1" t="s">
        <v>27874</v>
      </c>
      <c r="AE1" s="1" t="s">
        <v>27875</v>
      </c>
      <c r="AF1" s="1" t="s">
        <v>27876</v>
      </c>
    </row>
    <row r="2" spans="1:32">
      <c r="A2" t="s">
        <v>52</v>
      </c>
      <c r="B2" t="s">
        <v>7648</v>
      </c>
      <c r="C2" t="s">
        <v>15097</v>
      </c>
      <c r="D2" t="s">
        <v>16193</v>
      </c>
      <c r="E2" t="s">
        <v>16217</v>
      </c>
      <c r="F2" t="s">
        <v>16220</v>
      </c>
      <c r="G2" t="s">
        <v>16224</v>
      </c>
      <c r="H2" t="s">
        <v>16250</v>
      </c>
      <c r="I2" t="s">
        <v>16305</v>
      </c>
      <c r="J2" t="s">
        <v>16385</v>
      </c>
      <c r="K2">
        <v>6.575</v>
      </c>
      <c r="L2">
        <v>286403</v>
      </c>
      <c r="M2">
        <v>693</v>
      </c>
      <c r="N2" t="s">
        <v>16392</v>
      </c>
      <c r="O2" s="4">
        <v>475001</v>
      </c>
      <c r="P2" s="4">
        <v>0</v>
      </c>
      <c r="Q2" s="4">
        <v>475001</v>
      </c>
      <c r="R2" s="4">
        <v>1425003</v>
      </c>
      <c r="S2" t="s">
        <v>16402</v>
      </c>
      <c r="X2" t="s">
        <v>3</v>
      </c>
      <c r="AA2" s="5" t="str">
        <f>HYPERLINK("https://www.zillow.com/homes/STATION-BLVD-AURORA-IL-60504_rb/","check listing")</f>
        <v>check listing</v>
      </c>
      <c r="AB2" s="5" t="str">
        <f>HYPERLINK("https://propertylookup.dupagecounty.gov/Datalets/Datalet.aspx?UseSearch=no&amp;mode=sales&amp;pin=0716400046","sales record")</f>
        <v>sales record</v>
      </c>
      <c r="AC2" t="s">
        <v>11</v>
      </c>
      <c r="AD2">
        <v>41.77429</v>
      </c>
      <c r="AE2">
        <v>-88.207354</v>
      </c>
      <c r="AF2" s="5" t="str">
        <f>HYPERLINK("https://www.google.com/maps/search/?api=1&amp;query=41.77429,-88.207354","map")</f>
        <v>map</v>
      </c>
    </row>
    <row r="3" spans="1:32">
      <c r="A3" t="s">
        <v>53</v>
      </c>
      <c r="B3" t="s">
        <v>7649</v>
      </c>
      <c r="C3" t="s">
        <v>15097</v>
      </c>
      <c r="D3" t="s">
        <v>16193</v>
      </c>
      <c r="E3" t="s">
        <v>16217</v>
      </c>
      <c r="F3" t="s">
        <v>16220</v>
      </c>
      <c r="G3" t="s">
        <v>16225</v>
      </c>
      <c r="H3" t="s">
        <v>16249</v>
      </c>
      <c r="I3" t="s">
        <v>16306</v>
      </c>
      <c r="J3" t="s">
        <v>16385</v>
      </c>
      <c r="K3">
        <v>0.734</v>
      </c>
      <c r="L3">
        <v>31981</v>
      </c>
      <c r="N3" t="s">
        <v>16392</v>
      </c>
      <c r="O3" s="4">
        <v>40692</v>
      </c>
      <c r="P3" s="4">
        <v>0</v>
      </c>
      <c r="Q3" s="4">
        <v>40692</v>
      </c>
      <c r="R3" s="4">
        <v>122076</v>
      </c>
      <c r="S3" t="s">
        <v>16403</v>
      </c>
      <c r="X3" t="s">
        <v>3</v>
      </c>
      <c r="AA3" s="5" t="str">
        <f>HYPERLINK("https://www.zillow.com/homes/195-FOX-VALLEY-CNTR-AURORA-IL-60504_rb/","check listing")</f>
        <v>check listing</v>
      </c>
      <c r="AB3" s="5" t="str">
        <f>HYPERLINK("https://propertylookup.dupagecounty.gov/Datalets/Datalet.aspx?UseSearch=no&amp;mode=sales&amp;pin=0721401105","sales record")</f>
        <v>sales record</v>
      </c>
      <c r="AC3" t="s">
        <v>3</v>
      </c>
      <c r="AD3">
        <v>41.76108</v>
      </c>
      <c r="AE3">
        <v>-88.21383400000001</v>
      </c>
      <c r="AF3" s="5" t="str">
        <f>HYPERLINK("https://www.google.com/maps/search/?api=1&amp;query=41.76108,-88.213834","map")</f>
        <v>map</v>
      </c>
    </row>
    <row r="4" spans="1:32">
      <c r="A4" t="s">
        <v>54</v>
      </c>
      <c r="B4" t="s">
        <v>7650</v>
      </c>
      <c r="C4" t="s">
        <v>15098</v>
      </c>
      <c r="D4" t="s">
        <v>16194</v>
      </c>
      <c r="E4" t="s">
        <v>16218</v>
      </c>
      <c r="F4" t="s">
        <v>16221</v>
      </c>
      <c r="G4" t="s">
        <v>16226</v>
      </c>
      <c r="H4" t="s">
        <v>16226</v>
      </c>
      <c r="I4" t="s">
        <v>16307</v>
      </c>
      <c r="J4" t="s">
        <v>16386</v>
      </c>
      <c r="K4">
        <v>0.58</v>
      </c>
      <c r="L4">
        <v>25276</v>
      </c>
      <c r="M4">
        <v>2143</v>
      </c>
      <c r="N4" t="s">
        <v>16393</v>
      </c>
      <c r="O4" s="4">
        <v>41251</v>
      </c>
      <c r="P4" s="4">
        <v>91355</v>
      </c>
      <c r="Q4" s="4">
        <v>132606</v>
      </c>
      <c r="R4" s="4">
        <v>397818</v>
      </c>
      <c r="S4" t="s">
        <v>16404</v>
      </c>
      <c r="T4" s="6">
        <v>43405</v>
      </c>
      <c r="U4" s="4">
        <v>225000</v>
      </c>
      <c r="V4" t="s">
        <v>23738</v>
      </c>
      <c r="W4" t="s">
        <v>23746</v>
      </c>
      <c r="X4" t="s">
        <v>3</v>
      </c>
      <c r="AA4" s="5" t="str">
        <f>HYPERLINK("https://www.zillow.com/homes/771-COVE-CT-BARTLETT-IL-601034709_rb/","check listing")</f>
        <v>check listing</v>
      </c>
      <c r="AB4" s="5" t="str">
        <f>HYPERLINK("https://propertylookup.dupagecounty.gov/Datalets/Datalet.aspx?UseSearch=no&amp;mode=sales&amp;pin=0102214023","sales record")</f>
        <v>sales record</v>
      </c>
      <c r="AC4" t="s">
        <v>3</v>
      </c>
      <c r="AD4">
        <v>41.985841</v>
      </c>
      <c r="AE4">
        <v>-88.16489900000001</v>
      </c>
      <c r="AF4" s="5" t="str">
        <f>HYPERLINK("https://www.google.com/maps/search/?api=1&amp;query=41.985841,-88.164899","map")</f>
        <v>map</v>
      </c>
    </row>
    <row r="5" spans="1:32">
      <c r="A5" t="s">
        <v>55</v>
      </c>
      <c r="B5" t="s">
        <v>7651</v>
      </c>
      <c r="C5" t="s">
        <v>15099</v>
      </c>
      <c r="D5" t="s">
        <v>16194</v>
      </c>
      <c r="E5" t="s">
        <v>16218</v>
      </c>
      <c r="F5" t="s">
        <v>16221</v>
      </c>
      <c r="G5" t="s">
        <v>16227</v>
      </c>
      <c r="H5" t="s">
        <v>16226</v>
      </c>
      <c r="I5" t="s">
        <v>16307</v>
      </c>
      <c r="J5" t="s">
        <v>16386</v>
      </c>
      <c r="K5">
        <v>0.308</v>
      </c>
      <c r="L5">
        <v>13423</v>
      </c>
      <c r="M5">
        <v>2307</v>
      </c>
      <c r="N5" t="s">
        <v>16393</v>
      </c>
      <c r="O5" s="4">
        <v>34158</v>
      </c>
      <c r="P5" s="4">
        <v>104701</v>
      </c>
      <c r="Q5" s="4">
        <v>138859</v>
      </c>
      <c r="R5" s="4">
        <v>416577</v>
      </c>
      <c r="S5" t="s">
        <v>16405</v>
      </c>
      <c r="T5" s="6">
        <v>45488</v>
      </c>
      <c r="U5" s="4">
        <v>600000</v>
      </c>
      <c r="V5" t="s">
        <v>23739</v>
      </c>
      <c r="W5" t="s">
        <v>23747</v>
      </c>
      <c r="X5" t="s">
        <v>3</v>
      </c>
      <c r="AA5" s="5" t="str">
        <f>HYPERLINK("https://www.zillow.com/homes/298-WINDSOR-DR-BARTLETT-IL-60103_rb/","check listing")</f>
        <v>check listing</v>
      </c>
      <c r="AB5" s="5" t="str">
        <f>HYPERLINK("https://propertylookup.dupagecounty.gov/Datalets/Datalet.aspx?UseSearch=no&amp;mode=sales&amp;pin=0111206004","sales record")</f>
        <v>sales record</v>
      </c>
      <c r="AC5" t="s">
        <v>3</v>
      </c>
      <c r="AD5">
        <v>41.971633</v>
      </c>
      <c r="AE5">
        <v>-88.171121</v>
      </c>
      <c r="AF5" s="5" t="str">
        <f>HYPERLINK("https://www.google.com/maps/search/?api=1&amp;query=41.971633,-88.171121","map")</f>
        <v>map</v>
      </c>
    </row>
    <row r="6" spans="1:32">
      <c r="A6" t="s">
        <v>56</v>
      </c>
      <c r="B6" t="s">
        <v>7652</v>
      </c>
      <c r="C6" t="s">
        <v>15100</v>
      </c>
      <c r="D6" t="s">
        <v>16194</v>
      </c>
      <c r="E6" t="s">
        <v>16218</v>
      </c>
      <c r="F6" t="s">
        <v>16221</v>
      </c>
      <c r="G6" t="s">
        <v>16227</v>
      </c>
      <c r="H6" t="s">
        <v>16226</v>
      </c>
      <c r="I6" t="s">
        <v>16307</v>
      </c>
      <c r="J6" t="s">
        <v>16386</v>
      </c>
      <c r="K6">
        <v>0.286</v>
      </c>
      <c r="L6">
        <v>12472</v>
      </c>
      <c r="M6">
        <v>2638</v>
      </c>
      <c r="N6" t="s">
        <v>16393</v>
      </c>
      <c r="O6" s="4">
        <v>34158</v>
      </c>
      <c r="P6" s="4">
        <v>109613</v>
      </c>
      <c r="Q6" s="4">
        <v>143771</v>
      </c>
      <c r="R6" s="4">
        <v>431313</v>
      </c>
      <c r="S6" t="s">
        <v>16406</v>
      </c>
      <c r="T6" s="6">
        <v>43191</v>
      </c>
      <c r="U6" s="4">
        <v>318500</v>
      </c>
      <c r="V6" t="s">
        <v>23740</v>
      </c>
      <c r="W6" t="s">
        <v>23748</v>
      </c>
      <c r="X6" t="s">
        <v>3</v>
      </c>
      <c r="AA6" s="5" t="str">
        <f>HYPERLINK("https://www.zillow.com/homes/303-BALMORAL-DR-BARTLETT-IL-601035169_rb/","check listing")</f>
        <v>check listing</v>
      </c>
      <c r="AB6" s="5" t="str">
        <f>HYPERLINK("https://propertylookup.dupagecounty.gov/Datalets/Datalet.aspx?UseSearch=no&amp;mode=sales&amp;pin=0111207031","sales record")</f>
        <v>sales record</v>
      </c>
      <c r="AC6" t="s">
        <v>3</v>
      </c>
      <c r="AD6">
        <v>41.971069</v>
      </c>
      <c r="AE6">
        <v>-88.170359</v>
      </c>
      <c r="AF6" s="5" t="str">
        <f>HYPERLINK("https://www.google.com/maps/search/?api=1&amp;query=41.971069,-88.170359","map")</f>
        <v>map</v>
      </c>
    </row>
    <row r="7" spans="1:32">
      <c r="A7" t="s">
        <v>57</v>
      </c>
      <c r="B7" t="s">
        <v>7653</v>
      </c>
      <c r="C7" t="s">
        <v>15101</v>
      </c>
      <c r="D7" t="s">
        <v>16194</v>
      </c>
      <c r="E7" t="s">
        <v>16218</v>
      </c>
      <c r="F7" t="s">
        <v>16221</v>
      </c>
      <c r="G7" t="s">
        <v>16227</v>
      </c>
      <c r="H7" t="s">
        <v>16226</v>
      </c>
      <c r="I7" t="s">
        <v>16307</v>
      </c>
      <c r="J7" t="s">
        <v>16386</v>
      </c>
      <c r="K7">
        <v>0.269</v>
      </c>
      <c r="L7">
        <v>11733</v>
      </c>
      <c r="M7">
        <v>2309</v>
      </c>
      <c r="N7" t="s">
        <v>16393</v>
      </c>
      <c r="O7" s="4">
        <v>34158</v>
      </c>
      <c r="P7" s="4">
        <v>103216</v>
      </c>
      <c r="Q7" s="4">
        <v>137374</v>
      </c>
      <c r="R7" s="4">
        <v>412122</v>
      </c>
      <c r="S7" t="s">
        <v>16407</v>
      </c>
      <c r="T7" s="6">
        <v>44256</v>
      </c>
      <c r="U7" s="4">
        <v>345000</v>
      </c>
      <c r="V7" t="s">
        <v>23739</v>
      </c>
      <c r="W7" t="s">
        <v>16407</v>
      </c>
      <c r="X7" t="s">
        <v>3</v>
      </c>
      <c r="AA7" s="5" t="str">
        <f>HYPERLINK("https://www.zillow.com/homes/301-WINDSOR-DR-BARTLETT-IL-601035175_rb/","check listing")</f>
        <v>check listing</v>
      </c>
      <c r="AB7" s="5" t="str">
        <f>HYPERLINK("https://propertylookup.dupagecounty.gov/Datalets/Datalet.aspx?UseSearch=no&amp;mode=sales&amp;pin=0111207029","sales record")</f>
        <v>sales record</v>
      </c>
      <c r="AC7" t="s">
        <v>3</v>
      </c>
      <c r="AD7">
        <v>41.971171</v>
      </c>
      <c r="AE7">
        <v>-88.170697</v>
      </c>
      <c r="AF7" s="5" t="str">
        <f>HYPERLINK("https://www.google.com/maps/search/?api=1&amp;query=41.971171,-88.170697","map")</f>
        <v>map</v>
      </c>
    </row>
    <row r="8" spans="1:32">
      <c r="A8" t="s">
        <v>58</v>
      </c>
      <c r="B8" t="s">
        <v>7654</v>
      </c>
      <c r="C8" t="s">
        <v>15099</v>
      </c>
      <c r="D8" t="s">
        <v>16194</v>
      </c>
      <c r="E8" t="s">
        <v>16218</v>
      </c>
      <c r="F8" t="s">
        <v>16221</v>
      </c>
      <c r="G8" t="s">
        <v>16227</v>
      </c>
      <c r="H8" t="s">
        <v>16226</v>
      </c>
      <c r="I8" t="s">
        <v>16307</v>
      </c>
      <c r="J8" t="s">
        <v>16386</v>
      </c>
      <c r="K8">
        <v>0.266</v>
      </c>
      <c r="L8">
        <v>11598</v>
      </c>
      <c r="M8">
        <v>1978</v>
      </c>
      <c r="N8" t="s">
        <v>16393</v>
      </c>
      <c r="O8" s="4">
        <v>34158</v>
      </c>
      <c r="P8" s="4">
        <v>104689</v>
      </c>
      <c r="Q8" s="4">
        <v>138847</v>
      </c>
      <c r="R8" s="4">
        <v>416541</v>
      </c>
      <c r="S8" t="s">
        <v>16408</v>
      </c>
      <c r="T8" s="6">
        <v>42856</v>
      </c>
      <c r="U8" s="4">
        <v>273000</v>
      </c>
      <c r="V8" t="s">
        <v>23740</v>
      </c>
      <c r="W8" t="s">
        <v>23749</v>
      </c>
      <c r="X8" t="s">
        <v>3</v>
      </c>
      <c r="AA8" s="5" t="str">
        <f>HYPERLINK("https://www.zillow.com/homes/238-WINDSOR-DR-BARTLETT-IL-60103_rb/","check listing")</f>
        <v>check listing</v>
      </c>
      <c r="AB8" s="5" t="str">
        <f>HYPERLINK("https://propertylookup.dupagecounty.gov/Datalets/Datalet.aspx?UseSearch=no&amp;mode=sales&amp;pin=0111206024","sales record")</f>
        <v>sales record</v>
      </c>
      <c r="AC8" t="s">
        <v>3</v>
      </c>
      <c r="AD8">
        <v>41.971661</v>
      </c>
      <c r="AE8">
        <v>-88.174058</v>
      </c>
      <c r="AF8" s="5" t="str">
        <f>HYPERLINK("https://www.google.com/maps/search/?api=1&amp;query=41.971661,-88.174058","map")</f>
        <v>map</v>
      </c>
    </row>
    <row r="9" spans="1:32">
      <c r="A9" t="s">
        <v>59</v>
      </c>
      <c r="B9" t="s">
        <v>7655</v>
      </c>
      <c r="C9" t="s">
        <v>15102</v>
      </c>
      <c r="D9" t="s">
        <v>16194</v>
      </c>
      <c r="E9" t="s">
        <v>16218</v>
      </c>
      <c r="F9" t="s">
        <v>16221</v>
      </c>
      <c r="G9" t="s">
        <v>16227</v>
      </c>
      <c r="H9" t="s">
        <v>16226</v>
      </c>
      <c r="I9" t="s">
        <v>16307</v>
      </c>
      <c r="J9" t="s">
        <v>16386</v>
      </c>
      <c r="K9">
        <v>0.266</v>
      </c>
      <c r="L9">
        <v>11589</v>
      </c>
      <c r="M9">
        <v>2768</v>
      </c>
      <c r="N9" t="s">
        <v>16393</v>
      </c>
      <c r="O9" s="4">
        <v>34158</v>
      </c>
      <c r="P9" s="4">
        <v>110872</v>
      </c>
      <c r="Q9" s="4">
        <v>145030</v>
      </c>
      <c r="R9" s="4">
        <v>435090</v>
      </c>
      <c r="S9" t="s">
        <v>16409</v>
      </c>
      <c r="T9" s="6">
        <v>43252</v>
      </c>
      <c r="U9" s="4">
        <v>318000</v>
      </c>
      <c r="V9" t="s">
        <v>23739</v>
      </c>
      <c r="W9" t="s">
        <v>23750</v>
      </c>
      <c r="X9" t="s">
        <v>3</v>
      </c>
      <c r="AA9" s="5" t="str">
        <f>HYPERLINK("https://www.zillow.com/homes/316-WINDSOR-DR-BARTLETT-IL-601035182_rb/","check listing")</f>
        <v>check listing</v>
      </c>
      <c r="AB9" s="5" t="str">
        <f>HYPERLINK("https://propertylookup.dupagecounty.gov/Datalets/Datalet.aspx?UseSearch=no&amp;mode=sales&amp;pin=0111206003","sales record")</f>
        <v>sales record</v>
      </c>
      <c r="AC9" t="s">
        <v>3</v>
      </c>
      <c r="AD9">
        <v>41.971612</v>
      </c>
      <c r="AE9">
        <v>-88.170722</v>
      </c>
      <c r="AF9" s="5" t="str">
        <f>HYPERLINK("https://www.google.com/maps/search/?api=1&amp;query=41.971612,-88.170722","map")</f>
        <v>map</v>
      </c>
    </row>
    <row r="10" spans="1:32">
      <c r="A10" t="s">
        <v>60</v>
      </c>
      <c r="B10" t="s">
        <v>7656</v>
      </c>
      <c r="C10" t="s">
        <v>15099</v>
      </c>
      <c r="D10" t="s">
        <v>16194</v>
      </c>
      <c r="E10" t="s">
        <v>16218</v>
      </c>
      <c r="F10" t="s">
        <v>16221</v>
      </c>
      <c r="G10" t="s">
        <v>16227</v>
      </c>
      <c r="H10" t="s">
        <v>16226</v>
      </c>
      <c r="I10" t="s">
        <v>16307</v>
      </c>
      <c r="J10" t="s">
        <v>16386</v>
      </c>
      <c r="K10">
        <v>0.257</v>
      </c>
      <c r="L10">
        <v>11209</v>
      </c>
      <c r="M10">
        <v>2539</v>
      </c>
      <c r="N10" t="s">
        <v>16393</v>
      </c>
      <c r="O10" s="4">
        <v>34158</v>
      </c>
      <c r="P10" s="4">
        <v>104701</v>
      </c>
      <c r="Q10" s="4">
        <v>138859</v>
      </c>
      <c r="R10" s="4">
        <v>416577</v>
      </c>
      <c r="S10" t="s">
        <v>16410</v>
      </c>
      <c r="T10" s="6">
        <v>33878</v>
      </c>
      <c r="U10" s="4">
        <v>192700</v>
      </c>
      <c r="X10" t="s">
        <v>3</v>
      </c>
      <c r="AA10" s="5" t="str">
        <f>HYPERLINK("https://www.zillow.com/homes/210-WINDSOR-DR-BARTLETT-IL-60103_rb/","check listing")</f>
        <v>check listing</v>
      </c>
      <c r="AB10" s="5" t="str">
        <f>HYPERLINK("https://propertylookup.dupagecounty.gov/Datalets/Datalet.aspx?UseSearch=no&amp;mode=sales&amp;pin=0111105004","sales record")</f>
        <v>sales record</v>
      </c>
      <c r="AC10" t="s">
        <v>3</v>
      </c>
      <c r="AD10">
        <v>41.971539</v>
      </c>
      <c r="AE10">
        <v>-88.174728</v>
      </c>
      <c r="AF10" s="5" t="str">
        <f>HYPERLINK("https://www.google.com/maps/search/?api=1&amp;query=41.971539,-88.174728","map")</f>
        <v>map</v>
      </c>
    </row>
    <row r="11" spans="1:32">
      <c r="A11" t="s">
        <v>61</v>
      </c>
      <c r="B11" t="s">
        <v>7657</v>
      </c>
      <c r="C11" t="s">
        <v>15099</v>
      </c>
      <c r="D11" t="s">
        <v>16194</v>
      </c>
      <c r="E11" t="s">
        <v>16218</v>
      </c>
      <c r="F11" t="s">
        <v>16221</v>
      </c>
      <c r="G11" t="s">
        <v>16227</v>
      </c>
      <c r="H11" t="s">
        <v>16226</v>
      </c>
      <c r="I11" t="s">
        <v>16307</v>
      </c>
      <c r="J11" t="s">
        <v>16386</v>
      </c>
      <c r="K11">
        <v>0.246</v>
      </c>
      <c r="L11">
        <v>10695</v>
      </c>
      <c r="M11">
        <v>2868</v>
      </c>
      <c r="N11" t="s">
        <v>16393</v>
      </c>
      <c r="O11" s="4">
        <v>34158</v>
      </c>
      <c r="P11" s="4">
        <v>104701</v>
      </c>
      <c r="Q11" s="4">
        <v>138859</v>
      </c>
      <c r="R11" s="4">
        <v>416577</v>
      </c>
      <c r="S11" t="s">
        <v>16411</v>
      </c>
      <c r="T11" s="6">
        <v>36342</v>
      </c>
      <c r="U11" s="4">
        <v>225500</v>
      </c>
      <c r="X11" t="s">
        <v>3</v>
      </c>
      <c r="AA11" s="5" t="str">
        <f>HYPERLINK("https://www.zillow.com/homes/231-BUCKINGHAM-DR-BARTLETT-IL-60103_rb/","check listing")</f>
        <v>check listing</v>
      </c>
      <c r="AB11" s="5" t="str">
        <f>HYPERLINK("https://propertylookup.dupagecounty.gov/Datalets/Datalet.aspx?UseSearch=no&amp;mode=sales&amp;pin=0111104016","sales record")</f>
        <v>sales record</v>
      </c>
      <c r="AC11" t="s">
        <v>3</v>
      </c>
      <c r="AD11">
        <v>41.971475</v>
      </c>
      <c r="AE11">
        <v>-88.17565999999999</v>
      </c>
      <c r="AF11" s="5" t="str">
        <f>HYPERLINK("https://www.google.com/maps/search/?api=1&amp;query=41.971475,-88.17566","map")</f>
        <v>map</v>
      </c>
    </row>
    <row r="12" spans="1:32">
      <c r="A12" t="s">
        <v>62</v>
      </c>
      <c r="B12" t="s">
        <v>7658</v>
      </c>
      <c r="C12" t="s">
        <v>15099</v>
      </c>
      <c r="D12" t="s">
        <v>16194</v>
      </c>
      <c r="E12" t="s">
        <v>16218</v>
      </c>
      <c r="F12" t="s">
        <v>16221</v>
      </c>
      <c r="G12" t="s">
        <v>16227</v>
      </c>
      <c r="H12" t="s">
        <v>16226</v>
      </c>
      <c r="I12" t="s">
        <v>16307</v>
      </c>
      <c r="J12" t="s">
        <v>16386</v>
      </c>
      <c r="K12">
        <v>0.24</v>
      </c>
      <c r="L12">
        <v>10442</v>
      </c>
      <c r="M12">
        <v>2375</v>
      </c>
      <c r="N12" t="s">
        <v>16393</v>
      </c>
      <c r="O12" s="4">
        <v>34158</v>
      </c>
      <c r="P12" s="4">
        <v>97201</v>
      </c>
      <c r="Q12" s="4">
        <v>131359</v>
      </c>
      <c r="R12" s="4">
        <v>394077</v>
      </c>
      <c r="S12" t="s">
        <v>16412</v>
      </c>
      <c r="T12" s="6">
        <v>44994</v>
      </c>
      <c r="U12" s="4">
        <v>478000</v>
      </c>
      <c r="V12" t="s">
        <v>23739</v>
      </c>
      <c r="W12" t="s">
        <v>23751</v>
      </c>
      <c r="X12" t="s">
        <v>3</v>
      </c>
      <c r="AA12" s="5" t="str">
        <f>HYPERLINK("https://www.zillow.com/homes/219-BUCKINGHAM-DR-BARTLETT-IL-60103_rb/","check listing")</f>
        <v>check listing</v>
      </c>
      <c r="AB12" s="5" t="str">
        <f>HYPERLINK("https://propertylookup.dupagecounty.gov/Datalets/Datalet.aspx?UseSearch=no&amp;mode=sales&amp;pin=0111104010","sales record")</f>
        <v>sales record</v>
      </c>
      <c r="AC12" t="s">
        <v>3</v>
      </c>
      <c r="AD12">
        <v>41.97073</v>
      </c>
      <c r="AE12">
        <v>-88.17644799999999</v>
      </c>
      <c r="AF12" s="5" t="str">
        <f>HYPERLINK("https://www.google.com/maps/search/?api=1&amp;query=41.97073,-88.176448","map")</f>
        <v>map</v>
      </c>
    </row>
    <row r="13" spans="1:32">
      <c r="A13" t="s">
        <v>63</v>
      </c>
      <c r="B13" t="s">
        <v>7659</v>
      </c>
      <c r="C13" t="s">
        <v>15099</v>
      </c>
      <c r="D13" t="s">
        <v>16194</v>
      </c>
      <c r="E13" t="s">
        <v>16218</v>
      </c>
      <c r="F13" t="s">
        <v>16221</v>
      </c>
      <c r="G13" t="s">
        <v>16227</v>
      </c>
      <c r="H13" t="s">
        <v>16226</v>
      </c>
      <c r="I13" t="s">
        <v>16307</v>
      </c>
      <c r="J13" t="s">
        <v>16386</v>
      </c>
      <c r="K13">
        <v>0.236</v>
      </c>
      <c r="L13">
        <v>10292</v>
      </c>
      <c r="M13">
        <v>2631</v>
      </c>
      <c r="N13" t="s">
        <v>16393</v>
      </c>
      <c r="O13" s="4">
        <v>34158</v>
      </c>
      <c r="P13" s="4">
        <v>101406</v>
      </c>
      <c r="Q13" s="4">
        <v>135564</v>
      </c>
      <c r="R13" s="4">
        <v>406692</v>
      </c>
      <c r="S13" t="s">
        <v>16413</v>
      </c>
      <c r="T13" s="6">
        <v>42156</v>
      </c>
      <c r="U13" s="4">
        <v>262500</v>
      </c>
      <c r="V13" t="s">
        <v>23739</v>
      </c>
      <c r="W13" t="s">
        <v>23752</v>
      </c>
      <c r="X13" t="s">
        <v>3</v>
      </c>
      <c r="AA13" s="5" t="str">
        <f>HYPERLINK("https://www.zillow.com/homes/327-BALMORAL-DR-BARTLETT-IL-60103_rb/","check listing")</f>
        <v>check listing</v>
      </c>
      <c r="AB13" s="5" t="str">
        <f>HYPERLINK("https://propertylookup.dupagecounty.gov/Datalets/Datalet.aspx?UseSearch=no&amp;mode=sales&amp;pin=0111207042","sales record")</f>
        <v>sales record</v>
      </c>
      <c r="AC13" t="s">
        <v>3</v>
      </c>
      <c r="AD13">
        <v>41.971359</v>
      </c>
      <c r="AE13">
        <v>-88.169881</v>
      </c>
      <c r="AF13" s="5" t="str">
        <f>HYPERLINK("https://www.google.com/maps/search/?api=1&amp;query=41.971359,-88.169881","map")</f>
        <v>map</v>
      </c>
    </row>
    <row r="14" spans="1:32">
      <c r="A14" t="s">
        <v>64</v>
      </c>
      <c r="B14" t="s">
        <v>7660</v>
      </c>
      <c r="C14" t="s">
        <v>15099</v>
      </c>
      <c r="D14" t="s">
        <v>16194</v>
      </c>
      <c r="E14" t="s">
        <v>16218</v>
      </c>
      <c r="F14" t="s">
        <v>16221</v>
      </c>
      <c r="G14" t="s">
        <v>16227</v>
      </c>
      <c r="H14" t="s">
        <v>16226</v>
      </c>
      <c r="I14" t="s">
        <v>16307</v>
      </c>
      <c r="J14" t="s">
        <v>16386</v>
      </c>
      <c r="K14">
        <v>0.23</v>
      </c>
      <c r="L14">
        <v>10003</v>
      </c>
      <c r="M14">
        <v>2143</v>
      </c>
      <c r="N14" t="s">
        <v>16393</v>
      </c>
      <c r="O14" s="4">
        <v>34158</v>
      </c>
      <c r="P14" s="4">
        <v>89845</v>
      </c>
      <c r="Q14" s="4">
        <v>124003</v>
      </c>
      <c r="R14" s="4">
        <v>372009</v>
      </c>
      <c r="S14" t="s">
        <v>16414</v>
      </c>
      <c r="T14" s="6">
        <v>45590</v>
      </c>
      <c r="U14" s="4">
        <v>499900</v>
      </c>
      <c r="V14" t="s">
        <v>23739</v>
      </c>
      <c r="W14" t="s">
        <v>23753</v>
      </c>
      <c r="X14" t="s">
        <v>3</v>
      </c>
      <c r="AA14" s="5" t="str">
        <f>HYPERLINK("https://www.zillow.com/homes/236-WINDSOR-DR-BARTLETT-IL-60103_rb/","check listing")</f>
        <v>check listing</v>
      </c>
      <c r="AB14" s="5" t="str">
        <f>HYPERLINK("https://propertylookup.dupagecounty.gov/Datalets/Datalet.aspx?UseSearch=no&amp;mode=sales&amp;pin=0111206025","sales record")</f>
        <v>sales record</v>
      </c>
      <c r="AC14" t="s">
        <v>3</v>
      </c>
      <c r="AD14">
        <v>41.971994</v>
      </c>
      <c r="AE14">
        <v>-88.174065</v>
      </c>
      <c r="AF14" s="5" t="str">
        <f>HYPERLINK("https://www.google.com/maps/search/?api=1&amp;query=41.971994,-88.174065","map")</f>
        <v>map</v>
      </c>
    </row>
    <row r="15" spans="1:32">
      <c r="A15" t="s">
        <v>65</v>
      </c>
      <c r="B15" t="s">
        <v>7661</v>
      </c>
      <c r="C15" t="s">
        <v>15103</v>
      </c>
      <c r="D15" t="s">
        <v>16194</v>
      </c>
      <c r="E15" t="s">
        <v>16218</v>
      </c>
      <c r="F15" t="s">
        <v>16221</v>
      </c>
      <c r="G15" t="s">
        <v>16227</v>
      </c>
      <c r="H15" t="s">
        <v>16226</v>
      </c>
      <c r="I15" t="s">
        <v>16307</v>
      </c>
      <c r="J15" t="s">
        <v>16386</v>
      </c>
      <c r="K15">
        <v>0.228</v>
      </c>
      <c r="L15">
        <v>9912</v>
      </c>
      <c r="M15">
        <v>2758</v>
      </c>
      <c r="N15" t="s">
        <v>16393</v>
      </c>
      <c r="O15" s="4">
        <v>34158</v>
      </c>
      <c r="P15" s="4">
        <v>104030</v>
      </c>
      <c r="Q15" s="4">
        <v>138188</v>
      </c>
      <c r="R15" s="4">
        <v>414564</v>
      </c>
      <c r="S15" t="s">
        <v>16415</v>
      </c>
      <c r="T15" s="6">
        <v>43647</v>
      </c>
      <c r="U15" s="4">
        <v>278000</v>
      </c>
      <c r="V15" t="s">
        <v>23739</v>
      </c>
      <c r="W15" t="s">
        <v>16415</v>
      </c>
      <c r="X15" t="s">
        <v>3</v>
      </c>
      <c r="AA15" s="5" t="str">
        <f>HYPERLINK("https://www.zillow.com/homes/240-WINDSOR-DR-BARTLETT-IL-601035181_rb/","check listing")</f>
        <v>check listing</v>
      </c>
      <c r="AB15" s="5" t="str">
        <f>HYPERLINK("https://propertylookup.dupagecounty.gov/Datalets/Datalet.aspx?UseSearch=no&amp;mode=sales&amp;pin=0111206023","sales record")</f>
        <v>sales record</v>
      </c>
      <c r="AC15" t="s">
        <v>3</v>
      </c>
      <c r="AD15">
        <v>41.971707</v>
      </c>
      <c r="AE15">
        <v>-88.17369100000001</v>
      </c>
      <c r="AF15" s="5" t="str">
        <f>HYPERLINK("https://www.google.com/maps/search/?api=1&amp;query=41.971707,-88.173691","map")</f>
        <v>map</v>
      </c>
    </row>
    <row r="16" spans="1:32">
      <c r="A16" t="s">
        <v>66</v>
      </c>
      <c r="B16" t="s">
        <v>7662</v>
      </c>
      <c r="C16" t="s">
        <v>15104</v>
      </c>
      <c r="D16" t="s">
        <v>16194</v>
      </c>
      <c r="E16" t="s">
        <v>16218</v>
      </c>
      <c r="F16" t="s">
        <v>16221</v>
      </c>
      <c r="G16" t="s">
        <v>16227</v>
      </c>
      <c r="H16" t="s">
        <v>16226</v>
      </c>
      <c r="I16" t="s">
        <v>16307</v>
      </c>
      <c r="J16" t="s">
        <v>16386</v>
      </c>
      <c r="K16">
        <v>0.219</v>
      </c>
      <c r="L16">
        <v>9548</v>
      </c>
      <c r="M16">
        <v>1715</v>
      </c>
      <c r="N16" t="s">
        <v>16393</v>
      </c>
      <c r="O16" s="4">
        <v>34158</v>
      </c>
      <c r="P16" s="4">
        <v>109494</v>
      </c>
      <c r="Q16" s="4">
        <v>143652</v>
      </c>
      <c r="R16" s="4">
        <v>430956</v>
      </c>
      <c r="S16" t="s">
        <v>16416</v>
      </c>
      <c r="T16" s="6">
        <v>43647</v>
      </c>
      <c r="U16" s="4">
        <v>277000</v>
      </c>
      <c r="V16" t="s">
        <v>23739</v>
      </c>
      <c r="W16" t="s">
        <v>23754</v>
      </c>
      <c r="X16" t="s">
        <v>3</v>
      </c>
      <c r="AA16" s="5" t="str">
        <f>HYPERLINK("https://www.zillow.com/homes/201-BUCKINGHAM-DR-BARTLETT-IL-601035167_rb/","check listing")</f>
        <v>check listing</v>
      </c>
      <c r="AB16" s="5" t="str">
        <f>HYPERLINK("https://propertylookup.dupagecounty.gov/Datalets/Datalet.aspx?UseSearch=no&amp;mode=sales&amp;pin=0111104001","sales record")</f>
        <v>sales record</v>
      </c>
      <c r="AC16" t="s">
        <v>3</v>
      </c>
      <c r="AD16">
        <v>41.971964</v>
      </c>
      <c r="AE16">
        <v>-88.175372</v>
      </c>
      <c r="AF16" s="5" t="str">
        <f>HYPERLINK("https://www.google.com/maps/search/?api=1&amp;query=41.971964,-88.175372","map")</f>
        <v>map</v>
      </c>
    </row>
    <row r="17" spans="1:32">
      <c r="A17" t="s">
        <v>67</v>
      </c>
      <c r="B17" t="s">
        <v>7663</v>
      </c>
      <c r="C17" t="s">
        <v>15099</v>
      </c>
      <c r="D17" t="s">
        <v>16194</v>
      </c>
      <c r="E17" t="s">
        <v>16218</v>
      </c>
      <c r="F17" t="s">
        <v>16221</v>
      </c>
      <c r="G17" t="s">
        <v>16227</v>
      </c>
      <c r="H17" t="s">
        <v>16226</v>
      </c>
      <c r="I17" t="s">
        <v>16307</v>
      </c>
      <c r="J17" t="s">
        <v>16386</v>
      </c>
      <c r="K17">
        <v>0.219</v>
      </c>
      <c r="L17">
        <v>9540</v>
      </c>
      <c r="M17">
        <v>2141</v>
      </c>
      <c r="N17" t="s">
        <v>16393</v>
      </c>
      <c r="O17" s="4">
        <v>34158</v>
      </c>
      <c r="P17" s="4">
        <v>100436</v>
      </c>
      <c r="Q17" s="4">
        <v>134594</v>
      </c>
      <c r="R17" s="4">
        <v>403782</v>
      </c>
      <c r="S17" t="s">
        <v>16417</v>
      </c>
      <c r="T17" s="6">
        <v>41000</v>
      </c>
      <c r="U17" s="4">
        <v>185000</v>
      </c>
      <c r="V17" t="s">
        <v>23739</v>
      </c>
      <c r="W17" t="s">
        <v>23755</v>
      </c>
      <c r="X17" t="s">
        <v>3</v>
      </c>
      <c r="AA17" s="5" t="str">
        <f>HYPERLINK("https://www.zillow.com/homes/290-WINDSOR-DR-BARTLETT-IL-60103_rb/","check listing")</f>
        <v>check listing</v>
      </c>
      <c r="AB17" s="5" t="str">
        <f>HYPERLINK("https://propertylookup.dupagecounty.gov/Datalets/Datalet.aspx?UseSearch=no&amp;mode=sales&amp;pin=0111206008","sales record")</f>
        <v>sales record</v>
      </c>
      <c r="AC17" t="s">
        <v>3</v>
      </c>
      <c r="AD17">
        <v>41.971775</v>
      </c>
      <c r="AE17">
        <v>-88.171477</v>
      </c>
      <c r="AF17" s="5" t="str">
        <f>HYPERLINK("https://www.google.com/maps/search/?api=1&amp;query=41.971775,-88.171477","map")</f>
        <v>map</v>
      </c>
    </row>
    <row r="18" spans="1:32">
      <c r="A18" t="s">
        <v>68</v>
      </c>
      <c r="B18" t="s">
        <v>7664</v>
      </c>
      <c r="C18" t="s">
        <v>15099</v>
      </c>
      <c r="D18" t="s">
        <v>16194</v>
      </c>
      <c r="E18" t="s">
        <v>16218</v>
      </c>
      <c r="F18" t="s">
        <v>16221</v>
      </c>
      <c r="G18" t="s">
        <v>16227</v>
      </c>
      <c r="H18" t="s">
        <v>16226</v>
      </c>
      <c r="I18" t="s">
        <v>16307</v>
      </c>
      <c r="J18" t="s">
        <v>16386</v>
      </c>
      <c r="K18">
        <v>0.218</v>
      </c>
      <c r="L18">
        <v>9486</v>
      </c>
      <c r="M18">
        <v>2486</v>
      </c>
      <c r="N18" t="s">
        <v>16393</v>
      </c>
      <c r="O18" s="4">
        <v>34158</v>
      </c>
      <c r="P18" s="4">
        <v>102210</v>
      </c>
      <c r="Q18" s="4">
        <v>136368</v>
      </c>
      <c r="R18" s="4">
        <v>409104</v>
      </c>
      <c r="S18" t="s">
        <v>16418</v>
      </c>
      <c r="T18" s="6">
        <v>38322</v>
      </c>
      <c r="U18" s="4">
        <v>325000</v>
      </c>
      <c r="V18" t="s">
        <v>23739</v>
      </c>
      <c r="W18" t="s">
        <v>23756</v>
      </c>
      <c r="X18" t="s">
        <v>3</v>
      </c>
      <c r="AA18" s="5" t="str">
        <f>HYPERLINK("https://www.zillow.com/homes/229-BUCKINGHAM-DR-BARTLETT-IL-60103_rb/","check listing")</f>
        <v>check listing</v>
      </c>
      <c r="AB18" s="5" t="str">
        <f>HYPERLINK("https://propertylookup.dupagecounty.gov/Datalets/Datalet.aspx?UseSearch=no&amp;mode=sales&amp;pin=0111104015","sales record")</f>
        <v>sales record</v>
      </c>
      <c r="AC18" t="s">
        <v>3</v>
      </c>
      <c r="AD18">
        <v>41.971181</v>
      </c>
      <c r="AE18">
        <v>-88.17562599999999</v>
      </c>
      <c r="AF18" s="5" t="str">
        <f>HYPERLINK("https://www.google.com/maps/search/?api=1&amp;query=41.971181,-88.175626","map")</f>
        <v>map</v>
      </c>
    </row>
    <row r="19" spans="1:32">
      <c r="A19" t="s">
        <v>69</v>
      </c>
      <c r="B19" t="s">
        <v>7665</v>
      </c>
      <c r="C19" t="s">
        <v>15099</v>
      </c>
      <c r="D19" t="s">
        <v>16194</v>
      </c>
      <c r="E19" t="s">
        <v>16218</v>
      </c>
      <c r="F19" t="s">
        <v>16221</v>
      </c>
      <c r="G19" t="s">
        <v>16227</v>
      </c>
      <c r="H19" t="s">
        <v>16226</v>
      </c>
      <c r="I19" t="s">
        <v>16307</v>
      </c>
      <c r="J19" t="s">
        <v>16386</v>
      </c>
      <c r="K19">
        <v>0.209</v>
      </c>
      <c r="L19">
        <v>9095</v>
      </c>
      <c r="M19">
        <v>2539</v>
      </c>
      <c r="N19" t="s">
        <v>16393</v>
      </c>
      <c r="O19" s="4">
        <v>34158</v>
      </c>
      <c r="P19" s="4">
        <v>105827</v>
      </c>
      <c r="Q19" s="4">
        <v>139985</v>
      </c>
      <c r="R19" s="4">
        <v>419955</v>
      </c>
      <c r="S19" t="s">
        <v>16419</v>
      </c>
      <c r="T19" s="6">
        <v>45775</v>
      </c>
      <c r="U19" s="4">
        <v>325000</v>
      </c>
      <c r="V19" t="s">
        <v>23739</v>
      </c>
      <c r="W19" t="s">
        <v>23757</v>
      </c>
      <c r="X19" t="s">
        <v>3</v>
      </c>
      <c r="AA19" s="5" t="str">
        <f>HYPERLINK("https://www.zillow.com/homes/329-WINDSOR-DR-BARTLETT-IL-60103_rb/","check listing")</f>
        <v>check listing</v>
      </c>
      <c r="AB19" s="5" t="str">
        <f>HYPERLINK("https://propertylookup.dupagecounty.gov/Datalets/Datalet.aspx?UseSearch=no&amp;mode=sales&amp;pin=0111207043","sales record")</f>
        <v>sales record</v>
      </c>
      <c r="AC19" t="s">
        <v>3</v>
      </c>
      <c r="AD19">
        <v>41.971483</v>
      </c>
      <c r="AE19">
        <v>-88.170187</v>
      </c>
      <c r="AF19" s="5" t="str">
        <f>HYPERLINK("https://www.google.com/maps/search/?api=1&amp;query=41.971483,-88.170187","map")</f>
        <v>map</v>
      </c>
    </row>
    <row r="20" spans="1:32">
      <c r="A20" t="s">
        <v>70</v>
      </c>
      <c r="B20" t="s">
        <v>7666</v>
      </c>
      <c r="C20" t="s">
        <v>15101</v>
      </c>
      <c r="D20" t="s">
        <v>16194</v>
      </c>
      <c r="E20" t="s">
        <v>16218</v>
      </c>
      <c r="F20" t="s">
        <v>16221</v>
      </c>
      <c r="G20" t="s">
        <v>16227</v>
      </c>
      <c r="H20" t="s">
        <v>16226</v>
      </c>
      <c r="I20" t="s">
        <v>16307</v>
      </c>
      <c r="J20" t="s">
        <v>16386</v>
      </c>
      <c r="K20">
        <v>0.209</v>
      </c>
      <c r="L20">
        <v>9086</v>
      </c>
      <c r="M20">
        <v>2309</v>
      </c>
      <c r="N20" t="s">
        <v>16393</v>
      </c>
      <c r="O20" s="4">
        <v>34158</v>
      </c>
      <c r="P20" s="4">
        <v>106869</v>
      </c>
      <c r="Q20" s="4">
        <v>141027</v>
      </c>
      <c r="R20" s="4">
        <v>423081</v>
      </c>
      <c r="S20" t="s">
        <v>16420</v>
      </c>
      <c r="T20" s="6">
        <v>43525</v>
      </c>
      <c r="U20" s="4">
        <v>253500</v>
      </c>
      <c r="V20" t="s">
        <v>16232</v>
      </c>
      <c r="W20" t="s">
        <v>16420</v>
      </c>
      <c r="X20" t="s">
        <v>3</v>
      </c>
      <c r="AA20" s="5" t="str">
        <f>HYPERLINK("https://www.zillow.com/homes/289-WINDSOR-DR-BARTLETT-IL-601035175_rb/","check listing")</f>
        <v>check listing</v>
      </c>
      <c r="AB20" s="5" t="str">
        <f>HYPERLINK("https://propertylookup.dupagecounty.gov/Datalets/Datalet.aspx?UseSearch=no&amp;mode=sales&amp;pin=0111207026","sales record")</f>
        <v>sales record</v>
      </c>
      <c r="AC20" t="s">
        <v>3</v>
      </c>
      <c r="AD20">
        <v>41.971319</v>
      </c>
      <c r="AE20">
        <v>-88.171559</v>
      </c>
      <c r="AF20" s="5" t="str">
        <f>HYPERLINK("https://www.google.com/maps/search/?api=1&amp;query=41.971319,-88.171559","map")</f>
        <v>map</v>
      </c>
    </row>
    <row r="21" spans="1:32">
      <c r="A21" t="s">
        <v>71</v>
      </c>
      <c r="B21" t="s">
        <v>7667</v>
      </c>
      <c r="C21" t="s">
        <v>15103</v>
      </c>
      <c r="D21" t="s">
        <v>16194</v>
      </c>
      <c r="E21" t="s">
        <v>16218</v>
      </c>
      <c r="F21" t="s">
        <v>16221</v>
      </c>
      <c r="G21" t="s">
        <v>16227</v>
      </c>
      <c r="H21" t="s">
        <v>16226</v>
      </c>
      <c r="I21" t="s">
        <v>16307</v>
      </c>
      <c r="J21" t="s">
        <v>16386</v>
      </c>
      <c r="K21">
        <v>0.208</v>
      </c>
      <c r="L21">
        <v>9048</v>
      </c>
      <c r="M21">
        <v>2145</v>
      </c>
      <c r="N21" t="s">
        <v>16393</v>
      </c>
      <c r="O21" s="4">
        <v>34158</v>
      </c>
      <c r="P21" s="4">
        <v>112561</v>
      </c>
      <c r="Q21" s="4">
        <v>146719</v>
      </c>
      <c r="R21" s="4">
        <v>440157</v>
      </c>
      <c r="S21" t="s">
        <v>16421</v>
      </c>
      <c r="T21" s="6">
        <v>44621</v>
      </c>
      <c r="U21" s="4">
        <v>405000</v>
      </c>
      <c r="V21" t="s">
        <v>23739</v>
      </c>
      <c r="W21" t="s">
        <v>23758</v>
      </c>
      <c r="X21" t="s">
        <v>3</v>
      </c>
      <c r="AA21" s="5" t="str">
        <f>HYPERLINK("https://www.zillow.com/homes/230-WINDSOR-DR-BARTLETT-IL-601035181_rb/","check listing")</f>
        <v>check listing</v>
      </c>
      <c r="AB21" s="5" t="str">
        <f>HYPERLINK("https://propertylookup.dupagecounty.gov/Datalets/Datalet.aspx?UseSearch=no&amp;mode=sales&amp;pin=0111105003","sales record")</f>
        <v>sales record</v>
      </c>
      <c r="AC21" t="s">
        <v>3</v>
      </c>
      <c r="AD21">
        <v>41.971544</v>
      </c>
      <c r="AE21">
        <v>-88.17436499999999</v>
      </c>
      <c r="AF21" s="5" t="str">
        <f>HYPERLINK("https://www.google.com/maps/search/?api=1&amp;query=41.971544,-88.174365","map")</f>
        <v>map</v>
      </c>
    </row>
    <row r="22" spans="1:32">
      <c r="A22" t="s">
        <v>72</v>
      </c>
      <c r="B22" t="s">
        <v>7668</v>
      </c>
      <c r="C22" t="s">
        <v>15099</v>
      </c>
      <c r="D22" t="s">
        <v>16194</v>
      </c>
      <c r="E22" t="s">
        <v>16218</v>
      </c>
      <c r="F22" t="s">
        <v>16221</v>
      </c>
      <c r="G22" t="s">
        <v>16227</v>
      </c>
      <c r="H22" t="s">
        <v>16226</v>
      </c>
      <c r="I22" t="s">
        <v>16307</v>
      </c>
      <c r="J22" t="s">
        <v>16386</v>
      </c>
      <c r="K22">
        <v>0.207</v>
      </c>
      <c r="L22">
        <v>9015</v>
      </c>
      <c r="M22">
        <v>2309</v>
      </c>
      <c r="N22" t="s">
        <v>16393</v>
      </c>
      <c r="O22" s="4">
        <v>34158</v>
      </c>
      <c r="P22" s="4">
        <v>107948</v>
      </c>
      <c r="Q22" s="4">
        <v>142106</v>
      </c>
      <c r="R22" s="4">
        <v>426318</v>
      </c>
      <c r="S22" t="s">
        <v>16422</v>
      </c>
      <c r="T22" s="6">
        <v>40817</v>
      </c>
      <c r="U22" s="4">
        <v>240000</v>
      </c>
      <c r="V22" t="s">
        <v>23739</v>
      </c>
      <c r="W22" t="s">
        <v>23759</v>
      </c>
      <c r="X22" t="s">
        <v>3</v>
      </c>
      <c r="AA22" s="5" t="str">
        <f>HYPERLINK("https://www.zillow.com/homes/223-WINDSOR-DR-BARTLETT-IL-60103_rb/","check listing")</f>
        <v>check listing</v>
      </c>
      <c r="AB22" s="5" t="str">
        <f>HYPERLINK("https://propertylookup.dupagecounty.gov/Datalets/Datalet.aspx?UseSearch=no&amp;mode=sales&amp;pin=0111104024","sales record")</f>
        <v>sales record</v>
      </c>
      <c r="AC22" t="s">
        <v>3</v>
      </c>
      <c r="AD22">
        <v>41.971139</v>
      </c>
      <c r="AE22">
        <v>-88.174496</v>
      </c>
      <c r="AF22" s="5" t="str">
        <f>HYPERLINK("https://www.google.com/maps/search/?api=1&amp;query=41.971139,-88.174496","map")</f>
        <v>map</v>
      </c>
    </row>
    <row r="23" spans="1:32">
      <c r="A23" t="s">
        <v>73</v>
      </c>
      <c r="B23" t="s">
        <v>7669</v>
      </c>
      <c r="C23" t="s">
        <v>15103</v>
      </c>
      <c r="D23" t="s">
        <v>16194</v>
      </c>
      <c r="E23" t="s">
        <v>16218</v>
      </c>
      <c r="F23" t="s">
        <v>16221</v>
      </c>
      <c r="G23" t="s">
        <v>16227</v>
      </c>
      <c r="H23" t="s">
        <v>16226</v>
      </c>
      <c r="I23" t="s">
        <v>16307</v>
      </c>
      <c r="J23" t="s">
        <v>16386</v>
      </c>
      <c r="K23">
        <v>0.203</v>
      </c>
      <c r="L23">
        <v>8852</v>
      </c>
      <c r="M23">
        <v>1980</v>
      </c>
      <c r="N23" t="s">
        <v>16393</v>
      </c>
      <c r="O23" s="4">
        <v>34158</v>
      </c>
      <c r="P23" s="4">
        <v>107433</v>
      </c>
      <c r="Q23" s="4">
        <v>141591</v>
      </c>
      <c r="R23" s="4">
        <v>424773</v>
      </c>
      <c r="S23" t="s">
        <v>16423</v>
      </c>
      <c r="T23" s="6">
        <v>33147</v>
      </c>
      <c r="U23" s="4">
        <v>181934</v>
      </c>
      <c r="X23" t="s">
        <v>3</v>
      </c>
      <c r="AA23" s="5" t="str">
        <f>HYPERLINK("https://www.zillow.com/homes/250-WINDSOR-DR-BARTLETT-IL-601035181_rb/","check listing")</f>
        <v>check listing</v>
      </c>
      <c r="AB23" s="5" t="str">
        <f>HYPERLINK("https://propertylookup.dupagecounty.gov/Datalets/Datalet.aspx?UseSearch=no&amp;mode=sales&amp;pin=0111206019","sales record")</f>
        <v>sales record</v>
      </c>
      <c r="AC23" t="s">
        <v>3</v>
      </c>
      <c r="AD23">
        <v>41.971718</v>
      </c>
      <c r="AE23">
        <v>-88.173323</v>
      </c>
      <c r="AF23" s="5" t="str">
        <f>HYPERLINK("https://www.google.com/maps/search/?api=1&amp;query=41.971718,-88.173323","map")</f>
        <v>map</v>
      </c>
    </row>
    <row r="24" spans="1:32">
      <c r="A24" t="s">
        <v>74</v>
      </c>
      <c r="B24" t="s">
        <v>7670</v>
      </c>
      <c r="C24" t="s">
        <v>15099</v>
      </c>
      <c r="D24" t="s">
        <v>16194</v>
      </c>
      <c r="E24" t="s">
        <v>16218</v>
      </c>
      <c r="F24" t="s">
        <v>16221</v>
      </c>
      <c r="G24" t="s">
        <v>16227</v>
      </c>
      <c r="H24" t="s">
        <v>16226</v>
      </c>
      <c r="I24" t="s">
        <v>16307</v>
      </c>
      <c r="J24" t="s">
        <v>16386</v>
      </c>
      <c r="K24">
        <v>0.2</v>
      </c>
      <c r="L24">
        <v>8701</v>
      </c>
      <c r="M24">
        <v>2768</v>
      </c>
      <c r="N24" t="s">
        <v>16393</v>
      </c>
      <c r="O24" s="4">
        <v>34158</v>
      </c>
      <c r="P24" s="4">
        <v>98951</v>
      </c>
      <c r="Q24" s="4">
        <v>133109</v>
      </c>
      <c r="R24" s="4">
        <v>399327</v>
      </c>
      <c r="S24" t="s">
        <v>16424</v>
      </c>
      <c r="T24" s="6">
        <v>39722</v>
      </c>
      <c r="U24" s="4">
        <v>298000</v>
      </c>
      <c r="V24" t="s">
        <v>23739</v>
      </c>
      <c r="W24" t="s">
        <v>23760</v>
      </c>
      <c r="X24" t="s">
        <v>3</v>
      </c>
      <c r="AA24" s="5" t="str">
        <f>HYPERLINK("https://www.zillow.com/homes/280-WINDSOR-DR-BARTLETT-IL-60103_rb/","check listing")</f>
        <v>check listing</v>
      </c>
      <c r="AB24" s="5" t="str">
        <f>HYPERLINK("https://propertylookup.dupagecounty.gov/Datalets/Datalet.aspx?UseSearch=no&amp;mode=sales&amp;pin=0111206013","sales record")</f>
        <v>sales record</v>
      </c>
      <c r="AC24" t="s">
        <v>3</v>
      </c>
      <c r="AD24">
        <v>41.971732</v>
      </c>
      <c r="AE24">
        <v>-88.17222</v>
      </c>
      <c r="AF24" s="5" t="str">
        <f>HYPERLINK("https://www.google.com/maps/search/?api=1&amp;query=41.971732,-88.17222","map")</f>
        <v>map</v>
      </c>
    </row>
    <row r="25" spans="1:32">
      <c r="A25" t="s">
        <v>75</v>
      </c>
      <c r="B25" t="s">
        <v>7671</v>
      </c>
      <c r="C25" t="s">
        <v>15103</v>
      </c>
      <c r="D25" t="s">
        <v>16194</v>
      </c>
      <c r="E25" t="s">
        <v>16218</v>
      </c>
      <c r="F25" t="s">
        <v>16221</v>
      </c>
      <c r="G25" t="s">
        <v>16227</v>
      </c>
      <c r="H25" t="s">
        <v>16226</v>
      </c>
      <c r="I25" t="s">
        <v>16307</v>
      </c>
      <c r="J25" t="s">
        <v>16386</v>
      </c>
      <c r="K25">
        <v>0.2</v>
      </c>
      <c r="L25">
        <v>8700</v>
      </c>
      <c r="M25">
        <v>2770</v>
      </c>
      <c r="N25" t="s">
        <v>16393</v>
      </c>
      <c r="O25" s="4">
        <v>34158</v>
      </c>
      <c r="P25" s="4">
        <v>104749</v>
      </c>
      <c r="Q25" s="4">
        <v>138907</v>
      </c>
      <c r="R25" s="4">
        <v>416721</v>
      </c>
      <c r="S25" t="s">
        <v>16425</v>
      </c>
      <c r="T25" s="6">
        <v>44682</v>
      </c>
      <c r="U25" s="4">
        <v>465000</v>
      </c>
      <c r="V25" t="s">
        <v>23739</v>
      </c>
      <c r="W25" t="s">
        <v>23761</v>
      </c>
      <c r="X25" t="s">
        <v>3</v>
      </c>
      <c r="AA25" s="5" t="str">
        <f>HYPERLINK("https://www.zillow.com/homes/288-WINDSOR-DR-BARTLETT-IL-601035181_rb/","check listing")</f>
        <v>check listing</v>
      </c>
      <c r="AB25" s="5" t="str">
        <f>HYPERLINK("https://propertylookup.dupagecounty.gov/Datalets/Datalet.aspx?UseSearch=no&amp;mode=sales&amp;pin=0111206009","sales record")</f>
        <v>sales record</v>
      </c>
      <c r="AC25" t="s">
        <v>3</v>
      </c>
      <c r="AD25">
        <v>41.971737</v>
      </c>
      <c r="AE25">
        <v>-88.171853</v>
      </c>
      <c r="AF25" s="5" t="str">
        <f>HYPERLINK("https://www.google.com/maps/search/?api=1&amp;query=41.971737,-88.171853","map")</f>
        <v>map</v>
      </c>
    </row>
    <row r="26" spans="1:32">
      <c r="A26" t="s">
        <v>76</v>
      </c>
      <c r="B26" t="s">
        <v>7672</v>
      </c>
      <c r="C26" t="s">
        <v>15099</v>
      </c>
      <c r="D26" t="s">
        <v>16194</v>
      </c>
      <c r="E26" t="s">
        <v>16218</v>
      </c>
      <c r="F26" t="s">
        <v>16221</v>
      </c>
      <c r="G26" t="s">
        <v>16227</v>
      </c>
      <c r="H26" t="s">
        <v>16226</v>
      </c>
      <c r="I26" t="s">
        <v>16307</v>
      </c>
      <c r="J26" t="s">
        <v>16386</v>
      </c>
      <c r="K26">
        <v>0.2</v>
      </c>
      <c r="L26">
        <v>8700</v>
      </c>
      <c r="M26">
        <v>2310</v>
      </c>
      <c r="N26" t="s">
        <v>16393</v>
      </c>
      <c r="O26" s="4">
        <v>34158</v>
      </c>
      <c r="P26" s="4">
        <v>104701</v>
      </c>
      <c r="Q26" s="4">
        <v>138859</v>
      </c>
      <c r="R26" s="4">
        <v>416577</v>
      </c>
      <c r="S26" t="s">
        <v>16426</v>
      </c>
      <c r="T26" s="6">
        <v>33543</v>
      </c>
      <c r="U26" s="4">
        <v>175025</v>
      </c>
      <c r="X26" t="s">
        <v>3</v>
      </c>
      <c r="AA26" s="5" t="str">
        <f>HYPERLINK("https://www.zillow.com/homes/WINDSOR-DR-BARTLETT-IL-60103_rb/","check listing")</f>
        <v>check listing</v>
      </c>
      <c r="AB26" s="5" t="str">
        <f>HYPERLINK("https://propertylookup.dupagecounty.gov/Datalets/Datalet.aspx?UseSearch=no&amp;mode=sales&amp;pin=0111207050","sales record")</f>
        <v>sales record</v>
      </c>
      <c r="AC26" t="s">
        <v>3</v>
      </c>
      <c r="AD26">
        <v>41.972016</v>
      </c>
      <c r="AE26">
        <v>-88.170106</v>
      </c>
      <c r="AF26" s="5" t="str">
        <f>HYPERLINK("https://www.google.com/maps/search/?api=1&amp;query=41.972016,-88.170106","map")</f>
        <v>map</v>
      </c>
    </row>
    <row r="27" spans="1:32">
      <c r="A27" t="s">
        <v>77</v>
      </c>
      <c r="B27" t="s">
        <v>7673</v>
      </c>
      <c r="C27" t="s">
        <v>15103</v>
      </c>
      <c r="D27" t="s">
        <v>16194</v>
      </c>
      <c r="E27" t="s">
        <v>16218</v>
      </c>
      <c r="F27" t="s">
        <v>16221</v>
      </c>
      <c r="G27" t="s">
        <v>16227</v>
      </c>
      <c r="H27" t="s">
        <v>16226</v>
      </c>
      <c r="I27" t="s">
        <v>16307</v>
      </c>
      <c r="J27" t="s">
        <v>16386</v>
      </c>
      <c r="K27">
        <v>0.2</v>
      </c>
      <c r="L27">
        <v>8699</v>
      </c>
      <c r="M27">
        <v>2562</v>
      </c>
      <c r="N27" t="s">
        <v>16393</v>
      </c>
      <c r="O27" s="4">
        <v>34158</v>
      </c>
      <c r="P27" s="4">
        <v>106666</v>
      </c>
      <c r="Q27" s="4">
        <v>140824</v>
      </c>
      <c r="R27" s="4">
        <v>422472</v>
      </c>
      <c r="S27" t="s">
        <v>16427</v>
      </c>
      <c r="T27" s="6">
        <v>40026</v>
      </c>
      <c r="U27" s="4">
        <v>296000</v>
      </c>
      <c r="V27" t="s">
        <v>23739</v>
      </c>
      <c r="W27" t="s">
        <v>23762</v>
      </c>
      <c r="X27" t="s">
        <v>3</v>
      </c>
      <c r="AA27" s="5" t="str">
        <f>HYPERLINK("https://www.zillow.com/homes/270-WINDSOR-DR-BARTLETT-IL-601035181_rb/","check listing")</f>
        <v>check listing</v>
      </c>
      <c r="AB27" s="5" t="str">
        <f>HYPERLINK("https://propertylookup.dupagecounty.gov/Datalets/Datalet.aspx?UseSearch=no&amp;mode=sales&amp;pin=0111206014","sales record")</f>
        <v>sales record</v>
      </c>
      <c r="AC27" t="s">
        <v>3</v>
      </c>
      <c r="AD27">
        <v>41.971728</v>
      </c>
      <c r="AE27">
        <v>-88.172588</v>
      </c>
      <c r="AF27" s="5" t="str">
        <f>HYPERLINK("https://www.google.com/maps/search/?api=1&amp;query=41.971728,-88.172588","map")</f>
        <v>map</v>
      </c>
    </row>
    <row r="28" spans="1:32">
      <c r="A28" t="s">
        <v>78</v>
      </c>
      <c r="B28" t="s">
        <v>7674</v>
      </c>
      <c r="C28" t="s">
        <v>15099</v>
      </c>
      <c r="D28" t="s">
        <v>16194</v>
      </c>
      <c r="E28" t="s">
        <v>16218</v>
      </c>
      <c r="F28" t="s">
        <v>16221</v>
      </c>
      <c r="G28" t="s">
        <v>16227</v>
      </c>
      <c r="H28" t="s">
        <v>16226</v>
      </c>
      <c r="I28" t="s">
        <v>16307</v>
      </c>
      <c r="J28" t="s">
        <v>16386</v>
      </c>
      <c r="K28">
        <v>0.2</v>
      </c>
      <c r="L28">
        <v>8699</v>
      </c>
      <c r="M28">
        <v>2177</v>
      </c>
      <c r="N28" t="s">
        <v>16393</v>
      </c>
      <c r="O28" s="4">
        <v>34158</v>
      </c>
      <c r="P28" s="4">
        <v>107697</v>
      </c>
      <c r="Q28" s="4">
        <v>141855</v>
      </c>
      <c r="R28" s="4">
        <v>425565</v>
      </c>
      <c r="S28" t="s">
        <v>16428</v>
      </c>
      <c r="T28" s="6">
        <v>44719</v>
      </c>
      <c r="U28" s="4">
        <v>465000</v>
      </c>
      <c r="V28" t="s">
        <v>23739</v>
      </c>
      <c r="W28" t="s">
        <v>23763</v>
      </c>
      <c r="X28" t="s">
        <v>3</v>
      </c>
      <c r="AA28" s="5" t="str">
        <f>HYPERLINK("https://www.zillow.com/homes/260-WINDSOR-DR-BARTLETT-IL-60103_rb/","check listing")</f>
        <v>check listing</v>
      </c>
      <c r="AB28" s="5" t="str">
        <f>HYPERLINK("https://propertylookup.dupagecounty.gov/Datalets/Datalet.aspx?UseSearch=no&amp;mode=sales&amp;pin=0111206018","sales record")</f>
        <v>sales record</v>
      </c>
      <c r="AC28" t="s">
        <v>3</v>
      </c>
      <c r="AD28">
        <v>41.971723</v>
      </c>
      <c r="AE28">
        <v>-88.172956</v>
      </c>
      <c r="AF28" s="5" t="str">
        <f>HYPERLINK("https://www.google.com/maps/search/?api=1&amp;query=41.971723,-88.172956","map")</f>
        <v>map</v>
      </c>
    </row>
    <row r="29" spans="1:32">
      <c r="A29" t="s">
        <v>79</v>
      </c>
      <c r="B29" t="s">
        <v>7675</v>
      </c>
      <c r="C29" t="s">
        <v>15101</v>
      </c>
      <c r="D29" t="s">
        <v>16194</v>
      </c>
      <c r="E29" t="s">
        <v>16218</v>
      </c>
      <c r="F29" t="s">
        <v>16221</v>
      </c>
      <c r="G29" t="s">
        <v>16227</v>
      </c>
      <c r="H29" t="s">
        <v>16226</v>
      </c>
      <c r="I29" t="s">
        <v>16307</v>
      </c>
      <c r="J29" t="s">
        <v>16386</v>
      </c>
      <c r="K29">
        <v>0.199</v>
      </c>
      <c r="L29">
        <v>8686</v>
      </c>
      <c r="M29">
        <v>1980</v>
      </c>
      <c r="N29" t="s">
        <v>16393</v>
      </c>
      <c r="O29" s="4">
        <v>34158</v>
      </c>
      <c r="P29" s="4">
        <v>108427</v>
      </c>
      <c r="Q29" s="4">
        <v>142585</v>
      </c>
      <c r="R29" s="4">
        <v>427755</v>
      </c>
      <c r="S29" t="s">
        <v>16429</v>
      </c>
      <c r="T29" s="6">
        <v>43556</v>
      </c>
      <c r="U29" s="4">
        <v>315000</v>
      </c>
      <c r="V29" t="s">
        <v>23739</v>
      </c>
      <c r="W29" t="s">
        <v>16429</v>
      </c>
      <c r="X29" t="s">
        <v>3</v>
      </c>
      <c r="AA29" s="5" t="str">
        <f>HYPERLINK("https://www.zillow.com/homes/267-WINDSOR-DR-BARTLETT-IL-601035175_rb/","check listing")</f>
        <v>check listing</v>
      </c>
      <c r="AB29" s="5" t="str">
        <f>HYPERLINK("https://propertylookup.dupagecounty.gov/Datalets/Datalet.aspx?UseSearch=no&amp;mode=sales&amp;pin=0111207016","sales record")</f>
        <v>sales record</v>
      </c>
      <c r="AC29" t="s">
        <v>3</v>
      </c>
      <c r="AD29">
        <v>41.971332</v>
      </c>
      <c r="AE29">
        <v>-88.17303</v>
      </c>
      <c r="AF29" s="5" t="str">
        <f>HYPERLINK("https://www.google.com/maps/search/?api=1&amp;query=41.971332,-88.17303","map")</f>
        <v>map</v>
      </c>
    </row>
    <row r="30" spans="1:32">
      <c r="A30" t="s">
        <v>80</v>
      </c>
      <c r="B30" t="s">
        <v>7676</v>
      </c>
      <c r="C30" t="s">
        <v>15099</v>
      </c>
      <c r="D30" t="s">
        <v>16194</v>
      </c>
      <c r="E30" t="s">
        <v>16218</v>
      </c>
      <c r="F30" t="s">
        <v>16221</v>
      </c>
      <c r="G30" t="s">
        <v>16227</v>
      </c>
      <c r="H30" t="s">
        <v>16226</v>
      </c>
      <c r="I30" t="s">
        <v>16307</v>
      </c>
      <c r="J30" t="s">
        <v>16386</v>
      </c>
      <c r="K30">
        <v>0.199</v>
      </c>
      <c r="L30">
        <v>8667</v>
      </c>
      <c r="M30">
        <v>2639</v>
      </c>
      <c r="N30" t="s">
        <v>16393</v>
      </c>
      <c r="O30" s="4">
        <v>34158</v>
      </c>
      <c r="P30" s="4">
        <v>106762</v>
      </c>
      <c r="Q30" s="4">
        <v>140920</v>
      </c>
      <c r="R30" s="4">
        <v>422760</v>
      </c>
      <c r="S30" t="s">
        <v>16430</v>
      </c>
      <c r="T30" s="6">
        <v>42186</v>
      </c>
      <c r="U30" s="4">
        <v>268000</v>
      </c>
      <c r="V30" t="s">
        <v>23739</v>
      </c>
      <c r="W30" t="s">
        <v>23764</v>
      </c>
      <c r="X30" t="s">
        <v>3</v>
      </c>
      <c r="AA30" s="5" t="str">
        <f>HYPERLINK("https://www.zillow.com/homes/271-WINDSOR-DR-BARTLETT-IL-60103_rb/","check listing")</f>
        <v>check listing</v>
      </c>
      <c r="AB30" s="5" t="str">
        <f>HYPERLINK("https://propertylookup.dupagecounty.gov/Datalets/Datalet.aspx?UseSearch=no&amp;mode=sales&amp;pin=0111207017","sales record")</f>
        <v>sales record</v>
      </c>
      <c r="AC30" t="s">
        <v>3</v>
      </c>
      <c r="AD30">
        <v>41.971338</v>
      </c>
      <c r="AE30">
        <v>-88.172662</v>
      </c>
      <c r="AF30" s="5" t="str">
        <f>HYPERLINK("https://www.google.com/maps/search/?api=1&amp;query=41.971338,-88.172662","map")</f>
        <v>map</v>
      </c>
    </row>
    <row r="31" spans="1:32">
      <c r="A31" t="s">
        <v>81</v>
      </c>
      <c r="B31" t="s">
        <v>7677</v>
      </c>
      <c r="C31" t="s">
        <v>15099</v>
      </c>
      <c r="D31" t="s">
        <v>16194</v>
      </c>
      <c r="E31" t="s">
        <v>16218</v>
      </c>
      <c r="F31" t="s">
        <v>16221</v>
      </c>
      <c r="G31" t="s">
        <v>16227</v>
      </c>
      <c r="H31" t="s">
        <v>16226</v>
      </c>
      <c r="I31" t="s">
        <v>16307</v>
      </c>
      <c r="J31" t="s">
        <v>16386</v>
      </c>
      <c r="K31">
        <v>0.199</v>
      </c>
      <c r="L31">
        <v>8647</v>
      </c>
      <c r="M31">
        <v>2308</v>
      </c>
      <c r="N31" t="s">
        <v>16393</v>
      </c>
      <c r="O31" s="4">
        <v>34158</v>
      </c>
      <c r="P31" s="4">
        <v>106079</v>
      </c>
      <c r="Q31" s="4">
        <v>140237</v>
      </c>
      <c r="R31" s="4">
        <v>420711</v>
      </c>
      <c r="S31" t="s">
        <v>16431</v>
      </c>
      <c r="T31" s="6">
        <v>41518</v>
      </c>
      <c r="U31" s="4">
        <v>250000</v>
      </c>
      <c r="V31" t="s">
        <v>23739</v>
      </c>
      <c r="W31" t="s">
        <v>23765</v>
      </c>
      <c r="X31" t="s">
        <v>3</v>
      </c>
      <c r="AA31" s="5" t="str">
        <f>HYPERLINK("https://www.zillow.com/homes/279-WINDSOR-DR-BARTLETT-IL-60103_rb/","check listing")</f>
        <v>check listing</v>
      </c>
      <c r="AB31" s="5" t="str">
        <f>HYPERLINK("https://propertylookup.dupagecounty.gov/Datalets/Datalet.aspx?UseSearch=no&amp;mode=sales&amp;pin=0111207021","sales record")</f>
        <v>sales record</v>
      </c>
      <c r="AC31" t="s">
        <v>3</v>
      </c>
      <c r="AD31">
        <v>41.971343</v>
      </c>
      <c r="AE31">
        <v>-88.17229399999999</v>
      </c>
      <c r="AF31" s="5" t="str">
        <f>HYPERLINK("https://www.google.com/maps/search/?api=1&amp;query=41.971343,-88.172294","map")</f>
        <v>map</v>
      </c>
    </row>
    <row r="32" spans="1:32">
      <c r="A32" t="s">
        <v>82</v>
      </c>
      <c r="B32" t="s">
        <v>7678</v>
      </c>
      <c r="C32" t="s">
        <v>15099</v>
      </c>
      <c r="D32" t="s">
        <v>16194</v>
      </c>
      <c r="E32" t="s">
        <v>16218</v>
      </c>
      <c r="F32" t="s">
        <v>16221</v>
      </c>
      <c r="G32" t="s">
        <v>16227</v>
      </c>
      <c r="H32" t="s">
        <v>16226</v>
      </c>
      <c r="I32" t="s">
        <v>16307</v>
      </c>
      <c r="J32" t="s">
        <v>16386</v>
      </c>
      <c r="K32">
        <v>0.198</v>
      </c>
      <c r="L32">
        <v>8621</v>
      </c>
      <c r="M32">
        <v>2658</v>
      </c>
      <c r="N32" t="s">
        <v>16393</v>
      </c>
      <c r="O32" s="4">
        <v>34158</v>
      </c>
      <c r="P32" s="4">
        <v>97189</v>
      </c>
      <c r="Q32" s="4">
        <v>131347</v>
      </c>
      <c r="R32" s="4">
        <v>394041</v>
      </c>
      <c r="S32" t="s">
        <v>16432</v>
      </c>
      <c r="T32" s="6">
        <v>45854</v>
      </c>
      <c r="U32" s="4">
        <v>449900</v>
      </c>
      <c r="V32" t="s">
        <v>23739</v>
      </c>
      <c r="W32" t="s">
        <v>23766</v>
      </c>
      <c r="X32" t="s">
        <v>3</v>
      </c>
      <c r="AA32" s="5" t="str">
        <f>HYPERLINK("https://www.zillow.com/homes/281-WINDSOR-DR-BARTLETT-IL-60103_rb/","check listing")</f>
        <v>check listing</v>
      </c>
      <c r="AB32" s="5" t="str">
        <f>HYPERLINK("https://propertylookup.dupagecounty.gov/Datalets/Datalet.aspx?UseSearch=no&amp;mode=sales&amp;pin=0111207022","sales record")</f>
        <v>sales record</v>
      </c>
      <c r="AC32" t="s">
        <v>3</v>
      </c>
      <c r="AD32">
        <v>41.971348</v>
      </c>
      <c r="AE32">
        <v>-88.171927</v>
      </c>
      <c r="AF32" s="5" t="str">
        <f>HYPERLINK("https://www.google.com/maps/search/?api=1&amp;query=41.971348,-88.171927","map")</f>
        <v>map</v>
      </c>
    </row>
    <row r="33" spans="1:32">
      <c r="A33" t="s">
        <v>83</v>
      </c>
      <c r="B33" t="s">
        <v>7679</v>
      </c>
      <c r="C33" t="s">
        <v>15099</v>
      </c>
      <c r="D33" t="s">
        <v>16194</v>
      </c>
      <c r="E33" t="s">
        <v>16218</v>
      </c>
      <c r="F33" t="s">
        <v>16221</v>
      </c>
      <c r="G33" t="s">
        <v>16227</v>
      </c>
      <c r="H33" t="s">
        <v>16226</v>
      </c>
      <c r="I33" t="s">
        <v>16307</v>
      </c>
      <c r="J33" t="s">
        <v>16386</v>
      </c>
      <c r="K33">
        <v>0.19</v>
      </c>
      <c r="L33">
        <v>8291</v>
      </c>
      <c r="M33">
        <v>2310</v>
      </c>
      <c r="N33" t="s">
        <v>16393</v>
      </c>
      <c r="O33" s="4">
        <v>34158</v>
      </c>
      <c r="P33" s="4">
        <v>109278</v>
      </c>
      <c r="Q33" s="4">
        <v>143436</v>
      </c>
      <c r="R33" s="4">
        <v>430308</v>
      </c>
      <c r="S33" t="s">
        <v>16433</v>
      </c>
      <c r="T33" s="6">
        <v>41214</v>
      </c>
      <c r="U33" s="4">
        <v>247500</v>
      </c>
      <c r="V33" t="s">
        <v>23739</v>
      </c>
      <c r="W33" t="s">
        <v>23767</v>
      </c>
      <c r="X33" t="s">
        <v>3</v>
      </c>
      <c r="AA33" s="5" t="str">
        <f>HYPERLINK("https://www.zillow.com/homes/209-BUCKINGHAM-DR-BARTLETT-IL-60103_rb/","check listing")</f>
        <v>check listing</v>
      </c>
      <c r="AB33" s="5" t="str">
        <f>HYPERLINK("https://propertylookup.dupagecounty.gov/Datalets/Datalet.aspx?UseSearch=no&amp;mode=sales&amp;pin=0111104005","sales record")</f>
        <v>sales record</v>
      </c>
      <c r="AC33" t="s">
        <v>3</v>
      </c>
      <c r="AD33">
        <v>41.971701</v>
      </c>
      <c r="AE33">
        <v>-88.176266</v>
      </c>
      <c r="AF33" s="5" t="str">
        <f>HYPERLINK("https://www.google.com/maps/search/?api=1&amp;query=41.971701,-88.176266","map")</f>
        <v>map</v>
      </c>
    </row>
    <row r="34" spans="1:32">
      <c r="A34" t="s">
        <v>84</v>
      </c>
      <c r="B34" t="s">
        <v>7680</v>
      </c>
      <c r="C34" t="s">
        <v>15099</v>
      </c>
      <c r="D34" t="s">
        <v>16194</v>
      </c>
      <c r="E34" t="s">
        <v>16218</v>
      </c>
      <c r="F34" t="s">
        <v>16221</v>
      </c>
      <c r="G34" t="s">
        <v>16227</v>
      </c>
      <c r="H34" t="s">
        <v>16226</v>
      </c>
      <c r="I34" t="s">
        <v>16307</v>
      </c>
      <c r="J34" t="s">
        <v>16386</v>
      </c>
      <c r="K34">
        <v>0.187</v>
      </c>
      <c r="L34">
        <v>8167</v>
      </c>
      <c r="M34">
        <v>1583</v>
      </c>
      <c r="N34" t="s">
        <v>16393</v>
      </c>
      <c r="O34" s="4">
        <v>34158</v>
      </c>
      <c r="P34" s="4">
        <v>101442</v>
      </c>
      <c r="Q34" s="4">
        <v>135600</v>
      </c>
      <c r="R34" s="4">
        <v>406800</v>
      </c>
      <c r="S34" t="s">
        <v>16434</v>
      </c>
      <c r="T34" s="6">
        <v>42095</v>
      </c>
      <c r="U34" s="4">
        <v>252800</v>
      </c>
      <c r="V34" t="s">
        <v>23740</v>
      </c>
      <c r="W34" t="s">
        <v>23768</v>
      </c>
      <c r="X34" t="s">
        <v>3</v>
      </c>
      <c r="AA34" s="5" t="str">
        <f>HYPERLINK("https://www.zillow.com/homes/234-WINDSOR-DR-BARTLETT-IL-60103_rb/","check listing")</f>
        <v>check listing</v>
      </c>
      <c r="AB34" s="5" t="str">
        <f>HYPERLINK("https://propertylookup.dupagecounty.gov/Datalets/Datalet.aspx?UseSearch=no&amp;mode=sales&amp;pin=0111105001","sales record")</f>
        <v>sales record</v>
      </c>
      <c r="AC34" t="s">
        <v>3</v>
      </c>
      <c r="AD34">
        <v>41.971992</v>
      </c>
      <c r="AE34">
        <v>-88.174442</v>
      </c>
      <c r="AF34" s="5" t="str">
        <f>HYPERLINK("https://www.google.com/maps/search/?api=1&amp;query=41.971992,-88.174442","map")</f>
        <v>map</v>
      </c>
    </row>
    <row r="35" spans="1:32">
      <c r="A35" t="s">
        <v>85</v>
      </c>
      <c r="B35" t="s">
        <v>7681</v>
      </c>
      <c r="C35" t="s">
        <v>15099</v>
      </c>
      <c r="D35" t="s">
        <v>16194</v>
      </c>
      <c r="E35" t="s">
        <v>16218</v>
      </c>
      <c r="F35" t="s">
        <v>16221</v>
      </c>
      <c r="G35" t="s">
        <v>16227</v>
      </c>
      <c r="H35" t="s">
        <v>16226</v>
      </c>
      <c r="I35" t="s">
        <v>16307</v>
      </c>
      <c r="J35" t="s">
        <v>16386</v>
      </c>
      <c r="K35">
        <v>0.186</v>
      </c>
      <c r="L35">
        <v>8103</v>
      </c>
      <c r="M35">
        <v>2540</v>
      </c>
      <c r="N35" t="s">
        <v>16393</v>
      </c>
      <c r="O35" s="4">
        <v>34158</v>
      </c>
      <c r="P35" s="4">
        <v>104162</v>
      </c>
      <c r="Q35" s="4">
        <v>138320</v>
      </c>
      <c r="R35" s="4">
        <v>414960</v>
      </c>
      <c r="S35" t="s">
        <v>16435</v>
      </c>
      <c r="T35" s="6">
        <v>36739</v>
      </c>
      <c r="U35" s="4">
        <v>222000</v>
      </c>
      <c r="V35" t="s">
        <v>23739</v>
      </c>
      <c r="W35" t="s">
        <v>23769</v>
      </c>
      <c r="X35" t="s">
        <v>3</v>
      </c>
      <c r="AA35" s="5" t="str">
        <f>HYPERLINK("https://www.zillow.com/homes/340-WINDSOR-DR-BARTLETT-IL-60103_rb/","check listing")</f>
        <v>check listing</v>
      </c>
      <c r="AB35" s="5" t="str">
        <f>HYPERLINK("https://propertylookup.dupagecounty.gov/Datalets/Datalet.aspx?UseSearch=no&amp;mode=sales&amp;pin=0111206001","sales record")</f>
        <v>sales record</v>
      </c>
      <c r="AC35" t="s">
        <v>3</v>
      </c>
      <c r="AD35">
        <v>41.97205</v>
      </c>
      <c r="AE35">
        <v>-88.17068</v>
      </c>
      <c r="AF35" s="5" t="str">
        <f>HYPERLINK("https://www.google.com/maps/search/?api=1&amp;query=41.97205,-88.17068","map")</f>
        <v>map</v>
      </c>
    </row>
    <row r="36" spans="1:32">
      <c r="A36" t="s">
        <v>86</v>
      </c>
      <c r="B36" t="s">
        <v>7682</v>
      </c>
      <c r="C36" t="s">
        <v>15099</v>
      </c>
      <c r="D36" t="s">
        <v>16194</v>
      </c>
      <c r="E36" t="s">
        <v>16218</v>
      </c>
      <c r="F36" t="s">
        <v>16221</v>
      </c>
      <c r="G36" t="s">
        <v>16227</v>
      </c>
      <c r="H36" t="s">
        <v>16226</v>
      </c>
      <c r="I36" t="s">
        <v>16307</v>
      </c>
      <c r="J36" t="s">
        <v>16386</v>
      </c>
      <c r="K36">
        <v>0.18</v>
      </c>
      <c r="L36">
        <v>7841</v>
      </c>
      <c r="M36">
        <v>1980</v>
      </c>
      <c r="N36" t="s">
        <v>16393</v>
      </c>
      <c r="O36" s="4">
        <v>34158</v>
      </c>
      <c r="P36" s="4">
        <v>108787</v>
      </c>
      <c r="Q36" s="4">
        <v>142945</v>
      </c>
      <c r="R36" s="4">
        <v>428835</v>
      </c>
      <c r="S36" t="s">
        <v>16436</v>
      </c>
      <c r="T36" s="6">
        <v>38504</v>
      </c>
      <c r="U36" s="4">
        <v>330000</v>
      </c>
      <c r="V36" t="s">
        <v>23739</v>
      </c>
      <c r="W36" t="s">
        <v>23770</v>
      </c>
      <c r="X36" t="s">
        <v>3</v>
      </c>
      <c r="AA36" s="5" t="str">
        <f>HYPERLINK("https://www.zillow.com/homes/317-BALMORAL-DR-BARTLETT-IL-60103_rb/","check listing")</f>
        <v>check listing</v>
      </c>
      <c r="AB36" s="5" t="str">
        <f>HYPERLINK("https://propertylookup.dupagecounty.gov/Datalets/Datalet.aspx?UseSearch=no&amp;mode=sales&amp;pin=0111207037","sales record")</f>
        <v>sales record</v>
      </c>
      <c r="AC36" t="s">
        <v>3</v>
      </c>
      <c r="AD36">
        <v>41.970726</v>
      </c>
      <c r="AE36">
        <v>-88.169479</v>
      </c>
      <c r="AF36" s="5" t="str">
        <f>HYPERLINK("https://www.google.com/maps/search/?api=1&amp;query=41.970726,-88.169479","map")</f>
        <v>map</v>
      </c>
    </row>
    <row r="37" spans="1:32">
      <c r="A37" t="s">
        <v>87</v>
      </c>
      <c r="B37" t="s">
        <v>7683</v>
      </c>
      <c r="C37" t="s">
        <v>15099</v>
      </c>
      <c r="D37" t="s">
        <v>16194</v>
      </c>
      <c r="E37" t="s">
        <v>16218</v>
      </c>
      <c r="F37" t="s">
        <v>16221</v>
      </c>
      <c r="G37" t="s">
        <v>16227</v>
      </c>
      <c r="H37" t="s">
        <v>16226</v>
      </c>
      <c r="I37" t="s">
        <v>16307</v>
      </c>
      <c r="J37" t="s">
        <v>16386</v>
      </c>
      <c r="K37">
        <v>0.179</v>
      </c>
      <c r="L37">
        <v>7776</v>
      </c>
      <c r="M37">
        <v>2375</v>
      </c>
      <c r="N37" t="s">
        <v>16393</v>
      </c>
      <c r="O37" s="4">
        <v>34158</v>
      </c>
      <c r="P37" s="4">
        <v>86813</v>
      </c>
      <c r="Q37" s="4">
        <v>120971</v>
      </c>
      <c r="R37" s="4">
        <v>362913</v>
      </c>
      <c r="S37" t="s">
        <v>16437</v>
      </c>
      <c r="T37" s="6">
        <v>42217</v>
      </c>
      <c r="U37" s="4">
        <v>257900</v>
      </c>
      <c r="V37" t="s">
        <v>23739</v>
      </c>
      <c r="W37" t="s">
        <v>16437</v>
      </c>
      <c r="X37" t="s">
        <v>3</v>
      </c>
      <c r="AA37" s="5" t="str">
        <f>HYPERLINK("https://www.zillow.com/homes/330-WINDSOR-DR-BARTLETT-IL-60103_rb/","check listing")</f>
        <v>check listing</v>
      </c>
      <c r="AB37" s="5" t="str">
        <f>HYPERLINK("https://propertylookup.dupagecounty.gov/Datalets/Datalet.aspx?UseSearch=no&amp;mode=sales&amp;pin=0111206002","sales record")</f>
        <v>sales record</v>
      </c>
      <c r="AC37" t="s">
        <v>3</v>
      </c>
      <c r="AD37">
        <v>41.971878</v>
      </c>
      <c r="AE37">
        <v>-88.170676</v>
      </c>
      <c r="AF37" s="5" t="str">
        <f>HYPERLINK("https://www.google.com/maps/search/?api=1&amp;query=41.971878,-88.170676","map")</f>
        <v>map</v>
      </c>
    </row>
    <row r="38" spans="1:32">
      <c r="A38" t="s">
        <v>88</v>
      </c>
      <c r="B38" t="s">
        <v>7684</v>
      </c>
      <c r="C38" t="s">
        <v>15099</v>
      </c>
      <c r="D38" t="s">
        <v>16194</v>
      </c>
      <c r="E38" t="s">
        <v>16218</v>
      </c>
      <c r="F38" t="s">
        <v>16221</v>
      </c>
      <c r="G38" t="s">
        <v>16227</v>
      </c>
      <c r="H38" t="s">
        <v>16226</v>
      </c>
      <c r="I38" t="s">
        <v>16307</v>
      </c>
      <c r="J38" t="s">
        <v>16386</v>
      </c>
      <c r="K38">
        <v>0.177</v>
      </c>
      <c r="L38">
        <v>7726</v>
      </c>
      <c r="M38">
        <v>2375</v>
      </c>
      <c r="N38" t="s">
        <v>16393</v>
      </c>
      <c r="O38" s="4">
        <v>34158</v>
      </c>
      <c r="P38" s="4">
        <v>104749</v>
      </c>
      <c r="Q38" s="4">
        <v>138907</v>
      </c>
      <c r="R38" s="4">
        <v>416721</v>
      </c>
      <c r="S38" t="s">
        <v>16438</v>
      </c>
      <c r="T38" s="6">
        <v>39539</v>
      </c>
      <c r="U38" s="4">
        <v>299900</v>
      </c>
      <c r="V38" t="s">
        <v>23739</v>
      </c>
      <c r="W38" t="s">
        <v>23771</v>
      </c>
      <c r="X38" t="s">
        <v>3</v>
      </c>
      <c r="AA38" s="5" t="str">
        <f>HYPERLINK("https://www.zillow.com/homes/203-BUCKINGHAM-DR-BARTLETT-IL-60103_rb/","check listing")</f>
        <v>check listing</v>
      </c>
      <c r="AB38" s="5" t="str">
        <f>HYPERLINK("https://propertylookup.dupagecounty.gov/Datalets/Datalet.aspx?UseSearch=no&amp;mode=sales&amp;pin=0111104002","sales record")</f>
        <v>sales record</v>
      </c>
      <c r="AC38" t="s">
        <v>3</v>
      </c>
      <c r="AD38">
        <v>41.971937</v>
      </c>
      <c r="AE38">
        <v>-88.175657</v>
      </c>
      <c r="AF38" s="5" t="str">
        <f>HYPERLINK("https://www.google.com/maps/search/?api=1&amp;query=41.971937,-88.175657","map")</f>
        <v>map</v>
      </c>
    </row>
    <row r="39" spans="1:32">
      <c r="A39" t="s">
        <v>89</v>
      </c>
      <c r="B39" t="s">
        <v>7685</v>
      </c>
      <c r="C39" t="s">
        <v>15099</v>
      </c>
      <c r="D39" t="s">
        <v>16194</v>
      </c>
      <c r="E39" t="s">
        <v>16218</v>
      </c>
      <c r="F39" t="s">
        <v>16221</v>
      </c>
      <c r="G39" t="s">
        <v>16227</v>
      </c>
      <c r="H39" t="s">
        <v>16226</v>
      </c>
      <c r="I39" t="s">
        <v>16307</v>
      </c>
      <c r="J39" t="s">
        <v>16386</v>
      </c>
      <c r="K39">
        <v>0.174</v>
      </c>
      <c r="L39">
        <v>7601</v>
      </c>
      <c r="M39">
        <v>2358</v>
      </c>
      <c r="N39" t="s">
        <v>16393</v>
      </c>
      <c r="O39" s="4">
        <v>34158</v>
      </c>
      <c r="P39" s="4">
        <v>88383</v>
      </c>
      <c r="Q39" s="4">
        <v>122541</v>
      </c>
      <c r="R39" s="4">
        <v>367623</v>
      </c>
      <c r="S39" t="s">
        <v>16439</v>
      </c>
      <c r="T39" s="6">
        <v>36586</v>
      </c>
      <c r="U39" s="4">
        <v>195000</v>
      </c>
      <c r="V39" t="s">
        <v>23739</v>
      </c>
      <c r="W39" t="s">
        <v>23772</v>
      </c>
      <c r="X39" t="s">
        <v>3</v>
      </c>
      <c r="AA39" s="5" t="str">
        <f>HYPERLINK("https://www.zillow.com/homes/292-WINDSOR-DR-BARTLETT-IL-60103_rb/","check listing")</f>
        <v>check listing</v>
      </c>
      <c r="AB39" s="5" t="str">
        <f>HYPERLINK("https://propertylookup.dupagecounty.gov/Datalets/Datalet.aspx?UseSearch=no&amp;mode=sales&amp;pin=0111206007","sales record")</f>
        <v>sales record</v>
      </c>
      <c r="AC39" t="s">
        <v>3</v>
      </c>
      <c r="AD39">
        <v>41.971998</v>
      </c>
      <c r="AE39">
        <v>-88.17153500000001</v>
      </c>
      <c r="AF39" s="5" t="str">
        <f>HYPERLINK("https://www.google.com/maps/search/?api=1&amp;query=41.971998,-88.171535","map")</f>
        <v>map</v>
      </c>
    </row>
    <row r="40" spans="1:32">
      <c r="A40" t="s">
        <v>90</v>
      </c>
      <c r="B40" t="s">
        <v>7686</v>
      </c>
      <c r="C40" t="s">
        <v>15099</v>
      </c>
      <c r="D40" t="s">
        <v>16194</v>
      </c>
      <c r="E40" t="s">
        <v>16218</v>
      </c>
      <c r="F40" t="s">
        <v>16221</v>
      </c>
      <c r="G40" t="s">
        <v>16227</v>
      </c>
      <c r="H40" t="s">
        <v>16226</v>
      </c>
      <c r="I40" t="s">
        <v>16307</v>
      </c>
      <c r="J40" t="s">
        <v>16386</v>
      </c>
      <c r="K40">
        <v>0.174</v>
      </c>
      <c r="L40">
        <v>7579</v>
      </c>
      <c r="M40">
        <v>2144</v>
      </c>
      <c r="N40" t="s">
        <v>16393</v>
      </c>
      <c r="O40" s="4">
        <v>34158</v>
      </c>
      <c r="P40" s="4">
        <v>94936</v>
      </c>
      <c r="Q40" s="4">
        <v>129094</v>
      </c>
      <c r="R40" s="4">
        <v>387282</v>
      </c>
      <c r="S40" t="s">
        <v>16440</v>
      </c>
      <c r="T40" s="6">
        <v>35125</v>
      </c>
      <c r="U40" s="4">
        <v>181000</v>
      </c>
      <c r="X40" t="s">
        <v>3</v>
      </c>
      <c r="AA40" s="5" t="str">
        <f>HYPERLINK("https://www.zillow.com/homes/294-WINDSOR-DR-BARTLETT-IL-60103_rb/","check listing")</f>
        <v>check listing</v>
      </c>
      <c r="AB40" s="5" t="str">
        <f>HYPERLINK("https://propertylookup.dupagecounty.gov/Datalets/Datalet.aspx?UseSearch=no&amp;mode=sales&amp;pin=0111206006","sales record")</f>
        <v>sales record</v>
      </c>
      <c r="AC40" t="s">
        <v>3</v>
      </c>
      <c r="AD40">
        <v>41.972</v>
      </c>
      <c r="AE40">
        <v>-88.171263</v>
      </c>
      <c r="AF40" s="5" t="str">
        <f>HYPERLINK("https://www.google.com/maps/search/?api=1&amp;query=41.972,-88.171263","map")</f>
        <v>map</v>
      </c>
    </row>
    <row r="41" spans="1:32">
      <c r="A41" t="s">
        <v>91</v>
      </c>
      <c r="B41" t="s">
        <v>7687</v>
      </c>
      <c r="C41" t="s">
        <v>15099</v>
      </c>
      <c r="D41" t="s">
        <v>16194</v>
      </c>
      <c r="E41" t="s">
        <v>16218</v>
      </c>
      <c r="F41" t="s">
        <v>16221</v>
      </c>
      <c r="G41" t="s">
        <v>16227</v>
      </c>
      <c r="H41" t="s">
        <v>16226</v>
      </c>
      <c r="I41" t="s">
        <v>16307</v>
      </c>
      <c r="J41" t="s">
        <v>16386</v>
      </c>
      <c r="K41">
        <v>0.174</v>
      </c>
      <c r="L41">
        <v>7573</v>
      </c>
      <c r="M41">
        <v>2377</v>
      </c>
      <c r="N41" t="s">
        <v>16393</v>
      </c>
      <c r="O41" s="4">
        <v>34158</v>
      </c>
      <c r="P41" s="4">
        <v>108751</v>
      </c>
      <c r="Q41" s="4">
        <v>142909</v>
      </c>
      <c r="R41" s="4">
        <v>428727</v>
      </c>
      <c r="S41" t="s">
        <v>16441</v>
      </c>
      <c r="T41" s="6">
        <v>42401</v>
      </c>
      <c r="U41" s="4">
        <v>256000</v>
      </c>
      <c r="V41" t="s">
        <v>23739</v>
      </c>
      <c r="W41" t="s">
        <v>16441</v>
      </c>
      <c r="X41" t="s">
        <v>3</v>
      </c>
      <c r="AA41" s="5" t="str">
        <f>HYPERLINK("https://www.zillow.com/homes/296-WINDSOR-DR-BARTLETT-IL-60103_rb/","check listing")</f>
        <v>check listing</v>
      </c>
      <c r="AB41" s="5" t="str">
        <f>HYPERLINK("https://propertylookup.dupagecounty.gov/Datalets/Datalet.aspx?UseSearch=no&amp;mode=sales&amp;pin=0111206005","sales record")</f>
        <v>sales record</v>
      </c>
      <c r="AC41" t="s">
        <v>3</v>
      </c>
      <c r="AD41">
        <v>41.972045</v>
      </c>
      <c r="AE41">
        <v>-88.17101099999999</v>
      </c>
      <c r="AF41" s="5" t="str">
        <f>HYPERLINK("https://www.google.com/maps/search/?api=1&amp;query=41.972045,-88.171011","map")</f>
        <v>map</v>
      </c>
    </row>
    <row r="42" spans="1:32">
      <c r="A42" t="s">
        <v>92</v>
      </c>
      <c r="B42" t="s">
        <v>7688</v>
      </c>
      <c r="C42" t="s">
        <v>15099</v>
      </c>
      <c r="D42" t="s">
        <v>16194</v>
      </c>
      <c r="E42" t="s">
        <v>16218</v>
      </c>
      <c r="F42" t="s">
        <v>16221</v>
      </c>
      <c r="G42" t="s">
        <v>16227</v>
      </c>
      <c r="H42" t="s">
        <v>16226</v>
      </c>
      <c r="I42" t="s">
        <v>16307</v>
      </c>
      <c r="J42" t="s">
        <v>16386</v>
      </c>
      <c r="K42">
        <v>0.172</v>
      </c>
      <c r="L42">
        <v>7505</v>
      </c>
      <c r="M42">
        <v>2374</v>
      </c>
      <c r="N42" t="s">
        <v>16393</v>
      </c>
      <c r="O42" s="4">
        <v>34158</v>
      </c>
      <c r="P42" s="4">
        <v>103994</v>
      </c>
      <c r="Q42" s="4">
        <v>138152</v>
      </c>
      <c r="R42" s="4">
        <v>414456</v>
      </c>
      <c r="S42" t="s">
        <v>16442</v>
      </c>
      <c r="T42" s="6">
        <v>33086</v>
      </c>
      <c r="U42" s="4">
        <v>187748</v>
      </c>
      <c r="X42" t="s">
        <v>3</v>
      </c>
      <c r="AA42" s="5" t="str">
        <f>HYPERLINK("https://www.zillow.com/homes/207-BUCKINGHAM-DR-BARTLETT-IL-60103_rb/","check listing")</f>
        <v>check listing</v>
      </c>
      <c r="AB42" s="5" t="str">
        <f>HYPERLINK("https://propertylookup.dupagecounty.gov/Datalets/Datalet.aspx?UseSearch=no&amp;mode=sales&amp;pin=0111104004","sales record")</f>
        <v>sales record</v>
      </c>
      <c r="AC42" t="s">
        <v>3</v>
      </c>
      <c r="AD42">
        <v>41.971752</v>
      </c>
      <c r="AE42">
        <v>-88.17607599999999</v>
      </c>
      <c r="AF42" s="5" t="str">
        <f>HYPERLINK("https://www.google.com/maps/search/?api=1&amp;query=41.971752,-88.176076","map")</f>
        <v>map</v>
      </c>
    </row>
    <row r="43" spans="1:32">
      <c r="A43" t="s">
        <v>93</v>
      </c>
      <c r="B43" t="s">
        <v>7689</v>
      </c>
      <c r="C43" t="s">
        <v>15099</v>
      </c>
      <c r="D43" t="s">
        <v>16194</v>
      </c>
      <c r="E43" t="s">
        <v>16218</v>
      </c>
      <c r="F43" t="s">
        <v>16221</v>
      </c>
      <c r="G43" t="s">
        <v>16227</v>
      </c>
      <c r="H43" t="s">
        <v>16226</v>
      </c>
      <c r="I43" t="s">
        <v>16307</v>
      </c>
      <c r="J43" t="s">
        <v>16386</v>
      </c>
      <c r="K43">
        <v>0.17</v>
      </c>
      <c r="L43">
        <v>7402</v>
      </c>
      <c r="M43">
        <v>1847</v>
      </c>
      <c r="N43" t="s">
        <v>16393</v>
      </c>
      <c r="O43" s="4">
        <v>34158</v>
      </c>
      <c r="P43" s="4">
        <v>114453</v>
      </c>
      <c r="Q43" s="4">
        <v>148611</v>
      </c>
      <c r="R43" s="4">
        <v>445833</v>
      </c>
      <c r="S43" t="s">
        <v>16443</v>
      </c>
      <c r="T43" s="6">
        <v>40513</v>
      </c>
      <c r="U43" s="4">
        <v>280500</v>
      </c>
      <c r="V43" t="s">
        <v>23739</v>
      </c>
      <c r="W43" t="s">
        <v>23773</v>
      </c>
      <c r="X43" t="s">
        <v>3</v>
      </c>
      <c r="AA43" s="5" t="str">
        <f>HYPERLINK("https://www.zillow.com/homes/321-BALMORAL-DR-BARTLETT-IL-60103_rb/","check listing")</f>
        <v>check listing</v>
      </c>
      <c r="AB43" s="5" t="str">
        <f>HYPERLINK("https://propertylookup.dupagecounty.gov/Datalets/Datalet.aspx?UseSearch=no&amp;mode=sales&amp;pin=0111207039","sales record")</f>
        <v>sales record</v>
      </c>
      <c r="AC43" t="s">
        <v>3</v>
      </c>
      <c r="AD43">
        <v>41.971148</v>
      </c>
      <c r="AE43">
        <v>-88.16955299999999</v>
      </c>
      <c r="AF43" s="5" t="str">
        <f>HYPERLINK("https://www.google.com/maps/search/?api=1&amp;query=41.971148,-88.169553","map")</f>
        <v>map</v>
      </c>
    </row>
    <row r="44" spans="1:32">
      <c r="A44" t="s">
        <v>94</v>
      </c>
      <c r="B44" t="s">
        <v>7690</v>
      </c>
      <c r="C44" t="s">
        <v>15099</v>
      </c>
      <c r="D44" t="s">
        <v>16194</v>
      </c>
      <c r="E44" t="s">
        <v>16218</v>
      </c>
      <c r="F44" t="s">
        <v>16221</v>
      </c>
      <c r="G44" t="s">
        <v>16227</v>
      </c>
      <c r="H44" t="s">
        <v>16226</v>
      </c>
      <c r="I44" t="s">
        <v>16307</v>
      </c>
      <c r="J44" t="s">
        <v>16386</v>
      </c>
      <c r="K44">
        <v>0.17</v>
      </c>
      <c r="L44">
        <v>7391</v>
      </c>
      <c r="M44">
        <v>2771</v>
      </c>
      <c r="N44" t="s">
        <v>16393</v>
      </c>
      <c r="O44" s="4">
        <v>34158</v>
      </c>
      <c r="P44" s="4">
        <v>111195</v>
      </c>
      <c r="Q44" s="4">
        <v>145353</v>
      </c>
      <c r="R44" s="4">
        <v>436059</v>
      </c>
      <c r="S44" t="s">
        <v>16444</v>
      </c>
      <c r="T44" s="6">
        <v>41730</v>
      </c>
      <c r="U44" s="4">
        <v>261000</v>
      </c>
      <c r="V44" t="s">
        <v>23739</v>
      </c>
      <c r="W44" t="s">
        <v>23774</v>
      </c>
      <c r="X44" t="s">
        <v>3</v>
      </c>
      <c r="AA44" s="5" t="str">
        <f>HYPERLINK("https://www.zillow.com/homes/293-WINDSOR-DR-BARTLETT-IL-60103_rb/","check listing")</f>
        <v>check listing</v>
      </c>
      <c r="AB44" s="5" t="str">
        <f>HYPERLINK("https://propertylookup.dupagecounty.gov/Datalets/Datalet.aspx?UseSearch=no&amp;mode=sales&amp;pin=0111207027","sales record")</f>
        <v>sales record</v>
      </c>
      <c r="AC44" t="s">
        <v>3</v>
      </c>
      <c r="AD44">
        <v>41.971262</v>
      </c>
      <c r="AE44">
        <v>-88.17126500000001</v>
      </c>
      <c r="AF44" s="5" t="str">
        <f>HYPERLINK("https://www.google.com/maps/search/?api=1&amp;query=41.971262,-88.171265","map")</f>
        <v>map</v>
      </c>
    </row>
    <row r="45" spans="1:32">
      <c r="A45" t="s">
        <v>95</v>
      </c>
      <c r="B45" t="s">
        <v>7691</v>
      </c>
      <c r="C45" t="s">
        <v>15101</v>
      </c>
      <c r="D45" t="s">
        <v>16194</v>
      </c>
      <c r="E45" t="s">
        <v>16218</v>
      </c>
      <c r="F45" t="s">
        <v>16221</v>
      </c>
      <c r="G45" t="s">
        <v>16227</v>
      </c>
      <c r="H45" t="s">
        <v>16226</v>
      </c>
      <c r="I45" t="s">
        <v>16307</v>
      </c>
      <c r="J45" t="s">
        <v>16386</v>
      </c>
      <c r="K45">
        <v>0.165</v>
      </c>
      <c r="L45">
        <v>7169</v>
      </c>
      <c r="M45">
        <v>2571</v>
      </c>
      <c r="N45" t="s">
        <v>16393</v>
      </c>
      <c r="O45" s="4">
        <v>34158</v>
      </c>
      <c r="P45" s="4">
        <v>106786</v>
      </c>
      <c r="Q45" s="4">
        <v>140944</v>
      </c>
      <c r="R45" s="4">
        <v>422832</v>
      </c>
      <c r="S45" t="s">
        <v>16445</v>
      </c>
      <c r="T45" s="6">
        <v>43101</v>
      </c>
      <c r="U45" s="4">
        <v>261000</v>
      </c>
      <c r="V45" t="s">
        <v>23739</v>
      </c>
      <c r="W45" t="s">
        <v>16445</v>
      </c>
      <c r="X45" t="s">
        <v>3</v>
      </c>
      <c r="AA45" s="5" t="str">
        <f>HYPERLINK("https://www.zillow.com/homes/285-WINDSOR-DR-BARTLETT-IL-601035175_rb/","check listing")</f>
        <v>check listing</v>
      </c>
      <c r="AB45" s="5" t="str">
        <f>HYPERLINK("https://propertylookup.dupagecounty.gov/Datalets/Datalet.aspx?UseSearch=no&amp;mode=sales&amp;pin=0111207024","sales record")</f>
        <v>sales record</v>
      </c>
      <c r="AC45" t="s">
        <v>3</v>
      </c>
      <c r="AD45">
        <v>41.971063</v>
      </c>
      <c r="AE45">
        <v>-88.17173699999999</v>
      </c>
      <c r="AF45" s="5" t="str">
        <f>HYPERLINK("https://www.google.com/maps/search/?api=1&amp;query=41.971063,-88.171737","map")</f>
        <v>map</v>
      </c>
    </row>
    <row r="46" spans="1:32">
      <c r="A46" t="s">
        <v>96</v>
      </c>
      <c r="B46" t="s">
        <v>7692</v>
      </c>
      <c r="C46" t="s">
        <v>15101</v>
      </c>
      <c r="D46" t="s">
        <v>16194</v>
      </c>
      <c r="E46" t="s">
        <v>16218</v>
      </c>
      <c r="F46" t="s">
        <v>16221</v>
      </c>
      <c r="G46" t="s">
        <v>16227</v>
      </c>
      <c r="H46" t="s">
        <v>16226</v>
      </c>
      <c r="I46" t="s">
        <v>16307</v>
      </c>
      <c r="J46" t="s">
        <v>16386</v>
      </c>
      <c r="K46">
        <v>0.163</v>
      </c>
      <c r="L46">
        <v>7117</v>
      </c>
      <c r="M46">
        <v>2177</v>
      </c>
      <c r="N46" t="s">
        <v>16393</v>
      </c>
      <c r="O46" s="4">
        <v>34158</v>
      </c>
      <c r="P46" s="4">
        <v>114155</v>
      </c>
      <c r="Q46" s="4">
        <v>148313</v>
      </c>
      <c r="R46" s="4">
        <v>444939</v>
      </c>
      <c r="S46" t="s">
        <v>16446</v>
      </c>
      <c r="T46" s="6">
        <v>45222</v>
      </c>
      <c r="U46" s="4">
        <v>449900</v>
      </c>
      <c r="V46" t="s">
        <v>23739</v>
      </c>
      <c r="W46" t="s">
        <v>23775</v>
      </c>
      <c r="X46" t="s">
        <v>3</v>
      </c>
      <c r="AA46" s="5" t="str">
        <f>HYPERLINK("https://www.zillow.com/homes/283-WINDSOR-DR-BARTLETT-IL-601035175_rb/","check listing")</f>
        <v>check listing</v>
      </c>
      <c r="AB46" s="5" t="str">
        <f>HYPERLINK("https://propertylookup.dupagecounty.gov/Datalets/Datalet.aspx?UseSearch=no&amp;mode=sales&amp;pin=0111207023","sales record")</f>
        <v>sales record</v>
      </c>
      <c r="AC46" t="s">
        <v>3</v>
      </c>
      <c r="AD46">
        <v>41.971083</v>
      </c>
      <c r="AE46">
        <v>-88.171982</v>
      </c>
      <c r="AF46" s="5" t="str">
        <f>HYPERLINK("https://www.google.com/maps/search/?api=1&amp;query=41.971083,-88.171982","map")</f>
        <v>map</v>
      </c>
    </row>
    <row r="47" spans="1:32">
      <c r="A47" t="s">
        <v>97</v>
      </c>
      <c r="B47" t="s">
        <v>7693</v>
      </c>
      <c r="C47" t="s">
        <v>15099</v>
      </c>
      <c r="D47" t="s">
        <v>16194</v>
      </c>
      <c r="E47" t="s">
        <v>16218</v>
      </c>
      <c r="F47" t="s">
        <v>16221</v>
      </c>
      <c r="G47" t="s">
        <v>16227</v>
      </c>
      <c r="H47" t="s">
        <v>16226</v>
      </c>
      <c r="I47" t="s">
        <v>16307</v>
      </c>
      <c r="J47" t="s">
        <v>16386</v>
      </c>
      <c r="K47">
        <v>0.16</v>
      </c>
      <c r="L47">
        <v>6991</v>
      </c>
      <c r="M47">
        <v>2177</v>
      </c>
      <c r="N47" t="s">
        <v>16393</v>
      </c>
      <c r="O47" s="4">
        <v>34158</v>
      </c>
      <c r="P47" s="4">
        <v>100903</v>
      </c>
      <c r="Q47" s="4">
        <v>135061</v>
      </c>
      <c r="R47" s="4">
        <v>405183</v>
      </c>
      <c r="S47" t="s">
        <v>16447</v>
      </c>
      <c r="T47" s="6">
        <v>42430</v>
      </c>
      <c r="U47" s="4">
        <v>241694</v>
      </c>
      <c r="V47" t="s">
        <v>16232</v>
      </c>
      <c r="W47" t="s">
        <v>16447</v>
      </c>
      <c r="X47" t="s">
        <v>3</v>
      </c>
      <c r="AA47" s="5" t="str">
        <f>HYPERLINK("https://www.zillow.com/homes/211-BUCKINGHAM-DR-BARTLETT-IL-60103_rb/","check listing")</f>
        <v>check listing</v>
      </c>
      <c r="AB47" s="5" t="str">
        <f>HYPERLINK("https://propertylookup.dupagecounty.gov/Datalets/Datalet.aspx?UseSearch=no&amp;mode=sales&amp;pin=0111104006","sales record")</f>
        <v>sales record</v>
      </c>
      <c r="AC47" t="s">
        <v>3</v>
      </c>
      <c r="AD47">
        <v>41.971396</v>
      </c>
      <c r="AE47">
        <v>-88.17626</v>
      </c>
      <c r="AF47" s="5" t="str">
        <f>HYPERLINK("https://www.google.com/maps/search/?api=1&amp;query=41.971396,-88.17626","map")</f>
        <v>map</v>
      </c>
    </row>
    <row r="48" spans="1:32">
      <c r="A48" t="s">
        <v>98</v>
      </c>
      <c r="B48" t="s">
        <v>7694</v>
      </c>
      <c r="C48" t="s">
        <v>15099</v>
      </c>
      <c r="D48" t="s">
        <v>16194</v>
      </c>
      <c r="E48" t="s">
        <v>16218</v>
      </c>
      <c r="F48" t="s">
        <v>16221</v>
      </c>
      <c r="G48" t="s">
        <v>16227</v>
      </c>
      <c r="H48" t="s">
        <v>16226</v>
      </c>
      <c r="I48" t="s">
        <v>16307</v>
      </c>
      <c r="J48" t="s">
        <v>16386</v>
      </c>
      <c r="K48">
        <v>0.159</v>
      </c>
      <c r="L48">
        <v>6946</v>
      </c>
      <c r="M48">
        <v>2500</v>
      </c>
      <c r="N48" t="s">
        <v>16393</v>
      </c>
      <c r="O48" s="4">
        <v>34158</v>
      </c>
      <c r="P48" s="4">
        <v>94314</v>
      </c>
      <c r="Q48" s="4">
        <v>128472</v>
      </c>
      <c r="R48" s="4">
        <v>385416</v>
      </c>
      <c r="S48" t="s">
        <v>16448</v>
      </c>
      <c r="T48" s="6">
        <v>36312</v>
      </c>
      <c r="U48" s="4">
        <v>219000</v>
      </c>
      <c r="X48" t="s">
        <v>3</v>
      </c>
      <c r="AA48" s="5" t="str">
        <f>HYPERLINK("https://www.zillow.com/homes/227-BUCKINGHAM-DR-BARTLETT-IL-60103_rb/","check listing")</f>
        <v>check listing</v>
      </c>
      <c r="AB48" s="5" t="str">
        <f>HYPERLINK("https://propertylookup.dupagecounty.gov/Datalets/Datalet.aspx?UseSearch=no&amp;mode=sales&amp;pin=0111104014","sales record")</f>
        <v>sales record</v>
      </c>
      <c r="AC48" t="s">
        <v>3</v>
      </c>
      <c r="AD48">
        <v>41.971046</v>
      </c>
      <c r="AE48">
        <v>-88.175562</v>
      </c>
      <c r="AF48" s="5" t="str">
        <f>HYPERLINK("https://www.google.com/maps/search/?api=1&amp;query=41.971046,-88.175562","map")</f>
        <v>map</v>
      </c>
    </row>
    <row r="49" spans="1:32">
      <c r="A49" t="s">
        <v>99</v>
      </c>
      <c r="B49" t="s">
        <v>7695</v>
      </c>
      <c r="C49" t="s">
        <v>15103</v>
      </c>
      <c r="D49" t="s">
        <v>16194</v>
      </c>
      <c r="E49" t="s">
        <v>16218</v>
      </c>
      <c r="F49" t="s">
        <v>16221</v>
      </c>
      <c r="G49" t="s">
        <v>16227</v>
      </c>
      <c r="H49" t="s">
        <v>16226</v>
      </c>
      <c r="I49" t="s">
        <v>16307</v>
      </c>
      <c r="J49" t="s">
        <v>16386</v>
      </c>
      <c r="K49">
        <v>0.159</v>
      </c>
      <c r="L49">
        <v>6936</v>
      </c>
      <c r="M49">
        <v>2177</v>
      </c>
      <c r="N49" t="s">
        <v>16393</v>
      </c>
      <c r="O49" s="4">
        <v>34158</v>
      </c>
      <c r="P49" s="4">
        <v>80272</v>
      </c>
      <c r="Q49" s="4">
        <v>114430</v>
      </c>
      <c r="R49" s="4">
        <v>343290</v>
      </c>
      <c r="S49" t="s">
        <v>16449</v>
      </c>
      <c r="T49" s="6">
        <v>44440</v>
      </c>
      <c r="U49" s="4">
        <v>305000</v>
      </c>
      <c r="V49" t="s">
        <v>23739</v>
      </c>
      <c r="W49" t="s">
        <v>23776</v>
      </c>
      <c r="X49" t="s">
        <v>3</v>
      </c>
      <c r="AA49" s="5" t="str">
        <f>HYPERLINK("https://www.zillow.com/homes/232-WINDSOR-DR-BARTLETT-IL-601035181_rb/","check listing")</f>
        <v>check listing</v>
      </c>
      <c r="AB49" s="5" t="str">
        <f>HYPERLINK("https://propertylookup.dupagecounty.gov/Datalets/Datalet.aspx?UseSearch=no&amp;mode=sales&amp;pin=0111105002","sales record")</f>
        <v>sales record</v>
      </c>
      <c r="AC49" t="s">
        <v>3</v>
      </c>
      <c r="AD49">
        <v>41.971776</v>
      </c>
      <c r="AE49">
        <v>-88.174437</v>
      </c>
      <c r="AF49" s="5" t="str">
        <f>HYPERLINK("https://www.google.com/maps/search/?api=1&amp;query=41.971776,-88.174437","map")</f>
        <v>map</v>
      </c>
    </row>
    <row r="50" spans="1:32">
      <c r="A50" t="s">
        <v>100</v>
      </c>
      <c r="B50" t="s">
        <v>7696</v>
      </c>
      <c r="C50" t="s">
        <v>15099</v>
      </c>
      <c r="D50" t="s">
        <v>16194</v>
      </c>
      <c r="E50" t="s">
        <v>16218</v>
      </c>
      <c r="F50" t="s">
        <v>16221</v>
      </c>
      <c r="G50" t="s">
        <v>16227</v>
      </c>
      <c r="H50" t="s">
        <v>16226</v>
      </c>
      <c r="I50" t="s">
        <v>16307</v>
      </c>
      <c r="J50" t="s">
        <v>16386</v>
      </c>
      <c r="K50">
        <v>0.158</v>
      </c>
      <c r="L50">
        <v>6891</v>
      </c>
      <c r="M50">
        <v>2143</v>
      </c>
      <c r="N50" t="s">
        <v>16393</v>
      </c>
      <c r="O50" s="4">
        <v>34158</v>
      </c>
      <c r="P50" s="4">
        <v>93991</v>
      </c>
      <c r="Q50" s="4">
        <v>128149</v>
      </c>
      <c r="R50" s="4">
        <v>384447</v>
      </c>
      <c r="S50" t="s">
        <v>16450</v>
      </c>
      <c r="T50" s="6">
        <v>38443</v>
      </c>
      <c r="U50" s="4">
        <v>300000</v>
      </c>
      <c r="V50" t="s">
        <v>23740</v>
      </c>
      <c r="W50" t="s">
        <v>23777</v>
      </c>
      <c r="X50" t="s">
        <v>3</v>
      </c>
      <c r="AA50" s="5" t="str">
        <f>HYPERLINK("https://www.zillow.com/homes/263-WINDSOR-DR-BARTLETT-IL-60103_rb/","check listing")</f>
        <v>check listing</v>
      </c>
      <c r="AB50" s="5" t="str">
        <f>HYPERLINK("https://propertylookup.dupagecounty.gov/Datalets/Datalet.aspx?UseSearch=no&amp;mode=sales&amp;pin=0111207014","sales record")</f>
        <v>sales record</v>
      </c>
      <c r="AC50" t="s">
        <v>3</v>
      </c>
      <c r="AD50">
        <v>41.970891</v>
      </c>
      <c r="AE50">
        <v>-88.173018</v>
      </c>
      <c r="AF50" s="5" t="str">
        <f>HYPERLINK("https://www.google.com/maps/search/?api=1&amp;query=41.970891,-88.173018","map")</f>
        <v>map</v>
      </c>
    </row>
    <row r="51" spans="1:32">
      <c r="A51" t="s">
        <v>101</v>
      </c>
      <c r="B51" t="s">
        <v>7697</v>
      </c>
      <c r="C51" t="s">
        <v>15099</v>
      </c>
      <c r="D51" t="s">
        <v>16194</v>
      </c>
      <c r="E51" t="s">
        <v>16218</v>
      </c>
      <c r="F51" t="s">
        <v>16221</v>
      </c>
      <c r="G51" t="s">
        <v>16227</v>
      </c>
      <c r="H51" t="s">
        <v>16226</v>
      </c>
      <c r="I51" t="s">
        <v>16307</v>
      </c>
      <c r="J51" t="s">
        <v>16386</v>
      </c>
      <c r="K51">
        <v>0.158</v>
      </c>
      <c r="L51">
        <v>6872</v>
      </c>
      <c r="M51">
        <v>1978</v>
      </c>
      <c r="N51" t="s">
        <v>16393</v>
      </c>
      <c r="O51" s="4">
        <v>34158</v>
      </c>
      <c r="P51" s="4">
        <v>89845</v>
      </c>
      <c r="Q51" s="4">
        <v>124003</v>
      </c>
      <c r="R51" s="4">
        <v>372009</v>
      </c>
      <c r="S51" t="s">
        <v>16451</v>
      </c>
      <c r="T51" s="6">
        <v>38078</v>
      </c>
      <c r="U51" s="4">
        <v>314900</v>
      </c>
      <c r="V51" t="s">
        <v>23739</v>
      </c>
      <c r="W51" t="s">
        <v>23778</v>
      </c>
      <c r="X51" t="s">
        <v>3</v>
      </c>
      <c r="AA51" s="5" t="str">
        <f>HYPERLINK("https://www.zillow.com/homes/265-WINDSOR-DR-BARTLETT-IL-60103_rb/","check listing")</f>
        <v>check listing</v>
      </c>
      <c r="AB51" s="5" t="str">
        <f>HYPERLINK("https://propertylookup.dupagecounty.gov/Datalets/Datalet.aspx?UseSearch=no&amp;mode=sales&amp;pin=0111207015","sales record")</f>
        <v>sales record</v>
      </c>
      <c r="AC51" t="s">
        <v>3</v>
      </c>
      <c r="AD51">
        <v>41.971114</v>
      </c>
      <c r="AE51">
        <v>-88.173024</v>
      </c>
      <c r="AF51" s="5" t="str">
        <f>HYPERLINK("https://www.google.com/maps/search/?api=1&amp;query=41.971114,-88.173024","map")</f>
        <v>map</v>
      </c>
    </row>
    <row r="52" spans="1:32">
      <c r="A52" t="s">
        <v>102</v>
      </c>
      <c r="B52" t="s">
        <v>7698</v>
      </c>
      <c r="C52" t="s">
        <v>15099</v>
      </c>
      <c r="D52" t="s">
        <v>16194</v>
      </c>
      <c r="E52" t="s">
        <v>16218</v>
      </c>
      <c r="F52" t="s">
        <v>16221</v>
      </c>
      <c r="G52" t="s">
        <v>16227</v>
      </c>
      <c r="H52" t="s">
        <v>16226</v>
      </c>
      <c r="I52" t="s">
        <v>16307</v>
      </c>
      <c r="J52" t="s">
        <v>16386</v>
      </c>
      <c r="K52">
        <v>0.157</v>
      </c>
      <c r="L52">
        <v>6845</v>
      </c>
      <c r="M52">
        <v>2302</v>
      </c>
      <c r="N52" t="s">
        <v>16393</v>
      </c>
      <c r="O52" s="4">
        <v>34158</v>
      </c>
      <c r="P52" s="4">
        <v>91235</v>
      </c>
      <c r="Q52" s="4">
        <v>125393</v>
      </c>
      <c r="R52" s="4">
        <v>376179</v>
      </c>
      <c r="S52" t="s">
        <v>16452</v>
      </c>
      <c r="T52" s="6">
        <v>32905</v>
      </c>
      <c r="U52" s="4">
        <v>167850</v>
      </c>
      <c r="X52" t="s">
        <v>3</v>
      </c>
      <c r="AA52" s="5" t="str">
        <f>HYPERLINK("https://www.zillow.com/homes/221-BUCKINGHAM-DR-BARTLETT-IL-60103_rb/","check listing")</f>
        <v>check listing</v>
      </c>
      <c r="AB52" s="5" t="str">
        <f>HYPERLINK("https://propertylookup.dupagecounty.gov/Datalets/Datalet.aspx?UseSearch=no&amp;mode=sales&amp;pin=0111104011","sales record")</f>
        <v>sales record</v>
      </c>
      <c r="AC52" t="s">
        <v>3</v>
      </c>
      <c r="AD52">
        <v>41.970601</v>
      </c>
      <c r="AE52">
        <v>-88.176197</v>
      </c>
      <c r="AF52" s="5" t="str">
        <f>HYPERLINK("https://www.google.com/maps/search/?api=1&amp;query=41.970601,-88.176197","map")</f>
        <v>map</v>
      </c>
    </row>
    <row r="53" spans="1:32">
      <c r="A53" t="s">
        <v>103</v>
      </c>
      <c r="B53" t="s">
        <v>7699</v>
      </c>
      <c r="C53" t="s">
        <v>15099</v>
      </c>
      <c r="D53" t="s">
        <v>16194</v>
      </c>
      <c r="E53" t="s">
        <v>16218</v>
      </c>
      <c r="F53" t="s">
        <v>16221</v>
      </c>
      <c r="G53" t="s">
        <v>16227</v>
      </c>
      <c r="H53" t="s">
        <v>16226</v>
      </c>
      <c r="I53" t="s">
        <v>16307</v>
      </c>
      <c r="J53" t="s">
        <v>16386</v>
      </c>
      <c r="K53">
        <v>0.157</v>
      </c>
      <c r="L53">
        <v>6837</v>
      </c>
      <c r="M53">
        <v>2375</v>
      </c>
      <c r="N53" t="s">
        <v>16393</v>
      </c>
      <c r="O53" s="4">
        <v>34158</v>
      </c>
      <c r="P53" s="4">
        <v>87317</v>
      </c>
      <c r="Q53" s="4">
        <v>121475</v>
      </c>
      <c r="R53" s="4">
        <v>364425</v>
      </c>
      <c r="S53" t="s">
        <v>16453</v>
      </c>
      <c r="T53" s="6">
        <v>38169</v>
      </c>
      <c r="U53" s="4">
        <v>292500</v>
      </c>
      <c r="V53" t="s">
        <v>23739</v>
      </c>
      <c r="W53" t="s">
        <v>23779</v>
      </c>
      <c r="X53" t="s">
        <v>3</v>
      </c>
      <c r="AA53" s="5" t="str">
        <f>HYPERLINK("https://www.zillow.com/homes/341-WINDSOR-DR-BARTLETT-IL-60103_rb/","check listing")</f>
        <v>check listing</v>
      </c>
      <c r="AB53" s="5" t="str">
        <f>HYPERLINK("https://propertylookup.dupagecounty.gov/Datalets/Datalet.aspx?UseSearch=no&amp;mode=sales&amp;pin=0111207049","sales record")</f>
        <v>sales record</v>
      </c>
      <c r="AC53" t="s">
        <v>3</v>
      </c>
      <c r="AD53">
        <v>41.972065</v>
      </c>
      <c r="AE53">
        <v>-88.169821</v>
      </c>
      <c r="AF53" s="5" t="str">
        <f>HYPERLINK("https://www.google.com/maps/search/?api=1&amp;query=41.972065,-88.169821","map")</f>
        <v>map</v>
      </c>
    </row>
    <row r="54" spans="1:32">
      <c r="A54" t="s">
        <v>104</v>
      </c>
      <c r="B54" t="s">
        <v>7700</v>
      </c>
      <c r="C54" t="s">
        <v>15105</v>
      </c>
      <c r="D54" t="s">
        <v>16194</v>
      </c>
      <c r="E54" t="s">
        <v>16218</v>
      </c>
      <c r="F54" t="s">
        <v>16221</v>
      </c>
      <c r="G54" t="s">
        <v>16227</v>
      </c>
      <c r="H54" t="s">
        <v>16226</v>
      </c>
      <c r="I54" t="s">
        <v>16307</v>
      </c>
      <c r="J54" t="s">
        <v>16386</v>
      </c>
      <c r="K54">
        <v>0.157</v>
      </c>
      <c r="L54">
        <v>6831</v>
      </c>
      <c r="M54">
        <v>2375</v>
      </c>
      <c r="N54" t="s">
        <v>16393</v>
      </c>
      <c r="O54" s="4">
        <v>34158</v>
      </c>
      <c r="P54" s="4">
        <v>113268</v>
      </c>
      <c r="Q54" s="4">
        <v>147426</v>
      </c>
      <c r="R54" s="4">
        <v>442278</v>
      </c>
      <c r="S54" t="s">
        <v>16454</v>
      </c>
      <c r="T54" s="6">
        <v>45982</v>
      </c>
      <c r="U54" s="4">
        <v>415000</v>
      </c>
      <c r="V54" t="s">
        <v>23739</v>
      </c>
      <c r="W54" t="s">
        <v>23780</v>
      </c>
      <c r="X54" t="s">
        <v>3</v>
      </c>
      <c r="AA54" s="5" t="str">
        <f>HYPERLINK("https://www.zillow.com/homes/339-WINDSOR-DR-BARTLETT-IL-601035177_rb/","check listing")</f>
        <v>check listing</v>
      </c>
      <c r="AB54" s="5" t="str">
        <f>HYPERLINK("https://propertylookup.dupagecounty.gov/Datalets/Datalet.aspx?UseSearch=no&amp;mode=sales&amp;pin=0111207048","sales record")</f>
        <v>sales record</v>
      </c>
      <c r="AC54" t="s">
        <v>3</v>
      </c>
      <c r="AD54">
        <v>41.972067</v>
      </c>
      <c r="AE54">
        <v>-88.16951</v>
      </c>
      <c r="AF54" s="5" t="str">
        <f>HYPERLINK("https://www.google.com/maps/search/?api=1&amp;query=41.972067,-88.16951","map")</f>
        <v>map</v>
      </c>
    </row>
    <row r="55" spans="1:32">
      <c r="A55" t="s">
        <v>105</v>
      </c>
      <c r="B55" t="s">
        <v>7701</v>
      </c>
      <c r="C55" t="s">
        <v>15099</v>
      </c>
      <c r="D55" t="s">
        <v>16194</v>
      </c>
      <c r="E55" t="s">
        <v>16218</v>
      </c>
      <c r="F55" t="s">
        <v>16221</v>
      </c>
      <c r="G55" t="s">
        <v>16227</v>
      </c>
      <c r="H55" t="s">
        <v>16226</v>
      </c>
      <c r="I55" t="s">
        <v>16307</v>
      </c>
      <c r="J55" t="s">
        <v>16386</v>
      </c>
      <c r="K55">
        <v>0.157</v>
      </c>
      <c r="L55">
        <v>6825</v>
      </c>
      <c r="M55">
        <v>2359</v>
      </c>
      <c r="N55" t="s">
        <v>16393</v>
      </c>
      <c r="O55" s="4">
        <v>34158</v>
      </c>
      <c r="P55" s="4">
        <v>109098</v>
      </c>
      <c r="Q55" s="4">
        <v>143256</v>
      </c>
      <c r="R55" s="4">
        <v>429768</v>
      </c>
      <c r="S55" t="s">
        <v>16455</v>
      </c>
      <c r="T55" s="6">
        <v>42826</v>
      </c>
      <c r="U55" s="4">
        <v>247000</v>
      </c>
      <c r="V55" t="s">
        <v>23739</v>
      </c>
      <c r="W55" t="s">
        <v>23781</v>
      </c>
      <c r="X55" t="s">
        <v>3</v>
      </c>
      <c r="AA55" s="5" t="str">
        <f>HYPERLINK("https://www.zillow.com/homes/213-BUCKINGHAM-DR-BARTLETT-IL-60103_rb/","check listing")</f>
        <v>check listing</v>
      </c>
      <c r="AB55" s="5" t="str">
        <f>HYPERLINK("https://propertylookup.dupagecounty.gov/Datalets/Datalet.aspx?UseSearch=no&amp;mode=sales&amp;pin=0111104007","sales record")</f>
        <v>sales record</v>
      </c>
      <c r="AC55" t="s">
        <v>3</v>
      </c>
      <c r="AD55">
        <v>41.97124</v>
      </c>
      <c r="AE55">
        <v>-88.176301</v>
      </c>
      <c r="AF55" s="5" t="str">
        <f>HYPERLINK("https://www.google.com/maps/search/?api=1&amp;query=41.97124,-88.176301","map")</f>
        <v>map</v>
      </c>
    </row>
    <row r="56" spans="1:32">
      <c r="A56" t="s">
        <v>106</v>
      </c>
      <c r="B56" t="s">
        <v>7702</v>
      </c>
      <c r="C56" t="s">
        <v>15099</v>
      </c>
      <c r="D56" t="s">
        <v>16194</v>
      </c>
      <c r="E56" t="s">
        <v>16218</v>
      </c>
      <c r="F56" t="s">
        <v>16221</v>
      </c>
      <c r="G56" t="s">
        <v>16227</v>
      </c>
      <c r="H56" t="s">
        <v>16226</v>
      </c>
      <c r="I56" t="s">
        <v>16307</v>
      </c>
      <c r="J56" t="s">
        <v>16386</v>
      </c>
      <c r="K56">
        <v>0.156</v>
      </c>
      <c r="L56">
        <v>6788</v>
      </c>
      <c r="M56">
        <v>2309</v>
      </c>
      <c r="N56" t="s">
        <v>16393</v>
      </c>
      <c r="O56" s="4">
        <v>34158</v>
      </c>
      <c r="P56" s="4">
        <v>98951</v>
      </c>
      <c r="Q56" s="4">
        <v>133109</v>
      </c>
      <c r="R56" s="4">
        <v>399327</v>
      </c>
      <c r="S56" t="s">
        <v>16456</v>
      </c>
      <c r="T56" s="6">
        <v>42917</v>
      </c>
      <c r="U56" s="4">
        <v>290000</v>
      </c>
      <c r="V56" t="s">
        <v>23739</v>
      </c>
      <c r="W56" t="s">
        <v>23782</v>
      </c>
      <c r="X56" t="s">
        <v>3</v>
      </c>
      <c r="AA56" s="5" t="str">
        <f>HYPERLINK("https://www.zillow.com/homes/311-BALMORAL-DR-BARTLETT-IL-60103_rb/","check listing")</f>
        <v>check listing</v>
      </c>
      <c r="AB56" s="5" t="str">
        <f>HYPERLINK("https://propertylookup.dupagecounty.gov/Datalets/Datalet.aspx?UseSearch=no&amp;mode=sales&amp;pin=0111207034","sales record")</f>
        <v>sales record</v>
      </c>
      <c r="AC56" t="s">
        <v>3</v>
      </c>
      <c r="AD56">
        <v>41.97073</v>
      </c>
      <c r="AE56">
        <v>-88.170209</v>
      </c>
      <c r="AF56" s="5" t="str">
        <f>HYPERLINK("https://www.google.com/maps/search/?api=1&amp;query=41.97073,-88.170209","map")</f>
        <v>map</v>
      </c>
    </row>
    <row r="57" spans="1:32">
      <c r="A57" t="s">
        <v>107</v>
      </c>
      <c r="B57" t="s">
        <v>7703</v>
      </c>
      <c r="C57" t="s">
        <v>15100</v>
      </c>
      <c r="D57" t="s">
        <v>16194</v>
      </c>
      <c r="E57" t="s">
        <v>16218</v>
      </c>
      <c r="F57" t="s">
        <v>16221</v>
      </c>
      <c r="G57" t="s">
        <v>16227</v>
      </c>
      <c r="H57" t="s">
        <v>16226</v>
      </c>
      <c r="I57" t="s">
        <v>16307</v>
      </c>
      <c r="J57" t="s">
        <v>16386</v>
      </c>
      <c r="K57">
        <v>0.156</v>
      </c>
      <c r="L57">
        <v>6776</v>
      </c>
      <c r="M57">
        <v>1978</v>
      </c>
      <c r="N57" t="s">
        <v>16393</v>
      </c>
      <c r="O57" s="4">
        <v>34158</v>
      </c>
      <c r="P57" s="4">
        <v>109553</v>
      </c>
      <c r="Q57" s="4">
        <v>143711</v>
      </c>
      <c r="R57" s="4">
        <v>431133</v>
      </c>
      <c r="S57" t="s">
        <v>16457</v>
      </c>
      <c r="T57" s="6">
        <v>42614</v>
      </c>
      <c r="U57" s="4">
        <v>325000</v>
      </c>
      <c r="V57" t="s">
        <v>23739</v>
      </c>
      <c r="W57" t="s">
        <v>23783</v>
      </c>
      <c r="X57" t="s">
        <v>3</v>
      </c>
      <c r="AA57" s="5" t="str">
        <f>HYPERLINK("https://www.zillow.com/homes/315-BALMORAL-DR-BARTLETT-IL-601035169_rb/","check listing")</f>
        <v>check listing</v>
      </c>
      <c r="AB57" s="5" t="str">
        <f>HYPERLINK("https://propertylookup.dupagecounty.gov/Datalets/Datalet.aspx?UseSearch=no&amp;mode=sales&amp;pin=0111207036","sales record")</f>
        <v>sales record</v>
      </c>
      <c r="AC57" t="s">
        <v>3</v>
      </c>
      <c r="AD57">
        <v>41.970725</v>
      </c>
      <c r="AE57">
        <v>-88.169732</v>
      </c>
      <c r="AF57" s="5" t="str">
        <f>HYPERLINK("https://www.google.com/maps/search/?api=1&amp;query=41.970725,-88.169732","map")</f>
        <v>map</v>
      </c>
    </row>
    <row r="58" spans="1:32">
      <c r="A58" t="s">
        <v>108</v>
      </c>
      <c r="B58" t="s">
        <v>7704</v>
      </c>
      <c r="C58" t="s">
        <v>15099</v>
      </c>
      <c r="D58" t="s">
        <v>16194</v>
      </c>
      <c r="E58" t="s">
        <v>16218</v>
      </c>
      <c r="F58" t="s">
        <v>16221</v>
      </c>
      <c r="G58" t="s">
        <v>16227</v>
      </c>
      <c r="H58" t="s">
        <v>16226</v>
      </c>
      <c r="I58" t="s">
        <v>16307</v>
      </c>
      <c r="J58" t="s">
        <v>16386</v>
      </c>
      <c r="K58">
        <v>0.155</v>
      </c>
      <c r="L58">
        <v>6750</v>
      </c>
      <c r="M58">
        <v>2461</v>
      </c>
      <c r="N58" t="s">
        <v>16393</v>
      </c>
      <c r="O58" s="4">
        <v>34158</v>
      </c>
      <c r="P58" s="4">
        <v>111674</v>
      </c>
      <c r="Q58" s="4">
        <v>145832</v>
      </c>
      <c r="R58" s="4">
        <v>437496</v>
      </c>
      <c r="S58" t="s">
        <v>16458</v>
      </c>
      <c r="T58" s="6">
        <v>42095</v>
      </c>
      <c r="U58" s="4">
        <v>265000</v>
      </c>
      <c r="V58" t="s">
        <v>23739</v>
      </c>
      <c r="W58" t="s">
        <v>16458</v>
      </c>
      <c r="X58" t="s">
        <v>3</v>
      </c>
      <c r="AA58" s="5" t="str">
        <f>HYPERLINK("https://www.zillow.com/homes/335-WINDSOR-DR-BARTLETT-IL-60103_rb/","check listing")</f>
        <v>check listing</v>
      </c>
      <c r="AB58" s="5" t="str">
        <f>HYPERLINK("https://propertylookup.dupagecounty.gov/Datalets/Datalet.aspx?UseSearch=no&amp;mode=sales&amp;pin=0111207046","sales record")</f>
        <v>sales record</v>
      </c>
      <c r="AC58" t="s">
        <v>3</v>
      </c>
      <c r="AD58">
        <v>41.9717</v>
      </c>
      <c r="AE58">
        <v>-88.169515</v>
      </c>
      <c r="AF58" s="5" t="str">
        <f>HYPERLINK("https://www.google.com/maps/search/?api=1&amp;query=41.9717,-88.169515","map")</f>
        <v>map</v>
      </c>
    </row>
    <row r="59" spans="1:32">
      <c r="A59" t="s">
        <v>109</v>
      </c>
      <c r="B59" t="s">
        <v>7705</v>
      </c>
      <c r="C59" t="s">
        <v>15099</v>
      </c>
      <c r="D59" t="s">
        <v>16194</v>
      </c>
      <c r="E59" t="s">
        <v>16218</v>
      </c>
      <c r="F59" t="s">
        <v>16221</v>
      </c>
      <c r="G59" t="s">
        <v>16227</v>
      </c>
      <c r="H59" t="s">
        <v>16226</v>
      </c>
      <c r="I59" t="s">
        <v>16307</v>
      </c>
      <c r="J59" t="s">
        <v>16386</v>
      </c>
      <c r="K59">
        <v>0.155</v>
      </c>
      <c r="L59">
        <v>6746</v>
      </c>
      <c r="M59">
        <v>1813</v>
      </c>
      <c r="N59" t="s">
        <v>16393</v>
      </c>
      <c r="O59" s="4">
        <v>34158</v>
      </c>
      <c r="P59" s="4">
        <v>102281</v>
      </c>
      <c r="Q59" s="4">
        <v>136439</v>
      </c>
      <c r="R59" s="4">
        <v>409317</v>
      </c>
      <c r="S59" t="s">
        <v>16459</v>
      </c>
      <c r="T59" s="6">
        <v>34243</v>
      </c>
      <c r="U59" s="4">
        <v>181500</v>
      </c>
      <c r="X59" t="s">
        <v>3</v>
      </c>
      <c r="AA59" s="5" t="str">
        <f>HYPERLINK("https://www.zillow.com/homes/325-BALMORAL-DR-BARTLETT-IL-60103_rb/","check listing")</f>
        <v>check listing</v>
      </c>
      <c r="AB59" s="5" t="str">
        <f>HYPERLINK("https://propertylookup.dupagecounty.gov/Datalets/Datalet.aspx?UseSearch=no&amp;mode=sales&amp;pin=0111207041","sales record")</f>
        <v>sales record</v>
      </c>
      <c r="AC59" t="s">
        <v>3</v>
      </c>
      <c r="AD59">
        <v>41.971486</v>
      </c>
      <c r="AE59">
        <v>-88.169518</v>
      </c>
      <c r="AF59" s="5" t="str">
        <f>HYPERLINK("https://www.google.com/maps/search/?api=1&amp;query=41.971486,-88.169518","map")</f>
        <v>map</v>
      </c>
    </row>
    <row r="60" spans="1:32">
      <c r="A60" t="s">
        <v>110</v>
      </c>
      <c r="B60" t="s">
        <v>7706</v>
      </c>
      <c r="C60" t="s">
        <v>15101</v>
      </c>
      <c r="D60" t="s">
        <v>16194</v>
      </c>
      <c r="E60" t="s">
        <v>16218</v>
      </c>
      <c r="F60" t="s">
        <v>16221</v>
      </c>
      <c r="G60" t="s">
        <v>16227</v>
      </c>
      <c r="H60" t="s">
        <v>16226</v>
      </c>
      <c r="I60" t="s">
        <v>16307</v>
      </c>
      <c r="J60" t="s">
        <v>16386</v>
      </c>
      <c r="K60">
        <v>0.155</v>
      </c>
      <c r="L60">
        <v>6746</v>
      </c>
      <c r="M60">
        <v>2376</v>
      </c>
      <c r="N60" t="s">
        <v>16393</v>
      </c>
      <c r="O60" s="4">
        <v>34158</v>
      </c>
      <c r="P60" s="4">
        <v>105492</v>
      </c>
      <c r="Q60" s="4">
        <v>139650</v>
      </c>
      <c r="R60" s="4">
        <v>418950</v>
      </c>
      <c r="S60" t="s">
        <v>16460</v>
      </c>
      <c r="T60" s="6">
        <v>44470</v>
      </c>
      <c r="U60" s="4">
        <v>355000</v>
      </c>
      <c r="V60" t="s">
        <v>23739</v>
      </c>
      <c r="W60" t="s">
        <v>23784</v>
      </c>
      <c r="X60" t="s">
        <v>3</v>
      </c>
      <c r="AA60" s="5" t="str">
        <f>HYPERLINK("https://www.zillow.com/homes/295-WINDSOR-DR-BARTLETT-IL-601035175_rb/","check listing")</f>
        <v>check listing</v>
      </c>
      <c r="AB60" s="5" t="str">
        <f>HYPERLINK("https://propertylookup.dupagecounty.gov/Datalets/Datalet.aspx?UseSearch=no&amp;mode=sales&amp;pin=0111207028","sales record")</f>
        <v>sales record</v>
      </c>
      <c r="AC60" t="s">
        <v>3</v>
      </c>
      <c r="AD60">
        <v>41.971167</v>
      </c>
      <c r="AE60">
        <v>-88.171037</v>
      </c>
      <c r="AF60" s="5" t="str">
        <f>HYPERLINK("https://www.google.com/maps/search/?api=1&amp;query=41.971167,-88.171037","map")</f>
        <v>map</v>
      </c>
    </row>
    <row r="61" spans="1:32">
      <c r="A61" t="s">
        <v>111</v>
      </c>
      <c r="B61" t="s">
        <v>7707</v>
      </c>
      <c r="C61" t="s">
        <v>15104</v>
      </c>
      <c r="D61" t="s">
        <v>16194</v>
      </c>
      <c r="E61" t="s">
        <v>16218</v>
      </c>
      <c r="F61" t="s">
        <v>16221</v>
      </c>
      <c r="G61" t="s">
        <v>16227</v>
      </c>
      <c r="H61" t="s">
        <v>16226</v>
      </c>
      <c r="I61" t="s">
        <v>16307</v>
      </c>
      <c r="J61" t="s">
        <v>16386</v>
      </c>
      <c r="K61">
        <v>0.154</v>
      </c>
      <c r="L61">
        <v>6722</v>
      </c>
      <c r="M61">
        <v>2473</v>
      </c>
      <c r="N61" t="s">
        <v>16393</v>
      </c>
      <c r="O61" s="4">
        <v>34158</v>
      </c>
      <c r="P61" s="4">
        <v>105228</v>
      </c>
      <c r="Q61" s="4">
        <v>139386</v>
      </c>
      <c r="R61" s="4">
        <v>418158</v>
      </c>
      <c r="S61" t="s">
        <v>16461</v>
      </c>
      <c r="T61" s="6">
        <v>43617</v>
      </c>
      <c r="U61" s="4">
        <v>292000</v>
      </c>
      <c r="V61" t="s">
        <v>23740</v>
      </c>
      <c r="W61" t="s">
        <v>16461</v>
      </c>
      <c r="X61" t="s">
        <v>3</v>
      </c>
      <c r="AA61" s="5" t="str">
        <f>HYPERLINK("https://www.zillow.com/homes/205-BUCKINGHAM-DR-BARTLETT-IL-601035167_rb/","check listing")</f>
        <v>check listing</v>
      </c>
      <c r="AB61" s="5" t="str">
        <f>HYPERLINK("https://propertylookup.dupagecounty.gov/Datalets/Datalet.aspx?UseSearch=no&amp;mode=sales&amp;pin=0111104003","sales record")</f>
        <v>sales record</v>
      </c>
      <c r="AC61" t="s">
        <v>3</v>
      </c>
      <c r="AD61">
        <v>41.971856</v>
      </c>
      <c r="AE61">
        <v>-88.17587</v>
      </c>
      <c r="AF61" s="5" t="str">
        <f>HYPERLINK("https://www.google.com/maps/search/?api=1&amp;query=41.971856,-88.17587","map")</f>
        <v>map</v>
      </c>
    </row>
    <row r="62" spans="1:32">
      <c r="A62" t="s">
        <v>112</v>
      </c>
      <c r="B62" t="s">
        <v>7708</v>
      </c>
      <c r="C62" t="s">
        <v>15101</v>
      </c>
      <c r="D62" t="s">
        <v>16194</v>
      </c>
      <c r="E62" t="s">
        <v>16218</v>
      </c>
      <c r="F62" t="s">
        <v>16221</v>
      </c>
      <c r="G62" t="s">
        <v>16227</v>
      </c>
      <c r="H62" t="s">
        <v>16226</v>
      </c>
      <c r="I62" t="s">
        <v>16307</v>
      </c>
      <c r="J62" t="s">
        <v>16386</v>
      </c>
      <c r="K62">
        <v>0.153</v>
      </c>
      <c r="L62">
        <v>6671</v>
      </c>
      <c r="M62">
        <v>1979</v>
      </c>
      <c r="N62" t="s">
        <v>16393</v>
      </c>
      <c r="O62" s="4">
        <v>34158</v>
      </c>
      <c r="P62" s="4">
        <v>109529</v>
      </c>
      <c r="Q62" s="4">
        <v>143687</v>
      </c>
      <c r="R62" s="4">
        <v>431061</v>
      </c>
      <c r="S62" t="s">
        <v>16462</v>
      </c>
      <c r="T62" s="6">
        <v>44348</v>
      </c>
      <c r="U62" s="4">
        <v>388500</v>
      </c>
      <c r="V62" t="s">
        <v>23739</v>
      </c>
      <c r="W62" t="s">
        <v>23785</v>
      </c>
      <c r="X62" t="s">
        <v>3</v>
      </c>
      <c r="AA62" s="5" t="str">
        <f>HYPERLINK("https://www.zillow.com/homes/261-WINDSOR-DR-BARTLETT-IL-601035175_rb/","check listing")</f>
        <v>check listing</v>
      </c>
      <c r="AB62" s="5" t="str">
        <f>HYPERLINK("https://propertylookup.dupagecounty.gov/Datalets/Datalet.aspx?UseSearch=no&amp;mode=sales&amp;pin=0111207013","sales record")</f>
        <v>sales record</v>
      </c>
      <c r="AC62" t="s">
        <v>3</v>
      </c>
      <c r="AD62">
        <v>41.970699</v>
      </c>
      <c r="AE62">
        <v>-88.172952</v>
      </c>
      <c r="AF62" s="5" t="str">
        <f>HYPERLINK("https://www.google.com/maps/search/?api=1&amp;query=41.970699,-88.172952","map")</f>
        <v>map</v>
      </c>
    </row>
    <row r="63" spans="1:32">
      <c r="A63" t="s">
        <v>113</v>
      </c>
      <c r="B63" t="s">
        <v>7709</v>
      </c>
      <c r="C63" t="s">
        <v>15101</v>
      </c>
      <c r="D63" t="s">
        <v>16194</v>
      </c>
      <c r="E63" t="s">
        <v>16218</v>
      </c>
      <c r="F63" t="s">
        <v>16221</v>
      </c>
      <c r="G63" t="s">
        <v>16227</v>
      </c>
      <c r="H63" t="s">
        <v>16226</v>
      </c>
      <c r="I63" t="s">
        <v>16307</v>
      </c>
      <c r="J63" t="s">
        <v>16386</v>
      </c>
      <c r="K63">
        <v>0.153</v>
      </c>
      <c r="L63">
        <v>6671</v>
      </c>
      <c r="M63">
        <v>2177</v>
      </c>
      <c r="N63" t="s">
        <v>16393</v>
      </c>
      <c r="O63" s="4">
        <v>34158</v>
      </c>
      <c r="P63" s="4">
        <v>110548</v>
      </c>
      <c r="Q63" s="4">
        <v>144706</v>
      </c>
      <c r="R63" s="4">
        <v>434118</v>
      </c>
      <c r="S63" t="s">
        <v>16463</v>
      </c>
      <c r="T63" s="6">
        <v>42736</v>
      </c>
      <c r="U63" s="4">
        <v>265000</v>
      </c>
      <c r="V63" t="s">
        <v>23739</v>
      </c>
      <c r="W63" t="s">
        <v>16463</v>
      </c>
      <c r="X63" t="s">
        <v>3</v>
      </c>
      <c r="AA63" s="5" t="str">
        <f>HYPERLINK("https://www.zillow.com/homes/257-WINDSOR-DR-BARTLETT-IL-601035175_rb/","check listing")</f>
        <v>check listing</v>
      </c>
      <c r="AB63" s="5" t="str">
        <f>HYPERLINK("https://propertylookup.dupagecounty.gov/Datalets/Datalet.aspx?UseSearch=no&amp;mode=sales&amp;pin=0111207011","sales record")</f>
        <v>sales record</v>
      </c>
      <c r="AC63" t="s">
        <v>3</v>
      </c>
      <c r="AD63">
        <v>41.970693</v>
      </c>
      <c r="AE63">
        <v>-88.17344300000001</v>
      </c>
      <c r="AF63" s="5" t="str">
        <f>HYPERLINK("https://www.google.com/maps/search/?api=1&amp;query=41.970693,-88.173443","map")</f>
        <v>map</v>
      </c>
    </row>
    <row r="64" spans="1:32">
      <c r="A64" t="s">
        <v>114</v>
      </c>
      <c r="B64" t="s">
        <v>7710</v>
      </c>
      <c r="C64" t="s">
        <v>15099</v>
      </c>
      <c r="D64" t="s">
        <v>16194</v>
      </c>
      <c r="E64" t="s">
        <v>16218</v>
      </c>
      <c r="F64" t="s">
        <v>16221</v>
      </c>
      <c r="G64" t="s">
        <v>16227</v>
      </c>
      <c r="H64" t="s">
        <v>16226</v>
      </c>
      <c r="I64" t="s">
        <v>16307</v>
      </c>
      <c r="J64" t="s">
        <v>16386</v>
      </c>
      <c r="K64">
        <v>0.153</v>
      </c>
      <c r="L64">
        <v>6671</v>
      </c>
      <c r="M64">
        <v>2376</v>
      </c>
      <c r="N64" t="s">
        <v>16393</v>
      </c>
      <c r="O64" s="4">
        <v>34158</v>
      </c>
      <c r="P64" s="4">
        <v>109182</v>
      </c>
      <c r="Q64" s="4">
        <v>143340</v>
      </c>
      <c r="R64" s="4">
        <v>430020</v>
      </c>
      <c r="S64" t="s">
        <v>16464</v>
      </c>
      <c r="T64" s="6">
        <v>36039</v>
      </c>
      <c r="U64" s="4">
        <v>207500</v>
      </c>
      <c r="X64" t="s">
        <v>3</v>
      </c>
      <c r="AA64" s="5" t="str">
        <f>HYPERLINK("https://www.zillow.com/homes/235-WINDSOR-DR-BARTLETT-IL-60103_rb/","check listing")</f>
        <v>check listing</v>
      </c>
      <c r="AB64" s="5" t="str">
        <f>HYPERLINK("https://propertylookup.dupagecounty.gov/Datalets/Datalet.aspx?UseSearch=no&amp;mode=sales&amp;pin=0111207003","sales record")</f>
        <v>sales record</v>
      </c>
      <c r="AC64" t="s">
        <v>3</v>
      </c>
      <c r="AD64">
        <v>41.970634</v>
      </c>
      <c r="AE64">
        <v>-88.174177</v>
      </c>
      <c r="AF64" s="5" t="str">
        <f>HYPERLINK("https://www.google.com/maps/search/?api=1&amp;query=41.970634,-88.174177","map")</f>
        <v>map</v>
      </c>
    </row>
    <row r="65" spans="1:32">
      <c r="A65" t="s">
        <v>115</v>
      </c>
      <c r="B65" t="s">
        <v>7711</v>
      </c>
      <c r="C65" t="s">
        <v>15101</v>
      </c>
      <c r="D65" t="s">
        <v>16194</v>
      </c>
      <c r="E65" t="s">
        <v>16218</v>
      </c>
      <c r="F65" t="s">
        <v>16221</v>
      </c>
      <c r="G65" t="s">
        <v>16227</v>
      </c>
      <c r="H65" t="s">
        <v>16226</v>
      </c>
      <c r="I65" t="s">
        <v>16307</v>
      </c>
      <c r="J65" t="s">
        <v>16386</v>
      </c>
      <c r="K65">
        <v>0.153</v>
      </c>
      <c r="L65">
        <v>6669</v>
      </c>
      <c r="M65">
        <v>2375</v>
      </c>
      <c r="N65" t="s">
        <v>16393</v>
      </c>
      <c r="O65" s="4">
        <v>34158</v>
      </c>
      <c r="P65" s="4">
        <v>114022</v>
      </c>
      <c r="Q65" s="4">
        <v>148180</v>
      </c>
      <c r="R65" s="4">
        <v>444540</v>
      </c>
      <c r="S65" t="s">
        <v>16465</v>
      </c>
      <c r="T65" s="6">
        <v>44501</v>
      </c>
      <c r="U65" s="4">
        <v>420000</v>
      </c>
      <c r="V65" t="s">
        <v>23739</v>
      </c>
      <c r="W65" t="s">
        <v>23786</v>
      </c>
      <c r="X65" t="s">
        <v>3</v>
      </c>
      <c r="AA65" s="5" t="str">
        <f>HYPERLINK("https://www.zillow.com/homes/259-WINDSOR-DR-BARTLETT-IL-601035175_rb/","check listing")</f>
        <v>check listing</v>
      </c>
      <c r="AB65" s="5" t="str">
        <f>HYPERLINK("https://propertylookup.dupagecounty.gov/Datalets/Datalet.aspx?UseSearch=no&amp;mode=sales&amp;pin=0111207012","sales record")</f>
        <v>sales record</v>
      </c>
      <c r="AC65" t="s">
        <v>3</v>
      </c>
      <c r="AD65">
        <v>41.970696</v>
      </c>
      <c r="AE65">
        <v>-88.173198</v>
      </c>
      <c r="AF65" s="5" t="str">
        <f>HYPERLINK("https://www.google.com/maps/search/?api=1&amp;query=41.970696,-88.173198","map")</f>
        <v>map</v>
      </c>
    </row>
    <row r="66" spans="1:32">
      <c r="A66" t="s">
        <v>116</v>
      </c>
      <c r="B66" t="s">
        <v>7712</v>
      </c>
      <c r="C66" t="s">
        <v>15099</v>
      </c>
      <c r="D66" t="s">
        <v>16194</v>
      </c>
      <c r="E66" t="s">
        <v>16218</v>
      </c>
      <c r="F66" t="s">
        <v>16221</v>
      </c>
      <c r="G66" t="s">
        <v>16227</v>
      </c>
      <c r="H66" t="s">
        <v>16226</v>
      </c>
      <c r="I66" t="s">
        <v>16307</v>
      </c>
      <c r="J66" t="s">
        <v>16386</v>
      </c>
      <c r="K66">
        <v>0.153</v>
      </c>
      <c r="L66">
        <v>6668</v>
      </c>
      <c r="M66">
        <v>2308</v>
      </c>
      <c r="N66" t="s">
        <v>16393</v>
      </c>
      <c r="O66" s="4">
        <v>34158</v>
      </c>
      <c r="P66" s="4">
        <v>94877</v>
      </c>
      <c r="Q66" s="4">
        <v>129035</v>
      </c>
      <c r="R66" s="4">
        <v>387105</v>
      </c>
      <c r="S66" t="s">
        <v>16466</v>
      </c>
      <c r="T66" s="6">
        <v>36708</v>
      </c>
      <c r="U66" s="4">
        <v>215000</v>
      </c>
      <c r="V66" t="s">
        <v>23739</v>
      </c>
      <c r="W66" t="s">
        <v>23787</v>
      </c>
      <c r="X66" t="s">
        <v>3</v>
      </c>
      <c r="AA66" s="5" t="str">
        <f>HYPERLINK("https://www.zillow.com/homes/286-WINDSOR-DR-BARTLETT-IL-60103_rb/","check listing")</f>
        <v>check listing</v>
      </c>
      <c r="AB66" s="5" t="str">
        <f>HYPERLINK("https://propertylookup.dupagecounty.gov/Datalets/Datalet.aspx?UseSearch=no&amp;mode=sales&amp;pin=0111206010","sales record")</f>
        <v>sales record</v>
      </c>
      <c r="AC66" t="s">
        <v>3</v>
      </c>
      <c r="AD66">
        <v>41.971995</v>
      </c>
      <c r="AE66">
        <v>-88.171797</v>
      </c>
      <c r="AF66" s="5" t="str">
        <f>HYPERLINK("https://www.google.com/maps/search/?api=1&amp;query=41.971995,-88.171797","map")</f>
        <v>map</v>
      </c>
    </row>
    <row r="67" spans="1:32">
      <c r="A67" t="s">
        <v>117</v>
      </c>
      <c r="B67" t="s">
        <v>7713</v>
      </c>
      <c r="C67" t="s">
        <v>15099</v>
      </c>
      <c r="D67" t="s">
        <v>16194</v>
      </c>
      <c r="E67" t="s">
        <v>16218</v>
      </c>
      <c r="F67" t="s">
        <v>16221</v>
      </c>
      <c r="G67" t="s">
        <v>16227</v>
      </c>
      <c r="H67" t="s">
        <v>16226</v>
      </c>
      <c r="I67" t="s">
        <v>16307</v>
      </c>
      <c r="J67" t="s">
        <v>16386</v>
      </c>
      <c r="K67">
        <v>0.153</v>
      </c>
      <c r="L67">
        <v>6668</v>
      </c>
      <c r="M67">
        <v>2573</v>
      </c>
      <c r="N67" t="s">
        <v>16393</v>
      </c>
      <c r="O67" s="4">
        <v>34158</v>
      </c>
      <c r="P67" s="4">
        <v>93619</v>
      </c>
      <c r="Q67" s="4">
        <v>127777</v>
      </c>
      <c r="R67" s="4">
        <v>383331</v>
      </c>
      <c r="S67" t="s">
        <v>16467</v>
      </c>
      <c r="T67" s="6">
        <v>44075</v>
      </c>
      <c r="U67" s="4">
        <v>299000</v>
      </c>
      <c r="V67" t="s">
        <v>23739</v>
      </c>
      <c r="W67" t="s">
        <v>23788</v>
      </c>
      <c r="X67" t="s">
        <v>3</v>
      </c>
      <c r="AA67" s="5" t="str">
        <f>HYPERLINK("https://www.zillow.com/homes/266-WINDSOR-DR-BARTLETT-IL-60103_rb/","check listing")</f>
        <v>check listing</v>
      </c>
      <c r="AB67" s="5" t="str">
        <f>HYPERLINK("https://propertylookup.dupagecounty.gov/Datalets/Datalet.aspx?UseSearch=no&amp;mode=sales&amp;pin=0111206015","sales record")</f>
        <v>sales record</v>
      </c>
      <c r="AC67" t="s">
        <v>3</v>
      </c>
      <c r="AD67">
        <v>41.971985</v>
      </c>
      <c r="AE67">
        <v>-88.172533</v>
      </c>
      <c r="AF67" s="5" t="str">
        <f>HYPERLINK("https://www.google.com/maps/search/?api=1&amp;query=41.971985,-88.172533","map")</f>
        <v>map</v>
      </c>
    </row>
    <row r="68" spans="1:32">
      <c r="A68" t="s">
        <v>118</v>
      </c>
      <c r="B68" t="s">
        <v>7714</v>
      </c>
      <c r="C68" t="s">
        <v>15101</v>
      </c>
      <c r="D68" t="s">
        <v>16194</v>
      </c>
      <c r="E68" t="s">
        <v>16218</v>
      </c>
      <c r="F68" t="s">
        <v>16221</v>
      </c>
      <c r="G68" t="s">
        <v>16227</v>
      </c>
      <c r="H68" t="s">
        <v>16226</v>
      </c>
      <c r="I68" t="s">
        <v>16307</v>
      </c>
      <c r="J68" t="s">
        <v>16386</v>
      </c>
      <c r="K68">
        <v>0.153</v>
      </c>
      <c r="L68">
        <v>6668</v>
      </c>
      <c r="M68">
        <v>1319</v>
      </c>
      <c r="N68" t="s">
        <v>16393</v>
      </c>
      <c r="O68" s="4">
        <v>34158</v>
      </c>
      <c r="P68" s="4">
        <v>111938</v>
      </c>
      <c r="Q68" s="4">
        <v>146096</v>
      </c>
      <c r="R68" s="4">
        <v>438288</v>
      </c>
      <c r="S68" t="s">
        <v>16468</v>
      </c>
      <c r="T68" s="6">
        <v>36312</v>
      </c>
      <c r="U68" s="4">
        <v>225000</v>
      </c>
      <c r="X68" t="s">
        <v>3</v>
      </c>
      <c r="AA68" s="5" t="str">
        <f>HYPERLINK("https://www.zillow.com/homes/237-WINDSOR-DR-BARTLETT-IL-601035175_rb/","check listing")</f>
        <v>check listing</v>
      </c>
      <c r="AB68" s="5" t="str">
        <f>HYPERLINK("https://propertylookup.dupagecounty.gov/Datalets/Datalet.aspx?UseSearch=no&amp;mode=sales&amp;pin=0111207004","sales record")</f>
        <v>sales record</v>
      </c>
      <c r="AC68" t="s">
        <v>3</v>
      </c>
      <c r="AD68">
        <v>41.970686</v>
      </c>
      <c r="AE68">
        <v>-88.17393300000001</v>
      </c>
      <c r="AF68" s="5" t="str">
        <f>HYPERLINK("https://www.google.com/maps/search/?api=1&amp;query=41.970686,-88.173933","map")</f>
        <v>map</v>
      </c>
    </row>
    <row r="69" spans="1:32">
      <c r="A69" t="s">
        <v>119</v>
      </c>
      <c r="B69" t="s">
        <v>7715</v>
      </c>
      <c r="C69" t="s">
        <v>15099</v>
      </c>
      <c r="D69" t="s">
        <v>16194</v>
      </c>
      <c r="E69" t="s">
        <v>16218</v>
      </c>
      <c r="F69" t="s">
        <v>16221</v>
      </c>
      <c r="G69" t="s">
        <v>16227</v>
      </c>
      <c r="H69" t="s">
        <v>16226</v>
      </c>
      <c r="I69" t="s">
        <v>16307</v>
      </c>
      <c r="J69" t="s">
        <v>16386</v>
      </c>
      <c r="K69">
        <v>0.153</v>
      </c>
      <c r="L69">
        <v>6668</v>
      </c>
      <c r="M69">
        <v>1969</v>
      </c>
      <c r="N69" t="s">
        <v>16393</v>
      </c>
      <c r="O69" s="4">
        <v>34158</v>
      </c>
      <c r="P69" s="4">
        <v>107756</v>
      </c>
      <c r="Q69" s="4">
        <v>141914</v>
      </c>
      <c r="R69" s="4">
        <v>425742</v>
      </c>
      <c r="S69" t="s">
        <v>16469</v>
      </c>
      <c r="T69" s="6">
        <v>41640</v>
      </c>
      <c r="U69" s="4">
        <v>262500</v>
      </c>
      <c r="V69" t="s">
        <v>23739</v>
      </c>
      <c r="W69" t="s">
        <v>23789</v>
      </c>
      <c r="X69" t="s">
        <v>3</v>
      </c>
      <c r="AA69" s="5" t="str">
        <f>HYPERLINK("https://www.zillow.com/homes/239-WINDSOR-DR-BARTLETT-IL-60103_rb/","check listing")</f>
        <v>check listing</v>
      </c>
      <c r="AB69" s="5" t="str">
        <f>HYPERLINK("https://propertylookup.dupagecounty.gov/Datalets/Datalet.aspx?UseSearch=no&amp;mode=sales&amp;pin=0111207005","sales record")</f>
        <v>sales record</v>
      </c>
      <c r="AC69" t="s">
        <v>3</v>
      </c>
      <c r="AD69">
        <v>41.97069</v>
      </c>
      <c r="AE69">
        <v>-88.173688</v>
      </c>
      <c r="AF69" s="5" t="str">
        <f>HYPERLINK("https://www.google.com/maps/search/?api=1&amp;query=41.97069,-88.173688","map")</f>
        <v>map</v>
      </c>
    </row>
    <row r="70" spans="1:32">
      <c r="A70" t="s">
        <v>120</v>
      </c>
      <c r="B70" t="s">
        <v>7716</v>
      </c>
      <c r="C70" t="s">
        <v>15103</v>
      </c>
      <c r="D70" t="s">
        <v>16194</v>
      </c>
      <c r="E70" t="s">
        <v>16218</v>
      </c>
      <c r="F70" t="s">
        <v>16221</v>
      </c>
      <c r="G70" t="s">
        <v>16227</v>
      </c>
      <c r="H70" t="s">
        <v>16226</v>
      </c>
      <c r="I70" t="s">
        <v>16307</v>
      </c>
      <c r="J70" t="s">
        <v>16386</v>
      </c>
      <c r="K70">
        <v>0.153</v>
      </c>
      <c r="L70">
        <v>6668</v>
      </c>
      <c r="M70">
        <v>1642</v>
      </c>
      <c r="N70" t="s">
        <v>16393</v>
      </c>
      <c r="O70" s="4">
        <v>34158</v>
      </c>
      <c r="P70" s="4">
        <v>101107</v>
      </c>
      <c r="Q70" s="4">
        <v>135265</v>
      </c>
      <c r="R70" s="4">
        <v>405795</v>
      </c>
      <c r="S70" t="s">
        <v>16470</v>
      </c>
      <c r="T70" s="6">
        <v>34669</v>
      </c>
      <c r="U70" s="4">
        <v>171000</v>
      </c>
      <c r="X70" t="s">
        <v>3</v>
      </c>
      <c r="AA70" s="5" t="str">
        <f>HYPERLINK("https://www.zillow.com/homes/246-WINDSOR-DR-BARTLETT-IL-601035181_rb/","check listing")</f>
        <v>check listing</v>
      </c>
      <c r="AB70" s="5" t="str">
        <f>HYPERLINK("https://propertylookup.dupagecounty.gov/Datalets/Datalet.aspx?UseSearch=no&amp;mode=sales&amp;pin=0111206020","sales record")</f>
        <v>sales record</v>
      </c>
      <c r="AC70" t="s">
        <v>3</v>
      </c>
      <c r="AD70">
        <v>41.971976</v>
      </c>
      <c r="AE70">
        <v>-88.17326799999999</v>
      </c>
      <c r="AF70" s="5" t="str">
        <f>HYPERLINK("https://www.google.com/maps/search/?api=1&amp;query=41.971976,-88.173268","map")</f>
        <v>map</v>
      </c>
    </row>
    <row r="71" spans="1:32">
      <c r="A71" t="s">
        <v>121</v>
      </c>
      <c r="B71" t="s">
        <v>7717</v>
      </c>
      <c r="C71" t="s">
        <v>15099</v>
      </c>
      <c r="D71" t="s">
        <v>16194</v>
      </c>
      <c r="E71" t="s">
        <v>16218</v>
      </c>
      <c r="F71" t="s">
        <v>16221</v>
      </c>
      <c r="G71" t="s">
        <v>16227</v>
      </c>
      <c r="H71" t="s">
        <v>16226</v>
      </c>
      <c r="I71" t="s">
        <v>16307</v>
      </c>
      <c r="J71" t="s">
        <v>16386</v>
      </c>
      <c r="K71">
        <v>0.153</v>
      </c>
      <c r="L71">
        <v>6667</v>
      </c>
      <c r="M71">
        <v>2145</v>
      </c>
      <c r="N71" t="s">
        <v>16393</v>
      </c>
      <c r="O71" s="4">
        <v>34158</v>
      </c>
      <c r="P71" s="4">
        <v>108188</v>
      </c>
      <c r="Q71" s="4">
        <v>142346</v>
      </c>
      <c r="R71" s="4">
        <v>427038</v>
      </c>
      <c r="S71" t="s">
        <v>16471</v>
      </c>
      <c r="T71" s="6">
        <v>43405</v>
      </c>
      <c r="U71" s="4">
        <v>336500</v>
      </c>
      <c r="V71" t="s">
        <v>23739</v>
      </c>
      <c r="W71" t="s">
        <v>16471</v>
      </c>
      <c r="X71" t="s">
        <v>3</v>
      </c>
      <c r="AA71" s="5" t="str">
        <f>HYPERLINK("https://www.zillow.com/homes/244-WINDSOR-DR-BARTLETT-IL-60103_rb/","check listing")</f>
        <v>check listing</v>
      </c>
      <c r="AB71" s="5" t="str">
        <f>HYPERLINK("https://propertylookup.dupagecounty.gov/Datalets/Datalet.aspx?UseSearch=no&amp;mode=sales&amp;pin=0111206021","sales record")</f>
        <v>sales record</v>
      </c>
      <c r="AC71" t="s">
        <v>3</v>
      </c>
      <c r="AD71">
        <v>41.971972</v>
      </c>
      <c r="AE71">
        <v>-88.173513</v>
      </c>
      <c r="AF71" s="5" t="str">
        <f>HYPERLINK("https://www.google.com/maps/search/?api=1&amp;query=41.971972,-88.173513","map")</f>
        <v>map</v>
      </c>
    </row>
    <row r="72" spans="1:32">
      <c r="A72" t="s">
        <v>122</v>
      </c>
      <c r="B72" t="s">
        <v>7718</v>
      </c>
      <c r="C72" t="s">
        <v>15099</v>
      </c>
      <c r="D72" t="s">
        <v>16194</v>
      </c>
      <c r="E72" t="s">
        <v>16218</v>
      </c>
      <c r="F72" t="s">
        <v>16221</v>
      </c>
      <c r="G72" t="s">
        <v>16227</v>
      </c>
      <c r="H72" t="s">
        <v>16226</v>
      </c>
      <c r="I72" t="s">
        <v>16307</v>
      </c>
      <c r="J72" t="s">
        <v>16386</v>
      </c>
      <c r="K72">
        <v>0.153</v>
      </c>
      <c r="L72">
        <v>6667</v>
      </c>
      <c r="M72">
        <v>2177</v>
      </c>
      <c r="N72" t="s">
        <v>16393</v>
      </c>
      <c r="O72" s="4">
        <v>34158</v>
      </c>
      <c r="P72" s="4">
        <v>97860</v>
      </c>
      <c r="Q72" s="4">
        <v>132018</v>
      </c>
      <c r="R72" s="4">
        <v>396054</v>
      </c>
      <c r="S72" t="s">
        <v>16472</v>
      </c>
      <c r="T72" s="6">
        <v>41153</v>
      </c>
      <c r="U72" s="4">
        <v>220000</v>
      </c>
      <c r="V72" t="s">
        <v>23739</v>
      </c>
      <c r="W72" t="s">
        <v>23790</v>
      </c>
      <c r="X72" t="s">
        <v>3</v>
      </c>
      <c r="AA72" s="5" t="str">
        <f>HYPERLINK("https://www.zillow.com/homes/242-WINDSOR-DR-BARTLETT-IL-60103_rb/","check listing")</f>
        <v>check listing</v>
      </c>
      <c r="AB72" s="5" t="str">
        <f>HYPERLINK("https://propertylookup.dupagecounty.gov/Datalets/Datalet.aspx?UseSearch=no&amp;mode=sales&amp;pin=0111206022","sales record")</f>
        <v>sales record</v>
      </c>
      <c r="AC72" t="s">
        <v>3</v>
      </c>
      <c r="AD72">
        <v>41.971969</v>
      </c>
      <c r="AE72">
        <v>-88.17375800000001</v>
      </c>
      <c r="AF72" s="5" t="str">
        <f>HYPERLINK("https://www.google.com/maps/search/?api=1&amp;query=41.971969,-88.173758","map")</f>
        <v>map</v>
      </c>
    </row>
    <row r="73" spans="1:32">
      <c r="A73" t="s">
        <v>123</v>
      </c>
      <c r="B73" t="s">
        <v>7719</v>
      </c>
      <c r="C73" t="s">
        <v>15103</v>
      </c>
      <c r="D73" t="s">
        <v>16194</v>
      </c>
      <c r="E73" t="s">
        <v>16218</v>
      </c>
      <c r="F73" t="s">
        <v>16221</v>
      </c>
      <c r="G73" t="s">
        <v>16227</v>
      </c>
      <c r="H73" t="s">
        <v>16226</v>
      </c>
      <c r="I73" t="s">
        <v>16307</v>
      </c>
      <c r="J73" t="s">
        <v>16386</v>
      </c>
      <c r="K73">
        <v>0.153</v>
      </c>
      <c r="L73">
        <v>6667</v>
      </c>
      <c r="M73">
        <v>2144</v>
      </c>
      <c r="N73" t="s">
        <v>16393</v>
      </c>
      <c r="O73" s="4">
        <v>34158</v>
      </c>
      <c r="P73" s="4">
        <v>96110</v>
      </c>
      <c r="Q73" s="4">
        <v>130268</v>
      </c>
      <c r="R73" s="4">
        <v>390804</v>
      </c>
      <c r="S73" t="s">
        <v>16473</v>
      </c>
      <c r="T73" s="6">
        <v>44317</v>
      </c>
      <c r="U73" s="4">
        <v>355000</v>
      </c>
      <c r="V73" t="s">
        <v>23739</v>
      </c>
      <c r="W73" t="s">
        <v>16473</v>
      </c>
      <c r="X73" t="s">
        <v>3</v>
      </c>
      <c r="AA73" s="5" t="str">
        <f>HYPERLINK("https://www.zillow.com/homes/282-WINDSOR-DR-BARTLETT-IL-601035181_rb/","check listing")</f>
        <v>check listing</v>
      </c>
      <c r="AB73" s="5" t="str">
        <f>HYPERLINK("https://propertylookup.dupagecounty.gov/Datalets/Datalet.aspx?UseSearch=no&amp;mode=sales&amp;pin=0111206012","sales record")</f>
        <v>sales record</v>
      </c>
      <c r="AC73" t="s">
        <v>3</v>
      </c>
      <c r="AD73">
        <v>41.971988</v>
      </c>
      <c r="AE73">
        <v>-88.17228799999999</v>
      </c>
      <c r="AF73" s="5" t="str">
        <f>HYPERLINK("https://www.google.com/maps/search/?api=1&amp;query=41.971988,-88.172288","map")</f>
        <v>map</v>
      </c>
    </row>
    <row r="74" spans="1:32">
      <c r="A74" t="s">
        <v>124</v>
      </c>
      <c r="B74" t="s">
        <v>7720</v>
      </c>
      <c r="C74" t="s">
        <v>15099</v>
      </c>
      <c r="D74" t="s">
        <v>16194</v>
      </c>
      <c r="E74" t="s">
        <v>16218</v>
      </c>
      <c r="F74" t="s">
        <v>16221</v>
      </c>
      <c r="G74" t="s">
        <v>16227</v>
      </c>
      <c r="H74" t="s">
        <v>16226</v>
      </c>
      <c r="I74" t="s">
        <v>16307</v>
      </c>
      <c r="J74" t="s">
        <v>16386</v>
      </c>
      <c r="K74">
        <v>0.153</v>
      </c>
      <c r="L74">
        <v>6667</v>
      </c>
      <c r="M74">
        <v>1979</v>
      </c>
      <c r="N74" t="s">
        <v>16393</v>
      </c>
      <c r="O74" s="4">
        <v>34158</v>
      </c>
      <c r="P74" s="4">
        <v>93068</v>
      </c>
      <c r="Q74" s="4">
        <v>127226</v>
      </c>
      <c r="R74" s="4">
        <v>381678</v>
      </c>
      <c r="S74" t="s">
        <v>16474</v>
      </c>
      <c r="T74" s="6">
        <v>33786</v>
      </c>
      <c r="U74" s="4">
        <v>167099</v>
      </c>
      <c r="X74" t="s">
        <v>3</v>
      </c>
      <c r="AA74" s="5" t="str">
        <f>HYPERLINK("https://www.zillow.com/homes/264-WINDSOR-DR-BARTLETT-IL-60103_rb/","check listing")</f>
        <v>check listing</v>
      </c>
      <c r="AB74" s="5" t="str">
        <f>HYPERLINK("https://propertylookup.dupagecounty.gov/Datalets/Datalet.aspx?UseSearch=no&amp;mode=sales&amp;pin=0111206016","sales record")</f>
        <v>sales record</v>
      </c>
      <c r="AC74" t="s">
        <v>3</v>
      </c>
      <c r="AD74">
        <v>41.971982</v>
      </c>
      <c r="AE74">
        <v>-88.17277799999999</v>
      </c>
      <c r="AF74" s="5" t="str">
        <f>HYPERLINK("https://www.google.com/maps/search/?api=1&amp;query=41.971982,-88.172778","map")</f>
        <v>map</v>
      </c>
    </row>
    <row r="75" spans="1:32">
      <c r="A75" t="s">
        <v>125</v>
      </c>
      <c r="B75" t="s">
        <v>7721</v>
      </c>
      <c r="C75" t="s">
        <v>15103</v>
      </c>
      <c r="D75" t="s">
        <v>16194</v>
      </c>
      <c r="E75" t="s">
        <v>16218</v>
      </c>
      <c r="F75" t="s">
        <v>16221</v>
      </c>
      <c r="G75" t="s">
        <v>16227</v>
      </c>
      <c r="H75" t="s">
        <v>16226</v>
      </c>
      <c r="I75" t="s">
        <v>16307</v>
      </c>
      <c r="J75" t="s">
        <v>16386</v>
      </c>
      <c r="K75">
        <v>0.153</v>
      </c>
      <c r="L75">
        <v>6666</v>
      </c>
      <c r="M75">
        <v>2144</v>
      </c>
      <c r="N75" t="s">
        <v>16393</v>
      </c>
      <c r="O75" s="4">
        <v>34158</v>
      </c>
      <c r="P75" s="4">
        <v>109494</v>
      </c>
      <c r="Q75" s="4">
        <v>143652</v>
      </c>
      <c r="R75" s="4">
        <v>430956</v>
      </c>
      <c r="S75" t="s">
        <v>16475</v>
      </c>
      <c r="T75" s="6">
        <v>45824</v>
      </c>
      <c r="U75" s="4">
        <v>435000</v>
      </c>
      <c r="V75" t="s">
        <v>23739</v>
      </c>
      <c r="W75" t="s">
        <v>23791</v>
      </c>
      <c r="X75" t="s">
        <v>3</v>
      </c>
      <c r="AA75" s="5" t="str">
        <f>HYPERLINK("https://www.zillow.com/homes/284-WINDSOR-DR-BARTLETT-IL-601035181_rb/","check listing")</f>
        <v>check listing</v>
      </c>
      <c r="AB75" s="5" t="str">
        <f>HYPERLINK("https://propertylookup.dupagecounty.gov/Datalets/Datalet.aspx?UseSearch=no&amp;mode=sales&amp;pin=0111206011","sales record")</f>
        <v>sales record</v>
      </c>
      <c r="AC75" t="s">
        <v>3</v>
      </c>
      <c r="AD75">
        <v>41.971991</v>
      </c>
      <c r="AE75">
        <v>-88.172042</v>
      </c>
      <c r="AF75" s="5" t="str">
        <f>HYPERLINK("https://www.google.com/maps/search/?api=1&amp;query=41.971991,-88.172042","map")</f>
        <v>map</v>
      </c>
    </row>
    <row r="76" spans="1:32">
      <c r="A76" t="s">
        <v>126</v>
      </c>
      <c r="B76" t="s">
        <v>7722</v>
      </c>
      <c r="C76" t="s">
        <v>15103</v>
      </c>
      <c r="D76" t="s">
        <v>16194</v>
      </c>
      <c r="E76" t="s">
        <v>16218</v>
      </c>
      <c r="F76" t="s">
        <v>16221</v>
      </c>
      <c r="G76" t="s">
        <v>16227</v>
      </c>
      <c r="H76" t="s">
        <v>16226</v>
      </c>
      <c r="I76" t="s">
        <v>16307</v>
      </c>
      <c r="J76" t="s">
        <v>16386</v>
      </c>
      <c r="K76">
        <v>0.153</v>
      </c>
      <c r="L76">
        <v>6665</v>
      </c>
      <c r="M76">
        <v>2272</v>
      </c>
      <c r="N76" t="s">
        <v>16393</v>
      </c>
      <c r="O76" s="4">
        <v>34158</v>
      </c>
      <c r="P76" s="4">
        <v>109913</v>
      </c>
      <c r="Q76" s="4">
        <v>144071</v>
      </c>
      <c r="R76" s="4">
        <v>432213</v>
      </c>
      <c r="S76" t="s">
        <v>16476</v>
      </c>
      <c r="T76" s="6">
        <v>43160</v>
      </c>
      <c r="U76" s="4">
        <v>290000</v>
      </c>
      <c r="V76" t="s">
        <v>23739</v>
      </c>
      <c r="W76" t="s">
        <v>16476</v>
      </c>
      <c r="X76" t="s">
        <v>3</v>
      </c>
      <c r="AA76" s="5" t="str">
        <f>HYPERLINK("https://www.zillow.com/homes/262-WINDSOR-DR-BARTLETT-IL-601035181_rb/","check listing")</f>
        <v>check listing</v>
      </c>
      <c r="AB76" s="5" t="str">
        <f>HYPERLINK("https://propertylookup.dupagecounty.gov/Datalets/Datalet.aspx?UseSearch=no&amp;mode=sales&amp;pin=0111206017","sales record")</f>
        <v>sales record</v>
      </c>
      <c r="AC76" t="s">
        <v>3</v>
      </c>
      <c r="AD76">
        <v>41.971979</v>
      </c>
      <c r="AE76">
        <v>-88.173023</v>
      </c>
      <c r="AF76" s="5" t="str">
        <f>HYPERLINK("https://www.google.com/maps/search/?api=1&amp;query=41.971979,-88.173023","map")</f>
        <v>map</v>
      </c>
    </row>
    <row r="77" spans="1:32">
      <c r="A77" t="s">
        <v>127</v>
      </c>
      <c r="B77" t="s">
        <v>7723</v>
      </c>
      <c r="C77" t="s">
        <v>15101</v>
      </c>
      <c r="D77" t="s">
        <v>16194</v>
      </c>
      <c r="E77" t="s">
        <v>16218</v>
      </c>
      <c r="F77" t="s">
        <v>16221</v>
      </c>
      <c r="G77" t="s">
        <v>16227</v>
      </c>
      <c r="H77" t="s">
        <v>16226</v>
      </c>
      <c r="I77" t="s">
        <v>16307</v>
      </c>
      <c r="J77" t="s">
        <v>16386</v>
      </c>
      <c r="K77">
        <v>0.153</v>
      </c>
      <c r="L77">
        <v>6656</v>
      </c>
      <c r="M77">
        <v>1781</v>
      </c>
      <c r="N77" t="s">
        <v>16393</v>
      </c>
      <c r="O77" s="4">
        <v>34158</v>
      </c>
      <c r="P77" s="4">
        <v>102652</v>
      </c>
      <c r="Q77" s="4">
        <v>136810</v>
      </c>
      <c r="R77" s="4">
        <v>410430</v>
      </c>
      <c r="S77" t="s">
        <v>16477</v>
      </c>
      <c r="T77" s="6">
        <v>44378</v>
      </c>
      <c r="U77" s="4">
        <v>345000</v>
      </c>
      <c r="V77" t="s">
        <v>23739</v>
      </c>
      <c r="W77" t="s">
        <v>23792</v>
      </c>
      <c r="X77" t="s">
        <v>3</v>
      </c>
      <c r="AA77" s="5" t="str">
        <f>HYPERLINK("https://www.zillow.com/homes/217-WINDSOR-DR-BARTLETT-IL-601035175_rb/","check listing")</f>
        <v>check listing</v>
      </c>
      <c r="AB77" s="5" t="str">
        <f>HYPERLINK("https://propertylookup.dupagecounty.gov/Datalets/Datalet.aspx?UseSearch=no&amp;mode=sales&amp;pin=0111104021","sales record")</f>
        <v>sales record</v>
      </c>
      <c r="AC77" t="s">
        <v>3</v>
      </c>
      <c r="AD77">
        <v>41.97085</v>
      </c>
      <c r="AE77">
        <v>-88.17491800000001</v>
      </c>
      <c r="AF77" s="5" t="str">
        <f>HYPERLINK("https://www.google.com/maps/search/?api=1&amp;query=41.97085,-88.174918","map")</f>
        <v>map</v>
      </c>
    </row>
    <row r="78" spans="1:32">
      <c r="A78" t="s">
        <v>128</v>
      </c>
      <c r="B78" t="s">
        <v>7724</v>
      </c>
      <c r="C78" t="s">
        <v>15101</v>
      </c>
      <c r="D78" t="s">
        <v>16194</v>
      </c>
      <c r="E78" t="s">
        <v>16218</v>
      </c>
      <c r="F78" t="s">
        <v>16221</v>
      </c>
      <c r="G78" t="s">
        <v>16227</v>
      </c>
      <c r="H78" t="s">
        <v>16226</v>
      </c>
      <c r="I78" t="s">
        <v>16307</v>
      </c>
      <c r="J78" t="s">
        <v>16386</v>
      </c>
      <c r="K78">
        <v>0.153</v>
      </c>
      <c r="L78">
        <v>6654</v>
      </c>
      <c r="M78">
        <v>2308</v>
      </c>
      <c r="N78" t="s">
        <v>16393</v>
      </c>
      <c r="O78" s="4">
        <v>34158</v>
      </c>
      <c r="P78" s="4">
        <v>124458</v>
      </c>
      <c r="Q78" s="4">
        <v>158616</v>
      </c>
      <c r="R78" s="4">
        <v>475848</v>
      </c>
      <c r="S78" t="s">
        <v>16478</v>
      </c>
      <c r="T78" s="6">
        <v>44958</v>
      </c>
      <c r="U78" s="4">
        <v>499000</v>
      </c>
      <c r="V78" t="s">
        <v>23739</v>
      </c>
      <c r="W78" t="s">
        <v>23793</v>
      </c>
      <c r="X78" t="s">
        <v>3</v>
      </c>
      <c r="AA78" s="5" t="str">
        <f>HYPERLINK("https://www.zillow.com/homes/219-WINDSOR-DR-BARTLETT-IL-601035175_rb/","check listing")</f>
        <v>check listing</v>
      </c>
      <c r="AB78" s="5" t="str">
        <f>HYPERLINK("https://propertylookup.dupagecounty.gov/Datalets/Datalet.aspx?UseSearch=no&amp;mode=sales&amp;pin=0111104022","sales record")</f>
        <v>sales record</v>
      </c>
      <c r="AC78" t="s">
        <v>3</v>
      </c>
      <c r="AD78">
        <v>41.970853</v>
      </c>
      <c r="AE78">
        <v>-88.174673</v>
      </c>
      <c r="AF78" s="5" t="str">
        <f>HYPERLINK("https://www.google.com/maps/search/?api=1&amp;query=41.970853,-88.174673","map")</f>
        <v>map</v>
      </c>
    </row>
    <row r="79" spans="1:32">
      <c r="A79" t="s">
        <v>129</v>
      </c>
      <c r="B79" t="s">
        <v>7725</v>
      </c>
      <c r="C79" t="s">
        <v>15101</v>
      </c>
      <c r="D79" t="s">
        <v>16194</v>
      </c>
      <c r="E79" t="s">
        <v>16218</v>
      </c>
      <c r="F79" t="s">
        <v>16221</v>
      </c>
      <c r="G79" t="s">
        <v>16227</v>
      </c>
      <c r="H79" t="s">
        <v>16226</v>
      </c>
      <c r="I79" t="s">
        <v>16307</v>
      </c>
      <c r="J79" t="s">
        <v>16386</v>
      </c>
      <c r="K79">
        <v>0.153</v>
      </c>
      <c r="L79">
        <v>6653</v>
      </c>
      <c r="M79">
        <v>2067</v>
      </c>
      <c r="N79" t="s">
        <v>16393</v>
      </c>
      <c r="O79" s="4">
        <v>34158</v>
      </c>
      <c r="P79" s="4">
        <v>102790</v>
      </c>
      <c r="Q79" s="4">
        <v>136948</v>
      </c>
      <c r="R79" s="4">
        <v>410844</v>
      </c>
      <c r="S79" t="s">
        <v>16479</v>
      </c>
      <c r="T79" s="6">
        <v>45125</v>
      </c>
      <c r="U79" s="4">
        <v>378000</v>
      </c>
      <c r="V79" t="s">
        <v>23739</v>
      </c>
      <c r="W79" t="s">
        <v>23794</v>
      </c>
      <c r="X79" t="s">
        <v>3</v>
      </c>
      <c r="AA79" s="5" t="str">
        <f>HYPERLINK("https://www.zillow.com/homes/221-WINDSOR-DR-BARTLETT-IL-601035175_rb/","check listing")</f>
        <v>check listing</v>
      </c>
      <c r="AB79" s="5" t="str">
        <f>HYPERLINK("https://propertylookup.dupagecounty.gov/Datalets/Datalet.aspx?UseSearch=no&amp;mode=sales&amp;pin=0111104023","sales record")</f>
        <v>sales record</v>
      </c>
      <c r="AC79" t="s">
        <v>3</v>
      </c>
      <c r="AD79">
        <v>41.970905</v>
      </c>
      <c r="AE79">
        <v>-88.174429</v>
      </c>
      <c r="AF79" s="5" t="str">
        <f>HYPERLINK("https://www.google.com/maps/search/?api=1&amp;query=41.970905,-88.174429","map")</f>
        <v>map</v>
      </c>
    </row>
    <row r="80" spans="1:32">
      <c r="A80" t="s">
        <v>130</v>
      </c>
      <c r="B80" t="s">
        <v>7726</v>
      </c>
      <c r="C80" t="s">
        <v>15101</v>
      </c>
      <c r="D80" t="s">
        <v>16194</v>
      </c>
      <c r="E80" t="s">
        <v>16218</v>
      </c>
      <c r="F80" t="s">
        <v>16221</v>
      </c>
      <c r="G80" t="s">
        <v>16227</v>
      </c>
      <c r="H80" t="s">
        <v>16226</v>
      </c>
      <c r="I80" t="s">
        <v>16307</v>
      </c>
      <c r="J80" t="s">
        <v>16386</v>
      </c>
      <c r="K80">
        <v>0.153</v>
      </c>
      <c r="L80">
        <v>6649</v>
      </c>
      <c r="M80">
        <v>3204</v>
      </c>
      <c r="N80" t="s">
        <v>16393</v>
      </c>
      <c r="O80" s="4">
        <v>34158</v>
      </c>
      <c r="P80" s="4">
        <v>104210</v>
      </c>
      <c r="Q80" s="4">
        <v>138368</v>
      </c>
      <c r="R80" s="4">
        <v>415104</v>
      </c>
      <c r="S80" t="s">
        <v>16480</v>
      </c>
      <c r="T80" s="6">
        <v>45461</v>
      </c>
      <c r="U80" s="4">
        <v>525000</v>
      </c>
      <c r="V80" t="s">
        <v>23741</v>
      </c>
      <c r="W80" t="s">
        <v>23795</v>
      </c>
      <c r="X80" t="s">
        <v>3</v>
      </c>
      <c r="AA80" s="5" t="str">
        <f>HYPERLINK("https://www.zillow.com/homes/287-WINDSOR-DR-BARTLETT-IL-601035175_rb/","check listing")</f>
        <v>check listing</v>
      </c>
      <c r="AB80" s="5" t="str">
        <f>HYPERLINK("https://propertylookup.dupagecounty.gov/Datalets/Datalet.aspx?UseSearch=no&amp;mode=sales&amp;pin=0111207025","sales record")</f>
        <v>sales record</v>
      </c>
      <c r="AC80" t="s">
        <v>3</v>
      </c>
      <c r="AD80">
        <v>41.971107</v>
      </c>
      <c r="AE80">
        <v>-88.171493</v>
      </c>
      <c r="AF80" s="5" t="str">
        <f>HYPERLINK("https://www.google.com/maps/search/?api=1&amp;query=41.971107,-88.171493","map")</f>
        <v>map</v>
      </c>
    </row>
    <row r="81" spans="1:32">
      <c r="A81" t="s">
        <v>131</v>
      </c>
      <c r="B81" t="s">
        <v>7727</v>
      </c>
      <c r="C81" t="s">
        <v>15099</v>
      </c>
      <c r="D81" t="s">
        <v>16194</v>
      </c>
      <c r="E81" t="s">
        <v>16218</v>
      </c>
      <c r="F81" t="s">
        <v>16221</v>
      </c>
      <c r="G81" t="s">
        <v>16227</v>
      </c>
      <c r="H81" t="s">
        <v>16226</v>
      </c>
      <c r="I81" t="s">
        <v>16307</v>
      </c>
      <c r="J81" t="s">
        <v>16386</v>
      </c>
      <c r="K81">
        <v>0.153</v>
      </c>
      <c r="L81">
        <v>6644</v>
      </c>
      <c r="M81">
        <v>990</v>
      </c>
      <c r="N81" t="s">
        <v>16393</v>
      </c>
      <c r="O81" s="4">
        <v>34158</v>
      </c>
      <c r="P81" s="4">
        <v>102269</v>
      </c>
      <c r="Q81" s="4">
        <v>136427</v>
      </c>
      <c r="R81" s="4">
        <v>409281</v>
      </c>
      <c r="S81" t="s">
        <v>16481</v>
      </c>
      <c r="T81" s="6">
        <v>33117</v>
      </c>
      <c r="U81" s="4">
        <v>185936</v>
      </c>
      <c r="X81" t="s">
        <v>3</v>
      </c>
      <c r="AA81" s="5" t="str">
        <f>HYPERLINK("https://www.zillow.com/homes/273-WINDSOR-DR-BARTLETT-IL-60103_rb/","check listing")</f>
        <v>check listing</v>
      </c>
      <c r="AB81" s="5" t="str">
        <f>HYPERLINK("https://propertylookup.dupagecounty.gov/Datalets/Datalet.aspx?UseSearch=no&amp;mode=sales&amp;pin=0111207018","sales record")</f>
        <v>sales record</v>
      </c>
      <c r="AC81" t="s">
        <v>3</v>
      </c>
      <c r="AD81">
        <v>41.971121</v>
      </c>
      <c r="AE81">
        <v>-88.172718</v>
      </c>
      <c r="AF81" s="5" t="str">
        <f>HYPERLINK("https://www.google.com/maps/search/?api=1&amp;query=41.971121,-88.172718","map")</f>
        <v>map</v>
      </c>
    </row>
    <row r="82" spans="1:32">
      <c r="A82" t="s">
        <v>132</v>
      </c>
      <c r="B82" t="s">
        <v>7728</v>
      </c>
      <c r="C82" t="s">
        <v>15099</v>
      </c>
      <c r="D82" t="s">
        <v>16194</v>
      </c>
      <c r="E82" t="s">
        <v>16218</v>
      </c>
      <c r="F82" t="s">
        <v>16221</v>
      </c>
      <c r="G82" t="s">
        <v>16227</v>
      </c>
      <c r="H82" t="s">
        <v>16226</v>
      </c>
      <c r="I82" t="s">
        <v>16307</v>
      </c>
      <c r="J82" t="s">
        <v>16386</v>
      </c>
      <c r="K82">
        <v>0.152</v>
      </c>
      <c r="L82">
        <v>6641</v>
      </c>
      <c r="M82">
        <v>2309</v>
      </c>
      <c r="N82" t="s">
        <v>16393</v>
      </c>
      <c r="O82" s="4">
        <v>34158</v>
      </c>
      <c r="P82" s="4">
        <v>114489</v>
      </c>
      <c r="Q82" s="4">
        <v>148647</v>
      </c>
      <c r="R82" s="4">
        <v>445941</v>
      </c>
      <c r="S82" t="s">
        <v>16482</v>
      </c>
      <c r="T82" s="6">
        <v>32813</v>
      </c>
      <c r="U82" s="4">
        <v>176847</v>
      </c>
      <c r="X82" t="s">
        <v>3</v>
      </c>
      <c r="AA82" s="5" t="str">
        <f>HYPERLINK("https://www.zillow.com/homes/223-BUCKINGHAM-DR-BARTLETT-IL-60103_rb/","check listing")</f>
        <v>check listing</v>
      </c>
      <c r="AB82" s="5" t="str">
        <f>HYPERLINK("https://propertylookup.dupagecounty.gov/Datalets/Datalet.aspx?UseSearch=no&amp;mode=sales&amp;pin=0111104012","sales record")</f>
        <v>sales record</v>
      </c>
      <c r="AC82" t="s">
        <v>3</v>
      </c>
      <c r="AD82">
        <v>41.970654</v>
      </c>
      <c r="AE82">
        <v>-88.17594099999999</v>
      </c>
      <c r="AF82" s="5" t="str">
        <f>HYPERLINK("https://www.google.com/maps/search/?api=1&amp;query=41.970654,-88.175941","map")</f>
        <v>map</v>
      </c>
    </row>
    <row r="83" spans="1:32">
      <c r="A83" t="s">
        <v>133</v>
      </c>
      <c r="B83" t="s">
        <v>7729</v>
      </c>
      <c r="C83" t="s">
        <v>15099</v>
      </c>
      <c r="D83" t="s">
        <v>16194</v>
      </c>
      <c r="E83" t="s">
        <v>16218</v>
      </c>
      <c r="F83" t="s">
        <v>16221</v>
      </c>
      <c r="G83" t="s">
        <v>16227</v>
      </c>
      <c r="H83" t="s">
        <v>16226</v>
      </c>
      <c r="I83" t="s">
        <v>16307</v>
      </c>
      <c r="J83" t="s">
        <v>16386</v>
      </c>
      <c r="K83">
        <v>0.151</v>
      </c>
      <c r="L83">
        <v>6595</v>
      </c>
      <c r="M83">
        <v>1649</v>
      </c>
      <c r="N83" t="s">
        <v>16393</v>
      </c>
      <c r="O83" s="4">
        <v>34158</v>
      </c>
      <c r="P83" s="4">
        <v>113184</v>
      </c>
      <c r="Q83" s="4">
        <v>147342</v>
      </c>
      <c r="R83" s="4">
        <v>442026</v>
      </c>
      <c r="S83" t="s">
        <v>16483</v>
      </c>
      <c r="T83" s="6">
        <v>43983</v>
      </c>
      <c r="U83" s="4">
        <v>327000</v>
      </c>
      <c r="V83" t="s">
        <v>23739</v>
      </c>
      <c r="W83" t="s">
        <v>16483</v>
      </c>
      <c r="X83" t="s">
        <v>3</v>
      </c>
      <c r="AA83" s="5" t="str">
        <f>HYPERLINK("https://www.zillow.com/homes/337-WINDSOR-DR-BARTLETT-IL-60103_rb/","check listing")</f>
        <v>check listing</v>
      </c>
      <c r="AB83" s="5" t="str">
        <f>HYPERLINK("https://propertylookup.dupagecounty.gov/Datalets/Datalet.aspx?UseSearch=no&amp;mode=sales&amp;pin=0111207047","sales record")</f>
        <v>sales record</v>
      </c>
      <c r="AC83" t="s">
        <v>3</v>
      </c>
      <c r="AD83">
        <v>41.971839</v>
      </c>
      <c r="AE83">
        <v>-88.16951299999999</v>
      </c>
      <c r="AF83" s="5" t="str">
        <f>HYPERLINK("https://www.google.com/maps/search/?api=1&amp;query=41.971839,-88.169513","map")</f>
        <v>map</v>
      </c>
    </row>
    <row r="84" spans="1:32">
      <c r="A84" t="s">
        <v>134</v>
      </c>
      <c r="B84" t="s">
        <v>7730</v>
      </c>
      <c r="C84" t="s">
        <v>15099</v>
      </c>
      <c r="D84" t="s">
        <v>16194</v>
      </c>
      <c r="E84" t="s">
        <v>16218</v>
      </c>
      <c r="F84" t="s">
        <v>16221</v>
      </c>
      <c r="G84" t="s">
        <v>16227</v>
      </c>
      <c r="H84" t="s">
        <v>16226</v>
      </c>
      <c r="I84" t="s">
        <v>16307</v>
      </c>
      <c r="J84" t="s">
        <v>16386</v>
      </c>
      <c r="K84">
        <v>0.151</v>
      </c>
      <c r="L84">
        <v>6589</v>
      </c>
      <c r="M84">
        <v>2309</v>
      </c>
      <c r="N84" t="s">
        <v>16393</v>
      </c>
      <c r="O84" s="4">
        <v>34158</v>
      </c>
      <c r="P84" s="4">
        <v>106055</v>
      </c>
      <c r="Q84" s="4">
        <v>140213</v>
      </c>
      <c r="R84" s="4">
        <v>420639</v>
      </c>
      <c r="S84" t="s">
        <v>16484</v>
      </c>
      <c r="T84" s="6">
        <v>32933</v>
      </c>
      <c r="U84" s="4">
        <v>181501</v>
      </c>
      <c r="X84" t="s">
        <v>3</v>
      </c>
      <c r="AA84" s="5" t="str">
        <f>HYPERLINK("https://www.zillow.com/homes/225-BUCKINGHAM-DR-BARTLETT-IL-60103_rb/","check listing")</f>
        <v>check listing</v>
      </c>
      <c r="AB84" s="5" t="str">
        <f>HYPERLINK("https://propertylookup.dupagecounty.gov/Datalets/Datalet.aspx?UseSearch=no&amp;mode=sales&amp;pin=0111104013","sales record")</f>
        <v>sales record</v>
      </c>
      <c r="AC84" t="s">
        <v>3</v>
      </c>
      <c r="AD84">
        <v>41.970812</v>
      </c>
      <c r="AE84">
        <v>-88.175577</v>
      </c>
      <c r="AF84" s="5" t="str">
        <f>HYPERLINK("https://www.google.com/maps/search/?api=1&amp;query=41.970812,-88.175577","map")</f>
        <v>map</v>
      </c>
    </row>
    <row r="85" spans="1:32">
      <c r="A85" t="s">
        <v>135</v>
      </c>
      <c r="B85" t="s">
        <v>7731</v>
      </c>
      <c r="C85" t="s">
        <v>15099</v>
      </c>
      <c r="D85" t="s">
        <v>16194</v>
      </c>
      <c r="E85" t="s">
        <v>16218</v>
      </c>
      <c r="F85" t="s">
        <v>16221</v>
      </c>
      <c r="G85" t="s">
        <v>16227</v>
      </c>
      <c r="H85" t="s">
        <v>16226</v>
      </c>
      <c r="I85" t="s">
        <v>16307</v>
      </c>
      <c r="J85" t="s">
        <v>16386</v>
      </c>
      <c r="K85">
        <v>0.151</v>
      </c>
      <c r="L85">
        <v>6559</v>
      </c>
      <c r="M85">
        <v>2252</v>
      </c>
      <c r="N85" t="s">
        <v>16393</v>
      </c>
      <c r="O85" s="4">
        <v>34158</v>
      </c>
      <c r="P85" s="4">
        <v>90947</v>
      </c>
      <c r="Q85" s="4">
        <v>125105</v>
      </c>
      <c r="R85" s="4">
        <v>375315</v>
      </c>
      <c r="S85" t="s">
        <v>16485</v>
      </c>
      <c r="T85" s="6">
        <v>36008</v>
      </c>
      <c r="U85" s="4">
        <v>189900</v>
      </c>
      <c r="X85" t="s">
        <v>3</v>
      </c>
      <c r="AA85" s="5" t="str">
        <f>HYPERLINK("https://www.zillow.com/homes/305-BALMORAL-DR-BARTLETT-IL-60103_rb/","check listing")</f>
        <v>check listing</v>
      </c>
      <c r="AB85" s="5" t="str">
        <f>HYPERLINK("https://propertylookup.dupagecounty.gov/Datalets/Datalet.aspx?UseSearch=no&amp;mode=sales&amp;pin=0111207030","sales record")</f>
        <v>sales record</v>
      </c>
      <c r="AC85" t="s">
        <v>3</v>
      </c>
      <c r="AD85">
        <v>41.970944</v>
      </c>
      <c r="AE85">
        <v>-88.170732</v>
      </c>
      <c r="AF85" s="5" t="str">
        <f>HYPERLINK("https://www.google.com/maps/search/?api=1&amp;query=41.970944,-88.170732","map")</f>
        <v>map</v>
      </c>
    </row>
    <row r="86" spans="1:32">
      <c r="A86" t="s">
        <v>136</v>
      </c>
      <c r="B86" t="s">
        <v>7732</v>
      </c>
      <c r="C86" t="s">
        <v>15099</v>
      </c>
      <c r="D86" t="s">
        <v>16194</v>
      </c>
      <c r="E86" t="s">
        <v>16218</v>
      </c>
      <c r="F86" t="s">
        <v>16221</v>
      </c>
      <c r="G86" t="s">
        <v>16227</v>
      </c>
      <c r="H86" t="s">
        <v>16226</v>
      </c>
      <c r="I86" t="s">
        <v>16307</v>
      </c>
      <c r="J86" t="s">
        <v>16386</v>
      </c>
      <c r="K86">
        <v>0.15</v>
      </c>
      <c r="L86">
        <v>6553</v>
      </c>
      <c r="M86">
        <v>2309</v>
      </c>
      <c r="N86" t="s">
        <v>16393</v>
      </c>
      <c r="O86" s="4">
        <v>34158</v>
      </c>
      <c r="P86" s="4">
        <v>105911</v>
      </c>
      <c r="Q86" s="4">
        <v>140069</v>
      </c>
      <c r="R86" s="4">
        <v>420207</v>
      </c>
      <c r="S86" t="s">
        <v>16486</v>
      </c>
      <c r="T86" s="6">
        <v>40848</v>
      </c>
      <c r="U86" s="4">
        <v>264000</v>
      </c>
      <c r="V86" t="s">
        <v>23739</v>
      </c>
      <c r="W86" t="s">
        <v>16486</v>
      </c>
      <c r="X86" t="s">
        <v>3</v>
      </c>
      <c r="AA86" s="5" t="str">
        <f>HYPERLINK("https://www.zillow.com/homes/323-BALMORAL-DR-BARTLETT-IL-60103_rb/","check listing")</f>
        <v>check listing</v>
      </c>
      <c r="AB86" s="5" t="str">
        <f>HYPERLINK("https://propertylookup.dupagecounty.gov/Datalets/Datalet.aspx?UseSearch=no&amp;mode=sales&amp;pin=0111207040","sales record")</f>
        <v>sales record</v>
      </c>
      <c r="AC86" t="s">
        <v>3</v>
      </c>
      <c r="AD86">
        <v>41.971357</v>
      </c>
      <c r="AE86">
        <v>-88.16952000000001</v>
      </c>
      <c r="AF86" s="5" t="str">
        <f>HYPERLINK("https://www.google.com/maps/search/?api=1&amp;query=41.971357,-88.16952","map")</f>
        <v>map</v>
      </c>
    </row>
    <row r="87" spans="1:32">
      <c r="A87" t="s">
        <v>137</v>
      </c>
      <c r="B87" t="s">
        <v>7733</v>
      </c>
      <c r="C87" t="s">
        <v>15099</v>
      </c>
      <c r="D87" t="s">
        <v>16194</v>
      </c>
      <c r="E87" t="s">
        <v>16218</v>
      </c>
      <c r="F87" t="s">
        <v>16221</v>
      </c>
      <c r="G87" t="s">
        <v>16227</v>
      </c>
      <c r="H87" t="s">
        <v>16226</v>
      </c>
      <c r="I87" t="s">
        <v>16307</v>
      </c>
      <c r="J87" t="s">
        <v>16386</v>
      </c>
      <c r="K87">
        <v>0.15</v>
      </c>
      <c r="L87">
        <v>6516</v>
      </c>
      <c r="M87">
        <v>2138</v>
      </c>
      <c r="N87" t="s">
        <v>16393</v>
      </c>
      <c r="O87" s="4">
        <v>34158</v>
      </c>
      <c r="P87" s="4">
        <v>103276</v>
      </c>
      <c r="Q87" s="4">
        <v>137434</v>
      </c>
      <c r="R87" s="4">
        <v>412302</v>
      </c>
      <c r="S87" t="s">
        <v>16487</v>
      </c>
      <c r="T87" s="6">
        <v>35309</v>
      </c>
      <c r="U87" s="4">
        <v>201500</v>
      </c>
      <c r="X87" t="s">
        <v>3</v>
      </c>
      <c r="AA87" s="5" t="str">
        <f>HYPERLINK("https://www.zillow.com/homes/313-BALMORAL-DR-BARTLETT-IL-60103_rb/","check listing")</f>
        <v>check listing</v>
      </c>
      <c r="AB87" s="5" t="str">
        <f>HYPERLINK("https://propertylookup.dupagecounty.gov/Datalets/Datalet.aspx?UseSearch=no&amp;mode=sales&amp;pin=0111207035","sales record")</f>
        <v>sales record</v>
      </c>
      <c r="AC87" t="s">
        <v>3</v>
      </c>
      <c r="AD87">
        <v>41.970731</v>
      </c>
      <c r="AE87">
        <v>-88.16997000000001</v>
      </c>
      <c r="AF87" s="5" t="str">
        <f>HYPERLINK("https://www.google.com/maps/search/?api=1&amp;query=41.970731,-88.16997","map")</f>
        <v>map</v>
      </c>
    </row>
    <row r="88" spans="1:32">
      <c r="A88" t="s">
        <v>138</v>
      </c>
      <c r="B88" t="s">
        <v>7734</v>
      </c>
      <c r="C88" t="s">
        <v>15100</v>
      </c>
      <c r="D88" t="s">
        <v>16194</v>
      </c>
      <c r="E88" t="s">
        <v>16218</v>
      </c>
      <c r="F88" t="s">
        <v>16221</v>
      </c>
      <c r="G88" t="s">
        <v>16227</v>
      </c>
      <c r="H88" t="s">
        <v>16226</v>
      </c>
      <c r="I88" t="s">
        <v>16307</v>
      </c>
      <c r="J88" t="s">
        <v>16386</v>
      </c>
      <c r="K88">
        <v>0.149</v>
      </c>
      <c r="L88">
        <v>6504</v>
      </c>
      <c r="M88">
        <v>1711</v>
      </c>
      <c r="N88" t="s">
        <v>16393</v>
      </c>
      <c r="O88" s="4">
        <v>34158</v>
      </c>
      <c r="P88" s="4">
        <v>101406</v>
      </c>
      <c r="Q88" s="4">
        <v>135564</v>
      </c>
      <c r="R88" s="4">
        <v>406692</v>
      </c>
      <c r="S88" t="s">
        <v>16488</v>
      </c>
      <c r="T88" s="6">
        <v>33664</v>
      </c>
      <c r="U88" s="4">
        <v>176711</v>
      </c>
      <c r="X88" t="s">
        <v>3</v>
      </c>
      <c r="AA88" s="5" t="str">
        <f>HYPERLINK("https://www.zillow.com/homes/307-BALMORAL-DR-BARTLETT-IL-601035169_rb/","check listing")</f>
        <v>check listing</v>
      </c>
      <c r="AB88" s="5" t="str">
        <f>HYPERLINK("https://propertylookup.dupagecounty.gov/Datalets/Datalet.aspx?UseSearch=no&amp;mode=sales&amp;pin=0111207032","sales record")</f>
        <v>sales record</v>
      </c>
      <c r="AC88" t="s">
        <v>3</v>
      </c>
      <c r="AD88">
        <v>41.970729</v>
      </c>
      <c r="AE88">
        <v>-88.170687</v>
      </c>
      <c r="AF88" s="5" t="str">
        <f>HYPERLINK("https://www.google.com/maps/search/?api=1&amp;query=41.970729,-88.170687","map")</f>
        <v>map</v>
      </c>
    </row>
    <row r="89" spans="1:32">
      <c r="A89" t="s">
        <v>139</v>
      </c>
      <c r="B89" t="s">
        <v>7735</v>
      </c>
      <c r="C89" t="s">
        <v>15099</v>
      </c>
      <c r="D89" t="s">
        <v>16194</v>
      </c>
      <c r="E89" t="s">
        <v>16218</v>
      </c>
      <c r="F89" t="s">
        <v>16221</v>
      </c>
      <c r="G89" t="s">
        <v>16227</v>
      </c>
      <c r="H89" t="s">
        <v>16226</v>
      </c>
      <c r="I89" t="s">
        <v>16307</v>
      </c>
      <c r="J89" t="s">
        <v>16386</v>
      </c>
      <c r="K89">
        <v>0.149</v>
      </c>
      <c r="L89">
        <v>6503</v>
      </c>
      <c r="M89">
        <v>2308</v>
      </c>
      <c r="N89" t="s">
        <v>16393</v>
      </c>
      <c r="O89" s="4">
        <v>34158</v>
      </c>
      <c r="P89" s="4">
        <v>100436</v>
      </c>
      <c r="Q89" s="4">
        <v>134594</v>
      </c>
      <c r="R89" s="4">
        <v>403782</v>
      </c>
      <c r="S89" t="s">
        <v>16489</v>
      </c>
      <c r="T89" s="6">
        <v>33178</v>
      </c>
      <c r="U89" s="4">
        <v>161560</v>
      </c>
      <c r="X89" t="s">
        <v>3</v>
      </c>
      <c r="AA89" s="5" t="str">
        <f>HYPERLINK("https://www.zillow.com/homes/309-BALMORAL-DR-BARTLETT-IL-60103_rb/","check listing")</f>
        <v>check listing</v>
      </c>
      <c r="AB89" s="5" t="str">
        <f>HYPERLINK("https://propertylookup.dupagecounty.gov/Datalets/Datalet.aspx?UseSearch=no&amp;mode=sales&amp;pin=0111207033","sales record")</f>
        <v>sales record</v>
      </c>
      <c r="AC89" t="s">
        <v>3</v>
      </c>
      <c r="AD89">
        <v>41.970733</v>
      </c>
      <c r="AE89">
        <v>-88.17044799999999</v>
      </c>
      <c r="AF89" s="5" t="str">
        <f>HYPERLINK("https://www.google.com/maps/search/?api=1&amp;query=41.970733,-88.170448","map")</f>
        <v>map</v>
      </c>
    </row>
    <row r="90" spans="1:32">
      <c r="A90" t="s">
        <v>140</v>
      </c>
      <c r="B90" t="s">
        <v>7736</v>
      </c>
      <c r="C90" t="s">
        <v>15099</v>
      </c>
      <c r="D90" t="s">
        <v>16194</v>
      </c>
      <c r="E90" t="s">
        <v>16218</v>
      </c>
      <c r="F90" t="s">
        <v>16221</v>
      </c>
      <c r="G90" t="s">
        <v>16227</v>
      </c>
      <c r="H90" t="s">
        <v>16226</v>
      </c>
      <c r="I90" t="s">
        <v>16307</v>
      </c>
      <c r="J90" t="s">
        <v>16386</v>
      </c>
      <c r="K90">
        <v>0.149</v>
      </c>
      <c r="L90">
        <v>6489</v>
      </c>
      <c r="M90">
        <v>1320</v>
      </c>
      <c r="N90" t="s">
        <v>16393</v>
      </c>
      <c r="O90" s="4">
        <v>34158</v>
      </c>
      <c r="P90" s="4">
        <v>106366</v>
      </c>
      <c r="Q90" s="4">
        <v>140524</v>
      </c>
      <c r="R90" s="4">
        <v>421572</v>
      </c>
      <c r="S90" t="s">
        <v>16490</v>
      </c>
      <c r="T90" s="6">
        <v>41821</v>
      </c>
      <c r="U90" s="4">
        <v>267000</v>
      </c>
      <c r="V90" t="s">
        <v>23739</v>
      </c>
      <c r="W90" t="s">
        <v>23796</v>
      </c>
      <c r="X90" t="s">
        <v>3</v>
      </c>
      <c r="AA90" s="5" t="str">
        <f>HYPERLINK("https://www.zillow.com/homes/319-BALMORAL-DR-BARTLETT-IL-60103_rb/","check listing")</f>
        <v>check listing</v>
      </c>
      <c r="AB90" s="5" t="str">
        <f>HYPERLINK("https://propertylookup.dupagecounty.gov/Datalets/Datalet.aspx?UseSearch=no&amp;mode=sales&amp;pin=0111207038","sales record")</f>
        <v>sales record</v>
      </c>
      <c r="AC90" t="s">
        <v>3</v>
      </c>
      <c r="AD90">
        <v>41.970984</v>
      </c>
      <c r="AE90">
        <v>-88.16953100000001</v>
      </c>
      <c r="AF90" s="5" t="str">
        <f>HYPERLINK("https://www.google.com/maps/search/?api=1&amp;query=41.970984,-88.169531","map")</f>
        <v>map</v>
      </c>
    </row>
    <row r="91" spans="1:32">
      <c r="A91" t="s">
        <v>141</v>
      </c>
      <c r="B91" t="s">
        <v>7737</v>
      </c>
      <c r="C91" t="s">
        <v>15106</v>
      </c>
      <c r="D91" t="s">
        <v>16195</v>
      </c>
      <c r="E91" t="s">
        <v>16218</v>
      </c>
      <c r="F91" t="s">
        <v>16222</v>
      </c>
      <c r="G91" t="s">
        <v>16228</v>
      </c>
      <c r="H91" t="s">
        <v>16228</v>
      </c>
      <c r="I91" t="s">
        <v>16308</v>
      </c>
      <c r="J91" t="s">
        <v>16385</v>
      </c>
      <c r="K91">
        <v>0.182</v>
      </c>
      <c r="L91">
        <v>7912</v>
      </c>
      <c r="M91">
        <v>1060</v>
      </c>
      <c r="N91" t="s">
        <v>16393</v>
      </c>
      <c r="O91" s="4">
        <v>38757</v>
      </c>
      <c r="P91" s="4">
        <v>30823</v>
      </c>
      <c r="Q91" s="4">
        <v>69580</v>
      </c>
      <c r="R91" s="4">
        <v>208740</v>
      </c>
      <c r="S91" t="s">
        <v>16491</v>
      </c>
      <c r="X91" t="s">
        <v>3</v>
      </c>
      <c r="AA91" s="5" t="str">
        <f>HYPERLINK("https://www.zillow.com/homes/16-W-IRVING-PARK-RD-BENSENVILLE-IL-60106_rb/","check listing")</f>
        <v>check listing</v>
      </c>
      <c r="AB91" s="5" t="str">
        <f>HYPERLINK("https://propertylookup.dupagecounty.gov/Datalets/Datalet.aspx?UseSearch=no&amp;mode=sales&amp;pin=0314213050","sales record")</f>
        <v>sales record</v>
      </c>
      <c r="AC91" t="s">
        <v>3</v>
      </c>
      <c r="AD91">
        <v>41.960613</v>
      </c>
      <c r="AE91">
        <v>-87.94047</v>
      </c>
      <c r="AF91" s="5" t="str">
        <f>HYPERLINK("https://www.google.com/maps/search/?api=1&amp;query=41.960613,-87.94047","map")</f>
        <v>map</v>
      </c>
    </row>
    <row r="92" spans="1:32">
      <c r="A92" t="s">
        <v>142</v>
      </c>
      <c r="B92" t="s">
        <v>7738</v>
      </c>
      <c r="C92" t="s">
        <v>15107</v>
      </c>
      <c r="D92" t="s">
        <v>16195</v>
      </c>
      <c r="E92" t="s">
        <v>16218</v>
      </c>
      <c r="F92" t="s">
        <v>16222</v>
      </c>
      <c r="G92" t="s">
        <v>16228</v>
      </c>
      <c r="H92" t="s">
        <v>16228</v>
      </c>
      <c r="I92" t="s">
        <v>16308</v>
      </c>
      <c r="J92" t="s">
        <v>16385</v>
      </c>
      <c r="K92">
        <v>0.181</v>
      </c>
      <c r="L92">
        <v>7881</v>
      </c>
      <c r="M92">
        <v>1353</v>
      </c>
      <c r="N92" t="s">
        <v>16393</v>
      </c>
      <c r="O92" s="4">
        <v>38393</v>
      </c>
      <c r="P92" s="4">
        <v>64320</v>
      </c>
      <c r="Q92" s="4">
        <v>102713</v>
      </c>
      <c r="R92" s="4">
        <v>308139</v>
      </c>
      <c r="S92" t="s">
        <v>16492</v>
      </c>
      <c r="T92" s="6">
        <v>43952</v>
      </c>
      <c r="U92" s="4">
        <v>238400</v>
      </c>
      <c r="V92" t="s">
        <v>23739</v>
      </c>
      <c r="W92" t="s">
        <v>16492</v>
      </c>
      <c r="X92" t="s">
        <v>3</v>
      </c>
      <c r="AA92" s="5" t="str">
        <f>HYPERLINK("https://www.zillow.com/homes/181-ROSE-ST-BENSENVILLE-IL-601062529_rb/","check listing")</f>
        <v>check listing</v>
      </c>
      <c r="AB92" s="5" t="str">
        <f>HYPERLINK("https://propertylookup.dupagecounty.gov/Datalets/Datalet.aspx?UseSearch=no&amp;mode=sales&amp;pin=0313316002","sales record")</f>
        <v>sales record</v>
      </c>
      <c r="AC92" t="s">
        <v>3</v>
      </c>
      <c r="AD92">
        <v>41.953892</v>
      </c>
      <c r="AE92">
        <v>-87.936397</v>
      </c>
      <c r="AF92" s="5" t="str">
        <f>HYPERLINK("https://www.google.com/maps/search/?api=1&amp;query=41.953892,-87.936397","map")</f>
        <v>map</v>
      </c>
    </row>
    <row r="93" spans="1:32">
      <c r="A93" t="s">
        <v>143</v>
      </c>
      <c r="B93" t="s">
        <v>7739</v>
      </c>
      <c r="C93" t="s">
        <v>15106</v>
      </c>
      <c r="D93" t="s">
        <v>16195</v>
      </c>
      <c r="E93" t="s">
        <v>16217</v>
      </c>
      <c r="F93" t="s">
        <v>16222</v>
      </c>
      <c r="G93" t="s">
        <v>16228</v>
      </c>
      <c r="H93" t="s">
        <v>16228</v>
      </c>
      <c r="I93" t="s">
        <v>16308</v>
      </c>
      <c r="J93" t="s">
        <v>16385</v>
      </c>
      <c r="K93">
        <v>5.548</v>
      </c>
      <c r="L93">
        <v>241652</v>
      </c>
      <c r="N93" t="s">
        <v>16392</v>
      </c>
      <c r="O93" s="4">
        <v>227493</v>
      </c>
      <c r="P93" s="4">
        <v>0</v>
      </c>
      <c r="Q93" s="4">
        <v>227493</v>
      </c>
      <c r="R93" s="4">
        <v>682479</v>
      </c>
      <c r="S93" t="s">
        <v>16493</v>
      </c>
      <c r="X93" t="s">
        <v>3</v>
      </c>
      <c r="AA93" s="5" t="str">
        <f>HYPERLINK("https://www.zillow.com/homes/COMMERCE-CT-BENSENVILLE-IL-60106_rb/","check listing")</f>
        <v>check listing</v>
      </c>
      <c r="AB93" s="5" t="str">
        <f>HYPERLINK("https://propertylookup.dupagecounty.gov/Datalets/Datalet.aspx?UseSearch=no&amp;mode=sales&amp;pin=0325200017","sales record")</f>
        <v>sales record</v>
      </c>
      <c r="AC93" t="s">
        <v>3</v>
      </c>
      <c r="AD93">
        <v>41.932536</v>
      </c>
      <c r="AE93">
        <v>-87.921126</v>
      </c>
      <c r="AF93" s="5" t="str">
        <f>HYPERLINK("https://www.google.com/maps/search/?api=1&amp;query=41.932536,-87.921126","map")</f>
        <v>map</v>
      </c>
    </row>
    <row r="94" spans="1:32">
      <c r="A94" t="s">
        <v>144</v>
      </c>
      <c r="B94" t="s">
        <v>7740</v>
      </c>
      <c r="C94" t="s">
        <v>15106</v>
      </c>
      <c r="D94" t="s">
        <v>16195</v>
      </c>
      <c r="E94" t="s">
        <v>16217</v>
      </c>
      <c r="F94" t="s">
        <v>16222</v>
      </c>
      <c r="G94" t="s">
        <v>16228</v>
      </c>
      <c r="H94" t="s">
        <v>16228</v>
      </c>
      <c r="I94" t="s">
        <v>16308</v>
      </c>
      <c r="J94" t="s">
        <v>16385</v>
      </c>
      <c r="K94">
        <v>2.767</v>
      </c>
      <c r="L94">
        <v>120538</v>
      </c>
      <c r="N94" t="s">
        <v>16392</v>
      </c>
      <c r="O94" s="4">
        <v>484906</v>
      </c>
      <c r="P94" s="4">
        <v>0</v>
      </c>
      <c r="Q94" s="4">
        <v>484906</v>
      </c>
      <c r="R94" s="4">
        <v>1454718</v>
      </c>
      <c r="S94" t="s">
        <v>16494</v>
      </c>
      <c r="X94" t="s">
        <v>3</v>
      </c>
      <c r="AA94" s="5" t="str">
        <f>HYPERLINK("https://www.zillow.com/homes/1053-COMMERCE-CT-BENSENVILLE-IL-60106_rb/","check listing")</f>
        <v>check listing</v>
      </c>
      <c r="AB94" s="5" t="str">
        <f>HYPERLINK("https://propertylookup.dupagecounty.gov/Datalets/Datalet.aspx?UseSearch=no&amp;mode=sales&amp;pin=0325200012","sales record")</f>
        <v>sales record</v>
      </c>
      <c r="AC94" t="s">
        <v>3</v>
      </c>
      <c r="AD94">
        <v>41.932584</v>
      </c>
      <c r="AE94">
        <v>-87.923056</v>
      </c>
      <c r="AF94" s="5" t="str">
        <f>HYPERLINK("https://www.google.com/maps/search/?api=1&amp;query=41.932584,-87.923056","map")</f>
        <v>map</v>
      </c>
    </row>
    <row r="95" spans="1:32">
      <c r="A95" t="s">
        <v>145</v>
      </c>
      <c r="B95" t="s">
        <v>7741</v>
      </c>
      <c r="C95" t="s">
        <v>15106</v>
      </c>
      <c r="D95" t="s">
        <v>16195</v>
      </c>
      <c r="E95" t="s">
        <v>16217</v>
      </c>
      <c r="F95" t="s">
        <v>16222</v>
      </c>
      <c r="G95" t="s">
        <v>16228</v>
      </c>
      <c r="H95" t="s">
        <v>16228</v>
      </c>
      <c r="I95" t="s">
        <v>16308</v>
      </c>
      <c r="J95" t="s">
        <v>16385</v>
      </c>
      <c r="K95">
        <v>2.03</v>
      </c>
      <c r="L95">
        <v>88433</v>
      </c>
      <c r="N95" t="s">
        <v>16392</v>
      </c>
      <c r="O95" s="4">
        <v>551914</v>
      </c>
      <c r="P95" s="4">
        <v>0</v>
      </c>
      <c r="Q95" s="4">
        <v>551914</v>
      </c>
      <c r="R95" s="4">
        <v>1655742</v>
      </c>
      <c r="S95" t="s">
        <v>16495</v>
      </c>
      <c r="T95" s="6">
        <v>38596</v>
      </c>
      <c r="U95" s="4">
        <v>1200000</v>
      </c>
      <c r="V95" t="s">
        <v>16232</v>
      </c>
      <c r="W95" t="s">
        <v>16495</v>
      </c>
      <c r="X95" t="s">
        <v>3</v>
      </c>
      <c r="AA95" s="5" t="str">
        <f>HYPERLINK("https://www.zillow.com/homes/GRAND-AVE-BENSENVILLE-IL-60106_rb/","check listing")</f>
        <v>check listing</v>
      </c>
      <c r="AB95" s="5" t="str">
        <f>HYPERLINK("https://propertylookup.dupagecounty.gov/Datalets/Datalet.aspx?UseSearch=no&amp;mode=sales&amp;pin=0326204024","sales record")</f>
        <v>sales record</v>
      </c>
      <c r="AC95" t="s">
        <v>3</v>
      </c>
      <c r="AD95">
        <v>41.931786</v>
      </c>
      <c r="AE95">
        <v>-87.943906</v>
      </c>
      <c r="AF95" s="5" t="str">
        <f>HYPERLINK("https://www.google.com/maps/search/?api=1&amp;query=41.931786,-87.943906","map")</f>
        <v>map</v>
      </c>
    </row>
    <row r="96" spans="1:32">
      <c r="A96" t="s">
        <v>146</v>
      </c>
      <c r="B96" t="s">
        <v>7742</v>
      </c>
      <c r="C96" t="s">
        <v>15106</v>
      </c>
      <c r="D96" t="s">
        <v>16195</v>
      </c>
      <c r="E96" t="s">
        <v>16217</v>
      </c>
      <c r="F96" t="s">
        <v>16222</v>
      </c>
      <c r="G96" t="s">
        <v>16228</v>
      </c>
      <c r="H96" t="s">
        <v>16228</v>
      </c>
      <c r="I96" t="s">
        <v>16308</v>
      </c>
      <c r="J96" t="s">
        <v>16385</v>
      </c>
      <c r="K96">
        <v>1.844</v>
      </c>
      <c r="L96">
        <v>80304</v>
      </c>
      <c r="M96">
        <v>1609</v>
      </c>
      <c r="N96" t="s">
        <v>16392</v>
      </c>
      <c r="O96" s="4">
        <v>201319</v>
      </c>
      <c r="P96" s="4">
        <v>0</v>
      </c>
      <c r="Q96" s="4">
        <v>201319</v>
      </c>
      <c r="R96" s="4">
        <v>603957</v>
      </c>
      <c r="S96" t="s">
        <v>16496</v>
      </c>
      <c r="T96" s="6">
        <v>41609</v>
      </c>
      <c r="U96" s="4">
        <v>1012500</v>
      </c>
      <c r="V96" t="s">
        <v>23739</v>
      </c>
      <c r="W96" t="s">
        <v>16496</v>
      </c>
      <c r="X96" t="s">
        <v>3</v>
      </c>
      <c r="AA96" s="5" t="str">
        <f>HYPERLINK("https://www.zillow.com/homes/1110-W-IRVING-PARK-RD-BENSENVILLE-IL-60106_rb/","check listing")</f>
        <v>check listing</v>
      </c>
      <c r="AB96" s="5" t="str">
        <f>HYPERLINK("https://propertylookup.dupagecounty.gov/Datalets/Datalet.aspx?UseSearch=no&amp;mode=sales&amp;pin=0314117066","sales record")</f>
        <v>sales record</v>
      </c>
      <c r="AC96" t="s">
        <v>27871</v>
      </c>
      <c r="AD96">
        <v>41.960162</v>
      </c>
      <c r="AE96">
        <v>-87.957432</v>
      </c>
      <c r="AF96" s="5" t="str">
        <f>HYPERLINK("https://www.google.com/maps/search/?api=1&amp;query=41.960162,-87.957432","map")</f>
        <v>map</v>
      </c>
    </row>
    <row r="97" spans="1:32">
      <c r="A97" t="s">
        <v>147</v>
      </c>
      <c r="B97" t="s">
        <v>7743</v>
      </c>
      <c r="C97" t="s">
        <v>15108</v>
      </c>
      <c r="D97" t="s">
        <v>16195</v>
      </c>
      <c r="E97" t="s">
        <v>16217</v>
      </c>
      <c r="F97" t="s">
        <v>16222</v>
      </c>
      <c r="G97" t="s">
        <v>16228</v>
      </c>
      <c r="H97" t="s">
        <v>16228</v>
      </c>
      <c r="I97" t="s">
        <v>16308</v>
      </c>
      <c r="J97" t="s">
        <v>16385</v>
      </c>
      <c r="K97">
        <v>1.661</v>
      </c>
      <c r="L97">
        <v>72349</v>
      </c>
      <c r="M97">
        <v>12595</v>
      </c>
      <c r="N97" t="s">
        <v>16392</v>
      </c>
      <c r="O97" s="4">
        <v>44843</v>
      </c>
      <c r="P97" s="4">
        <v>0</v>
      </c>
      <c r="Q97" s="4">
        <v>44843</v>
      </c>
      <c r="R97" s="4">
        <v>134529</v>
      </c>
      <c r="S97" t="s">
        <v>16497</v>
      </c>
      <c r="T97" s="6">
        <v>45558</v>
      </c>
      <c r="U97" s="4">
        <v>125000</v>
      </c>
      <c r="V97" t="s">
        <v>16232</v>
      </c>
      <c r="W97" t="s">
        <v>23797</v>
      </c>
      <c r="X97" t="s">
        <v>3</v>
      </c>
      <c r="AA97" s="5" t="str">
        <f>HYPERLINK("https://www.zillow.com/homes/800-W-IRVING-PARK-RD-BENSENVILLE-IL-601061903_rb/","check listing")</f>
        <v>check listing</v>
      </c>
      <c r="AB97" s="5" t="str">
        <f>HYPERLINK("https://propertylookup.dupagecounty.gov/Datalets/Datalet.aspx?UseSearch=no&amp;mode=sales&amp;pin=0314118001","sales record")</f>
        <v>sales record</v>
      </c>
      <c r="AC97" t="s">
        <v>11</v>
      </c>
      <c r="AD97">
        <v>41.960614</v>
      </c>
      <c r="AE97">
        <v>-87.952006</v>
      </c>
      <c r="AF97" s="5" t="str">
        <f>HYPERLINK("https://www.google.com/maps/search/?api=1&amp;query=41.960614,-87.952006","map")</f>
        <v>map</v>
      </c>
    </row>
    <row r="98" spans="1:32">
      <c r="A98" t="s">
        <v>148</v>
      </c>
      <c r="B98" t="s">
        <v>7744</v>
      </c>
      <c r="C98" t="s">
        <v>15106</v>
      </c>
      <c r="D98" t="s">
        <v>16195</v>
      </c>
      <c r="E98" t="s">
        <v>16217</v>
      </c>
      <c r="F98" t="s">
        <v>16222</v>
      </c>
      <c r="G98" t="s">
        <v>16228</v>
      </c>
      <c r="H98" t="s">
        <v>16228</v>
      </c>
      <c r="I98" t="s">
        <v>16308</v>
      </c>
      <c r="J98" t="s">
        <v>16385</v>
      </c>
      <c r="K98">
        <v>1.626</v>
      </c>
      <c r="L98">
        <v>70819</v>
      </c>
      <c r="N98" t="s">
        <v>16392</v>
      </c>
      <c r="O98" s="4">
        <v>285347</v>
      </c>
      <c r="P98" s="4">
        <v>0</v>
      </c>
      <c r="Q98" s="4">
        <v>285347</v>
      </c>
      <c r="R98" s="4">
        <v>856041</v>
      </c>
      <c r="S98" t="s">
        <v>16494</v>
      </c>
      <c r="X98" t="s">
        <v>3</v>
      </c>
      <c r="AA98" s="5" t="str">
        <f>HYPERLINK("https://www.zillow.com/homes/877-E-GRAND-BENSENVILLE-IL-60106_rb/","check listing")</f>
        <v>check listing</v>
      </c>
      <c r="AB98" s="5" t="str">
        <f>HYPERLINK("https://propertylookup.dupagecounty.gov/Datalets/Datalet.aspx?UseSearch=no&amp;mode=sales&amp;pin=0325200013","sales record")</f>
        <v>sales record</v>
      </c>
      <c r="AC98" t="s">
        <v>3</v>
      </c>
      <c r="AD98">
        <v>41.931822</v>
      </c>
      <c r="AE98">
        <v>-87.923091</v>
      </c>
      <c r="AF98" s="5" t="str">
        <f>HYPERLINK("https://www.google.com/maps/search/?api=1&amp;query=41.931822,-87.923091","map")</f>
        <v>map</v>
      </c>
    </row>
    <row r="99" spans="1:32">
      <c r="A99" t="s">
        <v>149</v>
      </c>
      <c r="B99" t="s">
        <v>7745</v>
      </c>
      <c r="C99" t="s">
        <v>15106</v>
      </c>
      <c r="D99" t="s">
        <v>16195</v>
      </c>
      <c r="E99" t="s">
        <v>16217</v>
      </c>
      <c r="F99" t="s">
        <v>16222</v>
      </c>
      <c r="G99" t="s">
        <v>16228</v>
      </c>
      <c r="H99" t="s">
        <v>16228</v>
      </c>
      <c r="I99" t="s">
        <v>16308</v>
      </c>
      <c r="J99" t="s">
        <v>16385</v>
      </c>
      <c r="K99">
        <v>1.386</v>
      </c>
      <c r="L99">
        <v>60354</v>
      </c>
      <c r="N99" t="s">
        <v>16392</v>
      </c>
      <c r="O99" s="4">
        <v>243351</v>
      </c>
      <c r="P99" s="4">
        <v>0</v>
      </c>
      <c r="Q99" s="4">
        <v>243351</v>
      </c>
      <c r="R99" s="4">
        <v>730053</v>
      </c>
      <c r="S99" t="s">
        <v>16494</v>
      </c>
      <c r="X99" t="s">
        <v>3</v>
      </c>
      <c r="AA99" s="5" t="str">
        <f>HYPERLINK("https://www.zillow.com/homes/COUNTY-LINE-RD-BENSENVILLE-IL-60106_rb/","check listing")</f>
        <v>check listing</v>
      </c>
      <c r="AB99" s="5" t="str">
        <f>HYPERLINK("https://propertylookup.dupagecounty.gov/Datalets/Datalet.aspx?UseSearch=no&amp;mode=sales&amp;pin=0325200010","sales record")</f>
        <v>sales record</v>
      </c>
      <c r="AC99" t="s">
        <v>27872</v>
      </c>
      <c r="AD99">
        <v>41.932727</v>
      </c>
      <c r="AE99">
        <v>-87.924288</v>
      </c>
      <c r="AF99" s="5" t="str">
        <f>HYPERLINK("https://www.google.com/maps/search/?api=1&amp;query=41.932727,-87.924288","map")</f>
        <v>map</v>
      </c>
    </row>
    <row r="100" spans="1:32">
      <c r="A100" t="s">
        <v>150</v>
      </c>
      <c r="B100" t="s">
        <v>7746</v>
      </c>
      <c r="C100" t="s">
        <v>15106</v>
      </c>
      <c r="D100" t="s">
        <v>16195</v>
      </c>
      <c r="E100" t="s">
        <v>16217</v>
      </c>
      <c r="F100" t="s">
        <v>16222</v>
      </c>
      <c r="G100" t="s">
        <v>16228</v>
      </c>
      <c r="H100" t="s">
        <v>16228</v>
      </c>
      <c r="I100" t="s">
        <v>16308</v>
      </c>
      <c r="J100" t="s">
        <v>16385</v>
      </c>
      <c r="K100">
        <v>1.272</v>
      </c>
      <c r="L100">
        <v>55388</v>
      </c>
      <c r="N100" t="s">
        <v>16392</v>
      </c>
      <c r="O100" s="4">
        <v>312636</v>
      </c>
      <c r="P100" s="4">
        <v>0</v>
      </c>
      <c r="Q100" s="4">
        <v>312636</v>
      </c>
      <c r="R100" s="4">
        <v>937908</v>
      </c>
      <c r="S100" t="s">
        <v>16498</v>
      </c>
      <c r="T100" s="6">
        <v>43101</v>
      </c>
      <c r="U100" s="4">
        <v>2750000</v>
      </c>
      <c r="V100" t="s">
        <v>23739</v>
      </c>
      <c r="W100" t="s">
        <v>23798</v>
      </c>
      <c r="X100" t="s">
        <v>3</v>
      </c>
      <c r="AA100" s="5" t="str">
        <f>HYPERLINK("https://www.zillow.com/homes/101-E-IRVING-PARK-BLVD-BENSENVILLE-IL-60106_rb/","check listing")</f>
        <v>check listing</v>
      </c>
      <c r="AB100" s="5" t="str">
        <f>HYPERLINK("https://propertylookup.dupagecounty.gov/Datalets/Datalet.aspx?UseSearch=no&amp;mode=sales&amp;pin=0314209025","sales record")</f>
        <v>sales record</v>
      </c>
      <c r="AC100" t="s">
        <v>27872</v>
      </c>
      <c r="AD100">
        <v>41.961444</v>
      </c>
      <c r="AE100">
        <v>-87.94165</v>
      </c>
      <c r="AF100" s="5" t="str">
        <f>HYPERLINK("https://www.google.com/maps/search/?api=1&amp;query=41.961444,-87.94165","map")</f>
        <v>map</v>
      </c>
    </row>
    <row r="101" spans="1:32">
      <c r="A101" t="s">
        <v>151</v>
      </c>
      <c r="B101" t="s">
        <v>7747</v>
      </c>
      <c r="C101" t="s">
        <v>15106</v>
      </c>
      <c r="D101" t="s">
        <v>16195</v>
      </c>
      <c r="E101" t="s">
        <v>16217</v>
      </c>
      <c r="F101" t="s">
        <v>16222</v>
      </c>
      <c r="G101" t="s">
        <v>16228</v>
      </c>
      <c r="H101" t="s">
        <v>16228</v>
      </c>
      <c r="I101" t="s">
        <v>16308</v>
      </c>
      <c r="J101" t="s">
        <v>16385</v>
      </c>
      <c r="K101">
        <v>0.854</v>
      </c>
      <c r="L101">
        <v>37186</v>
      </c>
      <c r="N101" t="s">
        <v>16392</v>
      </c>
      <c r="O101" s="4">
        <v>52501</v>
      </c>
      <c r="P101" s="4">
        <v>0</v>
      </c>
      <c r="Q101" s="4">
        <v>52501</v>
      </c>
      <c r="R101" s="4">
        <v>157503</v>
      </c>
      <c r="S101" t="s">
        <v>16499</v>
      </c>
      <c r="X101" t="s">
        <v>3</v>
      </c>
      <c r="AA101" s="5" t="str">
        <f>HYPERLINK("https://www.zillow.com/homes/703-S-YORK-RD-BENSENVILLE-IL-60106_rb/","check listing")</f>
        <v>check listing</v>
      </c>
      <c r="AB101" s="5" t="str">
        <f>HYPERLINK("https://propertylookup.dupagecounty.gov/Datalets/Datalet.aspx?UseSearch=no&amp;mode=sales&amp;pin=0324301017","sales record")</f>
        <v>sales record</v>
      </c>
      <c r="AC101" t="s">
        <v>27872</v>
      </c>
      <c r="AD101">
        <v>41.940689</v>
      </c>
      <c r="AE101">
        <v>-87.938152</v>
      </c>
      <c r="AF101" s="5" t="str">
        <f>HYPERLINK("https://www.google.com/maps/search/?api=1&amp;query=41.940689,-87.938152","map")</f>
        <v>map</v>
      </c>
    </row>
    <row r="102" spans="1:32">
      <c r="A102" t="s">
        <v>152</v>
      </c>
      <c r="B102" t="s">
        <v>7748</v>
      </c>
      <c r="C102" t="s">
        <v>15106</v>
      </c>
      <c r="D102" t="s">
        <v>16195</v>
      </c>
      <c r="E102" t="s">
        <v>16217</v>
      </c>
      <c r="F102" t="s">
        <v>16222</v>
      </c>
      <c r="G102" t="s">
        <v>16228</v>
      </c>
      <c r="H102" t="s">
        <v>16228</v>
      </c>
      <c r="I102" t="s">
        <v>16308</v>
      </c>
      <c r="J102" t="s">
        <v>16385</v>
      </c>
      <c r="K102">
        <v>0.573</v>
      </c>
      <c r="L102">
        <v>24969</v>
      </c>
      <c r="N102" t="s">
        <v>16394</v>
      </c>
      <c r="O102" s="4">
        <v>89697</v>
      </c>
      <c r="P102" s="4">
        <v>0</v>
      </c>
      <c r="Q102" s="4">
        <v>89697</v>
      </c>
      <c r="R102" s="4">
        <v>269091</v>
      </c>
      <c r="S102" t="s">
        <v>16500</v>
      </c>
      <c r="T102" s="6">
        <v>43862</v>
      </c>
      <c r="U102" s="4">
        <v>600000</v>
      </c>
      <c r="V102" t="s">
        <v>23739</v>
      </c>
      <c r="W102" t="s">
        <v>23799</v>
      </c>
      <c r="X102" t="s">
        <v>3</v>
      </c>
      <c r="AA102" s="5" t="str">
        <f>HYPERLINK("https://www.zillow.com/homes/IL-RT-83-BENSENVILLE-IL-60106_rb/","check listing")</f>
        <v>check listing</v>
      </c>
      <c r="AB102" s="5" t="str">
        <f>HYPERLINK("https://propertylookup.dupagecounty.gov/Datalets/Datalet.aspx?UseSearch=no&amp;mode=sales&amp;pin=0303203011","sales record")</f>
        <v>sales record</v>
      </c>
      <c r="AC102" t="s">
        <v>27872</v>
      </c>
      <c r="AD102">
        <v>41.992341</v>
      </c>
      <c r="AE102">
        <v>-87.960086</v>
      </c>
      <c r="AF102" s="5" t="str">
        <f>HYPERLINK("https://www.google.com/maps/search/?api=1&amp;query=41.992341,-87.960086","map")</f>
        <v>map</v>
      </c>
    </row>
    <row r="103" spans="1:32">
      <c r="A103" t="s">
        <v>153</v>
      </c>
      <c r="B103" t="s">
        <v>7749</v>
      </c>
      <c r="C103" t="s">
        <v>15106</v>
      </c>
      <c r="D103" t="s">
        <v>16195</v>
      </c>
      <c r="E103" t="s">
        <v>16217</v>
      </c>
      <c r="F103" t="s">
        <v>16222</v>
      </c>
      <c r="G103" t="s">
        <v>16228</v>
      </c>
      <c r="H103" t="s">
        <v>16228</v>
      </c>
      <c r="I103" t="s">
        <v>16308</v>
      </c>
      <c r="J103" t="s">
        <v>16385</v>
      </c>
      <c r="K103">
        <v>0.525</v>
      </c>
      <c r="L103">
        <v>22872</v>
      </c>
      <c r="M103">
        <v>2532</v>
      </c>
      <c r="N103" t="s">
        <v>16392</v>
      </c>
      <c r="O103" s="4">
        <v>130449</v>
      </c>
      <c r="P103" s="4">
        <v>0</v>
      </c>
      <c r="Q103" s="4">
        <v>130449</v>
      </c>
      <c r="R103" s="4">
        <v>391347</v>
      </c>
      <c r="S103" t="s">
        <v>16501</v>
      </c>
      <c r="T103" s="6">
        <v>31048</v>
      </c>
      <c r="U103" s="4">
        <v>40000</v>
      </c>
      <c r="X103" t="s">
        <v>3</v>
      </c>
      <c r="AA103" s="5" t="str">
        <f>HYPERLINK("https://www.zillow.com/homes/630-N-RT-83-BENSENVILLE-IL-60106_rb/","check listing")</f>
        <v>check listing</v>
      </c>
      <c r="AB103" s="5" t="str">
        <f>HYPERLINK("https://propertylookup.dupagecounty.gov/Datalets/Datalet.aspx?UseSearch=no&amp;mode=sales&amp;pin=0310208004","sales record")</f>
        <v>sales record</v>
      </c>
      <c r="AC103" t="s">
        <v>27871</v>
      </c>
      <c r="AD103">
        <v>41.972693</v>
      </c>
      <c r="AE103">
        <v>-87.959813</v>
      </c>
      <c r="AF103" s="5" t="str">
        <f>HYPERLINK("https://www.google.com/maps/search/?api=1&amp;query=41.972693,-87.959813","map")</f>
        <v>map</v>
      </c>
    </row>
    <row r="104" spans="1:32">
      <c r="A104" t="s">
        <v>154</v>
      </c>
      <c r="B104" t="s">
        <v>7750</v>
      </c>
      <c r="C104" t="s">
        <v>15106</v>
      </c>
      <c r="D104" t="s">
        <v>16195</v>
      </c>
      <c r="E104" t="s">
        <v>16217</v>
      </c>
      <c r="F104" t="s">
        <v>16222</v>
      </c>
      <c r="G104" t="s">
        <v>16228</v>
      </c>
      <c r="H104" t="s">
        <v>16228</v>
      </c>
      <c r="I104" t="s">
        <v>16308</v>
      </c>
      <c r="J104" t="s">
        <v>16385</v>
      </c>
      <c r="K104">
        <v>0.49</v>
      </c>
      <c r="L104">
        <v>21341</v>
      </c>
      <c r="N104" t="s">
        <v>16392</v>
      </c>
      <c r="O104" s="4">
        <v>128500</v>
      </c>
      <c r="P104" s="4">
        <v>0</v>
      </c>
      <c r="Q104" s="4">
        <v>128500</v>
      </c>
      <c r="R104" s="4">
        <v>385500</v>
      </c>
      <c r="S104" t="s">
        <v>16502</v>
      </c>
      <c r="X104" t="s">
        <v>3</v>
      </c>
      <c r="AA104" s="5" t="str">
        <f>HYPERLINK("https://www.zillow.com/homes/555-SPRUCE-ST-BENSENVILLE-IL-60106_rb/","check listing")</f>
        <v>check listing</v>
      </c>
      <c r="AB104" s="5" t="str">
        <f>HYPERLINK("https://propertylookup.dupagecounty.gov/Datalets/Datalet.aspx?UseSearch=no&amp;mode=sales&amp;pin=0315232014","sales record")</f>
        <v>sales record</v>
      </c>
      <c r="AC104" t="s">
        <v>27872</v>
      </c>
      <c r="AD104">
        <v>41.960143</v>
      </c>
      <c r="AE104">
        <v>-87.960578</v>
      </c>
      <c r="AF104" s="5" t="str">
        <f>HYPERLINK("https://www.google.com/maps/search/?api=1&amp;query=41.960143,-87.960578","map")</f>
        <v>map</v>
      </c>
    </row>
    <row r="105" spans="1:32">
      <c r="A105" t="s">
        <v>155</v>
      </c>
      <c r="B105" t="s">
        <v>7751</v>
      </c>
      <c r="C105" t="s">
        <v>15106</v>
      </c>
      <c r="D105" t="s">
        <v>16195</v>
      </c>
      <c r="E105" t="s">
        <v>16217</v>
      </c>
      <c r="F105" t="s">
        <v>16222</v>
      </c>
      <c r="G105" t="s">
        <v>16228</v>
      </c>
      <c r="H105" t="s">
        <v>16228</v>
      </c>
      <c r="I105" t="s">
        <v>16308</v>
      </c>
      <c r="J105" t="s">
        <v>16385</v>
      </c>
      <c r="K105">
        <v>0.427</v>
      </c>
      <c r="L105">
        <v>18605</v>
      </c>
      <c r="N105" t="s">
        <v>16392</v>
      </c>
      <c r="O105" s="4">
        <v>141952</v>
      </c>
      <c r="P105" s="4">
        <v>0</v>
      </c>
      <c r="Q105" s="4">
        <v>141952</v>
      </c>
      <c r="R105" s="4">
        <v>425856</v>
      </c>
      <c r="S105" t="s">
        <v>16503</v>
      </c>
      <c r="T105" s="6">
        <v>43070</v>
      </c>
      <c r="U105" s="4">
        <v>700000</v>
      </c>
      <c r="V105" t="s">
        <v>23740</v>
      </c>
      <c r="W105" t="s">
        <v>23800</v>
      </c>
      <c r="X105" t="s">
        <v>3</v>
      </c>
      <c r="AA105" s="5" t="str">
        <f>HYPERLINK("https://www.zillow.com/homes/500-W-IRVING-PARK-BLVD-BENSENVILLE-IL-60106_rb/","check listing")</f>
        <v>check listing</v>
      </c>
      <c r="AB105" s="5" t="str">
        <f>HYPERLINK("https://propertylookup.dupagecounty.gov/Datalets/Datalet.aspx?UseSearch=no&amp;mode=sales&amp;pin=0314210004","sales record")</f>
        <v>sales record</v>
      </c>
      <c r="AC105" t="s">
        <v>27872</v>
      </c>
      <c r="AD105">
        <v>41.960694</v>
      </c>
      <c r="AE105">
        <v>-87.947749</v>
      </c>
      <c r="AF105" s="5" t="str">
        <f>HYPERLINK("https://www.google.com/maps/search/?api=1&amp;query=41.960694,-87.947749","map")</f>
        <v>map</v>
      </c>
    </row>
    <row r="106" spans="1:32">
      <c r="A106" t="s">
        <v>156</v>
      </c>
      <c r="B106" t="s">
        <v>7752</v>
      </c>
      <c r="C106" t="s">
        <v>15106</v>
      </c>
      <c r="D106" t="s">
        <v>16195</v>
      </c>
      <c r="E106" t="s">
        <v>16217</v>
      </c>
      <c r="F106" t="s">
        <v>16222</v>
      </c>
      <c r="G106" t="s">
        <v>16228</v>
      </c>
      <c r="H106" t="s">
        <v>16228</v>
      </c>
      <c r="I106" t="s">
        <v>16308</v>
      </c>
      <c r="J106" t="s">
        <v>16385</v>
      </c>
      <c r="K106">
        <v>0.409</v>
      </c>
      <c r="L106">
        <v>17816</v>
      </c>
      <c r="N106" t="s">
        <v>16392</v>
      </c>
      <c r="O106" s="4">
        <v>113735</v>
      </c>
      <c r="P106" s="4">
        <v>0</v>
      </c>
      <c r="Q106" s="4">
        <v>113735</v>
      </c>
      <c r="R106" s="4">
        <v>341205</v>
      </c>
      <c r="S106" t="s">
        <v>16504</v>
      </c>
      <c r="X106" t="s">
        <v>3</v>
      </c>
      <c r="AA106" s="5" t="str">
        <f>HYPERLINK("https://www.zillow.com/homes/460-W-IRVING-PARK-BLVD-BENSENVILLE-IL-60106_rb/","check listing")</f>
        <v>check listing</v>
      </c>
      <c r="AB106" s="5" t="str">
        <f>HYPERLINK("https://propertylookup.dupagecounty.gov/Datalets/Datalet.aspx?UseSearch=no&amp;mode=sales&amp;pin=0314210040","sales record")</f>
        <v>sales record</v>
      </c>
      <c r="AC106" t="s">
        <v>27872</v>
      </c>
      <c r="AD106">
        <v>41.960519</v>
      </c>
      <c r="AE106">
        <v>-87.94568099999999</v>
      </c>
      <c r="AF106" s="5" t="str">
        <f>HYPERLINK("https://www.google.com/maps/search/?api=1&amp;query=41.960519,-87.945681","map")</f>
        <v>map</v>
      </c>
    </row>
    <row r="107" spans="1:32">
      <c r="A107" t="s">
        <v>157</v>
      </c>
      <c r="B107" t="s">
        <v>7753</v>
      </c>
      <c r="C107" t="s">
        <v>15106</v>
      </c>
      <c r="D107" t="s">
        <v>16195</v>
      </c>
      <c r="E107" t="s">
        <v>16217</v>
      </c>
      <c r="F107" t="s">
        <v>16222</v>
      </c>
      <c r="G107" t="s">
        <v>16228</v>
      </c>
      <c r="H107" t="s">
        <v>16228</v>
      </c>
      <c r="I107" t="s">
        <v>16308</v>
      </c>
      <c r="J107" t="s">
        <v>16385</v>
      </c>
      <c r="K107">
        <v>0.394</v>
      </c>
      <c r="L107">
        <v>17162</v>
      </c>
      <c r="M107">
        <v>2744</v>
      </c>
      <c r="N107" t="s">
        <v>16392</v>
      </c>
      <c r="O107" s="4">
        <v>114662</v>
      </c>
      <c r="P107" s="4">
        <v>0</v>
      </c>
      <c r="Q107" s="4">
        <v>114662</v>
      </c>
      <c r="R107" s="4">
        <v>343986</v>
      </c>
      <c r="S107" t="s">
        <v>16505</v>
      </c>
      <c r="X107" t="s">
        <v>3</v>
      </c>
      <c r="AA107" s="5" t="str">
        <f>HYPERLINK("https://www.zillow.com/homes/31420-IRVING-PARK-RD-BENSENVILLE-IL-60106_rb/","check listing")</f>
        <v>check listing</v>
      </c>
      <c r="AB107" s="5" t="str">
        <f>HYPERLINK("https://propertylookup.dupagecounty.gov/Datalets/Datalet.aspx?UseSearch=no&amp;mode=sales&amp;pin=0314210014","sales record")</f>
        <v>sales record</v>
      </c>
      <c r="AC107" t="s">
        <v>27871</v>
      </c>
      <c r="AD107">
        <v>41.960518</v>
      </c>
      <c r="AE107">
        <v>-87.945048</v>
      </c>
      <c r="AF107" s="5" t="str">
        <f>HYPERLINK("https://www.google.com/maps/search/?api=1&amp;query=41.960518,-87.945048","map")</f>
        <v>map</v>
      </c>
    </row>
    <row r="108" spans="1:32">
      <c r="A108" t="s">
        <v>158</v>
      </c>
      <c r="B108" t="s">
        <v>7754</v>
      </c>
      <c r="C108" t="s">
        <v>15106</v>
      </c>
      <c r="D108" t="s">
        <v>16195</v>
      </c>
      <c r="E108" t="s">
        <v>16217</v>
      </c>
      <c r="F108" t="s">
        <v>16222</v>
      </c>
      <c r="G108" t="s">
        <v>16228</v>
      </c>
      <c r="H108" t="s">
        <v>16228</v>
      </c>
      <c r="I108" t="s">
        <v>16308</v>
      </c>
      <c r="J108" t="s">
        <v>16385</v>
      </c>
      <c r="K108">
        <v>0.388</v>
      </c>
      <c r="L108">
        <v>16923</v>
      </c>
      <c r="M108">
        <v>3041</v>
      </c>
      <c r="N108" t="s">
        <v>16392</v>
      </c>
      <c r="O108" s="4">
        <v>32173</v>
      </c>
      <c r="P108" s="4">
        <v>0</v>
      </c>
      <c r="Q108" s="4">
        <v>32173</v>
      </c>
      <c r="R108" s="4">
        <v>96519</v>
      </c>
      <c r="S108" t="s">
        <v>16506</v>
      </c>
      <c r="T108" s="6">
        <v>36434</v>
      </c>
      <c r="U108" s="4">
        <v>180000</v>
      </c>
      <c r="X108" t="s">
        <v>3</v>
      </c>
      <c r="AA108" s="5" t="str">
        <f>HYPERLINK("https://www.zillow.com/homes/1313-IRVING-PARK-RD-BENSENVILLE-IL-60106_rb/","check listing")</f>
        <v>check listing</v>
      </c>
      <c r="AB108" s="5" t="str">
        <f>HYPERLINK("https://propertylookup.dupagecounty.gov/Datalets/Datalet.aspx?UseSearch=no&amp;mode=sales&amp;pin=0315222012","sales record")</f>
        <v>sales record</v>
      </c>
      <c r="AC108" t="s">
        <v>11</v>
      </c>
      <c r="AD108">
        <v>41.961175</v>
      </c>
      <c r="AE108">
        <v>-87.961788</v>
      </c>
      <c r="AF108" s="5" t="str">
        <f>HYPERLINK("https://www.google.com/maps/search/?api=1&amp;query=41.961175,-87.961788","map")</f>
        <v>map</v>
      </c>
    </row>
    <row r="109" spans="1:32">
      <c r="A109" t="s">
        <v>159</v>
      </c>
      <c r="B109" t="s">
        <v>7755</v>
      </c>
      <c r="C109" t="s">
        <v>15106</v>
      </c>
      <c r="D109" t="s">
        <v>16195</v>
      </c>
      <c r="E109" t="s">
        <v>16217</v>
      </c>
      <c r="F109" t="s">
        <v>16222</v>
      </c>
      <c r="G109" t="s">
        <v>16228</v>
      </c>
      <c r="H109" t="s">
        <v>16228</v>
      </c>
      <c r="I109" t="s">
        <v>16308</v>
      </c>
      <c r="J109" t="s">
        <v>16385</v>
      </c>
      <c r="K109">
        <v>0.388</v>
      </c>
      <c r="L109">
        <v>16913</v>
      </c>
      <c r="N109" t="s">
        <v>16392</v>
      </c>
      <c r="O109" s="4">
        <v>38557</v>
      </c>
      <c r="P109" s="4">
        <v>0</v>
      </c>
      <c r="Q109" s="4">
        <v>38557</v>
      </c>
      <c r="R109" s="4">
        <v>115671</v>
      </c>
      <c r="S109" t="s">
        <v>16507</v>
      </c>
      <c r="X109" t="s">
        <v>3</v>
      </c>
      <c r="AA109" s="5" t="str">
        <f>HYPERLINK("https://www.zillow.com/homes/1320-W-IRVING-PARK-BENSENVILLE-IL-60106_rb/","check listing")</f>
        <v>check listing</v>
      </c>
      <c r="AB109" s="5" t="str">
        <f>HYPERLINK("https://propertylookup.dupagecounty.gov/Datalets/Datalet.aspx?UseSearch=no&amp;mode=sales&amp;pin=0315223024","sales record")</f>
        <v>sales record</v>
      </c>
      <c r="AC109" t="s">
        <v>3</v>
      </c>
      <c r="AD109">
        <v>41.960209</v>
      </c>
      <c r="AE109">
        <v>-87.96142399999999</v>
      </c>
      <c r="AF109" s="5" t="str">
        <f>HYPERLINK("https://www.google.com/maps/search/?api=1&amp;query=41.960209,-87.961424","map")</f>
        <v>map</v>
      </c>
    </row>
    <row r="110" spans="1:32">
      <c r="A110" t="s">
        <v>160</v>
      </c>
      <c r="B110" t="s">
        <v>7756</v>
      </c>
      <c r="C110" t="s">
        <v>15106</v>
      </c>
      <c r="D110" t="s">
        <v>16195</v>
      </c>
      <c r="E110" t="s">
        <v>16217</v>
      </c>
      <c r="F110" t="s">
        <v>16222</v>
      </c>
      <c r="G110" t="s">
        <v>16228</v>
      </c>
      <c r="H110" t="s">
        <v>16228</v>
      </c>
      <c r="I110" t="s">
        <v>16308</v>
      </c>
      <c r="J110" t="s">
        <v>16385</v>
      </c>
      <c r="K110">
        <v>0.367</v>
      </c>
      <c r="L110">
        <v>15975</v>
      </c>
      <c r="M110">
        <v>9244</v>
      </c>
      <c r="N110" t="s">
        <v>16392</v>
      </c>
      <c r="O110" s="4">
        <v>135930</v>
      </c>
      <c r="P110" s="4">
        <v>0</v>
      </c>
      <c r="Q110" s="4">
        <v>135930</v>
      </c>
      <c r="R110" s="4">
        <v>407790</v>
      </c>
      <c r="S110" t="s">
        <v>16508</v>
      </c>
      <c r="X110" t="s">
        <v>3</v>
      </c>
      <c r="AA110" s="5" t="str">
        <f>HYPERLINK("https://www.zillow.com/homes/1320-W-IRVING-PARK-RD-BENSENVILLE-IL-60106_rb/","check listing")</f>
        <v>check listing</v>
      </c>
      <c r="AB110" s="5" t="str">
        <f>HYPERLINK("https://propertylookup.dupagecounty.gov/Datalets/Datalet.aspx?UseSearch=no&amp;mode=sales&amp;pin=0315223031","sales record")</f>
        <v>sales record</v>
      </c>
      <c r="AC110" t="s">
        <v>27871</v>
      </c>
      <c r="AD110">
        <v>41.960548</v>
      </c>
      <c r="AE110">
        <v>-87.961696</v>
      </c>
      <c r="AF110" s="5" t="str">
        <f>HYPERLINK("https://www.google.com/maps/search/?api=1&amp;query=41.960548,-87.961696","map")</f>
        <v>map</v>
      </c>
    </row>
    <row r="111" spans="1:32">
      <c r="A111" t="s">
        <v>161</v>
      </c>
      <c r="B111" t="s">
        <v>7757</v>
      </c>
      <c r="C111" t="s">
        <v>15106</v>
      </c>
      <c r="D111" t="s">
        <v>16195</v>
      </c>
      <c r="E111" t="s">
        <v>16217</v>
      </c>
      <c r="F111" t="s">
        <v>16222</v>
      </c>
      <c r="G111" t="s">
        <v>16228</v>
      </c>
      <c r="H111" t="s">
        <v>16228</v>
      </c>
      <c r="I111" t="s">
        <v>16308</v>
      </c>
      <c r="J111" t="s">
        <v>16385</v>
      </c>
      <c r="K111">
        <v>0.345</v>
      </c>
      <c r="L111">
        <v>15007</v>
      </c>
      <c r="N111" t="s">
        <v>16392</v>
      </c>
      <c r="O111" s="4">
        <v>92032</v>
      </c>
      <c r="P111" s="4">
        <v>0</v>
      </c>
      <c r="Q111" s="4">
        <v>92032</v>
      </c>
      <c r="R111" s="4">
        <v>276096</v>
      </c>
      <c r="S111" t="s">
        <v>16509</v>
      </c>
      <c r="T111" s="6">
        <v>40330</v>
      </c>
      <c r="U111" s="4">
        <v>1440858</v>
      </c>
      <c r="V111" t="s">
        <v>23739</v>
      </c>
      <c r="W111" t="s">
        <v>23801</v>
      </c>
      <c r="X111" t="s">
        <v>3</v>
      </c>
      <c r="AA111" s="5" t="str">
        <f>HYPERLINK("https://www.zillow.com/homes/1130-S-YORK-RD-BENSENVILLE-IL-60106_rb/","check listing")</f>
        <v>check listing</v>
      </c>
      <c r="AB111" s="5" t="str">
        <f>HYPERLINK("https://propertylookup.dupagecounty.gov/Datalets/Datalet.aspx?UseSearch=no&amp;mode=sales&amp;pin=0326204020","sales record")</f>
        <v>sales record</v>
      </c>
      <c r="AC111" t="s">
        <v>3</v>
      </c>
      <c r="AD111">
        <v>41.932421</v>
      </c>
      <c r="AE111">
        <v>-87.94014300000001</v>
      </c>
      <c r="AF111" s="5" t="str">
        <f>HYPERLINK("https://www.google.com/maps/search/?api=1&amp;query=41.932421,-87.940143","map")</f>
        <v>map</v>
      </c>
    </row>
    <row r="112" spans="1:32">
      <c r="A112" t="s">
        <v>162</v>
      </c>
      <c r="B112" t="s">
        <v>7758</v>
      </c>
      <c r="C112" t="s">
        <v>15109</v>
      </c>
      <c r="D112" t="s">
        <v>16195</v>
      </c>
      <c r="E112" t="s">
        <v>16217</v>
      </c>
      <c r="F112" t="s">
        <v>16222</v>
      </c>
      <c r="G112" t="s">
        <v>16228</v>
      </c>
      <c r="H112" t="s">
        <v>16228</v>
      </c>
      <c r="I112" t="s">
        <v>16308</v>
      </c>
      <c r="J112" t="s">
        <v>16385</v>
      </c>
      <c r="K112">
        <v>0.318</v>
      </c>
      <c r="L112">
        <v>13838</v>
      </c>
      <c r="M112">
        <v>5266</v>
      </c>
      <c r="N112" t="s">
        <v>16392</v>
      </c>
      <c r="O112" s="4">
        <v>65975</v>
      </c>
      <c r="P112" s="4">
        <v>0</v>
      </c>
      <c r="Q112" s="4">
        <v>65975</v>
      </c>
      <c r="R112" s="4">
        <v>197925</v>
      </c>
      <c r="S112" t="s">
        <v>16510</v>
      </c>
      <c r="T112" s="6">
        <v>37712</v>
      </c>
      <c r="U112" s="4">
        <v>237500</v>
      </c>
      <c r="V112" t="s">
        <v>23740</v>
      </c>
      <c r="W112" t="s">
        <v>16510</v>
      </c>
      <c r="X112" t="s">
        <v>3</v>
      </c>
      <c r="AA112" s="5" t="str">
        <f>HYPERLINK("https://www.zillow.com/homes/118-GREEN-ST-ELMHURST-IL-60126_rb/","check listing")</f>
        <v>check listing</v>
      </c>
      <c r="AB112" s="5" t="str">
        <f>HYPERLINK("https://propertylookup.dupagecounty.gov/Datalets/Datalet.aspx?UseSearch=no&amp;mode=sales&amp;pin=0313315001","sales record")</f>
        <v>sales record</v>
      </c>
      <c r="AC112" t="s">
        <v>11</v>
      </c>
      <c r="AD112">
        <v>41.954385</v>
      </c>
      <c r="AE112">
        <v>-87.93781</v>
      </c>
      <c r="AF112" s="5" t="str">
        <f>HYPERLINK("https://www.google.com/maps/search/?api=1&amp;query=41.954385,-87.93781","map")</f>
        <v>map</v>
      </c>
    </row>
    <row r="113" spans="1:32">
      <c r="A113" t="s">
        <v>163</v>
      </c>
      <c r="B113" t="s">
        <v>7759</v>
      </c>
      <c r="C113" t="s">
        <v>15106</v>
      </c>
      <c r="D113" t="s">
        <v>16195</v>
      </c>
      <c r="E113" t="s">
        <v>16217</v>
      </c>
      <c r="F113" t="s">
        <v>16222</v>
      </c>
      <c r="G113" t="s">
        <v>16228</v>
      </c>
      <c r="H113" t="s">
        <v>16228</v>
      </c>
      <c r="I113" t="s">
        <v>16308</v>
      </c>
      <c r="J113" t="s">
        <v>16385</v>
      </c>
      <c r="K113">
        <v>0.312</v>
      </c>
      <c r="L113">
        <v>13602</v>
      </c>
      <c r="N113" t="s">
        <v>16392</v>
      </c>
      <c r="O113" s="4">
        <v>45835</v>
      </c>
      <c r="P113" s="4">
        <v>0</v>
      </c>
      <c r="Q113" s="4">
        <v>45835</v>
      </c>
      <c r="R113" s="4">
        <v>137505</v>
      </c>
      <c r="S113" t="s">
        <v>16511</v>
      </c>
      <c r="T113" s="6">
        <v>39600</v>
      </c>
      <c r="U113" s="4">
        <v>97850</v>
      </c>
      <c r="V113" t="s">
        <v>23739</v>
      </c>
      <c r="W113" t="s">
        <v>23802</v>
      </c>
      <c r="X113" t="s">
        <v>3</v>
      </c>
      <c r="AA113" s="5" t="str">
        <f>HYPERLINK("https://www.zillow.com/homes/228-W-IRVING-PARK-RD-BENSENVILLE-IL-60106_rb/","check listing")</f>
        <v>check listing</v>
      </c>
      <c r="AB113" s="5" t="str">
        <f>HYPERLINK("https://propertylookup.dupagecounty.gov/Datalets/Datalet.aspx?UseSearch=no&amp;mode=sales&amp;pin=0314211001","sales record")</f>
        <v>sales record</v>
      </c>
      <c r="AC113" t="s">
        <v>3</v>
      </c>
      <c r="AD113">
        <v>41.960683</v>
      </c>
      <c r="AE113">
        <v>-87.944023</v>
      </c>
      <c r="AF113" s="5" t="str">
        <f>HYPERLINK("https://www.google.com/maps/search/?api=1&amp;query=41.960683,-87.944023","map")</f>
        <v>map</v>
      </c>
    </row>
    <row r="114" spans="1:32">
      <c r="A114" t="s">
        <v>164</v>
      </c>
      <c r="B114" t="s">
        <v>7760</v>
      </c>
      <c r="C114" t="s">
        <v>15106</v>
      </c>
      <c r="D114" t="s">
        <v>16195</v>
      </c>
      <c r="E114" t="s">
        <v>16217</v>
      </c>
      <c r="F114" t="s">
        <v>16222</v>
      </c>
      <c r="G114" t="s">
        <v>16228</v>
      </c>
      <c r="H114" t="s">
        <v>16228</v>
      </c>
      <c r="I114" t="s">
        <v>16308</v>
      </c>
      <c r="J114" t="s">
        <v>16385</v>
      </c>
      <c r="K114">
        <v>0.305</v>
      </c>
      <c r="L114">
        <v>13268</v>
      </c>
      <c r="N114" t="s">
        <v>16392</v>
      </c>
      <c r="O114" s="4">
        <v>19766</v>
      </c>
      <c r="P114" s="4">
        <v>0</v>
      </c>
      <c r="Q114" s="4">
        <v>19766</v>
      </c>
      <c r="R114" s="4">
        <v>59298</v>
      </c>
      <c r="S114" t="s">
        <v>16512</v>
      </c>
      <c r="X114" t="s">
        <v>3</v>
      </c>
      <c r="AA114" s="5" t="str">
        <f>HYPERLINK("https://www.zillow.com/homes/IRVING-PARK-RD-BENSENVILLE-IL-60106_rb/","check listing")</f>
        <v>check listing</v>
      </c>
      <c r="AB114" s="5" t="str">
        <f>HYPERLINK("https://propertylookup.dupagecounty.gov/Datalets/Datalet.aspx?UseSearch=no&amp;mode=sales&amp;pin=0314209037","sales record")</f>
        <v>sales record</v>
      </c>
      <c r="AC114" t="s">
        <v>27872</v>
      </c>
      <c r="AD114">
        <v>41.961521</v>
      </c>
      <c r="AE114">
        <v>-87.94265300000001</v>
      </c>
      <c r="AF114" s="5" t="str">
        <f>HYPERLINK("https://www.google.com/maps/search/?api=1&amp;query=41.961521,-87.942653","map")</f>
        <v>map</v>
      </c>
    </row>
    <row r="115" spans="1:32">
      <c r="A115" t="s">
        <v>165</v>
      </c>
      <c r="B115" t="s">
        <v>7752</v>
      </c>
      <c r="C115" t="s">
        <v>15106</v>
      </c>
      <c r="D115" t="s">
        <v>16195</v>
      </c>
      <c r="E115" t="s">
        <v>16217</v>
      </c>
      <c r="F115" t="s">
        <v>16222</v>
      </c>
      <c r="G115" t="s">
        <v>16228</v>
      </c>
      <c r="H115" t="s">
        <v>16228</v>
      </c>
      <c r="I115" t="s">
        <v>16308</v>
      </c>
      <c r="J115" t="s">
        <v>16385</v>
      </c>
      <c r="K115">
        <v>0.242</v>
      </c>
      <c r="L115">
        <v>10528</v>
      </c>
      <c r="N115" t="s">
        <v>16392</v>
      </c>
      <c r="O115" s="4">
        <v>60025</v>
      </c>
      <c r="P115" s="4">
        <v>0</v>
      </c>
      <c r="Q115" s="4">
        <v>60025</v>
      </c>
      <c r="R115" s="4">
        <v>180075</v>
      </c>
      <c r="S115" t="s">
        <v>16513</v>
      </c>
      <c r="X115" t="s">
        <v>3</v>
      </c>
      <c r="AA115" s="5" t="str">
        <f>HYPERLINK("https://www.zillow.com/homes/460-W-IRVING-PARK-BLVD-BENSENVILLE-IL-60106_rb/","check listing")</f>
        <v>check listing</v>
      </c>
      <c r="AB115" s="5" t="str">
        <f>HYPERLINK("https://propertylookup.dupagecounty.gov/Datalets/Datalet.aspx?UseSearch=no&amp;mode=sales&amp;pin=0314210042","sales record")</f>
        <v>sales record</v>
      </c>
      <c r="AC115" t="s">
        <v>3</v>
      </c>
      <c r="AD115">
        <v>41.960547</v>
      </c>
      <c r="AE115">
        <v>-87.94546099999999</v>
      </c>
      <c r="AF115" s="5" t="str">
        <f>HYPERLINK("https://www.google.com/maps/search/?api=1&amp;query=41.960547,-87.945461","map")</f>
        <v>map</v>
      </c>
    </row>
    <row r="116" spans="1:32">
      <c r="A116" t="s">
        <v>166</v>
      </c>
      <c r="B116" t="s">
        <v>7761</v>
      </c>
      <c r="C116" t="s">
        <v>15106</v>
      </c>
      <c r="D116" t="s">
        <v>16195</v>
      </c>
      <c r="E116" t="s">
        <v>16217</v>
      </c>
      <c r="F116" t="s">
        <v>16222</v>
      </c>
      <c r="G116" t="s">
        <v>16228</v>
      </c>
      <c r="H116" t="s">
        <v>16228</v>
      </c>
      <c r="I116" t="s">
        <v>16308</v>
      </c>
      <c r="J116" t="s">
        <v>16385</v>
      </c>
      <c r="K116">
        <v>0.23</v>
      </c>
      <c r="L116">
        <v>10013</v>
      </c>
      <c r="N116" t="s">
        <v>16392</v>
      </c>
      <c r="O116" s="4">
        <v>34579</v>
      </c>
      <c r="P116" s="4">
        <v>0</v>
      </c>
      <c r="Q116" s="4">
        <v>34579</v>
      </c>
      <c r="R116" s="4">
        <v>103737</v>
      </c>
      <c r="S116" t="s">
        <v>16514</v>
      </c>
      <c r="T116" s="6">
        <v>45510</v>
      </c>
      <c r="U116" s="4">
        <v>420000</v>
      </c>
      <c r="V116" t="s">
        <v>23741</v>
      </c>
      <c r="W116" t="s">
        <v>16514</v>
      </c>
      <c r="X116" t="s">
        <v>3</v>
      </c>
      <c r="AA116" s="5" t="str">
        <f>HYPERLINK("https://www.zillow.com/homes/1347-IRVING-PARK-RD-BENSENVILLE-IL-60106_rb/","check listing")</f>
        <v>check listing</v>
      </c>
      <c r="AB116" s="5" t="str">
        <f>HYPERLINK("https://propertylookup.dupagecounty.gov/Datalets/Datalet.aspx?UseSearch=no&amp;mode=sales&amp;pin=0315214044","sales record")</f>
        <v>sales record</v>
      </c>
      <c r="AC116" t="s">
        <v>3</v>
      </c>
      <c r="AD116">
        <v>41.961493</v>
      </c>
      <c r="AE116">
        <v>-87.964057</v>
      </c>
      <c r="AF116" s="5" t="str">
        <f>HYPERLINK("https://www.google.com/maps/search/?api=1&amp;query=41.961493,-87.964057","map")</f>
        <v>map</v>
      </c>
    </row>
    <row r="117" spans="1:32">
      <c r="A117" t="s">
        <v>167</v>
      </c>
      <c r="B117" t="s">
        <v>7762</v>
      </c>
      <c r="C117" t="s">
        <v>15106</v>
      </c>
      <c r="D117" t="s">
        <v>16195</v>
      </c>
      <c r="E117" t="s">
        <v>16217</v>
      </c>
      <c r="F117" t="s">
        <v>16222</v>
      </c>
      <c r="G117" t="s">
        <v>16228</v>
      </c>
      <c r="H117" t="s">
        <v>16228</v>
      </c>
      <c r="I117" t="s">
        <v>16308</v>
      </c>
      <c r="J117" t="s">
        <v>16385</v>
      </c>
      <c r="K117">
        <v>0.22</v>
      </c>
      <c r="L117">
        <v>9590</v>
      </c>
      <c r="N117" t="s">
        <v>16392</v>
      </c>
      <c r="O117" s="4">
        <v>59544</v>
      </c>
      <c r="P117" s="4">
        <v>0</v>
      </c>
      <c r="Q117" s="4">
        <v>59544</v>
      </c>
      <c r="R117" s="4">
        <v>178632</v>
      </c>
      <c r="S117" t="s">
        <v>16515</v>
      </c>
      <c r="X117" t="s">
        <v>3</v>
      </c>
      <c r="AA117" s="5" t="str">
        <f>HYPERLINK("https://www.zillow.com/homes/22739-IRVING-PARK-BLVD-BENSENVILLE-IL-60106_rb/","check listing")</f>
        <v>check listing</v>
      </c>
      <c r="AB117" s="5" t="str">
        <f>HYPERLINK("https://propertylookup.dupagecounty.gov/Datalets/Datalet.aspx?UseSearch=no&amp;mode=sales&amp;pin=0314205026","sales record")</f>
        <v>sales record</v>
      </c>
      <c r="AC117" t="s">
        <v>27872</v>
      </c>
      <c r="AD117">
        <v>41.961383</v>
      </c>
      <c r="AE117">
        <v>-87.944594</v>
      </c>
      <c r="AF117" s="5" t="str">
        <f>HYPERLINK("https://www.google.com/maps/search/?api=1&amp;query=41.961383,-87.944594","map")</f>
        <v>map</v>
      </c>
    </row>
    <row r="118" spans="1:32">
      <c r="A118" t="s">
        <v>168</v>
      </c>
      <c r="B118" t="s">
        <v>7763</v>
      </c>
      <c r="C118" t="s">
        <v>15106</v>
      </c>
      <c r="D118" t="s">
        <v>16195</v>
      </c>
      <c r="E118" t="s">
        <v>16217</v>
      </c>
      <c r="F118" t="s">
        <v>16222</v>
      </c>
      <c r="G118" t="s">
        <v>16228</v>
      </c>
      <c r="H118" t="s">
        <v>16228</v>
      </c>
      <c r="I118" t="s">
        <v>16308</v>
      </c>
      <c r="J118" t="s">
        <v>16385</v>
      </c>
      <c r="K118">
        <v>0.215</v>
      </c>
      <c r="L118">
        <v>9375</v>
      </c>
      <c r="N118" t="s">
        <v>16393</v>
      </c>
      <c r="O118" s="4">
        <v>38944</v>
      </c>
      <c r="P118" s="4">
        <v>0</v>
      </c>
      <c r="Q118" s="4">
        <v>38944</v>
      </c>
      <c r="R118" s="4">
        <v>116832</v>
      </c>
      <c r="S118" t="s">
        <v>16516</v>
      </c>
      <c r="T118" s="6">
        <v>38565</v>
      </c>
      <c r="U118" s="4">
        <v>129999</v>
      </c>
      <c r="V118" t="s">
        <v>23740</v>
      </c>
      <c r="W118" t="s">
        <v>23803</v>
      </c>
      <c r="X118" t="s">
        <v>3</v>
      </c>
      <c r="AA118" s="5" t="str">
        <f>HYPERLINK("https://www.zillow.com/homes/1341-W-IRVING-PARK-RD-BENSENVILLE-IL-60106_rb/","check listing")</f>
        <v>check listing</v>
      </c>
      <c r="AB118" s="5" t="str">
        <f>HYPERLINK("https://propertylookup.dupagecounty.gov/Datalets/Datalet.aspx?UseSearch=no&amp;mode=sales&amp;pin=0315222002","sales record")</f>
        <v>sales record</v>
      </c>
      <c r="AC118" t="s">
        <v>3</v>
      </c>
      <c r="AD118">
        <v>41.961265</v>
      </c>
      <c r="AE118">
        <v>-87.96300100000001</v>
      </c>
      <c r="AF118" s="5" t="str">
        <f>HYPERLINK("https://www.google.com/maps/search/?api=1&amp;query=41.961265,-87.963001","map")</f>
        <v>map</v>
      </c>
    </row>
    <row r="119" spans="1:32">
      <c r="A119" t="s">
        <v>169</v>
      </c>
      <c r="B119" t="s">
        <v>7764</v>
      </c>
      <c r="C119" t="s">
        <v>15106</v>
      </c>
      <c r="D119" t="s">
        <v>16195</v>
      </c>
      <c r="E119" t="s">
        <v>16217</v>
      </c>
      <c r="F119" t="s">
        <v>16222</v>
      </c>
      <c r="G119" t="s">
        <v>16228</v>
      </c>
      <c r="H119" t="s">
        <v>16228</v>
      </c>
      <c r="I119" t="s">
        <v>16308</v>
      </c>
      <c r="J119" t="s">
        <v>16385</v>
      </c>
      <c r="K119">
        <v>0.214</v>
      </c>
      <c r="L119">
        <v>9313</v>
      </c>
      <c r="N119" t="s">
        <v>16392</v>
      </c>
      <c r="O119" s="4">
        <v>62008</v>
      </c>
      <c r="P119" s="4">
        <v>0</v>
      </c>
      <c r="Q119" s="4">
        <v>62008</v>
      </c>
      <c r="R119" s="4">
        <v>186024</v>
      </c>
      <c r="S119" t="s">
        <v>16517</v>
      </c>
      <c r="X119" t="s">
        <v>3</v>
      </c>
      <c r="AA119" s="5" t="str">
        <f>HYPERLINK("https://www.zillow.com/homes/4-W-IRVING-PARK-RD-BENSENVILLE-IL-60106_rb/","check listing")</f>
        <v>check listing</v>
      </c>
      <c r="AB119" s="5" t="str">
        <f>HYPERLINK("https://propertylookup.dupagecounty.gov/Datalets/Datalet.aspx?UseSearch=no&amp;mode=sales&amp;pin=0314213018","sales record")</f>
        <v>sales record</v>
      </c>
      <c r="AC119" t="s">
        <v>27872</v>
      </c>
      <c r="AD119">
        <v>41.960303</v>
      </c>
      <c r="AE119">
        <v>-87.94005199999999</v>
      </c>
      <c r="AF119" s="5" t="str">
        <f>HYPERLINK("https://www.google.com/maps/search/?api=1&amp;query=41.960303,-87.940052","map")</f>
        <v>map</v>
      </c>
    </row>
    <row r="120" spans="1:32">
      <c r="A120" t="s">
        <v>170</v>
      </c>
      <c r="B120" t="s">
        <v>7765</v>
      </c>
      <c r="C120" t="s">
        <v>15106</v>
      </c>
      <c r="D120" t="s">
        <v>16195</v>
      </c>
      <c r="E120" t="s">
        <v>16217</v>
      </c>
      <c r="F120" t="s">
        <v>16222</v>
      </c>
      <c r="G120" t="s">
        <v>16229</v>
      </c>
      <c r="H120" t="s">
        <v>16229</v>
      </c>
      <c r="I120" t="s">
        <v>16309</v>
      </c>
      <c r="J120" t="s">
        <v>16385</v>
      </c>
      <c r="K120">
        <v>0.213</v>
      </c>
      <c r="L120">
        <v>9295</v>
      </c>
      <c r="N120" t="s">
        <v>16392</v>
      </c>
      <c r="O120" s="4">
        <v>48135</v>
      </c>
      <c r="P120" s="4">
        <v>0</v>
      </c>
      <c r="Q120" s="4">
        <v>48135</v>
      </c>
      <c r="R120" s="4">
        <v>144405</v>
      </c>
      <c r="S120" t="s">
        <v>16518</v>
      </c>
      <c r="X120" t="s">
        <v>3</v>
      </c>
      <c r="AA120" s="5" t="str">
        <f>HYPERLINK("https://www.zillow.com/homes/2-S-YORK-RD-BENSENVILLE-IL-60106_rb/","check listing")</f>
        <v>check listing</v>
      </c>
      <c r="AB120" s="5" t="str">
        <f>HYPERLINK("https://propertylookup.dupagecounty.gov/Datalets/Datalet.aspx?UseSearch=no&amp;mode=sales&amp;pin=0314406011","sales record")</f>
        <v>sales record</v>
      </c>
      <c r="AC120" t="s">
        <v>27872</v>
      </c>
      <c r="AD120">
        <v>41.956322</v>
      </c>
      <c r="AE120">
        <v>-87.94000699999999</v>
      </c>
      <c r="AF120" s="5" t="str">
        <f>HYPERLINK("https://www.google.com/maps/search/?api=1&amp;query=41.956322,-87.940007","map")</f>
        <v>map</v>
      </c>
    </row>
    <row r="121" spans="1:32">
      <c r="A121" t="s">
        <v>171</v>
      </c>
      <c r="B121" t="s">
        <v>7761</v>
      </c>
      <c r="C121" t="s">
        <v>15106</v>
      </c>
      <c r="D121" t="s">
        <v>16195</v>
      </c>
      <c r="E121" t="s">
        <v>16217</v>
      </c>
      <c r="F121" t="s">
        <v>16222</v>
      </c>
      <c r="G121" t="s">
        <v>16228</v>
      </c>
      <c r="H121" t="s">
        <v>16228</v>
      </c>
      <c r="I121" t="s">
        <v>16308</v>
      </c>
      <c r="J121" t="s">
        <v>16385</v>
      </c>
      <c r="K121">
        <v>0.206</v>
      </c>
      <c r="L121">
        <v>8970</v>
      </c>
      <c r="N121" t="s">
        <v>16394</v>
      </c>
      <c r="O121" s="4">
        <v>53733</v>
      </c>
      <c r="P121" s="4">
        <v>0</v>
      </c>
      <c r="Q121" s="4">
        <v>53733</v>
      </c>
      <c r="R121" s="4">
        <v>161199</v>
      </c>
      <c r="S121" t="s">
        <v>16514</v>
      </c>
      <c r="T121" s="6">
        <v>45510</v>
      </c>
      <c r="U121" s="4">
        <v>420000</v>
      </c>
      <c r="V121" t="s">
        <v>23741</v>
      </c>
      <c r="W121" t="s">
        <v>16514</v>
      </c>
      <c r="X121" t="s">
        <v>3</v>
      </c>
      <c r="AA121" s="5" t="str">
        <f>HYPERLINK("https://www.zillow.com/homes/1347-IRVING-PARK-RD-BENSENVILLE-IL-60106_rb/","check listing")</f>
        <v>check listing</v>
      </c>
      <c r="AB121" s="5" t="str">
        <f>HYPERLINK("https://propertylookup.dupagecounty.gov/Datalets/Datalet.aspx?UseSearch=no&amp;mode=sales&amp;pin=0315214045","sales record")</f>
        <v>sales record</v>
      </c>
      <c r="AC121" t="s">
        <v>3</v>
      </c>
      <c r="AD121">
        <v>41.961449</v>
      </c>
      <c r="AE121">
        <v>-87.963809</v>
      </c>
      <c r="AF121" s="5" t="str">
        <f>HYPERLINK("https://www.google.com/maps/search/?api=1&amp;query=41.961449,-87.963809","map")</f>
        <v>map</v>
      </c>
    </row>
    <row r="122" spans="1:32">
      <c r="A122" t="s">
        <v>172</v>
      </c>
      <c r="B122" t="s">
        <v>7766</v>
      </c>
      <c r="C122" t="s">
        <v>15110</v>
      </c>
      <c r="D122" t="s">
        <v>16195</v>
      </c>
      <c r="E122" t="s">
        <v>16217</v>
      </c>
      <c r="F122" t="s">
        <v>16222</v>
      </c>
      <c r="G122" t="s">
        <v>16228</v>
      </c>
      <c r="H122" t="s">
        <v>16228</v>
      </c>
      <c r="I122" t="s">
        <v>16308</v>
      </c>
      <c r="J122" t="s">
        <v>16385</v>
      </c>
      <c r="K122">
        <v>0.192</v>
      </c>
      <c r="L122">
        <v>8380</v>
      </c>
      <c r="N122" t="s">
        <v>16392</v>
      </c>
      <c r="O122" s="4">
        <v>49478</v>
      </c>
      <c r="P122" s="4">
        <v>0</v>
      </c>
      <c r="Q122" s="4">
        <v>49478</v>
      </c>
      <c r="R122" s="4">
        <v>148434</v>
      </c>
      <c r="S122" t="s">
        <v>16519</v>
      </c>
      <c r="T122" s="6">
        <v>35339</v>
      </c>
      <c r="U122" s="4">
        <v>110000</v>
      </c>
      <c r="X122" t="s">
        <v>3</v>
      </c>
      <c r="AA122" s="5" t="str">
        <f>HYPERLINK("https://www.zillow.com/homes/438-S-YORK-ST-BENSENVILLE-IL-601063530_rb/","check listing")</f>
        <v>check listing</v>
      </c>
      <c r="AB122" s="5" t="str">
        <f>HYPERLINK("https://propertylookup.dupagecounty.gov/Datalets/Datalet.aspx?UseSearch=no&amp;mode=sales&amp;pin=0323213019","sales record")</f>
        <v>sales record</v>
      </c>
      <c r="AC122" t="s">
        <v>3</v>
      </c>
      <c r="AD122">
        <v>41.946663</v>
      </c>
      <c r="AE122">
        <v>-87.94005</v>
      </c>
      <c r="AF122" s="5" t="str">
        <f>HYPERLINK("https://www.google.com/maps/search/?api=1&amp;query=41.946663,-87.94005","map")</f>
        <v>map</v>
      </c>
    </row>
    <row r="123" spans="1:32">
      <c r="A123" t="s">
        <v>173</v>
      </c>
      <c r="B123" t="s">
        <v>7767</v>
      </c>
      <c r="C123" t="s">
        <v>15111</v>
      </c>
      <c r="D123" t="s">
        <v>16195</v>
      </c>
      <c r="E123" t="s">
        <v>16217</v>
      </c>
      <c r="F123" t="s">
        <v>16222</v>
      </c>
      <c r="G123" t="s">
        <v>16228</v>
      </c>
      <c r="H123" t="s">
        <v>16228</v>
      </c>
      <c r="I123" t="s">
        <v>16308</v>
      </c>
      <c r="J123" t="s">
        <v>16385</v>
      </c>
      <c r="K123">
        <v>0.192</v>
      </c>
      <c r="L123">
        <v>8380</v>
      </c>
      <c r="N123" t="s">
        <v>16392</v>
      </c>
      <c r="O123" s="4">
        <v>49478</v>
      </c>
      <c r="P123" s="4">
        <v>0</v>
      </c>
      <c r="Q123" s="4">
        <v>49478</v>
      </c>
      <c r="R123" s="4">
        <v>148434</v>
      </c>
      <c r="S123" t="s">
        <v>16519</v>
      </c>
      <c r="T123" s="6">
        <v>44621</v>
      </c>
      <c r="U123" s="4">
        <v>1281488</v>
      </c>
      <c r="V123" t="s">
        <v>16232</v>
      </c>
      <c r="W123" t="s">
        <v>16519</v>
      </c>
      <c r="X123" t="s">
        <v>3</v>
      </c>
      <c r="AA123" s="5" t="str">
        <f>HYPERLINK("https://www.zillow.com/homes/438-S-YORK-RD-BENSENVILLE-IL-601062631_rb/","check listing")</f>
        <v>check listing</v>
      </c>
      <c r="AB123" s="5" t="str">
        <f>HYPERLINK("https://propertylookup.dupagecounty.gov/Datalets/Datalet.aspx?UseSearch=no&amp;mode=sales&amp;pin=0323213018","sales record")</f>
        <v>sales record</v>
      </c>
      <c r="AC123" t="s">
        <v>3</v>
      </c>
      <c r="AD123">
        <v>41.946828</v>
      </c>
      <c r="AE123">
        <v>-87.94005</v>
      </c>
      <c r="AF123" s="5" t="str">
        <f>HYPERLINK("https://www.google.com/maps/search/?api=1&amp;query=41.946828,-87.94005","map")</f>
        <v>map</v>
      </c>
    </row>
    <row r="124" spans="1:32">
      <c r="A124" t="s">
        <v>174</v>
      </c>
      <c r="B124" t="s">
        <v>7768</v>
      </c>
      <c r="C124" t="s">
        <v>15106</v>
      </c>
      <c r="D124" t="s">
        <v>16195</v>
      </c>
      <c r="E124" t="s">
        <v>16217</v>
      </c>
      <c r="F124" t="s">
        <v>16222</v>
      </c>
      <c r="G124" t="s">
        <v>16228</v>
      </c>
      <c r="H124" t="s">
        <v>16228</v>
      </c>
      <c r="I124" t="s">
        <v>16308</v>
      </c>
      <c r="J124" t="s">
        <v>16385</v>
      </c>
      <c r="K124">
        <v>0.189</v>
      </c>
      <c r="L124">
        <v>8252</v>
      </c>
      <c r="N124" t="s">
        <v>16392</v>
      </c>
      <c r="O124" s="4">
        <v>53158</v>
      </c>
      <c r="P124" s="4">
        <v>0</v>
      </c>
      <c r="Q124" s="4">
        <v>53158</v>
      </c>
      <c r="R124" s="4">
        <v>159474</v>
      </c>
      <c r="S124" t="s">
        <v>16520</v>
      </c>
      <c r="X124" t="s">
        <v>3</v>
      </c>
      <c r="AA124" s="5" t="str">
        <f>HYPERLINK("https://www.zillow.com/homes/1410-W-IRVING-PARK-RD-BENSENVILLE-IL-60106_rb/","check listing")</f>
        <v>check listing</v>
      </c>
      <c r="AB124" s="5" t="str">
        <f>HYPERLINK("https://propertylookup.dupagecounty.gov/Datalets/Datalet.aspx?UseSearch=no&amp;mode=sales&amp;pin=0315215020","sales record")</f>
        <v>sales record</v>
      </c>
      <c r="AC124" t="s">
        <v>27872</v>
      </c>
      <c r="AD124">
        <v>41.960544</v>
      </c>
      <c r="AE124">
        <v>-87.963964</v>
      </c>
      <c r="AF124" s="5" t="str">
        <f>HYPERLINK("https://www.google.com/maps/search/?api=1&amp;query=41.960544,-87.963964","map")</f>
        <v>map</v>
      </c>
    </row>
    <row r="125" spans="1:32">
      <c r="A125" t="s">
        <v>175</v>
      </c>
      <c r="B125" t="s">
        <v>7765</v>
      </c>
      <c r="C125" t="s">
        <v>15106</v>
      </c>
      <c r="D125" t="s">
        <v>16195</v>
      </c>
      <c r="E125" t="s">
        <v>16217</v>
      </c>
      <c r="F125" t="s">
        <v>16222</v>
      </c>
      <c r="G125" t="s">
        <v>16229</v>
      </c>
      <c r="H125" t="s">
        <v>16229</v>
      </c>
      <c r="I125" t="s">
        <v>16309</v>
      </c>
      <c r="J125" t="s">
        <v>16385</v>
      </c>
      <c r="K125">
        <v>0.182</v>
      </c>
      <c r="L125">
        <v>7919</v>
      </c>
      <c r="N125" t="s">
        <v>16392</v>
      </c>
      <c r="O125" s="4">
        <v>48135</v>
      </c>
      <c r="P125" s="4">
        <v>0</v>
      </c>
      <c r="Q125" s="4">
        <v>48135</v>
      </c>
      <c r="R125" s="4">
        <v>144405</v>
      </c>
      <c r="S125" t="s">
        <v>16518</v>
      </c>
      <c r="X125" t="s">
        <v>3</v>
      </c>
      <c r="AA125" s="5" t="str">
        <f>HYPERLINK("https://www.zillow.com/homes/2-S-YORK-RD-BENSENVILLE-IL-60106_rb/","check listing")</f>
        <v>check listing</v>
      </c>
      <c r="AB125" s="5" t="str">
        <f>HYPERLINK("https://propertylookup.dupagecounty.gov/Datalets/Datalet.aspx?UseSearch=no&amp;mode=sales&amp;pin=0314406008","sales record")</f>
        <v>sales record</v>
      </c>
      <c r="AC125" t="s">
        <v>27872</v>
      </c>
      <c r="AD125">
        <v>41.95606</v>
      </c>
      <c r="AE125">
        <v>-87.940005</v>
      </c>
      <c r="AF125" s="5" t="str">
        <f>HYPERLINK("https://www.google.com/maps/search/?api=1&amp;query=41.95606,-87.940005","map")</f>
        <v>map</v>
      </c>
    </row>
    <row r="126" spans="1:32">
      <c r="A126" t="s">
        <v>176</v>
      </c>
      <c r="B126" t="s">
        <v>7769</v>
      </c>
      <c r="C126" t="s">
        <v>15112</v>
      </c>
      <c r="D126" t="s">
        <v>16195</v>
      </c>
      <c r="E126" t="s">
        <v>16217</v>
      </c>
      <c r="F126" t="s">
        <v>16222</v>
      </c>
      <c r="G126" t="s">
        <v>16229</v>
      </c>
      <c r="H126" t="s">
        <v>16229</v>
      </c>
      <c r="I126" t="s">
        <v>16309</v>
      </c>
      <c r="J126" t="s">
        <v>16385</v>
      </c>
      <c r="K126">
        <v>0.179</v>
      </c>
      <c r="L126">
        <v>7802</v>
      </c>
      <c r="N126" t="s">
        <v>16392</v>
      </c>
      <c r="O126" s="4">
        <v>49591</v>
      </c>
      <c r="P126" s="4">
        <v>0</v>
      </c>
      <c r="Q126" s="4">
        <v>49591</v>
      </c>
      <c r="R126" s="4">
        <v>148773</v>
      </c>
      <c r="S126" t="s">
        <v>16521</v>
      </c>
      <c r="X126" t="s">
        <v>3</v>
      </c>
      <c r="AA126" s="5" t="str">
        <f>HYPERLINK("https://www.zillow.com/homes/14-N-YORK-RD-BENSENVILLE-IL-601064112_rb/","check listing")</f>
        <v>check listing</v>
      </c>
      <c r="AB126" s="5" t="str">
        <f>HYPERLINK("https://propertylookup.dupagecounty.gov/Datalets/Datalet.aspx?UseSearch=no&amp;mode=sales&amp;pin=0314403003","sales record")</f>
        <v>sales record</v>
      </c>
      <c r="AC126" t="s">
        <v>27872</v>
      </c>
      <c r="AD126">
        <v>41.957373</v>
      </c>
      <c r="AE126">
        <v>-87.940006</v>
      </c>
      <c r="AF126" s="5" t="str">
        <f>HYPERLINK("https://www.google.com/maps/search/?api=1&amp;query=41.957373,-87.940006","map")</f>
        <v>map</v>
      </c>
    </row>
    <row r="127" spans="1:32">
      <c r="A127" t="s">
        <v>177</v>
      </c>
      <c r="B127" t="s">
        <v>7770</v>
      </c>
      <c r="C127" t="s">
        <v>15106</v>
      </c>
      <c r="D127" t="s">
        <v>16195</v>
      </c>
      <c r="E127" t="s">
        <v>16217</v>
      </c>
      <c r="F127" t="s">
        <v>16222</v>
      </c>
      <c r="G127" t="s">
        <v>16229</v>
      </c>
      <c r="H127" t="s">
        <v>16229</v>
      </c>
      <c r="I127" t="s">
        <v>16309</v>
      </c>
      <c r="J127" t="s">
        <v>16385</v>
      </c>
      <c r="K127">
        <v>0.172</v>
      </c>
      <c r="L127">
        <v>7506</v>
      </c>
      <c r="N127" t="s">
        <v>16393</v>
      </c>
      <c r="O127" s="4">
        <v>30165</v>
      </c>
      <c r="P127" s="4">
        <v>0</v>
      </c>
      <c r="Q127" s="4">
        <v>30165</v>
      </c>
      <c r="R127" s="4">
        <v>90495</v>
      </c>
      <c r="S127" t="s">
        <v>16522</v>
      </c>
      <c r="T127" s="6">
        <v>45665</v>
      </c>
      <c r="U127" s="4">
        <v>920000</v>
      </c>
      <c r="V127" t="s">
        <v>23739</v>
      </c>
      <c r="W127" t="s">
        <v>16522</v>
      </c>
      <c r="X127" t="s">
        <v>3</v>
      </c>
      <c r="AA127" s="5" t="str">
        <f>HYPERLINK("https://www.zillow.com/homes/130-S-ADDISON-ST-BENSENVILLE-IL-60106_rb/","check listing")</f>
        <v>check listing</v>
      </c>
      <c r="AB127" s="5" t="str">
        <f>HYPERLINK("https://propertylookup.dupagecounty.gov/Datalets/Datalet.aspx?UseSearch=no&amp;mode=sales&amp;pin=0314413017","sales record")</f>
        <v>sales record</v>
      </c>
      <c r="AC127" t="s">
        <v>27872</v>
      </c>
      <c r="AD127">
        <v>41.955726</v>
      </c>
      <c r="AE127">
        <v>-87.94311399999999</v>
      </c>
      <c r="AF127" s="5" t="str">
        <f>HYPERLINK("https://www.google.com/maps/search/?api=1&amp;query=41.955726,-87.943114","map")</f>
        <v>map</v>
      </c>
    </row>
    <row r="128" spans="1:32">
      <c r="A128" t="s">
        <v>178</v>
      </c>
      <c r="B128" t="s">
        <v>7771</v>
      </c>
      <c r="C128" t="s">
        <v>15106</v>
      </c>
      <c r="D128" t="s">
        <v>16195</v>
      </c>
      <c r="E128" t="s">
        <v>16217</v>
      </c>
      <c r="F128" t="s">
        <v>16222</v>
      </c>
      <c r="G128" t="s">
        <v>16229</v>
      </c>
      <c r="H128" t="s">
        <v>16229</v>
      </c>
      <c r="I128" t="s">
        <v>16309</v>
      </c>
      <c r="J128" t="s">
        <v>16385</v>
      </c>
      <c r="K128">
        <v>0.172</v>
      </c>
      <c r="L128">
        <v>7477</v>
      </c>
      <c r="M128">
        <v>1226</v>
      </c>
      <c r="N128" t="s">
        <v>16394</v>
      </c>
      <c r="O128" s="4">
        <v>29613</v>
      </c>
      <c r="P128" s="4">
        <v>0</v>
      </c>
      <c r="Q128" s="4">
        <v>29613</v>
      </c>
      <c r="R128" s="4">
        <v>88839</v>
      </c>
      <c r="S128" t="s">
        <v>16523</v>
      </c>
      <c r="T128" s="6">
        <v>37043</v>
      </c>
      <c r="U128" s="4">
        <v>600000</v>
      </c>
      <c r="V128" t="s">
        <v>23740</v>
      </c>
      <c r="W128" t="s">
        <v>23804</v>
      </c>
      <c r="X128" t="s">
        <v>3</v>
      </c>
      <c r="AA128" s="5" t="str">
        <f>HYPERLINK("https://www.zillow.com/homes/154-S-YORK-RD-BENSENVILLE-IL-60106_rb/","check listing")</f>
        <v>check listing</v>
      </c>
      <c r="AB128" s="5" t="str">
        <f>HYPERLINK("https://propertylookup.dupagecounty.gov/Datalets/Datalet.aspx?UseSearch=no&amp;mode=sales&amp;pin=0314415016","sales record")</f>
        <v>sales record</v>
      </c>
      <c r="AC128" t="s">
        <v>27871</v>
      </c>
      <c r="AD128">
        <v>41.954983</v>
      </c>
      <c r="AE128">
        <v>-87.940153</v>
      </c>
      <c r="AF128" s="5" t="str">
        <f>HYPERLINK("https://www.google.com/maps/search/?api=1&amp;query=41.954983,-87.940153","map")</f>
        <v>map</v>
      </c>
    </row>
    <row r="129" spans="1:32">
      <c r="A129" t="s">
        <v>179</v>
      </c>
      <c r="B129" t="s">
        <v>7772</v>
      </c>
      <c r="C129" t="s">
        <v>15106</v>
      </c>
      <c r="D129" t="s">
        <v>16195</v>
      </c>
      <c r="E129" t="s">
        <v>16217</v>
      </c>
      <c r="F129" t="s">
        <v>16222</v>
      </c>
      <c r="G129" t="s">
        <v>16229</v>
      </c>
      <c r="H129" t="s">
        <v>16229</v>
      </c>
      <c r="I129" t="s">
        <v>16309</v>
      </c>
      <c r="J129" t="s">
        <v>16385</v>
      </c>
      <c r="K129">
        <v>0.147</v>
      </c>
      <c r="L129">
        <v>6397</v>
      </c>
      <c r="M129">
        <v>1319</v>
      </c>
      <c r="N129" t="s">
        <v>16393</v>
      </c>
      <c r="O129" s="4">
        <v>5739</v>
      </c>
      <c r="P129" s="4">
        <v>0</v>
      </c>
      <c r="Q129" s="4">
        <v>5739</v>
      </c>
      <c r="R129" s="4">
        <v>17217</v>
      </c>
      <c r="S129" t="s">
        <v>16524</v>
      </c>
      <c r="T129" s="6">
        <v>42309</v>
      </c>
      <c r="U129" s="4">
        <v>0</v>
      </c>
      <c r="V129" t="s">
        <v>23742</v>
      </c>
      <c r="W129" t="s">
        <v>23805</v>
      </c>
      <c r="X129" t="s">
        <v>3</v>
      </c>
      <c r="AA129" s="5" t="str">
        <f>HYPERLINK("https://www.zillow.com/homes/CENTER-ST-BENSENVILLE-IL-60106_rb/","check listing")</f>
        <v>check listing</v>
      </c>
      <c r="AB129" s="5" t="str">
        <f>HYPERLINK("https://propertylookup.dupagecounty.gov/Datalets/Datalet.aspx?UseSearch=no&amp;mode=sales&amp;pin=0314414032","sales record")</f>
        <v>sales record</v>
      </c>
      <c r="AC129" t="s">
        <v>11</v>
      </c>
      <c r="AD129">
        <v>41.955093</v>
      </c>
      <c r="AE129">
        <v>-87.941599</v>
      </c>
      <c r="AF129" s="5" t="str">
        <f>HYPERLINK("https://www.google.com/maps/search/?api=1&amp;query=41.955093,-87.941599","map")</f>
        <v>map</v>
      </c>
    </row>
    <row r="130" spans="1:32">
      <c r="A130" t="s">
        <v>180</v>
      </c>
      <c r="B130" t="s">
        <v>7773</v>
      </c>
      <c r="C130" t="s">
        <v>15106</v>
      </c>
      <c r="D130" t="s">
        <v>16195</v>
      </c>
      <c r="E130" t="s">
        <v>16217</v>
      </c>
      <c r="F130" t="s">
        <v>16222</v>
      </c>
      <c r="G130" t="s">
        <v>16228</v>
      </c>
      <c r="H130" t="s">
        <v>16228</v>
      </c>
      <c r="I130" t="s">
        <v>16308</v>
      </c>
      <c r="J130" t="s">
        <v>16385</v>
      </c>
      <c r="K130">
        <v>0.147</v>
      </c>
      <c r="L130">
        <v>6392</v>
      </c>
      <c r="M130">
        <v>2913</v>
      </c>
      <c r="N130" t="s">
        <v>16392</v>
      </c>
      <c r="O130" s="4">
        <v>67361</v>
      </c>
      <c r="P130" s="4">
        <v>0</v>
      </c>
      <c r="Q130" s="4">
        <v>67361</v>
      </c>
      <c r="R130" s="4">
        <v>202083</v>
      </c>
      <c r="S130" t="s">
        <v>16525</v>
      </c>
      <c r="T130" s="6">
        <v>33147</v>
      </c>
      <c r="U130" s="4">
        <v>128000</v>
      </c>
      <c r="X130" t="s">
        <v>3</v>
      </c>
      <c r="AA130" s="5" t="str">
        <f>HYPERLINK("https://www.zillow.com/homes/550-RT-83-BENSENVILLE-IL-60106_rb/","check listing")</f>
        <v>check listing</v>
      </c>
      <c r="AB130" s="5" t="str">
        <f>HYPERLINK("https://propertylookup.dupagecounty.gov/Datalets/Datalet.aspx?UseSearch=no&amp;mode=sales&amp;pin=0310421005","sales record")</f>
        <v>sales record</v>
      </c>
      <c r="AC130" t="s">
        <v>27871</v>
      </c>
      <c r="AD130">
        <v>41.971491</v>
      </c>
      <c r="AE130">
        <v>-87.960238</v>
      </c>
      <c r="AF130" s="5" t="str">
        <f>HYPERLINK("https://www.google.com/maps/search/?api=1&amp;query=41.971491,-87.960238","map")</f>
        <v>map</v>
      </c>
    </row>
    <row r="131" spans="1:32">
      <c r="A131" t="s">
        <v>181</v>
      </c>
      <c r="B131" t="s">
        <v>7774</v>
      </c>
      <c r="C131" t="s">
        <v>15106</v>
      </c>
      <c r="D131" t="s">
        <v>16195</v>
      </c>
      <c r="E131" t="s">
        <v>16217</v>
      </c>
      <c r="F131" t="s">
        <v>16222</v>
      </c>
      <c r="G131" t="s">
        <v>16228</v>
      </c>
      <c r="H131" t="s">
        <v>16228</v>
      </c>
      <c r="I131" t="s">
        <v>16308</v>
      </c>
      <c r="J131" t="s">
        <v>16385</v>
      </c>
      <c r="K131">
        <v>0.144</v>
      </c>
      <c r="L131">
        <v>6293</v>
      </c>
      <c r="N131" t="s">
        <v>16392</v>
      </c>
      <c r="O131" s="4">
        <v>38862</v>
      </c>
      <c r="P131" s="4">
        <v>0</v>
      </c>
      <c r="Q131" s="4">
        <v>38862</v>
      </c>
      <c r="R131" s="4">
        <v>116586</v>
      </c>
      <c r="S131" t="s">
        <v>16526</v>
      </c>
      <c r="T131" s="6">
        <v>43525</v>
      </c>
      <c r="U131" s="4">
        <v>360000</v>
      </c>
      <c r="V131" t="s">
        <v>23739</v>
      </c>
      <c r="W131" t="s">
        <v>23806</v>
      </c>
      <c r="X131" t="s">
        <v>3</v>
      </c>
      <c r="AA131" s="5" t="str">
        <f>HYPERLINK("https://www.zillow.com/homes/1214-W-IRVING-PARK-RD-BENSENVILLE-IL-60106_rb/","check listing")</f>
        <v>check listing</v>
      </c>
      <c r="AB131" s="5" t="str">
        <f>HYPERLINK("https://propertylookup.dupagecounty.gov/Datalets/Datalet.aspx?UseSearch=no&amp;mode=sales&amp;pin=0315232004","sales record")</f>
        <v>sales record</v>
      </c>
      <c r="AC131" t="s">
        <v>3</v>
      </c>
      <c r="AD131">
        <v>41.960547</v>
      </c>
      <c r="AE131">
        <v>-87.960399</v>
      </c>
      <c r="AF131" s="5" t="str">
        <f>HYPERLINK("https://www.google.com/maps/search/?api=1&amp;query=41.960547,-87.960399","map")</f>
        <v>map</v>
      </c>
    </row>
    <row r="132" spans="1:32">
      <c r="A132" t="s">
        <v>182</v>
      </c>
      <c r="B132" t="s">
        <v>7775</v>
      </c>
      <c r="C132" t="s">
        <v>15106</v>
      </c>
      <c r="D132" t="s">
        <v>16195</v>
      </c>
      <c r="E132" t="s">
        <v>16217</v>
      </c>
      <c r="F132" t="s">
        <v>16222</v>
      </c>
      <c r="G132" t="s">
        <v>16228</v>
      </c>
      <c r="H132" t="s">
        <v>16228</v>
      </c>
      <c r="I132" t="s">
        <v>16308</v>
      </c>
      <c r="J132" t="s">
        <v>16385</v>
      </c>
      <c r="K132">
        <v>0.133</v>
      </c>
      <c r="L132">
        <v>5810</v>
      </c>
      <c r="N132" t="s">
        <v>16392</v>
      </c>
      <c r="O132" s="4">
        <v>15975</v>
      </c>
      <c r="P132" s="4">
        <v>0</v>
      </c>
      <c r="Q132" s="4">
        <v>15975</v>
      </c>
      <c r="R132" s="4">
        <v>47925</v>
      </c>
      <c r="S132" t="s">
        <v>16507</v>
      </c>
      <c r="X132" t="s">
        <v>3</v>
      </c>
      <c r="AA132" s="5" t="str">
        <f>HYPERLINK("https://www.zillow.com/homes/1320-IRVING-PARK-ROAD-BENSENVILLE-IL-60106_rb/","check listing")</f>
        <v>check listing</v>
      </c>
      <c r="AB132" s="5" t="str">
        <f>HYPERLINK("https://propertylookup.dupagecounty.gov/Datalets/Datalet.aspx?UseSearch=no&amp;mode=sales&amp;pin=0315223022","sales record")</f>
        <v>sales record</v>
      </c>
      <c r="AC132" t="s">
        <v>3</v>
      </c>
      <c r="AD132">
        <v>41.960255</v>
      </c>
      <c r="AE132">
        <v>-87.962113</v>
      </c>
      <c r="AF132" s="5" t="str">
        <f>HYPERLINK("https://www.google.com/maps/search/?api=1&amp;query=41.960255,-87.962113","map")</f>
        <v>map</v>
      </c>
    </row>
    <row r="133" spans="1:32">
      <c r="A133" t="s">
        <v>183</v>
      </c>
      <c r="B133" t="s">
        <v>7776</v>
      </c>
      <c r="C133" t="s">
        <v>15106</v>
      </c>
      <c r="D133" t="s">
        <v>16195</v>
      </c>
      <c r="E133" t="s">
        <v>16217</v>
      </c>
      <c r="F133" t="s">
        <v>16222</v>
      </c>
      <c r="G133" t="s">
        <v>16228</v>
      </c>
      <c r="H133" t="s">
        <v>16228</v>
      </c>
      <c r="I133" t="s">
        <v>16308</v>
      </c>
      <c r="J133" t="s">
        <v>16385</v>
      </c>
      <c r="K133">
        <v>0.11</v>
      </c>
      <c r="L133">
        <v>4785</v>
      </c>
      <c r="N133" t="s">
        <v>16392</v>
      </c>
      <c r="O133" s="4">
        <v>29777</v>
      </c>
      <c r="P133" s="4">
        <v>0</v>
      </c>
      <c r="Q133" s="4">
        <v>29777</v>
      </c>
      <c r="R133" s="4">
        <v>89331</v>
      </c>
      <c r="S133" t="s">
        <v>16527</v>
      </c>
      <c r="T133" s="6">
        <v>31017</v>
      </c>
      <c r="U133" s="4">
        <v>215000</v>
      </c>
      <c r="X133" t="s">
        <v>3</v>
      </c>
      <c r="AA133" s="5" t="str">
        <f>HYPERLINK("https://www.zillow.com/homes/13105-W-GRAND-AVE-BENSENVILLE-IL-60106_rb/","check listing")</f>
        <v>check listing</v>
      </c>
      <c r="AB133" s="5" t="str">
        <f>HYPERLINK("https://propertylookup.dupagecounty.gov/Datalets/Datalet.aspx?UseSearch=no&amp;mode=sales&amp;pin=0326204008","sales record")</f>
        <v>sales record</v>
      </c>
      <c r="AC133" t="s">
        <v>27872</v>
      </c>
      <c r="AD133">
        <v>41.931634</v>
      </c>
      <c r="AE133">
        <v>-87.941413</v>
      </c>
      <c r="AF133" s="5" t="str">
        <f>HYPERLINK("https://www.google.com/maps/search/?api=1&amp;query=41.931634,-87.941413","map")</f>
        <v>map</v>
      </c>
    </row>
    <row r="134" spans="1:32">
      <c r="A134" t="s">
        <v>184</v>
      </c>
      <c r="B134" t="s">
        <v>7777</v>
      </c>
      <c r="C134" t="s">
        <v>15113</v>
      </c>
      <c r="D134" t="s">
        <v>16195</v>
      </c>
      <c r="E134" t="s">
        <v>16217</v>
      </c>
      <c r="F134" t="s">
        <v>16222</v>
      </c>
      <c r="G134" t="s">
        <v>16228</v>
      </c>
      <c r="H134" t="s">
        <v>16228</v>
      </c>
      <c r="I134" t="s">
        <v>16308</v>
      </c>
      <c r="J134" t="s">
        <v>16385</v>
      </c>
      <c r="K134">
        <v>0.096</v>
      </c>
      <c r="L134">
        <v>4192</v>
      </c>
      <c r="N134" t="s">
        <v>16392</v>
      </c>
      <c r="O134" s="4">
        <v>24751</v>
      </c>
      <c r="P134" s="4">
        <v>0</v>
      </c>
      <c r="Q134" s="4">
        <v>24751</v>
      </c>
      <c r="R134" s="4">
        <v>74253</v>
      </c>
      <c r="S134" t="s">
        <v>16519</v>
      </c>
      <c r="X134" t="s">
        <v>3</v>
      </c>
      <c r="AA134" s="5" t="str">
        <f>HYPERLINK("https://www.zillow.com/homes/437-S-YORK-RD-BENSENVILLE-IL-601062622_rb/","check listing")</f>
        <v>check listing</v>
      </c>
      <c r="AB134" s="5" t="str">
        <f>HYPERLINK("https://propertylookup.dupagecounty.gov/Datalets/Datalet.aspx?UseSearch=no&amp;mode=sales&amp;pin=0323213020","sales record")</f>
        <v>sales record</v>
      </c>
      <c r="AC134" t="s">
        <v>27872</v>
      </c>
      <c r="AD134">
        <v>41.946539</v>
      </c>
      <c r="AE134">
        <v>-87.940051</v>
      </c>
      <c r="AF134" s="5" t="str">
        <f>HYPERLINK("https://www.google.com/maps/search/?api=1&amp;query=41.946539,-87.940051","map")</f>
        <v>map</v>
      </c>
    </row>
    <row r="135" spans="1:32">
      <c r="A135" t="s">
        <v>185</v>
      </c>
      <c r="B135" t="s">
        <v>7778</v>
      </c>
      <c r="C135" t="s">
        <v>15106</v>
      </c>
      <c r="D135" t="s">
        <v>16195</v>
      </c>
      <c r="E135" t="s">
        <v>16217</v>
      </c>
      <c r="F135" t="s">
        <v>16222</v>
      </c>
      <c r="G135" t="s">
        <v>16228</v>
      </c>
      <c r="H135" t="s">
        <v>16228</v>
      </c>
      <c r="I135" t="s">
        <v>16308</v>
      </c>
      <c r="J135" t="s">
        <v>16385</v>
      </c>
      <c r="K135">
        <v>0.08799999999999999</v>
      </c>
      <c r="L135">
        <v>3851</v>
      </c>
      <c r="M135">
        <v>1539</v>
      </c>
      <c r="N135" t="s">
        <v>16392</v>
      </c>
      <c r="O135" s="4">
        <v>5939</v>
      </c>
      <c r="P135" s="4">
        <v>0</v>
      </c>
      <c r="Q135" s="4">
        <v>5939</v>
      </c>
      <c r="R135" s="4">
        <v>17817</v>
      </c>
      <c r="S135" t="s">
        <v>16528</v>
      </c>
      <c r="T135" s="6">
        <v>40057</v>
      </c>
      <c r="U135" s="4">
        <v>70000</v>
      </c>
      <c r="V135" t="s">
        <v>23740</v>
      </c>
      <c r="W135" t="s">
        <v>16528</v>
      </c>
      <c r="X135" t="s">
        <v>3</v>
      </c>
      <c r="AA135" s="5" t="str">
        <f>HYPERLINK("https://www.zillow.com/homes/13502-W-IRVING-PARK-RD-BENSENVILLE-IL-60106_rb/","check listing")</f>
        <v>check listing</v>
      </c>
      <c r="AB135" s="5" t="str">
        <f>HYPERLINK("https://propertylookup.dupagecounty.gov/Datalets/Datalet.aspx?UseSearch=no&amp;mode=sales&amp;pin=0315223028","sales record")</f>
        <v>sales record</v>
      </c>
      <c r="AC135" t="s">
        <v>11</v>
      </c>
      <c r="AD135">
        <v>41.960391</v>
      </c>
      <c r="AE135">
        <v>-87.96327700000001</v>
      </c>
      <c r="AF135" s="5" t="str">
        <f>HYPERLINK("https://www.google.com/maps/search/?api=1&amp;query=41.960391,-87.963277","map")</f>
        <v>map</v>
      </c>
    </row>
    <row r="136" spans="1:32">
      <c r="A136" t="s">
        <v>186</v>
      </c>
      <c r="B136" t="s">
        <v>7755</v>
      </c>
      <c r="C136" t="s">
        <v>15106</v>
      </c>
      <c r="D136" t="s">
        <v>16195</v>
      </c>
      <c r="E136" t="s">
        <v>16217</v>
      </c>
      <c r="F136" t="s">
        <v>16222</v>
      </c>
      <c r="G136" t="s">
        <v>16228</v>
      </c>
      <c r="H136" t="s">
        <v>16228</v>
      </c>
      <c r="I136" t="s">
        <v>16308</v>
      </c>
      <c r="J136" t="s">
        <v>16385</v>
      </c>
      <c r="K136">
        <v>0.08500000000000001</v>
      </c>
      <c r="L136">
        <v>3685</v>
      </c>
      <c r="N136" t="s">
        <v>16392</v>
      </c>
      <c r="O136" s="4">
        <v>9566</v>
      </c>
      <c r="P136" s="4">
        <v>0</v>
      </c>
      <c r="Q136" s="4">
        <v>9566</v>
      </c>
      <c r="R136" s="4">
        <v>28698</v>
      </c>
      <c r="S136" t="s">
        <v>16507</v>
      </c>
      <c r="X136" t="s">
        <v>3</v>
      </c>
      <c r="AA136" s="5" t="str">
        <f>HYPERLINK("https://www.zillow.com/homes/1320-W-IRVING-PARK-BENSENVILLE-IL-60106_rb/","check listing")</f>
        <v>check listing</v>
      </c>
      <c r="AB136" s="5" t="str">
        <f>HYPERLINK("https://propertylookup.dupagecounty.gov/Datalets/Datalet.aspx?UseSearch=no&amp;mode=sales&amp;pin=0315223023","sales record")</f>
        <v>sales record</v>
      </c>
      <c r="AC136" t="s">
        <v>3</v>
      </c>
      <c r="AD136">
        <v>41.960225</v>
      </c>
      <c r="AE136">
        <v>-87.961838</v>
      </c>
      <c r="AF136" s="5" t="str">
        <f>HYPERLINK("https://www.google.com/maps/search/?api=1&amp;query=41.960225,-87.961838","map")</f>
        <v>map</v>
      </c>
    </row>
    <row r="137" spans="1:32">
      <c r="A137" t="s">
        <v>187</v>
      </c>
      <c r="B137" t="s">
        <v>7779</v>
      </c>
      <c r="C137" t="s">
        <v>15106</v>
      </c>
      <c r="D137" t="s">
        <v>16195</v>
      </c>
      <c r="E137" t="s">
        <v>16217</v>
      </c>
      <c r="F137" t="s">
        <v>16222</v>
      </c>
      <c r="G137" t="s">
        <v>16228</v>
      </c>
      <c r="H137" t="s">
        <v>16228</v>
      </c>
      <c r="I137" t="s">
        <v>16308</v>
      </c>
      <c r="J137" t="s">
        <v>16385</v>
      </c>
      <c r="K137">
        <v>0.078</v>
      </c>
      <c r="L137">
        <v>3415</v>
      </c>
      <c r="N137" t="s">
        <v>16392</v>
      </c>
      <c r="O137" s="4">
        <v>20987</v>
      </c>
      <c r="P137" s="4">
        <v>0</v>
      </c>
      <c r="Q137" s="4">
        <v>20987</v>
      </c>
      <c r="R137" s="4">
        <v>62961</v>
      </c>
      <c r="S137" t="s">
        <v>16529</v>
      </c>
      <c r="T137" s="6">
        <v>44854</v>
      </c>
      <c r="U137" s="4">
        <v>865000</v>
      </c>
      <c r="V137" t="s">
        <v>23741</v>
      </c>
      <c r="W137" t="s">
        <v>16529</v>
      </c>
      <c r="X137" t="s">
        <v>3</v>
      </c>
      <c r="AA137" s="5" t="str">
        <f>HYPERLINK("https://www.zillow.com/homes/1301-W-IRVING-PARK-RD-BENSENVILLE-IL-60106_rb/","check listing")</f>
        <v>check listing</v>
      </c>
      <c r="AB137" s="5" t="str">
        <f>HYPERLINK("https://propertylookup.dupagecounty.gov/Datalets/Datalet.aspx?UseSearch=no&amp;mode=sales&amp;pin=0315222013","sales record")</f>
        <v>sales record</v>
      </c>
      <c r="AC137" t="s">
        <v>27872</v>
      </c>
      <c r="AD137">
        <v>41.96117</v>
      </c>
      <c r="AE137">
        <v>-87.961512</v>
      </c>
      <c r="AF137" s="5" t="str">
        <f>HYPERLINK("https://www.google.com/maps/search/?api=1&amp;query=41.96117,-87.961512","map")</f>
        <v>map</v>
      </c>
    </row>
    <row r="138" spans="1:32">
      <c r="A138" t="s">
        <v>188</v>
      </c>
      <c r="B138" t="s">
        <v>7780</v>
      </c>
      <c r="C138" t="s">
        <v>15106</v>
      </c>
      <c r="D138" t="s">
        <v>16195</v>
      </c>
      <c r="E138" t="s">
        <v>16217</v>
      </c>
      <c r="F138" t="s">
        <v>16222</v>
      </c>
      <c r="G138" t="s">
        <v>16228</v>
      </c>
      <c r="H138" t="s">
        <v>16228</v>
      </c>
      <c r="I138" t="s">
        <v>16308</v>
      </c>
      <c r="J138" t="s">
        <v>16385</v>
      </c>
      <c r="K138">
        <v>0.076</v>
      </c>
      <c r="L138">
        <v>3325</v>
      </c>
      <c r="N138" t="s">
        <v>16392</v>
      </c>
      <c r="O138" s="4">
        <v>10341</v>
      </c>
      <c r="P138" s="4">
        <v>0</v>
      </c>
      <c r="Q138" s="4">
        <v>10341</v>
      </c>
      <c r="R138" s="4">
        <v>31023</v>
      </c>
      <c r="S138" t="s">
        <v>16530</v>
      </c>
      <c r="X138" t="s">
        <v>3</v>
      </c>
      <c r="AA138" s="5" t="str">
        <f>HYPERLINK("https://www.zillow.com/homes/5-W-IRVING-PARK-RD-BENSENVILLE-IL-60106_rb/","check listing")</f>
        <v>check listing</v>
      </c>
      <c r="AB138" s="5" t="str">
        <f>HYPERLINK("https://propertylookup.dupagecounty.gov/Datalets/Datalet.aspx?UseSearch=no&amp;mode=sales&amp;pin=0314209032","sales record")</f>
        <v>sales record</v>
      </c>
      <c r="AC138" t="s">
        <v>3</v>
      </c>
      <c r="AD138">
        <v>41.961642</v>
      </c>
      <c r="AE138">
        <v>-87.940772</v>
      </c>
      <c r="AF138" s="5" t="str">
        <f>HYPERLINK("https://www.google.com/maps/search/?api=1&amp;query=41.961642,-87.940772","map")</f>
        <v>map</v>
      </c>
    </row>
    <row r="139" spans="1:32">
      <c r="A139" t="s">
        <v>189</v>
      </c>
      <c r="B139" t="s">
        <v>7778</v>
      </c>
      <c r="C139" t="s">
        <v>15106</v>
      </c>
      <c r="D139" t="s">
        <v>16195</v>
      </c>
      <c r="E139" t="s">
        <v>16217</v>
      </c>
      <c r="F139" t="s">
        <v>16222</v>
      </c>
      <c r="G139" t="s">
        <v>16228</v>
      </c>
      <c r="H139" t="s">
        <v>16228</v>
      </c>
      <c r="I139" t="s">
        <v>16308</v>
      </c>
      <c r="J139" t="s">
        <v>16385</v>
      </c>
      <c r="K139">
        <v>0.076</v>
      </c>
      <c r="L139">
        <v>3298</v>
      </c>
      <c r="N139" t="s">
        <v>16392</v>
      </c>
      <c r="O139" s="4">
        <v>17277</v>
      </c>
      <c r="P139" s="4">
        <v>0</v>
      </c>
      <c r="Q139" s="4">
        <v>17277</v>
      </c>
      <c r="R139" s="4">
        <v>51831</v>
      </c>
      <c r="S139" t="s">
        <v>16531</v>
      </c>
      <c r="T139" s="6">
        <v>37834</v>
      </c>
      <c r="U139" s="4">
        <v>90000</v>
      </c>
      <c r="V139" t="s">
        <v>23739</v>
      </c>
      <c r="W139" t="s">
        <v>23807</v>
      </c>
      <c r="X139" t="s">
        <v>3</v>
      </c>
      <c r="AA139" s="5" t="str">
        <f>HYPERLINK("https://www.zillow.com/homes/13502-W-IRVING-PARK-RD-BENSENVILLE-IL-60106_rb/","check listing")</f>
        <v>check listing</v>
      </c>
      <c r="AB139" s="5" t="str">
        <f>HYPERLINK("https://propertylookup.dupagecounty.gov/Datalets/Datalet.aspx?UseSearch=no&amp;mode=sales&amp;pin=0315223002","sales record")</f>
        <v>sales record</v>
      </c>
      <c r="AC139" t="s">
        <v>27872</v>
      </c>
      <c r="AD139">
        <v>41.960668</v>
      </c>
      <c r="AE139">
        <v>-87.963145</v>
      </c>
      <c r="AF139" s="5" t="str">
        <f>HYPERLINK("https://www.google.com/maps/search/?api=1&amp;query=41.960668,-87.963145","map")</f>
        <v>map</v>
      </c>
    </row>
    <row r="140" spans="1:32">
      <c r="A140" t="s">
        <v>190</v>
      </c>
      <c r="B140" t="s">
        <v>7781</v>
      </c>
      <c r="C140" t="s">
        <v>15106</v>
      </c>
      <c r="D140" t="s">
        <v>16195</v>
      </c>
      <c r="E140" t="s">
        <v>16217</v>
      </c>
      <c r="F140" t="s">
        <v>16222</v>
      </c>
      <c r="G140" t="s">
        <v>16228</v>
      </c>
      <c r="H140" t="s">
        <v>16228</v>
      </c>
      <c r="I140" t="s">
        <v>16308</v>
      </c>
      <c r="J140" t="s">
        <v>16385</v>
      </c>
      <c r="K140">
        <v>0.074</v>
      </c>
      <c r="L140">
        <v>3221</v>
      </c>
      <c r="N140" t="s">
        <v>16392</v>
      </c>
      <c r="O140" s="4">
        <v>26702</v>
      </c>
      <c r="P140" s="4">
        <v>0</v>
      </c>
      <c r="Q140" s="4">
        <v>26702</v>
      </c>
      <c r="R140" s="4">
        <v>80106</v>
      </c>
      <c r="S140" t="s">
        <v>16532</v>
      </c>
      <c r="T140" s="6">
        <v>42036</v>
      </c>
      <c r="U140" s="4">
        <v>170000</v>
      </c>
      <c r="V140" t="s">
        <v>23740</v>
      </c>
      <c r="W140" t="s">
        <v>23808</v>
      </c>
      <c r="X140" t="s">
        <v>3</v>
      </c>
      <c r="AA140" s="5" t="str">
        <f>HYPERLINK("https://www.zillow.com/homes/1300-W-IRVING-PARK-RD-BENSENVILLE-IL-60106_rb/","check listing")</f>
        <v>check listing</v>
      </c>
      <c r="AB140" s="5" t="str">
        <f>HYPERLINK("https://propertylookup.dupagecounty.gov/Datalets/Datalet.aspx?UseSearch=no&amp;mode=sales&amp;pin=0315223016","sales record")</f>
        <v>sales record</v>
      </c>
      <c r="AC140" t="s">
        <v>27872</v>
      </c>
      <c r="AD140">
        <v>41.960546</v>
      </c>
      <c r="AE140">
        <v>-87.961417</v>
      </c>
      <c r="AF140" s="5" t="str">
        <f>HYPERLINK("https://www.google.com/maps/search/?api=1&amp;query=41.960546,-87.961417","map")</f>
        <v>map</v>
      </c>
    </row>
    <row r="141" spans="1:32">
      <c r="A141" t="s">
        <v>191</v>
      </c>
      <c r="B141" t="s">
        <v>7781</v>
      </c>
      <c r="C141" t="s">
        <v>15106</v>
      </c>
      <c r="D141" t="s">
        <v>16195</v>
      </c>
      <c r="E141" t="s">
        <v>16217</v>
      </c>
      <c r="F141" t="s">
        <v>16222</v>
      </c>
      <c r="G141" t="s">
        <v>16228</v>
      </c>
      <c r="H141" t="s">
        <v>16228</v>
      </c>
      <c r="I141" t="s">
        <v>16308</v>
      </c>
      <c r="J141" t="s">
        <v>16385</v>
      </c>
      <c r="K141">
        <v>0.074</v>
      </c>
      <c r="L141">
        <v>3220</v>
      </c>
      <c r="M141">
        <v>690</v>
      </c>
      <c r="N141" t="s">
        <v>16392</v>
      </c>
      <c r="O141" s="4">
        <v>26702</v>
      </c>
      <c r="P141" s="4">
        <v>0</v>
      </c>
      <c r="Q141" s="4">
        <v>26702</v>
      </c>
      <c r="R141" s="4">
        <v>80106</v>
      </c>
      <c r="S141" t="s">
        <v>16532</v>
      </c>
      <c r="X141" t="s">
        <v>3</v>
      </c>
      <c r="AA141" s="5" t="str">
        <f>HYPERLINK("https://www.zillow.com/homes/1300-W-IRVING-PARK-RD-BENSENVILLE-IL-60106_rb/","check listing")</f>
        <v>check listing</v>
      </c>
      <c r="AB141" s="5" t="str">
        <f>HYPERLINK("https://propertylookup.dupagecounty.gov/Datalets/Datalet.aspx?UseSearch=no&amp;mode=sales&amp;pin=0315223018","sales record")</f>
        <v>sales record</v>
      </c>
      <c r="AC141" t="s">
        <v>27871</v>
      </c>
      <c r="AD141">
        <v>41.960546</v>
      </c>
      <c r="AE141">
        <v>-87.96123</v>
      </c>
      <c r="AF141" s="5" t="str">
        <f>HYPERLINK("https://www.google.com/maps/search/?api=1&amp;query=41.960546,-87.96123","map")</f>
        <v>map</v>
      </c>
    </row>
    <row r="142" spans="1:32">
      <c r="A142" t="s">
        <v>192</v>
      </c>
      <c r="B142" t="s">
        <v>7782</v>
      </c>
      <c r="C142" t="s">
        <v>15106</v>
      </c>
      <c r="D142" t="s">
        <v>16195</v>
      </c>
      <c r="E142" t="s">
        <v>16217</v>
      </c>
      <c r="F142" t="s">
        <v>16222</v>
      </c>
      <c r="G142" t="s">
        <v>16228</v>
      </c>
      <c r="H142" t="s">
        <v>16228</v>
      </c>
      <c r="I142" t="s">
        <v>16308</v>
      </c>
      <c r="J142" t="s">
        <v>16385</v>
      </c>
      <c r="K142">
        <v>0.074</v>
      </c>
      <c r="L142">
        <v>3212</v>
      </c>
      <c r="N142" t="s">
        <v>16392</v>
      </c>
      <c r="O142" s="4">
        <v>5739</v>
      </c>
      <c r="P142" s="4">
        <v>0</v>
      </c>
      <c r="Q142" s="4">
        <v>5739</v>
      </c>
      <c r="R142" s="4">
        <v>17217</v>
      </c>
      <c r="S142" t="s">
        <v>16533</v>
      </c>
      <c r="T142" s="6">
        <v>46092</v>
      </c>
      <c r="U142" s="4">
        <v>675000</v>
      </c>
      <c r="V142" t="s">
        <v>23739</v>
      </c>
      <c r="W142" t="s">
        <v>23809</v>
      </c>
      <c r="X142" t="s">
        <v>3</v>
      </c>
      <c r="AA142" s="5" t="str">
        <f>HYPERLINK("https://www.zillow.com/homes/1346-W-IRVING-PARK-RD-BENSENVILLE-IL-60106_rb/","check listing")</f>
        <v>check listing</v>
      </c>
      <c r="AB142" s="5" t="str">
        <f>HYPERLINK("https://propertylookup.dupagecounty.gov/Datalets/Datalet.aspx?UseSearch=no&amp;mode=sales&amp;pin=0315223029","sales record")</f>
        <v>sales record</v>
      </c>
      <c r="AC142" t="s">
        <v>3</v>
      </c>
      <c r="AD142">
        <v>41.960327</v>
      </c>
      <c r="AE142">
        <v>-87.96292099999999</v>
      </c>
      <c r="AF142" s="5" t="str">
        <f>HYPERLINK("https://www.google.com/maps/search/?api=1&amp;query=41.960327,-87.962921","map")</f>
        <v>map</v>
      </c>
    </row>
    <row r="143" spans="1:32">
      <c r="A143" t="s">
        <v>193</v>
      </c>
      <c r="B143" t="s">
        <v>7783</v>
      </c>
      <c r="C143" t="s">
        <v>15106</v>
      </c>
      <c r="D143" t="s">
        <v>16195</v>
      </c>
      <c r="E143" t="s">
        <v>16217</v>
      </c>
      <c r="F143" t="s">
        <v>16222</v>
      </c>
      <c r="G143" t="s">
        <v>16228</v>
      </c>
      <c r="H143" t="s">
        <v>16228</v>
      </c>
      <c r="I143" t="s">
        <v>16308</v>
      </c>
      <c r="J143" t="s">
        <v>16385</v>
      </c>
      <c r="K143">
        <v>0.07199999999999999</v>
      </c>
      <c r="L143">
        <v>3152</v>
      </c>
      <c r="N143" t="s">
        <v>16392</v>
      </c>
      <c r="O143" s="4">
        <v>19613</v>
      </c>
      <c r="P143" s="4">
        <v>0</v>
      </c>
      <c r="Q143" s="4">
        <v>19613</v>
      </c>
      <c r="R143" s="4">
        <v>58839</v>
      </c>
      <c r="S143" t="s">
        <v>16534</v>
      </c>
      <c r="X143" t="s">
        <v>3</v>
      </c>
      <c r="AA143" s="5" t="str">
        <f>HYPERLINK("https://www.zillow.com/homes/1222-IRVING-PARK-RD-BENSENVILLE-IL-60106_rb/","check listing")</f>
        <v>check listing</v>
      </c>
      <c r="AB143" s="5" t="str">
        <f>HYPERLINK("https://propertylookup.dupagecounty.gov/Datalets/Datalet.aspx?UseSearch=no&amp;mode=sales&amp;pin=0315232002","sales record")</f>
        <v>sales record</v>
      </c>
      <c r="AC143" t="s">
        <v>27872</v>
      </c>
      <c r="AD143">
        <v>41.960546</v>
      </c>
      <c r="AE143">
        <v>-87.960629</v>
      </c>
      <c r="AF143" s="5" t="str">
        <f>HYPERLINK("https://www.google.com/maps/search/?api=1&amp;query=41.960546,-87.960629","map")</f>
        <v>map</v>
      </c>
    </row>
    <row r="144" spans="1:32">
      <c r="A144" t="s">
        <v>194</v>
      </c>
      <c r="B144" t="s">
        <v>7783</v>
      </c>
      <c r="C144" t="s">
        <v>15106</v>
      </c>
      <c r="D144" t="s">
        <v>16195</v>
      </c>
      <c r="E144" t="s">
        <v>16217</v>
      </c>
      <c r="F144" t="s">
        <v>16222</v>
      </c>
      <c r="G144" t="s">
        <v>16228</v>
      </c>
      <c r="H144" t="s">
        <v>16228</v>
      </c>
      <c r="I144" t="s">
        <v>16308</v>
      </c>
      <c r="J144" t="s">
        <v>16385</v>
      </c>
      <c r="K144">
        <v>0.07199999999999999</v>
      </c>
      <c r="L144">
        <v>3149</v>
      </c>
      <c r="N144" t="s">
        <v>16392</v>
      </c>
      <c r="O144" s="4">
        <v>19613</v>
      </c>
      <c r="P144" s="4">
        <v>0</v>
      </c>
      <c r="Q144" s="4">
        <v>19613</v>
      </c>
      <c r="R144" s="4">
        <v>58839</v>
      </c>
      <c r="S144" t="s">
        <v>16534</v>
      </c>
      <c r="X144" t="s">
        <v>3</v>
      </c>
      <c r="AA144" s="5" t="str">
        <f>HYPERLINK("https://www.zillow.com/homes/1222-IRVING-PARK-RD-BENSENVILLE-IL-60106_rb/","check listing")</f>
        <v>check listing</v>
      </c>
      <c r="AB144" s="5" t="str">
        <f>HYPERLINK("https://propertylookup.dupagecounty.gov/Datalets/Datalet.aspx?UseSearch=no&amp;mode=sales&amp;pin=0315232003","sales record")</f>
        <v>sales record</v>
      </c>
      <c r="AC144" t="s">
        <v>3</v>
      </c>
      <c r="AD144">
        <v>41.960547</v>
      </c>
      <c r="AE144">
        <v>-87.960537</v>
      </c>
      <c r="AF144" s="5" t="str">
        <f>HYPERLINK("https://www.google.com/maps/search/?api=1&amp;query=41.960547,-87.960537","map")</f>
        <v>map</v>
      </c>
    </row>
    <row r="145" spans="1:32">
      <c r="A145" t="s">
        <v>195</v>
      </c>
      <c r="B145" t="s">
        <v>7774</v>
      </c>
      <c r="C145" t="s">
        <v>15106</v>
      </c>
      <c r="D145" t="s">
        <v>16195</v>
      </c>
      <c r="E145" t="s">
        <v>16217</v>
      </c>
      <c r="F145" t="s">
        <v>16222</v>
      </c>
      <c r="G145" t="s">
        <v>16228</v>
      </c>
      <c r="H145" t="s">
        <v>16228</v>
      </c>
      <c r="I145" t="s">
        <v>16308</v>
      </c>
      <c r="J145" t="s">
        <v>16385</v>
      </c>
      <c r="K145">
        <v>0.07199999999999999</v>
      </c>
      <c r="L145">
        <v>3141</v>
      </c>
      <c r="N145" t="s">
        <v>16392</v>
      </c>
      <c r="O145" s="4">
        <v>19637</v>
      </c>
      <c r="P145" s="4">
        <v>0</v>
      </c>
      <c r="Q145" s="4">
        <v>19637</v>
      </c>
      <c r="R145" s="4">
        <v>58911</v>
      </c>
      <c r="S145" t="s">
        <v>16526</v>
      </c>
      <c r="X145" t="s">
        <v>3</v>
      </c>
      <c r="AA145" s="5" t="str">
        <f>HYPERLINK("https://www.zillow.com/homes/1214-W-IRVING-PARK-RD-BENSENVILLE-IL-60106_rb/","check listing")</f>
        <v>check listing</v>
      </c>
      <c r="AB145" s="5" t="str">
        <f>HYPERLINK("https://propertylookup.dupagecounty.gov/Datalets/Datalet.aspx?UseSearch=no&amp;mode=sales&amp;pin=0315232006","sales record")</f>
        <v>sales record</v>
      </c>
      <c r="AC145" t="s">
        <v>27872</v>
      </c>
      <c r="AD145">
        <v>41.960548</v>
      </c>
      <c r="AE145">
        <v>-87.96017000000001</v>
      </c>
      <c r="AF145" s="5" t="str">
        <f>HYPERLINK("https://www.google.com/maps/search/?api=1&amp;query=41.960548,-87.96017","map")</f>
        <v>map</v>
      </c>
    </row>
    <row r="146" spans="1:32">
      <c r="A146" t="s">
        <v>196</v>
      </c>
      <c r="B146" t="s">
        <v>7774</v>
      </c>
      <c r="C146" t="s">
        <v>15106</v>
      </c>
      <c r="D146" t="s">
        <v>16195</v>
      </c>
      <c r="E146" t="s">
        <v>16217</v>
      </c>
      <c r="F146" t="s">
        <v>16222</v>
      </c>
      <c r="G146" t="s">
        <v>16228</v>
      </c>
      <c r="H146" t="s">
        <v>16228</v>
      </c>
      <c r="I146" t="s">
        <v>16308</v>
      </c>
      <c r="J146" t="s">
        <v>16385</v>
      </c>
      <c r="K146">
        <v>0.07199999999999999</v>
      </c>
      <c r="L146">
        <v>3140</v>
      </c>
      <c r="N146" t="s">
        <v>16392</v>
      </c>
      <c r="O146" s="4">
        <v>19637</v>
      </c>
      <c r="P146" s="4">
        <v>0</v>
      </c>
      <c r="Q146" s="4">
        <v>19637</v>
      </c>
      <c r="R146" s="4">
        <v>58911</v>
      </c>
      <c r="S146" t="s">
        <v>16526</v>
      </c>
      <c r="T146" s="6">
        <v>41791</v>
      </c>
      <c r="U146" s="4">
        <v>137000</v>
      </c>
      <c r="V146" t="s">
        <v>16232</v>
      </c>
      <c r="W146" t="s">
        <v>23810</v>
      </c>
      <c r="X146" t="s">
        <v>3</v>
      </c>
      <c r="AA146" s="5" t="str">
        <f>HYPERLINK("https://www.zillow.com/homes/1214-W-IRVING-PARK-RD-BENSENVILLE-IL-60106_rb/","check listing")</f>
        <v>check listing</v>
      </c>
      <c r="AB146" s="5" t="str">
        <f>HYPERLINK("https://propertylookup.dupagecounty.gov/Datalets/Datalet.aspx?UseSearch=no&amp;mode=sales&amp;pin=0315232005","sales record")</f>
        <v>sales record</v>
      </c>
      <c r="AC146" t="s">
        <v>3</v>
      </c>
      <c r="AD146">
        <v>41.960547</v>
      </c>
      <c r="AE146">
        <v>-87.960262</v>
      </c>
      <c r="AF146" s="5" t="str">
        <f>HYPERLINK("https://www.google.com/maps/search/?api=1&amp;query=41.960547,-87.960262","map")</f>
        <v>map</v>
      </c>
    </row>
    <row r="147" spans="1:32">
      <c r="A147" t="s">
        <v>197</v>
      </c>
      <c r="B147" t="s">
        <v>7781</v>
      </c>
      <c r="C147" t="s">
        <v>15106</v>
      </c>
      <c r="D147" t="s">
        <v>16195</v>
      </c>
      <c r="E147" t="s">
        <v>16217</v>
      </c>
      <c r="F147" t="s">
        <v>16222</v>
      </c>
      <c r="G147" t="s">
        <v>16228</v>
      </c>
      <c r="H147" t="s">
        <v>16228</v>
      </c>
      <c r="I147" t="s">
        <v>16308</v>
      </c>
      <c r="J147" t="s">
        <v>16385</v>
      </c>
      <c r="K147">
        <v>0.065</v>
      </c>
      <c r="L147">
        <v>2835</v>
      </c>
      <c r="N147" t="s">
        <v>16392</v>
      </c>
      <c r="O147" s="4">
        <v>19484</v>
      </c>
      <c r="P147" s="4">
        <v>0</v>
      </c>
      <c r="Q147" s="4">
        <v>19484</v>
      </c>
      <c r="R147" s="4">
        <v>58452</v>
      </c>
      <c r="S147" t="s">
        <v>16532</v>
      </c>
      <c r="X147" t="s">
        <v>3</v>
      </c>
      <c r="AA147" s="5" t="str">
        <f>HYPERLINK("https://www.zillow.com/homes/1300-W-IRVING-PARK-RD-BENSENVILLE-IL-60106_rb/","check listing")</f>
        <v>check listing</v>
      </c>
      <c r="AB147" s="5" t="str">
        <f>HYPERLINK("https://propertylookup.dupagecounty.gov/Datalets/Datalet.aspx?UseSearch=no&amp;mode=sales&amp;pin=0315223019","sales record")</f>
        <v>sales record</v>
      </c>
      <c r="AC147" t="s">
        <v>3</v>
      </c>
      <c r="AD147">
        <v>41.960546</v>
      </c>
      <c r="AE147">
        <v>-87.961142</v>
      </c>
      <c r="AF147" s="5" t="str">
        <f>HYPERLINK("https://www.google.com/maps/search/?api=1&amp;query=41.960546,-87.961142","map")</f>
        <v>map</v>
      </c>
    </row>
    <row r="148" spans="1:32">
      <c r="A148" t="s">
        <v>198</v>
      </c>
      <c r="B148" t="s">
        <v>7784</v>
      </c>
      <c r="C148" t="s">
        <v>15114</v>
      </c>
      <c r="D148" t="s">
        <v>16195</v>
      </c>
      <c r="E148" t="s">
        <v>16217</v>
      </c>
      <c r="F148" t="s">
        <v>16222</v>
      </c>
      <c r="G148" t="s">
        <v>16229</v>
      </c>
      <c r="H148" t="s">
        <v>16229</v>
      </c>
      <c r="I148" t="s">
        <v>16309</v>
      </c>
      <c r="J148" t="s">
        <v>16385</v>
      </c>
      <c r="K148">
        <v>0.06</v>
      </c>
      <c r="L148">
        <v>2594</v>
      </c>
      <c r="N148" t="s">
        <v>16392</v>
      </c>
      <c r="O148" s="4">
        <v>8932</v>
      </c>
      <c r="P148" s="4">
        <v>0</v>
      </c>
      <c r="Q148" s="4">
        <v>8932</v>
      </c>
      <c r="R148" s="4">
        <v>26796</v>
      </c>
      <c r="S148" t="s">
        <v>16535</v>
      </c>
      <c r="T148" s="6">
        <v>44682</v>
      </c>
      <c r="U148" s="4">
        <v>200000</v>
      </c>
      <c r="V148" t="s">
        <v>23740</v>
      </c>
      <c r="W148" t="s">
        <v>23811</v>
      </c>
      <c r="X148" t="s">
        <v>3</v>
      </c>
      <c r="AA148" s="5" t="str">
        <f>HYPERLINK("https://www.zillow.com/homes/145-S-CENTER-ST-BENSENVILLE-IL-601062442_rb/","check listing")</f>
        <v>check listing</v>
      </c>
      <c r="AB148" s="5" t="str">
        <f>HYPERLINK("https://propertylookup.dupagecounty.gov/Datalets/Datalet.aspx?UseSearch=no&amp;mode=sales&amp;pin=0314415001","sales record")</f>
        <v>sales record</v>
      </c>
      <c r="AC148" t="s">
        <v>27872</v>
      </c>
      <c r="AD148">
        <v>41.955223</v>
      </c>
      <c r="AE148">
        <v>-87.940867</v>
      </c>
      <c r="AF148" s="5" t="str">
        <f>HYPERLINK("https://www.google.com/maps/search/?api=1&amp;query=41.955223,-87.940867","map")</f>
        <v>map</v>
      </c>
    </row>
    <row r="149" spans="1:32">
      <c r="A149" t="s">
        <v>199</v>
      </c>
      <c r="B149" t="s">
        <v>7785</v>
      </c>
      <c r="C149" t="s">
        <v>15106</v>
      </c>
      <c r="D149" t="s">
        <v>16195</v>
      </c>
      <c r="E149" t="s">
        <v>16218</v>
      </c>
      <c r="F149" t="s">
        <v>16220</v>
      </c>
      <c r="G149" t="s">
        <v>16230</v>
      </c>
      <c r="H149" t="s">
        <v>16230</v>
      </c>
      <c r="I149" t="s">
        <v>16310</v>
      </c>
      <c r="J149" t="s">
        <v>16385</v>
      </c>
      <c r="K149">
        <v>0.891</v>
      </c>
      <c r="L149">
        <v>38825</v>
      </c>
      <c r="M149">
        <v>3536</v>
      </c>
      <c r="N149" t="s">
        <v>16393</v>
      </c>
      <c r="O149" s="4">
        <v>74227</v>
      </c>
      <c r="P149" s="4">
        <v>63957</v>
      </c>
      <c r="Q149" s="4">
        <v>138184</v>
      </c>
      <c r="R149" s="4">
        <v>414552</v>
      </c>
      <c r="S149" t="s">
        <v>16536</v>
      </c>
      <c r="T149" s="6">
        <v>41609</v>
      </c>
      <c r="U149" s="4">
        <v>253000</v>
      </c>
      <c r="V149" t="s">
        <v>23739</v>
      </c>
      <c r="W149" t="s">
        <v>23812</v>
      </c>
      <c r="X149" t="s">
        <v>3</v>
      </c>
      <c r="AA149" s="5" t="str">
        <f>HYPERLINK("https://www.zillow.com/homes/216-N-WALNUT-ST-BENSENVILLE-IL-60106_rb/","check listing")</f>
        <v>check listing</v>
      </c>
      <c r="AB149" s="5" t="str">
        <f>HYPERLINK("https://propertylookup.dupagecounty.gov/Datalets/Datalet.aspx?UseSearch=no&amp;mode=sales&amp;pin=0314204025","sales record")</f>
        <v>sales record</v>
      </c>
      <c r="AC149" t="s">
        <v>3</v>
      </c>
      <c r="AD149">
        <v>41.962183</v>
      </c>
      <c r="AE149">
        <v>-87.946439</v>
      </c>
      <c r="AF149" s="5" t="str">
        <f>HYPERLINK("https://www.google.com/maps/search/?api=1&amp;query=41.962183,-87.946439","map")</f>
        <v>map</v>
      </c>
    </row>
    <row r="150" spans="1:32">
      <c r="A150" t="s">
        <v>200</v>
      </c>
      <c r="B150" t="s">
        <v>7786</v>
      </c>
      <c r="C150" t="s">
        <v>15106</v>
      </c>
      <c r="D150" t="s">
        <v>16195</v>
      </c>
      <c r="E150" t="s">
        <v>16218</v>
      </c>
      <c r="F150" t="s">
        <v>16220</v>
      </c>
      <c r="G150" t="s">
        <v>16230</v>
      </c>
      <c r="H150" t="s">
        <v>16230</v>
      </c>
      <c r="I150" t="s">
        <v>16310</v>
      </c>
      <c r="J150" t="s">
        <v>16385</v>
      </c>
      <c r="K150">
        <v>0.5</v>
      </c>
      <c r="L150">
        <v>21778</v>
      </c>
      <c r="M150">
        <v>1701</v>
      </c>
      <c r="N150" t="s">
        <v>16393</v>
      </c>
      <c r="O150" s="4">
        <v>38874</v>
      </c>
      <c r="P150" s="4">
        <v>35517</v>
      </c>
      <c r="Q150" s="4">
        <v>74391</v>
      </c>
      <c r="R150" s="4">
        <v>223173</v>
      </c>
      <c r="S150" t="s">
        <v>16537</v>
      </c>
      <c r="T150" s="6">
        <v>32417</v>
      </c>
      <c r="U150" s="4">
        <v>86000</v>
      </c>
      <c r="X150" t="s">
        <v>3</v>
      </c>
      <c r="AA150" s="5" t="str">
        <f>HYPERLINK("https://www.zillow.com/homes/231-N-WALNUT-ST-BENSENVILLE-IL-60106_rb/","check listing")</f>
        <v>check listing</v>
      </c>
      <c r="AB150" s="5" t="str">
        <f>HYPERLINK("https://propertylookup.dupagecounty.gov/Datalets/Datalet.aspx?UseSearch=no&amp;mode=sales&amp;pin=0314205005","sales record")</f>
        <v>sales record</v>
      </c>
      <c r="AC150" t="s">
        <v>3</v>
      </c>
      <c r="AD150">
        <v>41.963216</v>
      </c>
      <c r="AE150">
        <v>-87.94508500000001</v>
      </c>
      <c r="AF150" s="5" t="str">
        <f>HYPERLINK("https://www.google.com/maps/search/?api=1&amp;query=41.963216,-87.945085","map")</f>
        <v>map</v>
      </c>
    </row>
    <row r="151" spans="1:32">
      <c r="A151" t="s">
        <v>201</v>
      </c>
      <c r="B151" t="s">
        <v>7787</v>
      </c>
      <c r="C151" t="s">
        <v>15106</v>
      </c>
      <c r="D151" t="s">
        <v>16195</v>
      </c>
      <c r="E151" t="s">
        <v>16218</v>
      </c>
      <c r="F151" t="s">
        <v>16220</v>
      </c>
      <c r="G151" t="s">
        <v>16230</v>
      </c>
      <c r="H151" t="s">
        <v>16230</v>
      </c>
      <c r="I151" t="s">
        <v>16310</v>
      </c>
      <c r="J151" t="s">
        <v>16385</v>
      </c>
      <c r="K151">
        <v>0.464</v>
      </c>
      <c r="L151">
        <v>20219</v>
      </c>
      <c r="M151">
        <v>1001</v>
      </c>
      <c r="N151" t="s">
        <v>16393</v>
      </c>
      <c r="O151" s="4">
        <v>38874</v>
      </c>
      <c r="P151" s="4">
        <v>25517</v>
      </c>
      <c r="Q151" s="4">
        <v>64391</v>
      </c>
      <c r="R151" s="4">
        <v>193173</v>
      </c>
      <c r="S151" t="s">
        <v>16538</v>
      </c>
      <c r="T151" s="6">
        <v>33512</v>
      </c>
      <c r="U151" s="4">
        <v>86000</v>
      </c>
      <c r="X151" t="s">
        <v>3</v>
      </c>
      <c r="AA151" s="5" t="str">
        <f>HYPERLINK("https://www.zillow.com/homes/225-N-WALNUT-ST-BENSENVILLE-IL-60106_rb/","check listing")</f>
        <v>check listing</v>
      </c>
      <c r="AB151" s="5" t="str">
        <f>HYPERLINK("https://propertylookup.dupagecounty.gov/Datalets/Datalet.aspx?UseSearch=no&amp;mode=sales&amp;pin=0314205007","sales record")</f>
        <v>sales record</v>
      </c>
      <c r="AC151" t="s">
        <v>3</v>
      </c>
      <c r="AD151">
        <v>41.962853</v>
      </c>
      <c r="AE151">
        <v>-87.94508500000001</v>
      </c>
      <c r="AF151" s="5" t="str">
        <f>HYPERLINK("https://www.google.com/maps/search/?api=1&amp;query=41.962853,-87.945085","map")</f>
        <v>map</v>
      </c>
    </row>
    <row r="152" spans="1:32">
      <c r="A152" t="s">
        <v>202</v>
      </c>
      <c r="B152" t="s">
        <v>7788</v>
      </c>
      <c r="C152" t="s">
        <v>15115</v>
      </c>
      <c r="D152" t="s">
        <v>16195</v>
      </c>
      <c r="E152" t="s">
        <v>16218</v>
      </c>
      <c r="F152" t="s">
        <v>16220</v>
      </c>
      <c r="G152" t="s">
        <v>16230</v>
      </c>
      <c r="H152" t="s">
        <v>16230</v>
      </c>
      <c r="I152" t="s">
        <v>16310</v>
      </c>
      <c r="J152" t="s">
        <v>16385</v>
      </c>
      <c r="K152">
        <v>0.429</v>
      </c>
      <c r="L152">
        <v>18675</v>
      </c>
      <c r="M152">
        <v>1442</v>
      </c>
      <c r="N152" t="s">
        <v>16393</v>
      </c>
      <c r="O152" s="4">
        <v>38874</v>
      </c>
      <c r="P152" s="4">
        <v>46856</v>
      </c>
      <c r="Q152" s="4">
        <v>85730</v>
      </c>
      <c r="R152" s="4">
        <v>257190</v>
      </c>
      <c r="S152" t="s">
        <v>16539</v>
      </c>
      <c r="T152" s="6">
        <v>44440</v>
      </c>
      <c r="U152" s="4">
        <v>268000</v>
      </c>
      <c r="V152" t="s">
        <v>23739</v>
      </c>
      <c r="W152" t="s">
        <v>16539</v>
      </c>
      <c r="X152" t="s">
        <v>3</v>
      </c>
      <c r="AA152" s="5" t="str">
        <f>HYPERLINK("https://www.zillow.com/homes/235-N-WALNUT-ST-BENSENVILLE-IL-601061929_rb/","check listing")</f>
        <v>check listing</v>
      </c>
      <c r="AB152" s="5" t="str">
        <f>HYPERLINK("https://propertylookup.dupagecounty.gov/Datalets/Datalet.aspx?UseSearch=no&amp;mode=sales&amp;pin=0314205004","sales record")</f>
        <v>sales record</v>
      </c>
      <c r="AC152" t="s">
        <v>3</v>
      </c>
      <c r="AD152">
        <v>41.963374</v>
      </c>
      <c r="AE152">
        <v>-87.94508500000001</v>
      </c>
      <c r="AF152" s="5" t="str">
        <f>HYPERLINK("https://www.google.com/maps/search/?api=1&amp;query=41.963374,-87.945085","map")</f>
        <v>map</v>
      </c>
    </row>
    <row r="153" spans="1:32">
      <c r="A153" t="s">
        <v>203</v>
      </c>
      <c r="B153" t="s">
        <v>7789</v>
      </c>
      <c r="C153" t="s">
        <v>15106</v>
      </c>
      <c r="D153" t="s">
        <v>16195</v>
      </c>
      <c r="E153" t="s">
        <v>16218</v>
      </c>
      <c r="F153" t="s">
        <v>16220</v>
      </c>
      <c r="G153" t="s">
        <v>16231</v>
      </c>
      <c r="H153" t="s">
        <v>16231</v>
      </c>
      <c r="I153" t="s">
        <v>16310</v>
      </c>
      <c r="J153" t="s">
        <v>16385</v>
      </c>
      <c r="K153">
        <v>0.379</v>
      </c>
      <c r="L153">
        <v>16519</v>
      </c>
      <c r="M153">
        <v>2232</v>
      </c>
      <c r="N153" t="s">
        <v>16393</v>
      </c>
      <c r="O153" s="4">
        <v>77830</v>
      </c>
      <c r="P153" s="4">
        <v>116728</v>
      </c>
      <c r="Q153" s="4">
        <v>194558</v>
      </c>
      <c r="R153" s="4">
        <v>583674</v>
      </c>
      <c r="S153" t="s">
        <v>16540</v>
      </c>
      <c r="T153" s="6">
        <v>32264</v>
      </c>
      <c r="U153" s="4">
        <v>251000</v>
      </c>
      <c r="X153" t="s">
        <v>3</v>
      </c>
      <c r="AA153" s="5" t="str">
        <f>HYPERLINK("https://www.zillow.com/homes/1110-S-JUDSON-BENSENVILLE-IL-60106_rb/","check listing")</f>
        <v>check listing</v>
      </c>
      <c r="AB153" s="5" t="str">
        <f>HYPERLINK("https://propertylookup.dupagecounty.gov/Datalets/Datalet.aspx?UseSearch=no&amp;mode=sales&amp;pin=0326102017","sales record")</f>
        <v>sales record</v>
      </c>
      <c r="AC153" t="s">
        <v>3</v>
      </c>
      <c r="AD153">
        <v>41.932433</v>
      </c>
      <c r="AE153">
        <v>-87.95016099999999</v>
      </c>
      <c r="AF153" s="5" t="str">
        <f>HYPERLINK("https://www.google.com/maps/search/?api=1&amp;query=41.932433,-87.950161","map")</f>
        <v>map</v>
      </c>
    </row>
    <row r="154" spans="1:32">
      <c r="A154" t="s">
        <v>204</v>
      </c>
      <c r="B154" t="s">
        <v>7790</v>
      </c>
      <c r="C154" t="s">
        <v>15106</v>
      </c>
      <c r="D154" t="s">
        <v>16195</v>
      </c>
      <c r="E154" t="s">
        <v>16218</v>
      </c>
      <c r="F154" t="s">
        <v>16220</v>
      </c>
      <c r="G154" t="s">
        <v>16230</v>
      </c>
      <c r="H154" t="s">
        <v>16230</v>
      </c>
      <c r="I154" t="s">
        <v>16310</v>
      </c>
      <c r="J154" t="s">
        <v>16385</v>
      </c>
      <c r="K154">
        <v>0.343</v>
      </c>
      <c r="L154">
        <v>14932</v>
      </c>
      <c r="M154">
        <v>936</v>
      </c>
      <c r="N154" t="s">
        <v>16393</v>
      </c>
      <c r="O154" s="4">
        <v>40318</v>
      </c>
      <c r="P154" s="4">
        <v>47008</v>
      </c>
      <c r="Q154" s="4">
        <v>87326</v>
      </c>
      <c r="R154" s="4">
        <v>261978</v>
      </c>
      <c r="S154" t="s">
        <v>16541</v>
      </c>
      <c r="T154" s="6">
        <v>40238</v>
      </c>
      <c r="U154" s="4">
        <v>82000</v>
      </c>
      <c r="V154" t="s">
        <v>16232</v>
      </c>
      <c r="W154" t="s">
        <v>16541</v>
      </c>
      <c r="X154" t="s">
        <v>3</v>
      </c>
      <c r="AA154" s="5" t="str">
        <f>HYPERLINK("https://www.zillow.com/homes/421-PARK-ST-BENSENVILLE-IL-60106_rb/","check listing")</f>
        <v>check listing</v>
      </c>
      <c r="AB154" s="5" t="str">
        <f>HYPERLINK("https://propertylookup.dupagecounty.gov/Datalets/Datalet.aspx?UseSearch=no&amp;mode=sales&amp;pin=0324110065","sales record")</f>
        <v>sales record</v>
      </c>
      <c r="AC154" t="s">
        <v>3</v>
      </c>
      <c r="AD154">
        <v>41.947337</v>
      </c>
      <c r="AE154">
        <v>-87.93092799999999</v>
      </c>
      <c r="AF154" s="5" t="str">
        <f>HYPERLINK("https://www.google.com/maps/search/?api=1&amp;query=41.947337,-87.930928","map")</f>
        <v>map</v>
      </c>
    </row>
    <row r="155" spans="1:32">
      <c r="A155" t="s">
        <v>205</v>
      </c>
      <c r="B155" t="s">
        <v>7791</v>
      </c>
      <c r="C155" t="s">
        <v>15106</v>
      </c>
      <c r="D155" t="s">
        <v>16195</v>
      </c>
      <c r="E155" t="s">
        <v>16218</v>
      </c>
      <c r="F155" t="s">
        <v>16220</v>
      </c>
      <c r="G155" t="s">
        <v>16230</v>
      </c>
      <c r="H155" t="s">
        <v>16230</v>
      </c>
      <c r="I155" t="s">
        <v>16310</v>
      </c>
      <c r="J155" t="s">
        <v>16385</v>
      </c>
      <c r="K155">
        <v>0.289</v>
      </c>
      <c r="L155">
        <v>12573</v>
      </c>
      <c r="M155">
        <v>1259</v>
      </c>
      <c r="N155" t="s">
        <v>16393</v>
      </c>
      <c r="O155" s="4">
        <v>44168</v>
      </c>
      <c r="P155" s="4">
        <v>37760</v>
      </c>
      <c r="Q155" s="4">
        <v>81928</v>
      </c>
      <c r="R155" s="4">
        <v>245784</v>
      </c>
      <c r="S155" t="s">
        <v>16542</v>
      </c>
      <c r="T155" s="6">
        <v>34029</v>
      </c>
      <c r="U155" s="4">
        <v>46668</v>
      </c>
      <c r="X155" t="s">
        <v>3</v>
      </c>
      <c r="AA155" s="5" t="str">
        <f>HYPERLINK("https://www.zillow.com/homes/420-S-YORK-RD-BENSENVILLE-IL-60106_rb/","check listing")</f>
        <v>check listing</v>
      </c>
      <c r="AB155" s="5" t="str">
        <f>HYPERLINK("https://propertylookup.dupagecounty.gov/Datalets/Datalet.aspx?UseSearch=no&amp;mode=sales&amp;pin=0323213016","sales record")</f>
        <v>sales record</v>
      </c>
      <c r="AC155" t="s">
        <v>3</v>
      </c>
      <c r="AD155">
        <v>41.947282</v>
      </c>
      <c r="AE155">
        <v>-87.94004700000001</v>
      </c>
      <c r="AF155" s="5" t="str">
        <f>HYPERLINK("https://www.google.com/maps/search/?api=1&amp;query=41.947282,-87.940047","map")</f>
        <v>map</v>
      </c>
    </row>
    <row r="156" spans="1:32">
      <c r="A156" t="s">
        <v>206</v>
      </c>
      <c r="B156" t="s">
        <v>7792</v>
      </c>
      <c r="C156" t="s">
        <v>15106</v>
      </c>
      <c r="D156" t="s">
        <v>16195</v>
      </c>
      <c r="E156" t="s">
        <v>16218</v>
      </c>
      <c r="F156" t="s">
        <v>16220</v>
      </c>
      <c r="G156" t="s">
        <v>16231</v>
      </c>
      <c r="H156" t="s">
        <v>16231</v>
      </c>
      <c r="I156" t="s">
        <v>16310</v>
      </c>
      <c r="J156" t="s">
        <v>16385</v>
      </c>
      <c r="K156">
        <v>0.263</v>
      </c>
      <c r="L156">
        <v>11472</v>
      </c>
      <c r="M156">
        <v>2691</v>
      </c>
      <c r="N156" t="s">
        <v>16393</v>
      </c>
      <c r="O156" s="4">
        <v>39931</v>
      </c>
      <c r="P156" s="4">
        <v>94169</v>
      </c>
      <c r="Q156" s="4">
        <v>134100</v>
      </c>
      <c r="R156" s="4">
        <v>402300</v>
      </c>
      <c r="S156" t="s">
        <v>16543</v>
      </c>
      <c r="T156" s="6">
        <v>39965</v>
      </c>
      <c r="U156" s="4">
        <v>185000</v>
      </c>
      <c r="V156" t="s">
        <v>16232</v>
      </c>
      <c r="W156" t="s">
        <v>23813</v>
      </c>
      <c r="X156" t="s">
        <v>3</v>
      </c>
      <c r="AA156" s="5" t="str">
        <f>HYPERLINK("https://www.zillow.com/homes/224-E-GEORGE-ST-BENSENVILLE-IL-60106_rb/","check listing")</f>
        <v>check listing</v>
      </c>
      <c r="AB156" s="5" t="str">
        <f>HYPERLINK("https://propertylookup.dupagecounty.gov/Datalets/Datalet.aspx?UseSearch=no&amp;mode=sales&amp;pin=0324300047","sales record")</f>
        <v>sales record</v>
      </c>
      <c r="AC156" t="s">
        <v>3</v>
      </c>
      <c r="AD156">
        <v>41.941648</v>
      </c>
      <c r="AE156">
        <v>-87.933437</v>
      </c>
      <c r="AF156" s="5" t="str">
        <f>HYPERLINK("https://www.google.com/maps/search/?api=1&amp;query=41.941648,-87.933437","map")</f>
        <v>map</v>
      </c>
    </row>
    <row r="157" spans="1:32">
      <c r="A157" t="s">
        <v>207</v>
      </c>
      <c r="B157" t="s">
        <v>7793</v>
      </c>
      <c r="C157" t="s">
        <v>15106</v>
      </c>
      <c r="D157" t="s">
        <v>16195</v>
      </c>
      <c r="E157" t="s">
        <v>16218</v>
      </c>
      <c r="F157" t="s">
        <v>16220</v>
      </c>
      <c r="G157" t="s">
        <v>16230</v>
      </c>
      <c r="H157" t="s">
        <v>16230</v>
      </c>
      <c r="I157" t="s">
        <v>16310</v>
      </c>
      <c r="J157" t="s">
        <v>16385</v>
      </c>
      <c r="K157">
        <v>0.206</v>
      </c>
      <c r="L157">
        <v>8991</v>
      </c>
      <c r="M157">
        <v>1755</v>
      </c>
      <c r="N157" t="s">
        <v>16393</v>
      </c>
      <c r="O157" s="4">
        <v>38393</v>
      </c>
      <c r="P157" s="4">
        <v>100612</v>
      </c>
      <c r="Q157" s="4">
        <v>139005</v>
      </c>
      <c r="R157" s="4">
        <v>417015</v>
      </c>
      <c r="S157" t="s">
        <v>16544</v>
      </c>
      <c r="T157" s="6">
        <v>30713</v>
      </c>
      <c r="U157" s="4">
        <v>60000</v>
      </c>
      <c r="X157" t="s">
        <v>3</v>
      </c>
      <c r="AA157" s="5" t="str">
        <f>HYPERLINK("https://www.zillow.com/homes/177-S-YORK-RD-BENSENVILLE-IL-60106_rb/","check listing")</f>
        <v>check listing</v>
      </c>
      <c r="AB157" s="5" t="str">
        <f>HYPERLINK("https://propertylookup.dupagecounty.gov/Datalets/Datalet.aspx?UseSearch=no&amp;mode=sales&amp;pin=0313314004","sales record")</f>
        <v>sales record</v>
      </c>
      <c r="AC157" t="s">
        <v>3</v>
      </c>
      <c r="AD157">
        <v>41.954025</v>
      </c>
      <c r="AE157">
        <v>-87.939207</v>
      </c>
      <c r="AF157" s="5" t="str">
        <f>HYPERLINK("https://www.google.com/maps/search/?api=1&amp;query=41.954025,-87.939207","map")</f>
        <v>map</v>
      </c>
    </row>
    <row r="158" spans="1:32">
      <c r="A158" t="s">
        <v>208</v>
      </c>
      <c r="B158" t="s">
        <v>7794</v>
      </c>
      <c r="C158" t="s">
        <v>15106</v>
      </c>
      <c r="D158" t="s">
        <v>16195</v>
      </c>
      <c r="E158" t="s">
        <v>16218</v>
      </c>
      <c r="F158" t="s">
        <v>16220</v>
      </c>
      <c r="G158" t="s">
        <v>16230</v>
      </c>
      <c r="H158" t="s">
        <v>16230</v>
      </c>
      <c r="I158" t="s">
        <v>16310</v>
      </c>
      <c r="J158" t="s">
        <v>16385</v>
      </c>
      <c r="K158">
        <v>0.178</v>
      </c>
      <c r="L158">
        <v>7750</v>
      </c>
      <c r="M158">
        <v>1178</v>
      </c>
      <c r="N158" t="s">
        <v>16393</v>
      </c>
      <c r="O158" s="4">
        <v>37935</v>
      </c>
      <c r="P158" s="4">
        <v>77385</v>
      </c>
      <c r="Q158" s="4">
        <v>115320</v>
      </c>
      <c r="R158" s="4">
        <v>345960</v>
      </c>
      <c r="S158" t="s">
        <v>16545</v>
      </c>
      <c r="T158" s="6">
        <v>41122</v>
      </c>
      <c r="U158" s="4">
        <v>52500</v>
      </c>
      <c r="V158" t="s">
        <v>23740</v>
      </c>
      <c r="W158" t="s">
        <v>23814</v>
      </c>
      <c r="X158" t="s">
        <v>3</v>
      </c>
      <c r="AA158" s="5" t="str">
        <f>HYPERLINK("https://www.zillow.com/homes/507-S-YORK-RD-BENSENVILLE-IL-60106_rb/","check listing")</f>
        <v>check listing</v>
      </c>
      <c r="AB158" s="5" t="str">
        <f>HYPERLINK("https://propertylookup.dupagecounty.gov/Datalets/Datalet.aspx?UseSearch=no&amp;mode=sales&amp;pin=0324111002","sales record")</f>
        <v>sales record</v>
      </c>
      <c r="AC158" t="s">
        <v>3</v>
      </c>
      <c r="AD158">
        <v>41.945644</v>
      </c>
      <c r="AE158">
        <v>-87.939143</v>
      </c>
      <c r="AF158" s="5" t="str">
        <f>HYPERLINK("https://www.google.com/maps/search/?api=1&amp;query=41.945644,-87.939143","map")</f>
        <v>map</v>
      </c>
    </row>
    <row r="159" spans="1:32">
      <c r="A159" t="s">
        <v>209</v>
      </c>
      <c r="B159" t="s">
        <v>7795</v>
      </c>
      <c r="C159" t="s">
        <v>15106</v>
      </c>
      <c r="D159" t="s">
        <v>16195</v>
      </c>
      <c r="E159" t="s">
        <v>16218</v>
      </c>
      <c r="F159" t="s">
        <v>16220</v>
      </c>
      <c r="G159" t="s">
        <v>16230</v>
      </c>
      <c r="H159" t="s">
        <v>16230</v>
      </c>
      <c r="I159" t="s">
        <v>16310</v>
      </c>
      <c r="J159" t="s">
        <v>16385</v>
      </c>
      <c r="K159">
        <v>0.157</v>
      </c>
      <c r="L159">
        <v>6827</v>
      </c>
      <c r="M159">
        <v>1109</v>
      </c>
      <c r="N159" t="s">
        <v>16393</v>
      </c>
      <c r="O159" s="4">
        <v>35342</v>
      </c>
      <c r="P159" s="4">
        <v>39026</v>
      </c>
      <c r="Q159" s="4">
        <v>74368</v>
      </c>
      <c r="R159" s="4">
        <v>223104</v>
      </c>
      <c r="S159" t="s">
        <v>16546</v>
      </c>
      <c r="T159" s="6">
        <v>31594</v>
      </c>
      <c r="U159" s="4">
        <v>52000</v>
      </c>
      <c r="X159" t="s">
        <v>3</v>
      </c>
      <c r="AA159" s="5" t="str">
        <f>HYPERLINK("https://www.zillow.com/homes/249-WALNUT-ST-BENSENVILLE-IL-60106_rb/","check listing")</f>
        <v>check listing</v>
      </c>
      <c r="AB159" s="5" t="str">
        <f>HYPERLINK("https://propertylookup.dupagecounty.gov/Datalets/Datalet.aspx?UseSearch=no&amp;mode=sales&amp;pin=0314205028","sales record")</f>
        <v>sales record</v>
      </c>
      <c r="AC159" t="s">
        <v>3</v>
      </c>
      <c r="AD159">
        <v>41.964267</v>
      </c>
      <c r="AE159">
        <v>-87.945463</v>
      </c>
      <c r="AF159" s="5" t="str">
        <f>HYPERLINK("https://www.google.com/maps/search/?api=1&amp;query=41.964267,-87.945463","map")</f>
        <v>map</v>
      </c>
    </row>
    <row r="160" spans="1:32">
      <c r="A160" t="s">
        <v>210</v>
      </c>
      <c r="B160" t="s">
        <v>7796</v>
      </c>
      <c r="C160" t="s">
        <v>15106</v>
      </c>
      <c r="D160" t="s">
        <v>16195</v>
      </c>
      <c r="E160" t="s">
        <v>16218</v>
      </c>
      <c r="F160" t="s">
        <v>16220</v>
      </c>
      <c r="G160" t="s">
        <v>16230</v>
      </c>
      <c r="H160" t="s">
        <v>16230</v>
      </c>
      <c r="I160" t="s">
        <v>16310</v>
      </c>
      <c r="J160" t="s">
        <v>16385</v>
      </c>
      <c r="K160">
        <v>0.144</v>
      </c>
      <c r="L160">
        <v>6284</v>
      </c>
      <c r="M160">
        <v>2133</v>
      </c>
      <c r="N160" t="s">
        <v>16393</v>
      </c>
      <c r="O160" s="4">
        <v>36480</v>
      </c>
      <c r="P160" s="4">
        <v>57419</v>
      </c>
      <c r="Q160" s="4">
        <v>93899</v>
      </c>
      <c r="R160" s="4">
        <v>281697</v>
      </c>
      <c r="S160" t="s">
        <v>16547</v>
      </c>
      <c r="T160" s="6">
        <v>31929</v>
      </c>
      <c r="U160" s="4">
        <v>77500</v>
      </c>
      <c r="X160" t="s">
        <v>3</v>
      </c>
      <c r="AA160" s="5" t="str">
        <f>HYPERLINK("https://www.zillow.com/homes/414-S-YORK-RD-BENSENVILLE-IL-60106_rb/","check listing")</f>
        <v>check listing</v>
      </c>
      <c r="AB160" s="5" t="str">
        <f>HYPERLINK("https://propertylookup.dupagecounty.gov/Datalets/Datalet.aspx?UseSearch=no&amp;mode=sales&amp;pin=0323213015","sales record")</f>
        <v>sales record</v>
      </c>
      <c r="AC160" t="s">
        <v>3</v>
      </c>
      <c r="AD160">
        <v>41.947446</v>
      </c>
      <c r="AE160">
        <v>-87.94004700000001</v>
      </c>
      <c r="AF160" s="5" t="str">
        <f>HYPERLINK("https://www.google.com/maps/search/?api=1&amp;query=41.947446,-87.940047","map")</f>
        <v>map</v>
      </c>
    </row>
    <row r="161" spans="1:32">
      <c r="A161" t="s">
        <v>211</v>
      </c>
      <c r="B161" t="s">
        <v>7797</v>
      </c>
      <c r="C161" t="s">
        <v>15111</v>
      </c>
      <c r="D161" t="s">
        <v>16195</v>
      </c>
      <c r="E161" t="s">
        <v>16218</v>
      </c>
      <c r="F161" t="s">
        <v>16220</v>
      </c>
      <c r="G161" t="s">
        <v>16230</v>
      </c>
      <c r="H161" t="s">
        <v>16230</v>
      </c>
      <c r="I161" t="s">
        <v>16310</v>
      </c>
      <c r="J161" t="s">
        <v>16385</v>
      </c>
      <c r="K161">
        <v>0.144</v>
      </c>
      <c r="L161">
        <v>6283</v>
      </c>
      <c r="M161">
        <v>1948</v>
      </c>
      <c r="N161" t="s">
        <v>16393</v>
      </c>
      <c r="O161" s="4">
        <v>36480</v>
      </c>
      <c r="P161" s="4">
        <v>57419</v>
      </c>
      <c r="Q161" s="4">
        <v>93899</v>
      </c>
      <c r="R161" s="4">
        <v>281697</v>
      </c>
      <c r="S161" t="s">
        <v>16548</v>
      </c>
      <c r="T161" s="6">
        <v>43678</v>
      </c>
      <c r="U161" s="4">
        <v>199000</v>
      </c>
      <c r="V161" t="s">
        <v>23739</v>
      </c>
      <c r="W161" t="s">
        <v>16548</v>
      </c>
      <c r="X161" t="s">
        <v>3</v>
      </c>
      <c r="AA161" s="5" t="str">
        <f>HYPERLINK("https://www.zillow.com/homes/410-S-YORK-RD-BENSENVILLE-IL-601062631_rb/","check listing")</f>
        <v>check listing</v>
      </c>
      <c r="AB161" s="5" t="str">
        <f>HYPERLINK("https://propertylookup.dupagecounty.gov/Datalets/Datalet.aspx?UseSearch=no&amp;mode=sales&amp;pin=0323213014","sales record")</f>
        <v>sales record</v>
      </c>
      <c r="AC161" t="s">
        <v>3</v>
      </c>
      <c r="AD161">
        <v>41.947611</v>
      </c>
      <c r="AE161">
        <v>-87.940046</v>
      </c>
      <c r="AF161" s="5" t="str">
        <f>HYPERLINK("https://www.google.com/maps/search/?api=1&amp;query=41.947611,-87.940046","map")</f>
        <v>map</v>
      </c>
    </row>
    <row r="162" spans="1:32">
      <c r="A162" t="s">
        <v>212</v>
      </c>
      <c r="B162" t="s">
        <v>7798</v>
      </c>
      <c r="C162" t="s">
        <v>15116</v>
      </c>
      <c r="D162" t="s">
        <v>16195</v>
      </c>
      <c r="E162" t="s">
        <v>16218</v>
      </c>
      <c r="F162" t="s">
        <v>16220</v>
      </c>
      <c r="G162" t="s">
        <v>16230</v>
      </c>
      <c r="H162" t="s">
        <v>16230</v>
      </c>
      <c r="I162" t="s">
        <v>16310</v>
      </c>
      <c r="J162" t="s">
        <v>16385</v>
      </c>
      <c r="K162">
        <v>0.101</v>
      </c>
      <c r="L162">
        <v>4418</v>
      </c>
      <c r="M162">
        <v>919</v>
      </c>
      <c r="N162" t="s">
        <v>16393</v>
      </c>
      <c r="O162" s="4">
        <v>36480</v>
      </c>
      <c r="P162" s="4">
        <v>30529</v>
      </c>
      <c r="Q162" s="4">
        <v>67009</v>
      </c>
      <c r="R162" s="4">
        <v>201027</v>
      </c>
      <c r="S162" t="s">
        <v>16549</v>
      </c>
      <c r="T162" s="6">
        <v>45456</v>
      </c>
      <c r="U162" s="4">
        <v>242000</v>
      </c>
      <c r="V162" t="s">
        <v>23739</v>
      </c>
      <c r="W162" t="s">
        <v>23815</v>
      </c>
      <c r="X162" t="s">
        <v>3</v>
      </c>
      <c r="AA162" s="5" t="str">
        <f>HYPERLINK("https://www.zillow.com/homes/528-E-PINE-AVE-BENSENVILLE-IL-601062543_rb/","check listing")</f>
        <v>check listing</v>
      </c>
      <c r="AB162" s="5" t="str">
        <f>HYPERLINK("https://propertylookup.dupagecounty.gov/Datalets/Datalet.aspx?UseSearch=no&amp;mode=sales&amp;pin=0313327001","sales record")</f>
        <v>sales record</v>
      </c>
      <c r="AC162" t="s">
        <v>3</v>
      </c>
      <c r="AD162">
        <v>41.95044</v>
      </c>
      <c r="AE162">
        <v>-87.931364</v>
      </c>
      <c r="AF162" s="5" t="str">
        <f>HYPERLINK("https://www.google.com/maps/search/?api=1&amp;query=41.95044,-87.931364","map")</f>
        <v>map</v>
      </c>
    </row>
    <row r="163" spans="1:32">
      <c r="A163" t="s">
        <v>213</v>
      </c>
      <c r="B163" t="s">
        <v>7799</v>
      </c>
      <c r="C163" t="s">
        <v>15117</v>
      </c>
      <c r="D163" t="s">
        <v>16195</v>
      </c>
      <c r="E163" t="s">
        <v>16218</v>
      </c>
      <c r="F163" t="s">
        <v>16220</v>
      </c>
      <c r="G163" t="s">
        <v>16230</v>
      </c>
      <c r="H163" t="s">
        <v>16230</v>
      </c>
      <c r="I163" t="s">
        <v>16310</v>
      </c>
      <c r="J163" t="s">
        <v>16385</v>
      </c>
      <c r="K163">
        <v>0.099</v>
      </c>
      <c r="L163">
        <v>4300</v>
      </c>
      <c r="M163">
        <v>520</v>
      </c>
      <c r="N163" t="s">
        <v>16393</v>
      </c>
      <c r="O163" s="4">
        <v>36480</v>
      </c>
      <c r="P163" s="4">
        <v>30517</v>
      </c>
      <c r="Q163" s="4">
        <v>66997</v>
      </c>
      <c r="R163" s="4">
        <v>200991</v>
      </c>
      <c r="S163" t="s">
        <v>16550</v>
      </c>
      <c r="T163" s="6">
        <v>37956</v>
      </c>
      <c r="U163" s="4">
        <v>170000</v>
      </c>
      <c r="V163" t="s">
        <v>23739</v>
      </c>
      <c r="W163" t="s">
        <v>23816</v>
      </c>
      <c r="X163" t="s">
        <v>3</v>
      </c>
      <c r="AA163" s="5" t="str">
        <f>HYPERLINK("https://www.zillow.com/homes/303-PARK-ST-BENSENVILLE-IL-601062520_rb/","check listing")</f>
        <v>check listing</v>
      </c>
      <c r="AB163" s="5" t="str">
        <f>HYPERLINK("https://propertylookup.dupagecounty.gov/Datalets/Datalet.aspx?UseSearch=no&amp;mode=sales&amp;pin=0313327002","sales record")</f>
        <v>sales record</v>
      </c>
      <c r="AC163" t="s">
        <v>3</v>
      </c>
      <c r="AD163">
        <v>41.950275</v>
      </c>
      <c r="AE163">
        <v>-87.931288</v>
      </c>
      <c r="AF163" s="5" t="str">
        <f>HYPERLINK("https://www.google.com/maps/search/?api=1&amp;query=41.950275,-87.931288","map")</f>
        <v>map</v>
      </c>
    </row>
    <row r="164" spans="1:32">
      <c r="A164" t="s">
        <v>214</v>
      </c>
      <c r="B164" t="s">
        <v>7800</v>
      </c>
      <c r="C164" t="s">
        <v>15111</v>
      </c>
      <c r="D164" t="s">
        <v>16195</v>
      </c>
      <c r="E164" t="s">
        <v>16218</v>
      </c>
      <c r="F164" t="s">
        <v>16220</v>
      </c>
      <c r="G164" t="s">
        <v>16230</v>
      </c>
      <c r="H164" t="s">
        <v>16230</v>
      </c>
      <c r="I164" t="s">
        <v>16310</v>
      </c>
      <c r="J164" t="s">
        <v>16385</v>
      </c>
      <c r="K164">
        <v>0.096</v>
      </c>
      <c r="L164">
        <v>4192</v>
      </c>
      <c r="M164">
        <v>698</v>
      </c>
      <c r="N164" t="s">
        <v>16393</v>
      </c>
      <c r="O164" s="4">
        <v>12500</v>
      </c>
      <c r="P164" s="4">
        <v>5000</v>
      </c>
      <c r="Q164" s="4">
        <v>17500</v>
      </c>
      <c r="R164" s="4">
        <v>52500</v>
      </c>
      <c r="S164" t="s">
        <v>16551</v>
      </c>
      <c r="T164" s="6">
        <v>45379</v>
      </c>
      <c r="U164" s="4">
        <v>90000</v>
      </c>
      <c r="V164" t="s">
        <v>23743</v>
      </c>
      <c r="W164" t="s">
        <v>16551</v>
      </c>
      <c r="X164" t="s">
        <v>3</v>
      </c>
      <c r="AA164" s="5" t="str">
        <f>HYPERLINK("https://www.zillow.com/homes/406-S-YORK-RD-BENSENVILLE-IL-601062631_rb/","check listing")</f>
        <v>check listing</v>
      </c>
      <c r="AB164" s="5" t="str">
        <f>HYPERLINK("https://propertylookup.dupagecounty.gov/Datalets/Datalet.aspx?UseSearch=no&amp;mode=sales&amp;pin=0323213012","sales record")</f>
        <v>sales record</v>
      </c>
      <c r="AC164" t="s">
        <v>3</v>
      </c>
      <c r="AD164">
        <v>41.947776</v>
      </c>
      <c r="AE164">
        <v>-87.940045</v>
      </c>
      <c r="AF164" s="5" t="str">
        <f>HYPERLINK("https://www.google.com/maps/search/?api=1&amp;query=41.947776,-87.940045","map")</f>
        <v>map</v>
      </c>
    </row>
    <row r="165" spans="1:32">
      <c r="A165" t="s">
        <v>215</v>
      </c>
      <c r="B165" t="s">
        <v>7801</v>
      </c>
      <c r="C165" t="s">
        <v>15106</v>
      </c>
      <c r="D165" t="s">
        <v>16195</v>
      </c>
      <c r="E165" t="s">
        <v>16217</v>
      </c>
      <c r="F165" t="s">
        <v>16220</v>
      </c>
      <c r="G165" t="s">
        <v>16230</v>
      </c>
      <c r="H165" t="s">
        <v>16230</v>
      </c>
      <c r="I165" t="s">
        <v>16310</v>
      </c>
      <c r="J165" t="s">
        <v>16385</v>
      </c>
      <c r="K165">
        <v>1.994</v>
      </c>
      <c r="L165">
        <v>86858</v>
      </c>
      <c r="N165" t="s">
        <v>16393</v>
      </c>
      <c r="O165" s="4">
        <v>101928</v>
      </c>
      <c r="P165" s="4">
        <v>0</v>
      </c>
      <c r="Q165" s="4">
        <v>101928</v>
      </c>
      <c r="R165" s="4">
        <v>305784</v>
      </c>
      <c r="S165" t="s">
        <v>16552</v>
      </c>
      <c r="T165" s="6">
        <v>45300</v>
      </c>
      <c r="U165" s="4">
        <v>335000</v>
      </c>
      <c r="V165" t="s">
        <v>23741</v>
      </c>
      <c r="W165" t="s">
        <v>23817</v>
      </c>
      <c r="X165" t="s">
        <v>3</v>
      </c>
      <c r="AA165" s="5" t="str">
        <f>HYPERLINK("https://www.zillow.com/homes/137-N-MASON-ST-BENSENVILLE-IL-60106_rb/","check listing")</f>
        <v>check listing</v>
      </c>
      <c r="AB165" s="5" t="str">
        <f>HYPERLINK("https://propertylookup.dupagecounty.gov/Datalets/Datalet.aspx?UseSearch=no&amp;mode=sales&amp;pin=0314211033","sales record")</f>
        <v>sales record</v>
      </c>
      <c r="AC165" t="s">
        <v>3</v>
      </c>
      <c r="AD165">
        <v>41.959893</v>
      </c>
      <c r="AE165">
        <v>-87.943792</v>
      </c>
      <c r="AF165" s="5" t="str">
        <f>HYPERLINK("https://www.google.com/maps/search/?api=1&amp;query=41.959893,-87.943792","map")</f>
        <v>map</v>
      </c>
    </row>
    <row r="166" spans="1:32">
      <c r="A166" t="s">
        <v>216</v>
      </c>
      <c r="B166" t="s">
        <v>7802</v>
      </c>
      <c r="C166" t="s">
        <v>15106</v>
      </c>
      <c r="D166" t="s">
        <v>16195</v>
      </c>
      <c r="E166" t="s">
        <v>16217</v>
      </c>
      <c r="F166" t="s">
        <v>16220</v>
      </c>
      <c r="G166" t="s">
        <v>16231</v>
      </c>
      <c r="H166" t="s">
        <v>16231</v>
      </c>
      <c r="I166" t="s">
        <v>16310</v>
      </c>
      <c r="J166" t="s">
        <v>16385</v>
      </c>
      <c r="K166">
        <v>1.09</v>
      </c>
      <c r="L166">
        <v>47471</v>
      </c>
      <c r="M166">
        <v>7597</v>
      </c>
      <c r="N166" t="s">
        <v>16393</v>
      </c>
      <c r="O166" s="4">
        <v>92068</v>
      </c>
      <c r="P166" s="4">
        <v>0</v>
      </c>
      <c r="Q166" s="4">
        <v>92068</v>
      </c>
      <c r="R166" s="4">
        <v>276204</v>
      </c>
      <c r="S166" t="s">
        <v>16553</v>
      </c>
      <c r="T166" s="6">
        <v>40179</v>
      </c>
      <c r="U166" s="4">
        <v>1</v>
      </c>
      <c r="V166" t="s">
        <v>23739</v>
      </c>
      <c r="W166" t="s">
        <v>23818</v>
      </c>
      <c r="X166" t="s">
        <v>3</v>
      </c>
      <c r="AA166" s="5" t="str">
        <f>HYPERLINK("https://www.zillow.com/homes/291-S-YORK-RD-BENSENVILLE-IL-60106_rb/","check listing")</f>
        <v>check listing</v>
      </c>
      <c r="AB166" s="5" t="str">
        <f>HYPERLINK("https://propertylookup.dupagecounty.gov/Datalets/Datalet.aspx?UseSearch=no&amp;mode=sales&amp;pin=0313325036","sales record")</f>
        <v>sales record</v>
      </c>
      <c r="AC166" t="s">
        <v>11</v>
      </c>
      <c r="AD166">
        <v>41.950518</v>
      </c>
      <c r="AE166">
        <v>-87.93872399999999</v>
      </c>
      <c r="AF166" s="5" t="str">
        <f>HYPERLINK("https://www.google.com/maps/search/?api=1&amp;query=41.950518,-87.938724","map")</f>
        <v>map</v>
      </c>
    </row>
    <row r="167" spans="1:32">
      <c r="A167" t="s">
        <v>217</v>
      </c>
      <c r="B167" t="s">
        <v>7803</v>
      </c>
      <c r="C167" t="s">
        <v>15106</v>
      </c>
      <c r="D167" t="s">
        <v>16195</v>
      </c>
      <c r="E167" t="s">
        <v>16217</v>
      </c>
      <c r="F167" t="s">
        <v>16220</v>
      </c>
      <c r="G167" t="s">
        <v>16230</v>
      </c>
      <c r="H167" t="s">
        <v>16230</v>
      </c>
      <c r="I167" t="s">
        <v>16310</v>
      </c>
      <c r="J167" t="s">
        <v>16385</v>
      </c>
      <c r="K167">
        <v>0.93</v>
      </c>
      <c r="L167">
        <v>40522</v>
      </c>
      <c r="N167" t="s">
        <v>16393</v>
      </c>
      <c r="O167" s="4">
        <v>63887</v>
      </c>
      <c r="P167" s="4">
        <v>0</v>
      </c>
      <c r="Q167" s="4">
        <v>63887</v>
      </c>
      <c r="R167" s="4">
        <v>191661</v>
      </c>
      <c r="S167" t="s">
        <v>16554</v>
      </c>
      <c r="X167" t="s">
        <v>3</v>
      </c>
      <c r="AA167" s="5" t="str">
        <f>HYPERLINK("https://www.zillow.com/homes/60109-S-YORK-RD-BENSENVILLE-IL-60106_rb/","check listing")</f>
        <v>check listing</v>
      </c>
      <c r="AB167" s="5" t="str">
        <f>HYPERLINK("https://propertylookup.dupagecounty.gov/Datalets/Datalet.aspx?UseSearch=no&amp;mode=sales&amp;pin=0324119010","sales record")</f>
        <v>sales record</v>
      </c>
      <c r="AC167" t="s">
        <v>3</v>
      </c>
      <c r="AD167">
        <v>41.943386</v>
      </c>
      <c r="AE167">
        <v>-87.93894</v>
      </c>
      <c r="AF167" s="5" t="str">
        <f>HYPERLINK("https://www.google.com/maps/search/?api=1&amp;query=41.943386,-87.93894","map")</f>
        <v>map</v>
      </c>
    </row>
    <row r="168" spans="1:32">
      <c r="A168" t="s">
        <v>218</v>
      </c>
      <c r="B168" t="s">
        <v>7804</v>
      </c>
      <c r="C168" t="s">
        <v>15106</v>
      </c>
      <c r="D168" t="s">
        <v>16195</v>
      </c>
      <c r="E168" t="s">
        <v>16217</v>
      </c>
      <c r="F168" t="s">
        <v>16220</v>
      </c>
      <c r="G168" t="s">
        <v>16230</v>
      </c>
      <c r="H168" t="s">
        <v>16230</v>
      </c>
      <c r="I168" t="s">
        <v>16310</v>
      </c>
      <c r="J168" t="s">
        <v>16385</v>
      </c>
      <c r="K168">
        <v>0.704</v>
      </c>
      <c r="L168">
        <v>30674</v>
      </c>
      <c r="N168" t="s">
        <v>16393</v>
      </c>
      <c r="O168" s="4">
        <v>1021</v>
      </c>
      <c r="P168" s="4">
        <v>0</v>
      </c>
      <c r="Q168" s="4">
        <v>1021</v>
      </c>
      <c r="R168" s="4">
        <v>3063</v>
      </c>
      <c r="S168" t="s">
        <v>16555</v>
      </c>
      <c r="T168" s="6">
        <v>42614</v>
      </c>
      <c r="U168" s="4">
        <v>1600</v>
      </c>
      <c r="V168" t="s">
        <v>23739</v>
      </c>
      <c r="W168" t="s">
        <v>16496</v>
      </c>
      <c r="X168" t="s">
        <v>3</v>
      </c>
      <c r="AA168" s="5" t="str">
        <f>HYPERLINK("https://www.zillow.com/homes/1000-IRVING-PARK-RD-BENSENVILLE-IL-60106_rb/","check listing")</f>
        <v>check listing</v>
      </c>
      <c r="AB168" s="5" t="str">
        <f>HYPERLINK("https://propertylookup.dupagecounty.gov/Datalets/Datalet.aspx?UseSearch=no&amp;mode=sales&amp;pin=0314117072","sales record")</f>
        <v>sales record</v>
      </c>
      <c r="AC168" t="s">
        <v>3</v>
      </c>
      <c r="AD168">
        <v>41.960401</v>
      </c>
      <c r="AE168">
        <v>-87.955201</v>
      </c>
      <c r="AF168" s="5" t="str">
        <f>HYPERLINK("https://www.google.com/maps/search/?api=1&amp;query=41.960401,-87.955201","map")</f>
        <v>map</v>
      </c>
    </row>
    <row r="169" spans="1:32">
      <c r="A169" t="s">
        <v>219</v>
      </c>
      <c r="B169" t="s">
        <v>7803</v>
      </c>
      <c r="C169" t="s">
        <v>15106</v>
      </c>
      <c r="D169" t="s">
        <v>16195</v>
      </c>
      <c r="E169" t="s">
        <v>16217</v>
      </c>
      <c r="F169" t="s">
        <v>16220</v>
      </c>
      <c r="G169" t="s">
        <v>16230</v>
      </c>
      <c r="H169" t="s">
        <v>16230</v>
      </c>
      <c r="I169" t="s">
        <v>16310</v>
      </c>
      <c r="J169" t="s">
        <v>16385</v>
      </c>
      <c r="K169">
        <v>0.334</v>
      </c>
      <c r="L169">
        <v>14530</v>
      </c>
      <c r="N169" t="s">
        <v>16393</v>
      </c>
      <c r="O169" s="4">
        <v>39931</v>
      </c>
      <c r="P169" s="4">
        <v>0</v>
      </c>
      <c r="Q169" s="4">
        <v>39931</v>
      </c>
      <c r="R169" s="4">
        <v>119793</v>
      </c>
      <c r="S169" t="s">
        <v>16554</v>
      </c>
      <c r="T169" s="6">
        <v>38596</v>
      </c>
      <c r="U169" s="4">
        <v>700000</v>
      </c>
      <c r="V169" t="s">
        <v>23739</v>
      </c>
      <c r="W169" t="s">
        <v>23819</v>
      </c>
      <c r="X169" t="s">
        <v>3</v>
      </c>
      <c r="AA169" s="5" t="str">
        <f>HYPERLINK("https://www.zillow.com/homes/60109-S-YORK-RD-BENSENVILLE-IL-60106_rb/","check listing")</f>
        <v>check listing</v>
      </c>
      <c r="AB169" s="5" t="str">
        <f>HYPERLINK("https://propertylookup.dupagecounty.gov/Datalets/Datalet.aspx?UseSearch=no&amp;mode=sales&amp;pin=0324119002","sales record")</f>
        <v>sales record</v>
      </c>
      <c r="AC169" t="s">
        <v>3</v>
      </c>
      <c r="AD169">
        <v>41.943749</v>
      </c>
      <c r="AE169">
        <v>-87.939153</v>
      </c>
      <c r="AF169" s="5" t="str">
        <f>HYPERLINK("https://www.google.com/maps/search/?api=1&amp;query=41.943749,-87.939153","map")</f>
        <v>map</v>
      </c>
    </row>
    <row r="170" spans="1:32">
      <c r="A170" t="s">
        <v>220</v>
      </c>
      <c r="B170" t="s">
        <v>7805</v>
      </c>
      <c r="C170" t="s">
        <v>15106</v>
      </c>
      <c r="D170" t="s">
        <v>16195</v>
      </c>
      <c r="E170" t="s">
        <v>16217</v>
      </c>
      <c r="F170" t="s">
        <v>16220</v>
      </c>
      <c r="G170" t="s">
        <v>16231</v>
      </c>
      <c r="H170" t="s">
        <v>16231</v>
      </c>
      <c r="I170" t="s">
        <v>16310</v>
      </c>
      <c r="J170" t="s">
        <v>16385</v>
      </c>
      <c r="K170">
        <v>0.267</v>
      </c>
      <c r="L170">
        <v>11650</v>
      </c>
      <c r="N170" t="s">
        <v>16393</v>
      </c>
      <c r="O170" s="4">
        <v>39931</v>
      </c>
      <c r="P170" s="4">
        <v>0</v>
      </c>
      <c r="Q170" s="4">
        <v>39931</v>
      </c>
      <c r="R170" s="4">
        <v>119793</v>
      </c>
      <c r="S170" t="s">
        <v>16556</v>
      </c>
      <c r="T170" s="6">
        <v>45791</v>
      </c>
      <c r="U170" s="4">
        <v>140000</v>
      </c>
      <c r="V170" t="s">
        <v>23739</v>
      </c>
      <c r="W170" t="s">
        <v>23820</v>
      </c>
      <c r="X170" t="s">
        <v>3</v>
      </c>
      <c r="AA170" s="5" t="str">
        <f>HYPERLINK("https://www.zillow.com/homes/220-GEORGE-ST-BENSENVILLE-IL-60106_rb/","check listing")</f>
        <v>check listing</v>
      </c>
      <c r="AB170" s="5" t="str">
        <f>HYPERLINK("https://propertylookup.dupagecounty.gov/Datalets/Datalet.aspx?UseSearch=no&amp;mode=sales&amp;pin=0324300046","sales record")</f>
        <v>sales record</v>
      </c>
      <c r="AC170" t="s">
        <v>3</v>
      </c>
      <c r="AD170">
        <v>41.941642</v>
      </c>
      <c r="AE170">
        <v>-87.933667</v>
      </c>
      <c r="AF170" s="5" t="str">
        <f>HYPERLINK("https://www.google.com/maps/search/?api=1&amp;query=41.941642,-87.933667","map")</f>
        <v>map</v>
      </c>
    </row>
    <row r="171" spans="1:32">
      <c r="A171" t="s">
        <v>221</v>
      </c>
      <c r="B171" t="s">
        <v>7806</v>
      </c>
      <c r="C171" t="s">
        <v>15106</v>
      </c>
      <c r="D171" t="s">
        <v>16195</v>
      </c>
      <c r="E171" t="s">
        <v>16217</v>
      </c>
      <c r="F171" t="s">
        <v>16220</v>
      </c>
      <c r="G171" t="s">
        <v>16230</v>
      </c>
      <c r="H171" t="s">
        <v>16230</v>
      </c>
      <c r="I171" t="s">
        <v>16310</v>
      </c>
      <c r="J171" t="s">
        <v>16385</v>
      </c>
      <c r="K171">
        <v>0.178</v>
      </c>
      <c r="L171">
        <v>7767</v>
      </c>
      <c r="N171" t="s">
        <v>16393</v>
      </c>
      <c r="O171" s="4">
        <v>39931</v>
      </c>
      <c r="P171" s="4">
        <v>0</v>
      </c>
      <c r="Q171" s="4">
        <v>39931</v>
      </c>
      <c r="R171" s="4">
        <v>119793</v>
      </c>
      <c r="S171" t="s">
        <v>16557</v>
      </c>
      <c r="T171" s="6">
        <v>38961</v>
      </c>
      <c r="U171" s="4">
        <v>165000</v>
      </c>
      <c r="V171" t="s">
        <v>23739</v>
      </c>
      <c r="W171" t="s">
        <v>23821</v>
      </c>
      <c r="X171" t="s">
        <v>3</v>
      </c>
      <c r="AA171" s="5" t="str">
        <f>HYPERLINK("https://www.zillow.com/homes/601-S-YORK-RD-BENSENVILLE-IL-60106_rb/","check listing")</f>
        <v>check listing</v>
      </c>
      <c r="AB171" s="5" t="str">
        <f>HYPERLINK("https://propertylookup.dupagecounty.gov/Datalets/Datalet.aspx?UseSearch=no&amp;mode=sales&amp;pin=0324119001","sales record")</f>
        <v>sales record</v>
      </c>
      <c r="AC171" t="s">
        <v>3</v>
      </c>
      <c r="AD171">
        <v>41.943881</v>
      </c>
      <c r="AE171">
        <v>-87.939153</v>
      </c>
      <c r="AF171" s="5" t="str">
        <f>HYPERLINK("https://www.google.com/maps/search/?api=1&amp;query=41.943881,-87.939153","map")</f>
        <v>map</v>
      </c>
    </row>
    <row r="172" spans="1:32">
      <c r="A172" t="s">
        <v>222</v>
      </c>
      <c r="B172" t="s">
        <v>7800</v>
      </c>
      <c r="C172" t="s">
        <v>15111</v>
      </c>
      <c r="D172" t="s">
        <v>16195</v>
      </c>
      <c r="E172" t="s">
        <v>16217</v>
      </c>
      <c r="F172" t="s">
        <v>16220</v>
      </c>
      <c r="G172" t="s">
        <v>16230</v>
      </c>
      <c r="H172" t="s">
        <v>16230</v>
      </c>
      <c r="I172" t="s">
        <v>16310</v>
      </c>
      <c r="J172" t="s">
        <v>16385</v>
      </c>
      <c r="K172">
        <v>0.096</v>
      </c>
      <c r="L172">
        <v>4189</v>
      </c>
      <c r="N172" t="s">
        <v>16393</v>
      </c>
      <c r="O172" s="4">
        <v>12500</v>
      </c>
      <c r="P172" s="4">
        <v>0</v>
      </c>
      <c r="Q172" s="4">
        <v>12500</v>
      </c>
      <c r="R172" s="4">
        <v>37500</v>
      </c>
      <c r="S172" t="s">
        <v>16551</v>
      </c>
      <c r="T172" s="6">
        <v>45379</v>
      </c>
      <c r="U172" s="4">
        <v>90000</v>
      </c>
      <c r="V172" t="s">
        <v>23743</v>
      </c>
      <c r="W172" t="s">
        <v>16551</v>
      </c>
      <c r="X172" t="s">
        <v>3</v>
      </c>
      <c r="AA172" s="5" t="str">
        <f>HYPERLINK("https://www.zillow.com/homes/406-S-YORK-RD-BENSENVILLE-IL-601062631_rb/","check listing")</f>
        <v>check listing</v>
      </c>
      <c r="AB172" s="5" t="str">
        <f>HYPERLINK("https://propertylookup.dupagecounty.gov/Datalets/Datalet.aspx?UseSearch=no&amp;mode=sales&amp;pin=0323213013","sales record")</f>
        <v>sales record</v>
      </c>
      <c r="AC172" t="s">
        <v>27872</v>
      </c>
      <c r="AD172">
        <v>41.947694</v>
      </c>
      <c r="AE172">
        <v>-87.940046</v>
      </c>
      <c r="AF172" s="5" t="str">
        <f>HYPERLINK("https://www.google.com/maps/search/?api=1&amp;query=41.947694,-87.940046","map")</f>
        <v>map</v>
      </c>
    </row>
    <row r="173" spans="1:32">
      <c r="A173" t="s">
        <v>223</v>
      </c>
      <c r="B173" t="s">
        <v>7807</v>
      </c>
      <c r="C173" t="s">
        <v>15106</v>
      </c>
      <c r="D173" t="s">
        <v>16195</v>
      </c>
      <c r="E173" t="s">
        <v>16217</v>
      </c>
      <c r="F173" t="s">
        <v>16220</v>
      </c>
      <c r="G173" t="s">
        <v>16230</v>
      </c>
      <c r="H173" t="s">
        <v>16230</v>
      </c>
      <c r="I173" t="s">
        <v>16310</v>
      </c>
      <c r="J173" t="s">
        <v>16385</v>
      </c>
      <c r="K173">
        <v>0.08799999999999999</v>
      </c>
      <c r="L173">
        <v>3845</v>
      </c>
      <c r="N173" t="s">
        <v>16393</v>
      </c>
      <c r="O173" s="4">
        <v>6491</v>
      </c>
      <c r="P173" s="4">
        <v>0</v>
      </c>
      <c r="Q173" s="4">
        <v>6491</v>
      </c>
      <c r="R173" s="4">
        <v>19473</v>
      </c>
      <c r="S173" t="s">
        <v>16558</v>
      </c>
      <c r="X173" t="s">
        <v>3</v>
      </c>
      <c r="AA173" s="5" t="str">
        <f>HYPERLINK("https://www.zillow.com/homes/303-PARK-AVE-BENSENVILLE-IL-60106_rb/","check listing")</f>
        <v>check listing</v>
      </c>
      <c r="AB173" s="5" t="str">
        <f>HYPERLINK("https://propertylookup.dupagecounty.gov/Datalets/Datalet.aspx?UseSearch=no&amp;mode=sales&amp;pin=0324110001","sales record")</f>
        <v>sales record</v>
      </c>
      <c r="AC173" t="s">
        <v>3</v>
      </c>
      <c r="AD173">
        <v>41.950192</v>
      </c>
      <c r="AE173">
        <v>-87.931212</v>
      </c>
      <c r="AF173" s="5" t="str">
        <f>HYPERLINK("https://www.google.com/maps/search/?api=1&amp;query=41.950192,-87.931212","map")</f>
        <v>map</v>
      </c>
    </row>
    <row r="174" spans="1:32">
      <c r="A174" t="s">
        <v>224</v>
      </c>
      <c r="B174" t="s">
        <v>7808</v>
      </c>
      <c r="C174" t="s">
        <v>15118</v>
      </c>
      <c r="D174" t="s">
        <v>16196</v>
      </c>
      <c r="E174" t="s">
        <v>16218</v>
      </c>
      <c r="F174" t="s">
        <v>16222</v>
      </c>
      <c r="G174" t="s">
        <v>16232</v>
      </c>
      <c r="H174" t="s">
        <v>16232</v>
      </c>
      <c r="I174" t="s">
        <v>16311</v>
      </c>
      <c r="J174" t="s">
        <v>16387</v>
      </c>
      <c r="K174">
        <v>0.584</v>
      </c>
      <c r="L174">
        <v>25436</v>
      </c>
      <c r="M174">
        <v>3133</v>
      </c>
      <c r="N174" t="s">
        <v>16393</v>
      </c>
      <c r="O174" s="4">
        <v>38286</v>
      </c>
      <c r="P174" s="4">
        <v>120020</v>
      </c>
      <c r="Q174" s="4">
        <v>158306</v>
      </c>
      <c r="R174" s="4">
        <v>474918</v>
      </c>
      <c r="S174" t="s">
        <v>16559</v>
      </c>
      <c r="X174" t="s">
        <v>3</v>
      </c>
      <c r="AA174" s="5" t="str">
        <f>HYPERLINK("https://www.zillow.com/homes/120-S-3RD-ST-BLOOMINGDALE-IL-60108_rb/","check listing")</f>
        <v>check listing</v>
      </c>
      <c r="AB174" s="5" t="str">
        <f>HYPERLINK("https://propertylookup.dupagecounty.gov/Datalets/Datalet.aspx?UseSearch=no&amp;mode=sales&amp;pin=0215111019","sales record")</f>
        <v>sales record</v>
      </c>
      <c r="AC174" t="s">
        <v>27873</v>
      </c>
      <c r="AD174">
        <v>41.955821</v>
      </c>
      <c r="AE174">
        <v>-88.082683</v>
      </c>
      <c r="AF174" s="5" t="str">
        <f>HYPERLINK("https://www.google.com/maps/search/?api=1&amp;query=41.955821,-88.082683","map")</f>
        <v>map</v>
      </c>
    </row>
    <row r="175" spans="1:32">
      <c r="A175" t="s">
        <v>225</v>
      </c>
      <c r="B175" t="s">
        <v>7809</v>
      </c>
      <c r="C175" t="s">
        <v>15118</v>
      </c>
      <c r="D175" t="s">
        <v>16196</v>
      </c>
      <c r="E175" t="s">
        <v>16218</v>
      </c>
      <c r="F175" t="s">
        <v>16222</v>
      </c>
      <c r="G175" t="s">
        <v>16232</v>
      </c>
      <c r="H175" t="s">
        <v>16232</v>
      </c>
      <c r="I175" t="s">
        <v>16311</v>
      </c>
      <c r="J175" t="s">
        <v>16387</v>
      </c>
      <c r="K175">
        <v>0.496</v>
      </c>
      <c r="L175">
        <v>21601</v>
      </c>
      <c r="M175">
        <v>2029</v>
      </c>
      <c r="N175" t="s">
        <v>16393</v>
      </c>
      <c r="O175" s="4">
        <v>62144</v>
      </c>
      <c r="P175" s="4">
        <v>68575</v>
      </c>
      <c r="Q175" s="4">
        <v>130719</v>
      </c>
      <c r="R175" s="4">
        <v>392157</v>
      </c>
      <c r="S175" t="s">
        <v>16560</v>
      </c>
      <c r="T175" s="6">
        <v>38749</v>
      </c>
      <c r="U175" s="4">
        <v>195000</v>
      </c>
      <c r="V175" t="s">
        <v>23740</v>
      </c>
      <c r="W175" t="s">
        <v>23822</v>
      </c>
      <c r="X175" t="s">
        <v>3</v>
      </c>
      <c r="AA175" s="5" t="str">
        <f>HYPERLINK("https://www.zillow.com/homes/139-S-BLOOMINGDALE-RD-BLOOMINGDALE-IL-60108_rb/","check listing")</f>
        <v>check listing</v>
      </c>
      <c r="AB175" s="5" t="str">
        <f>HYPERLINK("https://propertylookup.dupagecounty.gov/Datalets/Datalet.aspx?UseSearch=no&amp;mode=sales&amp;pin=0215203020","sales record")</f>
        <v>sales record</v>
      </c>
      <c r="AC175" t="s">
        <v>3</v>
      </c>
      <c r="AD175">
        <v>41.9545</v>
      </c>
      <c r="AE175">
        <v>-88.08066100000001</v>
      </c>
      <c r="AF175" s="5" t="str">
        <f>HYPERLINK("https://www.google.com/maps/search/?api=1&amp;query=41.9545,-88.080661","map")</f>
        <v>map</v>
      </c>
    </row>
    <row r="176" spans="1:32">
      <c r="A176" t="s">
        <v>226</v>
      </c>
      <c r="B176" t="s">
        <v>7810</v>
      </c>
      <c r="C176" t="s">
        <v>15118</v>
      </c>
      <c r="D176" t="s">
        <v>16196</v>
      </c>
      <c r="E176" t="s">
        <v>16218</v>
      </c>
      <c r="F176" t="s">
        <v>16222</v>
      </c>
      <c r="G176" t="s">
        <v>16232</v>
      </c>
      <c r="H176" t="s">
        <v>16232</v>
      </c>
      <c r="I176" t="s">
        <v>16311</v>
      </c>
      <c r="J176" t="s">
        <v>16387</v>
      </c>
      <c r="K176">
        <v>0.467</v>
      </c>
      <c r="L176">
        <v>20345</v>
      </c>
      <c r="N176" t="s">
        <v>16393</v>
      </c>
      <c r="O176" s="4">
        <v>36792</v>
      </c>
      <c r="P176" s="4">
        <v>154685</v>
      </c>
      <c r="Q176" s="4">
        <v>191477</v>
      </c>
      <c r="R176" s="4">
        <v>574431</v>
      </c>
      <c r="S176" t="s">
        <v>16561</v>
      </c>
      <c r="X176" t="s">
        <v>3</v>
      </c>
      <c r="AA176" s="5" t="str">
        <f>HYPERLINK("https://www.zillow.com/homes/WALTER-CT-BLOOMINGDALE-IL-60108_rb/","check listing")</f>
        <v>check listing</v>
      </c>
      <c r="AB176" s="5" t="str">
        <f>HYPERLINK("https://propertylookup.dupagecounty.gov/Datalets/Datalet.aspx?UseSearch=no&amp;mode=sales&amp;pin=0215104082","sales record")</f>
        <v>sales record</v>
      </c>
      <c r="AC176" t="s">
        <v>3</v>
      </c>
      <c r="AD176">
        <v>41.959851</v>
      </c>
      <c r="AE176">
        <v>-88.082443</v>
      </c>
      <c r="AF176" s="5" t="str">
        <f>HYPERLINK("https://www.google.com/maps/search/?api=1&amp;query=41.959851,-88.082443","map")</f>
        <v>map</v>
      </c>
    </row>
    <row r="177" spans="1:32">
      <c r="A177" t="s">
        <v>227</v>
      </c>
      <c r="B177" t="s">
        <v>7811</v>
      </c>
      <c r="C177" t="s">
        <v>15118</v>
      </c>
      <c r="D177" t="s">
        <v>16196</v>
      </c>
      <c r="E177" t="s">
        <v>16218</v>
      </c>
      <c r="F177" t="s">
        <v>16222</v>
      </c>
      <c r="G177" t="s">
        <v>16232</v>
      </c>
      <c r="H177" t="s">
        <v>16232</v>
      </c>
      <c r="I177" t="s">
        <v>16311</v>
      </c>
      <c r="J177" t="s">
        <v>16387</v>
      </c>
      <c r="K177">
        <v>0.462</v>
      </c>
      <c r="L177">
        <v>20108</v>
      </c>
      <c r="M177">
        <v>2903</v>
      </c>
      <c r="N177" t="s">
        <v>16393</v>
      </c>
      <c r="O177" s="4">
        <v>38286</v>
      </c>
      <c r="P177" s="4">
        <v>208581</v>
      </c>
      <c r="Q177" s="4">
        <v>246867</v>
      </c>
      <c r="R177" s="4">
        <v>740601</v>
      </c>
      <c r="S177" t="s">
        <v>16562</v>
      </c>
      <c r="T177" s="6">
        <v>36251</v>
      </c>
      <c r="U177" s="4">
        <v>275000</v>
      </c>
      <c r="X177" t="s">
        <v>3</v>
      </c>
      <c r="AA177" s="5" t="str">
        <f>HYPERLINK("https://www.zillow.com/homes/131-DAY-ST-BLOOMINGDALE-IL-60108_rb/","check listing")</f>
        <v>check listing</v>
      </c>
      <c r="AB177" s="5" t="str">
        <f>HYPERLINK("https://propertylookup.dupagecounty.gov/Datalets/Datalet.aspx?UseSearch=no&amp;mode=sales&amp;pin=0215113018","sales record")</f>
        <v>sales record</v>
      </c>
      <c r="AC177" t="s">
        <v>3</v>
      </c>
      <c r="AD177">
        <v>41.954712</v>
      </c>
      <c r="AE177">
        <v>-88.083307</v>
      </c>
      <c r="AF177" s="5" t="str">
        <f>HYPERLINK("https://www.google.com/maps/search/?api=1&amp;query=41.954712,-88.083307","map")</f>
        <v>map</v>
      </c>
    </row>
    <row r="178" spans="1:32">
      <c r="A178" t="s">
        <v>228</v>
      </c>
      <c r="B178" t="s">
        <v>7812</v>
      </c>
      <c r="C178" t="s">
        <v>15119</v>
      </c>
      <c r="D178" t="s">
        <v>16196</v>
      </c>
      <c r="E178" t="s">
        <v>16218</v>
      </c>
      <c r="F178" t="s">
        <v>16222</v>
      </c>
      <c r="G178" t="s">
        <v>16232</v>
      </c>
      <c r="H178" t="s">
        <v>16232</v>
      </c>
      <c r="I178" t="s">
        <v>16311</v>
      </c>
      <c r="J178" t="s">
        <v>16387</v>
      </c>
      <c r="K178">
        <v>0.426</v>
      </c>
      <c r="L178">
        <v>18540</v>
      </c>
      <c r="M178">
        <v>1845</v>
      </c>
      <c r="N178" t="s">
        <v>16393</v>
      </c>
      <c r="O178" s="4">
        <v>49474</v>
      </c>
      <c r="P178" s="4">
        <v>37301</v>
      </c>
      <c r="Q178" s="4">
        <v>86775</v>
      </c>
      <c r="R178" s="4">
        <v>260325</v>
      </c>
      <c r="S178" t="s">
        <v>16563</v>
      </c>
      <c r="T178" s="6">
        <v>41760</v>
      </c>
      <c r="U178" s="4">
        <v>255000</v>
      </c>
      <c r="V178" t="s">
        <v>23739</v>
      </c>
      <c r="W178" t="s">
        <v>23823</v>
      </c>
      <c r="X178" t="s">
        <v>3</v>
      </c>
      <c r="AA178" s="5" t="str">
        <f>HYPERLINK("https://www.zillow.com/homes/137-1ST-ST-BLOOMINGDALE-IL-601081219_rb/","check listing")</f>
        <v>check listing</v>
      </c>
      <c r="AB178" s="5" t="str">
        <f>HYPERLINK("https://propertylookup.dupagecounty.gov/Datalets/Datalet.aspx?UseSearch=no&amp;mode=sales&amp;pin=0215204016","sales record")</f>
        <v>sales record</v>
      </c>
      <c r="AC178" t="s">
        <v>3</v>
      </c>
      <c r="AD178">
        <v>41.954584</v>
      </c>
      <c r="AE178">
        <v>-88.079019</v>
      </c>
      <c r="AF178" s="5" t="str">
        <f>HYPERLINK("https://www.google.com/maps/search/?api=1&amp;query=41.954584,-88.079019","map")</f>
        <v>map</v>
      </c>
    </row>
    <row r="179" spans="1:32">
      <c r="A179" t="s">
        <v>229</v>
      </c>
      <c r="B179" t="s">
        <v>7813</v>
      </c>
      <c r="C179" t="s">
        <v>15118</v>
      </c>
      <c r="D179" t="s">
        <v>16196</v>
      </c>
      <c r="E179" t="s">
        <v>16218</v>
      </c>
      <c r="F179" t="s">
        <v>16222</v>
      </c>
      <c r="G179" t="s">
        <v>16232</v>
      </c>
      <c r="H179" t="s">
        <v>16232</v>
      </c>
      <c r="I179" t="s">
        <v>16311</v>
      </c>
      <c r="J179" t="s">
        <v>16387</v>
      </c>
      <c r="K179">
        <v>0.405</v>
      </c>
      <c r="L179">
        <v>17651</v>
      </c>
      <c r="M179">
        <v>2639</v>
      </c>
      <c r="N179" t="s">
        <v>16393</v>
      </c>
      <c r="O179" s="4">
        <v>38286</v>
      </c>
      <c r="P179" s="4">
        <v>150143</v>
      </c>
      <c r="Q179" s="4">
        <v>188429</v>
      </c>
      <c r="R179" s="4">
        <v>565287</v>
      </c>
      <c r="S179" t="s">
        <v>16564</v>
      </c>
      <c r="T179" s="6">
        <v>33451</v>
      </c>
      <c r="U179" s="4">
        <v>150500</v>
      </c>
      <c r="X179" t="s">
        <v>3</v>
      </c>
      <c r="AA179" s="5" t="str">
        <f>HYPERLINK("https://www.zillow.com/homes/115-DAY-ST-BLOOMINGDALE-IL-60108_rb/","check listing")</f>
        <v>check listing</v>
      </c>
      <c r="AB179" s="5" t="str">
        <f>HYPERLINK("https://propertylookup.dupagecounty.gov/Datalets/Datalet.aspx?UseSearch=no&amp;mode=sales&amp;pin=0215111017","sales record")</f>
        <v>sales record</v>
      </c>
      <c r="AC179" t="s">
        <v>3</v>
      </c>
      <c r="AD179">
        <v>41.956084</v>
      </c>
      <c r="AE179">
        <v>-88.08330599999999</v>
      </c>
      <c r="AF179" s="5" t="str">
        <f>HYPERLINK("https://www.google.com/maps/search/?api=1&amp;query=41.956084,-88.083306","map")</f>
        <v>map</v>
      </c>
    </row>
    <row r="180" spans="1:32">
      <c r="A180" t="s">
        <v>230</v>
      </c>
      <c r="B180" t="s">
        <v>7814</v>
      </c>
      <c r="C180" t="s">
        <v>15118</v>
      </c>
      <c r="D180" t="s">
        <v>16196</v>
      </c>
      <c r="E180" t="s">
        <v>16218</v>
      </c>
      <c r="F180" t="s">
        <v>16222</v>
      </c>
      <c r="G180" t="s">
        <v>16232</v>
      </c>
      <c r="H180" t="s">
        <v>16232</v>
      </c>
      <c r="I180" t="s">
        <v>16311</v>
      </c>
      <c r="J180" t="s">
        <v>16387</v>
      </c>
      <c r="K180">
        <v>0.403</v>
      </c>
      <c r="L180">
        <v>17573</v>
      </c>
      <c r="M180">
        <v>989</v>
      </c>
      <c r="N180" t="s">
        <v>16393</v>
      </c>
      <c r="O180" s="4">
        <v>38286</v>
      </c>
      <c r="P180" s="4">
        <v>101745</v>
      </c>
      <c r="Q180" s="4">
        <v>140031</v>
      </c>
      <c r="R180" s="4">
        <v>420093</v>
      </c>
      <c r="S180" t="s">
        <v>16565</v>
      </c>
      <c r="X180" t="s">
        <v>3</v>
      </c>
      <c r="AA180" s="5" t="str">
        <f>HYPERLINK("https://www.zillow.com/homes/129-1ST-ST-BLOOMINGDALE-IL-60108_rb/","check listing")</f>
        <v>check listing</v>
      </c>
      <c r="AB180" s="5" t="str">
        <f>HYPERLINK("https://propertylookup.dupagecounty.gov/Datalets/Datalet.aspx?UseSearch=no&amp;mode=sales&amp;pin=0215204029","sales record")</f>
        <v>sales record</v>
      </c>
      <c r="AC180" t="s">
        <v>3</v>
      </c>
      <c r="AD180">
        <v>41.955183</v>
      </c>
      <c r="AE180">
        <v>-88.079385</v>
      </c>
      <c r="AF180" s="5" t="str">
        <f>HYPERLINK("https://www.google.com/maps/search/?api=1&amp;query=41.955183,-88.079385","map")</f>
        <v>map</v>
      </c>
    </row>
    <row r="181" spans="1:32">
      <c r="A181" t="s">
        <v>231</v>
      </c>
      <c r="B181" t="s">
        <v>7815</v>
      </c>
      <c r="C181" t="s">
        <v>15118</v>
      </c>
      <c r="D181" t="s">
        <v>16196</v>
      </c>
      <c r="E181" t="s">
        <v>16218</v>
      </c>
      <c r="F181" t="s">
        <v>16222</v>
      </c>
      <c r="G181" t="s">
        <v>16232</v>
      </c>
      <c r="H181" t="s">
        <v>16232</v>
      </c>
      <c r="I181" t="s">
        <v>16311</v>
      </c>
      <c r="J181" t="s">
        <v>16387</v>
      </c>
      <c r="K181">
        <v>0.399</v>
      </c>
      <c r="L181">
        <v>17379</v>
      </c>
      <c r="M181">
        <v>2176</v>
      </c>
      <c r="N181" t="s">
        <v>16393</v>
      </c>
      <c r="O181" s="4">
        <v>38286</v>
      </c>
      <c r="P181" s="4">
        <v>65156</v>
      </c>
      <c r="Q181" s="4">
        <v>103442</v>
      </c>
      <c r="R181" s="4">
        <v>310326</v>
      </c>
      <c r="S181" t="s">
        <v>16566</v>
      </c>
      <c r="X181" t="s">
        <v>3</v>
      </c>
      <c r="AA181" s="5" t="str">
        <f>HYPERLINK("https://www.zillow.com/homes/121-N-BLOOMINGDALE-RD-BLOOMINGDALE-IL-60108_rb/","check listing")</f>
        <v>check listing</v>
      </c>
      <c r="AB181" s="5" t="str">
        <f>HYPERLINK("https://propertylookup.dupagecounty.gov/Datalets/Datalet.aspx?UseSearch=no&amp;mode=sales&amp;pin=0215200003","sales record")</f>
        <v>sales record</v>
      </c>
      <c r="AC181" t="s">
        <v>3</v>
      </c>
      <c r="AD181">
        <v>41.959588</v>
      </c>
      <c r="AE181">
        <v>-88.080854</v>
      </c>
      <c r="AF181" s="5" t="str">
        <f>HYPERLINK("https://www.google.com/maps/search/?api=1&amp;query=41.959588,-88.080854","map")</f>
        <v>map</v>
      </c>
    </row>
    <row r="182" spans="1:32">
      <c r="A182" t="s">
        <v>232</v>
      </c>
      <c r="B182" t="s">
        <v>7816</v>
      </c>
      <c r="C182" t="s">
        <v>15118</v>
      </c>
      <c r="D182" t="s">
        <v>16196</v>
      </c>
      <c r="E182" t="s">
        <v>16218</v>
      </c>
      <c r="F182" t="s">
        <v>16222</v>
      </c>
      <c r="G182" t="s">
        <v>16232</v>
      </c>
      <c r="H182" t="s">
        <v>16232</v>
      </c>
      <c r="I182" t="s">
        <v>16311</v>
      </c>
      <c r="J182" t="s">
        <v>16387</v>
      </c>
      <c r="K182">
        <v>0.385</v>
      </c>
      <c r="L182">
        <v>16769</v>
      </c>
      <c r="M182">
        <v>1979</v>
      </c>
      <c r="N182" t="s">
        <v>16393</v>
      </c>
      <c r="O182" s="4">
        <v>38000</v>
      </c>
      <c r="P182" s="4">
        <v>15676</v>
      </c>
      <c r="Q182" s="4">
        <v>53676</v>
      </c>
      <c r="R182" s="4">
        <v>161028</v>
      </c>
      <c r="S182" t="s">
        <v>16567</v>
      </c>
      <c r="T182" s="6">
        <v>45833</v>
      </c>
      <c r="U182" s="4">
        <v>335000</v>
      </c>
      <c r="V182" t="s">
        <v>23741</v>
      </c>
      <c r="W182" t="s">
        <v>16567</v>
      </c>
      <c r="X182" t="s">
        <v>3</v>
      </c>
      <c r="AA182" s="5" t="str">
        <f>HYPERLINK("https://www.zillow.com/homes/130-S-3RD-ST-BLOOMINGDALE-IL-60108_rb/","check listing")</f>
        <v>check listing</v>
      </c>
      <c r="AB182" s="5" t="str">
        <f>HYPERLINK("https://propertylookup.dupagecounty.gov/Datalets/Datalet.aspx?UseSearch=no&amp;mode=sales&amp;pin=0215113017","sales record")</f>
        <v>sales record</v>
      </c>
      <c r="AC182" t="s">
        <v>3</v>
      </c>
      <c r="AD182">
        <v>41.954787</v>
      </c>
      <c r="AE182">
        <v>-88.08264</v>
      </c>
      <c r="AF182" s="5" t="str">
        <f>HYPERLINK("https://www.google.com/maps/search/?api=1&amp;query=41.954787,-88.08264","map")</f>
        <v>map</v>
      </c>
    </row>
    <row r="183" spans="1:32">
      <c r="A183" t="s">
        <v>233</v>
      </c>
      <c r="B183" t="s">
        <v>7817</v>
      </c>
      <c r="C183" t="s">
        <v>15118</v>
      </c>
      <c r="D183" t="s">
        <v>16196</v>
      </c>
      <c r="E183" t="s">
        <v>16218</v>
      </c>
      <c r="F183" t="s">
        <v>16222</v>
      </c>
      <c r="G183" t="s">
        <v>16232</v>
      </c>
      <c r="H183" t="s">
        <v>16232</v>
      </c>
      <c r="I183" t="s">
        <v>16311</v>
      </c>
      <c r="J183" t="s">
        <v>16387</v>
      </c>
      <c r="K183">
        <v>0.375</v>
      </c>
      <c r="L183">
        <v>16322</v>
      </c>
      <c r="M183">
        <v>2362</v>
      </c>
      <c r="N183" t="s">
        <v>16393</v>
      </c>
      <c r="O183" s="4">
        <v>38286</v>
      </c>
      <c r="P183" s="4">
        <v>112227</v>
      </c>
      <c r="Q183" s="4">
        <v>150513</v>
      </c>
      <c r="R183" s="4">
        <v>451539</v>
      </c>
      <c r="S183" t="s">
        <v>16568</v>
      </c>
      <c r="T183" s="6">
        <v>36495</v>
      </c>
      <c r="U183" s="4">
        <v>194000</v>
      </c>
      <c r="V183" t="s">
        <v>23739</v>
      </c>
      <c r="W183" t="s">
        <v>23824</v>
      </c>
      <c r="X183" t="s">
        <v>3</v>
      </c>
      <c r="AA183" s="5" t="str">
        <f>HYPERLINK("https://www.zillow.com/homes/118-WALTER-CT-BLOOMINGDALE-IL-60108_rb/","check listing")</f>
        <v>check listing</v>
      </c>
      <c r="AB183" s="5" t="str">
        <f>HYPERLINK("https://propertylookup.dupagecounty.gov/Datalets/Datalet.aspx?UseSearch=no&amp;mode=sales&amp;pin=0215104010","sales record")</f>
        <v>sales record</v>
      </c>
      <c r="AC183" t="s">
        <v>3</v>
      </c>
      <c r="AD183">
        <v>41.959146</v>
      </c>
      <c r="AE183">
        <v>-88.083207</v>
      </c>
      <c r="AF183" s="5" t="str">
        <f>HYPERLINK("https://www.google.com/maps/search/?api=1&amp;query=41.959146,-88.083207","map")</f>
        <v>map</v>
      </c>
    </row>
    <row r="184" spans="1:32">
      <c r="A184" t="s">
        <v>234</v>
      </c>
      <c r="B184" t="s">
        <v>7818</v>
      </c>
      <c r="C184" t="s">
        <v>15118</v>
      </c>
      <c r="D184" t="s">
        <v>16196</v>
      </c>
      <c r="E184" t="s">
        <v>16218</v>
      </c>
      <c r="F184" t="s">
        <v>16222</v>
      </c>
      <c r="G184" t="s">
        <v>16232</v>
      </c>
      <c r="H184" t="s">
        <v>16232</v>
      </c>
      <c r="I184" t="s">
        <v>16311</v>
      </c>
      <c r="J184" t="s">
        <v>16387</v>
      </c>
      <c r="K184">
        <v>0.372</v>
      </c>
      <c r="L184">
        <v>16221</v>
      </c>
      <c r="M184">
        <v>2375</v>
      </c>
      <c r="N184" t="s">
        <v>16393</v>
      </c>
      <c r="O184" s="4">
        <v>38286</v>
      </c>
      <c r="P184" s="4">
        <v>68921</v>
      </c>
      <c r="Q184" s="4">
        <v>107207</v>
      </c>
      <c r="R184" s="4">
        <v>321621</v>
      </c>
      <c r="S184" t="s">
        <v>16569</v>
      </c>
      <c r="T184" s="6">
        <v>36404</v>
      </c>
      <c r="U184" s="4">
        <v>165000</v>
      </c>
      <c r="X184" t="s">
        <v>3</v>
      </c>
      <c r="AA184" s="5" t="str">
        <f>HYPERLINK("https://www.zillow.com/homes/117-WALTER-CT-BLOOMINGDALE-IL-60108_rb/","check listing")</f>
        <v>check listing</v>
      </c>
      <c r="AB184" s="5" t="str">
        <f>HYPERLINK("https://propertylookup.dupagecounty.gov/Datalets/Datalet.aspx?UseSearch=no&amp;mode=sales&amp;pin=0215104014","sales record")</f>
        <v>sales record</v>
      </c>
      <c r="AC184" t="s">
        <v>3</v>
      </c>
      <c r="AD184">
        <v>41.959162</v>
      </c>
      <c r="AE184">
        <v>-88.08246200000001</v>
      </c>
      <c r="AF184" s="5" t="str">
        <f>HYPERLINK("https://www.google.com/maps/search/?api=1&amp;query=41.959162,-88.082462","map")</f>
        <v>map</v>
      </c>
    </row>
    <row r="185" spans="1:32">
      <c r="A185" t="s">
        <v>235</v>
      </c>
      <c r="B185" t="s">
        <v>7819</v>
      </c>
      <c r="C185" t="s">
        <v>15118</v>
      </c>
      <c r="D185" t="s">
        <v>16196</v>
      </c>
      <c r="E185" t="s">
        <v>16218</v>
      </c>
      <c r="F185" t="s">
        <v>16222</v>
      </c>
      <c r="G185" t="s">
        <v>16232</v>
      </c>
      <c r="H185" t="s">
        <v>16232</v>
      </c>
      <c r="I185" t="s">
        <v>16311</v>
      </c>
      <c r="J185" t="s">
        <v>16387</v>
      </c>
      <c r="K185">
        <v>0.33</v>
      </c>
      <c r="L185">
        <v>14384</v>
      </c>
      <c r="M185">
        <v>1187</v>
      </c>
      <c r="N185" t="s">
        <v>16393</v>
      </c>
      <c r="O185" s="4">
        <v>38286</v>
      </c>
      <c r="P185" s="4">
        <v>101469</v>
      </c>
      <c r="Q185" s="4">
        <v>139755</v>
      </c>
      <c r="R185" s="4">
        <v>419265</v>
      </c>
      <c r="S185" t="s">
        <v>16570</v>
      </c>
      <c r="X185" t="s">
        <v>3</v>
      </c>
      <c r="AA185" s="5" t="str">
        <f>HYPERLINK("https://www.zillow.com/homes/123-1ST-ST-BLOOMINGDALE-IL-60108_rb/","check listing")</f>
        <v>check listing</v>
      </c>
      <c r="AB185" s="5" t="str">
        <f>HYPERLINK("https://propertylookup.dupagecounty.gov/Datalets/Datalet.aspx?UseSearch=no&amp;mode=sales&amp;pin=0215204020","sales record")</f>
        <v>sales record</v>
      </c>
      <c r="AC185" t="s">
        <v>3</v>
      </c>
      <c r="AD185">
        <v>41.955704</v>
      </c>
      <c r="AE185">
        <v>-88.079511</v>
      </c>
      <c r="AF185" s="5" t="str">
        <f>HYPERLINK("https://www.google.com/maps/search/?api=1&amp;query=41.955704,-88.079511","map")</f>
        <v>map</v>
      </c>
    </row>
    <row r="186" spans="1:32">
      <c r="A186" t="s">
        <v>236</v>
      </c>
      <c r="B186" t="s">
        <v>7820</v>
      </c>
      <c r="C186" t="s">
        <v>15118</v>
      </c>
      <c r="D186" t="s">
        <v>16196</v>
      </c>
      <c r="E186" t="s">
        <v>16218</v>
      </c>
      <c r="F186" t="s">
        <v>16222</v>
      </c>
      <c r="G186" t="s">
        <v>16232</v>
      </c>
      <c r="H186" t="s">
        <v>16232</v>
      </c>
      <c r="I186" t="s">
        <v>16311</v>
      </c>
      <c r="J186" t="s">
        <v>16387</v>
      </c>
      <c r="K186">
        <v>0.329</v>
      </c>
      <c r="L186">
        <v>14339</v>
      </c>
      <c r="M186">
        <v>2638</v>
      </c>
      <c r="N186" t="s">
        <v>16393</v>
      </c>
      <c r="O186" s="4">
        <v>38286</v>
      </c>
      <c r="P186" s="4">
        <v>176810</v>
      </c>
      <c r="Q186" s="4">
        <v>215096</v>
      </c>
      <c r="R186" s="4">
        <v>645288</v>
      </c>
      <c r="S186" t="s">
        <v>16571</v>
      </c>
      <c r="T186" s="6">
        <v>43556</v>
      </c>
      <c r="U186" s="4">
        <v>450000</v>
      </c>
      <c r="V186" t="s">
        <v>23739</v>
      </c>
      <c r="W186" t="s">
        <v>23825</v>
      </c>
      <c r="X186" t="s">
        <v>3</v>
      </c>
      <c r="AA186" s="5" t="str">
        <f>HYPERLINK("https://www.zillow.com/homes/125-1ST-ST-BLOOMINGDALE-IL-60108_rb/","check listing")</f>
        <v>check listing</v>
      </c>
      <c r="AB186" s="5" t="str">
        <f>HYPERLINK("https://propertylookup.dupagecounty.gov/Datalets/Datalet.aspx?UseSearch=no&amp;mode=sales&amp;pin=0215204021","sales record")</f>
        <v>sales record</v>
      </c>
      <c r="AC186" t="s">
        <v>3</v>
      </c>
      <c r="AD186">
        <v>41.955437</v>
      </c>
      <c r="AE186">
        <v>-88.079499</v>
      </c>
      <c r="AF186" s="5" t="str">
        <f>HYPERLINK("https://www.google.com/maps/search/?api=1&amp;query=41.955437,-88.079499","map")</f>
        <v>map</v>
      </c>
    </row>
    <row r="187" spans="1:32">
      <c r="A187" t="s">
        <v>237</v>
      </c>
      <c r="B187" t="s">
        <v>7821</v>
      </c>
      <c r="C187" t="s">
        <v>15118</v>
      </c>
      <c r="D187" t="s">
        <v>16196</v>
      </c>
      <c r="E187" t="s">
        <v>16218</v>
      </c>
      <c r="F187" t="s">
        <v>16222</v>
      </c>
      <c r="G187" t="s">
        <v>16232</v>
      </c>
      <c r="H187" t="s">
        <v>16232</v>
      </c>
      <c r="I187" t="s">
        <v>16311</v>
      </c>
      <c r="J187" t="s">
        <v>16387</v>
      </c>
      <c r="K187">
        <v>0.311</v>
      </c>
      <c r="L187">
        <v>13551</v>
      </c>
      <c r="M187">
        <v>1979</v>
      </c>
      <c r="N187" t="s">
        <v>16393</v>
      </c>
      <c r="O187" s="4">
        <v>38286</v>
      </c>
      <c r="P187" s="4">
        <v>142218</v>
      </c>
      <c r="Q187" s="4">
        <v>180504</v>
      </c>
      <c r="R187" s="4">
        <v>541512</v>
      </c>
      <c r="S187" t="s">
        <v>16572</v>
      </c>
      <c r="T187" s="6">
        <v>42186</v>
      </c>
      <c r="U187" s="4">
        <v>200000</v>
      </c>
      <c r="V187" t="s">
        <v>16232</v>
      </c>
      <c r="W187" t="s">
        <v>23826</v>
      </c>
      <c r="X187" t="s">
        <v>3</v>
      </c>
      <c r="AA187" s="5" t="str">
        <f>HYPERLINK("https://www.zillow.com/homes/122-WALTER-CT-BLOOMINGDALE-IL-60108_rb/","check listing")</f>
        <v>check listing</v>
      </c>
      <c r="AB187" s="5" t="str">
        <f>HYPERLINK("https://propertylookup.dupagecounty.gov/Datalets/Datalet.aspx?UseSearch=no&amp;mode=sales&amp;pin=0215104008","sales record")</f>
        <v>sales record</v>
      </c>
      <c r="AC187" t="s">
        <v>3</v>
      </c>
      <c r="AD187">
        <v>41.959562</v>
      </c>
      <c r="AE187">
        <v>-88.083292</v>
      </c>
      <c r="AF187" s="5" t="str">
        <f>HYPERLINK("https://www.google.com/maps/search/?api=1&amp;query=41.959562,-88.083292","map")</f>
        <v>map</v>
      </c>
    </row>
    <row r="188" spans="1:32">
      <c r="A188" t="s">
        <v>238</v>
      </c>
      <c r="B188" t="s">
        <v>7822</v>
      </c>
      <c r="C188" t="s">
        <v>15118</v>
      </c>
      <c r="D188" t="s">
        <v>16196</v>
      </c>
      <c r="E188" t="s">
        <v>16218</v>
      </c>
      <c r="F188" t="s">
        <v>16222</v>
      </c>
      <c r="G188" t="s">
        <v>16232</v>
      </c>
      <c r="H188" t="s">
        <v>16232</v>
      </c>
      <c r="I188" t="s">
        <v>16311</v>
      </c>
      <c r="J188" t="s">
        <v>16387</v>
      </c>
      <c r="K188">
        <v>0.311</v>
      </c>
      <c r="L188">
        <v>13545</v>
      </c>
      <c r="M188">
        <v>2967</v>
      </c>
      <c r="N188" t="s">
        <v>16393</v>
      </c>
      <c r="O188" s="4">
        <v>38286</v>
      </c>
      <c r="P188" s="4">
        <v>215322</v>
      </c>
      <c r="Q188" s="4">
        <v>253608</v>
      </c>
      <c r="R188" s="4">
        <v>760824</v>
      </c>
      <c r="S188" t="s">
        <v>16573</v>
      </c>
      <c r="T188" s="6">
        <v>37987</v>
      </c>
      <c r="U188" s="4">
        <v>130000</v>
      </c>
      <c r="V188" t="s">
        <v>23739</v>
      </c>
      <c r="W188" t="s">
        <v>16573</v>
      </c>
      <c r="X188" t="s">
        <v>3</v>
      </c>
      <c r="AA188" s="5" t="str">
        <f>HYPERLINK("https://www.zillow.com/homes/124-WALTER-CT-BLOOMINGDALE-IL-60108_rb/","check listing")</f>
        <v>check listing</v>
      </c>
      <c r="AB188" s="5" t="str">
        <f>HYPERLINK("https://propertylookup.dupagecounty.gov/Datalets/Datalet.aspx?UseSearch=no&amp;mode=sales&amp;pin=0215104007","sales record")</f>
        <v>sales record</v>
      </c>
      <c r="AC188" t="s">
        <v>3</v>
      </c>
      <c r="AD188">
        <v>41.959822</v>
      </c>
      <c r="AE188">
        <v>-88.083308</v>
      </c>
      <c r="AF188" s="5" t="str">
        <f>HYPERLINK("https://www.google.com/maps/search/?api=1&amp;query=41.959822,-88.083308","map")</f>
        <v>map</v>
      </c>
    </row>
    <row r="189" spans="1:32">
      <c r="A189" t="s">
        <v>239</v>
      </c>
      <c r="B189" t="s">
        <v>7823</v>
      </c>
      <c r="C189" t="s">
        <v>15118</v>
      </c>
      <c r="D189" t="s">
        <v>16196</v>
      </c>
      <c r="E189" t="s">
        <v>16218</v>
      </c>
      <c r="F189" t="s">
        <v>16222</v>
      </c>
      <c r="G189" t="s">
        <v>16232</v>
      </c>
      <c r="H189" t="s">
        <v>16232</v>
      </c>
      <c r="I189" t="s">
        <v>16311</v>
      </c>
      <c r="J189" t="s">
        <v>16387</v>
      </c>
      <c r="K189">
        <v>0.295</v>
      </c>
      <c r="L189">
        <v>12854</v>
      </c>
      <c r="M189">
        <v>1319</v>
      </c>
      <c r="N189" t="s">
        <v>16393</v>
      </c>
      <c r="O189" s="4">
        <v>38286</v>
      </c>
      <c r="P189" s="4">
        <v>73308</v>
      </c>
      <c r="Q189" s="4">
        <v>111594</v>
      </c>
      <c r="R189" s="4">
        <v>334782</v>
      </c>
      <c r="S189" t="s">
        <v>16574</v>
      </c>
      <c r="T189" s="6">
        <v>35278</v>
      </c>
      <c r="U189" s="4">
        <v>165900</v>
      </c>
      <c r="X189" t="s">
        <v>3</v>
      </c>
      <c r="AA189" s="5" t="str">
        <f>HYPERLINK("https://www.zillow.com/homes/120-W-WASHINGTON-BLOOMINGDALE-IL-60108_rb/","check listing")</f>
        <v>check listing</v>
      </c>
      <c r="AB189" s="5" t="str">
        <f>HYPERLINK("https://propertylookup.dupagecounty.gov/Datalets/Datalet.aspx?UseSearch=no&amp;mode=sales&amp;pin=0215113003","sales record")</f>
        <v>sales record</v>
      </c>
      <c r="AC189" t="s">
        <v>3</v>
      </c>
      <c r="AD189">
        <v>41.955038</v>
      </c>
      <c r="AE189">
        <v>-88.083415</v>
      </c>
      <c r="AF189" s="5" t="str">
        <f>HYPERLINK("https://www.google.com/maps/search/?api=1&amp;query=41.955038,-88.083415","map")</f>
        <v>map</v>
      </c>
    </row>
    <row r="190" spans="1:32">
      <c r="A190" t="s">
        <v>240</v>
      </c>
      <c r="B190" t="s">
        <v>7824</v>
      </c>
      <c r="C190" t="s">
        <v>15118</v>
      </c>
      <c r="D190" t="s">
        <v>16196</v>
      </c>
      <c r="E190" t="s">
        <v>16218</v>
      </c>
      <c r="F190" t="s">
        <v>16222</v>
      </c>
      <c r="G190" t="s">
        <v>16232</v>
      </c>
      <c r="H190" t="s">
        <v>16232</v>
      </c>
      <c r="I190" t="s">
        <v>16311</v>
      </c>
      <c r="J190" t="s">
        <v>16387</v>
      </c>
      <c r="K190">
        <v>0.295</v>
      </c>
      <c r="L190">
        <v>12847</v>
      </c>
      <c r="M190">
        <v>2506</v>
      </c>
      <c r="N190" t="s">
        <v>16393</v>
      </c>
      <c r="O190" s="4">
        <v>38286</v>
      </c>
      <c r="P190" s="4">
        <v>100681</v>
      </c>
      <c r="Q190" s="4">
        <v>138967</v>
      </c>
      <c r="R190" s="4">
        <v>416901</v>
      </c>
      <c r="S190" t="s">
        <v>16575</v>
      </c>
      <c r="T190" s="6">
        <v>40725</v>
      </c>
      <c r="U190" s="4">
        <v>277000</v>
      </c>
      <c r="V190" t="s">
        <v>23739</v>
      </c>
      <c r="W190" t="s">
        <v>16575</v>
      </c>
      <c r="X190" t="s">
        <v>3</v>
      </c>
      <c r="AA190" s="5" t="str">
        <f>HYPERLINK("https://www.zillow.com/homes/116-W-WASHINGTON-ST-BLOOMINGDALE-IL-60108_rb/","check listing")</f>
        <v>check listing</v>
      </c>
      <c r="AB190" s="5" t="str">
        <f>HYPERLINK("https://propertylookup.dupagecounty.gov/Datalets/Datalet.aspx?UseSearch=no&amp;mode=sales&amp;pin=0215113004","sales record")</f>
        <v>sales record</v>
      </c>
      <c r="AC190" t="s">
        <v>3</v>
      </c>
      <c r="AD190">
        <v>41.955044</v>
      </c>
      <c r="AE190">
        <v>-88.08310899999999</v>
      </c>
      <c r="AF190" s="5" t="str">
        <f>HYPERLINK("https://www.google.com/maps/search/?api=1&amp;query=41.955044,-88.083109","map")</f>
        <v>map</v>
      </c>
    </row>
    <row r="191" spans="1:32">
      <c r="A191" t="s">
        <v>241</v>
      </c>
      <c r="B191" t="s">
        <v>7825</v>
      </c>
      <c r="C191" t="s">
        <v>15118</v>
      </c>
      <c r="D191" t="s">
        <v>16196</v>
      </c>
      <c r="E191" t="s">
        <v>16218</v>
      </c>
      <c r="F191" t="s">
        <v>16222</v>
      </c>
      <c r="G191" t="s">
        <v>16232</v>
      </c>
      <c r="H191" t="s">
        <v>16232</v>
      </c>
      <c r="I191" t="s">
        <v>16311</v>
      </c>
      <c r="J191" t="s">
        <v>16387</v>
      </c>
      <c r="K191">
        <v>0.294</v>
      </c>
      <c r="L191">
        <v>12824</v>
      </c>
      <c r="M191">
        <v>3265</v>
      </c>
      <c r="N191" t="s">
        <v>16393</v>
      </c>
      <c r="O191" s="4">
        <v>38286</v>
      </c>
      <c r="P191" s="4">
        <v>98206</v>
      </c>
      <c r="Q191" s="4">
        <v>136492</v>
      </c>
      <c r="R191" s="4">
        <v>409476</v>
      </c>
      <c r="S191" t="s">
        <v>16576</v>
      </c>
      <c r="T191" s="6">
        <v>35551</v>
      </c>
      <c r="U191" s="4">
        <v>154000</v>
      </c>
      <c r="X191" t="s">
        <v>3</v>
      </c>
      <c r="AA191" s="5" t="str">
        <f>HYPERLINK("https://www.zillow.com/homes/119-W-WASHINGTON-ST-BLOOMINGDALE-IL-60108_rb/","check listing")</f>
        <v>check listing</v>
      </c>
      <c r="AB191" s="5" t="str">
        <f>HYPERLINK("https://propertylookup.dupagecounty.gov/Datalets/Datalet.aspx?UseSearch=no&amp;mode=sales&amp;pin=0215111010","sales record")</f>
        <v>sales record</v>
      </c>
      <c r="AC191" t="s">
        <v>3</v>
      </c>
      <c r="AD191">
        <v>41.955808</v>
      </c>
      <c r="AE191">
        <v>-88.083448</v>
      </c>
      <c r="AF191" s="5" t="str">
        <f>HYPERLINK("https://www.google.com/maps/search/?api=1&amp;query=41.955808,-88.083448","map")</f>
        <v>map</v>
      </c>
    </row>
    <row r="192" spans="1:32">
      <c r="A192" t="s">
        <v>242</v>
      </c>
      <c r="B192" t="s">
        <v>7826</v>
      </c>
      <c r="C192" t="s">
        <v>15120</v>
      </c>
      <c r="D192" t="s">
        <v>16196</v>
      </c>
      <c r="E192" t="s">
        <v>16218</v>
      </c>
      <c r="F192" t="s">
        <v>16222</v>
      </c>
      <c r="G192" t="s">
        <v>16232</v>
      </c>
      <c r="H192" t="s">
        <v>16232</v>
      </c>
      <c r="I192" t="s">
        <v>16311</v>
      </c>
      <c r="J192" t="s">
        <v>16387</v>
      </c>
      <c r="K192">
        <v>0.294</v>
      </c>
      <c r="L192">
        <v>12799</v>
      </c>
      <c r="M192">
        <v>2242</v>
      </c>
      <c r="N192" t="s">
        <v>16393</v>
      </c>
      <c r="O192" s="4">
        <v>38286</v>
      </c>
      <c r="P192" s="4">
        <v>79835</v>
      </c>
      <c r="Q192" s="4">
        <v>118121</v>
      </c>
      <c r="R192" s="4">
        <v>354363</v>
      </c>
      <c r="S192" t="s">
        <v>16577</v>
      </c>
      <c r="T192" s="6">
        <v>40391</v>
      </c>
      <c r="U192" s="4">
        <v>199000</v>
      </c>
      <c r="V192" t="s">
        <v>16232</v>
      </c>
      <c r="W192" t="s">
        <v>23827</v>
      </c>
      <c r="X192" t="s">
        <v>3</v>
      </c>
      <c r="AA192" s="5" t="str">
        <f>HYPERLINK("https://www.zillow.com/homes/117-WASHINGTON-ST-BLOOMINGDALE-IL-601081214_rb/","check listing")</f>
        <v>check listing</v>
      </c>
      <c r="AB192" s="5" t="str">
        <f>HYPERLINK("https://propertylookup.dupagecounty.gov/Datalets/Datalet.aspx?UseSearch=no&amp;mode=sales&amp;pin=0215111011","sales record")</f>
        <v>sales record</v>
      </c>
      <c r="AC192" t="s">
        <v>3</v>
      </c>
      <c r="AD192">
        <v>41.955813</v>
      </c>
      <c r="AE192">
        <v>-88.083141</v>
      </c>
      <c r="AF192" s="5" t="str">
        <f>HYPERLINK("https://www.google.com/maps/search/?api=1&amp;query=41.955813,-88.083141","map")</f>
        <v>map</v>
      </c>
    </row>
    <row r="193" spans="1:32">
      <c r="A193" t="s">
        <v>243</v>
      </c>
      <c r="B193" t="s">
        <v>7827</v>
      </c>
      <c r="C193" t="s">
        <v>15121</v>
      </c>
      <c r="D193" t="s">
        <v>16196</v>
      </c>
      <c r="E193" t="s">
        <v>16218</v>
      </c>
      <c r="F193" t="s">
        <v>16222</v>
      </c>
      <c r="G193" t="s">
        <v>16232</v>
      </c>
      <c r="H193" t="s">
        <v>16232</v>
      </c>
      <c r="I193" t="s">
        <v>16311</v>
      </c>
      <c r="J193" t="s">
        <v>16387</v>
      </c>
      <c r="K193">
        <v>0.293</v>
      </c>
      <c r="L193">
        <v>12780</v>
      </c>
      <c r="N193" t="s">
        <v>16393</v>
      </c>
      <c r="O193" s="4">
        <v>38286</v>
      </c>
      <c r="P193" s="4">
        <v>72089</v>
      </c>
      <c r="Q193" s="4">
        <v>110375</v>
      </c>
      <c r="R193" s="4">
        <v>331125</v>
      </c>
      <c r="S193" t="s">
        <v>16578</v>
      </c>
      <c r="T193" s="6">
        <v>45847</v>
      </c>
      <c r="U193" s="4">
        <v>400000</v>
      </c>
      <c r="V193" t="s">
        <v>23739</v>
      </c>
      <c r="W193" t="s">
        <v>23828</v>
      </c>
      <c r="X193" t="s">
        <v>3</v>
      </c>
      <c r="AA193" s="5" t="str">
        <f>HYPERLINK("https://www.zillow.com/homes/114-WASHINGTON-ST-BLOOMINGDALE-IL-601081236_rb/","check listing")</f>
        <v>check listing</v>
      </c>
      <c r="AB193" s="5" t="str">
        <f>HYPERLINK("https://propertylookup.dupagecounty.gov/Datalets/Datalet.aspx?UseSearch=no&amp;mode=sales&amp;pin=0215113005","sales record")</f>
        <v>sales record</v>
      </c>
      <c r="AC193" t="s">
        <v>3</v>
      </c>
      <c r="AD193">
        <v>41.95505</v>
      </c>
      <c r="AE193">
        <v>-88.082804</v>
      </c>
      <c r="AF193" s="5" t="str">
        <f>HYPERLINK("https://www.google.com/maps/search/?api=1&amp;query=41.95505,-88.082804","map")</f>
        <v>map</v>
      </c>
    </row>
    <row r="194" spans="1:32">
      <c r="A194" t="s">
        <v>244</v>
      </c>
      <c r="B194" t="s">
        <v>7828</v>
      </c>
      <c r="C194" t="s">
        <v>15122</v>
      </c>
      <c r="D194" t="s">
        <v>16196</v>
      </c>
      <c r="E194" t="s">
        <v>16218</v>
      </c>
      <c r="F194" t="s">
        <v>16222</v>
      </c>
      <c r="G194" t="s">
        <v>16232</v>
      </c>
      <c r="H194" t="s">
        <v>16232</v>
      </c>
      <c r="I194" t="s">
        <v>16311</v>
      </c>
      <c r="J194" t="s">
        <v>16387</v>
      </c>
      <c r="K194">
        <v>0.293</v>
      </c>
      <c r="L194">
        <v>12768</v>
      </c>
      <c r="M194">
        <v>2639</v>
      </c>
      <c r="N194" t="s">
        <v>16393</v>
      </c>
      <c r="O194" s="4">
        <v>38286</v>
      </c>
      <c r="P194" s="4">
        <v>85859</v>
      </c>
      <c r="Q194" s="4">
        <v>124145</v>
      </c>
      <c r="R194" s="4">
        <v>372435</v>
      </c>
      <c r="S194" t="s">
        <v>16579</v>
      </c>
      <c r="T194" s="6">
        <v>44075</v>
      </c>
      <c r="U194" s="4">
        <v>220000</v>
      </c>
      <c r="V194" t="s">
        <v>23740</v>
      </c>
      <c r="W194" t="s">
        <v>16579</v>
      </c>
      <c r="X194" t="s">
        <v>3</v>
      </c>
      <c r="AA194" s="5" t="str">
        <f>HYPERLINK("https://www.zillow.com/homes/128-3RD-ST-BLOOMINGDALE-IL-601081235_rb/","check listing")</f>
        <v>check listing</v>
      </c>
      <c r="AB194" s="5" t="str">
        <f>HYPERLINK("https://propertylookup.dupagecounty.gov/Datalets/Datalet.aspx?UseSearch=no&amp;mode=sales&amp;pin=0215113006","sales record")</f>
        <v>sales record</v>
      </c>
      <c r="AC194" t="s">
        <v>3</v>
      </c>
      <c r="AD194">
        <v>41.955057</v>
      </c>
      <c r="AE194">
        <v>-88.082499</v>
      </c>
      <c r="AF194" s="5" t="str">
        <f>HYPERLINK("https://www.google.com/maps/search/?api=1&amp;query=41.955057,-88.082499","map")</f>
        <v>map</v>
      </c>
    </row>
    <row r="195" spans="1:32">
      <c r="A195" t="s">
        <v>245</v>
      </c>
      <c r="B195" t="s">
        <v>7829</v>
      </c>
      <c r="C195" t="s">
        <v>15123</v>
      </c>
      <c r="D195" t="s">
        <v>16196</v>
      </c>
      <c r="E195" t="s">
        <v>16218</v>
      </c>
      <c r="F195" t="s">
        <v>16222</v>
      </c>
      <c r="G195" t="s">
        <v>16232</v>
      </c>
      <c r="H195" t="s">
        <v>16232</v>
      </c>
      <c r="I195" t="s">
        <v>16311</v>
      </c>
      <c r="J195" t="s">
        <v>16387</v>
      </c>
      <c r="K195">
        <v>0.291</v>
      </c>
      <c r="L195">
        <v>12669</v>
      </c>
      <c r="M195">
        <v>2968</v>
      </c>
      <c r="N195" t="s">
        <v>16393</v>
      </c>
      <c r="O195" s="4">
        <v>38286</v>
      </c>
      <c r="P195" s="4">
        <v>75172</v>
      </c>
      <c r="Q195" s="4">
        <v>113458</v>
      </c>
      <c r="R195" s="4">
        <v>340374</v>
      </c>
      <c r="S195" t="s">
        <v>16580</v>
      </c>
      <c r="T195" s="6">
        <v>46077</v>
      </c>
      <c r="U195" s="4">
        <v>515000</v>
      </c>
      <c r="V195" t="s">
        <v>23739</v>
      </c>
      <c r="W195" t="s">
        <v>23829</v>
      </c>
      <c r="X195" t="s">
        <v>3</v>
      </c>
      <c r="AA195" s="5" t="str">
        <f>HYPERLINK("https://www.zillow.com/homes/120-WALTER-CT-BLOOMINGDALE-IL-601081014_rb/","check listing")</f>
        <v>check listing</v>
      </c>
      <c r="AB195" s="5" t="str">
        <f>HYPERLINK("https://propertylookup.dupagecounty.gov/Datalets/Datalet.aspx?UseSearch=no&amp;mode=sales&amp;pin=0215104009","sales record")</f>
        <v>sales record</v>
      </c>
      <c r="AC195" t="s">
        <v>3</v>
      </c>
      <c r="AD195">
        <v>41.959365</v>
      </c>
      <c r="AE195">
        <v>-88.08331200000001</v>
      </c>
      <c r="AF195" s="5" t="str">
        <f>HYPERLINK("https://www.google.com/maps/search/?api=1&amp;query=41.959365,-88.083312","map")</f>
        <v>map</v>
      </c>
    </row>
    <row r="196" spans="1:32">
      <c r="A196" t="s">
        <v>246</v>
      </c>
      <c r="B196" t="s">
        <v>7830</v>
      </c>
      <c r="C196" t="s">
        <v>15118</v>
      </c>
      <c r="D196" t="s">
        <v>16196</v>
      </c>
      <c r="E196" t="s">
        <v>16218</v>
      </c>
      <c r="F196" t="s">
        <v>16222</v>
      </c>
      <c r="G196" t="s">
        <v>16232</v>
      </c>
      <c r="H196" t="s">
        <v>16232</v>
      </c>
      <c r="I196" t="s">
        <v>16311</v>
      </c>
      <c r="J196" t="s">
        <v>16387</v>
      </c>
      <c r="K196">
        <v>0.26</v>
      </c>
      <c r="L196">
        <v>11346</v>
      </c>
      <c r="M196">
        <v>990</v>
      </c>
      <c r="N196" t="s">
        <v>16393</v>
      </c>
      <c r="O196" s="4">
        <v>38286</v>
      </c>
      <c r="P196" s="4">
        <v>71396</v>
      </c>
      <c r="Q196" s="4">
        <v>109682</v>
      </c>
      <c r="R196" s="4">
        <v>329046</v>
      </c>
      <c r="S196" t="s">
        <v>16581</v>
      </c>
      <c r="T196" s="6">
        <v>29983</v>
      </c>
      <c r="U196" s="4">
        <v>66500</v>
      </c>
      <c r="X196" t="s">
        <v>3</v>
      </c>
      <c r="AA196" s="5" t="str">
        <f>HYPERLINK("https://www.zillow.com/homes/109-DAY-ST-BLOOMINGDALE-IL-60108_rb/","check listing")</f>
        <v>check listing</v>
      </c>
      <c r="AB196" s="5" t="str">
        <f>HYPERLINK("https://propertylookup.dupagecounty.gov/Datalets/Datalet.aspx?UseSearch=no&amp;mode=sales&amp;pin=0215111002","sales record")</f>
        <v>sales record</v>
      </c>
      <c r="AC196" t="s">
        <v>3</v>
      </c>
      <c r="AD196">
        <v>41.956372</v>
      </c>
      <c r="AE196">
        <v>-88.083428</v>
      </c>
      <c r="AF196" s="5" t="str">
        <f>HYPERLINK("https://www.google.com/maps/search/?api=1&amp;query=41.956372,-88.083428","map")</f>
        <v>map</v>
      </c>
    </row>
    <row r="197" spans="1:32">
      <c r="A197" t="s">
        <v>247</v>
      </c>
      <c r="B197" t="s">
        <v>7831</v>
      </c>
      <c r="C197" t="s">
        <v>15119</v>
      </c>
      <c r="D197" t="s">
        <v>16196</v>
      </c>
      <c r="E197" t="s">
        <v>16218</v>
      </c>
      <c r="F197" t="s">
        <v>16222</v>
      </c>
      <c r="G197" t="s">
        <v>16232</v>
      </c>
      <c r="H197" t="s">
        <v>16232</v>
      </c>
      <c r="I197" t="s">
        <v>16311</v>
      </c>
      <c r="J197" t="s">
        <v>16387</v>
      </c>
      <c r="K197">
        <v>0.249</v>
      </c>
      <c r="L197">
        <v>10855</v>
      </c>
      <c r="M197">
        <v>2112</v>
      </c>
      <c r="N197" t="s">
        <v>16393</v>
      </c>
      <c r="O197" s="4">
        <v>38286</v>
      </c>
      <c r="P197" s="4">
        <v>101517</v>
      </c>
      <c r="Q197" s="4">
        <v>139803</v>
      </c>
      <c r="R197" s="4">
        <v>419409</v>
      </c>
      <c r="S197" t="s">
        <v>16582</v>
      </c>
      <c r="T197" s="6">
        <v>35704</v>
      </c>
      <c r="U197" s="4">
        <v>139000</v>
      </c>
      <c r="X197" t="s">
        <v>3</v>
      </c>
      <c r="AA197" s="5" t="str">
        <f>HYPERLINK("https://www.zillow.com/homes/117-1ST-ST-BLOOMINGDALE-IL-601081219_rb/","check listing")</f>
        <v>check listing</v>
      </c>
      <c r="AB197" s="5" t="str">
        <f>HYPERLINK("https://propertylookup.dupagecounty.gov/Datalets/Datalet.aspx?UseSearch=no&amp;mode=sales&amp;pin=0215204027","sales record")</f>
        <v>sales record</v>
      </c>
      <c r="AC197" t="s">
        <v>3</v>
      </c>
      <c r="AD197">
        <v>41.956083</v>
      </c>
      <c r="AE197">
        <v>-88.079528</v>
      </c>
      <c r="AF197" s="5" t="str">
        <f>HYPERLINK("https://www.google.com/maps/search/?api=1&amp;query=41.956083,-88.079528","map")</f>
        <v>map</v>
      </c>
    </row>
    <row r="198" spans="1:32">
      <c r="A198" t="s">
        <v>248</v>
      </c>
      <c r="B198" t="s">
        <v>7832</v>
      </c>
      <c r="C198" t="s">
        <v>15118</v>
      </c>
      <c r="D198" t="s">
        <v>16196</v>
      </c>
      <c r="E198" t="s">
        <v>16218</v>
      </c>
      <c r="F198" t="s">
        <v>16222</v>
      </c>
      <c r="G198" t="s">
        <v>16232</v>
      </c>
      <c r="H198" t="s">
        <v>16232</v>
      </c>
      <c r="I198" t="s">
        <v>16311</v>
      </c>
      <c r="J198" t="s">
        <v>16387</v>
      </c>
      <c r="K198">
        <v>0.248</v>
      </c>
      <c r="L198">
        <v>10800</v>
      </c>
      <c r="M198">
        <v>2459</v>
      </c>
      <c r="N198" t="s">
        <v>16393</v>
      </c>
      <c r="O198" s="4">
        <v>38286</v>
      </c>
      <c r="P198" s="4">
        <v>81077</v>
      </c>
      <c r="Q198" s="4">
        <v>119363</v>
      </c>
      <c r="R198" s="4">
        <v>358089</v>
      </c>
      <c r="S198" t="s">
        <v>16583</v>
      </c>
      <c r="X198" t="s">
        <v>3</v>
      </c>
      <c r="AA198" s="5" t="str">
        <f>HYPERLINK("https://www.zillow.com/homes/126-FIRST-ST-BLOOMINGDALE-IL-60108_rb/","check listing")</f>
        <v>check listing</v>
      </c>
      <c r="AB198" s="5" t="str">
        <f>HYPERLINK("https://propertylookup.dupagecounty.gov/Datalets/Datalet.aspx?UseSearch=no&amp;mode=sales&amp;pin=0215203022","sales record")</f>
        <v>sales record</v>
      </c>
      <c r="AC198" t="s">
        <v>27873</v>
      </c>
      <c r="AD198">
        <v>41.955175</v>
      </c>
      <c r="AE198">
        <v>-88.080191</v>
      </c>
      <c r="AF198" s="5" t="str">
        <f>HYPERLINK("https://www.google.com/maps/search/?api=1&amp;query=41.955175,-88.080191","map")</f>
        <v>map</v>
      </c>
    </row>
    <row r="199" spans="1:32">
      <c r="A199" t="s">
        <v>249</v>
      </c>
      <c r="B199" t="s">
        <v>7833</v>
      </c>
      <c r="C199" t="s">
        <v>15124</v>
      </c>
      <c r="D199" t="s">
        <v>16196</v>
      </c>
      <c r="E199" t="s">
        <v>16218</v>
      </c>
      <c r="F199" t="s">
        <v>16222</v>
      </c>
      <c r="G199" t="s">
        <v>16232</v>
      </c>
      <c r="H199" t="s">
        <v>16232</v>
      </c>
      <c r="I199" t="s">
        <v>16311</v>
      </c>
      <c r="J199" t="s">
        <v>16387</v>
      </c>
      <c r="K199">
        <v>0.198</v>
      </c>
      <c r="L199">
        <v>8641</v>
      </c>
      <c r="M199">
        <v>2192</v>
      </c>
      <c r="N199" t="s">
        <v>16393</v>
      </c>
      <c r="O199" s="4">
        <v>38286</v>
      </c>
      <c r="P199" s="4">
        <v>72603</v>
      </c>
      <c r="Q199" s="4">
        <v>110889</v>
      </c>
      <c r="R199" s="4">
        <v>332667</v>
      </c>
      <c r="S199" t="s">
        <v>16584</v>
      </c>
      <c r="T199" s="6">
        <v>44197</v>
      </c>
      <c r="U199" s="4">
        <v>200000</v>
      </c>
      <c r="V199" t="s">
        <v>23739</v>
      </c>
      <c r="W199" t="s">
        <v>23830</v>
      </c>
      <c r="X199" t="s">
        <v>3</v>
      </c>
      <c r="AA199" s="5" t="str">
        <f>HYPERLINK("https://www.zillow.com/homes/124-1ST-ST-BLOOMINGDALE-IL-601081242_rb/","check listing")</f>
        <v>check listing</v>
      </c>
      <c r="AB199" s="5" t="str">
        <f>HYPERLINK("https://propertylookup.dupagecounty.gov/Datalets/Datalet.aspx?UseSearch=no&amp;mode=sales&amp;pin=0215203023","sales record")</f>
        <v>sales record</v>
      </c>
      <c r="AC199" t="s">
        <v>3</v>
      </c>
      <c r="AD199">
        <v>41.95548</v>
      </c>
      <c r="AE199">
        <v>-88.08020399999999</v>
      </c>
      <c r="AF199" s="5" t="str">
        <f>HYPERLINK("https://www.google.com/maps/search/?api=1&amp;query=41.95548,-88.080204","map")</f>
        <v>map</v>
      </c>
    </row>
    <row r="200" spans="1:32">
      <c r="A200" t="s">
        <v>250</v>
      </c>
      <c r="B200" t="s">
        <v>7834</v>
      </c>
      <c r="C200" t="s">
        <v>15124</v>
      </c>
      <c r="D200" t="s">
        <v>16196</v>
      </c>
      <c r="E200" t="s">
        <v>16218</v>
      </c>
      <c r="F200" t="s">
        <v>16222</v>
      </c>
      <c r="G200" t="s">
        <v>16232</v>
      </c>
      <c r="H200" t="s">
        <v>16232</v>
      </c>
      <c r="I200" t="s">
        <v>16311</v>
      </c>
      <c r="J200" t="s">
        <v>16387</v>
      </c>
      <c r="K200">
        <v>0.165</v>
      </c>
      <c r="L200">
        <v>7200</v>
      </c>
      <c r="M200">
        <v>594</v>
      </c>
      <c r="N200" t="s">
        <v>16393</v>
      </c>
      <c r="O200" s="4">
        <v>38286</v>
      </c>
      <c r="P200" s="4">
        <v>125770</v>
      </c>
      <c r="Q200" s="4">
        <v>164056</v>
      </c>
      <c r="R200" s="4">
        <v>492168</v>
      </c>
      <c r="S200" t="s">
        <v>16585</v>
      </c>
      <c r="T200" s="6">
        <v>45358</v>
      </c>
      <c r="U200" s="4">
        <v>412000</v>
      </c>
      <c r="V200" t="s">
        <v>23739</v>
      </c>
      <c r="W200" t="s">
        <v>23831</v>
      </c>
      <c r="X200" t="s">
        <v>3</v>
      </c>
      <c r="AA200" s="5" t="str">
        <f>HYPERLINK("https://www.zillow.com/homes/128-1ST-ST-BLOOMINGDALE-IL-601081242_rb/","check listing")</f>
        <v>check listing</v>
      </c>
      <c r="AB200" s="5" t="str">
        <f>HYPERLINK("https://propertylookup.dupagecounty.gov/Datalets/Datalet.aspx?UseSearch=no&amp;mode=sales&amp;pin=0215203014","sales record")</f>
        <v>sales record</v>
      </c>
      <c r="AC200" t="s">
        <v>27873</v>
      </c>
      <c r="AD200">
        <v>41.955011</v>
      </c>
      <c r="AE200">
        <v>-88.08018300000001</v>
      </c>
      <c r="AF200" s="5" t="str">
        <f>HYPERLINK("https://www.google.com/maps/search/?api=1&amp;query=41.955011,-88.080183","map")</f>
        <v>map</v>
      </c>
    </row>
    <row r="201" spans="1:32">
      <c r="A201" t="s">
        <v>251</v>
      </c>
      <c r="B201" t="s">
        <v>7835</v>
      </c>
      <c r="C201" t="s">
        <v>15118</v>
      </c>
      <c r="D201" t="s">
        <v>16196</v>
      </c>
      <c r="E201" t="s">
        <v>16218</v>
      </c>
      <c r="F201" t="s">
        <v>16222</v>
      </c>
      <c r="G201" t="s">
        <v>16232</v>
      </c>
      <c r="H201" t="s">
        <v>16232</v>
      </c>
      <c r="I201" t="s">
        <v>16311</v>
      </c>
      <c r="J201" t="s">
        <v>16387</v>
      </c>
      <c r="K201">
        <v>0.165</v>
      </c>
      <c r="L201">
        <v>7199</v>
      </c>
      <c r="M201">
        <v>1584</v>
      </c>
      <c r="N201" t="s">
        <v>16393</v>
      </c>
      <c r="O201" s="4">
        <v>38286</v>
      </c>
      <c r="P201" s="4">
        <v>42110</v>
      </c>
      <c r="Q201" s="4">
        <v>80396</v>
      </c>
      <c r="R201" s="4">
        <v>241188</v>
      </c>
      <c r="S201" t="s">
        <v>16586</v>
      </c>
      <c r="X201" t="s">
        <v>3</v>
      </c>
      <c r="AA201" s="5" t="str">
        <f>HYPERLINK("https://www.zillow.com/homes/138-S-1ST-ST-BLOOMINGDALE-IL-60108_rb/","check listing")</f>
        <v>check listing</v>
      </c>
      <c r="AB201" s="5" t="str">
        <f>HYPERLINK("https://propertylookup.dupagecounty.gov/Datalets/Datalet.aspx?UseSearch=no&amp;mode=sales&amp;pin=0215203019","sales record")</f>
        <v>sales record</v>
      </c>
      <c r="AC201" t="s">
        <v>3</v>
      </c>
      <c r="AD201">
        <v>41.954352</v>
      </c>
      <c r="AE201">
        <v>-88.08015399999999</v>
      </c>
      <c r="AF201" s="5" t="str">
        <f>HYPERLINK("https://www.google.com/maps/search/?api=1&amp;query=41.954352,-88.080154","map")</f>
        <v>map</v>
      </c>
    </row>
    <row r="202" spans="1:32">
      <c r="A202" t="s">
        <v>252</v>
      </c>
      <c r="B202" t="s">
        <v>7836</v>
      </c>
      <c r="C202" t="s">
        <v>15118</v>
      </c>
      <c r="D202" t="s">
        <v>16196</v>
      </c>
      <c r="E202" t="s">
        <v>16218</v>
      </c>
      <c r="F202" t="s">
        <v>16222</v>
      </c>
      <c r="G202" t="s">
        <v>16232</v>
      </c>
      <c r="H202" t="s">
        <v>16232</v>
      </c>
      <c r="I202" t="s">
        <v>16311</v>
      </c>
      <c r="J202" t="s">
        <v>16387</v>
      </c>
      <c r="K202">
        <v>0.165</v>
      </c>
      <c r="L202">
        <v>7199</v>
      </c>
      <c r="N202" t="s">
        <v>16393</v>
      </c>
      <c r="O202" s="4">
        <v>38286</v>
      </c>
      <c r="P202" s="4">
        <v>70989</v>
      </c>
      <c r="Q202" s="4">
        <v>109275</v>
      </c>
      <c r="R202" s="4">
        <v>327825</v>
      </c>
      <c r="S202" t="s">
        <v>16587</v>
      </c>
      <c r="T202" s="6">
        <v>32082</v>
      </c>
      <c r="U202" s="4">
        <v>65000</v>
      </c>
      <c r="X202" t="s">
        <v>3</v>
      </c>
      <c r="AA202" s="5" t="str">
        <f>HYPERLINK("https://www.zillow.com/homes/134-1ST-ST-BLOOMINGDALE-IL-60108_rb/","check listing")</f>
        <v>check listing</v>
      </c>
      <c r="AB202" s="5" t="str">
        <f>HYPERLINK("https://propertylookup.dupagecounty.gov/Datalets/Datalet.aspx?UseSearch=no&amp;mode=sales&amp;pin=0215203017","sales record")</f>
        <v>sales record</v>
      </c>
      <c r="AC202" t="s">
        <v>3</v>
      </c>
      <c r="AD202">
        <v>41.954681</v>
      </c>
      <c r="AE202">
        <v>-88.080169</v>
      </c>
      <c r="AF202" s="5" t="str">
        <f>HYPERLINK("https://www.google.com/maps/search/?api=1&amp;query=41.954681,-88.080169","map")</f>
        <v>map</v>
      </c>
    </row>
    <row r="203" spans="1:32">
      <c r="A203" t="s">
        <v>253</v>
      </c>
      <c r="B203" t="s">
        <v>7837</v>
      </c>
      <c r="C203" t="s">
        <v>15118</v>
      </c>
      <c r="D203" t="s">
        <v>16196</v>
      </c>
      <c r="E203" t="s">
        <v>16217</v>
      </c>
      <c r="F203" t="s">
        <v>16222</v>
      </c>
      <c r="G203" t="s">
        <v>16232</v>
      </c>
      <c r="H203" t="s">
        <v>16232</v>
      </c>
      <c r="I203" t="s">
        <v>16311</v>
      </c>
      <c r="J203" t="s">
        <v>16387</v>
      </c>
      <c r="K203">
        <v>0.852</v>
      </c>
      <c r="L203">
        <v>37098</v>
      </c>
      <c r="M203">
        <v>6615</v>
      </c>
      <c r="N203" t="s">
        <v>16393</v>
      </c>
      <c r="O203" s="4">
        <v>48752</v>
      </c>
      <c r="P203" s="4">
        <v>0</v>
      </c>
      <c r="Q203" s="4">
        <v>48752</v>
      </c>
      <c r="R203" s="4">
        <v>146256</v>
      </c>
      <c r="S203" t="s">
        <v>16588</v>
      </c>
      <c r="T203" s="6">
        <v>41852</v>
      </c>
      <c r="U203" s="4">
        <v>650000</v>
      </c>
      <c r="V203" t="s">
        <v>23739</v>
      </c>
      <c r="W203" t="s">
        <v>23823</v>
      </c>
      <c r="X203" t="s">
        <v>3</v>
      </c>
      <c r="AA203" s="5" t="str">
        <f>HYPERLINK("https://www.zillow.com/homes/132-RIDGE-BLOOMINGDALE-IL-60108_rb/","check listing")</f>
        <v>check listing</v>
      </c>
      <c r="AB203" s="5" t="str">
        <f>HYPERLINK("https://propertylookup.dupagecounty.gov/Datalets/Datalet.aspx?UseSearch=no&amp;mode=sales&amp;pin=0215204014","sales record")</f>
        <v>sales record</v>
      </c>
      <c r="AC203" t="s">
        <v>11</v>
      </c>
      <c r="AD203">
        <v>41.954927</v>
      </c>
      <c r="AE203">
        <v>-88.079033</v>
      </c>
      <c r="AF203" s="5" t="str">
        <f>HYPERLINK("https://www.google.com/maps/search/?api=1&amp;query=41.954927,-88.079033","map")</f>
        <v>map</v>
      </c>
    </row>
    <row r="204" spans="1:32">
      <c r="A204" t="s">
        <v>254</v>
      </c>
      <c r="B204" t="s">
        <v>7838</v>
      </c>
      <c r="C204" t="s">
        <v>15118</v>
      </c>
      <c r="D204" t="s">
        <v>16196</v>
      </c>
      <c r="E204" t="s">
        <v>16217</v>
      </c>
      <c r="F204" t="s">
        <v>16222</v>
      </c>
      <c r="G204" t="s">
        <v>16232</v>
      </c>
      <c r="H204" t="s">
        <v>16232</v>
      </c>
      <c r="I204" t="s">
        <v>16311</v>
      </c>
      <c r="J204" t="s">
        <v>16387</v>
      </c>
      <c r="K204">
        <v>0.672</v>
      </c>
      <c r="L204">
        <v>29271</v>
      </c>
      <c r="N204" t="s">
        <v>16392</v>
      </c>
      <c r="O204" s="4">
        <v>135117</v>
      </c>
      <c r="P204" s="4">
        <v>0</v>
      </c>
      <c r="Q204" s="4">
        <v>135117</v>
      </c>
      <c r="R204" s="4">
        <v>405351</v>
      </c>
      <c r="S204" t="s">
        <v>16589</v>
      </c>
      <c r="X204" t="s">
        <v>3</v>
      </c>
      <c r="AA204" s="5" t="str">
        <f>HYPERLINK("https://www.zillow.com/homes/139-W-LAKE-ST-BLOOMINGDALE-IL-60108_rb/","check listing")</f>
        <v>check listing</v>
      </c>
      <c r="AB204" s="5" t="str">
        <f>HYPERLINK("https://propertylookup.dupagecounty.gov/Datalets/Datalet.aspx?UseSearch=no&amp;mode=sales&amp;pin=0215101026","sales record")</f>
        <v>sales record</v>
      </c>
      <c r="AC204" t="s">
        <v>3</v>
      </c>
      <c r="AD204">
        <v>41.958513</v>
      </c>
      <c r="AE204">
        <v>-88.08536599999999</v>
      </c>
      <c r="AF204" s="5" t="str">
        <f>HYPERLINK("https://www.google.com/maps/search/?api=1&amp;query=41.958513,-88.085366","map")</f>
        <v>map</v>
      </c>
    </row>
    <row r="205" spans="1:32">
      <c r="A205" t="s">
        <v>255</v>
      </c>
      <c r="B205" t="s">
        <v>7839</v>
      </c>
      <c r="C205" t="s">
        <v>15125</v>
      </c>
      <c r="D205" t="s">
        <v>16196</v>
      </c>
      <c r="E205" t="s">
        <v>16217</v>
      </c>
      <c r="F205" t="s">
        <v>16222</v>
      </c>
      <c r="G205" t="s">
        <v>16232</v>
      </c>
      <c r="H205" t="s">
        <v>16232</v>
      </c>
      <c r="I205" t="s">
        <v>16311</v>
      </c>
      <c r="J205" t="s">
        <v>16387</v>
      </c>
      <c r="K205">
        <v>0.446</v>
      </c>
      <c r="L205">
        <v>19412</v>
      </c>
      <c r="N205" t="s">
        <v>16392</v>
      </c>
      <c r="O205" s="4">
        <v>52414</v>
      </c>
      <c r="P205" s="4">
        <v>0</v>
      </c>
      <c r="Q205" s="4">
        <v>52414</v>
      </c>
      <c r="R205" s="4">
        <v>157242</v>
      </c>
      <c r="S205" t="s">
        <v>16590</v>
      </c>
      <c r="T205" s="6">
        <v>42644</v>
      </c>
      <c r="U205" s="4">
        <v>43875</v>
      </c>
      <c r="V205" t="s">
        <v>23739</v>
      </c>
      <c r="W205" t="s">
        <v>23832</v>
      </c>
      <c r="X205" t="s">
        <v>3</v>
      </c>
      <c r="AA205" s="5" t="str">
        <f>HYPERLINK("https://www.zillow.com/homes/125-W-LAKE-ST-BLOOMINGDALE-IL-601081006_rb/","check listing")</f>
        <v>check listing</v>
      </c>
      <c r="AB205" s="5" t="str">
        <f>HYPERLINK("https://propertylookup.dupagecounty.gov/Datalets/Datalet.aspx?UseSearch=no&amp;mode=sales&amp;pin=0215104071","sales record")</f>
        <v>sales record</v>
      </c>
      <c r="AC205" t="s">
        <v>3</v>
      </c>
      <c r="AD205">
        <v>41.958184</v>
      </c>
      <c r="AE205">
        <v>-88.08391899999999</v>
      </c>
      <c r="AF205" s="5" t="str">
        <f>HYPERLINK("https://www.google.com/maps/search/?api=1&amp;query=41.958184,-88.083919","map")</f>
        <v>map</v>
      </c>
    </row>
    <row r="206" spans="1:32">
      <c r="A206" t="s">
        <v>256</v>
      </c>
      <c r="B206" t="s">
        <v>7840</v>
      </c>
      <c r="C206" t="s">
        <v>15118</v>
      </c>
      <c r="D206" t="s">
        <v>16196</v>
      </c>
      <c r="E206" t="s">
        <v>16217</v>
      </c>
      <c r="F206" t="s">
        <v>16222</v>
      </c>
      <c r="G206" t="s">
        <v>16232</v>
      </c>
      <c r="H206" t="s">
        <v>16232</v>
      </c>
      <c r="I206" t="s">
        <v>16311</v>
      </c>
      <c r="J206" t="s">
        <v>16387</v>
      </c>
      <c r="K206">
        <v>0.426</v>
      </c>
      <c r="L206">
        <v>18548</v>
      </c>
      <c r="M206">
        <v>989</v>
      </c>
      <c r="N206" t="s">
        <v>16393</v>
      </c>
      <c r="O206" s="4">
        <v>49474</v>
      </c>
      <c r="P206" s="4">
        <v>0</v>
      </c>
      <c r="Q206" s="4">
        <v>49474</v>
      </c>
      <c r="R206" s="4">
        <v>148422</v>
      </c>
      <c r="S206" t="s">
        <v>16591</v>
      </c>
      <c r="T206" s="6">
        <v>39630</v>
      </c>
      <c r="U206" s="4">
        <v>300000</v>
      </c>
      <c r="V206" t="s">
        <v>16232</v>
      </c>
      <c r="W206" t="s">
        <v>16593</v>
      </c>
      <c r="X206" t="s">
        <v>3</v>
      </c>
      <c r="AA206" s="5" t="str">
        <f>HYPERLINK("https://www.zillow.com/homes/135-1ST-ST-BLOOMINGDALE-IL-60108_rb/","check listing")</f>
        <v>check listing</v>
      </c>
      <c r="AB206" s="5" t="str">
        <f>HYPERLINK("https://propertylookup.dupagecounty.gov/Datalets/Datalet.aspx?UseSearch=no&amp;mode=sales&amp;pin=0215204015","sales record")</f>
        <v>sales record</v>
      </c>
      <c r="AC206" t="s">
        <v>11</v>
      </c>
      <c r="AD206">
        <v>41.954721</v>
      </c>
      <c r="AE206">
        <v>-88.079024</v>
      </c>
      <c r="AF206" s="5" t="str">
        <f>HYPERLINK("https://www.google.com/maps/search/?api=1&amp;query=41.954721,-88.079024","map")</f>
        <v>map</v>
      </c>
    </row>
    <row r="207" spans="1:32">
      <c r="A207" t="s">
        <v>257</v>
      </c>
      <c r="B207" t="s">
        <v>7841</v>
      </c>
      <c r="C207" t="s">
        <v>15118</v>
      </c>
      <c r="D207" t="s">
        <v>16196</v>
      </c>
      <c r="E207" t="s">
        <v>16217</v>
      </c>
      <c r="F207" t="s">
        <v>16222</v>
      </c>
      <c r="G207" t="s">
        <v>16232</v>
      </c>
      <c r="H207" t="s">
        <v>16232</v>
      </c>
      <c r="I207" t="s">
        <v>16311</v>
      </c>
      <c r="J207" t="s">
        <v>16387</v>
      </c>
      <c r="K207">
        <v>0.403</v>
      </c>
      <c r="L207">
        <v>17555</v>
      </c>
      <c r="N207" t="s">
        <v>16392</v>
      </c>
      <c r="O207" s="4">
        <v>58116</v>
      </c>
      <c r="P207" s="4">
        <v>0</v>
      </c>
      <c r="Q207" s="4">
        <v>58116</v>
      </c>
      <c r="R207" s="4">
        <v>174348</v>
      </c>
      <c r="S207" t="s">
        <v>16592</v>
      </c>
      <c r="T207" s="6">
        <v>30437</v>
      </c>
      <c r="U207" s="4">
        <v>95000</v>
      </c>
      <c r="X207" t="s">
        <v>3</v>
      </c>
      <c r="AA207" s="5" t="str">
        <f>HYPERLINK("https://www.zillow.com/homes/124-S-BLOOMINGDALE-RD-BLOOMINGDALE-IL-60108_rb/","check listing")</f>
        <v>check listing</v>
      </c>
      <c r="AB207" s="5" t="str">
        <f>HYPERLINK("https://propertylookup.dupagecounty.gov/Datalets/Datalet.aspx?UseSearch=no&amp;mode=sales&amp;pin=0215114005","sales record")</f>
        <v>sales record</v>
      </c>
      <c r="AC207" t="s">
        <v>3</v>
      </c>
      <c r="AD207">
        <v>41.955334</v>
      </c>
      <c r="AE207">
        <v>-88.08143099999999</v>
      </c>
      <c r="AF207" s="5" t="str">
        <f>HYPERLINK("https://www.google.com/maps/search/?api=1&amp;query=41.955334,-88.081431","map")</f>
        <v>map</v>
      </c>
    </row>
    <row r="208" spans="1:32">
      <c r="A208" t="s">
        <v>258</v>
      </c>
      <c r="B208" t="s">
        <v>7842</v>
      </c>
      <c r="C208" t="s">
        <v>15118</v>
      </c>
      <c r="D208" t="s">
        <v>16196</v>
      </c>
      <c r="E208" t="s">
        <v>16217</v>
      </c>
      <c r="F208" t="s">
        <v>16222</v>
      </c>
      <c r="G208" t="s">
        <v>16232</v>
      </c>
      <c r="H208" t="s">
        <v>16232</v>
      </c>
      <c r="I208" t="s">
        <v>16311</v>
      </c>
      <c r="J208" t="s">
        <v>16387</v>
      </c>
      <c r="K208">
        <v>0.36</v>
      </c>
      <c r="L208">
        <v>15679</v>
      </c>
      <c r="M208">
        <v>1187</v>
      </c>
      <c r="N208" t="s">
        <v>16393</v>
      </c>
      <c r="O208" s="4">
        <v>41144</v>
      </c>
      <c r="P208" s="4">
        <v>0</v>
      </c>
      <c r="Q208" s="4">
        <v>41144</v>
      </c>
      <c r="R208" s="4">
        <v>123432</v>
      </c>
      <c r="S208" t="s">
        <v>16593</v>
      </c>
      <c r="T208" s="6">
        <v>39295</v>
      </c>
      <c r="U208" s="4">
        <v>265000</v>
      </c>
      <c r="V208" t="s">
        <v>16232</v>
      </c>
      <c r="W208" t="s">
        <v>16593</v>
      </c>
      <c r="X208" t="s">
        <v>3</v>
      </c>
      <c r="AA208" s="5" t="str">
        <f>HYPERLINK("https://www.zillow.com/homes/139-5-FIRST-ST-BLOOMINGDALE-IL-60108_rb/","check listing")</f>
        <v>check listing</v>
      </c>
      <c r="AB208" s="5" t="str">
        <f>HYPERLINK("https://propertylookup.dupagecounty.gov/Datalets/Datalet.aspx?UseSearch=no&amp;mode=sales&amp;pin=0215204028","sales record")</f>
        <v>sales record</v>
      </c>
      <c r="AC208" t="s">
        <v>11</v>
      </c>
      <c r="AD208">
        <v>41.954387</v>
      </c>
      <c r="AE208">
        <v>-88.078558</v>
      </c>
      <c r="AF208" s="5" t="str">
        <f>HYPERLINK("https://www.google.com/maps/search/?api=1&amp;query=41.954387,-88.078558","map")</f>
        <v>map</v>
      </c>
    </row>
    <row r="209" spans="1:32">
      <c r="A209" t="s">
        <v>259</v>
      </c>
      <c r="B209" t="s">
        <v>7843</v>
      </c>
      <c r="C209" t="s">
        <v>15118</v>
      </c>
      <c r="D209" t="s">
        <v>16196</v>
      </c>
      <c r="E209" t="s">
        <v>16217</v>
      </c>
      <c r="F209" t="s">
        <v>16222</v>
      </c>
      <c r="G209" t="s">
        <v>16232</v>
      </c>
      <c r="H209" t="s">
        <v>16232</v>
      </c>
      <c r="I209" t="s">
        <v>16311</v>
      </c>
      <c r="J209" t="s">
        <v>16387</v>
      </c>
      <c r="K209">
        <v>0.348</v>
      </c>
      <c r="L209">
        <v>15162</v>
      </c>
      <c r="N209" t="s">
        <v>16392</v>
      </c>
      <c r="O209" s="4">
        <v>59323</v>
      </c>
      <c r="P209" s="4">
        <v>0</v>
      </c>
      <c r="Q209" s="4">
        <v>59323</v>
      </c>
      <c r="R209" s="4">
        <v>177969</v>
      </c>
      <c r="S209" t="s">
        <v>16594</v>
      </c>
      <c r="T209" s="6">
        <v>43132</v>
      </c>
      <c r="U209" s="4">
        <v>44000</v>
      </c>
      <c r="V209" t="s">
        <v>23740</v>
      </c>
      <c r="W209" t="s">
        <v>16594</v>
      </c>
      <c r="X209" t="s">
        <v>3</v>
      </c>
      <c r="AA209" s="5" t="str">
        <f>HYPERLINK("https://www.zillow.com/homes/11418-E-LAKE-ST-BLOOMINGDALE-IL-60108_rb/","check listing")</f>
        <v>check listing</v>
      </c>
      <c r="AB209" s="5" t="str">
        <f>HYPERLINK("https://propertylookup.dupagecounty.gov/Datalets/Datalet.aspx?UseSearch=no&amp;mode=sales&amp;pin=0215204003","sales record")</f>
        <v>sales record</v>
      </c>
      <c r="AC209" t="s">
        <v>3</v>
      </c>
      <c r="AD209">
        <v>41.956571</v>
      </c>
      <c r="AE209">
        <v>-88.07955</v>
      </c>
      <c r="AF209" s="5" t="str">
        <f>HYPERLINK("https://www.google.com/maps/search/?api=1&amp;query=41.956571,-88.07955","map")</f>
        <v>map</v>
      </c>
    </row>
    <row r="210" spans="1:32">
      <c r="A210" t="s">
        <v>260</v>
      </c>
      <c r="B210" t="s">
        <v>7844</v>
      </c>
      <c r="C210" t="s">
        <v>15125</v>
      </c>
      <c r="D210" t="s">
        <v>16196</v>
      </c>
      <c r="E210" t="s">
        <v>16217</v>
      </c>
      <c r="F210" t="s">
        <v>16222</v>
      </c>
      <c r="G210" t="s">
        <v>16232</v>
      </c>
      <c r="H210" t="s">
        <v>16232</v>
      </c>
      <c r="I210" t="s">
        <v>16311</v>
      </c>
      <c r="J210" t="s">
        <v>16387</v>
      </c>
      <c r="K210">
        <v>0.285</v>
      </c>
      <c r="L210">
        <v>12410</v>
      </c>
      <c r="N210" t="s">
        <v>16392</v>
      </c>
      <c r="O210" s="4">
        <v>40473</v>
      </c>
      <c r="P210" s="4">
        <v>0</v>
      </c>
      <c r="Q210" s="4">
        <v>40473</v>
      </c>
      <c r="R210" s="4">
        <v>121419</v>
      </c>
      <c r="S210" t="s">
        <v>16595</v>
      </c>
      <c r="T210" s="6">
        <v>42644</v>
      </c>
      <c r="U210" s="4">
        <v>43875</v>
      </c>
      <c r="V210" t="s">
        <v>23740</v>
      </c>
      <c r="W210" t="s">
        <v>23832</v>
      </c>
      <c r="X210" t="s">
        <v>27865</v>
      </c>
      <c r="Y210" s="5" t="str">
        <f>HYPERLINK("https://www.crexi.com/properties/2587147/illinois-127-w-lake-st","listing")</f>
        <v>listing</v>
      </c>
      <c r="Z210" s="4">
        <v>220000</v>
      </c>
      <c r="AA210" s="5" t="str">
        <f>HYPERLINK("https://www.zillow.com/homes/127-W-LAKE-ST-BLOOMINGDALE-IL-601081006_rb/","check listing")</f>
        <v>check listing</v>
      </c>
      <c r="AB210" s="5" t="str">
        <f>HYPERLINK("https://propertylookup.dupagecounty.gov/Datalets/Datalet.aspx?UseSearch=no&amp;mode=sales&amp;pin=0215104070","sales record")</f>
        <v>sales record</v>
      </c>
      <c r="AC210" t="s">
        <v>3</v>
      </c>
      <c r="AD210">
        <v>41.958295</v>
      </c>
      <c r="AE210">
        <v>-88.08448199999999</v>
      </c>
      <c r="AF210" s="5" t="str">
        <f>HYPERLINK("https://www.google.com/maps/search/?api=1&amp;query=41.958295,-88.084482","map")</f>
        <v>map</v>
      </c>
    </row>
    <row r="211" spans="1:32">
      <c r="A211" t="s">
        <v>261</v>
      </c>
      <c r="B211" t="s">
        <v>7845</v>
      </c>
      <c r="C211" t="s">
        <v>15118</v>
      </c>
      <c r="D211" t="s">
        <v>16196</v>
      </c>
      <c r="E211" t="s">
        <v>16217</v>
      </c>
      <c r="F211" t="s">
        <v>16222</v>
      </c>
      <c r="G211" t="s">
        <v>16232</v>
      </c>
      <c r="H211" t="s">
        <v>16232</v>
      </c>
      <c r="I211" t="s">
        <v>16311</v>
      </c>
      <c r="J211" t="s">
        <v>16387</v>
      </c>
      <c r="K211">
        <v>0.277</v>
      </c>
      <c r="L211">
        <v>12081</v>
      </c>
      <c r="N211" t="s">
        <v>16393</v>
      </c>
      <c r="O211" s="4">
        <v>31700</v>
      </c>
      <c r="P211" s="4">
        <v>0</v>
      </c>
      <c r="Q211" s="4">
        <v>31700</v>
      </c>
      <c r="R211" s="4">
        <v>95100</v>
      </c>
      <c r="S211" t="s">
        <v>16596</v>
      </c>
      <c r="X211" t="s">
        <v>3</v>
      </c>
      <c r="AA211" s="5" t="str">
        <f>HYPERLINK("https://www.zillow.com/homes/139-1ST-ST-BLOOMINGDALE-IL-60108_rb/","check listing")</f>
        <v>check listing</v>
      </c>
      <c r="AB211" s="5" t="str">
        <f>HYPERLINK("https://propertylookup.dupagecounty.gov/Datalets/Datalet.aspx?UseSearch=no&amp;mode=sales&amp;pin=0215204023","sales record")</f>
        <v>sales record</v>
      </c>
      <c r="AC211" t="s">
        <v>3</v>
      </c>
      <c r="AD211">
        <v>41.954353</v>
      </c>
      <c r="AE211">
        <v>-88.079013</v>
      </c>
      <c r="AF211" s="5" t="str">
        <f>HYPERLINK("https://www.google.com/maps/search/?api=1&amp;query=41.954353,-88.079013","map")</f>
        <v>map</v>
      </c>
    </row>
    <row r="212" spans="1:32">
      <c r="A212" t="s">
        <v>262</v>
      </c>
      <c r="B212" t="s">
        <v>7845</v>
      </c>
      <c r="C212" t="s">
        <v>15118</v>
      </c>
      <c r="D212" t="s">
        <v>16196</v>
      </c>
      <c r="E212" t="s">
        <v>16217</v>
      </c>
      <c r="F212" t="s">
        <v>16222</v>
      </c>
      <c r="G212" t="s">
        <v>16232</v>
      </c>
      <c r="H212" t="s">
        <v>16232</v>
      </c>
      <c r="I212" t="s">
        <v>16311</v>
      </c>
      <c r="J212" t="s">
        <v>16387</v>
      </c>
      <c r="K212">
        <v>0.277</v>
      </c>
      <c r="L212">
        <v>12078</v>
      </c>
      <c r="M212">
        <v>890</v>
      </c>
      <c r="N212" t="s">
        <v>16393</v>
      </c>
      <c r="O212" s="4">
        <v>31700</v>
      </c>
      <c r="P212" s="4">
        <v>0</v>
      </c>
      <c r="Q212" s="4">
        <v>31700</v>
      </c>
      <c r="R212" s="4">
        <v>95100</v>
      </c>
      <c r="S212" t="s">
        <v>16596</v>
      </c>
      <c r="T212" s="6">
        <v>39264</v>
      </c>
      <c r="U212" s="4">
        <v>250000</v>
      </c>
      <c r="V212" t="s">
        <v>16232</v>
      </c>
      <c r="W212" t="s">
        <v>23833</v>
      </c>
      <c r="X212" t="s">
        <v>3</v>
      </c>
      <c r="AA212" s="5" t="str">
        <f>HYPERLINK("https://www.zillow.com/homes/139-1ST-ST-BLOOMINGDALE-IL-60108_rb/","check listing")</f>
        <v>check listing</v>
      </c>
      <c r="AB212" s="5" t="str">
        <f>HYPERLINK("https://propertylookup.dupagecounty.gov/Datalets/Datalet.aspx?UseSearch=no&amp;mode=sales&amp;pin=0215204022","sales record")</f>
        <v>sales record</v>
      </c>
      <c r="AC212" t="s">
        <v>11</v>
      </c>
      <c r="AD212">
        <v>41.954338</v>
      </c>
      <c r="AE212">
        <v>-88.079464</v>
      </c>
      <c r="AF212" s="5" t="str">
        <f>HYPERLINK("https://www.google.com/maps/search/?api=1&amp;query=41.954338,-88.079464","map")</f>
        <v>map</v>
      </c>
    </row>
    <row r="213" spans="1:32">
      <c r="A213" t="s">
        <v>263</v>
      </c>
      <c r="B213" t="s">
        <v>7835</v>
      </c>
      <c r="C213" t="s">
        <v>15118</v>
      </c>
      <c r="D213" t="s">
        <v>16196</v>
      </c>
      <c r="E213" t="s">
        <v>16217</v>
      </c>
      <c r="F213" t="s">
        <v>16222</v>
      </c>
      <c r="G213" t="s">
        <v>16232</v>
      </c>
      <c r="H213" t="s">
        <v>16232</v>
      </c>
      <c r="I213" t="s">
        <v>16311</v>
      </c>
      <c r="J213" t="s">
        <v>16387</v>
      </c>
      <c r="K213">
        <v>0.165</v>
      </c>
      <c r="L213">
        <v>7201</v>
      </c>
      <c r="N213" t="s">
        <v>16393</v>
      </c>
      <c r="O213" s="4">
        <v>19137</v>
      </c>
      <c r="P213" s="4">
        <v>0</v>
      </c>
      <c r="Q213" s="4">
        <v>19137</v>
      </c>
      <c r="R213" s="4">
        <v>57411</v>
      </c>
      <c r="S213" t="s">
        <v>16586</v>
      </c>
      <c r="T213" s="6">
        <v>33270</v>
      </c>
      <c r="U213" s="4">
        <v>120250</v>
      </c>
      <c r="X213" t="s">
        <v>3</v>
      </c>
      <c r="AA213" s="5" t="str">
        <f>HYPERLINK("https://www.zillow.com/homes/138-S-1ST-ST-BLOOMINGDALE-IL-60108_rb/","check listing")</f>
        <v>check listing</v>
      </c>
      <c r="AB213" s="5" t="str">
        <f>HYPERLINK("https://propertylookup.dupagecounty.gov/Datalets/Datalet.aspx?UseSearch=no&amp;mode=sales&amp;pin=0215203018","sales record")</f>
        <v>sales record</v>
      </c>
      <c r="AC213" t="s">
        <v>27872</v>
      </c>
      <c r="AD213">
        <v>41.954517</v>
      </c>
      <c r="AE213">
        <v>-88.080161</v>
      </c>
      <c r="AF213" s="5" t="str">
        <f>HYPERLINK("https://www.google.com/maps/search/?api=1&amp;query=41.954517,-88.080161","map")</f>
        <v>map</v>
      </c>
    </row>
    <row r="214" spans="1:32">
      <c r="A214" t="s">
        <v>264</v>
      </c>
      <c r="B214" t="s">
        <v>7846</v>
      </c>
      <c r="C214" t="s">
        <v>15118</v>
      </c>
      <c r="D214" t="s">
        <v>16196</v>
      </c>
      <c r="E214" t="s">
        <v>16217</v>
      </c>
      <c r="F214" t="s">
        <v>16222</v>
      </c>
      <c r="G214" t="s">
        <v>16232</v>
      </c>
      <c r="H214" t="s">
        <v>16232</v>
      </c>
      <c r="I214" t="s">
        <v>16311</v>
      </c>
      <c r="J214" t="s">
        <v>16387</v>
      </c>
      <c r="K214">
        <v>0.156</v>
      </c>
      <c r="L214">
        <v>6781</v>
      </c>
      <c r="M214">
        <v>332</v>
      </c>
      <c r="N214" t="s">
        <v>16393</v>
      </c>
      <c r="O214" s="4">
        <v>7566</v>
      </c>
      <c r="P214" s="4">
        <v>0</v>
      </c>
      <c r="Q214" s="4">
        <v>7566</v>
      </c>
      <c r="R214" s="4">
        <v>22698</v>
      </c>
      <c r="S214" t="s">
        <v>16597</v>
      </c>
      <c r="T214" s="6">
        <v>42430</v>
      </c>
      <c r="U214" s="4">
        <v>275000</v>
      </c>
      <c r="V214" t="s">
        <v>23739</v>
      </c>
      <c r="W214" t="s">
        <v>23834</v>
      </c>
      <c r="X214" t="s">
        <v>3</v>
      </c>
      <c r="AA214" s="5" t="str">
        <f>HYPERLINK("https://www.zillow.com/homes/119-WALTER-CT-BLOOMINGDALE-IL-60108_rb/","check listing")</f>
        <v>check listing</v>
      </c>
      <c r="AB214" s="5" t="str">
        <f>HYPERLINK("https://propertylookup.dupagecounty.gov/Datalets/Datalet.aspx?UseSearch=no&amp;mode=sales&amp;pin=0215104012","sales record")</f>
        <v>sales record</v>
      </c>
      <c r="AC214" t="s">
        <v>27871</v>
      </c>
      <c r="AD214">
        <v>41.959577</v>
      </c>
      <c r="AE214">
        <v>-88.082427</v>
      </c>
      <c r="AF214" s="5" t="str">
        <f>HYPERLINK("https://www.google.com/maps/search/?api=1&amp;query=41.959577,-88.082427","map")</f>
        <v>map</v>
      </c>
    </row>
    <row r="215" spans="1:32">
      <c r="A215" t="s">
        <v>265</v>
      </c>
      <c r="B215" t="s">
        <v>7830</v>
      </c>
      <c r="C215" t="s">
        <v>15118</v>
      </c>
      <c r="D215" t="s">
        <v>16196</v>
      </c>
      <c r="E215" t="s">
        <v>16217</v>
      </c>
      <c r="F215" t="s">
        <v>16222</v>
      </c>
      <c r="G215" t="s">
        <v>16232</v>
      </c>
      <c r="H215" t="s">
        <v>16232</v>
      </c>
      <c r="I215" t="s">
        <v>16311</v>
      </c>
      <c r="J215" t="s">
        <v>16387</v>
      </c>
      <c r="K215">
        <v>0.145</v>
      </c>
      <c r="L215">
        <v>6325</v>
      </c>
      <c r="N215" t="s">
        <v>16393</v>
      </c>
      <c r="O215" s="4">
        <v>9586</v>
      </c>
      <c r="P215" s="4">
        <v>0</v>
      </c>
      <c r="Q215" s="4">
        <v>9586</v>
      </c>
      <c r="R215" s="4">
        <v>28758</v>
      </c>
      <c r="S215" t="s">
        <v>16581</v>
      </c>
      <c r="X215" t="s">
        <v>3</v>
      </c>
      <c r="AA215" s="5" t="str">
        <f>HYPERLINK("https://www.zillow.com/homes/109-DAY-ST-BLOOMINGDALE-IL-60108_rb/","check listing")</f>
        <v>check listing</v>
      </c>
      <c r="AB215" s="5" t="str">
        <f>HYPERLINK("https://propertylookup.dupagecounty.gov/Datalets/Datalet.aspx?UseSearch=no&amp;mode=sales&amp;pin=0215111015","sales record")</f>
        <v>sales record</v>
      </c>
      <c r="AC215" t="s">
        <v>27872</v>
      </c>
      <c r="AD215">
        <v>41.956398</v>
      </c>
      <c r="AE215">
        <v>-88.083122</v>
      </c>
      <c r="AF215" s="5" t="str">
        <f>HYPERLINK("https://www.google.com/maps/search/?api=1&amp;query=41.956398,-88.083122","map")</f>
        <v>map</v>
      </c>
    </row>
    <row r="216" spans="1:32">
      <c r="A216" t="s">
        <v>266</v>
      </c>
      <c r="B216" t="s">
        <v>7836</v>
      </c>
      <c r="C216" t="s">
        <v>15124</v>
      </c>
      <c r="D216" t="s">
        <v>16196</v>
      </c>
      <c r="E216" t="s">
        <v>16217</v>
      </c>
      <c r="F216" t="s">
        <v>16222</v>
      </c>
      <c r="G216" t="s">
        <v>16232</v>
      </c>
      <c r="H216" t="s">
        <v>16232</v>
      </c>
      <c r="I216" t="s">
        <v>16311</v>
      </c>
      <c r="J216" t="s">
        <v>16387</v>
      </c>
      <c r="K216">
        <v>0.11</v>
      </c>
      <c r="L216">
        <v>4799</v>
      </c>
      <c r="N216" t="s">
        <v>16393</v>
      </c>
      <c r="O216" s="4">
        <v>9586</v>
      </c>
      <c r="P216" s="4">
        <v>0</v>
      </c>
      <c r="Q216" s="4">
        <v>9586</v>
      </c>
      <c r="R216" s="4">
        <v>28758</v>
      </c>
      <c r="S216" t="s">
        <v>16587</v>
      </c>
      <c r="T216" s="6">
        <v>37257</v>
      </c>
      <c r="U216" s="4">
        <v>170000</v>
      </c>
      <c r="V216" t="s">
        <v>23739</v>
      </c>
      <c r="W216" t="s">
        <v>23835</v>
      </c>
      <c r="X216" t="s">
        <v>3</v>
      </c>
      <c r="AA216" s="5" t="str">
        <f>HYPERLINK("https://www.zillow.com/homes/134-1ST-ST-BLOOMINGDALE-IL-601081242_rb/","check listing")</f>
        <v>check listing</v>
      </c>
      <c r="AB216" s="5" t="str">
        <f>HYPERLINK("https://propertylookup.dupagecounty.gov/Datalets/Datalet.aspx?UseSearch=no&amp;mode=sales&amp;pin=0215203016","sales record")</f>
        <v>sales record</v>
      </c>
      <c r="AC216" t="s">
        <v>27872</v>
      </c>
      <c r="AD216">
        <v>41.954819</v>
      </c>
      <c r="AE216">
        <v>-88.080175</v>
      </c>
      <c r="AF216" s="5" t="str">
        <f>HYPERLINK("https://www.google.com/maps/search/?api=1&amp;query=41.954819,-88.080175","map")</f>
        <v>map</v>
      </c>
    </row>
    <row r="217" spans="1:32">
      <c r="A217" t="s">
        <v>267</v>
      </c>
      <c r="B217" t="s">
        <v>7847</v>
      </c>
      <c r="C217" t="s">
        <v>15118</v>
      </c>
      <c r="D217" t="s">
        <v>16196</v>
      </c>
      <c r="E217" t="s">
        <v>16218</v>
      </c>
      <c r="F217" t="s">
        <v>16220</v>
      </c>
      <c r="G217" t="s">
        <v>16233</v>
      </c>
      <c r="H217" t="s">
        <v>16238</v>
      </c>
      <c r="I217" t="s">
        <v>16312</v>
      </c>
      <c r="J217" t="s">
        <v>16385</v>
      </c>
      <c r="K217">
        <v>0.344</v>
      </c>
      <c r="L217">
        <v>14997</v>
      </c>
      <c r="M217">
        <v>4459</v>
      </c>
      <c r="N217" t="s">
        <v>16393</v>
      </c>
      <c r="O217" s="4">
        <v>39720</v>
      </c>
      <c r="P217" s="4">
        <v>238080</v>
      </c>
      <c r="Q217" s="4">
        <v>277800</v>
      </c>
      <c r="R217" s="4">
        <v>833400</v>
      </c>
      <c r="S217" t="s">
        <v>16598</v>
      </c>
      <c r="T217" s="6">
        <v>34578</v>
      </c>
      <c r="U217" s="4">
        <v>380000</v>
      </c>
      <c r="X217" t="s">
        <v>3</v>
      </c>
      <c r="AA217" s="5" t="str">
        <f>HYPERLINK("https://www.zillow.com/homes/315-CREEKSIDE-BLOOMINGDALE-IL-60108_rb/","check listing")</f>
        <v>check listing</v>
      </c>
      <c r="AB217" s="5" t="str">
        <f>HYPERLINK("https://propertylookup.dupagecounty.gov/Datalets/Datalet.aspx?UseSearch=no&amp;mode=sales&amp;pin=0223405053","sales record")</f>
        <v>sales record</v>
      </c>
      <c r="AC217" t="s">
        <v>3</v>
      </c>
      <c r="AD217">
        <v>41.936913</v>
      </c>
      <c r="AE217">
        <v>-88.058025</v>
      </c>
      <c r="AF217" s="5" t="str">
        <f>HYPERLINK("https://www.google.com/maps/search/?api=1&amp;query=41.936913,-88.058025","map")</f>
        <v>map</v>
      </c>
    </row>
    <row r="218" spans="1:32">
      <c r="A218" t="s">
        <v>268</v>
      </c>
      <c r="B218" t="s">
        <v>7848</v>
      </c>
      <c r="C218" t="s">
        <v>15126</v>
      </c>
      <c r="D218" t="s">
        <v>16196</v>
      </c>
      <c r="E218" t="s">
        <v>16218</v>
      </c>
      <c r="F218" t="s">
        <v>16220</v>
      </c>
      <c r="G218" t="s">
        <v>16233</v>
      </c>
      <c r="H218" t="s">
        <v>16238</v>
      </c>
      <c r="I218" t="s">
        <v>16312</v>
      </c>
      <c r="J218" t="s">
        <v>16385</v>
      </c>
      <c r="K218">
        <v>0.296</v>
      </c>
      <c r="L218">
        <v>12879</v>
      </c>
      <c r="M218">
        <v>4592</v>
      </c>
      <c r="N218" t="s">
        <v>16393</v>
      </c>
      <c r="O218" s="4">
        <v>39720</v>
      </c>
      <c r="P218" s="4">
        <v>238080</v>
      </c>
      <c r="Q218" s="4">
        <v>277800</v>
      </c>
      <c r="R218" s="4">
        <v>833400</v>
      </c>
      <c r="S218" t="s">
        <v>16599</v>
      </c>
      <c r="T218" s="6">
        <v>44531</v>
      </c>
      <c r="U218" s="4">
        <v>700000</v>
      </c>
      <c r="V218" t="s">
        <v>23740</v>
      </c>
      <c r="W218" t="s">
        <v>23836</v>
      </c>
      <c r="X218" t="s">
        <v>3</v>
      </c>
      <c r="AA218" s="5" t="str">
        <f>HYPERLINK("https://www.zillow.com/homes/313-CREEKSIDE-DR-BLOOMINGDALE-IL-601082841_rb/","check listing")</f>
        <v>check listing</v>
      </c>
      <c r="AB218" s="5" t="str">
        <f>HYPERLINK("https://propertylookup.dupagecounty.gov/Datalets/Datalet.aspx?UseSearch=no&amp;mode=sales&amp;pin=0223405052","sales record")</f>
        <v>sales record</v>
      </c>
      <c r="AC218" t="s">
        <v>3</v>
      </c>
      <c r="AD218">
        <v>41.936886</v>
      </c>
      <c r="AE218">
        <v>-88.058308</v>
      </c>
      <c r="AF218" s="5" t="str">
        <f>HYPERLINK("https://www.google.com/maps/search/?api=1&amp;query=41.936886,-88.058308","map")</f>
        <v>map</v>
      </c>
    </row>
    <row r="219" spans="1:32">
      <c r="A219" t="s">
        <v>269</v>
      </c>
      <c r="B219" t="s">
        <v>7849</v>
      </c>
      <c r="C219" t="s">
        <v>15118</v>
      </c>
      <c r="D219" t="s">
        <v>16196</v>
      </c>
      <c r="E219" t="s">
        <v>16218</v>
      </c>
      <c r="F219" t="s">
        <v>16220</v>
      </c>
      <c r="G219" t="s">
        <v>16233</v>
      </c>
      <c r="H219" t="s">
        <v>16238</v>
      </c>
      <c r="I219" t="s">
        <v>16312</v>
      </c>
      <c r="J219" t="s">
        <v>16385</v>
      </c>
      <c r="K219">
        <v>0.113</v>
      </c>
      <c r="L219">
        <v>4916</v>
      </c>
      <c r="N219" t="s">
        <v>16393</v>
      </c>
      <c r="O219" s="4">
        <v>19161</v>
      </c>
      <c r="P219" s="4">
        <v>69209</v>
      </c>
      <c r="Q219" s="4">
        <v>88370</v>
      </c>
      <c r="R219" s="4">
        <v>265110</v>
      </c>
      <c r="S219" t="s">
        <v>16600</v>
      </c>
      <c r="T219" s="6">
        <v>37681</v>
      </c>
      <c r="U219" s="4">
        <v>191000</v>
      </c>
      <c r="V219" t="s">
        <v>23739</v>
      </c>
      <c r="W219" t="s">
        <v>16600</v>
      </c>
      <c r="X219" t="s">
        <v>3</v>
      </c>
      <c r="AA219" s="5" t="str">
        <f>HYPERLINK("https://www.zillow.com/homes/310B-BROOKDALE-DR-BLOOMINGDALE-IL-60108_rb/","check listing")</f>
        <v>check listing</v>
      </c>
      <c r="AB219" s="5" t="str">
        <f>HYPERLINK("https://propertylookup.dupagecounty.gov/Datalets/Datalet.aspx?UseSearch=no&amp;mode=sales&amp;pin=0223404066","sales record")</f>
        <v>sales record</v>
      </c>
      <c r="AC219" t="s">
        <v>27873</v>
      </c>
      <c r="AD219">
        <v>41.93885</v>
      </c>
      <c r="AE219">
        <v>-88.06065599999999</v>
      </c>
      <c r="AF219" s="5" t="str">
        <f>HYPERLINK("https://www.google.com/maps/search/?api=1&amp;query=41.93885,-88.060656","map")</f>
        <v>map</v>
      </c>
    </row>
    <row r="220" spans="1:32">
      <c r="A220" t="s">
        <v>270</v>
      </c>
      <c r="B220" t="s">
        <v>7850</v>
      </c>
      <c r="C220" t="s">
        <v>15127</v>
      </c>
      <c r="D220" t="s">
        <v>16196</v>
      </c>
      <c r="E220" t="s">
        <v>16218</v>
      </c>
      <c r="F220" t="s">
        <v>16220</v>
      </c>
      <c r="G220" t="s">
        <v>16234</v>
      </c>
      <c r="H220" t="s">
        <v>16238</v>
      </c>
      <c r="I220" t="s">
        <v>16312</v>
      </c>
      <c r="J220" t="s">
        <v>16385</v>
      </c>
      <c r="K220">
        <v>0.07099999999999999</v>
      </c>
      <c r="L220">
        <v>3079</v>
      </c>
      <c r="M220">
        <v>2554</v>
      </c>
      <c r="N220" t="s">
        <v>16393</v>
      </c>
      <c r="O220" s="4">
        <v>30289</v>
      </c>
      <c r="P220" s="4">
        <v>110087</v>
      </c>
      <c r="Q220" s="4">
        <v>140376</v>
      </c>
      <c r="R220" s="4">
        <v>421128</v>
      </c>
      <c r="S220" t="s">
        <v>16601</v>
      </c>
      <c r="T220" s="6">
        <v>44075</v>
      </c>
      <c r="U220" s="4">
        <v>350000</v>
      </c>
      <c r="V220" t="s">
        <v>23740</v>
      </c>
      <c r="W220" t="s">
        <v>23837</v>
      </c>
      <c r="X220" t="s">
        <v>3</v>
      </c>
      <c r="AA220" s="5" t="str">
        <f>HYPERLINK("https://www.zillow.com/homes/280-ROYAL-LN-BLOOMINGDALE-IL-601081283_rb/","check listing")</f>
        <v>check listing</v>
      </c>
      <c r="AB220" s="5" t="str">
        <f>HYPERLINK("https://propertylookup.dupagecounty.gov/Datalets/Datalet.aspx?UseSearch=no&amp;mode=sales&amp;pin=0216208055","sales record")</f>
        <v>sales record</v>
      </c>
      <c r="AC220" t="s">
        <v>27873</v>
      </c>
      <c r="AD220">
        <v>41.957689</v>
      </c>
      <c r="AE220">
        <v>-88.095376</v>
      </c>
      <c r="AF220" s="5" t="str">
        <f>HYPERLINK("https://www.google.com/maps/search/?api=1&amp;query=41.957689,-88.095376","map")</f>
        <v>map</v>
      </c>
    </row>
    <row r="221" spans="1:32">
      <c r="A221" t="s">
        <v>271</v>
      </c>
      <c r="B221" t="s">
        <v>7851</v>
      </c>
      <c r="C221" t="s">
        <v>15128</v>
      </c>
      <c r="D221" t="s">
        <v>16196</v>
      </c>
      <c r="E221" t="s">
        <v>16218</v>
      </c>
      <c r="F221" t="s">
        <v>16221</v>
      </c>
      <c r="G221" t="s">
        <v>16235</v>
      </c>
      <c r="H221" t="s">
        <v>16241</v>
      </c>
      <c r="I221" t="s">
        <v>16313</v>
      </c>
      <c r="J221" t="s">
        <v>16385</v>
      </c>
      <c r="K221">
        <v>0.404</v>
      </c>
      <c r="L221">
        <v>17585</v>
      </c>
      <c r="M221">
        <v>2539</v>
      </c>
      <c r="N221" t="s">
        <v>16393</v>
      </c>
      <c r="O221" s="4">
        <v>40342</v>
      </c>
      <c r="P221" s="4">
        <v>106262</v>
      </c>
      <c r="Q221" s="4">
        <v>146604</v>
      </c>
      <c r="R221" s="4">
        <v>439812</v>
      </c>
      <c r="S221" t="s">
        <v>16602</v>
      </c>
      <c r="T221" s="6">
        <v>40452</v>
      </c>
      <c r="U221" s="4">
        <v>300000</v>
      </c>
      <c r="V221" t="s">
        <v>23739</v>
      </c>
      <c r="W221" t="s">
        <v>23838</v>
      </c>
      <c r="X221" t="s">
        <v>3</v>
      </c>
      <c r="AA221" s="5" t="str">
        <f>HYPERLINK("https://www.zillow.com/homes/179-SALEM-CT-BLOOMINGDALE-IL-601081516_rb/","check listing")</f>
        <v>check listing</v>
      </c>
      <c r="AB221" s="5" t="str">
        <f>HYPERLINK("https://propertylookup.dupagecounty.gov/Datalets/Datalet.aspx?UseSearch=no&amp;mode=sales&amp;pin=0215412012","sales record")</f>
        <v>sales record</v>
      </c>
      <c r="AC221" t="s">
        <v>3</v>
      </c>
      <c r="AD221">
        <v>41.950629</v>
      </c>
      <c r="AE221">
        <v>-88.074609</v>
      </c>
      <c r="AF221" s="5" t="str">
        <f>HYPERLINK("https://www.google.com/maps/search/?api=1&amp;query=41.950629,-88.074609","map")</f>
        <v>map</v>
      </c>
    </row>
    <row r="222" spans="1:32">
      <c r="A222" t="s">
        <v>272</v>
      </c>
      <c r="B222" t="s">
        <v>7852</v>
      </c>
      <c r="C222" t="s">
        <v>15118</v>
      </c>
      <c r="D222" t="s">
        <v>16196</v>
      </c>
      <c r="E222" t="s">
        <v>16218</v>
      </c>
      <c r="F222" t="s">
        <v>16221</v>
      </c>
      <c r="G222" t="s">
        <v>16235</v>
      </c>
      <c r="H222" t="s">
        <v>16241</v>
      </c>
      <c r="I222" t="s">
        <v>16313</v>
      </c>
      <c r="J222" t="s">
        <v>16385</v>
      </c>
      <c r="K222">
        <v>0.392</v>
      </c>
      <c r="L222">
        <v>17059</v>
      </c>
      <c r="M222">
        <v>2145</v>
      </c>
      <c r="N222" t="s">
        <v>16393</v>
      </c>
      <c r="O222" s="4">
        <v>40342</v>
      </c>
      <c r="P222" s="4">
        <v>106800</v>
      </c>
      <c r="Q222" s="4">
        <v>147142</v>
      </c>
      <c r="R222" s="4">
        <v>441426</v>
      </c>
      <c r="S222" t="s">
        <v>16603</v>
      </c>
      <c r="T222" s="6">
        <v>34394</v>
      </c>
      <c r="U222" s="4">
        <v>205000</v>
      </c>
      <c r="X222" t="s">
        <v>3</v>
      </c>
      <c r="AA222" s="5" t="str">
        <f>HYPERLINK("https://www.zillow.com/homes/177-HINGHAM-LN-BLOOMINGDALE-IL-60108_rb/","check listing")</f>
        <v>check listing</v>
      </c>
      <c r="AB222" s="5" t="str">
        <f>HYPERLINK("https://propertylookup.dupagecounty.gov/Datalets/Datalet.aspx?UseSearch=no&amp;mode=sales&amp;pin=0215410017","sales record")</f>
        <v>sales record</v>
      </c>
      <c r="AC222" t="s">
        <v>3</v>
      </c>
      <c r="AD222">
        <v>41.9534</v>
      </c>
      <c r="AE222">
        <v>-88.073796</v>
      </c>
      <c r="AF222" s="5" t="str">
        <f>HYPERLINK("https://www.google.com/maps/search/?api=1&amp;query=41.9534,-88.073796","map")</f>
        <v>map</v>
      </c>
    </row>
    <row r="223" spans="1:32">
      <c r="A223" t="s">
        <v>273</v>
      </c>
      <c r="B223" t="s">
        <v>7853</v>
      </c>
      <c r="C223" t="s">
        <v>15118</v>
      </c>
      <c r="D223" t="s">
        <v>16196</v>
      </c>
      <c r="E223" t="s">
        <v>16218</v>
      </c>
      <c r="F223" t="s">
        <v>16221</v>
      </c>
      <c r="G223" t="s">
        <v>16235</v>
      </c>
      <c r="H223" t="s">
        <v>16241</v>
      </c>
      <c r="I223" t="s">
        <v>16313</v>
      </c>
      <c r="J223" t="s">
        <v>16385</v>
      </c>
      <c r="K223">
        <v>0.388</v>
      </c>
      <c r="L223">
        <v>16884</v>
      </c>
      <c r="M223">
        <v>2374</v>
      </c>
      <c r="N223" t="s">
        <v>16393</v>
      </c>
      <c r="O223" s="4">
        <v>40342</v>
      </c>
      <c r="P223" s="4">
        <v>106800</v>
      </c>
      <c r="Q223" s="4">
        <v>147142</v>
      </c>
      <c r="R223" s="4">
        <v>441426</v>
      </c>
      <c r="S223" t="s">
        <v>16604</v>
      </c>
      <c r="T223" s="6">
        <v>38687</v>
      </c>
      <c r="U223" s="4">
        <v>369000</v>
      </c>
      <c r="V223" t="s">
        <v>23739</v>
      </c>
      <c r="W223" t="s">
        <v>23839</v>
      </c>
      <c r="X223" t="s">
        <v>3</v>
      </c>
      <c r="AA223" s="5" t="str">
        <f>HYPERLINK("https://www.zillow.com/homes/180-SALEM-CT-BLOOMINGDALE-IL-60108_rb/","check listing")</f>
        <v>check listing</v>
      </c>
      <c r="AB223" s="5" t="str">
        <f>HYPERLINK("https://propertylookup.dupagecounty.gov/Datalets/Datalet.aspx?UseSearch=no&amp;mode=sales&amp;pin=0215412016","sales record")</f>
        <v>sales record</v>
      </c>
      <c r="AC223" t="s">
        <v>3</v>
      </c>
      <c r="AD223">
        <v>41.950075</v>
      </c>
      <c r="AE223">
        <v>-88.073886</v>
      </c>
      <c r="AF223" s="5" t="str">
        <f>HYPERLINK("https://www.google.com/maps/search/?api=1&amp;query=41.950075,-88.073886","map")</f>
        <v>map</v>
      </c>
    </row>
    <row r="224" spans="1:32">
      <c r="A224" t="s">
        <v>274</v>
      </c>
      <c r="B224" t="s">
        <v>7854</v>
      </c>
      <c r="C224" t="s">
        <v>15118</v>
      </c>
      <c r="D224" t="s">
        <v>16196</v>
      </c>
      <c r="E224" t="s">
        <v>16218</v>
      </c>
      <c r="F224" t="s">
        <v>16221</v>
      </c>
      <c r="G224" t="s">
        <v>16235</v>
      </c>
      <c r="H224" t="s">
        <v>16241</v>
      </c>
      <c r="I224" t="s">
        <v>16313</v>
      </c>
      <c r="J224" t="s">
        <v>16385</v>
      </c>
      <c r="K224">
        <v>0.38</v>
      </c>
      <c r="L224">
        <v>16546</v>
      </c>
      <c r="M224">
        <v>2474</v>
      </c>
      <c r="N224" t="s">
        <v>16393</v>
      </c>
      <c r="O224" s="4">
        <v>40342</v>
      </c>
      <c r="P224" s="4">
        <v>119458</v>
      </c>
      <c r="Q224" s="4">
        <v>159800</v>
      </c>
      <c r="R224" s="4">
        <v>479400</v>
      </c>
      <c r="S224" t="s">
        <v>16605</v>
      </c>
      <c r="T224" s="6">
        <v>43191</v>
      </c>
      <c r="U224" s="4">
        <v>335000</v>
      </c>
      <c r="V224" t="s">
        <v>23739</v>
      </c>
      <c r="W224" t="s">
        <v>23840</v>
      </c>
      <c r="X224" t="s">
        <v>3</v>
      </c>
      <c r="AA224" s="5" t="str">
        <f>HYPERLINK("https://www.zillow.com/homes/187-CAMBRIDGE-LN-BLOOMINGDALE-IL-60108_rb/","check listing")</f>
        <v>check listing</v>
      </c>
      <c r="AB224" s="5" t="str">
        <f>HYPERLINK("https://propertylookup.dupagecounty.gov/Datalets/Datalet.aspx?UseSearch=no&amp;mode=sales&amp;pin=0215409030","sales record")</f>
        <v>sales record</v>
      </c>
      <c r="AC224" t="s">
        <v>3</v>
      </c>
      <c r="AD224">
        <v>41.950763</v>
      </c>
      <c r="AE224">
        <v>-88.077045</v>
      </c>
      <c r="AF224" s="5" t="str">
        <f>HYPERLINK("https://www.google.com/maps/search/?api=1&amp;query=41.950763,-88.077045","map")</f>
        <v>map</v>
      </c>
    </row>
    <row r="225" spans="1:32">
      <c r="A225" t="s">
        <v>275</v>
      </c>
      <c r="B225" t="s">
        <v>7855</v>
      </c>
      <c r="C225" t="s">
        <v>15118</v>
      </c>
      <c r="D225" t="s">
        <v>16196</v>
      </c>
      <c r="E225" t="s">
        <v>16218</v>
      </c>
      <c r="F225" t="s">
        <v>16221</v>
      </c>
      <c r="G225" t="s">
        <v>16236</v>
      </c>
      <c r="H225" t="s">
        <v>16241</v>
      </c>
      <c r="I225" t="s">
        <v>16313</v>
      </c>
      <c r="J225" t="s">
        <v>16385</v>
      </c>
      <c r="K225">
        <v>0.379</v>
      </c>
      <c r="L225">
        <v>16520</v>
      </c>
      <c r="M225">
        <v>2358</v>
      </c>
      <c r="N225" t="s">
        <v>16393</v>
      </c>
      <c r="O225" s="4">
        <v>29656</v>
      </c>
      <c r="P225" s="4">
        <v>122005</v>
      </c>
      <c r="Q225" s="4">
        <v>151661</v>
      </c>
      <c r="R225" s="4">
        <v>454983</v>
      </c>
      <c r="S225" t="s">
        <v>16606</v>
      </c>
      <c r="T225" s="6">
        <v>35217</v>
      </c>
      <c r="U225" s="4">
        <v>222660</v>
      </c>
      <c r="X225" t="s">
        <v>3</v>
      </c>
      <c r="AA225" s="5" t="str">
        <f>HYPERLINK("https://www.zillow.com/homes/254-MONTEGO-CT-BLOOMINGDALE-IL-60108_rb/","check listing")</f>
        <v>check listing</v>
      </c>
      <c r="AB225" s="5" t="str">
        <f>HYPERLINK("https://propertylookup.dupagecounty.gov/Datalets/Datalet.aspx?UseSearch=no&amp;mode=sales&amp;pin=0208302026","sales record")</f>
        <v>sales record</v>
      </c>
      <c r="AC225" t="s">
        <v>3</v>
      </c>
      <c r="AD225">
        <v>41.965821</v>
      </c>
      <c r="AE225">
        <v>-88.120795</v>
      </c>
      <c r="AF225" s="5" t="str">
        <f>HYPERLINK("https://www.google.com/maps/search/?api=1&amp;query=41.965821,-88.120795","map")</f>
        <v>map</v>
      </c>
    </row>
    <row r="226" spans="1:32">
      <c r="A226" t="s">
        <v>276</v>
      </c>
      <c r="B226" t="s">
        <v>7856</v>
      </c>
      <c r="C226" t="s">
        <v>15118</v>
      </c>
      <c r="D226" t="s">
        <v>16196</v>
      </c>
      <c r="E226" t="s">
        <v>16218</v>
      </c>
      <c r="F226" t="s">
        <v>16221</v>
      </c>
      <c r="G226" t="s">
        <v>16235</v>
      </c>
      <c r="H226" t="s">
        <v>16241</v>
      </c>
      <c r="I226" t="s">
        <v>16313</v>
      </c>
      <c r="J226" t="s">
        <v>16385</v>
      </c>
      <c r="K226">
        <v>0.37</v>
      </c>
      <c r="L226">
        <v>16109</v>
      </c>
      <c r="M226">
        <v>3166</v>
      </c>
      <c r="N226" t="s">
        <v>16393</v>
      </c>
      <c r="O226" s="4">
        <v>40342</v>
      </c>
      <c r="P226" s="4">
        <v>108868</v>
      </c>
      <c r="Q226" s="4">
        <v>149210</v>
      </c>
      <c r="R226" s="4">
        <v>447630</v>
      </c>
      <c r="S226" t="s">
        <v>16607</v>
      </c>
      <c r="T226" s="6">
        <v>40452</v>
      </c>
      <c r="U226" s="4">
        <v>315000</v>
      </c>
      <c r="V226" t="s">
        <v>23739</v>
      </c>
      <c r="W226" t="s">
        <v>23841</v>
      </c>
      <c r="X226" t="s">
        <v>3</v>
      </c>
      <c r="AA226" s="5" t="str">
        <f>HYPERLINK("https://www.zillow.com/homes/175-HINGHAM-LN-BLOOMINGDALE-IL-60108_rb/","check listing")</f>
        <v>check listing</v>
      </c>
      <c r="AB226" s="5" t="str">
        <f>HYPERLINK("https://propertylookup.dupagecounty.gov/Datalets/Datalet.aspx?UseSearch=no&amp;mode=sales&amp;pin=0215410016","sales record")</f>
        <v>sales record</v>
      </c>
      <c r="AC226" t="s">
        <v>3</v>
      </c>
      <c r="AD226">
        <v>41.953461</v>
      </c>
      <c r="AE226">
        <v>-88.074111</v>
      </c>
      <c r="AF226" s="5" t="str">
        <f>HYPERLINK("https://www.google.com/maps/search/?api=1&amp;query=41.953461,-88.074111","map")</f>
        <v>map</v>
      </c>
    </row>
    <row r="227" spans="1:32">
      <c r="A227" t="s">
        <v>277</v>
      </c>
      <c r="B227" t="s">
        <v>7857</v>
      </c>
      <c r="C227" t="s">
        <v>15118</v>
      </c>
      <c r="D227" t="s">
        <v>16196</v>
      </c>
      <c r="E227" t="s">
        <v>16218</v>
      </c>
      <c r="F227" t="s">
        <v>16221</v>
      </c>
      <c r="G227" t="s">
        <v>16235</v>
      </c>
      <c r="H227" t="s">
        <v>16241</v>
      </c>
      <c r="I227" t="s">
        <v>16313</v>
      </c>
      <c r="J227" t="s">
        <v>16385</v>
      </c>
      <c r="K227">
        <v>0.369</v>
      </c>
      <c r="L227">
        <v>16084</v>
      </c>
      <c r="M227">
        <v>2355</v>
      </c>
      <c r="N227" t="s">
        <v>16393</v>
      </c>
      <c r="O227" s="4">
        <v>40342</v>
      </c>
      <c r="P227" s="4">
        <v>106800</v>
      </c>
      <c r="Q227" s="4">
        <v>147142</v>
      </c>
      <c r="R227" s="4">
        <v>441426</v>
      </c>
      <c r="S227" t="s">
        <v>16608</v>
      </c>
      <c r="T227" s="6">
        <v>30773</v>
      </c>
      <c r="U227" s="4">
        <v>143000</v>
      </c>
      <c r="X227" t="s">
        <v>3</v>
      </c>
      <c r="AA227" s="5" t="str">
        <f>HYPERLINK("https://www.zillow.com/homes/191-BOURNE-LN-BLOOMINGDALE-IL-60108_rb/","check listing")</f>
        <v>check listing</v>
      </c>
      <c r="AB227" s="5" t="str">
        <f>HYPERLINK("https://propertylookup.dupagecounty.gov/Datalets/Datalet.aspx?UseSearch=no&amp;mode=sales&amp;pin=0215411028","sales record")</f>
        <v>sales record</v>
      </c>
      <c r="AC227" t="s">
        <v>3</v>
      </c>
      <c r="AD227">
        <v>41.951737</v>
      </c>
      <c r="AE227">
        <v>-88.073932</v>
      </c>
      <c r="AF227" s="5" t="str">
        <f>HYPERLINK("https://www.google.com/maps/search/?api=1&amp;query=41.951737,-88.073932","map")</f>
        <v>map</v>
      </c>
    </row>
    <row r="228" spans="1:32">
      <c r="A228" t="s">
        <v>278</v>
      </c>
      <c r="B228" t="s">
        <v>7858</v>
      </c>
      <c r="C228" t="s">
        <v>15118</v>
      </c>
      <c r="D228" t="s">
        <v>16196</v>
      </c>
      <c r="E228" t="s">
        <v>16218</v>
      </c>
      <c r="F228" t="s">
        <v>16221</v>
      </c>
      <c r="G228" t="s">
        <v>16235</v>
      </c>
      <c r="H228" t="s">
        <v>16241</v>
      </c>
      <c r="I228" t="s">
        <v>16313</v>
      </c>
      <c r="J228" t="s">
        <v>16385</v>
      </c>
      <c r="K228">
        <v>0.365</v>
      </c>
      <c r="L228">
        <v>15882</v>
      </c>
      <c r="M228">
        <v>2888</v>
      </c>
      <c r="N228" t="s">
        <v>16393</v>
      </c>
      <c r="O228" s="4">
        <v>40342</v>
      </c>
      <c r="P228" s="4">
        <v>113148</v>
      </c>
      <c r="Q228" s="4">
        <v>153490</v>
      </c>
      <c r="R228" s="4">
        <v>460470</v>
      </c>
      <c r="S228" t="s">
        <v>16609</v>
      </c>
      <c r="T228" s="6">
        <v>45523</v>
      </c>
      <c r="U228" s="4">
        <v>545000</v>
      </c>
      <c r="V228" t="s">
        <v>23739</v>
      </c>
      <c r="W228" t="s">
        <v>23842</v>
      </c>
      <c r="X228" t="s">
        <v>3</v>
      </c>
      <c r="AA228" s="5" t="str">
        <f>HYPERLINK("https://www.zillow.com/homes/182-CAMBRIDGE-LN-BLOOMINGDALE-IL-60108_rb/","check listing")</f>
        <v>check listing</v>
      </c>
      <c r="AB228" s="5" t="str">
        <f>HYPERLINK("https://propertylookup.dupagecounty.gov/Datalets/Datalet.aspx?UseSearch=no&amp;mode=sales&amp;pin=0215402032","sales record")</f>
        <v>sales record</v>
      </c>
      <c r="AC228" t="s">
        <v>3</v>
      </c>
      <c r="AD228">
        <v>41.950193</v>
      </c>
      <c r="AE228">
        <v>-88.077951</v>
      </c>
      <c r="AF228" s="5" t="str">
        <f>HYPERLINK("https://www.google.com/maps/search/?api=1&amp;query=41.950193,-88.077951","map")</f>
        <v>map</v>
      </c>
    </row>
    <row r="229" spans="1:32">
      <c r="A229" t="s">
        <v>279</v>
      </c>
      <c r="B229" t="s">
        <v>7859</v>
      </c>
      <c r="C229" t="s">
        <v>15118</v>
      </c>
      <c r="D229" t="s">
        <v>16196</v>
      </c>
      <c r="E229" t="s">
        <v>16218</v>
      </c>
      <c r="F229" t="s">
        <v>16221</v>
      </c>
      <c r="G229" t="s">
        <v>16235</v>
      </c>
      <c r="H229" t="s">
        <v>16241</v>
      </c>
      <c r="I229" t="s">
        <v>16313</v>
      </c>
      <c r="J229" t="s">
        <v>16385</v>
      </c>
      <c r="K229">
        <v>0.342</v>
      </c>
      <c r="L229">
        <v>14883</v>
      </c>
      <c r="M229">
        <v>2144</v>
      </c>
      <c r="N229" t="s">
        <v>16393</v>
      </c>
      <c r="O229" s="4">
        <v>40342</v>
      </c>
      <c r="P229" s="4">
        <v>106800</v>
      </c>
      <c r="Q229" s="4">
        <v>147142</v>
      </c>
      <c r="R229" s="4">
        <v>441426</v>
      </c>
      <c r="S229" t="s">
        <v>16610</v>
      </c>
      <c r="T229" s="6">
        <v>33970</v>
      </c>
      <c r="U229" s="4">
        <v>203000</v>
      </c>
      <c r="X229" t="s">
        <v>3</v>
      </c>
      <c r="AA229" s="5" t="str">
        <f>HYPERLINK("https://www.zillow.com/homes/201-CAMBRIDGE-LN-BLOOMINGDALE-IL-60108_rb/","check listing")</f>
        <v>check listing</v>
      </c>
      <c r="AB229" s="5" t="str">
        <f>HYPERLINK("https://propertylookup.dupagecounty.gov/Datalets/Datalet.aspx?UseSearch=no&amp;mode=sales&amp;pin=0215409031","sales record")</f>
        <v>sales record</v>
      </c>
      <c r="AC229" t="s">
        <v>3</v>
      </c>
      <c r="AD229">
        <v>41.950757</v>
      </c>
      <c r="AE229">
        <v>-88.076667</v>
      </c>
      <c r="AF229" s="5" t="str">
        <f>HYPERLINK("https://www.google.com/maps/search/?api=1&amp;query=41.950757,-88.076667","map")</f>
        <v>map</v>
      </c>
    </row>
    <row r="230" spans="1:32">
      <c r="A230" t="s">
        <v>280</v>
      </c>
      <c r="B230" t="s">
        <v>7860</v>
      </c>
      <c r="C230" t="s">
        <v>15118</v>
      </c>
      <c r="D230" t="s">
        <v>16196</v>
      </c>
      <c r="E230" t="s">
        <v>16218</v>
      </c>
      <c r="F230" t="s">
        <v>16221</v>
      </c>
      <c r="G230" t="s">
        <v>16236</v>
      </c>
      <c r="H230" t="s">
        <v>16241</v>
      </c>
      <c r="I230" t="s">
        <v>16313</v>
      </c>
      <c r="J230" t="s">
        <v>16385</v>
      </c>
      <c r="K230">
        <v>0.313</v>
      </c>
      <c r="L230">
        <v>13625</v>
      </c>
      <c r="M230">
        <v>2638</v>
      </c>
      <c r="N230" t="s">
        <v>16393</v>
      </c>
      <c r="O230" s="4">
        <v>29656</v>
      </c>
      <c r="P230" s="4">
        <v>119017</v>
      </c>
      <c r="Q230" s="4">
        <v>148673</v>
      </c>
      <c r="R230" s="4">
        <v>446019</v>
      </c>
      <c r="S230" t="s">
        <v>16611</v>
      </c>
      <c r="T230" s="6">
        <v>39753</v>
      </c>
      <c r="U230" s="4">
        <v>301000</v>
      </c>
      <c r="V230" t="s">
        <v>23739</v>
      </c>
      <c r="W230" t="s">
        <v>16611</v>
      </c>
      <c r="X230" t="s">
        <v>3</v>
      </c>
      <c r="AA230" s="5" t="str">
        <f>HYPERLINK("https://www.zillow.com/homes/280-BISCAYNE-ST-BLOOMINGDALE-IL-60108_rb/","check listing")</f>
        <v>check listing</v>
      </c>
      <c r="AB230" s="5" t="str">
        <f>HYPERLINK("https://propertylookup.dupagecounty.gov/Datalets/Datalet.aspx?UseSearch=no&amp;mode=sales&amp;pin=0208302013","sales record")</f>
        <v>sales record</v>
      </c>
      <c r="AC230" t="s">
        <v>3</v>
      </c>
      <c r="AD230">
        <v>41.963353</v>
      </c>
      <c r="AE230">
        <v>-88.12094399999999</v>
      </c>
      <c r="AF230" s="5" t="str">
        <f>HYPERLINK("https://www.google.com/maps/search/?api=1&amp;query=41.963353,-88.120944","map")</f>
        <v>map</v>
      </c>
    </row>
    <row r="231" spans="1:32">
      <c r="A231" t="s">
        <v>281</v>
      </c>
      <c r="B231" t="s">
        <v>7861</v>
      </c>
      <c r="C231" t="s">
        <v>15118</v>
      </c>
      <c r="D231" t="s">
        <v>16196</v>
      </c>
      <c r="E231" t="s">
        <v>16218</v>
      </c>
      <c r="F231" t="s">
        <v>16221</v>
      </c>
      <c r="G231" t="s">
        <v>16235</v>
      </c>
      <c r="H231" t="s">
        <v>16241</v>
      </c>
      <c r="I231" t="s">
        <v>16313</v>
      </c>
      <c r="J231" t="s">
        <v>16385</v>
      </c>
      <c r="K231">
        <v>0.301</v>
      </c>
      <c r="L231">
        <v>13092</v>
      </c>
      <c r="M231">
        <v>1979</v>
      </c>
      <c r="N231" t="s">
        <v>16393</v>
      </c>
      <c r="O231" s="4">
        <v>40342</v>
      </c>
      <c r="P231" s="4">
        <v>86991</v>
      </c>
      <c r="Q231" s="4">
        <v>127333</v>
      </c>
      <c r="R231" s="4">
        <v>381999</v>
      </c>
      <c r="S231" t="s">
        <v>16612</v>
      </c>
      <c r="T231" s="6">
        <v>45734</v>
      </c>
      <c r="U231" s="4">
        <v>382000</v>
      </c>
      <c r="V231" t="s">
        <v>23739</v>
      </c>
      <c r="W231" t="s">
        <v>23843</v>
      </c>
      <c r="X231" t="s">
        <v>3</v>
      </c>
      <c r="AA231" s="5" t="str">
        <f>HYPERLINK("https://www.zillow.com/homes/190-HINGHAM-LN-BLOOMINGDALE-IL-60108_rb/","check listing")</f>
        <v>check listing</v>
      </c>
      <c r="AB231" s="5" t="str">
        <f>HYPERLINK("https://propertylookup.dupagecounty.gov/Datalets/Datalet.aspx?UseSearch=no&amp;mode=sales&amp;pin=0215411010","sales record")</f>
        <v>sales record</v>
      </c>
      <c r="AC231" t="s">
        <v>3</v>
      </c>
      <c r="AD231">
        <v>41.95222</v>
      </c>
      <c r="AE231">
        <v>-88.07387799999999</v>
      </c>
      <c r="AF231" s="5" t="str">
        <f>HYPERLINK("https://www.google.com/maps/search/?api=1&amp;query=41.95222,-88.073878","map")</f>
        <v>map</v>
      </c>
    </row>
    <row r="232" spans="1:32">
      <c r="A232" t="s">
        <v>282</v>
      </c>
      <c r="B232" t="s">
        <v>7862</v>
      </c>
      <c r="C232" t="s">
        <v>15129</v>
      </c>
      <c r="D232" t="s">
        <v>16196</v>
      </c>
      <c r="E232" t="s">
        <v>16218</v>
      </c>
      <c r="F232" t="s">
        <v>16221</v>
      </c>
      <c r="G232" t="s">
        <v>16235</v>
      </c>
      <c r="H232" t="s">
        <v>16241</v>
      </c>
      <c r="I232" t="s">
        <v>16313</v>
      </c>
      <c r="J232" t="s">
        <v>16385</v>
      </c>
      <c r="K232">
        <v>0.294</v>
      </c>
      <c r="L232">
        <v>12815</v>
      </c>
      <c r="M232">
        <v>2804</v>
      </c>
      <c r="N232" t="s">
        <v>16393</v>
      </c>
      <c r="O232" s="4">
        <v>40342</v>
      </c>
      <c r="P232" s="4">
        <v>134400</v>
      </c>
      <c r="Q232" s="4">
        <v>174742</v>
      </c>
      <c r="R232" s="4">
        <v>524226</v>
      </c>
      <c r="S232" t="s">
        <v>16613</v>
      </c>
      <c r="T232" s="6">
        <v>44287</v>
      </c>
      <c r="U232" s="4">
        <v>425000</v>
      </c>
      <c r="V232" t="s">
        <v>23739</v>
      </c>
      <c r="W232" t="s">
        <v>23844</v>
      </c>
      <c r="X232" t="s">
        <v>3</v>
      </c>
      <c r="AA232" s="5" t="str">
        <f>HYPERLINK("https://www.zillow.com/homes/184-SALEM-CT-BLOOMINGDALE-IL-601081517_rb/","check listing")</f>
        <v>check listing</v>
      </c>
      <c r="AB232" s="5" t="str">
        <f>HYPERLINK("https://propertylookup.dupagecounty.gov/Datalets/Datalet.aspx?UseSearch=no&amp;mode=sales&amp;pin=0215412017","sales record")</f>
        <v>sales record</v>
      </c>
      <c r="AC232" t="s">
        <v>3</v>
      </c>
      <c r="AD232">
        <v>41.950189</v>
      </c>
      <c r="AE232">
        <v>-88.073716</v>
      </c>
      <c r="AF232" s="5" t="str">
        <f>HYPERLINK("https://www.google.com/maps/search/?api=1&amp;query=41.950189,-88.073716","map")</f>
        <v>map</v>
      </c>
    </row>
    <row r="233" spans="1:32">
      <c r="A233" t="s">
        <v>283</v>
      </c>
      <c r="B233" t="s">
        <v>7863</v>
      </c>
      <c r="C233" t="s">
        <v>15130</v>
      </c>
      <c r="D233" t="s">
        <v>16196</v>
      </c>
      <c r="E233" t="s">
        <v>16218</v>
      </c>
      <c r="F233" t="s">
        <v>16221</v>
      </c>
      <c r="G233" t="s">
        <v>16236</v>
      </c>
      <c r="H233" t="s">
        <v>16241</v>
      </c>
      <c r="I233" t="s">
        <v>16313</v>
      </c>
      <c r="J233" t="s">
        <v>16385</v>
      </c>
      <c r="K233">
        <v>0.285</v>
      </c>
      <c r="L233">
        <v>12398</v>
      </c>
      <c r="M233">
        <v>2375</v>
      </c>
      <c r="N233" t="s">
        <v>16393</v>
      </c>
      <c r="O233" s="4">
        <v>29656</v>
      </c>
      <c r="P233" s="4">
        <v>130468</v>
      </c>
      <c r="Q233" s="4">
        <v>160124</v>
      </c>
      <c r="R233" s="4">
        <v>480372</v>
      </c>
      <c r="S233" t="s">
        <v>16614</v>
      </c>
      <c r="T233" s="6">
        <v>44136</v>
      </c>
      <c r="U233" s="4">
        <v>383000</v>
      </c>
      <c r="V233" t="s">
        <v>23739</v>
      </c>
      <c r="W233" t="s">
        <v>23845</v>
      </c>
      <c r="X233" t="s">
        <v>3</v>
      </c>
      <c r="AA233" s="5" t="str">
        <f>HYPERLINK("https://www.zillow.com/homes/314-CHESAPEAKE-LN-BLOOMINGDALE-IL-601083305_rb/","check listing")</f>
        <v>check listing</v>
      </c>
      <c r="AB233" s="5" t="str">
        <f>HYPERLINK("https://propertylookup.dupagecounty.gov/Datalets/Datalet.aspx?UseSearch=no&amp;mode=sales&amp;pin=0208304016","sales record")</f>
        <v>sales record</v>
      </c>
      <c r="AC233" t="s">
        <v>3</v>
      </c>
      <c r="AD233">
        <v>41.961517</v>
      </c>
      <c r="AE233">
        <v>-88.12098400000001</v>
      </c>
      <c r="AF233" s="5" t="str">
        <f>HYPERLINK("https://www.google.com/maps/search/?api=1&amp;query=41.961517,-88.120984","map")</f>
        <v>map</v>
      </c>
    </row>
    <row r="234" spans="1:32">
      <c r="A234" t="s">
        <v>284</v>
      </c>
      <c r="B234" t="s">
        <v>7864</v>
      </c>
      <c r="C234" t="s">
        <v>15131</v>
      </c>
      <c r="D234" t="s">
        <v>16196</v>
      </c>
      <c r="E234" t="s">
        <v>16218</v>
      </c>
      <c r="F234" t="s">
        <v>16221</v>
      </c>
      <c r="G234" t="s">
        <v>16235</v>
      </c>
      <c r="H234" t="s">
        <v>16241</v>
      </c>
      <c r="I234" t="s">
        <v>16313</v>
      </c>
      <c r="J234" t="s">
        <v>16385</v>
      </c>
      <c r="K234">
        <v>0.279</v>
      </c>
      <c r="L234">
        <v>12151</v>
      </c>
      <c r="M234">
        <v>2156</v>
      </c>
      <c r="N234" t="s">
        <v>16393</v>
      </c>
      <c r="O234" s="4">
        <v>40342</v>
      </c>
      <c r="P234" s="4">
        <v>102784</v>
      </c>
      <c r="Q234" s="4">
        <v>143126</v>
      </c>
      <c r="R234" s="4">
        <v>429378</v>
      </c>
      <c r="S234" t="s">
        <v>16615</v>
      </c>
      <c r="T234" s="6">
        <v>43891</v>
      </c>
      <c r="U234" s="4">
        <v>328000</v>
      </c>
      <c r="V234" t="s">
        <v>23739</v>
      </c>
      <c r="W234" t="s">
        <v>23846</v>
      </c>
      <c r="X234" t="s">
        <v>3</v>
      </c>
      <c r="AA234" s="5" t="str">
        <f>HYPERLINK("https://www.zillow.com/homes/172-BRAINTREE-DR-BLOOMINGDALE-IL-601081501_rb/","check listing")</f>
        <v>check listing</v>
      </c>
      <c r="AB234" s="5" t="str">
        <f>HYPERLINK("https://propertylookup.dupagecounty.gov/Datalets/Datalet.aspx?UseSearch=no&amp;mode=sales&amp;pin=0215409026","sales record")</f>
        <v>sales record</v>
      </c>
      <c r="AC234" t="s">
        <v>27873</v>
      </c>
      <c r="AD234">
        <v>41.951357</v>
      </c>
      <c r="AE234">
        <v>-88.07649499999999</v>
      </c>
      <c r="AF234" s="5" t="str">
        <f>HYPERLINK("https://www.google.com/maps/search/?api=1&amp;query=41.951357,-88.076495","map")</f>
        <v>map</v>
      </c>
    </row>
    <row r="235" spans="1:32">
      <c r="A235" t="s">
        <v>285</v>
      </c>
      <c r="B235" t="s">
        <v>7865</v>
      </c>
      <c r="C235" t="s">
        <v>15118</v>
      </c>
      <c r="D235" t="s">
        <v>16196</v>
      </c>
      <c r="E235" t="s">
        <v>16218</v>
      </c>
      <c r="F235" t="s">
        <v>16221</v>
      </c>
      <c r="G235" t="s">
        <v>16235</v>
      </c>
      <c r="H235" t="s">
        <v>16241</v>
      </c>
      <c r="I235" t="s">
        <v>16313</v>
      </c>
      <c r="J235" t="s">
        <v>16385</v>
      </c>
      <c r="K235">
        <v>0.276</v>
      </c>
      <c r="L235">
        <v>12032</v>
      </c>
      <c r="M235">
        <v>2374</v>
      </c>
      <c r="N235" t="s">
        <v>16393</v>
      </c>
      <c r="O235" s="4">
        <v>40342</v>
      </c>
      <c r="P235" s="4">
        <v>106800</v>
      </c>
      <c r="Q235" s="4">
        <v>147142</v>
      </c>
      <c r="R235" s="4">
        <v>441426</v>
      </c>
      <c r="S235" t="s">
        <v>16616</v>
      </c>
      <c r="X235" t="s">
        <v>3</v>
      </c>
      <c r="AA235" s="5" t="str">
        <f>HYPERLINK("https://www.zillow.com/homes/184-CAMBRIDGE-LN-BLOOMINGDALE-IL-60108_rb/","check listing")</f>
        <v>check listing</v>
      </c>
      <c r="AB235" s="5" t="str">
        <f>HYPERLINK("https://propertylookup.dupagecounty.gov/Datalets/Datalet.aspx?UseSearch=no&amp;mode=sales&amp;pin=0215402044","sales record")</f>
        <v>sales record</v>
      </c>
      <c r="AC235" t="s">
        <v>3</v>
      </c>
      <c r="AD235">
        <v>41.950213</v>
      </c>
      <c r="AE235">
        <v>-88.077573</v>
      </c>
      <c r="AF235" s="5" t="str">
        <f>HYPERLINK("https://www.google.com/maps/search/?api=1&amp;query=41.950213,-88.077573","map")</f>
        <v>map</v>
      </c>
    </row>
    <row r="236" spans="1:32">
      <c r="A236" t="s">
        <v>286</v>
      </c>
      <c r="B236" t="s">
        <v>7866</v>
      </c>
      <c r="C236" t="s">
        <v>15118</v>
      </c>
      <c r="D236" t="s">
        <v>16196</v>
      </c>
      <c r="E236" t="s">
        <v>16218</v>
      </c>
      <c r="F236" t="s">
        <v>16221</v>
      </c>
      <c r="G236" t="s">
        <v>16235</v>
      </c>
      <c r="H236" t="s">
        <v>16241</v>
      </c>
      <c r="I236" t="s">
        <v>16313</v>
      </c>
      <c r="J236" t="s">
        <v>16385</v>
      </c>
      <c r="K236">
        <v>0.275</v>
      </c>
      <c r="L236">
        <v>11994</v>
      </c>
      <c r="M236">
        <v>2373</v>
      </c>
      <c r="N236" t="s">
        <v>16393</v>
      </c>
      <c r="O236" s="4">
        <v>40342</v>
      </c>
      <c r="P236" s="4">
        <v>102784</v>
      </c>
      <c r="Q236" s="4">
        <v>143126</v>
      </c>
      <c r="R236" s="4">
        <v>429378</v>
      </c>
      <c r="S236" t="s">
        <v>16617</v>
      </c>
      <c r="T236" s="6">
        <v>38777</v>
      </c>
      <c r="U236" s="4">
        <v>352000</v>
      </c>
      <c r="V236" t="s">
        <v>23739</v>
      </c>
      <c r="W236" t="s">
        <v>23847</v>
      </c>
      <c r="X236" t="s">
        <v>3</v>
      </c>
      <c r="AA236" s="5" t="str">
        <f>HYPERLINK("https://www.zillow.com/homes/167-HINGHAM-LN-BLOOMINGDALE-IL-60108_rb/","check listing")</f>
        <v>check listing</v>
      </c>
      <c r="AB236" s="5" t="str">
        <f>HYPERLINK("https://propertylookup.dupagecounty.gov/Datalets/Datalet.aspx?UseSearch=no&amp;mode=sales&amp;pin=0215410014","sales record")</f>
        <v>sales record</v>
      </c>
      <c r="AC236" t="s">
        <v>3</v>
      </c>
      <c r="AD236">
        <v>41.953428</v>
      </c>
      <c r="AE236">
        <v>-88.074749</v>
      </c>
      <c r="AF236" s="5" t="str">
        <f>HYPERLINK("https://www.google.com/maps/search/?api=1&amp;query=41.953428,-88.074749","map")</f>
        <v>map</v>
      </c>
    </row>
    <row r="237" spans="1:32">
      <c r="A237" t="s">
        <v>287</v>
      </c>
      <c r="B237" t="s">
        <v>7867</v>
      </c>
      <c r="C237" t="s">
        <v>15132</v>
      </c>
      <c r="D237" t="s">
        <v>16196</v>
      </c>
      <c r="E237" t="s">
        <v>16218</v>
      </c>
      <c r="F237" t="s">
        <v>16221</v>
      </c>
      <c r="G237" t="s">
        <v>16235</v>
      </c>
      <c r="H237" t="s">
        <v>16241</v>
      </c>
      <c r="I237" t="s">
        <v>16313</v>
      </c>
      <c r="J237" t="s">
        <v>16385</v>
      </c>
      <c r="K237">
        <v>0.272</v>
      </c>
      <c r="L237">
        <v>11861</v>
      </c>
      <c r="M237">
        <v>2374</v>
      </c>
      <c r="N237" t="s">
        <v>16393</v>
      </c>
      <c r="O237" s="4">
        <v>40342</v>
      </c>
      <c r="P237" s="4">
        <v>102784</v>
      </c>
      <c r="Q237" s="4">
        <v>143126</v>
      </c>
      <c r="R237" s="4">
        <v>429378</v>
      </c>
      <c r="S237" t="s">
        <v>16618</v>
      </c>
      <c r="T237" s="6">
        <v>35156</v>
      </c>
      <c r="U237" s="4">
        <v>182500</v>
      </c>
      <c r="X237" t="s">
        <v>3</v>
      </c>
      <c r="AA237" s="5" t="str">
        <f>HYPERLINK("https://www.zillow.com/homes/163-HINGHAM-LN-BLOOMINGDALE-IL-601081525_rb/","check listing")</f>
        <v>check listing</v>
      </c>
      <c r="AB237" s="5" t="str">
        <f>HYPERLINK("https://propertylookup.dupagecounty.gov/Datalets/Datalet.aspx?UseSearch=no&amp;mode=sales&amp;pin=0215410013","sales record")</f>
        <v>sales record</v>
      </c>
      <c r="AC237" t="s">
        <v>3</v>
      </c>
      <c r="AD237">
        <v>41.953393</v>
      </c>
      <c r="AE237">
        <v>-88.075022</v>
      </c>
      <c r="AF237" s="5" t="str">
        <f>HYPERLINK("https://www.google.com/maps/search/?api=1&amp;query=41.953393,-88.075022","map")</f>
        <v>map</v>
      </c>
    </row>
    <row r="238" spans="1:32">
      <c r="A238" t="s">
        <v>288</v>
      </c>
      <c r="B238" t="s">
        <v>7868</v>
      </c>
      <c r="C238" t="s">
        <v>15118</v>
      </c>
      <c r="D238" t="s">
        <v>16196</v>
      </c>
      <c r="E238" t="s">
        <v>16218</v>
      </c>
      <c r="F238" t="s">
        <v>16221</v>
      </c>
      <c r="G238" t="s">
        <v>16235</v>
      </c>
      <c r="H238" t="s">
        <v>16241</v>
      </c>
      <c r="I238" t="s">
        <v>16313</v>
      </c>
      <c r="J238" t="s">
        <v>16385</v>
      </c>
      <c r="K238">
        <v>0.27</v>
      </c>
      <c r="L238">
        <v>11748</v>
      </c>
      <c r="M238">
        <v>2721</v>
      </c>
      <c r="N238" t="s">
        <v>16393</v>
      </c>
      <c r="O238" s="4">
        <v>40342</v>
      </c>
      <c r="P238" s="4">
        <v>102784</v>
      </c>
      <c r="Q238" s="4">
        <v>143126</v>
      </c>
      <c r="R238" s="4">
        <v>429378</v>
      </c>
      <c r="S238" t="s">
        <v>16619</v>
      </c>
      <c r="T238" s="6">
        <v>30468</v>
      </c>
      <c r="U238" s="4">
        <v>108000</v>
      </c>
      <c r="X238" t="s">
        <v>3</v>
      </c>
      <c r="AA238" s="5" t="str">
        <f>HYPERLINK("https://www.zillow.com/homes/194-CAMBRIDGE-LN-BLOOMINGDALE-IL-60108_rb/","check listing")</f>
        <v>check listing</v>
      </c>
      <c r="AB238" s="5" t="str">
        <f>HYPERLINK("https://propertylookup.dupagecounty.gov/Datalets/Datalet.aspx?UseSearch=no&amp;mode=sales&amp;pin=0215402035","sales record")</f>
        <v>sales record</v>
      </c>
      <c r="AC238" t="s">
        <v>3</v>
      </c>
      <c r="AD238">
        <v>41.950202</v>
      </c>
      <c r="AE238">
        <v>-88.076989</v>
      </c>
      <c r="AF238" s="5" t="str">
        <f>HYPERLINK("https://www.google.com/maps/search/?api=1&amp;query=41.950202,-88.076989","map")</f>
        <v>map</v>
      </c>
    </row>
    <row r="239" spans="1:32">
      <c r="A239" t="s">
        <v>289</v>
      </c>
      <c r="B239" t="s">
        <v>7869</v>
      </c>
      <c r="C239" t="s">
        <v>15118</v>
      </c>
      <c r="D239" t="s">
        <v>16196</v>
      </c>
      <c r="E239" t="s">
        <v>16218</v>
      </c>
      <c r="F239" t="s">
        <v>16221</v>
      </c>
      <c r="G239" t="s">
        <v>16235</v>
      </c>
      <c r="H239" t="s">
        <v>16241</v>
      </c>
      <c r="I239" t="s">
        <v>16313</v>
      </c>
      <c r="J239" t="s">
        <v>16385</v>
      </c>
      <c r="K239">
        <v>0.267</v>
      </c>
      <c r="L239">
        <v>11646</v>
      </c>
      <c r="M239">
        <v>1711</v>
      </c>
      <c r="N239" t="s">
        <v>16393</v>
      </c>
      <c r="O239" s="4">
        <v>40342</v>
      </c>
      <c r="P239" s="4">
        <v>102784</v>
      </c>
      <c r="Q239" s="4">
        <v>143126</v>
      </c>
      <c r="R239" s="4">
        <v>429378</v>
      </c>
      <c r="S239" t="s">
        <v>16620</v>
      </c>
      <c r="T239" s="6">
        <v>29281</v>
      </c>
      <c r="U239" s="4">
        <v>90000</v>
      </c>
      <c r="X239" t="s">
        <v>3</v>
      </c>
      <c r="AA239" s="5" t="str">
        <f>HYPERLINK("https://www.zillow.com/homes/170-BRAINTREE-DR-BLOOMINGDALE-IL-60108_rb/","check listing")</f>
        <v>check listing</v>
      </c>
      <c r="AB239" s="5" t="str">
        <f>HYPERLINK("https://propertylookup.dupagecounty.gov/Datalets/Datalet.aspx?UseSearch=no&amp;mode=sales&amp;pin=0215409025","sales record")</f>
        <v>sales record</v>
      </c>
      <c r="AC239" t="s">
        <v>27873</v>
      </c>
      <c r="AD239">
        <v>41.951497</v>
      </c>
      <c r="AE239">
        <v>-88.076635</v>
      </c>
      <c r="AF239" s="5" t="str">
        <f>HYPERLINK("https://www.google.com/maps/search/?api=1&amp;query=41.951497,-88.076635","map")</f>
        <v>map</v>
      </c>
    </row>
    <row r="240" spans="1:32">
      <c r="A240" t="s">
        <v>290</v>
      </c>
      <c r="B240" t="s">
        <v>7870</v>
      </c>
      <c r="C240" t="s">
        <v>15133</v>
      </c>
      <c r="D240" t="s">
        <v>16196</v>
      </c>
      <c r="E240" t="s">
        <v>16218</v>
      </c>
      <c r="F240" t="s">
        <v>16221</v>
      </c>
      <c r="G240" t="s">
        <v>16235</v>
      </c>
      <c r="H240" t="s">
        <v>16241</v>
      </c>
      <c r="I240" t="s">
        <v>16313</v>
      </c>
      <c r="J240" t="s">
        <v>16385</v>
      </c>
      <c r="K240">
        <v>0.267</v>
      </c>
      <c r="L240">
        <v>11610</v>
      </c>
      <c r="M240">
        <v>2573</v>
      </c>
      <c r="N240" t="s">
        <v>16393</v>
      </c>
      <c r="O240" s="4">
        <v>40342</v>
      </c>
      <c r="P240" s="4">
        <v>102784</v>
      </c>
      <c r="Q240" s="4">
        <v>143126</v>
      </c>
      <c r="R240" s="4">
        <v>429378</v>
      </c>
      <c r="S240" t="s">
        <v>16621</v>
      </c>
      <c r="T240" s="6">
        <v>43556</v>
      </c>
      <c r="U240" s="4">
        <v>302500</v>
      </c>
      <c r="V240" t="s">
        <v>23739</v>
      </c>
      <c r="W240" t="s">
        <v>16621</v>
      </c>
      <c r="X240" t="s">
        <v>3</v>
      </c>
      <c r="AA240" s="5" t="str">
        <f>HYPERLINK("https://www.zillow.com/homes/170-FAIRFIELD-WAY-BLOOMINGDALE-IL-601081540_rb/","check listing")</f>
        <v>check listing</v>
      </c>
      <c r="AB240" s="5" t="str">
        <f>HYPERLINK("https://propertylookup.dupagecounty.gov/Datalets/Datalet.aspx?UseSearch=no&amp;mode=sales&amp;pin=0215410028","sales record")</f>
        <v>sales record</v>
      </c>
      <c r="AC240" t="s">
        <v>3</v>
      </c>
      <c r="AD240">
        <v>41.952685</v>
      </c>
      <c r="AE240">
        <v>-88.07370899999999</v>
      </c>
      <c r="AF240" s="5" t="str">
        <f>HYPERLINK("https://www.google.com/maps/search/?api=1&amp;query=41.952685,-88.073709","map")</f>
        <v>map</v>
      </c>
    </row>
    <row r="241" spans="1:32">
      <c r="A241" t="s">
        <v>291</v>
      </c>
      <c r="B241" t="s">
        <v>7871</v>
      </c>
      <c r="C241" t="s">
        <v>15118</v>
      </c>
      <c r="D241" t="s">
        <v>16196</v>
      </c>
      <c r="E241" t="s">
        <v>16218</v>
      </c>
      <c r="F241" t="s">
        <v>16221</v>
      </c>
      <c r="G241" t="s">
        <v>16235</v>
      </c>
      <c r="H241" t="s">
        <v>16241</v>
      </c>
      <c r="I241" t="s">
        <v>16313</v>
      </c>
      <c r="J241" t="s">
        <v>16385</v>
      </c>
      <c r="K241">
        <v>0.265</v>
      </c>
      <c r="L241">
        <v>11534</v>
      </c>
      <c r="M241">
        <v>2309</v>
      </c>
      <c r="N241" t="s">
        <v>16393</v>
      </c>
      <c r="O241" s="4">
        <v>40342</v>
      </c>
      <c r="P241" s="4">
        <v>120403</v>
      </c>
      <c r="Q241" s="4">
        <v>160745</v>
      </c>
      <c r="R241" s="4">
        <v>482235</v>
      </c>
      <c r="S241" t="s">
        <v>16622</v>
      </c>
      <c r="T241" s="6">
        <v>31747</v>
      </c>
      <c r="U241" s="4">
        <v>116000</v>
      </c>
      <c r="X241" t="s">
        <v>3</v>
      </c>
      <c r="AA241" s="5" t="str">
        <f>HYPERLINK("https://www.zillow.com/homes/205-CAMBRIDGE-LN-BLOOMINGDALE-IL-60108_rb/","check listing")</f>
        <v>check listing</v>
      </c>
      <c r="AB241" s="5" t="str">
        <f>HYPERLINK("https://propertylookup.dupagecounty.gov/Datalets/Datalet.aspx?UseSearch=no&amp;mode=sales&amp;pin=0215409032","sales record")</f>
        <v>sales record</v>
      </c>
      <c r="AC241" t="s">
        <v>3</v>
      </c>
      <c r="AD241">
        <v>41.950761</v>
      </c>
      <c r="AE241">
        <v>-88.076381</v>
      </c>
      <c r="AF241" s="5" t="str">
        <f>HYPERLINK("https://www.google.com/maps/search/?api=1&amp;query=41.950761,-88.076381","map")</f>
        <v>map</v>
      </c>
    </row>
    <row r="242" spans="1:32">
      <c r="A242" t="s">
        <v>292</v>
      </c>
      <c r="B242" t="s">
        <v>7872</v>
      </c>
      <c r="C242" t="s">
        <v>15118</v>
      </c>
      <c r="D242" t="s">
        <v>16196</v>
      </c>
      <c r="E242" t="s">
        <v>16218</v>
      </c>
      <c r="F242" t="s">
        <v>16221</v>
      </c>
      <c r="G242" t="s">
        <v>16235</v>
      </c>
      <c r="H242" t="s">
        <v>16241</v>
      </c>
      <c r="I242" t="s">
        <v>16313</v>
      </c>
      <c r="J242" t="s">
        <v>16385</v>
      </c>
      <c r="K242">
        <v>0.264</v>
      </c>
      <c r="L242">
        <v>11487</v>
      </c>
      <c r="M242">
        <v>2593</v>
      </c>
      <c r="N242" t="s">
        <v>16393</v>
      </c>
      <c r="O242" s="4">
        <v>40342</v>
      </c>
      <c r="P242" s="4">
        <v>101324</v>
      </c>
      <c r="Q242" s="4">
        <v>141666</v>
      </c>
      <c r="R242" s="4">
        <v>424998</v>
      </c>
      <c r="S242" t="s">
        <v>16623</v>
      </c>
      <c r="T242" s="6">
        <v>45016</v>
      </c>
      <c r="U242" s="4">
        <v>425000</v>
      </c>
      <c r="V242" t="s">
        <v>23739</v>
      </c>
      <c r="W242" t="s">
        <v>23848</v>
      </c>
      <c r="X242" t="s">
        <v>3</v>
      </c>
      <c r="AA242" s="5" t="str">
        <f>HYPERLINK("https://www.zillow.com/homes/188-CAMBRIDGE-LN-BLOOMINGDALE-IL-60108_rb/","check listing")</f>
        <v>check listing</v>
      </c>
      <c r="AB242" s="5" t="str">
        <f>HYPERLINK("https://propertylookup.dupagecounty.gov/Datalets/Datalet.aspx?UseSearch=no&amp;mode=sales&amp;pin=0215402045","sales record")</f>
        <v>sales record</v>
      </c>
      <c r="AC242" t="s">
        <v>3</v>
      </c>
      <c r="AD242">
        <v>41.950231</v>
      </c>
      <c r="AE242">
        <v>-88.077268</v>
      </c>
      <c r="AF242" s="5" t="str">
        <f>HYPERLINK("https://www.google.com/maps/search/?api=1&amp;query=41.950231,-88.077268","map")</f>
        <v>map</v>
      </c>
    </row>
    <row r="243" spans="1:32">
      <c r="A243" t="s">
        <v>293</v>
      </c>
      <c r="B243" t="s">
        <v>7873</v>
      </c>
      <c r="C243" t="s">
        <v>15118</v>
      </c>
      <c r="D243" t="s">
        <v>16196</v>
      </c>
      <c r="E243" t="s">
        <v>16218</v>
      </c>
      <c r="F243" t="s">
        <v>16221</v>
      </c>
      <c r="G243" t="s">
        <v>16235</v>
      </c>
      <c r="H243" t="s">
        <v>16241</v>
      </c>
      <c r="I243" t="s">
        <v>16313</v>
      </c>
      <c r="J243" t="s">
        <v>16385</v>
      </c>
      <c r="K243">
        <v>0.262</v>
      </c>
      <c r="L243">
        <v>11393</v>
      </c>
      <c r="M243">
        <v>1940</v>
      </c>
      <c r="N243" t="s">
        <v>16393</v>
      </c>
      <c r="O243" s="4">
        <v>40342</v>
      </c>
      <c r="P243" s="4">
        <v>104744</v>
      </c>
      <c r="Q243" s="4">
        <v>145086</v>
      </c>
      <c r="R243" s="4">
        <v>435258</v>
      </c>
      <c r="S243" t="s">
        <v>16624</v>
      </c>
      <c r="T243" s="6">
        <v>34274</v>
      </c>
      <c r="U243" s="4">
        <v>155000</v>
      </c>
      <c r="X243" t="s">
        <v>3</v>
      </c>
      <c r="AA243" s="5" t="str">
        <f>HYPERLINK("https://www.zillow.com/homes/180-N-FAIRFIELD-WAY-BLOOMINGDALE-IL-60108_rb/","check listing")</f>
        <v>check listing</v>
      </c>
      <c r="AB243" s="5" t="str">
        <f>HYPERLINK("https://propertylookup.dupagecounty.gov/Datalets/Datalet.aspx?UseSearch=no&amp;mode=sales&amp;pin=0215412018","sales record")</f>
        <v>sales record</v>
      </c>
      <c r="AC243" t="s">
        <v>3</v>
      </c>
      <c r="AD243">
        <v>41.950447</v>
      </c>
      <c r="AE243">
        <v>-88.073408</v>
      </c>
      <c r="AF243" s="5" t="str">
        <f>HYPERLINK("https://www.google.com/maps/search/?api=1&amp;query=41.950447,-88.073408","map")</f>
        <v>map</v>
      </c>
    </row>
    <row r="244" spans="1:32">
      <c r="A244" t="s">
        <v>294</v>
      </c>
      <c r="B244" t="s">
        <v>7874</v>
      </c>
      <c r="C244" t="s">
        <v>15118</v>
      </c>
      <c r="D244" t="s">
        <v>16196</v>
      </c>
      <c r="E244" t="s">
        <v>16218</v>
      </c>
      <c r="F244" t="s">
        <v>16221</v>
      </c>
      <c r="G244" t="s">
        <v>16235</v>
      </c>
      <c r="H244" t="s">
        <v>16241</v>
      </c>
      <c r="I244" t="s">
        <v>16313</v>
      </c>
      <c r="J244" t="s">
        <v>16385</v>
      </c>
      <c r="K244">
        <v>0.261</v>
      </c>
      <c r="L244">
        <v>11390</v>
      </c>
      <c r="M244">
        <v>1733</v>
      </c>
      <c r="N244" t="s">
        <v>16393</v>
      </c>
      <c r="O244" s="4">
        <v>40342</v>
      </c>
      <c r="P244" s="4">
        <v>127814</v>
      </c>
      <c r="Q244" s="4">
        <v>168156</v>
      </c>
      <c r="R244" s="4">
        <v>504468</v>
      </c>
      <c r="S244" t="s">
        <v>16625</v>
      </c>
      <c r="T244" s="6">
        <v>35521</v>
      </c>
      <c r="U244" s="4">
        <v>210000</v>
      </c>
      <c r="X244" t="s">
        <v>3</v>
      </c>
      <c r="AA244" s="5" t="str">
        <f>HYPERLINK("https://www.zillow.com/homes/175-SALEM-CT-BLOOMINGDALE-IL-60108_rb/","check listing")</f>
        <v>check listing</v>
      </c>
      <c r="AB244" s="5" t="str">
        <f>HYPERLINK("https://propertylookup.dupagecounty.gov/Datalets/Datalet.aspx?UseSearch=no&amp;mode=sales&amp;pin=0215412013","sales record")</f>
        <v>sales record</v>
      </c>
      <c r="AC244" t="s">
        <v>3</v>
      </c>
      <c r="AD244">
        <v>41.950407</v>
      </c>
      <c r="AE244">
        <v>-88.074611</v>
      </c>
      <c r="AF244" s="5" t="str">
        <f>HYPERLINK("https://www.google.com/maps/search/?api=1&amp;query=41.950407,-88.074611","map")</f>
        <v>map</v>
      </c>
    </row>
    <row r="245" spans="1:32">
      <c r="A245" t="s">
        <v>295</v>
      </c>
      <c r="B245" t="s">
        <v>7875</v>
      </c>
      <c r="C245" t="s">
        <v>15134</v>
      </c>
      <c r="D245" t="s">
        <v>16196</v>
      </c>
      <c r="E245" t="s">
        <v>16218</v>
      </c>
      <c r="F245" t="s">
        <v>16221</v>
      </c>
      <c r="G245" t="s">
        <v>16235</v>
      </c>
      <c r="H245" t="s">
        <v>16241</v>
      </c>
      <c r="I245" t="s">
        <v>16313</v>
      </c>
      <c r="J245" t="s">
        <v>16385</v>
      </c>
      <c r="K245">
        <v>0.261</v>
      </c>
      <c r="L245">
        <v>11378</v>
      </c>
      <c r="M245">
        <v>2143</v>
      </c>
      <c r="N245" t="s">
        <v>16393</v>
      </c>
      <c r="O245" s="4">
        <v>40342</v>
      </c>
      <c r="P245" s="4">
        <v>134352</v>
      </c>
      <c r="Q245" s="4">
        <v>174694</v>
      </c>
      <c r="R245" s="4">
        <v>524082</v>
      </c>
      <c r="S245" t="s">
        <v>16626</v>
      </c>
      <c r="T245" s="6">
        <v>42614</v>
      </c>
      <c r="U245" s="4">
        <v>210000</v>
      </c>
      <c r="V245" t="s">
        <v>23739</v>
      </c>
      <c r="W245" t="s">
        <v>23849</v>
      </c>
      <c r="X245" t="s">
        <v>3</v>
      </c>
      <c r="AA245" s="5" t="str">
        <f>HYPERLINK("https://www.zillow.com/homes/168-HINGHAM-LN-BLOOMINGDALE-IL-601081527_rb/","check listing")</f>
        <v>check listing</v>
      </c>
      <c r="AB245" s="5" t="str">
        <f>HYPERLINK("https://propertylookup.dupagecounty.gov/Datalets/Datalet.aspx?UseSearch=no&amp;mode=sales&amp;pin=0215411005","sales record")</f>
        <v>sales record</v>
      </c>
      <c r="AC245" t="s">
        <v>3</v>
      </c>
      <c r="AD245">
        <v>41.95275</v>
      </c>
      <c r="AE245">
        <v>-88.074956</v>
      </c>
      <c r="AF245" s="5" t="str">
        <f>HYPERLINK("https://www.google.com/maps/search/?api=1&amp;query=41.95275,-88.074956","map")</f>
        <v>map</v>
      </c>
    </row>
    <row r="246" spans="1:32">
      <c r="A246" t="s">
        <v>296</v>
      </c>
      <c r="B246" t="s">
        <v>7876</v>
      </c>
      <c r="C246" t="s">
        <v>15118</v>
      </c>
      <c r="D246" t="s">
        <v>16196</v>
      </c>
      <c r="E246" t="s">
        <v>16218</v>
      </c>
      <c r="F246" t="s">
        <v>16221</v>
      </c>
      <c r="G246" t="s">
        <v>16235</v>
      </c>
      <c r="H246" t="s">
        <v>16241</v>
      </c>
      <c r="I246" t="s">
        <v>16313</v>
      </c>
      <c r="J246" t="s">
        <v>16385</v>
      </c>
      <c r="K246">
        <v>0.258</v>
      </c>
      <c r="L246">
        <v>11246</v>
      </c>
      <c r="M246">
        <v>2142</v>
      </c>
      <c r="N246" t="s">
        <v>16393</v>
      </c>
      <c r="O246" s="4">
        <v>40342</v>
      </c>
      <c r="P246" s="4">
        <v>106800</v>
      </c>
      <c r="Q246" s="4">
        <v>147142</v>
      </c>
      <c r="R246" s="4">
        <v>441426</v>
      </c>
      <c r="S246" t="s">
        <v>16627</v>
      </c>
      <c r="T246" s="6">
        <v>32540</v>
      </c>
      <c r="U246" s="4">
        <v>166500</v>
      </c>
      <c r="X246" t="s">
        <v>3</v>
      </c>
      <c r="AA246" s="5" t="str">
        <f>HYPERLINK("https://www.zillow.com/homes/173-CAMBRIDGE-LN-BLOOMINGDALE-IL-60108_rb/","check listing")</f>
        <v>check listing</v>
      </c>
      <c r="AB246" s="5" t="str">
        <f>HYPERLINK("https://propertylookup.dupagecounty.gov/Datalets/Datalet.aspx?UseSearch=no&amp;mode=sales&amp;pin=0215409015","sales record")</f>
        <v>sales record</v>
      </c>
      <c r="AC246" t="s">
        <v>27873</v>
      </c>
      <c r="AD246">
        <v>41.951228</v>
      </c>
      <c r="AE246">
        <v>-88.07715899999999</v>
      </c>
      <c r="AF246" s="5" t="str">
        <f>HYPERLINK("https://www.google.com/maps/search/?api=1&amp;query=41.951228,-88.077159","map")</f>
        <v>map</v>
      </c>
    </row>
    <row r="247" spans="1:32">
      <c r="A247" t="s">
        <v>297</v>
      </c>
      <c r="B247" t="s">
        <v>7877</v>
      </c>
      <c r="C247" t="s">
        <v>15135</v>
      </c>
      <c r="D247" t="s">
        <v>16196</v>
      </c>
      <c r="E247" t="s">
        <v>16218</v>
      </c>
      <c r="F247" t="s">
        <v>16221</v>
      </c>
      <c r="G247" t="s">
        <v>16235</v>
      </c>
      <c r="H247" t="s">
        <v>16241</v>
      </c>
      <c r="I247" t="s">
        <v>16313</v>
      </c>
      <c r="J247" t="s">
        <v>16385</v>
      </c>
      <c r="K247">
        <v>0.257</v>
      </c>
      <c r="L247">
        <v>11182</v>
      </c>
      <c r="M247">
        <v>1780</v>
      </c>
      <c r="N247" t="s">
        <v>16393</v>
      </c>
      <c r="O247" s="4">
        <v>40342</v>
      </c>
      <c r="P247" s="4">
        <v>104744</v>
      </c>
      <c r="Q247" s="4">
        <v>145086</v>
      </c>
      <c r="R247" s="4">
        <v>435258</v>
      </c>
      <c r="S247" t="s">
        <v>16628</v>
      </c>
      <c r="T247" s="6">
        <v>42887</v>
      </c>
      <c r="U247" s="4">
        <v>320000</v>
      </c>
      <c r="V247" t="s">
        <v>23739</v>
      </c>
      <c r="W247" t="s">
        <v>23850</v>
      </c>
      <c r="X247" t="s">
        <v>3</v>
      </c>
      <c r="AA247" s="5" t="str">
        <f>HYPERLINK("https://www.zillow.com/homes/138-FAIRFIELD-WAY-BLOOMINGDALE-IL-601081539_rb/","check listing")</f>
        <v>check listing</v>
      </c>
      <c r="AB247" s="5" t="str">
        <f>HYPERLINK("https://propertylookup.dupagecounty.gov/Datalets/Datalet.aspx?UseSearch=no&amp;mode=sales&amp;pin=0215410020","sales record")</f>
        <v>sales record</v>
      </c>
      <c r="AC247" t="s">
        <v>3</v>
      </c>
      <c r="AD247">
        <v>41.954026</v>
      </c>
      <c r="AE247">
        <v>-88.07330399999999</v>
      </c>
      <c r="AF247" s="5" t="str">
        <f>HYPERLINK("https://www.google.com/maps/search/?api=1&amp;query=41.954026,-88.073304","map")</f>
        <v>map</v>
      </c>
    </row>
    <row r="248" spans="1:32">
      <c r="A248" t="s">
        <v>298</v>
      </c>
      <c r="B248" t="s">
        <v>7878</v>
      </c>
      <c r="C248" t="s">
        <v>15118</v>
      </c>
      <c r="D248" t="s">
        <v>16196</v>
      </c>
      <c r="E248" t="s">
        <v>16218</v>
      </c>
      <c r="F248" t="s">
        <v>16221</v>
      </c>
      <c r="G248" t="s">
        <v>16235</v>
      </c>
      <c r="H248" t="s">
        <v>16241</v>
      </c>
      <c r="I248" t="s">
        <v>16313</v>
      </c>
      <c r="J248" t="s">
        <v>16385</v>
      </c>
      <c r="K248">
        <v>0.255</v>
      </c>
      <c r="L248">
        <v>11093</v>
      </c>
      <c r="M248">
        <v>2023</v>
      </c>
      <c r="N248" t="s">
        <v>16393</v>
      </c>
      <c r="O248" s="4">
        <v>40342</v>
      </c>
      <c r="P248" s="4">
        <v>95709</v>
      </c>
      <c r="Q248" s="4">
        <v>136051</v>
      </c>
      <c r="R248" s="4">
        <v>408153</v>
      </c>
      <c r="S248" t="s">
        <v>16629</v>
      </c>
      <c r="T248" s="6">
        <v>35704</v>
      </c>
      <c r="U248" s="4">
        <v>190000</v>
      </c>
      <c r="X248" t="s">
        <v>3</v>
      </c>
      <c r="AA248" s="5" t="str">
        <f>HYPERLINK("https://www.zillow.com/homes/175-CAMBRIDGE-LN-BLOOMINGDALE-IL-60108_rb/","check listing")</f>
        <v>check listing</v>
      </c>
      <c r="AB248" s="5" t="str">
        <f>HYPERLINK("https://propertylookup.dupagecounty.gov/Datalets/Datalet.aspx?UseSearch=no&amp;mode=sales&amp;pin=0215409016","sales record")</f>
        <v>sales record</v>
      </c>
      <c r="AC248" t="s">
        <v>3</v>
      </c>
      <c r="AD248">
        <v>41.951037</v>
      </c>
      <c r="AE248">
        <v>-88.07713800000001</v>
      </c>
      <c r="AF248" s="5" t="str">
        <f>HYPERLINK("https://www.google.com/maps/search/?api=1&amp;query=41.951037,-88.077138","map")</f>
        <v>map</v>
      </c>
    </row>
    <row r="249" spans="1:32">
      <c r="A249" t="s">
        <v>299</v>
      </c>
      <c r="B249" t="s">
        <v>7879</v>
      </c>
      <c r="C249" t="s">
        <v>15118</v>
      </c>
      <c r="D249" t="s">
        <v>16196</v>
      </c>
      <c r="E249" t="s">
        <v>16218</v>
      </c>
      <c r="F249" t="s">
        <v>16221</v>
      </c>
      <c r="G249" t="s">
        <v>16235</v>
      </c>
      <c r="H249" t="s">
        <v>16241</v>
      </c>
      <c r="I249" t="s">
        <v>16313</v>
      </c>
      <c r="J249" t="s">
        <v>16385</v>
      </c>
      <c r="K249">
        <v>0.255</v>
      </c>
      <c r="L249">
        <v>11091</v>
      </c>
      <c r="M249">
        <v>2554</v>
      </c>
      <c r="N249" t="s">
        <v>16393</v>
      </c>
      <c r="O249" s="4">
        <v>40342</v>
      </c>
      <c r="P249" s="4">
        <v>115394</v>
      </c>
      <c r="Q249" s="4">
        <v>155736</v>
      </c>
      <c r="R249" s="4">
        <v>467208</v>
      </c>
      <c r="S249" t="s">
        <v>16630</v>
      </c>
      <c r="T249" s="6">
        <v>35916</v>
      </c>
      <c r="U249" s="4">
        <v>216750</v>
      </c>
      <c r="X249" t="s">
        <v>3</v>
      </c>
      <c r="AA249" s="5" t="str">
        <f>HYPERLINK("https://www.zillow.com/homes/198-CAMBRIDGE-LN-BLOOMINGDALE-IL-60108_rb/","check listing")</f>
        <v>check listing</v>
      </c>
      <c r="AB249" s="5" t="str">
        <f>HYPERLINK("https://propertylookup.dupagecounty.gov/Datalets/Datalet.aspx?UseSearch=no&amp;mode=sales&amp;pin=0215402036","sales record")</f>
        <v>sales record</v>
      </c>
      <c r="AC249" t="s">
        <v>3</v>
      </c>
      <c r="AD249">
        <v>41.950198</v>
      </c>
      <c r="AE249">
        <v>-88.076672</v>
      </c>
      <c r="AF249" s="5" t="str">
        <f>HYPERLINK("https://www.google.com/maps/search/?api=1&amp;query=41.950198,-88.076672","map")</f>
        <v>map</v>
      </c>
    </row>
    <row r="250" spans="1:32">
      <c r="A250" t="s">
        <v>300</v>
      </c>
      <c r="B250" t="s">
        <v>7880</v>
      </c>
      <c r="C250" t="s">
        <v>15118</v>
      </c>
      <c r="D250" t="s">
        <v>16196</v>
      </c>
      <c r="E250" t="s">
        <v>16218</v>
      </c>
      <c r="F250" t="s">
        <v>16221</v>
      </c>
      <c r="G250" t="s">
        <v>16235</v>
      </c>
      <c r="H250" t="s">
        <v>16241</v>
      </c>
      <c r="I250" t="s">
        <v>16313</v>
      </c>
      <c r="J250" t="s">
        <v>16385</v>
      </c>
      <c r="K250">
        <v>0.253</v>
      </c>
      <c r="L250">
        <v>11031</v>
      </c>
      <c r="M250">
        <v>2358</v>
      </c>
      <c r="N250" t="s">
        <v>16393</v>
      </c>
      <c r="O250" s="4">
        <v>40346</v>
      </c>
      <c r="P250" s="4">
        <v>85707</v>
      </c>
      <c r="Q250" s="4">
        <v>126053</v>
      </c>
      <c r="R250" s="4">
        <v>378159</v>
      </c>
      <c r="S250" t="s">
        <v>16631</v>
      </c>
      <c r="T250" s="6">
        <v>36982</v>
      </c>
      <c r="U250" s="4">
        <v>225000</v>
      </c>
      <c r="V250" t="s">
        <v>23739</v>
      </c>
      <c r="W250" t="s">
        <v>16631</v>
      </c>
      <c r="X250" t="s">
        <v>3</v>
      </c>
      <c r="AA250" s="5" t="str">
        <f>HYPERLINK("https://www.zillow.com/homes/185-HINGHAM-LN-BLOOMINGDALE-IL-60108_rb/","check listing")</f>
        <v>check listing</v>
      </c>
      <c r="AB250" s="5" t="str">
        <f>HYPERLINK("https://propertylookup.dupagecounty.gov/Datalets/Datalet.aspx?UseSearch=no&amp;mode=sales&amp;pin=0215410019","sales record")</f>
        <v>sales record</v>
      </c>
      <c r="AC250" t="s">
        <v>3</v>
      </c>
      <c r="AD250">
        <v>41.952829</v>
      </c>
      <c r="AE250">
        <v>-88.074078</v>
      </c>
      <c r="AF250" s="5" t="str">
        <f>HYPERLINK("https://www.google.com/maps/search/?api=1&amp;query=41.952829,-88.074078","map")</f>
        <v>map</v>
      </c>
    </row>
    <row r="251" spans="1:32">
      <c r="A251" t="s">
        <v>301</v>
      </c>
      <c r="B251" t="s">
        <v>7881</v>
      </c>
      <c r="C251" t="s">
        <v>15118</v>
      </c>
      <c r="D251" t="s">
        <v>16196</v>
      </c>
      <c r="E251" t="s">
        <v>16218</v>
      </c>
      <c r="F251" t="s">
        <v>16221</v>
      </c>
      <c r="G251" t="s">
        <v>16236</v>
      </c>
      <c r="H251" t="s">
        <v>16241</v>
      </c>
      <c r="I251" t="s">
        <v>16313</v>
      </c>
      <c r="J251" t="s">
        <v>16385</v>
      </c>
      <c r="K251">
        <v>0.253</v>
      </c>
      <c r="L251">
        <v>11019</v>
      </c>
      <c r="M251">
        <v>2639</v>
      </c>
      <c r="N251" t="s">
        <v>16393</v>
      </c>
      <c r="O251" s="4">
        <v>29656</v>
      </c>
      <c r="P251" s="4">
        <v>120391</v>
      </c>
      <c r="Q251" s="4">
        <v>150047</v>
      </c>
      <c r="R251" s="4">
        <v>450141</v>
      </c>
      <c r="S251" t="s">
        <v>16632</v>
      </c>
      <c r="T251" s="6">
        <v>35096</v>
      </c>
      <c r="U251" s="4">
        <v>204560</v>
      </c>
      <c r="X251" t="s">
        <v>3</v>
      </c>
      <c r="AA251" s="5" t="str">
        <f>HYPERLINK("https://www.zillow.com/homes/300-MISSION-CT-BLOOMINGDALE-IL-60108_rb/","check listing")</f>
        <v>check listing</v>
      </c>
      <c r="AB251" s="5" t="str">
        <f>HYPERLINK("https://propertylookup.dupagecounty.gov/Datalets/Datalet.aspx?UseSearch=no&amp;mode=sales&amp;pin=0208303041","sales record")</f>
        <v>sales record</v>
      </c>
      <c r="AC251" t="s">
        <v>3</v>
      </c>
      <c r="AD251">
        <v>41.963323</v>
      </c>
      <c r="AE251">
        <v>-88.12269499999999</v>
      </c>
      <c r="AF251" s="5" t="str">
        <f>HYPERLINK("https://www.google.com/maps/search/?api=1&amp;query=41.963323,-88.122695","map")</f>
        <v>map</v>
      </c>
    </row>
    <row r="252" spans="1:32">
      <c r="A252" t="s">
        <v>302</v>
      </c>
      <c r="B252" t="s">
        <v>7882</v>
      </c>
      <c r="C252" t="s">
        <v>15118</v>
      </c>
      <c r="D252" t="s">
        <v>16196</v>
      </c>
      <c r="E252" t="s">
        <v>16218</v>
      </c>
      <c r="F252" t="s">
        <v>16221</v>
      </c>
      <c r="G252" t="s">
        <v>16235</v>
      </c>
      <c r="H252" t="s">
        <v>16241</v>
      </c>
      <c r="I252" t="s">
        <v>16313</v>
      </c>
      <c r="J252" t="s">
        <v>16385</v>
      </c>
      <c r="K252">
        <v>0.252</v>
      </c>
      <c r="L252">
        <v>10987</v>
      </c>
      <c r="M252">
        <v>2540</v>
      </c>
      <c r="N252" t="s">
        <v>16393</v>
      </c>
      <c r="O252" s="4">
        <v>40342</v>
      </c>
      <c r="P252" s="4">
        <v>102784</v>
      </c>
      <c r="Q252" s="4">
        <v>143126</v>
      </c>
      <c r="R252" s="4">
        <v>429378</v>
      </c>
      <c r="S252" t="s">
        <v>16633</v>
      </c>
      <c r="T252" s="6">
        <v>38200</v>
      </c>
      <c r="U252" s="4">
        <v>297000</v>
      </c>
      <c r="V252" t="s">
        <v>23739</v>
      </c>
      <c r="W252" t="s">
        <v>16633</v>
      </c>
      <c r="X252" t="s">
        <v>3</v>
      </c>
      <c r="AA252" s="5" t="str">
        <f>HYPERLINK("https://www.zillow.com/homes/168-SCHICK-RD-BLOOMINGDALE-IL-60108_rb/","check listing")</f>
        <v>check listing</v>
      </c>
      <c r="AB252" s="5" t="str">
        <f>HYPERLINK("https://propertylookup.dupagecounty.gov/Datalets/Datalet.aspx?UseSearch=no&amp;mode=sales&amp;pin=0215410009","sales record")</f>
        <v>sales record</v>
      </c>
      <c r="AC252" t="s">
        <v>3</v>
      </c>
      <c r="AD252">
        <v>41.953857</v>
      </c>
      <c r="AE252">
        <v>-88.073685</v>
      </c>
      <c r="AF252" s="5" t="str">
        <f>HYPERLINK("https://www.google.com/maps/search/?api=1&amp;query=41.953857,-88.073685","map")</f>
        <v>map</v>
      </c>
    </row>
    <row r="253" spans="1:32">
      <c r="A253" t="s">
        <v>303</v>
      </c>
      <c r="B253" t="s">
        <v>7883</v>
      </c>
      <c r="C253" t="s">
        <v>15118</v>
      </c>
      <c r="D253" t="s">
        <v>16196</v>
      </c>
      <c r="E253" t="s">
        <v>16218</v>
      </c>
      <c r="F253" t="s">
        <v>16221</v>
      </c>
      <c r="G253" t="s">
        <v>16235</v>
      </c>
      <c r="H253" t="s">
        <v>16241</v>
      </c>
      <c r="I253" t="s">
        <v>16313</v>
      </c>
      <c r="J253" t="s">
        <v>16385</v>
      </c>
      <c r="K253">
        <v>0.252</v>
      </c>
      <c r="L253">
        <v>10957</v>
      </c>
      <c r="M253">
        <v>2359</v>
      </c>
      <c r="N253" t="s">
        <v>16393</v>
      </c>
      <c r="O253" s="4">
        <v>40342</v>
      </c>
      <c r="P253" s="4">
        <v>91715</v>
      </c>
      <c r="Q253" s="4">
        <v>132057</v>
      </c>
      <c r="R253" s="4">
        <v>396171</v>
      </c>
      <c r="S253" t="s">
        <v>16634</v>
      </c>
      <c r="T253" s="6">
        <v>37773</v>
      </c>
      <c r="U253" s="4">
        <v>275000</v>
      </c>
      <c r="V253" t="s">
        <v>23739</v>
      </c>
      <c r="W253" t="s">
        <v>23851</v>
      </c>
      <c r="X253" t="s">
        <v>3</v>
      </c>
      <c r="AA253" s="5" t="str">
        <f>HYPERLINK("https://www.zillow.com/homes/213-CAMBRIDGE-LN-BLOOMINGDALE-IL-60108_rb/","check listing")</f>
        <v>check listing</v>
      </c>
      <c r="AB253" s="5" t="str">
        <f>HYPERLINK("https://propertylookup.dupagecounty.gov/Datalets/Datalet.aspx?UseSearch=no&amp;mode=sales&amp;pin=0215409034","sales record")</f>
        <v>sales record</v>
      </c>
      <c r="AC253" t="s">
        <v>3</v>
      </c>
      <c r="AD253">
        <v>41.950803</v>
      </c>
      <c r="AE253">
        <v>-88.075819</v>
      </c>
      <c r="AF253" s="5" t="str">
        <f>HYPERLINK("https://www.google.com/maps/search/?api=1&amp;query=41.950803,-88.075819","map")</f>
        <v>map</v>
      </c>
    </row>
    <row r="254" spans="1:32">
      <c r="A254" t="s">
        <v>304</v>
      </c>
      <c r="B254" t="s">
        <v>7884</v>
      </c>
      <c r="C254" t="s">
        <v>15118</v>
      </c>
      <c r="D254" t="s">
        <v>16196</v>
      </c>
      <c r="E254" t="s">
        <v>16218</v>
      </c>
      <c r="F254" t="s">
        <v>16221</v>
      </c>
      <c r="G254" t="s">
        <v>16235</v>
      </c>
      <c r="H254" t="s">
        <v>16241</v>
      </c>
      <c r="I254" t="s">
        <v>16313</v>
      </c>
      <c r="J254" t="s">
        <v>16385</v>
      </c>
      <c r="K254">
        <v>0.249</v>
      </c>
      <c r="L254">
        <v>10855</v>
      </c>
      <c r="M254">
        <v>2374</v>
      </c>
      <c r="N254" t="s">
        <v>16393</v>
      </c>
      <c r="O254" s="4">
        <v>40342</v>
      </c>
      <c r="P254" s="4">
        <v>113518</v>
      </c>
      <c r="Q254" s="4">
        <v>153860</v>
      </c>
      <c r="R254" s="4">
        <v>461580</v>
      </c>
      <c r="S254" t="s">
        <v>16635</v>
      </c>
      <c r="T254" s="6">
        <v>41760</v>
      </c>
      <c r="U254" s="4">
        <v>282500</v>
      </c>
      <c r="V254" t="s">
        <v>23740</v>
      </c>
      <c r="W254" t="s">
        <v>23852</v>
      </c>
      <c r="X254" t="s">
        <v>3</v>
      </c>
      <c r="AA254" s="5" t="str">
        <f>HYPERLINK("https://www.zillow.com/homes/148-E-SCHICK-RD-BLOOMINGDALE-IL-60108_rb/","check listing")</f>
        <v>check listing</v>
      </c>
      <c r="AB254" s="5" t="str">
        <f>HYPERLINK("https://propertylookup.dupagecounty.gov/Datalets/Datalet.aspx?UseSearch=no&amp;mode=sales&amp;pin=0215408006","sales record")</f>
        <v>sales record</v>
      </c>
      <c r="AC254" t="s">
        <v>3</v>
      </c>
      <c r="AD254">
        <v>41.95389</v>
      </c>
      <c r="AE254">
        <v>-88.076234</v>
      </c>
      <c r="AF254" s="5" t="str">
        <f>HYPERLINK("https://www.google.com/maps/search/?api=1&amp;query=41.95389,-88.076234","map")</f>
        <v>map</v>
      </c>
    </row>
    <row r="255" spans="1:32">
      <c r="A255" t="s">
        <v>305</v>
      </c>
      <c r="B255" t="s">
        <v>7885</v>
      </c>
      <c r="C255" t="s">
        <v>15118</v>
      </c>
      <c r="D255" t="s">
        <v>16196</v>
      </c>
      <c r="E255" t="s">
        <v>16218</v>
      </c>
      <c r="F255" t="s">
        <v>16221</v>
      </c>
      <c r="G255" t="s">
        <v>16235</v>
      </c>
      <c r="H255" t="s">
        <v>16241</v>
      </c>
      <c r="I255" t="s">
        <v>16313</v>
      </c>
      <c r="J255" t="s">
        <v>16385</v>
      </c>
      <c r="K255">
        <v>0.249</v>
      </c>
      <c r="L255">
        <v>10855</v>
      </c>
      <c r="M255">
        <v>1535</v>
      </c>
      <c r="N255" t="s">
        <v>16393</v>
      </c>
      <c r="O255" s="4">
        <v>40342</v>
      </c>
      <c r="P255" s="4">
        <v>111498</v>
      </c>
      <c r="Q255" s="4">
        <v>151840</v>
      </c>
      <c r="R255" s="4">
        <v>455520</v>
      </c>
      <c r="S255" t="s">
        <v>16636</v>
      </c>
      <c r="T255" s="6">
        <v>31444</v>
      </c>
      <c r="U255" s="4">
        <v>101000</v>
      </c>
      <c r="X255" t="s">
        <v>3</v>
      </c>
      <c r="AA255" s="5" t="str">
        <f>HYPERLINK("https://www.zillow.com/homes/171-CAMBRIDGE-LN-BLOOMINGDALE-IL-60108_rb/","check listing")</f>
        <v>check listing</v>
      </c>
      <c r="AB255" s="5" t="str">
        <f>HYPERLINK("https://propertylookup.dupagecounty.gov/Datalets/Datalet.aspx?UseSearch=no&amp;mode=sales&amp;pin=0215409014","sales record")</f>
        <v>sales record</v>
      </c>
      <c r="AC255" t="s">
        <v>27873</v>
      </c>
      <c r="AD255">
        <v>41.951348</v>
      </c>
      <c r="AE255">
        <v>-88.07718300000001</v>
      </c>
      <c r="AF255" s="5" t="str">
        <f>HYPERLINK("https://www.google.com/maps/search/?api=1&amp;query=41.951348,-88.077183","map")</f>
        <v>map</v>
      </c>
    </row>
    <row r="256" spans="1:32">
      <c r="A256" t="s">
        <v>306</v>
      </c>
      <c r="B256" t="s">
        <v>7886</v>
      </c>
      <c r="C256" t="s">
        <v>15118</v>
      </c>
      <c r="D256" t="s">
        <v>16196</v>
      </c>
      <c r="E256" t="s">
        <v>16218</v>
      </c>
      <c r="F256" t="s">
        <v>16221</v>
      </c>
      <c r="G256" t="s">
        <v>16235</v>
      </c>
      <c r="H256" t="s">
        <v>16241</v>
      </c>
      <c r="I256" t="s">
        <v>16313</v>
      </c>
      <c r="J256" t="s">
        <v>16385</v>
      </c>
      <c r="K256">
        <v>0.249</v>
      </c>
      <c r="L256">
        <v>10830</v>
      </c>
      <c r="M256">
        <v>2771</v>
      </c>
      <c r="N256" t="s">
        <v>16393</v>
      </c>
      <c r="O256" s="4">
        <v>40342</v>
      </c>
      <c r="P256" s="4">
        <v>102784</v>
      </c>
      <c r="Q256" s="4">
        <v>143126</v>
      </c>
      <c r="R256" s="4">
        <v>429378</v>
      </c>
      <c r="S256" t="s">
        <v>16637</v>
      </c>
      <c r="T256" s="6">
        <v>44838</v>
      </c>
      <c r="U256" s="4">
        <v>410000</v>
      </c>
      <c r="V256" t="s">
        <v>23739</v>
      </c>
      <c r="W256" t="s">
        <v>16637</v>
      </c>
      <c r="X256" t="s">
        <v>3</v>
      </c>
      <c r="AA256" s="5" t="str">
        <f>HYPERLINK("https://www.zillow.com/homes/207-BRAINTREE-DR-BLOOMINGDALE-IL-60108_rb/","check listing")</f>
        <v>check listing</v>
      </c>
      <c r="AB256" s="5" t="str">
        <f>HYPERLINK("https://propertylookup.dupagecounty.gov/Datalets/Datalet.aspx?UseSearch=no&amp;mode=sales&amp;pin=0215412035","sales record")</f>
        <v>sales record</v>
      </c>
      <c r="AC256" t="s">
        <v>3</v>
      </c>
      <c r="AD256">
        <v>41.949614</v>
      </c>
      <c r="AE256">
        <v>-88.073151</v>
      </c>
      <c r="AF256" s="5" t="str">
        <f>HYPERLINK("https://www.google.com/maps/search/?api=1&amp;query=41.949614,-88.073151","map")</f>
        <v>map</v>
      </c>
    </row>
    <row r="257" spans="1:32">
      <c r="A257" t="s">
        <v>307</v>
      </c>
      <c r="B257" t="s">
        <v>7887</v>
      </c>
      <c r="C257" t="s">
        <v>15118</v>
      </c>
      <c r="D257" t="s">
        <v>16196</v>
      </c>
      <c r="E257" t="s">
        <v>16218</v>
      </c>
      <c r="F257" t="s">
        <v>16221</v>
      </c>
      <c r="G257" t="s">
        <v>16235</v>
      </c>
      <c r="H257" t="s">
        <v>16241</v>
      </c>
      <c r="I257" t="s">
        <v>16313</v>
      </c>
      <c r="J257" t="s">
        <v>16385</v>
      </c>
      <c r="K257">
        <v>0.248</v>
      </c>
      <c r="L257">
        <v>10811</v>
      </c>
      <c r="M257">
        <v>2177</v>
      </c>
      <c r="N257" t="s">
        <v>16393</v>
      </c>
      <c r="O257" s="4">
        <v>40342</v>
      </c>
      <c r="P257" s="4">
        <v>102784</v>
      </c>
      <c r="Q257" s="4">
        <v>143126</v>
      </c>
      <c r="R257" s="4">
        <v>429378</v>
      </c>
      <c r="S257" t="s">
        <v>16638</v>
      </c>
      <c r="T257" s="6">
        <v>45755</v>
      </c>
      <c r="U257" s="4">
        <v>440000</v>
      </c>
      <c r="V257" t="s">
        <v>23741</v>
      </c>
      <c r="W257" t="s">
        <v>23853</v>
      </c>
      <c r="X257" t="s">
        <v>3</v>
      </c>
      <c r="AA257" s="5" t="str">
        <f>HYPERLINK("https://www.zillow.com/homes/190-BOURNE-LN-BLOOMINGDALE-IL-60108_rb/","check listing")</f>
        <v>check listing</v>
      </c>
      <c r="AB257" s="5" t="str">
        <f>HYPERLINK("https://propertylookup.dupagecounty.gov/Datalets/Datalet.aspx?UseSearch=no&amp;mode=sales&amp;pin=0215412007","sales record")</f>
        <v>sales record</v>
      </c>
      <c r="AC257" t="s">
        <v>3</v>
      </c>
      <c r="AD257">
        <v>41.951165</v>
      </c>
      <c r="AE257">
        <v>-88.073746</v>
      </c>
      <c r="AF257" s="5" t="str">
        <f>HYPERLINK("https://www.google.com/maps/search/?api=1&amp;query=41.951165,-88.073746","map")</f>
        <v>map</v>
      </c>
    </row>
    <row r="258" spans="1:32">
      <c r="A258" t="s">
        <v>308</v>
      </c>
      <c r="B258" t="s">
        <v>7888</v>
      </c>
      <c r="C258" t="s">
        <v>15118</v>
      </c>
      <c r="D258" t="s">
        <v>16196</v>
      </c>
      <c r="E258" t="s">
        <v>16218</v>
      </c>
      <c r="F258" t="s">
        <v>16221</v>
      </c>
      <c r="G258" t="s">
        <v>16236</v>
      </c>
      <c r="H258" t="s">
        <v>16241</v>
      </c>
      <c r="I258" t="s">
        <v>16313</v>
      </c>
      <c r="J258" t="s">
        <v>16385</v>
      </c>
      <c r="K258">
        <v>0.248</v>
      </c>
      <c r="L258">
        <v>10809</v>
      </c>
      <c r="M258">
        <v>2637</v>
      </c>
      <c r="N258" t="s">
        <v>16393</v>
      </c>
      <c r="O258" s="4">
        <v>29656</v>
      </c>
      <c r="P258" s="4">
        <v>125663</v>
      </c>
      <c r="Q258" s="4">
        <v>155319</v>
      </c>
      <c r="R258" s="4">
        <v>465957</v>
      </c>
      <c r="S258" t="s">
        <v>16639</v>
      </c>
      <c r="T258" s="6">
        <v>43313</v>
      </c>
      <c r="U258" s="4">
        <v>331000</v>
      </c>
      <c r="V258" t="s">
        <v>23739</v>
      </c>
      <c r="W258" t="s">
        <v>23854</v>
      </c>
      <c r="X258" t="s">
        <v>3</v>
      </c>
      <c r="AA258" s="5" t="str">
        <f>HYPERLINK("https://www.zillow.com/homes/230-BISCAYNE-ST-BLOOMINGDALE-IL-60108_rb/","check listing")</f>
        <v>check listing</v>
      </c>
      <c r="AB258" s="5" t="str">
        <f>HYPERLINK("https://propertylookup.dupagecounty.gov/Datalets/Datalet.aspx?UseSearch=no&amp;mode=sales&amp;pin=0208303050","sales record")</f>
        <v>sales record</v>
      </c>
      <c r="AC258" t="s">
        <v>3</v>
      </c>
      <c r="AD258">
        <v>41.964183</v>
      </c>
      <c r="AE258">
        <v>-88.12258</v>
      </c>
      <c r="AF258" s="5" t="str">
        <f>HYPERLINK("https://www.google.com/maps/search/?api=1&amp;query=41.964183,-88.12258","map")</f>
        <v>map</v>
      </c>
    </row>
    <row r="259" spans="1:32">
      <c r="A259" t="s">
        <v>309</v>
      </c>
      <c r="B259" t="s">
        <v>7889</v>
      </c>
      <c r="C259" t="s">
        <v>15136</v>
      </c>
      <c r="D259" t="s">
        <v>16196</v>
      </c>
      <c r="E259" t="s">
        <v>16218</v>
      </c>
      <c r="F259" t="s">
        <v>16221</v>
      </c>
      <c r="G259" t="s">
        <v>16236</v>
      </c>
      <c r="H259" t="s">
        <v>16241</v>
      </c>
      <c r="I259" t="s">
        <v>16313</v>
      </c>
      <c r="J259" t="s">
        <v>16385</v>
      </c>
      <c r="K259">
        <v>0.246</v>
      </c>
      <c r="L259">
        <v>10727</v>
      </c>
      <c r="M259">
        <v>3109</v>
      </c>
      <c r="N259" t="s">
        <v>16393</v>
      </c>
      <c r="O259" s="4">
        <v>29656</v>
      </c>
      <c r="P259" s="4">
        <v>112872</v>
      </c>
      <c r="Q259" s="4">
        <v>142528</v>
      </c>
      <c r="R259" s="4">
        <v>427584</v>
      </c>
      <c r="S259" t="s">
        <v>16640</v>
      </c>
      <c r="T259" s="6">
        <v>38991</v>
      </c>
      <c r="U259" s="4">
        <v>360000</v>
      </c>
      <c r="V259" t="s">
        <v>23739</v>
      </c>
      <c r="W259" t="s">
        <v>16640</v>
      </c>
      <c r="X259" t="s">
        <v>3</v>
      </c>
      <c r="AA259" s="5" t="str">
        <f>HYPERLINK("https://www.zillow.com/homes/205-FRISCO-CT-BLOOMINGDALE-IL-601083299_rb/","check listing")</f>
        <v>check listing</v>
      </c>
      <c r="AB259" s="5" t="str">
        <f>HYPERLINK("https://propertylookup.dupagecounty.gov/Datalets/Datalet.aspx?UseSearch=no&amp;mode=sales&amp;pin=0208303009","sales record")</f>
        <v>sales record</v>
      </c>
      <c r="AC259" t="s">
        <v>3</v>
      </c>
      <c r="AD259">
        <v>41.96296</v>
      </c>
      <c r="AE259">
        <v>-88.123143</v>
      </c>
      <c r="AF259" s="5" t="str">
        <f>HYPERLINK("https://www.google.com/maps/search/?api=1&amp;query=41.96296,-88.123143","map")</f>
        <v>map</v>
      </c>
    </row>
    <row r="260" spans="1:32">
      <c r="A260" t="s">
        <v>310</v>
      </c>
      <c r="B260" t="s">
        <v>7890</v>
      </c>
      <c r="C260" t="s">
        <v>15118</v>
      </c>
      <c r="D260" t="s">
        <v>16196</v>
      </c>
      <c r="E260" t="s">
        <v>16218</v>
      </c>
      <c r="F260" t="s">
        <v>16221</v>
      </c>
      <c r="G260" t="s">
        <v>16235</v>
      </c>
      <c r="H260" t="s">
        <v>16241</v>
      </c>
      <c r="I260" t="s">
        <v>16313</v>
      </c>
      <c r="J260" t="s">
        <v>16385</v>
      </c>
      <c r="K260">
        <v>0.246</v>
      </c>
      <c r="L260">
        <v>10705</v>
      </c>
      <c r="M260">
        <v>2020</v>
      </c>
      <c r="N260" t="s">
        <v>16393</v>
      </c>
      <c r="O260" s="4">
        <v>40342</v>
      </c>
      <c r="P260" s="4">
        <v>102784</v>
      </c>
      <c r="Q260" s="4">
        <v>143126</v>
      </c>
      <c r="R260" s="4">
        <v>429378</v>
      </c>
      <c r="S260" t="s">
        <v>16641</v>
      </c>
      <c r="T260" s="6">
        <v>38749</v>
      </c>
      <c r="U260" s="4">
        <v>340000</v>
      </c>
      <c r="V260" t="s">
        <v>23739</v>
      </c>
      <c r="W260" t="s">
        <v>16641</v>
      </c>
      <c r="X260" t="s">
        <v>3</v>
      </c>
      <c r="AA260" s="5" t="str">
        <f>HYPERLINK("https://www.zillow.com/homes/174-BRAINTREE-DR-BLOOMINGDALE-IL-60108_rb/","check listing")</f>
        <v>check listing</v>
      </c>
      <c r="AB260" s="5" t="str">
        <f>HYPERLINK("https://propertylookup.dupagecounty.gov/Datalets/Datalet.aspx?UseSearch=no&amp;mode=sales&amp;pin=0215409027","sales record")</f>
        <v>sales record</v>
      </c>
      <c r="AC260" t="s">
        <v>27873</v>
      </c>
      <c r="AD260">
        <v>41.951187</v>
      </c>
      <c r="AE260">
        <v>-88.076404</v>
      </c>
      <c r="AF260" s="5" t="str">
        <f>HYPERLINK("https://www.google.com/maps/search/?api=1&amp;query=41.951187,-88.076404","map")</f>
        <v>map</v>
      </c>
    </row>
    <row r="261" spans="1:32">
      <c r="A261" t="s">
        <v>311</v>
      </c>
      <c r="B261" t="s">
        <v>7891</v>
      </c>
      <c r="C261" t="s">
        <v>15118</v>
      </c>
      <c r="D261" t="s">
        <v>16196</v>
      </c>
      <c r="E261" t="s">
        <v>16218</v>
      </c>
      <c r="F261" t="s">
        <v>16221</v>
      </c>
      <c r="G261" t="s">
        <v>16235</v>
      </c>
      <c r="H261" t="s">
        <v>16241</v>
      </c>
      <c r="I261" t="s">
        <v>16313</v>
      </c>
      <c r="J261" t="s">
        <v>16385</v>
      </c>
      <c r="K261">
        <v>0.245</v>
      </c>
      <c r="L261">
        <v>10678</v>
      </c>
      <c r="M261">
        <v>2452</v>
      </c>
      <c r="N261" t="s">
        <v>16393</v>
      </c>
      <c r="O261" s="4">
        <v>40342</v>
      </c>
      <c r="P261" s="4">
        <v>102784</v>
      </c>
      <c r="Q261" s="4">
        <v>143126</v>
      </c>
      <c r="R261" s="4">
        <v>429378</v>
      </c>
      <c r="S261" t="s">
        <v>16642</v>
      </c>
      <c r="T261" s="6">
        <v>30407</v>
      </c>
      <c r="U261" s="4">
        <v>90000</v>
      </c>
      <c r="X261" t="s">
        <v>3</v>
      </c>
      <c r="AA261" s="5" t="str">
        <f>HYPERLINK("https://www.zillow.com/homes/152-E-SCHICK-RD-BLOOMINGDALE-IL-60108_rb/","check listing")</f>
        <v>check listing</v>
      </c>
      <c r="AB261" s="5" t="str">
        <f>HYPERLINK("https://propertylookup.dupagecounty.gov/Datalets/Datalet.aspx?UseSearch=no&amp;mode=sales&amp;pin=0215410001","sales record")</f>
        <v>sales record</v>
      </c>
      <c r="AC261" t="s">
        <v>3</v>
      </c>
      <c r="AD261">
        <v>41.9538</v>
      </c>
      <c r="AE261">
        <v>-88.07568499999999</v>
      </c>
      <c r="AF261" s="5" t="str">
        <f>HYPERLINK("https://www.google.com/maps/search/?api=1&amp;query=41.9538,-88.075685","map")</f>
        <v>map</v>
      </c>
    </row>
    <row r="262" spans="1:32">
      <c r="A262" t="s">
        <v>312</v>
      </c>
      <c r="B262" t="s">
        <v>7892</v>
      </c>
      <c r="C262" t="s">
        <v>15118</v>
      </c>
      <c r="D262" t="s">
        <v>16196</v>
      </c>
      <c r="E262" t="s">
        <v>16218</v>
      </c>
      <c r="F262" t="s">
        <v>16221</v>
      </c>
      <c r="G262" t="s">
        <v>16235</v>
      </c>
      <c r="H262" t="s">
        <v>16241</v>
      </c>
      <c r="I262" t="s">
        <v>16313</v>
      </c>
      <c r="J262" t="s">
        <v>16385</v>
      </c>
      <c r="K262">
        <v>0.244</v>
      </c>
      <c r="L262">
        <v>10618</v>
      </c>
      <c r="M262">
        <v>2374</v>
      </c>
      <c r="N262" t="s">
        <v>16393</v>
      </c>
      <c r="O262" s="4">
        <v>40342</v>
      </c>
      <c r="P262" s="4">
        <v>91691</v>
      </c>
      <c r="Q262" s="4">
        <v>132033</v>
      </c>
      <c r="R262" s="4">
        <v>396099</v>
      </c>
      <c r="S262" t="s">
        <v>16643</v>
      </c>
      <c r="T262" s="6">
        <v>45918</v>
      </c>
      <c r="U262" s="4">
        <v>400000</v>
      </c>
      <c r="V262" t="s">
        <v>23739</v>
      </c>
      <c r="W262" t="s">
        <v>23855</v>
      </c>
      <c r="X262" t="s">
        <v>3</v>
      </c>
      <c r="AA262" s="5" t="str">
        <f>HYPERLINK("https://www.zillow.com/homes/214-CAMBRIDGE-LN-BLOOMINGDALE-IL-60108_rb/","check listing")</f>
        <v>check listing</v>
      </c>
      <c r="AB262" s="5" t="str">
        <f>HYPERLINK("https://propertylookup.dupagecounty.gov/Datalets/Datalet.aspx?UseSearch=no&amp;mode=sales&amp;pin=0215402040","sales record")</f>
        <v>sales record</v>
      </c>
      <c r="AC262" t="s">
        <v>3</v>
      </c>
      <c r="AD262">
        <v>41.950272</v>
      </c>
      <c r="AE262">
        <v>-88.075689</v>
      </c>
      <c r="AF262" s="5" t="str">
        <f>HYPERLINK("https://www.google.com/maps/search/?api=1&amp;query=41.950272,-88.075689","map")</f>
        <v>map</v>
      </c>
    </row>
    <row r="263" spans="1:32">
      <c r="A263" t="s">
        <v>313</v>
      </c>
      <c r="B263" t="s">
        <v>7893</v>
      </c>
      <c r="C263" t="s">
        <v>15136</v>
      </c>
      <c r="D263" t="s">
        <v>16196</v>
      </c>
      <c r="E263" t="s">
        <v>16218</v>
      </c>
      <c r="F263" t="s">
        <v>16221</v>
      </c>
      <c r="G263" t="s">
        <v>16236</v>
      </c>
      <c r="H263" t="s">
        <v>16241</v>
      </c>
      <c r="I263" t="s">
        <v>16313</v>
      </c>
      <c r="J263" t="s">
        <v>16385</v>
      </c>
      <c r="K263">
        <v>0.243</v>
      </c>
      <c r="L263">
        <v>10579</v>
      </c>
      <c r="M263">
        <v>2470</v>
      </c>
      <c r="N263" t="s">
        <v>16393</v>
      </c>
      <c r="O263" s="4">
        <v>29656</v>
      </c>
      <c r="P263" s="4">
        <v>130049</v>
      </c>
      <c r="Q263" s="4">
        <v>159705</v>
      </c>
      <c r="R263" s="4">
        <v>479115</v>
      </c>
      <c r="S263" t="s">
        <v>16644</v>
      </c>
      <c r="T263" s="6">
        <v>46098</v>
      </c>
      <c r="U263" s="4">
        <v>610000</v>
      </c>
      <c r="V263" t="s">
        <v>23739</v>
      </c>
      <c r="W263" t="s">
        <v>23856</v>
      </c>
      <c r="X263" t="s">
        <v>3</v>
      </c>
      <c r="AA263" s="5" t="str">
        <f>HYPERLINK("https://www.zillow.com/homes/208-FRISCO-CT-BLOOMINGDALE-IL-601083299_rb/","check listing")</f>
        <v>check listing</v>
      </c>
      <c r="AB263" s="5" t="str">
        <f>HYPERLINK("https://propertylookup.dupagecounty.gov/Datalets/Datalet.aspx?UseSearch=no&amp;mode=sales&amp;pin=0208303015","sales record")</f>
        <v>sales record</v>
      </c>
      <c r="AC263" t="s">
        <v>3</v>
      </c>
      <c r="AD263">
        <v>41.962356</v>
      </c>
      <c r="AE263">
        <v>-88.12373100000001</v>
      </c>
      <c r="AF263" s="5" t="str">
        <f>HYPERLINK("https://www.google.com/maps/search/?api=1&amp;query=41.962356,-88.123731","map")</f>
        <v>map</v>
      </c>
    </row>
    <row r="264" spans="1:32">
      <c r="A264" t="s">
        <v>314</v>
      </c>
      <c r="B264" t="s">
        <v>7894</v>
      </c>
      <c r="C264" t="s">
        <v>15137</v>
      </c>
      <c r="D264" t="s">
        <v>16196</v>
      </c>
      <c r="E264" t="s">
        <v>16218</v>
      </c>
      <c r="F264" t="s">
        <v>16221</v>
      </c>
      <c r="G264" t="s">
        <v>16236</v>
      </c>
      <c r="H264" t="s">
        <v>16241</v>
      </c>
      <c r="I264" t="s">
        <v>16313</v>
      </c>
      <c r="J264" t="s">
        <v>16385</v>
      </c>
      <c r="K264">
        <v>0.243</v>
      </c>
      <c r="L264">
        <v>10574</v>
      </c>
      <c r="M264">
        <v>2359</v>
      </c>
      <c r="N264" t="s">
        <v>16393</v>
      </c>
      <c r="O264" s="4">
        <v>29656</v>
      </c>
      <c r="P264" s="4">
        <v>128698</v>
      </c>
      <c r="Q264" s="4">
        <v>158354</v>
      </c>
      <c r="R264" s="4">
        <v>475062</v>
      </c>
      <c r="S264" t="s">
        <v>16645</v>
      </c>
      <c r="T264" s="6">
        <v>39387</v>
      </c>
      <c r="U264" s="4">
        <v>392000</v>
      </c>
      <c r="V264" t="s">
        <v>23739</v>
      </c>
      <c r="W264" t="s">
        <v>23857</v>
      </c>
      <c r="X264" t="s">
        <v>3</v>
      </c>
      <c r="AA264" s="5" t="str">
        <f>HYPERLINK("https://www.zillow.com/homes/227-BISCAYNE-ST-BLOOMINGDALE-IL-601083309_rb/","check listing")</f>
        <v>check listing</v>
      </c>
      <c r="AB264" s="5" t="str">
        <f>HYPERLINK("https://propertylookup.dupagecounty.gov/Datalets/Datalet.aspx?UseSearch=no&amp;mode=sales&amp;pin=0208305001","sales record")</f>
        <v>sales record</v>
      </c>
      <c r="AC264" t="s">
        <v>3</v>
      </c>
      <c r="AD264">
        <v>41.96365</v>
      </c>
      <c r="AE264">
        <v>-88.12201399999999</v>
      </c>
      <c r="AF264" s="5" t="str">
        <f>HYPERLINK("https://www.google.com/maps/search/?api=1&amp;query=41.96365,-88.122014","map")</f>
        <v>map</v>
      </c>
    </row>
    <row r="265" spans="1:32">
      <c r="A265" t="s">
        <v>315</v>
      </c>
      <c r="B265" t="s">
        <v>7895</v>
      </c>
      <c r="C265" t="s">
        <v>15138</v>
      </c>
      <c r="D265" t="s">
        <v>16196</v>
      </c>
      <c r="E265" t="s">
        <v>16218</v>
      </c>
      <c r="F265" t="s">
        <v>16221</v>
      </c>
      <c r="G265" t="s">
        <v>16236</v>
      </c>
      <c r="H265" t="s">
        <v>16241</v>
      </c>
      <c r="I265" t="s">
        <v>16313</v>
      </c>
      <c r="J265" t="s">
        <v>16385</v>
      </c>
      <c r="K265">
        <v>0.241</v>
      </c>
      <c r="L265">
        <v>10511</v>
      </c>
      <c r="M265">
        <v>2144</v>
      </c>
      <c r="N265" t="s">
        <v>16393</v>
      </c>
      <c r="O265" s="4">
        <v>29656</v>
      </c>
      <c r="P265" s="4">
        <v>132332</v>
      </c>
      <c r="Q265" s="4">
        <v>161988</v>
      </c>
      <c r="R265" s="4">
        <v>485964</v>
      </c>
      <c r="S265" t="s">
        <v>16646</v>
      </c>
      <c r="T265" s="6">
        <v>42795</v>
      </c>
      <c r="U265" s="4">
        <v>395000</v>
      </c>
      <c r="V265" t="s">
        <v>23739</v>
      </c>
      <c r="W265" t="s">
        <v>23858</v>
      </c>
      <c r="X265" t="s">
        <v>3</v>
      </c>
      <c r="AA265" s="5" t="str">
        <f>HYPERLINK("https://www.zillow.com/homes/252-MONTEGO-CT-BLOOMINGDALE-IL-601083308_rb/","check listing")</f>
        <v>check listing</v>
      </c>
      <c r="AB265" s="5" t="str">
        <f>HYPERLINK("https://propertylookup.dupagecounty.gov/Datalets/Datalet.aspx?UseSearch=no&amp;mode=sales&amp;pin=0208302027","sales record")</f>
        <v>sales record</v>
      </c>
      <c r="AC265" t="s">
        <v>3</v>
      </c>
      <c r="AD265">
        <v>41.965807</v>
      </c>
      <c r="AE265">
        <v>-88.12118700000001</v>
      </c>
      <c r="AF265" s="5" t="str">
        <f>HYPERLINK("https://www.google.com/maps/search/?api=1&amp;query=41.965807,-88.121187","map")</f>
        <v>map</v>
      </c>
    </row>
    <row r="266" spans="1:32">
      <c r="A266" t="s">
        <v>316</v>
      </c>
      <c r="B266" t="s">
        <v>7896</v>
      </c>
      <c r="C266" t="s">
        <v>15118</v>
      </c>
      <c r="D266" t="s">
        <v>16196</v>
      </c>
      <c r="E266" t="s">
        <v>16218</v>
      </c>
      <c r="F266" t="s">
        <v>16221</v>
      </c>
      <c r="G266" t="s">
        <v>16236</v>
      </c>
      <c r="H266" t="s">
        <v>16241</v>
      </c>
      <c r="I266" t="s">
        <v>16313</v>
      </c>
      <c r="J266" t="s">
        <v>16385</v>
      </c>
      <c r="K266">
        <v>0.24</v>
      </c>
      <c r="L266">
        <v>10470</v>
      </c>
      <c r="M266">
        <v>2076</v>
      </c>
      <c r="N266" t="s">
        <v>16393</v>
      </c>
      <c r="O266" s="4">
        <v>29656</v>
      </c>
      <c r="P266" s="4">
        <v>114953</v>
      </c>
      <c r="Q266" s="4">
        <v>144609</v>
      </c>
      <c r="R266" s="4">
        <v>433827</v>
      </c>
      <c r="S266" t="s">
        <v>16647</v>
      </c>
      <c r="T266" s="6">
        <v>35431</v>
      </c>
      <c r="U266" s="4">
        <v>205000</v>
      </c>
      <c r="X266" t="s">
        <v>3</v>
      </c>
      <c r="AA266" s="5" t="str">
        <f>HYPERLINK("https://www.zillow.com/homes/312-CHESAPEAKE-CT-BLOOMINGDALE-IL-60108_rb/","check listing")</f>
        <v>check listing</v>
      </c>
      <c r="AB266" s="5" t="str">
        <f>HYPERLINK("https://propertylookup.dupagecounty.gov/Datalets/Datalet.aspx?UseSearch=no&amp;mode=sales&amp;pin=0208304017","sales record")</f>
        <v>sales record</v>
      </c>
      <c r="AC266" t="s">
        <v>3</v>
      </c>
      <c r="AD266">
        <v>41.961545</v>
      </c>
      <c r="AE266">
        <v>-88.12074200000001</v>
      </c>
      <c r="AF266" s="5" t="str">
        <f>HYPERLINK("https://www.google.com/maps/search/?api=1&amp;query=41.961545,-88.120742","map")</f>
        <v>map</v>
      </c>
    </row>
    <row r="267" spans="1:32">
      <c r="A267" t="s">
        <v>317</v>
      </c>
      <c r="B267" t="s">
        <v>7897</v>
      </c>
      <c r="C267" t="s">
        <v>15118</v>
      </c>
      <c r="D267" t="s">
        <v>16196</v>
      </c>
      <c r="E267" t="s">
        <v>16218</v>
      </c>
      <c r="F267" t="s">
        <v>16221</v>
      </c>
      <c r="G267" t="s">
        <v>16235</v>
      </c>
      <c r="H267" t="s">
        <v>16241</v>
      </c>
      <c r="I267" t="s">
        <v>16313</v>
      </c>
      <c r="J267" t="s">
        <v>16385</v>
      </c>
      <c r="K267">
        <v>0.24</v>
      </c>
      <c r="L267">
        <v>10468</v>
      </c>
      <c r="M267">
        <v>1675</v>
      </c>
      <c r="N267" t="s">
        <v>16393</v>
      </c>
      <c r="O267" s="4">
        <v>40346</v>
      </c>
      <c r="P267" s="4">
        <v>91691</v>
      </c>
      <c r="Q267" s="4">
        <v>132037</v>
      </c>
      <c r="R267" s="4">
        <v>396111</v>
      </c>
      <c r="S267" t="s">
        <v>16648</v>
      </c>
      <c r="T267" s="6">
        <v>45756</v>
      </c>
      <c r="U267" s="4">
        <v>470000</v>
      </c>
      <c r="V267" t="s">
        <v>23739</v>
      </c>
      <c r="W267" t="s">
        <v>23859</v>
      </c>
      <c r="X267" t="s">
        <v>3</v>
      </c>
      <c r="AA267" s="5" t="str">
        <f>HYPERLINK("https://www.zillow.com/homes/135-HINGHAM-LN-BLOOMINGDALE-IL-60108_rb/","check listing")</f>
        <v>check listing</v>
      </c>
      <c r="AB267" s="5" t="str">
        <f>HYPERLINK("https://propertylookup.dupagecounty.gov/Datalets/Datalet.aspx?UseSearch=no&amp;mode=sales&amp;pin=0215408007","sales record")</f>
        <v>sales record</v>
      </c>
      <c r="AC267" t="s">
        <v>3</v>
      </c>
      <c r="AD267">
        <v>41.953596</v>
      </c>
      <c r="AE267">
        <v>-88.07744599999999</v>
      </c>
      <c r="AF267" s="5" t="str">
        <f>HYPERLINK("https://www.google.com/maps/search/?api=1&amp;query=41.953596,-88.077446","map")</f>
        <v>map</v>
      </c>
    </row>
    <row r="268" spans="1:32">
      <c r="A268" t="s">
        <v>318</v>
      </c>
      <c r="B268" t="s">
        <v>7898</v>
      </c>
      <c r="C268" t="s">
        <v>15118</v>
      </c>
      <c r="D268" t="s">
        <v>16196</v>
      </c>
      <c r="E268" t="s">
        <v>16218</v>
      </c>
      <c r="F268" t="s">
        <v>16221</v>
      </c>
      <c r="G268" t="s">
        <v>16236</v>
      </c>
      <c r="H268" t="s">
        <v>16241</v>
      </c>
      <c r="I268" t="s">
        <v>16313</v>
      </c>
      <c r="J268" t="s">
        <v>16385</v>
      </c>
      <c r="K268">
        <v>0.238</v>
      </c>
      <c r="L268">
        <v>10384</v>
      </c>
      <c r="M268">
        <v>2326</v>
      </c>
      <c r="N268" t="s">
        <v>16393</v>
      </c>
      <c r="O268" s="4">
        <v>29656</v>
      </c>
      <c r="P268" s="4">
        <v>123224</v>
      </c>
      <c r="Q268" s="4">
        <v>152880</v>
      </c>
      <c r="R268" s="4">
        <v>458640</v>
      </c>
      <c r="S268" t="s">
        <v>16649</v>
      </c>
      <c r="T268" s="6">
        <v>34639</v>
      </c>
      <c r="U268" s="4">
        <v>220840</v>
      </c>
      <c r="X268" t="s">
        <v>3</v>
      </c>
      <c r="AA268" s="5" t="str">
        <f>HYPERLINK("https://www.zillow.com/homes/302-CHESAPEAKE-LN-BLOOMINGDALE-IL-60108_rb/","check listing")</f>
        <v>check listing</v>
      </c>
      <c r="AB268" s="5" t="str">
        <f>HYPERLINK("https://propertylookup.dupagecounty.gov/Datalets/Datalet.aspx?UseSearch=no&amp;mode=sales&amp;pin=0208304022","sales record")</f>
        <v>sales record</v>
      </c>
      <c r="AC268" t="s">
        <v>3</v>
      </c>
      <c r="AD268">
        <v>41.962539</v>
      </c>
      <c r="AE268">
        <v>-88.120851</v>
      </c>
      <c r="AF268" s="5" t="str">
        <f>HYPERLINK("https://www.google.com/maps/search/?api=1&amp;query=41.962539,-88.120851","map")</f>
        <v>map</v>
      </c>
    </row>
    <row r="269" spans="1:32">
      <c r="A269" t="s">
        <v>319</v>
      </c>
      <c r="B269" t="s">
        <v>7899</v>
      </c>
      <c r="C269" t="s">
        <v>15139</v>
      </c>
      <c r="D269" t="s">
        <v>16196</v>
      </c>
      <c r="E269" t="s">
        <v>16218</v>
      </c>
      <c r="F269" t="s">
        <v>16221</v>
      </c>
      <c r="G269" t="s">
        <v>16235</v>
      </c>
      <c r="H269" t="s">
        <v>16241</v>
      </c>
      <c r="I269" t="s">
        <v>16313</v>
      </c>
      <c r="J269" t="s">
        <v>16385</v>
      </c>
      <c r="K269">
        <v>0.238</v>
      </c>
      <c r="L269">
        <v>10373</v>
      </c>
      <c r="M269">
        <v>2640</v>
      </c>
      <c r="N269" t="s">
        <v>16393</v>
      </c>
      <c r="O269" s="4">
        <v>40342</v>
      </c>
      <c r="P269" s="4">
        <v>91691</v>
      </c>
      <c r="Q269" s="4">
        <v>132033</v>
      </c>
      <c r="R269" s="4">
        <v>396099</v>
      </c>
      <c r="S269" t="s">
        <v>16650</v>
      </c>
      <c r="T269" s="6">
        <v>44256</v>
      </c>
      <c r="U269" s="4">
        <v>275000</v>
      </c>
      <c r="V269" t="s">
        <v>23739</v>
      </c>
      <c r="W269" t="s">
        <v>23860</v>
      </c>
      <c r="X269" t="s">
        <v>3</v>
      </c>
      <c r="AA269" s="5" t="str">
        <f>HYPERLINK("https://www.zillow.com/homes/149-HINGHAM-LN-BLOOMINGDALE-IL-601081524_rb/","check listing")</f>
        <v>check listing</v>
      </c>
      <c r="AB269" s="5" t="str">
        <f>HYPERLINK("https://propertylookup.dupagecounty.gov/Datalets/Datalet.aspx?UseSearch=no&amp;mode=sales&amp;pin=0215408011","sales record")</f>
        <v>sales record</v>
      </c>
      <c r="AC269" t="s">
        <v>3</v>
      </c>
      <c r="AD269">
        <v>41.953572</v>
      </c>
      <c r="AE269">
        <v>-88.07633199999999</v>
      </c>
      <c r="AF269" s="5" t="str">
        <f>HYPERLINK("https://www.google.com/maps/search/?api=1&amp;query=41.953572,-88.076332","map")</f>
        <v>map</v>
      </c>
    </row>
    <row r="270" spans="1:32">
      <c r="A270" t="s">
        <v>320</v>
      </c>
      <c r="B270" t="s">
        <v>7900</v>
      </c>
      <c r="C270" t="s">
        <v>15118</v>
      </c>
      <c r="D270" t="s">
        <v>16196</v>
      </c>
      <c r="E270" t="s">
        <v>16218</v>
      </c>
      <c r="F270" t="s">
        <v>16221</v>
      </c>
      <c r="G270" t="s">
        <v>16235</v>
      </c>
      <c r="H270" t="s">
        <v>16241</v>
      </c>
      <c r="I270" t="s">
        <v>16313</v>
      </c>
      <c r="J270" t="s">
        <v>16385</v>
      </c>
      <c r="K270">
        <v>0.235</v>
      </c>
      <c r="L270">
        <v>10251</v>
      </c>
      <c r="M270">
        <v>1979</v>
      </c>
      <c r="N270" t="s">
        <v>16393</v>
      </c>
      <c r="O270" s="4">
        <v>40342</v>
      </c>
      <c r="P270" s="4">
        <v>104744</v>
      </c>
      <c r="Q270" s="4">
        <v>145086</v>
      </c>
      <c r="R270" s="4">
        <v>435258</v>
      </c>
      <c r="S270" t="s">
        <v>16651</v>
      </c>
      <c r="T270" s="6">
        <v>41730</v>
      </c>
      <c r="U270" s="4">
        <v>215000</v>
      </c>
      <c r="V270" t="s">
        <v>23739</v>
      </c>
      <c r="W270" t="s">
        <v>23861</v>
      </c>
      <c r="X270" t="s">
        <v>3</v>
      </c>
      <c r="AA270" s="5" t="str">
        <f>HYPERLINK("https://www.zillow.com/homes/163-BOURNE-LN-BLOOMINGDALE-IL-60108_rb/","check listing")</f>
        <v>check listing</v>
      </c>
      <c r="AB270" s="5" t="str">
        <f>HYPERLINK("https://propertylookup.dupagecounty.gov/Datalets/Datalet.aspx?UseSearch=no&amp;mode=sales&amp;pin=0215411020","sales record")</f>
        <v>sales record</v>
      </c>
      <c r="AC270" t="s">
        <v>3</v>
      </c>
      <c r="AD270">
        <v>41.951448</v>
      </c>
      <c r="AE270">
        <v>-88.075469</v>
      </c>
      <c r="AF270" s="5" t="str">
        <f>HYPERLINK("https://www.google.com/maps/search/?api=1&amp;query=41.951448,-88.075469","map")</f>
        <v>map</v>
      </c>
    </row>
    <row r="271" spans="1:32">
      <c r="A271" t="s">
        <v>321</v>
      </c>
      <c r="B271" t="s">
        <v>7901</v>
      </c>
      <c r="C271" t="s">
        <v>15118</v>
      </c>
      <c r="D271" t="s">
        <v>16196</v>
      </c>
      <c r="E271" t="s">
        <v>16218</v>
      </c>
      <c r="F271" t="s">
        <v>16221</v>
      </c>
      <c r="G271" t="s">
        <v>16235</v>
      </c>
      <c r="H271" t="s">
        <v>16241</v>
      </c>
      <c r="I271" t="s">
        <v>16313</v>
      </c>
      <c r="J271" t="s">
        <v>16385</v>
      </c>
      <c r="K271">
        <v>0.233</v>
      </c>
      <c r="L271">
        <v>10143</v>
      </c>
      <c r="M271">
        <v>2083</v>
      </c>
      <c r="N271" t="s">
        <v>16393</v>
      </c>
      <c r="O271" s="4">
        <v>40342</v>
      </c>
      <c r="P271" s="4">
        <v>111498</v>
      </c>
      <c r="Q271" s="4">
        <v>151840</v>
      </c>
      <c r="R271" s="4">
        <v>455520</v>
      </c>
      <c r="S271" t="s">
        <v>16652</v>
      </c>
      <c r="T271" s="6">
        <v>36130</v>
      </c>
      <c r="U271" s="4">
        <v>177500</v>
      </c>
      <c r="X271" t="s">
        <v>3</v>
      </c>
      <c r="AA271" s="5" t="str">
        <f>HYPERLINK("https://www.zillow.com/homes/136-E-SCHICK-RD-BLOOMINGDALE-IL-60108_rb/","check listing")</f>
        <v>check listing</v>
      </c>
      <c r="AB271" s="5" t="str">
        <f>HYPERLINK("https://propertylookup.dupagecounty.gov/Datalets/Datalet.aspx?UseSearch=no&amp;mode=sales&amp;pin=0215408001","sales record")</f>
        <v>sales record</v>
      </c>
      <c r="AC271" t="s">
        <v>3</v>
      </c>
      <c r="AD271">
        <v>41.953925</v>
      </c>
      <c r="AE271">
        <v>-88.07746299999999</v>
      </c>
      <c r="AF271" s="5" t="str">
        <f>HYPERLINK("https://www.google.com/maps/search/?api=1&amp;query=41.953925,-88.077463","map")</f>
        <v>map</v>
      </c>
    </row>
    <row r="272" spans="1:32">
      <c r="A272" t="s">
        <v>322</v>
      </c>
      <c r="B272" t="s">
        <v>7902</v>
      </c>
      <c r="C272" t="s">
        <v>15118</v>
      </c>
      <c r="D272" t="s">
        <v>16196</v>
      </c>
      <c r="E272" t="s">
        <v>16218</v>
      </c>
      <c r="F272" t="s">
        <v>16221</v>
      </c>
      <c r="G272" t="s">
        <v>16236</v>
      </c>
      <c r="H272" t="s">
        <v>16241</v>
      </c>
      <c r="I272" t="s">
        <v>16313</v>
      </c>
      <c r="J272" t="s">
        <v>16385</v>
      </c>
      <c r="K272">
        <v>0.232</v>
      </c>
      <c r="L272">
        <v>10120</v>
      </c>
      <c r="M272">
        <v>1929</v>
      </c>
      <c r="N272" t="s">
        <v>16393</v>
      </c>
      <c r="O272" s="4">
        <v>29656</v>
      </c>
      <c r="P272" s="4">
        <v>121025</v>
      </c>
      <c r="Q272" s="4">
        <v>150681</v>
      </c>
      <c r="R272" s="4">
        <v>452043</v>
      </c>
      <c r="S272" t="s">
        <v>16653</v>
      </c>
      <c r="T272" s="6">
        <v>41913</v>
      </c>
      <c r="U272" s="4">
        <v>294500</v>
      </c>
      <c r="V272" t="s">
        <v>23739</v>
      </c>
      <c r="W272" t="s">
        <v>23862</v>
      </c>
      <c r="X272" t="s">
        <v>3</v>
      </c>
      <c r="AA272" s="5" t="str">
        <f>HYPERLINK("https://www.zillow.com/homes/270-BISCAYNE-ST-BLOOMINGDALE-IL-60108_rb/","check listing")</f>
        <v>check listing</v>
      </c>
      <c r="AB272" s="5" t="str">
        <f>HYPERLINK("https://propertylookup.dupagecounty.gov/Datalets/Datalet.aspx?UseSearch=no&amp;mode=sales&amp;pin=0208302018","sales record")</f>
        <v>sales record</v>
      </c>
      <c r="AC272" t="s">
        <v>3</v>
      </c>
      <c r="AD272">
        <v>41.964292</v>
      </c>
      <c r="AE272">
        <v>-88.12084900000001</v>
      </c>
      <c r="AF272" s="5" t="str">
        <f>HYPERLINK("https://www.google.com/maps/search/?api=1&amp;query=41.964292,-88.120849","map")</f>
        <v>map</v>
      </c>
    </row>
    <row r="273" spans="1:32">
      <c r="A273" t="s">
        <v>323</v>
      </c>
      <c r="B273" t="s">
        <v>7903</v>
      </c>
      <c r="C273" t="s">
        <v>15132</v>
      </c>
      <c r="D273" t="s">
        <v>16196</v>
      </c>
      <c r="E273" t="s">
        <v>16218</v>
      </c>
      <c r="F273" t="s">
        <v>16221</v>
      </c>
      <c r="G273" t="s">
        <v>16235</v>
      </c>
      <c r="H273" t="s">
        <v>16241</v>
      </c>
      <c r="I273" t="s">
        <v>16313</v>
      </c>
      <c r="J273" t="s">
        <v>16385</v>
      </c>
      <c r="K273">
        <v>0.232</v>
      </c>
      <c r="L273">
        <v>10094</v>
      </c>
      <c r="M273">
        <v>2383</v>
      </c>
      <c r="N273" t="s">
        <v>16393</v>
      </c>
      <c r="O273" s="4">
        <v>40342</v>
      </c>
      <c r="P273" s="4">
        <v>111498</v>
      </c>
      <c r="Q273" s="4">
        <v>151840</v>
      </c>
      <c r="R273" s="4">
        <v>455520</v>
      </c>
      <c r="S273" t="s">
        <v>16654</v>
      </c>
      <c r="T273" s="6">
        <v>43070</v>
      </c>
      <c r="U273" s="4">
        <v>301000</v>
      </c>
      <c r="V273" t="s">
        <v>23739</v>
      </c>
      <c r="W273" t="s">
        <v>23863</v>
      </c>
      <c r="X273" t="s">
        <v>3</v>
      </c>
      <c r="AA273" s="5" t="str">
        <f>HYPERLINK("https://www.zillow.com/homes/151-HINGHAM-LN-BLOOMINGDALE-IL-601081525_rb/","check listing")</f>
        <v>check listing</v>
      </c>
      <c r="AB273" s="5" t="str">
        <f>HYPERLINK("https://propertylookup.dupagecounty.gov/Datalets/Datalet.aspx?UseSearch=no&amp;mode=sales&amp;pin=0215410010","sales record")</f>
        <v>sales record</v>
      </c>
      <c r="AC273" t="s">
        <v>27873</v>
      </c>
      <c r="AD273">
        <v>41.953485</v>
      </c>
      <c r="AE273">
        <v>-88.075795</v>
      </c>
      <c r="AF273" s="5" t="str">
        <f>HYPERLINK("https://www.google.com/maps/search/?api=1&amp;query=41.953485,-88.075795","map")</f>
        <v>map</v>
      </c>
    </row>
    <row r="274" spans="1:32">
      <c r="A274" t="s">
        <v>324</v>
      </c>
      <c r="B274" t="s">
        <v>7904</v>
      </c>
      <c r="C274" t="s">
        <v>15118</v>
      </c>
      <c r="D274" t="s">
        <v>16196</v>
      </c>
      <c r="E274" t="s">
        <v>16218</v>
      </c>
      <c r="F274" t="s">
        <v>16221</v>
      </c>
      <c r="G274" t="s">
        <v>16235</v>
      </c>
      <c r="H274" t="s">
        <v>16241</v>
      </c>
      <c r="I274" t="s">
        <v>16313</v>
      </c>
      <c r="J274" t="s">
        <v>16385</v>
      </c>
      <c r="K274">
        <v>0.232</v>
      </c>
      <c r="L274">
        <v>10091</v>
      </c>
      <c r="M274">
        <v>2475</v>
      </c>
      <c r="N274" t="s">
        <v>16393</v>
      </c>
      <c r="O274" s="4">
        <v>40342</v>
      </c>
      <c r="P274" s="4">
        <v>107076</v>
      </c>
      <c r="Q274" s="4">
        <v>147418</v>
      </c>
      <c r="R274" s="4">
        <v>442254</v>
      </c>
      <c r="S274" t="s">
        <v>16655</v>
      </c>
      <c r="T274" s="6">
        <v>40422</v>
      </c>
      <c r="U274" s="4">
        <v>270000</v>
      </c>
      <c r="V274" t="s">
        <v>23740</v>
      </c>
      <c r="W274" t="s">
        <v>16655</v>
      </c>
      <c r="X274" t="s">
        <v>3</v>
      </c>
      <c r="AA274" s="5" t="str">
        <f>HYPERLINK("https://www.zillow.com/homes/171-HINGHAM-LN-BLOOMINGDALE-IL-60108_rb/","check listing")</f>
        <v>check listing</v>
      </c>
      <c r="AB274" s="5" t="str">
        <f>HYPERLINK("https://propertylookup.dupagecounty.gov/Datalets/Datalet.aspx?UseSearch=no&amp;mode=sales&amp;pin=0215410015","sales record")</f>
        <v>sales record</v>
      </c>
      <c r="AC274" t="s">
        <v>3</v>
      </c>
      <c r="AD274">
        <v>41.953444</v>
      </c>
      <c r="AE274">
        <v>-88.07449200000001</v>
      </c>
      <c r="AF274" s="5" t="str">
        <f>HYPERLINK("https://www.google.com/maps/search/?api=1&amp;query=41.953444,-88.074492","map")</f>
        <v>map</v>
      </c>
    </row>
    <row r="275" spans="1:32">
      <c r="A275" t="s">
        <v>325</v>
      </c>
      <c r="B275" t="s">
        <v>7905</v>
      </c>
      <c r="C275" t="s">
        <v>15118</v>
      </c>
      <c r="D275" t="s">
        <v>16196</v>
      </c>
      <c r="E275" t="s">
        <v>16218</v>
      </c>
      <c r="F275" t="s">
        <v>16221</v>
      </c>
      <c r="G275" t="s">
        <v>16235</v>
      </c>
      <c r="H275" t="s">
        <v>16241</v>
      </c>
      <c r="I275" t="s">
        <v>16313</v>
      </c>
      <c r="J275" t="s">
        <v>16385</v>
      </c>
      <c r="K275">
        <v>0.231</v>
      </c>
      <c r="L275">
        <v>10045</v>
      </c>
      <c r="M275">
        <v>2604</v>
      </c>
      <c r="N275" t="s">
        <v>16393</v>
      </c>
      <c r="O275" s="4">
        <v>40342</v>
      </c>
      <c r="P275" s="4">
        <v>107565</v>
      </c>
      <c r="Q275" s="4">
        <v>147907</v>
      </c>
      <c r="R275" s="4">
        <v>443721</v>
      </c>
      <c r="S275" t="s">
        <v>16656</v>
      </c>
      <c r="T275" s="6">
        <v>32994</v>
      </c>
      <c r="U275" s="4">
        <v>167000</v>
      </c>
      <c r="X275" t="s">
        <v>3</v>
      </c>
      <c r="AA275" s="5" t="str">
        <f>HYPERLINK("https://www.zillow.com/homes/140-CAMBRIDGE-LN-BLOOMINGDALE-IL-60108_rb/","check listing")</f>
        <v>check listing</v>
      </c>
      <c r="AB275" s="5" t="str">
        <f>HYPERLINK("https://propertylookup.dupagecounty.gov/Datalets/Datalet.aspx?UseSearch=no&amp;mode=sales&amp;pin=0215402011","sales record")</f>
        <v>sales record</v>
      </c>
      <c r="AC275" t="s">
        <v>3</v>
      </c>
      <c r="AD275">
        <v>41.953951</v>
      </c>
      <c r="AE275">
        <v>-88.07807699999999</v>
      </c>
      <c r="AF275" s="5" t="str">
        <f>HYPERLINK("https://www.google.com/maps/search/?api=1&amp;query=41.953951,-88.078077","map")</f>
        <v>map</v>
      </c>
    </row>
    <row r="276" spans="1:32">
      <c r="A276" t="s">
        <v>326</v>
      </c>
      <c r="B276" t="s">
        <v>7906</v>
      </c>
      <c r="C276" t="s">
        <v>15118</v>
      </c>
      <c r="D276" t="s">
        <v>16196</v>
      </c>
      <c r="E276" t="s">
        <v>16218</v>
      </c>
      <c r="F276" t="s">
        <v>16221</v>
      </c>
      <c r="G276" t="s">
        <v>16235</v>
      </c>
      <c r="H276" t="s">
        <v>16241</v>
      </c>
      <c r="I276" t="s">
        <v>16313</v>
      </c>
      <c r="J276" t="s">
        <v>16385</v>
      </c>
      <c r="K276">
        <v>0.23</v>
      </c>
      <c r="L276">
        <v>10038</v>
      </c>
      <c r="M276">
        <v>2219</v>
      </c>
      <c r="N276" t="s">
        <v>16393</v>
      </c>
      <c r="O276" s="4">
        <v>40342</v>
      </c>
      <c r="P276" s="4">
        <v>114498</v>
      </c>
      <c r="Q276" s="4">
        <v>154840</v>
      </c>
      <c r="R276" s="4">
        <v>464520</v>
      </c>
      <c r="S276" t="s">
        <v>16657</v>
      </c>
      <c r="T276" s="6">
        <v>45133</v>
      </c>
      <c r="U276" s="4">
        <v>450000</v>
      </c>
      <c r="V276" t="s">
        <v>23739</v>
      </c>
      <c r="W276" t="s">
        <v>23864</v>
      </c>
      <c r="X276" t="s">
        <v>3</v>
      </c>
      <c r="AA276" s="5" t="str">
        <f>HYPERLINK("https://www.zillow.com/homes/179-BRAINTREE-DR-BLOOMINGDALE-IL-60108_rb/","check listing")</f>
        <v>check listing</v>
      </c>
      <c r="AB276" s="5" t="str">
        <f>HYPERLINK("https://propertylookup.dupagecounty.gov/Datalets/Datalet.aspx?UseSearch=no&amp;mode=sales&amp;pin=0215412001","sales record")</f>
        <v>sales record</v>
      </c>
      <c r="AC276" t="s">
        <v>27873</v>
      </c>
      <c r="AD276">
        <v>41.950965</v>
      </c>
      <c r="AE276">
        <v>-88.07522</v>
      </c>
      <c r="AF276" s="5" t="str">
        <f>HYPERLINK("https://www.google.com/maps/search/?api=1&amp;query=41.950965,-88.07522","map")</f>
        <v>map</v>
      </c>
    </row>
    <row r="277" spans="1:32">
      <c r="A277" t="s">
        <v>327</v>
      </c>
      <c r="B277" t="s">
        <v>7907</v>
      </c>
      <c r="C277" t="s">
        <v>15118</v>
      </c>
      <c r="D277" t="s">
        <v>16196</v>
      </c>
      <c r="E277" t="s">
        <v>16218</v>
      </c>
      <c r="F277" t="s">
        <v>16221</v>
      </c>
      <c r="G277" t="s">
        <v>16235</v>
      </c>
      <c r="H277" t="s">
        <v>16241</v>
      </c>
      <c r="I277" t="s">
        <v>16313</v>
      </c>
      <c r="J277" t="s">
        <v>16385</v>
      </c>
      <c r="K277">
        <v>0.23</v>
      </c>
      <c r="L277">
        <v>10013</v>
      </c>
      <c r="M277">
        <v>1835</v>
      </c>
      <c r="N277" t="s">
        <v>16393</v>
      </c>
      <c r="O277" s="4">
        <v>40342</v>
      </c>
      <c r="P277" s="4">
        <v>111498</v>
      </c>
      <c r="Q277" s="4">
        <v>151840</v>
      </c>
      <c r="R277" s="4">
        <v>455520</v>
      </c>
      <c r="S277" t="s">
        <v>16658</v>
      </c>
      <c r="X277" t="s">
        <v>3</v>
      </c>
      <c r="AA277" s="5" t="str">
        <f>HYPERLINK("https://www.zillow.com/homes/168-BRAINTREE-DR-BLOOMINGDALE-IL-60108_rb/","check listing")</f>
        <v>check listing</v>
      </c>
      <c r="AB277" s="5" t="str">
        <f>HYPERLINK("https://propertylookup.dupagecounty.gov/Datalets/Datalet.aspx?UseSearch=no&amp;mode=sales&amp;pin=0215409024","sales record")</f>
        <v>sales record</v>
      </c>
      <c r="AC277" t="s">
        <v>27873</v>
      </c>
      <c r="AD277">
        <v>41.951664</v>
      </c>
      <c r="AE277">
        <v>-88.076695</v>
      </c>
      <c r="AF277" s="5" t="str">
        <f>HYPERLINK("https://www.google.com/maps/search/?api=1&amp;query=41.951664,-88.076695","map")</f>
        <v>map</v>
      </c>
    </row>
    <row r="278" spans="1:32">
      <c r="A278" t="s">
        <v>328</v>
      </c>
      <c r="B278" t="s">
        <v>7908</v>
      </c>
      <c r="C278" t="s">
        <v>15140</v>
      </c>
      <c r="D278" t="s">
        <v>16196</v>
      </c>
      <c r="E278" t="s">
        <v>16218</v>
      </c>
      <c r="F278" t="s">
        <v>16221</v>
      </c>
      <c r="G278" t="s">
        <v>16235</v>
      </c>
      <c r="H278" t="s">
        <v>16241</v>
      </c>
      <c r="I278" t="s">
        <v>16313</v>
      </c>
      <c r="J278" t="s">
        <v>16385</v>
      </c>
      <c r="K278">
        <v>0.229</v>
      </c>
      <c r="L278">
        <v>9994</v>
      </c>
      <c r="M278">
        <v>1971</v>
      </c>
      <c r="N278" t="s">
        <v>16393</v>
      </c>
      <c r="O278" s="4">
        <v>40342</v>
      </c>
      <c r="P278" s="4">
        <v>106059</v>
      </c>
      <c r="Q278" s="4">
        <v>146401</v>
      </c>
      <c r="R278" s="4">
        <v>439203</v>
      </c>
      <c r="S278" t="s">
        <v>16659</v>
      </c>
      <c r="T278" s="6">
        <v>44682</v>
      </c>
      <c r="U278" s="4">
        <v>395000</v>
      </c>
      <c r="V278" t="s">
        <v>23739</v>
      </c>
      <c r="W278" t="s">
        <v>23865</v>
      </c>
      <c r="X278" t="s">
        <v>3</v>
      </c>
      <c r="AA278" s="5" t="str">
        <f>HYPERLINK("https://www.zillow.com/homes/180-CAMBRIDGE-LN-BLOOMINGDALE-IL-601081504_rb/","check listing")</f>
        <v>check listing</v>
      </c>
      <c r="AB278" s="5" t="str">
        <f>HYPERLINK("https://propertylookup.dupagecounty.gov/Datalets/Datalet.aspx?UseSearch=no&amp;mode=sales&amp;pin=0215402031","sales record")</f>
        <v>sales record</v>
      </c>
      <c r="AC278" t="s">
        <v>3</v>
      </c>
      <c r="AD278">
        <v>41.950545</v>
      </c>
      <c r="AE278">
        <v>-88.077955</v>
      </c>
      <c r="AF278" s="5" t="str">
        <f>HYPERLINK("https://www.google.com/maps/search/?api=1&amp;query=41.950545,-88.077955","map")</f>
        <v>map</v>
      </c>
    </row>
    <row r="279" spans="1:32">
      <c r="A279" t="s">
        <v>329</v>
      </c>
      <c r="B279" t="s">
        <v>7909</v>
      </c>
      <c r="C279" t="s">
        <v>15141</v>
      </c>
      <c r="D279" t="s">
        <v>16196</v>
      </c>
      <c r="E279" t="s">
        <v>16218</v>
      </c>
      <c r="F279" t="s">
        <v>16221</v>
      </c>
      <c r="G279" t="s">
        <v>16235</v>
      </c>
      <c r="H279" t="s">
        <v>16241</v>
      </c>
      <c r="I279" t="s">
        <v>16313</v>
      </c>
      <c r="J279" t="s">
        <v>16385</v>
      </c>
      <c r="K279">
        <v>0.229</v>
      </c>
      <c r="L279">
        <v>9963</v>
      </c>
      <c r="M279">
        <v>2103</v>
      </c>
      <c r="N279" t="s">
        <v>16393</v>
      </c>
      <c r="O279" s="4">
        <v>40342</v>
      </c>
      <c r="P279" s="4">
        <v>95709</v>
      </c>
      <c r="Q279" s="4">
        <v>136051</v>
      </c>
      <c r="R279" s="4">
        <v>408153</v>
      </c>
      <c r="S279" t="s">
        <v>16660</v>
      </c>
      <c r="X279" t="s">
        <v>3</v>
      </c>
      <c r="AA279" s="5" t="str">
        <f>HYPERLINK("https://www.zillow.com/homes/169-CAMBRIDGE-LN-BLOOMINGDALE-IL-601081551_rb/","check listing")</f>
        <v>check listing</v>
      </c>
      <c r="AB279" s="5" t="str">
        <f>HYPERLINK("https://propertylookup.dupagecounty.gov/Datalets/Datalet.aspx?UseSearch=no&amp;mode=sales&amp;pin=0215409013","sales record")</f>
        <v>sales record</v>
      </c>
      <c r="AC279" t="s">
        <v>27873</v>
      </c>
      <c r="AD279">
        <v>41.951579</v>
      </c>
      <c r="AE279">
        <v>-88.07721100000001</v>
      </c>
      <c r="AF279" s="5" t="str">
        <f>HYPERLINK("https://www.google.com/maps/search/?api=1&amp;query=41.951579,-88.077211","map")</f>
        <v>map</v>
      </c>
    </row>
    <row r="280" spans="1:32">
      <c r="A280" t="s">
        <v>330</v>
      </c>
      <c r="B280" t="s">
        <v>7910</v>
      </c>
      <c r="C280" t="s">
        <v>15118</v>
      </c>
      <c r="D280" t="s">
        <v>16196</v>
      </c>
      <c r="E280" t="s">
        <v>16218</v>
      </c>
      <c r="F280" t="s">
        <v>16221</v>
      </c>
      <c r="G280" t="s">
        <v>16236</v>
      </c>
      <c r="H280" t="s">
        <v>16241</v>
      </c>
      <c r="I280" t="s">
        <v>16313</v>
      </c>
      <c r="J280" t="s">
        <v>16385</v>
      </c>
      <c r="K280">
        <v>0.228</v>
      </c>
      <c r="L280">
        <v>9951</v>
      </c>
      <c r="M280">
        <v>1583</v>
      </c>
      <c r="N280" t="s">
        <v>16393</v>
      </c>
      <c r="O280" s="4">
        <v>29656</v>
      </c>
      <c r="P280" s="4">
        <v>119877</v>
      </c>
      <c r="Q280" s="4">
        <v>149533</v>
      </c>
      <c r="R280" s="4">
        <v>448599</v>
      </c>
      <c r="S280" t="s">
        <v>16661</v>
      </c>
      <c r="T280" s="6">
        <v>35186</v>
      </c>
      <c r="U280" s="4">
        <v>220000</v>
      </c>
      <c r="X280" t="s">
        <v>3</v>
      </c>
      <c r="AA280" s="5" t="str">
        <f>HYPERLINK("https://www.zillow.com/homes/278-BISCAYNE-ST-BLOOMINGDALE-IL-60108_rb/","check listing")</f>
        <v>check listing</v>
      </c>
      <c r="AB280" s="5" t="str">
        <f>HYPERLINK("https://propertylookup.dupagecounty.gov/Datalets/Datalet.aspx?UseSearch=no&amp;mode=sales&amp;pin=0208302014","sales record")</f>
        <v>sales record</v>
      </c>
      <c r="AC280" t="s">
        <v>3</v>
      </c>
      <c r="AD280">
        <v>41.963387</v>
      </c>
      <c r="AE280">
        <v>-88.12071400000001</v>
      </c>
      <c r="AF280" s="5" t="str">
        <f>HYPERLINK("https://www.google.com/maps/search/?api=1&amp;query=41.963387,-88.120714","map")</f>
        <v>map</v>
      </c>
    </row>
    <row r="281" spans="1:32">
      <c r="A281" t="s">
        <v>331</v>
      </c>
      <c r="B281" t="s">
        <v>7911</v>
      </c>
      <c r="C281" t="s">
        <v>15118</v>
      </c>
      <c r="D281" t="s">
        <v>16196</v>
      </c>
      <c r="E281" t="s">
        <v>16218</v>
      </c>
      <c r="F281" t="s">
        <v>16221</v>
      </c>
      <c r="G281" t="s">
        <v>16235</v>
      </c>
      <c r="H281" t="s">
        <v>16241</v>
      </c>
      <c r="I281" t="s">
        <v>16313</v>
      </c>
      <c r="J281" t="s">
        <v>16385</v>
      </c>
      <c r="K281">
        <v>0.228</v>
      </c>
      <c r="L281">
        <v>9914</v>
      </c>
      <c r="M281">
        <v>2473</v>
      </c>
      <c r="N281" t="s">
        <v>16393</v>
      </c>
      <c r="O281" s="4">
        <v>40342</v>
      </c>
      <c r="P281" s="4">
        <v>111498</v>
      </c>
      <c r="Q281" s="4">
        <v>151840</v>
      </c>
      <c r="R281" s="4">
        <v>455520</v>
      </c>
      <c r="S281" t="s">
        <v>16662</v>
      </c>
      <c r="X281" t="s">
        <v>3</v>
      </c>
      <c r="AA281" s="5" t="str">
        <f>HYPERLINK("https://www.zillow.com/homes/178-CAMBRIDGE-LN-BLOOMINGDALE-IL-60108_rb/","check listing")</f>
        <v>check listing</v>
      </c>
      <c r="AB281" s="5" t="str">
        <f>HYPERLINK("https://propertylookup.dupagecounty.gov/Datalets/Datalet.aspx?UseSearch=no&amp;mode=sales&amp;pin=0215402030","sales record")</f>
        <v>sales record</v>
      </c>
      <c r="AC281" t="s">
        <v>27873</v>
      </c>
      <c r="AD281">
        <v>41.950736</v>
      </c>
      <c r="AE281">
        <v>-88.077879</v>
      </c>
      <c r="AF281" s="5" t="str">
        <f>HYPERLINK("https://www.google.com/maps/search/?api=1&amp;query=41.950736,-88.077879","map")</f>
        <v>map</v>
      </c>
    </row>
    <row r="282" spans="1:32">
      <c r="A282" t="s">
        <v>332</v>
      </c>
      <c r="B282" t="s">
        <v>7912</v>
      </c>
      <c r="C282" t="s">
        <v>15118</v>
      </c>
      <c r="D282" t="s">
        <v>16196</v>
      </c>
      <c r="E282" t="s">
        <v>16218</v>
      </c>
      <c r="F282" t="s">
        <v>16221</v>
      </c>
      <c r="G282" t="s">
        <v>16235</v>
      </c>
      <c r="H282" t="s">
        <v>16241</v>
      </c>
      <c r="I282" t="s">
        <v>16313</v>
      </c>
      <c r="J282" t="s">
        <v>16385</v>
      </c>
      <c r="K282">
        <v>0.228</v>
      </c>
      <c r="L282">
        <v>9912</v>
      </c>
      <c r="M282">
        <v>2177</v>
      </c>
      <c r="N282" t="s">
        <v>16393</v>
      </c>
      <c r="O282" s="4">
        <v>40342</v>
      </c>
      <c r="P282" s="4">
        <v>106800</v>
      </c>
      <c r="Q282" s="4">
        <v>147142</v>
      </c>
      <c r="R282" s="4">
        <v>441426</v>
      </c>
      <c r="S282" t="s">
        <v>16663</v>
      </c>
      <c r="T282" s="6">
        <v>38899</v>
      </c>
      <c r="U282" s="4">
        <v>330000</v>
      </c>
      <c r="V282" t="s">
        <v>16232</v>
      </c>
      <c r="W282" t="s">
        <v>23866</v>
      </c>
      <c r="X282" t="s">
        <v>3</v>
      </c>
      <c r="AA282" s="5" t="str">
        <f>HYPERLINK("https://www.zillow.com/homes/176-SALEM-CT-BLOOMINGDALE-IL-60108_rb/","check listing")</f>
        <v>check listing</v>
      </c>
      <c r="AB282" s="5" t="str">
        <f>HYPERLINK("https://propertylookup.dupagecounty.gov/Datalets/Datalet.aspx?UseSearch=no&amp;mode=sales&amp;pin=0215412015","sales record")</f>
        <v>sales record</v>
      </c>
      <c r="AC282" t="s">
        <v>3</v>
      </c>
      <c r="AD282">
        <v>41.950072</v>
      </c>
      <c r="AE282">
        <v>-88.074242</v>
      </c>
      <c r="AF282" s="5" t="str">
        <f>HYPERLINK("https://www.google.com/maps/search/?api=1&amp;query=41.950072,-88.074242","map")</f>
        <v>map</v>
      </c>
    </row>
    <row r="283" spans="1:32">
      <c r="A283" t="s">
        <v>333</v>
      </c>
      <c r="B283" t="s">
        <v>7913</v>
      </c>
      <c r="C283" t="s">
        <v>15138</v>
      </c>
      <c r="D283" t="s">
        <v>16196</v>
      </c>
      <c r="E283" t="s">
        <v>16218</v>
      </c>
      <c r="F283" t="s">
        <v>16221</v>
      </c>
      <c r="G283" t="s">
        <v>16236</v>
      </c>
      <c r="H283" t="s">
        <v>16241</v>
      </c>
      <c r="I283" t="s">
        <v>16313</v>
      </c>
      <c r="J283" t="s">
        <v>16385</v>
      </c>
      <c r="K283">
        <v>0.227</v>
      </c>
      <c r="L283">
        <v>9880</v>
      </c>
      <c r="M283">
        <v>1979</v>
      </c>
      <c r="N283" t="s">
        <v>16393</v>
      </c>
      <c r="O283" s="4">
        <v>29656</v>
      </c>
      <c r="P283" s="4">
        <v>124730</v>
      </c>
      <c r="Q283" s="4">
        <v>154386</v>
      </c>
      <c r="R283" s="4">
        <v>463158</v>
      </c>
      <c r="S283" t="s">
        <v>16664</v>
      </c>
      <c r="T283" s="6">
        <v>44228</v>
      </c>
      <c r="U283" s="4">
        <v>390000</v>
      </c>
      <c r="V283" t="s">
        <v>23739</v>
      </c>
      <c r="W283" t="s">
        <v>16664</v>
      </c>
      <c r="X283" t="s">
        <v>3</v>
      </c>
      <c r="AA283" s="5" t="str">
        <f>HYPERLINK("https://www.zillow.com/homes/256-MONTEGO-CT-BLOOMINGDALE-IL-601083308_rb/","check listing")</f>
        <v>check listing</v>
      </c>
      <c r="AB283" s="5" t="str">
        <f>HYPERLINK("https://propertylookup.dupagecounty.gov/Datalets/Datalet.aspx?UseSearch=no&amp;mode=sales&amp;pin=0208302025","sales record")</f>
        <v>sales record</v>
      </c>
      <c r="AC283" t="s">
        <v>3</v>
      </c>
      <c r="AD283">
        <v>41.965602</v>
      </c>
      <c r="AE283">
        <v>-88.12069200000001</v>
      </c>
      <c r="AF283" s="5" t="str">
        <f>HYPERLINK("https://www.google.com/maps/search/?api=1&amp;query=41.965602,-88.120692","map")</f>
        <v>map</v>
      </c>
    </row>
    <row r="284" spans="1:32">
      <c r="A284" t="s">
        <v>334</v>
      </c>
      <c r="B284" t="s">
        <v>7914</v>
      </c>
      <c r="C284" t="s">
        <v>15142</v>
      </c>
      <c r="D284" t="s">
        <v>16196</v>
      </c>
      <c r="E284" t="s">
        <v>16218</v>
      </c>
      <c r="F284" t="s">
        <v>16221</v>
      </c>
      <c r="G284" t="s">
        <v>16236</v>
      </c>
      <c r="H284" t="s">
        <v>16241</v>
      </c>
      <c r="I284" t="s">
        <v>16313</v>
      </c>
      <c r="J284" t="s">
        <v>16385</v>
      </c>
      <c r="K284">
        <v>0.226</v>
      </c>
      <c r="L284">
        <v>9840</v>
      </c>
      <c r="M284">
        <v>2176</v>
      </c>
      <c r="N284" t="s">
        <v>16393</v>
      </c>
      <c r="O284" s="4">
        <v>29656</v>
      </c>
      <c r="P284" s="4">
        <v>120248</v>
      </c>
      <c r="Q284" s="4">
        <v>149904</v>
      </c>
      <c r="R284" s="4">
        <v>449712</v>
      </c>
      <c r="S284" t="s">
        <v>16665</v>
      </c>
      <c r="T284" s="6">
        <v>44075</v>
      </c>
      <c r="U284" s="4">
        <v>365000</v>
      </c>
      <c r="V284" t="s">
        <v>23739</v>
      </c>
      <c r="W284" t="s">
        <v>23867</v>
      </c>
      <c r="X284" t="s">
        <v>3</v>
      </c>
      <c r="AA284" s="5" t="str">
        <f>HYPERLINK("https://www.zillow.com/homes/210-BISCAYNE-CT-BLOOMINGDALE-IL-601083304_rb/","check listing")</f>
        <v>check listing</v>
      </c>
      <c r="AB284" s="5" t="str">
        <f>HYPERLINK("https://propertylookup.dupagecounty.gov/Datalets/Datalet.aspx?UseSearch=no&amp;mode=sales&amp;pin=0208303034","sales record")</f>
        <v>sales record</v>
      </c>
      <c r="AC284" t="s">
        <v>3</v>
      </c>
      <c r="AD284">
        <v>41.962284</v>
      </c>
      <c r="AE284">
        <v>-88.121928</v>
      </c>
      <c r="AF284" s="5" t="str">
        <f>HYPERLINK("https://www.google.com/maps/search/?api=1&amp;query=41.962284,-88.121928","map")</f>
        <v>map</v>
      </c>
    </row>
    <row r="285" spans="1:32">
      <c r="A285" t="s">
        <v>335</v>
      </c>
      <c r="B285" t="s">
        <v>7915</v>
      </c>
      <c r="C285" t="s">
        <v>15128</v>
      </c>
      <c r="D285" t="s">
        <v>16196</v>
      </c>
      <c r="E285" t="s">
        <v>16218</v>
      </c>
      <c r="F285" t="s">
        <v>16221</v>
      </c>
      <c r="G285" t="s">
        <v>16235</v>
      </c>
      <c r="H285" t="s">
        <v>16241</v>
      </c>
      <c r="I285" t="s">
        <v>16313</v>
      </c>
      <c r="J285" t="s">
        <v>16385</v>
      </c>
      <c r="K285">
        <v>0.226</v>
      </c>
      <c r="L285">
        <v>9837</v>
      </c>
      <c r="M285">
        <v>2323</v>
      </c>
      <c r="N285" t="s">
        <v>16393</v>
      </c>
      <c r="O285" s="4">
        <v>40342</v>
      </c>
      <c r="P285" s="4">
        <v>114080</v>
      </c>
      <c r="Q285" s="4">
        <v>154422</v>
      </c>
      <c r="R285" s="4">
        <v>463266</v>
      </c>
      <c r="S285" t="s">
        <v>16666</v>
      </c>
      <c r="T285" s="6">
        <v>43282</v>
      </c>
      <c r="U285" s="4">
        <v>325000</v>
      </c>
      <c r="V285" t="s">
        <v>23739</v>
      </c>
      <c r="W285" t="s">
        <v>23868</v>
      </c>
      <c r="X285" t="s">
        <v>3</v>
      </c>
      <c r="AA285" s="5" t="str">
        <f>HYPERLINK("https://www.zillow.com/homes/191-SALEM-CT-BLOOMINGDALE-IL-601081516_rb/","check listing")</f>
        <v>check listing</v>
      </c>
      <c r="AB285" s="5" t="str">
        <f>HYPERLINK("https://propertylookup.dupagecounty.gov/Datalets/Datalet.aspx?UseSearch=no&amp;mode=sales&amp;pin=0215412008","sales record")</f>
        <v>sales record</v>
      </c>
      <c r="AC285" t="s">
        <v>3</v>
      </c>
      <c r="AD285">
        <v>41.950907</v>
      </c>
      <c r="AE285">
        <v>-88.073595</v>
      </c>
      <c r="AF285" s="5" t="str">
        <f>HYPERLINK("https://www.google.com/maps/search/?api=1&amp;query=41.950907,-88.073595","map")</f>
        <v>map</v>
      </c>
    </row>
    <row r="286" spans="1:32">
      <c r="A286" t="s">
        <v>336</v>
      </c>
      <c r="B286" t="s">
        <v>7916</v>
      </c>
      <c r="C286" t="s">
        <v>15140</v>
      </c>
      <c r="D286" t="s">
        <v>16196</v>
      </c>
      <c r="E286" t="s">
        <v>16218</v>
      </c>
      <c r="F286" t="s">
        <v>16221</v>
      </c>
      <c r="G286" t="s">
        <v>16235</v>
      </c>
      <c r="H286" t="s">
        <v>16241</v>
      </c>
      <c r="I286" t="s">
        <v>16313</v>
      </c>
      <c r="J286" t="s">
        <v>16385</v>
      </c>
      <c r="K286">
        <v>0.226</v>
      </c>
      <c r="L286">
        <v>9827</v>
      </c>
      <c r="M286">
        <v>2101</v>
      </c>
      <c r="N286" t="s">
        <v>16393</v>
      </c>
      <c r="O286" s="4">
        <v>40342</v>
      </c>
      <c r="P286" s="4">
        <v>105092</v>
      </c>
      <c r="Q286" s="4">
        <v>145434</v>
      </c>
      <c r="R286" s="4">
        <v>436302</v>
      </c>
      <c r="S286" t="s">
        <v>16667</v>
      </c>
      <c r="T286" s="6">
        <v>43282</v>
      </c>
      <c r="U286" s="4">
        <v>362500</v>
      </c>
      <c r="V286" t="s">
        <v>23739</v>
      </c>
      <c r="W286" t="s">
        <v>23869</v>
      </c>
      <c r="X286" t="s">
        <v>3</v>
      </c>
      <c r="AA286" s="5" t="str">
        <f>HYPERLINK("https://www.zillow.com/homes/162-CAMBRIDGE-LN-BLOOMINGDALE-IL-601081504_rb/","check listing")</f>
        <v>check listing</v>
      </c>
      <c r="AB286" s="5" t="str">
        <f>HYPERLINK("https://propertylookup.dupagecounty.gov/Datalets/Datalet.aspx?UseSearch=no&amp;mode=sales&amp;pin=0215402022","sales record")</f>
        <v>sales record</v>
      </c>
      <c r="AC286" t="s">
        <v>27873</v>
      </c>
      <c r="AD286">
        <v>41.952079</v>
      </c>
      <c r="AE286">
        <v>-88.077922</v>
      </c>
      <c r="AF286" s="5" t="str">
        <f>HYPERLINK("https://www.google.com/maps/search/?api=1&amp;query=41.952079,-88.077922","map")</f>
        <v>map</v>
      </c>
    </row>
    <row r="287" spans="1:32">
      <c r="A287" t="s">
        <v>337</v>
      </c>
      <c r="B287" t="s">
        <v>7917</v>
      </c>
      <c r="C287" t="s">
        <v>15142</v>
      </c>
      <c r="D287" t="s">
        <v>16196</v>
      </c>
      <c r="E287" t="s">
        <v>16218</v>
      </c>
      <c r="F287" t="s">
        <v>16221</v>
      </c>
      <c r="G287" t="s">
        <v>16236</v>
      </c>
      <c r="H287" t="s">
        <v>16241</v>
      </c>
      <c r="I287" t="s">
        <v>16313</v>
      </c>
      <c r="J287" t="s">
        <v>16385</v>
      </c>
      <c r="K287">
        <v>0.225</v>
      </c>
      <c r="L287">
        <v>9808</v>
      </c>
      <c r="M287">
        <v>1930</v>
      </c>
      <c r="N287" t="s">
        <v>16393</v>
      </c>
      <c r="O287" s="4">
        <v>29656</v>
      </c>
      <c r="P287" s="4">
        <v>130312</v>
      </c>
      <c r="Q287" s="4">
        <v>159968</v>
      </c>
      <c r="R287" s="4">
        <v>479904</v>
      </c>
      <c r="S287" t="s">
        <v>16668</v>
      </c>
      <c r="T287" s="6">
        <v>44470</v>
      </c>
      <c r="U287" s="4">
        <v>375000</v>
      </c>
      <c r="V287" t="s">
        <v>23739</v>
      </c>
      <c r="W287" t="s">
        <v>23870</v>
      </c>
      <c r="X287" t="s">
        <v>3</v>
      </c>
      <c r="AA287" s="5" t="str">
        <f>HYPERLINK("https://www.zillow.com/homes/208-BISCAYNE-CT-BLOOMINGDALE-IL-601083304_rb/","check listing")</f>
        <v>check listing</v>
      </c>
      <c r="AB287" s="5" t="str">
        <f>HYPERLINK("https://propertylookup.dupagecounty.gov/Datalets/Datalet.aspx?UseSearch=no&amp;mode=sales&amp;pin=0208303033","sales record")</f>
        <v>sales record</v>
      </c>
      <c r="AC287" t="s">
        <v>3</v>
      </c>
      <c r="AD287">
        <v>41.962469</v>
      </c>
      <c r="AE287">
        <v>-88.121893</v>
      </c>
      <c r="AF287" s="5" t="str">
        <f>HYPERLINK("https://www.google.com/maps/search/?api=1&amp;query=41.962469,-88.121893","map")</f>
        <v>map</v>
      </c>
    </row>
    <row r="288" spans="1:32">
      <c r="A288" t="s">
        <v>338</v>
      </c>
      <c r="B288" t="s">
        <v>7918</v>
      </c>
      <c r="C288" t="s">
        <v>15118</v>
      </c>
      <c r="D288" t="s">
        <v>16196</v>
      </c>
      <c r="E288" t="s">
        <v>16218</v>
      </c>
      <c r="F288" t="s">
        <v>16221</v>
      </c>
      <c r="G288" t="s">
        <v>16236</v>
      </c>
      <c r="H288" t="s">
        <v>16241</v>
      </c>
      <c r="I288" t="s">
        <v>16313</v>
      </c>
      <c r="J288" t="s">
        <v>16385</v>
      </c>
      <c r="K288">
        <v>0.225</v>
      </c>
      <c r="L288">
        <v>9801</v>
      </c>
      <c r="M288">
        <v>2144</v>
      </c>
      <c r="N288" t="s">
        <v>16393</v>
      </c>
      <c r="O288" s="4">
        <v>29656</v>
      </c>
      <c r="P288" s="4">
        <v>121025</v>
      </c>
      <c r="Q288" s="4">
        <v>150681</v>
      </c>
      <c r="R288" s="4">
        <v>452043</v>
      </c>
      <c r="S288" t="s">
        <v>16669</v>
      </c>
      <c r="T288" s="6">
        <v>44797</v>
      </c>
      <c r="U288" s="4">
        <v>392000</v>
      </c>
      <c r="V288" t="s">
        <v>23739</v>
      </c>
      <c r="W288" t="s">
        <v>23871</v>
      </c>
      <c r="X288" t="s">
        <v>3</v>
      </c>
      <c r="AA288" s="5" t="str">
        <f>HYPERLINK("https://www.zillow.com/homes/201-BISCAYNE-ST-BLOOMINGDALE-IL-60108_rb/","check listing")</f>
        <v>check listing</v>
      </c>
      <c r="AB288" s="5" t="str">
        <f>HYPERLINK("https://propertylookup.dupagecounty.gov/Datalets/Datalet.aspx?UseSearch=no&amp;mode=sales&amp;pin=0208302007","sales record")</f>
        <v>sales record</v>
      </c>
      <c r="AC288" t="s">
        <v>3</v>
      </c>
      <c r="AD288">
        <v>41.962967</v>
      </c>
      <c r="AE288">
        <v>-88.120763</v>
      </c>
      <c r="AF288" s="5" t="str">
        <f>HYPERLINK("https://www.google.com/maps/search/?api=1&amp;query=41.962967,-88.120763","map")</f>
        <v>map</v>
      </c>
    </row>
    <row r="289" spans="1:32">
      <c r="A289" t="s">
        <v>339</v>
      </c>
      <c r="B289" t="s">
        <v>7919</v>
      </c>
      <c r="C289" t="s">
        <v>15118</v>
      </c>
      <c r="D289" t="s">
        <v>16196</v>
      </c>
      <c r="E289" t="s">
        <v>16218</v>
      </c>
      <c r="F289" t="s">
        <v>16221</v>
      </c>
      <c r="G289" t="s">
        <v>16236</v>
      </c>
      <c r="H289" t="s">
        <v>16241</v>
      </c>
      <c r="I289" t="s">
        <v>16313</v>
      </c>
      <c r="J289" t="s">
        <v>16385</v>
      </c>
      <c r="K289">
        <v>0.225</v>
      </c>
      <c r="L289">
        <v>9795</v>
      </c>
      <c r="M289">
        <v>3067</v>
      </c>
      <c r="N289" t="s">
        <v>16393</v>
      </c>
      <c r="O289" s="4">
        <v>29656</v>
      </c>
      <c r="P289" s="4">
        <v>123224</v>
      </c>
      <c r="Q289" s="4">
        <v>152880</v>
      </c>
      <c r="R289" s="4">
        <v>458640</v>
      </c>
      <c r="S289" t="s">
        <v>16670</v>
      </c>
      <c r="T289" s="6">
        <v>38504</v>
      </c>
      <c r="U289" s="4">
        <v>395000</v>
      </c>
      <c r="V289" t="s">
        <v>23739</v>
      </c>
      <c r="W289" t="s">
        <v>23872</v>
      </c>
      <c r="X289" t="s">
        <v>3</v>
      </c>
      <c r="AA289" s="5" t="str">
        <f>HYPERLINK("https://www.zillow.com/homes/202-FRISCO-CT-BLOOMINGDALE-IL-60108_rb/","check listing")</f>
        <v>check listing</v>
      </c>
      <c r="AB289" s="5" t="str">
        <f>HYPERLINK("https://propertylookup.dupagecounty.gov/Datalets/Datalet.aspx?UseSearch=no&amp;mode=sales&amp;pin=0208303012","sales record")</f>
        <v>sales record</v>
      </c>
      <c r="AC289" t="s">
        <v>3</v>
      </c>
      <c r="AD289">
        <v>41.962284</v>
      </c>
      <c r="AE289">
        <v>-88.12304399999999</v>
      </c>
      <c r="AF289" s="5" t="str">
        <f>HYPERLINK("https://www.google.com/maps/search/?api=1&amp;query=41.962284,-88.123044","map")</f>
        <v>map</v>
      </c>
    </row>
    <row r="290" spans="1:32">
      <c r="A290" t="s">
        <v>340</v>
      </c>
      <c r="B290" t="s">
        <v>7920</v>
      </c>
      <c r="C290" t="s">
        <v>15118</v>
      </c>
      <c r="D290" t="s">
        <v>16196</v>
      </c>
      <c r="E290" t="s">
        <v>16218</v>
      </c>
      <c r="F290" t="s">
        <v>16221</v>
      </c>
      <c r="G290" t="s">
        <v>16235</v>
      </c>
      <c r="H290" t="s">
        <v>16241</v>
      </c>
      <c r="I290" t="s">
        <v>16313</v>
      </c>
      <c r="J290" t="s">
        <v>16385</v>
      </c>
      <c r="K290">
        <v>0.223</v>
      </c>
      <c r="L290">
        <v>9705</v>
      </c>
      <c r="M290">
        <v>2274</v>
      </c>
      <c r="N290" t="s">
        <v>16393</v>
      </c>
      <c r="O290" s="4">
        <v>40342</v>
      </c>
      <c r="P290" s="4">
        <v>106800</v>
      </c>
      <c r="Q290" s="4">
        <v>147142</v>
      </c>
      <c r="R290" s="4">
        <v>441426</v>
      </c>
      <c r="S290" t="s">
        <v>16671</v>
      </c>
      <c r="T290" s="6">
        <v>34912</v>
      </c>
      <c r="U290" s="4">
        <v>202000</v>
      </c>
      <c r="X290" t="s">
        <v>3</v>
      </c>
      <c r="AA290" s="5" t="str">
        <f>HYPERLINK("https://www.zillow.com/homes/166-BRAINTREE-DR-BLOOMINGDALE-IL-60108_rb/","check listing")</f>
        <v>check listing</v>
      </c>
      <c r="AB290" s="5" t="str">
        <f>HYPERLINK("https://propertylookup.dupagecounty.gov/Datalets/Datalet.aspx?UseSearch=no&amp;mode=sales&amp;pin=0215409023","sales record")</f>
        <v>sales record</v>
      </c>
      <c r="AC290" t="s">
        <v>27873</v>
      </c>
      <c r="AD290">
        <v>41.951875</v>
      </c>
      <c r="AE290">
        <v>-88.076707</v>
      </c>
      <c r="AF290" s="5" t="str">
        <f>HYPERLINK("https://www.google.com/maps/search/?api=1&amp;query=41.951875,-88.076707","map")</f>
        <v>map</v>
      </c>
    </row>
    <row r="291" spans="1:32">
      <c r="A291" t="s">
        <v>341</v>
      </c>
      <c r="B291" t="s">
        <v>7921</v>
      </c>
      <c r="C291" t="s">
        <v>15118</v>
      </c>
      <c r="D291" t="s">
        <v>16196</v>
      </c>
      <c r="E291" t="s">
        <v>16218</v>
      </c>
      <c r="F291" t="s">
        <v>16221</v>
      </c>
      <c r="G291" t="s">
        <v>16235</v>
      </c>
      <c r="H291" t="s">
        <v>16241</v>
      </c>
      <c r="I291" t="s">
        <v>16313</v>
      </c>
      <c r="J291" t="s">
        <v>16385</v>
      </c>
      <c r="K291">
        <v>0.222</v>
      </c>
      <c r="L291">
        <v>9672</v>
      </c>
      <c r="M291">
        <v>2574</v>
      </c>
      <c r="N291" t="s">
        <v>16393</v>
      </c>
      <c r="O291" s="4">
        <v>40342</v>
      </c>
      <c r="P291" s="4">
        <v>102784</v>
      </c>
      <c r="Q291" s="4">
        <v>143126</v>
      </c>
      <c r="R291" s="4">
        <v>429378</v>
      </c>
      <c r="S291" t="s">
        <v>16672</v>
      </c>
      <c r="X291" t="s">
        <v>3</v>
      </c>
      <c r="AA291" s="5" t="str">
        <f>HYPERLINK("https://www.zillow.com/homes/144-HINGHAM-LN-BLOOMINGDALE-IL-60108_rb/","check listing")</f>
        <v>check listing</v>
      </c>
      <c r="AB291" s="5" t="str">
        <f>HYPERLINK("https://propertylookup.dupagecounty.gov/Datalets/Datalet.aspx?UseSearch=no&amp;mode=sales&amp;pin=0215409003","sales record")</f>
        <v>sales record</v>
      </c>
      <c r="AC291" t="s">
        <v>3</v>
      </c>
      <c r="AD291">
        <v>41.953119</v>
      </c>
      <c r="AE291">
        <v>-88.07681599999999</v>
      </c>
      <c r="AF291" s="5" t="str">
        <f>HYPERLINK("https://www.google.com/maps/search/?api=1&amp;query=41.953119,-88.076816","map")</f>
        <v>map</v>
      </c>
    </row>
    <row r="292" spans="1:32">
      <c r="A292" t="s">
        <v>342</v>
      </c>
      <c r="B292" t="s">
        <v>7922</v>
      </c>
      <c r="C292" t="s">
        <v>15118</v>
      </c>
      <c r="D292" t="s">
        <v>16196</v>
      </c>
      <c r="E292" t="s">
        <v>16218</v>
      </c>
      <c r="F292" t="s">
        <v>16221</v>
      </c>
      <c r="G292" t="s">
        <v>16235</v>
      </c>
      <c r="H292" t="s">
        <v>16241</v>
      </c>
      <c r="I292" t="s">
        <v>16313</v>
      </c>
      <c r="J292" t="s">
        <v>16385</v>
      </c>
      <c r="K292">
        <v>0.222</v>
      </c>
      <c r="L292">
        <v>9654</v>
      </c>
      <c r="M292">
        <v>1667</v>
      </c>
      <c r="N292" t="s">
        <v>16393</v>
      </c>
      <c r="O292" s="4">
        <v>40342</v>
      </c>
      <c r="P292" s="4">
        <v>112490</v>
      </c>
      <c r="Q292" s="4">
        <v>152832</v>
      </c>
      <c r="R292" s="4">
        <v>458496</v>
      </c>
      <c r="S292" t="s">
        <v>16673</v>
      </c>
      <c r="T292" s="6">
        <v>41760</v>
      </c>
      <c r="U292" s="4">
        <v>365000</v>
      </c>
      <c r="V292" t="s">
        <v>23739</v>
      </c>
      <c r="W292" t="s">
        <v>23873</v>
      </c>
      <c r="X292" t="s">
        <v>3</v>
      </c>
      <c r="AA292" s="5" t="str">
        <f>HYPERLINK("https://www.zillow.com/homes/164-HINGHAM-LN-BLOOMINGDALE-IL-60108_rb/","check listing")</f>
        <v>check listing</v>
      </c>
      <c r="AB292" s="5" t="str">
        <f>HYPERLINK("https://propertylookup.dupagecounty.gov/Datalets/Datalet.aspx?UseSearch=no&amp;mode=sales&amp;pin=0215411004","sales record")</f>
        <v>sales record</v>
      </c>
      <c r="AC292" t="s">
        <v>3</v>
      </c>
      <c r="AD292">
        <v>41.95282</v>
      </c>
      <c r="AE292">
        <v>-88.075221</v>
      </c>
      <c r="AF292" s="5" t="str">
        <f>HYPERLINK("https://www.google.com/maps/search/?api=1&amp;query=41.95282,-88.075221","map")</f>
        <v>map</v>
      </c>
    </row>
    <row r="293" spans="1:32">
      <c r="A293" t="s">
        <v>343</v>
      </c>
      <c r="B293" t="s">
        <v>7923</v>
      </c>
      <c r="C293" t="s">
        <v>15118</v>
      </c>
      <c r="D293" t="s">
        <v>16196</v>
      </c>
      <c r="E293" t="s">
        <v>16218</v>
      </c>
      <c r="F293" t="s">
        <v>16221</v>
      </c>
      <c r="G293" t="s">
        <v>16236</v>
      </c>
      <c r="H293" t="s">
        <v>16241</v>
      </c>
      <c r="I293" t="s">
        <v>16313</v>
      </c>
      <c r="J293" t="s">
        <v>16385</v>
      </c>
      <c r="K293">
        <v>0.221</v>
      </c>
      <c r="L293">
        <v>9620</v>
      </c>
      <c r="M293">
        <v>2722</v>
      </c>
      <c r="N293" t="s">
        <v>16393</v>
      </c>
      <c r="O293" s="4">
        <v>29656</v>
      </c>
      <c r="P293" s="4">
        <v>119244</v>
      </c>
      <c r="Q293" s="4">
        <v>148900</v>
      </c>
      <c r="R293" s="4">
        <v>446700</v>
      </c>
      <c r="S293" t="s">
        <v>16674</v>
      </c>
      <c r="T293" s="6">
        <v>35034</v>
      </c>
      <c r="U293" s="4">
        <v>182265</v>
      </c>
      <c r="X293" t="s">
        <v>3</v>
      </c>
      <c r="AA293" s="5" t="str">
        <f>HYPERLINK("https://www.zillow.com/homes/272-BISCAYNE-ST-BLOOMINGDALE-IL-60108_rb/","check listing")</f>
        <v>check listing</v>
      </c>
      <c r="AB293" s="5" t="str">
        <f>HYPERLINK("https://propertylookup.dupagecounty.gov/Datalets/Datalet.aspx?UseSearch=no&amp;mode=sales&amp;pin=0208302017","sales record")</f>
        <v>sales record</v>
      </c>
      <c r="AC293" t="s">
        <v>3</v>
      </c>
      <c r="AD293">
        <v>41.964074</v>
      </c>
      <c r="AE293">
        <v>-88.120846</v>
      </c>
      <c r="AF293" s="5" t="str">
        <f>HYPERLINK("https://www.google.com/maps/search/?api=1&amp;query=41.964074,-88.120846","map")</f>
        <v>map</v>
      </c>
    </row>
    <row r="294" spans="1:32">
      <c r="A294" t="s">
        <v>344</v>
      </c>
      <c r="B294" t="s">
        <v>7924</v>
      </c>
      <c r="C294" t="s">
        <v>15118</v>
      </c>
      <c r="D294" t="s">
        <v>16196</v>
      </c>
      <c r="E294" t="s">
        <v>16218</v>
      </c>
      <c r="F294" t="s">
        <v>16221</v>
      </c>
      <c r="G294" t="s">
        <v>16235</v>
      </c>
      <c r="H294" t="s">
        <v>16241</v>
      </c>
      <c r="I294" t="s">
        <v>16313</v>
      </c>
      <c r="J294" t="s">
        <v>16385</v>
      </c>
      <c r="K294">
        <v>0.221</v>
      </c>
      <c r="L294">
        <v>9609</v>
      </c>
      <c r="M294">
        <v>2474</v>
      </c>
      <c r="N294" t="s">
        <v>16393</v>
      </c>
      <c r="O294" s="4">
        <v>40342</v>
      </c>
      <c r="P294" s="4">
        <v>108856</v>
      </c>
      <c r="Q294" s="4">
        <v>149198</v>
      </c>
      <c r="R294" s="4">
        <v>447594</v>
      </c>
      <c r="S294" t="s">
        <v>16675</v>
      </c>
      <c r="T294" s="6">
        <v>40725</v>
      </c>
      <c r="U294" s="4">
        <v>310000</v>
      </c>
      <c r="V294" t="s">
        <v>23739</v>
      </c>
      <c r="W294" t="s">
        <v>23874</v>
      </c>
      <c r="X294" t="s">
        <v>3</v>
      </c>
      <c r="AA294" s="5" t="str">
        <f>HYPERLINK("https://www.zillow.com/homes/176-HINGHAM-LN-BLOOMINGDALE-IL-60108_rb/","check listing")</f>
        <v>check listing</v>
      </c>
      <c r="AB294" s="5" t="str">
        <f>HYPERLINK("https://propertylookup.dupagecounty.gov/Datalets/Datalet.aspx?UseSearch=no&amp;mode=sales&amp;pin=0215411007","sales record")</f>
        <v>sales record</v>
      </c>
      <c r="AC294" t="s">
        <v>3</v>
      </c>
      <c r="AD294">
        <v>41.952519</v>
      </c>
      <c r="AE294">
        <v>-88.07457599999999</v>
      </c>
      <c r="AF294" s="5" t="str">
        <f>HYPERLINK("https://www.google.com/maps/search/?api=1&amp;query=41.952519,-88.074576","map")</f>
        <v>map</v>
      </c>
    </row>
    <row r="295" spans="1:32">
      <c r="A295" t="s">
        <v>345</v>
      </c>
      <c r="B295" t="s">
        <v>7925</v>
      </c>
      <c r="C295" t="s">
        <v>15118</v>
      </c>
      <c r="D295" t="s">
        <v>16196</v>
      </c>
      <c r="E295" t="s">
        <v>16218</v>
      </c>
      <c r="F295" t="s">
        <v>16221</v>
      </c>
      <c r="G295" t="s">
        <v>16236</v>
      </c>
      <c r="H295" t="s">
        <v>16241</v>
      </c>
      <c r="I295" t="s">
        <v>16313</v>
      </c>
      <c r="J295" t="s">
        <v>16385</v>
      </c>
      <c r="K295">
        <v>0.22</v>
      </c>
      <c r="L295">
        <v>9602</v>
      </c>
      <c r="M295">
        <v>2467</v>
      </c>
      <c r="N295" t="s">
        <v>16393</v>
      </c>
      <c r="O295" s="4">
        <v>29656</v>
      </c>
      <c r="P295" s="4">
        <v>120236</v>
      </c>
      <c r="Q295" s="4">
        <v>149892</v>
      </c>
      <c r="R295" s="4">
        <v>449676</v>
      </c>
      <c r="S295" t="s">
        <v>16676</v>
      </c>
      <c r="T295" s="6">
        <v>35247</v>
      </c>
      <c r="U295" s="4">
        <v>225710</v>
      </c>
      <c r="X295" t="s">
        <v>3</v>
      </c>
      <c r="AA295" s="5" t="str">
        <f>HYPERLINK("https://www.zillow.com/homes/232-BISCAYNE-ST-BLOOMINGDALE-IL-60108_rb/","check listing")</f>
        <v>check listing</v>
      </c>
      <c r="AB295" s="5" t="str">
        <f>HYPERLINK("https://propertylookup.dupagecounty.gov/Datalets/Datalet.aspx?UseSearch=no&amp;mode=sales&amp;pin=0208302038","sales record")</f>
        <v>sales record</v>
      </c>
      <c r="AC295" t="s">
        <v>3</v>
      </c>
      <c r="AD295">
        <v>41.964537</v>
      </c>
      <c r="AE295">
        <v>-88.122598</v>
      </c>
      <c r="AF295" s="5" t="str">
        <f>HYPERLINK("https://www.google.com/maps/search/?api=1&amp;query=41.964537,-88.122598","map")</f>
        <v>map</v>
      </c>
    </row>
    <row r="296" spans="1:32">
      <c r="A296" t="s">
        <v>346</v>
      </c>
      <c r="B296" t="s">
        <v>7926</v>
      </c>
      <c r="C296" t="s">
        <v>15118</v>
      </c>
      <c r="D296" t="s">
        <v>16196</v>
      </c>
      <c r="E296" t="s">
        <v>16218</v>
      </c>
      <c r="F296" t="s">
        <v>16221</v>
      </c>
      <c r="G296" t="s">
        <v>16235</v>
      </c>
      <c r="H296" t="s">
        <v>16241</v>
      </c>
      <c r="I296" t="s">
        <v>16313</v>
      </c>
      <c r="J296" t="s">
        <v>16385</v>
      </c>
      <c r="K296">
        <v>0.22</v>
      </c>
      <c r="L296">
        <v>9602</v>
      </c>
      <c r="M296">
        <v>1973</v>
      </c>
      <c r="N296" t="s">
        <v>16393</v>
      </c>
      <c r="O296" s="4">
        <v>40342</v>
      </c>
      <c r="P296" s="4">
        <v>91691</v>
      </c>
      <c r="Q296" s="4">
        <v>132033</v>
      </c>
      <c r="R296" s="4">
        <v>396099</v>
      </c>
      <c r="S296" t="s">
        <v>16677</v>
      </c>
      <c r="T296" s="6">
        <v>37742</v>
      </c>
      <c r="U296" s="4">
        <v>283136</v>
      </c>
      <c r="V296" t="s">
        <v>23739</v>
      </c>
      <c r="W296" t="s">
        <v>16677</v>
      </c>
      <c r="X296" t="s">
        <v>3</v>
      </c>
      <c r="AA296" s="5" t="str">
        <f>HYPERLINK("https://www.zillow.com/homes/136-HINGHAM-LN-BLOOMINGDALE-IL-60108_rb/","check listing")</f>
        <v>check listing</v>
      </c>
      <c r="AB296" s="5" t="str">
        <f>HYPERLINK("https://propertylookup.dupagecounty.gov/Datalets/Datalet.aspx?UseSearch=no&amp;mode=sales&amp;pin=0215409001","sales record")</f>
        <v>sales record</v>
      </c>
      <c r="AC296" t="s">
        <v>3</v>
      </c>
      <c r="AD296">
        <v>41.95313</v>
      </c>
      <c r="AE296">
        <v>-88.077421</v>
      </c>
      <c r="AF296" s="5" t="str">
        <f>HYPERLINK("https://www.google.com/maps/search/?api=1&amp;query=41.95313,-88.077421","map")</f>
        <v>map</v>
      </c>
    </row>
    <row r="297" spans="1:32">
      <c r="A297" t="s">
        <v>347</v>
      </c>
      <c r="B297" t="s">
        <v>7927</v>
      </c>
      <c r="C297" t="s">
        <v>15143</v>
      </c>
      <c r="D297" t="s">
        <v>16196</v>
      </c>
      <c r="E297" t="s">
        <v>16218</v>
      </c>
      <c r="F297" t="s">
        <v>16221</v>
      </c>
      <c r="G297" t="s">
        <v>16236</v>
      </c>
      <c r="H297" t="s">
        <v>16241</v>
      </c>
      <c r="I297" t="s">
        <v>16313</v>
      </c>
      <c r="J297" t="s">
        <v>16385</v>
      </c>
      <c r="K297">
        <v>0.22</v>
      </c>
      <c r="L297">
        <v>9596</v>
      </c>
      <c r="M297">
        <v>2275</v>
      </c>
      <c r="N297" t="s">
        <v>16393</v>
      </c>
      <c r="O297" s="4">
        <v>29656</v>
      </c>
      <c r="P297" s="4">
        <v>125435</v>
      </c>
      <c r="Q297" s="4">
        <v>155091</v>
      </c>
      <c r="R297" s="4">
        <v>465273</v>
      </c>
      <c r="S297" t="s">
        <v>16678</v>
      </c>
      <c r="T297" s="6">
        <v>44256</v>
      </c>
      <c r="U297" s="4">
        <v>385000</v>
      </c>
      <c r="V297" t="s">
        <v>23739</v>
      </c>
      <c r="W297" t="s">
        <v>16678</v>
      </c>
      <c r="X297" t="s">
        <v>3</v>
      </c>
      <c r="AA297" s="5" t="str">
        <f>HYPERLINK("https://www.zillow.com/homes/213-BISCAYNE-ST-BLOOMINGDALE-IL-601083300_rb/","check listing")</f>
        <v>check listing</v>
      </c>
      <c r="AB297" s="5" t="str">
        <f>HYPERLINK("https://propertylookup.dupagecounty.gov/Datalets/Datalet.aspx?UseSearch=no&amp;mode=sales&amp;pin=0208302001","sales record")</f>
        <v>sales record</v>
      </c>
      <c r="AC297" t="s">
        <v>3</v>
      </c>
      <c r="AD297">
        <v>41.962901</v>
      </c>
      <c r="AE297">
        <v>-88.12217</v>
      </c>
      <c r="AF297" s="5" t="str">
        <f>HYPERLINK("https://www.google.com/maps/search/?api=1&amp;query=41.962901,-88.12217","map")</f>
        <v>map</v>
      </c>
    </row>
    <row r="298" spans="1:32">
      <c r="A298" t="s">
        <v>348</v>
      </c>
      <c r="B298" t="s">
        <v>7928</v>
      </c>
      <c r="C298" t="s">
        <v>15118</v>
      </c>
      <c r="D298" t="s">
        <v>16196</v>
      </c>
      <c r="E298" t="s">
        <v>16218</v>
      </c>
      <c r="F298" t="s">
        <v>16221</v>
      </c>
      <c r="G298" t="s">
        <v>16235</v>
      </c>
      <c r="H298" t="s">
        <v>16241</v>
      </c>
      <c r="I298" t="s">
        <v>16313</v>
      </c>
      <c r="J298" t="s">
        <v>16385</v>
      </c>
      <c r="K298">
        <v>0.219</v>
      </c>
      <c r="L298">
        <v>9556</v>
      </c>
      <c r="M298">
        <v>2374</v>
      </c>
      <c r="N298" t="s">
        <v>16393</v>
      </c>
      <c r="O298" s="4">
        <v>40342</v>
      </c>
      <c r="P298" s="4">
        <v>75847</v>
      </c>
      <c r="Q298" s="4">
        <v>116189</v>
      </c>
      <c r="R298" s="4">
        <v>348567</v>
      </c>
      <c r="S298" t="s">
        <v>16679</v>
      </c>
      <c r="T298" s="6">
        <v>36312</v>
      </c>
      <c r="U298" s="4">
        <v>227000</v>
      </c>
      <c r="X298" t="s">
        <v>3</v>
      </c>
      <c r="AA298" s="5" t="str">
        <f>HYPERLINK("https://www.zillow.com/homes/182-HINGHAM-LN-BLOOMINGDALE-IL-60108_rb/","check listing")</f>
        <v>check listing</v>
      </c>
      <c r="AB298" s="5" t="str">
        <f>HYPERLINK("https://propertylookup.dupagecounty.gov/Datalets/Datalet.aspx?UseSearch=no&amp;mode=sales&amp;pin=0215411008","sales record")</f>
        <v>sales record</v>
      </c>
      <c r="AC298" t="s">
        <v>3</v>
      </c>
      <c r="AD298">
        <v>41.952394</v>
      </c>
      <c r="AE298">
        <v>-88.074376</v>
      </c>
      <c r="AF298" s="5" t="str">
        <f>HYPERLINK("https://www.google.com/maps/search/?api=1&amp;query=41.952394,-88.074376","map")</f>
        <v>map</v>
      </c>
    </row>
    <row r="299" spans="1:32">
      <c r="A299" t="s">
        <v>349</v>
      </c>
      <c r="B299" t="s">
        <v>7929</v>
      </c>
      <c r="C299" t="s">
        <v>15118</v>
      </c>
      <c r="D299" t="s">
        <v>16196</v>
      </c>
      <c r="E299" t="s">
        <v>16218</v>
      </c>
      <c r="F299" t="s">
        <v>16221</v>
      </c>
      <c r="G299" t="s">
        <v>16235</v>
      </c>
      <c r="H299" t="s">
        <v>16241</v>
      </c>
      <c r="I299" t="s">
        <v>16313</v>
      </c>
      <c r="J299" t="s">
        <v>16385</v>
      </c>
      <c r="K299">
        <v>0.219</v>
      </c>
      <c r="L299">
        <v>9552</v>
      </c>
      <c r="M299">
        <v>2411</v>
      </c>
      <c r="N299" t="s">
        <v>16393</v>
      </c>
      <c r="O299" s="4">
        <v>40342</v>
      </c>
      <c r="P299" s="4">
        <v>108582</v>
      </c>
      <c r="Q299" s="4">
        <v>148924</v>
      </c>
      <c r="R299" s="4">
        <v>446772</v>
      </c>
      <c r="S299" t="s">
        <v>16680</v>
      </c>
      <c r="T299" s="6">
        <v>45441</v>
      </c>
      <c r="U299" s="4">
        <v>508000</v>
      </c>
      <c r="V299" t="s">
        <v>23739</v>
      </c>
      <c r="W299" t="s">
        <v>23875</v>
      </c>
      <c r="X299" t="s">
        <v>3</v>
      </c>
      <c r="AA299" s="5" t="str">
        <f>HYPERLINK("https://www.zillow.com/homes/160-CAMBRIDGE-LN-BLOOMINGDALE-IL-60108_rb/","check listing")</f>
        <v>check listing</v>
      </c>
      <c r="AB299" s="5" t="str">
        <f>HYPERLINK("https://propertylookup.dupagecounty.gov/Datalets/Datalet.aspx?UseSearch=no&amp;mode=sales&amp;pin=0215402021","sales record")</f>
        <v>sales record</v>
      </c>
      <c r="AC299" t="s">
        <v>27873</v>
      </c>
      <c r="AD299">
        <v>41.952244</v>
      </c>
      <c r="AE299">
        <v>-88.07792600000001</v>
      </c>
      <c r="AF299" s="5" t="str">
        <f>HYPERLINK("https://www.google.com/maps/search/?api=1&amp;query=41.952244,-88.077926","map")</f>
        <v>map</v>
      </c>
    </row>
    <row r="300" spans="1:32">
      <c r="A300" t="s">
        <v>350</v>
      </c>
      <c r="B300" t="s">
        <v>7930</v>
      </c>
      <c r="C300" t="s">
        <v>15118</v>
      </c>
      <c r="D300" t="s">
        <v>16196</v>
      </c>
      <c r="E300" t="s">
        <v>16218</v>
      </c>
      <c r="F300" t="s">
        <v>16221</v>
      </c>
      <c r="G300" t="s">
        <v>16235</v>
      </c>
      <c r="H300" t="s">
        <v>16241</v>
      </c>
      <c r="I300" t="s">
        <v>16313</v>
      </c>
      <c r="J300" t="s">
        <v>16385</v>
      </c>
      <c r="K300">
        <v>0.219</v>
      </c>
      <c r="L300">
        <v>9528</v>
      </c>
      <c r="M300">
        <v>2237</v>
      </c>
      <c r="N300" t="s">
        <v>16393</v>
      </c>
      <c r="O300" s="4">
        <v>40342</v>
      </c>
      <c r="P300" s="4">
        <v>104744</v>
      </c>
      <c r="Q300" s="4">
        <v>145086</v>
      </c>
      <c r="R300" s="4">
        <v>435258</v>
      </c>
      <c r="S300" t="s">
        <v>16681</v>
      </c>
      <c r="T300" s="6">
        <v>36739</v>
      </c>
      <c r="U300" s="4">
        <v>227000</v>
      </c>
      <c r="V300" t="s">
        <v>23739</v>
      </c>
      <c r="W300" t="s">
        <v>23876</v>
      </c>
      <c r="X300" t="s">
        <v>3</v>
      </c>
      <c r="AA300" s="5" t="str">
        <f>HYPERLINK("https://www.zillow.com/homes/167-BRAINTREE-DR-BLOOMINGDALE-IL-60108_rb/","check listing")</f>
        <v>check listing</v>
      </c>
      <c r="AB300" s="5" t="str">
        <f>HYPERLINK("https://propertylookup.dupagecounty.gov/Datalets/Datalet.aspx?UseSearch=no&amp;mode=sales&amp;pin=0215411018","sales record")</f>
        <v>sales record</v>
      </c>
      <c r="AC300" t="s">
        <v>27873</v>
      </c>
      <c r="AD300">
        <v>41.951679</v>
      </c>
      <c r="AE300">
        <v>-88.07574099999999</v>
      </c>
      <c r="AF300" s="5" t="str">
        <f>HYPERLINK("https://www.google.com/maps/search/?api=1&amp;query=41.951679,-88.075741","map")</f>
        <v>map</v>
      </c>
    </row>
    <row r="301" spans="1:32">
      <c r="A301" t="s">
        <v>351</v>
      </c>
      <c r="B301" t="s">
        <v>7931</v>
      </c>
      <c r="C301" t="s">
        <v>15118</v>
      </c>
      <c r="D301" t="s">
        <v>16196</v>
      </c>
      <c r="E301" t="s">
        <v>16218</v>
      </c>
      <c r="F301" t="s">
        <v>16221</v>
      </c>
      <c r="G301" t="s">
        <v>16235</v>
      </c>
      <c r="H301" t="s">
        <v>16241</v>
      </c>
      <c r="I301" t="s">
        <v>16313</v>
      </c>
      <c r="J301" t="s">
        <v>16385</v>
      </c>
      <c r="K301">
        <v>0.218</v>
      </c>
      <c r="L301">
        <v>9489</v>
      </c>
      <c r="M301">
        <v>2020</v>
      </c>
      <c r="N301" t="s">
        <v>16393</v>
      </c>
      <c r="O301" s="4">
        <v>40342</v>
      </c>
      <c r="P301" s="4">
        <v>121730</v>
      </c>
      <c r="Q301" s="4">
        <v>162072</v>
      </c>
      <c r="R301" s="4">
        <v>486216</v>
      </c>
      <c r="S301" t="s">
        <v>16682</v>
      </c>
      <c r="T301" s="6">
        <v>32234</v>
      </c>
      <c r="U301" s="4">
        <v>155000</v>
      </c>
      <c r="X301" t="s">
        <v>3</v>
      </c>
      <c r="AA301" s="5" t="str">
        <f>HYPERLINK("https://www.zillow.com/homes/153-BRAINTREE-DR-BLOOMINGDALE-IL-60108_rb/","check listing")</f>
        <v>check listing</v>
      </c>
      <c r="AB301" s="5" t="str">
        <f>HYPERLINK("https://propertylookup.dupagecounty.gov/Datalets/Datalet.aspx?UseSearch=no&amp;mode=sales&amp;pin=0215411011","sales record")</f>
        <v>sales record</v>
      </c>
      <c r="AC301" t="s">
        <v>27873</v>
      </c>
      <c r="AD301">
        <v>41.952753</v>
      </c>
      <c r="AE301">
        <v>-88.07589299999999</v>
      </c>
      <c r="AF301" s="5" t="str">
        <f>HYPERLINK("https://www.google.com/maps/search/?api=1&amp;query=41.952753,-88.075893","map")</f>
        <v>map</v>
      </c>
    </row>
    <row r="302" spans="1:32">
      <c r="A302" t="s">
        <v>352</v>
      </c>
      <c r="B302" t="s">
        <v>7932</v>
      </c>
      <c r="C302" t="s">
        <v>15118</v>
      </c>
      <c r="D302" t="s">
        <v>16196</v>
      </c>
      <c r="E302" t="s">
        <v>16218</v>
      </c>
      <c r="F302" t="s">
        <v>16221</v>
      </c>
      <c r="G302" t="s">
        <v>16235</v>
      </c>
      <c r="H302" t="s">
        <v>16241</v>
      </c>
      <c r="I302" t="s">
        <v>16313</v>
      </c>
      <c r="J302" t="s">
        <v>16385</v>
      </c>
      <c r="K302">
        <v>0.217</v>
      </c>
      <c r="L302">
        <v>9458</v>
      </c>
      <c r="M302">
        <v>3562</v>
      </c>
      <c r="N302" t="s">
        <v>16393</v>
      </c>
      <c r="O302" s="4">
        <v>40342</v>
      </c>
      <c r="P302" s="4">
        <v>145851</v>
      </c>
      <c r="Q302" s="4">
        <v>186193</v>
      </c>
      <c r="R302" s="4">
        <v>558579</v>
      </c>
      <c r="S302" t="s">
        <v>16683</v>
      </c>
      <c r="T302" s="6">
        <v>29434</v>
      </c>
      <c r="U302" s="4">
        <v>77000</v>
      </c>
      <c r="X302" t="s">
        <v>3</v>
      </c>
      <c r="AA302" s="5" t="str">
        <f>HYPERLINK("https://www.zillow.com/homes/160-E-SCHICK-RD-BLOOMINGDALE-IL-60108_rb/","check listing")</f>
        <v>check listing</v>
      </c>
      <c r="AB302" s="5" t="str">
        <f>HYPERLINK("https://propertylookup.dupagecounty.gov/Datalets/Datalet.aspx?UseSearch=no&amp;mode=sales&amp;pin=0215410005","sales record")</f>
        <v>sales record</v>
      </c>
      <c r="AC302" t="s">
        <v>3</v>
      </c>
      <c r="AD302">
        <v>41.953764</v>
      </c>
      <c r="AE302">
        <v>-88.074671</v>
      </c>
      <c r="AF302" s="5" t="str">
        <f>HYPERLINK("https://www.google.com/maps/search/?api=1&amp;query=41.953764,-88.074671","map")</f>
        <v>map</v>
      </c>
    </row>
    <row r="303" spans="1:32">
      <c r="A303" t="s">
        <v>353</v>
      </c>
      <c r="B303" t="s">
        <v>7933</v>
      </c>
      <c r="C303" t="s">
        <v>15142</v>
      </c>
      <c r="D303" t="s">
        <v>16196</v>
      </c>
      <c r="E303" t="s">
        <v>16218</v>
      </c>
      <c r="F303" t="s">
        <v>16221</v>
      </c>
      <c r="G303" t="s">
        <v>16236</v>
      </c>
      <c r="H303" t="s">
        <v>16241</v>
      </c>
      <c r="I303" t="s">
        <v>16313</v>
      </c>
      <c r="J303" t="s">
        <v>16385</v>
      </c>
      <c r="K303">
        <v>0.217</v>
      </c>
      <c r="L303">
        <v>9449</v>
      </c>
      <c r="M303">
        <v>1995</v>
      </c>
      <c r="N303" t="s">
        <v>16393</v>
      </c>
      <c r="O303" s="4">
        <v>29656</v>
      </c>
      <c r="P303" s="4">
        <v>133229</v>
      </c>
      <c r="Q303" s="4">
        <v>162885</v>
      </c>
      <c r="R303" s="4">
        <v>488655</v>
      </c>
      <c r="S303" t="s">
        <v>16684</v>
      </c>
      <c r="T303" s="6">
        <v>45410</v>
      </c>
      <c r="U303" s="4">
        <v>535000</v>
      </c>
      <c r="V303" t="s">
        <v>23739</v>
      </c>
      <c r="W303" t="s">
        <v>23877</v>
      </c>
      <c r="X303" t="s">
        <v>3</v>
      </c>
      <c r="AA303" s="5" t="str">
        <f>HYPERLINK("https://www.zillow.com/homes/214-BISCAYNE-CT-BLOOMINGDALE-IL-601083304_rb/","check listing")</f>
        <v>check listing</v>
      </c>
      <c r="AB303" s="5" t="str">
        <f>HYPERLINK("https://propertylookup.dupagecounty.gov/Datalets/Datalet.aspx?UseSearch=no&amp;mode=sales&amp;pin=0208303036","sales record")</f>
        <v>sales record</v>
      </c>
      <c r="AC303" t="s">
        <v>3</v>
      </c>
      <c r="AD303">
        <v>41.962303</v>
      </c>
      <c r="AE303">
        <v>-88.122529</v>
      </c>
      <c r="AF303" s="5" t="str">
        <f>HYPERLINK("https://www.google.com/maps/search/?api=1&amp;query=41.962303,-88.122529","map")</f>
        <v>map</v>
      </c>
    </row>
    <row r="304" spans="1:32">
      <c r="A304" t="s">
        <v>354</v>
      </c>
      <c r="B304" t="s">
        <v>7934</v>
      </c>
      <c r="C304" t="s">
        <v>15118</v>
      </c>
      <c r="D304" t="s">
        <v>16196</v>
      </c>
      <c r="E304" t="s">
        <v>16218</v>
      </c>
      <c r="F304" t="s">
        <v>16221</v>
      </c>
      <c r="G304" t="s">
        <v>16235</v>
      </c>
      <c r="H304" t="s">
        <v>16241</v>
      </c>
      <c r="I304" t="s">
        <v>16313</v>
      </c>
      <c r="J304" t="s">
        <v>16385</v>
      </c>
      <c r="K304">
        <v>0.216</v>
      </c>
      <c r="L304">
        <v>9421</v>
      </c>
      <c r="M304">
        <v>1995</v>
      </c>
      <c r="N304" t="s">
        <v>16393</v>
      </c>
      <c r="O304" s="4">
        <v>40342</v>
      </c>
      <c r="P304" s="4">
        <v>104744</v>
      </c>
      <c r="Q304" s="4">
        <v>145086</v>
      </c>
      <c r="R304" s="4">
        <v>435258</v>
      </c>
      <c r="S304" t="s">
        <v>16685</v>
      </c>
      <c r="T304" s="6">
        <v>36465</v>
      </c>
      <c r="U304" s="4">
        <v>218000</v>
      </c>
      <c r="X304" t="s">
        <v>3</v>
      </c>
      <c r="AA304" s="5" t="str">
        <f>HYPERLINK("https://www.zillow.com/homes/172-SALEM-CT-BLOOMINGDALE-IL-60108_rb/","check listing")</f>
        <v>check listing</v>
      </c>
      <c r="AB304" s="5" t="str">
        <f>HYPERLINK("https://propertylookup.dupagecounty.gov/Datalets/Datalet.aspx?UseSearch=no&amp;mode=sales&amp;pin=0215412014","sales record")</f>
        <v>sales record</v>
      </c>
      <c r="AC304" t="s">
        <v>3</v>
      </c>
      <c r="AD304">
        <v>41.950142</v>
      </c>
      <c r="AE304">
        <v>-88.074533</v>
      </c>
      <c r="AF304" s="5" t="str">
        <f>HYPERLINK("https://www.google.com/maps/search/?api=1&amp;query=41.950142,-88.074533","map")</f>
        <v>map</v>
      </c>
    </row>
    <row r="305" spans="1:32">
      <c r="A305" t="s">
        <v>355</v>
      </c>
      <c r="B305" t="s">
        <v>7935</v>
      </c>
      <c r="C305" t="s">
        <v>15118</v>
      </c>
      <c r="D305" t="s">
        <v>16196</v>
      </c>
      <c r="E305" t="s">
        <v>16218</v>
      </c>
      <c r="F305" t="s">
        <v>16221</v>
      </c>
      <c r="G305" t="s">
        <v>16235</v>
      </c>
      <c r="H305" t="s">
        <v>16241</v>
      </c>
      <c r="I305" t="s">
        <v>16313</v>
      </c>
      <c r="J305" t="s">
        <v>16385</v>
      </c>
      <c r="K305">
        <v>0.216</v>
      </c>
      <c r="L305">
        <v>9413</v>
      </c>
      <c r="M305">
        <v>2375</v>
      </c>
      <c r="N305" t="s">
        <v>16393</v>
      </c>
      <c r="O305" s="4">
        <v>40342</v>
      </c>
      <c r="P305" s="4">
        <v>91691</v>
      </c>
      <c r="Q305" s="4">
        <v>132033</v>
      </c>
      <c r="R305" s="4">
        <v>396099</v>
      </c>
      <c r="S305" t="s">
        <v>16686</v>
      </c>
      <c r="T305" s="6">
        <v>36192</v>
      </c>
      <c r="U305" s="4">
        <v>207000</v>
      </c>
      <c r="X305" t="s">
        <v>3</v>
      </c>
      <c r="AA305" s="5" t="str">
        <f>HYPERLINK("https://www.zillow.com/homes/143-HINGHAM-LN-BLOOMINGDALE-IL-60108_rb/","check listing")</f>
        <v>check listing</v>
      </c>
      <c r="AB305" s="5" t="str">
        <f>HYPERLINK("https://propertylookup.dupagecounty.gov/Datalets/Datalet.aspx?UseSearch=no&amp;mode=sales&amp;pin=0215408009","sales record")</f>
        <v>sales record</v>
      </c>
      <c r="AC305" t="s">
        <v>3</v>
      </c>
      <c r="AD305">
        <v>41.953609</v>
      </c>
      <c r="AE305">
        <v>-88.07690599999999</v>
      </c>
      <c r="AF305" s="5" t="str">
        <f>HYPERLINK("https://www.google.com/maps/search/?api=1&amp;query=41.953609,-88.076906","map")</f>
        <v>map</v>
      </c>
    </row>
    <row r="306" spans="1:32">
      <c r="A306" t="s">
        <v>356</v>
      </c>
      <c r="B306" t="s">
        <v>7936</v>
      </c>
      <c r="C306" t="s">
        <v>15144</v>
      </c>
      <c r="D306" t="s">
        <v>16196</v>
      </c>
      <c r="E306" t="s">
        <v>16218</v>
      </c>
      <c r="F306" t="s">
        <v>16221</v>
      </c>
      <c r="G306" t="s">
        <v>16236</v>
      </c>
      <c r="H306" t="s">
        <v>16241</v>
      </c>
      <c r="I306" t="s">
        <v>16313</v>
      </c>
      <c r="J306" t="s">
        <v>16385</v>
      </c>
      <c r="K306">
        <v>0.216</v>
      </c>
      <c r="L306">
        <v>9404</v>
      </c>
      <c r="M306">
        <v>2475</v>
      </c>
      <c r="N306" t="s">
        <v>16393</v>
      </c>
      <c r="O306" s="4">
        <v>29656</v>
      </c>
      <c r="P306" s="4">
        <v>120236</v>
      </c>
      <c r="Q306" s="4">
        <v>149892</v>
      </c>
      <c r="R306" s="4">
        <v>449676</v>
      </c>
      <c r="S306" t="s">
        <v>16687</v>
      </c>
      <c r="T306" s="6">
        <v>46073</v>
      </c>
      <c r="U306" s="4">
        <v>549700</v>
      </c>
      <c r="V306" t="s">
        <v>23739</v>
      </c>
      <c r="W306" t="s">
        <v>23878</v>
      </c>
      <c r="X306" t="s">
        <v>3</v>
      </c>
      <c r="AA306" s="5" t="str">
        <f>HYPERLINK("https://www.zillow.com/homes/274-BISCAYNE-ST-BLOOMINGDALE-IL-601083312_rb/","check listing")</f>
        <v>check listing</v>
      </c>
      <c r="AB306" s="5" t="str">
        <f>HYPERLINK("https://propertylookup.dupagecounty.gov/Datalets/Datalet.aspx?UseSearch=no&amp;mode=sales&amp;pin=0208302016","sales record")</f>
        <v>sales record</v>
      </c>
      <c r="AC306" t="s">
        <v>3</v>
      </c>
      <c r="AD306">
        <v>41.963881</v>
      </c>
      <c r="AE306">
        <v>-88.120842</v>
      </c>
      <c r="AF306" s="5" t="str">
        <f>HYPERLINK("https://www.google.com/maps/search/?api=1&amp;query=41.963881,-88.120842","map")</f>
        <v>map</v>
      </c>
    </row>
    <row r="307" spans="1:32">
      <c r="A307" t="s">
        <v>357</v>
      </c>
      <c r="B307" t="s">
        <v>7937</v>
      </c>
      <c r="C307" t="s">
        <v>15118</v>
      </c>
      <c r="D307" t="s">
        <v>16196</v>
      </c>
      <c r="E307" t="s">
        <v>16218</v>
      </c>
      <c r="F307" t="s">
        <v>16221</v>
      </c>
      <c r="G307" t="s">
        <v>16235</v>
      </c>
      <c r="H307" t="s">
        <v>16241</v>
      </c>
      <c r="I307" t="s">
        <v>16313</v>
      </c>
      <c r="J307" t="s">
        <v>16385</v>
      </c>
      <c r="K307">
        <v>0.215</v>
      </c>
      <c r="L307">
        <v>9386</v>
      </c>
      <c r="M307">
        <v>2298</v>
      </c>
      <c r="N307" t="s">
        <v>16393</v>
      </c>
      <c r="O307" s="4">
        <v>40342</v>
      </c>
      <c r="P307" s="4">
        <v>95709</v>
      </c>
      <c r="Q307" s="4">
        <v>136051</v>
      </c>
      <c r="R307" s="4">
        <v>408153</v>
      </c>
      <c r="S307" t="s">
        <v>16688</v>
      </c>
      <c r="X307" t="s">
        <v>3</v>
      </c>
      <c r="AA307" s="5" t="str">
        <f>HYPERLINK("https://www.zillow.com/homes/153-CAMBRIDGE-LN-BLOOMINGDALE-IL-60108_rb/","check listing")</f>
        <v>check listing</v>
      </c>
      <c r="AB307" s="5" t="str">
        <f>HYPERLINK("https://propertylookup.dupagecounty.gov/Datalets/Datalet.aspx?UseSearch=no&amp;mode=sales&amp;pin=0215409005","sales record")</f>
        <v>sales record</v>
      </c>
      <c r="AC307" t="s">
        <v>27873</v>
      </c>
      <c r="AD307">
        <v>41.95291</v>
      </c>
      <c r="AE307">
        <v>-88.07728299999999</v>
      </c>
      <c r="AF307" s="5" t="str">
        <f>HYPERLINK("https://www.google.com/maps/search/?api=1&amp;query=41.95291,-88.077283","map")</f>
        <v>map</v>
      </c>
    </row>
    <row r="308" spans="1:32">
      <c r="A308" t="s">
        <v>358</v>
      </c>
      <c r="B308" t="s">
        <v>7938</v>
      </c>
      <c r="C308" t="s">
        <v>15145</v>
      </c>
      <c r="D308" t="s">
        <v>16196</v>
      </c>
      <c r="E308" t="s">
        <v>16218</v>
      </c>
      <c r="F308" t="s">
        <v>16221</v>
      </c>
      <c r="G308" t="s">
        <v>16235</v>
      </c>
      <c r="H308" t="s">
        <v>16241</v>
      </c>
      <c r="I308" t="s">
        <v>16313</v>
      </c>
      <c r="J308" t="s">
        <v>16385</v>
      </c>
      <c r="K308">
        <v>0.213</v>
      </c>
      <c r="L308">
        <v>9293</v>
      </c>
      <c r="M308">
        <v>2541</v>
      </c>
      <c r="N308" t="s">
        <v>16393</v>
      </c>
      <c r="O308" s="4">
        <v>40342</v>
      </c>
      <c r="P308" s="4">
        <v>123284</v>
      </c>
      <c r="Q308" s="4">
        <v>163626</v>
      </c>
      <c r="R308" s="4">
        <v>490878</v>
      </c>
      <c r="S308" t="s">
        <v>16689</v>
      </c>
      <c r="T308" s="6">
        <v>34182</v>
      </c>
      <c r="U308" s="4">
        <v>186000</v>
      </c>
      <c r="X308" t="s">
        <v>3</v>
      </c>
      <c r="AA308" s="5" t="str">
        <f>HYPERLINK("https://www.zillow.com/homes/161-BRAINTREE-DR-BLOOMINGDALE-IL-601081532_rb/","check listing")</f>
        <v>check listing</v>
      </c>
      <c r="AB308" s="5" t="str">
        <f>HYPERLINK("https://propertylookup.dupagecounty.gov/Datalets/Datalet.aspx?UseSearch=no&amp;mode=sales&amp;pin=0215411015","sales record")</f>
        <v>sales record</v>
      </c>
      <c r="AC308" t="s">
        <v>3</v>
      </c>
      <c r="AD308">
        <v>41.9521</v>
      </c>
      <c r="AE308">
        <v>-88.075985</v>
      </c>
      <c r="AF308" s="5" t="str">
        <f>HYPERLINK("https://www.google.com/maps/search/?api=1&amp;query=41.9521,-88.075985","map")</f>
        <v>map</v>
      </c>
    </row>
    <row r="309" spans="1:32">
      <c r="A309" t="s">
        <v>359</v>
      </c>
      <c r="B309" t="s">
        <v>7939</v>
      </c>
      <c r="C309" t="s">
        <v>15134</v>
      </c>
      <c r="D309" t="s">
        <v>16196</v>
      </c>
      <c r="E309" t="s">
        <v>16218</v>
      </c>
      <c r="F309" t="s">
        <v>16221</v>
      </c>
      <c r="G309" t="s">
        <v>16235</v>
      </c>
      <c r="H309" t="s">
        <v>16241</v>
      </c>
      <c r="I309" t="s">
        <v>16313</v>
      </c>
      <c r="J309" t="s">
        <v>16385</v>
      </c>
      <c r="K309">
        <v>0.213</v>
      </c>
      <c r="L309">
        <v>9280</v>
      </c>
      <c r="M309">
        <v>2805</v>
      </c>
      <c r="N309" t="s">
        <v>16393</v>
      </c>
      <c r="O309" s="4">
        <v>40342</v>
      </c>
      <c r="P309" s="4">
        <v>102784</v>
      </c>
      <c r="Q309" s="4">
        <v>143126</v>
      </c>
      <c r="R309" s="4">
        <v>429378</v>
      </c>
      <c r="S309" t="s">
        <v>16690</v>
      </c>
      <c r="T309" s="6">
        <v>44287</v>
      </c>
      <c r="U309" s="4">
        <v>426500</v>
      </c>
      <c r="V309" t="s">
        <v>23739</v>
      </c>
      <c r="W309" t="s">
        <v>23879</v>
      </c>
      <c r="X309" t="s">
        <v>3</v>
      </c>
      <c r="AA309" s="5" t="str">
        <f>HYPERLINK("https://www.zillow.com/homes/172-HINGHAM-LN-BLOOMINGDALE-IL-601081527_rb/","check listing")</f>
        <v>check listing</v>
      </c>
      <c r="AB309" s="5" t="str">
        <f>HYPERLINK("https://propertylookup.dupagecounty.gov/Datalets/Datalet.aspx?UseSearch=no&amp;mode=sales&amp;pin=0215411006","sales record")</f>
        <v>sales record</v>
      </c>
      <c r="AC309" t="s">
        <v>3</v>
      </c>
      <c r="AD309">
        <v>41.952641</v>
      </c>
      <c r="AE309">
        <v>-88.074731</v>
      </c>
      <c r="AF309" s="5" t="str">
        <f>HYPERLINK("https://www.google.com/maps/search/?api=1&amp;query=41.952641,-88.074731","map")</f>
        <v>map</v>
      </c>
    </row>
    <row r="310" spans="1:32">
      <c r="A310" t="s">
        <v>360</v>
      </c>
      <c r="B310" t="s">
        <v>7940</v>
      </c>
      <c r="C310" t="s">
        <v>15146</v>
      </c>
      <c r="D310" t="s">
        <v>16196</v>
      </c>
      <c r="E310" t="s">
        <v>16218</v>
      </c>
      <c r="F310" t="s">
        <v>16221</v>
      </c>
      <c r="G310" t="s">
        <v>16235</v>
      </c>
      <c r="H310" t="s">
        <v>16241</v>
      </c>
      <c r="I310" t="s">
        <v>16313</v>
      </c>
      <c r="J310" t="s">
        <v>16385</v>
      </c>
      <c r="K310">
        <v>0.212</v>
      </c>
      <c r="L310">
        <v>9252</v>
      </c>
      <c r="M310">
        <v>1979</v>
      </c>
      <c r="N310" t="s">
        <v>16393</v>
      </c>
      <c r="O310" s="4">
        <v>40342</v>
      </c>
      <c r="P310" s="4">
        <v>104744</v>
      </c>
      <c r="Q310" s="4">
        <v>145086</v>
      </c>
      <c r="R310" s="4">
        <v>435258</v>
      </c>
      <c r="S310" t="s">
        <v>16691</v>
      </c>
      <c r="T310" s="6">
        <v>42552</v>
      </c>
      <c r="U310" s="4">
        <v>271500</v>
      </c>
      <c r="V310" t="s">
        <v>23739</v>
      </c>
      <c r="W310" t="s">
        <v>16691</v>
      </c>
      <c r="X310" t="s">
        <v>3</v>
      </c>
      <c r="AA310" s="5" t="str">
        <f>HYPERLINK("https://www.zillow.com/homes/148-HINGHAM-LN-BLOOMINGDALE-IL-601081526_rb/","check listing")</f>
        <v>check listing</v>
      </c>
      <c r="AB310" s="5" t="str">
        <f>HYPERLINK("https://propertylookup.dupagecounty.gov/Datalets/Datalet.aspx?UseSearch=no&amp;mode=sales&amp;pin=0215409004","sales record")</f>
        <v>sales record</v>
      </c>
      <c r="AC310" t="s">
        <v>3</v>
      </c>
      <c r="AD310">
        <v>41.953098</v>
      </c>
      <c r="AE310">
        <v>-88.076488</v>
      </c>
      <c r="AF310" s="5" t="str">
        <f>HYPERLINK("https://www.google.com/maps/search/?api=1&amp;query=41.953098,-88.076488","map")</f>
        <v>map</v>
      </c>
    </row>
    <row r="311" spans="1:32">
      <c r="A311" t="s">
        <v>361</v>
      </c>
      <c r="B311" t="s">
        <v>7941</v>
      </c>
      <c r="C311" t="s">
        <v>15118</v>
      </c>
      <c r="D311" t="s">
        <v>16196</v>
      </c>
      <c r="E311" t="s">
        <v>16218</v>
      </c>
      <c r="F311" t="s">
        <v>16221</v>
      </c>
      <c r="G311" t="s">
        <v>16236</v>
      </c>
      <c r="H311" t="s">
        <v>16241</v>
      </c>
      <c r="I311" t="s">
        <v>16313</v>
      </c>
      <c r="J311" t="s">
        <v>16385</v>
      </c>
      <c r="K311">
        <v>0.212</v>
      </c>
      <c r="L311">
        <v>9225</v>
      </c>
      <c r="M311">
        <v>2252</v>
      </c>
      <c r="N311" t="s">
        <v>16393</v>
      </c>
      <c r="O311" s="4">
        <v>29656</v>
      </c>
      <c r="P311" s="4">
        <v>123093</v>
      </c>
      <c r="Q311" s="4">
        <v>152749</v>
      </c>
      <c r="R311" s="4">
        <v>458247</v>
      </c>
      <c r="S311" t="s">
        <v>16692</v>
      </c>
      <c r="T311" s="6">
        <v>38322</v>
      </c>
      <c r="U311" s="4">
        <v>343000</v>
      </c>
      <c r="V311" t="s">
        <v>23739</v>
      </c>
      <c r="W311" t="s">
        <v>16692</v>
      </c>
      <c r="X311" t="s">
        <v>3</v>
      </c>
      <c r="AA311" s="5" t="str">
        <f>HYPERLINK("https://www.zillow.com/homes/317-CHESAPEAKE-LN-BLOOMINGDALE-IL-60108_rb/","check listing")</f>
        <v>check listing</v>
      </c>
      <c r="AB311" s="5" t="str">
        <f>HYPERLINK("https://propertylookup.dupagecounty.gov/Datalets/Datalet.aspx?UseSearch=no&amp;mode=sales&amp;pin=0208303024","sales record")</f>
        <v>sales record</v>
      </c>
      <c r="AC311" t="s">
        <v>3</v>
      </c>
      <c r="AD311">
        <v>41.961962</v>
      </c>
      <c r="AE311">
        <v>-88.12276199999999</v>
      </c>
      <c r="AF311" s="5" t="str">
        <f>HYPERLINK("https://www.google.com/maps/search/?api=1&amp;query=41.961962,-88.122762","map")</f>
        <v>map</v>
      </c>
    </row>
    <row r="312" spans="1:32">
      <c r="A312" t="s">
        <v>362</v>
      </c>
      <c r="B312" t="s">
        <v>7942</v>
      </c>
      <c r="C312" t="s">
        <v>15118</v>
      </c>
      <c r="D312" t="s">
        <v>16196</v>
      </c>
      <c r="E312" t="s">
        <v>16218</v>
      </c>
      <c r="F312" t="s">
        <v>16221</v>
      </c>
      <c r="G312" t="s">
        <v>16235</v>
      </c>
      <c r="H312" t="s">
        <v>16241</v>
      </c>
      <c r="I312" t="s">
        <v>16313</v>
      </c>
      <c r="J312" t="s">
        <v>16385</v>
      </c>
      <c r="K312">
        <v>0.211</v>
      </c>
      <c r="L312">
        <v>9186</v>
      </c>
      <c r="M312">
        <v>2307</v>
      </c>
      <c r="N312" t="s">
        <v>16393</v>
      </c>
      <c r="O312" s="4">
        <v>40342</v>
      </c>
      <c r="P312" s="4">
        <v>91691</v>
      </c>
      <c r="Q312" s="4">
        <v>132033</v>
      </c>
      <c r="R312" s="4">
        <v>396099</v>
      </c>
      <c r="S312" t="s">
        <v>16693</v>
      </c>
      <c r="T312" s="6">
        <v>30742</v>
      </c>
      <c r="U312" s="4">
        <v>85000</v>
      </c>
      <c r="X312" t="s">
        <v>3</v>
      </c>
      <c r="AA312" s="5" t="str">
        <f>HYPERLINK("https://www.zillow.com/homes/191-BRAINTREE-DR-BLOOMINGDALE-IL-60108_rb/","check listing")</f>
        <v>check listing</v>
      </c>
      <c r="AB312" s="5" t="str">
        <f>HYPERLINK("https://propertylookup.dupagecounty.gov/Datalets/Datalet.aspx?UseSearch=no&amp;mode=sales&amp;pin=0215412027","sales record")</f>
        <v>sales record</v>
      </c>
      <c r="AC312" t="s">
        <v>3</v>
      </c>
      <c r="AD312">
        <v>41.94996</v>
      </c>
      <c r="AE312">
        <v>-88.07485</v>
      </c>
      <c r="AF312" s="5" t="str">
        <f>HYPERLINK("https://www.google.com/maps/search/?api=1&amp;query=41.94996,-88.07485","map")</f>
        <v>map</v>
      </c>
    </row>
    <row r="313" spans="1:32">
      <c r="A313" t="s">
        <v>363</v>
      </c>
      <c r="B313" t="s">
        <v>7943</v>
      </c>
      <c r="C313" t="s">
        <v>15118</v>
      </c>
      <c r="D313" t="s">
        <v>16196</v>
      </c>
      <c r="E313" t="s">
        <v>16218</v>
      </c>
      <c r="F313" t="s">
        <v>16221</v>
      </c>
      <c r="G313" t="s">
        <v>16236</v>
      </c>
      <c r="H313" t="s">
        <v>16241</v>
      </c>
      <c r="I313" t="s">
        <v>16313</v>
      </c>
      <c r="J313" t="s">
        <v>16385</v>
      </c>
      <c r="K313">
        <v>0.21</v>
      </c>
      <c r="L313">
        <v>9169</v>
      </c>
      <c r="M313">
        <v>2639</v>
      </c>
      <c r="N313" t="s">
        <v>16393</v>
      </c>
      <c r="O313" s="4">
        <v>29656</v>
      </c>
      <c r="P313" s="4">
        <v>92919</v>
      </c>
      <c r="Q313" s="4">
        <v>122575</v>
      </c>
      <c r="R313" s="4">
        <v>367725</v>
      </c>
      <c r="S313" t="s">
        <v>16694</v>
      </c>
      <c r="T313" s="6">
        <v>35947</v>
      </c>
      <c r="U313" s="4">
        <v>212500</v>
      </c>
      <c r="X313" t="s">
        <v>3</v>
      </c>
      <c r="AA313" s="5" t="str">
        <f>HYPERLINK("https://www.zillow.com/homes/212-FRISCO-ST-BLOOMINGDALE-IL-60108_rb/","check listing")</f>
        <v>check listing</v>
      </c>
      <c r="AB313" s="5" t="str">
        <f>HYPERLINK("https://propertylookup.dupagecounty.gov/Datalets/Datalet.aspx?UseSearch=no&amp;mode=sales&amp;pin=0208303017","sales record")</f>
        <v>sales record</v>
      </c>
      <c r="AC313" t="s">
        <v>3</v>
      </c>
      <c r="AD313">
        <v>41.962359</v>
      </c>
      <c r="AE313">
        <v>-88.12425</v>
      </c>
      <c r="AF313" s="5" t="str">
        <f>HYPERLINK("https://www.google.com/maps/search/?api=1&amp;query=41.962359,-88.12425","map")</f>
        <v>map</v>
      </c>
    </row>
    <row r="314" spans="1:32">
      <c r="A314" t="s">
        <v>364</v>
      </c>
      <c r="B314" t="s">
        <v>7944</v>
      </c>
      <c r="C314" t="s">
        <v>15144</v>
      </c>
      <c r="D314" t="s">
        <v>16196</v>
      </c>
      <c r="E314" t="s">
        <v>16218</v>
      </c>
      <c r="F314" t="s">
        <v>16221</v>
      </c>
      <c r="G314" t="s">
        <v>16236</v>
      </c>
      <c r="H314" t="s">
        <v>16241</v>
      </c>
      <c r="I314" t="s">
        <v>16313</v>
      </c>
      <c r="J314" t="s">
        <v>16385</v>
      </c>
      <c r="K314">
        <v>0.21</v>
      </c>
      <c r="L314">
        <v>9168</v>
      </c>
      <c r="M314">
        <v>2260</v>
      </c>
      <c r="N314" t="s">
        <v>16393</v>
      </c>
      <c r="O314" s="4">
        <v>29656</v>
      </c>
      <c r="P314" s="4">
        <v>132093</v>
      </c>
      <c r="Q314" s="4">
        <v>161749</v>
      </c>
      <c r="R314" s="4">
        <v>485247</v>
      </c>
      <c r="S314" t="s">
        <v>16695</v>
      </c>
      <c r="T314" s="6">
        <v>44287</v>
      </c>
      <c r="U314" s="4">
        <v>410000</v>
      </c>
      <c r="V314" t="s">
        <v>23739</v>
      </c>
      <c r="W314" t="s">
        <v>23880</v>
      </c>
      <c r="X314" t="s">
        <v>3</v>
      </c>
      <c r="AA314" s="5" t="str">
        <f>HYPERLINK("https://www.zillow.com/homes/290-BISCAYNE-ST-BLOOMINGDALE-IL-601083312_rb/","check listing")</f>
        <v>check listing</v>
      </c>
      <c r="AB314" s="5" t="str">
        <f>HYPERLINK("https://propertylookup.dupagecounty.gov/Datalets/Datalet.aspx?UseSearch=no&amp;mode=sales&amp;pin=0208302008","sales record")</f>
        <v>sales record</v>
      </c>
      <c r="AC314" t="s">
        <v>3</v>
      </c>
      <c r="AD314">
        <v>41.963286</v>
      </c>
      <c r="AE314">
        <v>-88.122186</v>
      </c>
      <c r="AF314" s="5" t="str">
        <f>HYPERLINK("https://www.google.com/maps/search/?api=1&amp;query=41.963286,-88.122186","map")</f>
        <v>map</v>
      </c>
    </row>
    <row r="315" spans="1:32">
      <c r="A315" t="s">
        <v>365</v>
      </c>
      <c r="B315" t="s">
        <v>7945</v>
      </c>
      <c r="C315" t="s">
        <v>15118</v>
      </c>
      <c r="D315" t="s">
        <v>16196</v>
      </c>
      <c r="E315" t="s">
        <v>16218</v>
      </c>
      <c r="F315" t="s">
        <v>16221</v>
      </c>
      <c r="G315" t="s">
        <v>16235</v>
      </c>
      <c r="H315" t="s">
        <v>16241</v>
      </c>
      <c r="I315" t="s">
        <v>16313</v>
      </c>
      <c r="J315" t="s">
        <v>16385</v>
      </c>
      <c r="K315">
        <v>0.21</v>
      </c>
      <c r="L315">
        <v>9157</v>
      </c>
      <c r="M315">
        <v>2052</v>
      </c>
      <c r="N315" t="s">
        <v>16393</v>
      </c>
      <c r="O315" s="4">
        <v>40342</v>
      </c>
      <c r="P315" s="4">
        <v>111498</v>
      </c>
      <c r="Q315" s="4">
        <v>151840</v>
      </c>
      <c r="R315" s="4">
        <v>455520</v>
      </c>
      <c r="S315" t="s">
        <v>16696</v>
      </c>
      <c r="T315" s="6">
        <v>39203</v>
      </c>
      <c r="U315" s="4">
        <v>357500</v>
      </c>
      <c r="V315" t="s">
        <v>23739</v>
      </c>
      <c r="W315" t="s">
        <v>23881</v>
      </c>
      <c r="X315" t="s">
        <v>3</v>
      </c>
      <c r="AA315" s="5" t="str">
        <f>HYPERLINK("https://www.zillow.com/homes/163-BRAINTREE-DR-BLOOMINGDALE-IL-60108_rb/","check listing")</f>
        <v>check listing</v>
      </c>
      <c r="AB315" s="5" t="str">
        <f>HYPERLINK("https://propertylookup.dupagecounty.gov/Datalets/Datalet.aspx?UseSearch=no&amp;mode=sales&amp;pin=0215411016","sales record")</f>
        <v>sales record</v>
      </c>
      <c r="AC315" t="s">
        <v>27873</v>
      </c>
      <c r="AD315">
        <v>41.951934</v>
      </c>
      <c r="AE315">
        <v>-88.075971</v>
      </c>
      <c r="AF315" s="5" t="str">
        <f>HYPERLINK("https://www.google.com/maps/search/?api=1&amp;query=41.951934,-88.075971","map")</f>
        <v>map</v>
      </c>
    </row>
    <row r="316" spans="1:32">
      <c r="A316" t="s">
        <v>366</v>
      </c>
      <c r="B316" t="s">
        <v>7946</v>
      </c>
      <c r="C316" t="s">
        <v>15118</v>
      </c>
      <c r="D316" t="s">
        <v>16196</v>
      </c>
      <c r="E316" t="s">
        <v>16218</v>
      </c>
      <c r="F316" t="s">
        <v>16221</v>
      </c>
      <c r="G316" t="s">
        <v>16235</v>
      </c>
      <c r="H316" t="s">
        <v>16241</v>
      </c>
      <c r="I316" t="s">
        <v>16313</v>
      </c>
      <c r="J316" t="s">
        <v>16385</v>
      </c>
      <c r="K316">
        <v>0.21</v>
      </c>
      <c r="L316">
        <v>9150</v>
      </c>
      <c r="M316">
        <v>1948</v>
      </c>
      <c r="N316" t="s">
        <v>16393</v>
      </c>
      <c r="O316" s="4">
        <v>40342</v>
      </c>
      <c r="P316" s="4">
        <v>111498</v>
      </c>
      <c r="Q316" s="4">
        <v>151840</v>
      </c>
      <c r="R316" s="4">
        <v>455520</v>
      </c>
      <c r="S316" t="s">
        <v>16697</v>
      </c>
      <c r="T316" s="6">
        <v>43983</v>
      </c>
      <c r="U316" s="4">
        <v>335000</v>
      </c>
      <c r="V316" t="s">
        <v>23739</v>
      </c>
      <c r="W316" t="s">
        <v>16697</v>
      </c>
      <c r="X316" t="s">
        <v>3</v>
      </c>
      <c r="AA316" s="5" t="str">
        <f>HYPERLINK("https://www.zillow.com/homes/186-FAIRFIELD-WAY-BLOOMINGDALE-IL-60108_rb/","check listing")</f>
        <v>check listing</v>
      </c>
      <c r="AB316" s="5" t="str">
        <f>HYPERLINK("https://propertylookup.dupagecounty.gov/Datalets/Datalet.aspx?UseSearch=no&amp;mode=sales&amp;pin=0215412021","sales record")</f>
        <v>sales record</v>
      </c>
      <c r="AC316" t="s">
        <v>27873</v>
      </c>
      <c r="AD316">
        <v>41.949858</v>
      </c>
      <c r="AE316">
        <v>-88.073249</v>
      </c>
      <c r="AF316" s="5" t="str">
        <f>HYPERLINK("https://www.google.com/maps/search/?api=1&amp;query=41.949858,-88.073249","map")</f>
        <v>map</v>
      </c>
    </row>
    <row r="317" spans="1:32">
      <c r="A317" t="s">
        <v>367</v>
      </c>
      <c r="B317" t="s">
        <v>7947</v>
      </c>
      <c r="C317" t="s">
        <v>15118</v>
      </c>
      <c r="D317" t="s">
        <v>16196</v>
      </c>
      <c r="E317" t="s">
        <v>16218</v>
      </c>
      <c r="F317" t="s">
        <v>16221</v>
      </c>
      <c r="G317" t="s">
        <v>16236</v>
      </c>
      <c r="H317" t="s">
        <v>16241</v>
      </c>
      <c r="I317" t="s">
        <v>16313</v>
      </c>
      <c r="J317" t="s">
        <v>16385</v>
      </c>
      <c r="K317">
        <v>0.21</v>
      </c>
      <c r="L317">
        <v>9138</v>
      </c>
      <c r="M317">
        <v>2358</v>
      </c>
      <c r="N317" t="s">
        <v>16393</v>
      </c>
      <c r="O317" s="4">
        <v>29656</v>
      </c>
      <c r="P317" s="4">
        <v>122447</v>
      </c>
      <c r="Q317" s="4">
        <v>152103</v>
      </c>
      <c r="R317" s="4">
        <v>456309</v>
      </c>
      <c r="S317" t="s">
        <v>16698</v>
      </c>
      <c r="T317" s="6">
        <v>34912</v>
      </c>
      <c r="U317" s="4">
        <v>219140</v>
      </c>
      <c r="X317" t="s">
        <v>3</v>
      </c>
      <c r="AA317" s="5" t="str">
        <f>HYPERLINK("https://www.zillow.com/homes/221-FRISCO-ST-BLOOMINGDALE-IL-60108_rb/","check listing")</f>
        <v>check listing</v>
      </c>
      <c r="AB317" s="5" t="str">
        <f>HYPERLINK("https://propertylookup.dupagecounty.gov/Datalets/Datalet.aspx?UseSearch=no&amp;mode=sales&amp;pin=0208303001","sales record")</f>
        <v>sales record</v>
      </c>
      <c r="AC317" t="s">
        <v>3</v>
      </c>
      <c r="AD317">
        <v>41.962844</v>
      </c>
      <c r="AE317">
        <v>-88.125052</v>
      </c>
      <c r="AF317" s="5" t="str">
        <f>HYPERLINK("https://www.google.com/maps/search/?api=1&amp;query=41.962844,-88.125052","map")</f>
        <v>map</v>
      </c>
    </row>
    <row r="318" spans="1:32">
      <c r="A318" t="s">
        <v>368</v>
      </c>
      <c r="B318" t="s">
        <v>7948</v>
      </c>
      <c r="C318" t="s">
        <v>15118</v>
      </c>
      <c r="D318" t="s">
        <v>16196</v>
      </c>
      <c r="E318" t="s">
        <v>16218</v>
      </c>
      <c r="F318" t="s">
        <v>16221</v>
      </c>
      <c r="G318" t="s">
        <v>16236</v>
      </c>
      <c r="H318" t="s">
        <v>16241</v>
      </c>
      <c r="I318" t="s">
        <v>16313</v>
      </c>
      <c r="J318" t="s">
        <v>16385</v>
      </c>
      <c r="K318">
        <v>0.21</v>
      </c>
      <c r="L318">
        <v>9132</v>
      </c>
      <c r="M318">
        <v>2144</v>
      </c>
      <c r="N318" t="s">
        <v>16393</v>
      </c>
      <c r="O318" s="4">
        <v>29656</v>
      </c>
      <c r="P318" s="4">
        <v>123224</v>
      </c>
      <c r="Q318" s="4">
        <v>152880</v>
      </c>
      <c r="R318" s="4">
        <v>458640</v>
      </c>
      <c r="S318" t="s">
        <v>16699</v>
      </c>
      <c r="T318" s="6">
        <v>35217</v>
      </c>
      <c r="U318" s="4">
        <v>246955</v>
      </c>
      <c r="X318" t="s">
        <v>3</v>
      </c>
      <c r="AA318" s="5" t="str">
        <f>HYPERLINK("https://www.zillow.com/homes/242-BISCAYNE-ST-BLOOMINGDALE-IL-60108_rb/","check listing")</f>
        <v>check listing</v>
      </c>
      <c r="AB318" s="5" t="str">
        <f>HYPERLINK("https://propertylookup.dupagecounty.gov/Datalets/Datalet.aspx?UseSearch=no&amp;mode=sales&amp;pin=0208302033","sales record")</f>
        <v>sales record</v>
      </c>
      <c r="AC318" t="s">
        <v>3</v>
      </c>
      <c r="AD318">
        <v>41.965528</v>
      </c>
      <c r="AE318">
        <v>-88.122529</v>
      </c>
      <c r="AF318" s="5" t="str">
        <f>HYPERLINK("https://www.google.com/maps/search/?api=1&amp;query=41.965528,-88.122529","map")</f>
        <v>map</v>
      </c>
    </row>
    <row r="319" spans="1:32">
      <c r="A319" t="s">
        <v>369</v>
      </c>
      <c r="B319" t="s">
        <v>7949</v>
      </c>
      <c r="C319" t="s">
        <v>15118</v>
      </c>
      <c r="D319" t="s">
        <v>16196</v>
      </c>
      <c r="E319" t="s">
        <v>16218</v>
      </c>
      <c r="F319" t="s">
        <v>16221</v>
      </c>
      <c r="G319" t="s">
        <v>16236</v>
      </c>
      <c r="H319" t="s">
        <v>16241</v>
      </c>
      <c r="I319" t="s">
        <v>16313</v>
      </c>
      <c r="J319" t="s">
        <v>16385</v>
      </c>
      <c r="K319">
        <v>0.209</v>
      </c>
      <c r="L319">
        <v>9111</v>
      </c>
      <c r="M319">
        <v>2423</v>
      </c>
      <c r="N319" t="s">
        <v>16393</v>
      </c>
      <c r="O319" s="4">
        <v>29656</v>
      </c>
      <c r="P319" s="4">
        <v>121466</v>
      </c>
      <c r="Q319" s="4">
        <v>151122</v>
      </c>
      <c r="R319" s="4">
        <v>453366</v>
      </c>
      <c r="S319" t="s">
        <v>16700</v>
      </c>
      <c r="T319" s="6">
        <v>35278</v>
      </c>
      <c r="U319" s="4">
        <v>227510</v>
      </c>
      <c r="X319" t="s">
        <v>3</v>
      </c>
      <c r="AA319" s="5" t="str">
        <f>HYPERLINK("https://www.zillow.com/homes/301-MISSION-CT-BLOOMINGDALE-IL-60108_rb/","check listing")</f>
        <v>check listing</v>
      </c>
      <c r="AB319" s="5" t="str">
        <f>HYPERLINK("https://propertylookup.dupagecounty.gov/Datalets/Datalet.aspx?UseSearch=no&amp;mode=sales&amp;pin=0208303048","sales record")</f>
        <v>sales record</v>
      </c>
      <c r="AC319" t="s">
        <v>3</v>
      </c>
      <c r="AD319">
        <v>41.963723</v>
      </c>
      <c r="AE319">
        <v>-88.122578</v>
      </c>
      <c r="AF319" s="5" t="str">
        <f>HYPERLINK("https://www.google.com/maps/search/?api=1&amp;query=41.963723,-88.122578","map")</f>
        <v>map</v>
      </c>
    </row>
    <row r="320" spans="1:32">
      <c r="A320" t="s">
        <v>370</v>
      </c>
      <c r="B320" t="s">
        <v>7950</v>
      </c>
      <c r="C320" t="s">
        <v>15118</v>
      </c>
      <c r="D320" t="s">
        <v>16196</v>
      </c>
      <c r="E320" t="s">
        <v>16218</v>
      </c>
      <c r="F320" t="s">
        <v>16221</v>
      </c>
      <c r="G320" t="s">
        <v>16235</v>
      </c>
      <c r="H320" t="s">
        <v>16241</v>
      </c>
      <c r="I320" t="s">
        <v>16313</v>
      </c>
      <c r="J320" t="s">
        <v>16385</v>
      </c>
      <c r="K320">
        <v>0.209</v>
      </c>
      <c r="L320">
        <v>9096</v>
      </c>
      <c r="M320">
        <v>2337</v>
      </c>
      <c r="N320" t="s">
        <v>16393</v>
      </c>
      <c r="O320" s="4">
        <v>40342</v>
      </c>
      <c r="P320" s="4">
        <v>95709</v>
      </c>
      <c r="Q320" s="4">
        <v>136051</v>
      </c>
      <c r="R320" s="4">
        <v>408153</v>
      </c>
      <c r="S320" t="s">
        <v>16701</v>
      </c>
      <c r="X320" t="s">
        <v>3</v>
      </c>
      <c r="AA320" s="5" t="str">
        <f>HYPERLINK("https://www.zillow.com/homes/159-HINGHAM-LN-BLOOMINGDALE-IL-60108_rb/","check listing")</f>
        <v>check listing</v>
      </c>
      <c r="AB320" s="5" t="str">
        <f>HYPERLINK("https://propertylookup.dupagecounty.gov/Datalets/Datalet.aspx?UseSearch=no&amp;mode=sales&amp;pin=0215410012","sales record")</f>
        <v>sales record</v>
      </c>
      <c r="AC320" t="s">
        <v>27873</v>
      </c>
      <c r="AD320">
        <v>41.953415</v>
      </c>
      <c r="AE320">
        <v>-88.07529599999999</v>
      </c>
      <c r="AF320" s="5" t="str">
        <f>HYPERLINK("https://www.google.com/maps/search/?api=1&amp;query=41.953415,-88.075296","map")</f>
        <v>map</v>
      </c>
    </row>
    <row r="321" spans="1:32">
      <c r="A321" t="s">
        <v>371</v>
      </c>
      <c r="B321" t="s">
        <v>7951</v>
      </c>
      <c r="C321" t="s">
        <v>15118</v>
      </c>
      <c r="D321" t="s">
        <v>16196</v>
      </c>
      <c r="E321" t="s">
        <v>16218</v>
      </c>
      <c r="F321" t="s">
        <v>16221</v>
      </c>
      <c r="G321" t="s">
        <v>16236</v>
      </c>
      <c r="H321" t="s">
        <v>16241</v>
      </c>
      <c r="I321" t="s">
        <v>16313</v>
      </c>
      <c r="J321" t="s">
        <v>16385</v>
      </c>
      <c r="K321">
        <v>0.209</v>
      </c>
      <c r="L321">
        <v>9089</v>
      </c>
      <c r="M321">
        <v>2322</v>
      </c>
      <c r="N321" t="s">
        <v>16393</v>
      </c>
      <c r="O321" s="4">
        <v>29656</v>
      </c>
      <c r="P321" s="4">
        <v>123033</v>
      </c>
      <c r="Q321" s="4">
        <v>152689</v>
      </c>
      <c r="R321" s="4">
        <v>458067</v>
      </c>
      <c r="S321" t="s">
        <v>16702</v>
      </c>
      <c r="T321" s="6">
        <v>34669</v>
      </c>
      <c r="U321" s="4">
        <v>215290</v>
      </c>
      <c r="X321" t="s">
        <v>3</v>
      </c>
      <c r="AA321" s="5" t="str">
        <f>HYPERLINK("https://www.zillow.com/homes/328-CHESAPEAKE-LN-BLOOMINGDALE-IL-60108_rb/","check listing")</f>
        <v>check listing</v>
      </c>
      <c r="AB321" s="5" t="str">
        <f>HYPERLINK("https://propertylookup.dupagecounty.gov/Datalets/Datalet.aspx?UseSearch=no&amp;mode=sales&amp;pin=0208304009","sales record")</f>
        <v>sales record</v>
      </c>
      <c r="AC321" t="s">
        <v>3</v>
      </c>
      <c r="AD321">
        <v>41.961451</v>
      </c>
      <c r="AE321">
        <v>-88.122613</v>
      </c>
      <c r="AF321" s="5" t="str">
        <f>HYPERLINK("https://www.google.com/maps/search/?api=1&amp;query=41.961451,-88.122613","map")</f>
        <v>map</v>
      </c>
    </row>
    <row r="322" spans="1:32">
      <c r="A322" t="s">
        <v>372</v>
      </c>
      <c r="B322" t="s">
        <v>7952</v>
      </c>
      <c r="C322" t="s">
        <v>15118</v>
      </c>
      <c r="D322" t="s">
        <v>16196</v>
      </c>
      <c r="E322" t="s">
        <v>16218</v>
      </c>
      <c r="F322" t="s">
        <v>16221</v>
      </c>
      <c r="G322" t="s">
        <v>16236</v>
      </c>
      <c r="H322" t="s">
        <v>16241</v>
      </c>
      <c r="I322" t="s">
        <v>16313</v>
      </c>
      <c r="J322" t="s">
        <v>16385</v>
      </c>
      <c r="K322">
        <v>0.208</v>
      </c>
      <c r="L322">
        <v>9075</v>
      </c>
      <c r="M322">
        <v>2177</v>
      </c>
      <c r="N322" t="s">
        <v>16393</v>
      </c>
      <c r="O322" s="4">
        <v>29656</v>
      </c>
      <c r="P322" s="4">
        <v>128197</v>
      </c>
      <c r="Q322" s="4">
        <v>157853</v>
      </c>
      <c r="R322" s="4">
        <v>473559</v>
      </c>
      <c r="S322" t="s">
        <v>16703</v>
      </c>
      <c r="T322" s="6">
        <v>42036</v>
      </c>
      <c r="U322" s="4">
        <v>350000</v>
      </c>
      <c r="V322" t="s">
        <v>23739</v>
      </c>
      <c r="W322" t="s">
        <v>23882</v>
      </c>
      <c r="X322" t="s">
        <v>3</v>
      </c>
      <c r="AA322" s="5" t="str">
        <f>HYPERLINK("https://www.zillow.com/homes/329-CHESAPEAKE-LN-BLOOMINGDALE-IL-60108_rb/","check listing")</f>
        <v>check listing</v>
      </c>
      <c r="AB322" s="5" t="str">
        <f>HYPERLINK("https://propertylookup.dupagecounty.gov/Datalets/Datalet.aspx?UseSearch=no&amp;mode=sales&amp;pin=0208303018","sales record")</f>
        <v>sales record</v>
      </c>
      <c r="AC322" t="s">
        <v>3</v>
      </c>
      <c r="AD322">
        <v>41.962098</v>
      </c>
      <c r="AE322">
        <v>-88.124115</v>
      </c>
      <c r="AF322" s="5" t="str">
        <f>HYPERLINK("https://www.google.com/maps/search/?api=1&amp;query=41.962098,-88.124115","map")</f>
        <v>map</v>
      </c>
    </row>
    <row r="323" spans="1:32">
      <c r="A323" t="s">
        <v>373</v>
      </c>
      <c r="B323" t="s">
        <v>7953</v>
      </c>
      <c r="C323" t="s">
        <v>15118</v>
      </c>
      <c r="D323" t="s">
        <v>16196</v>
      </c>
      <c r="E323" t="s">
        <v>16218</v>
      </c>
      <c r="F323" t="s">
        <v>16221</v>
      </c>
      <c r="G323" t="s">
        <v>16236</v>
      </c>
      <c r="H323" t="s">
        <v>16241</v>
      </c>
      <c r="I323" t="s">
        <v>16313</v>
      </c>
      <c r="J323" t="s">
        <v>16385</v>
      </c>
      <c r="K323">
        <v>0.208</v>
      </c>
      <c r="L323">
        <v>9041</v>
      </c>
      <c r="M323">
        <v>2138</v>
      </c>
      <c r="N323" t="s">
        <v>16393</v>
      </c>
      <c r="O323" s="4">
        <v>29656</v>
      </c>
      <c r="P323" s="4">
        <v>118108</v>
      </c>
      <c r="Q323" s="4">
        <v>147764</v>
      </c>
      <c r="R323" s="4">
        <v>443292</v>
      </c>
      <c r="S323" t="s">
        <v>16704</v>
      </c>
      <c r="T323" s="6">
        <v>40299</v>
      </c>
      <c r="U323" s="4">
        <v>319528</v>
      </c>
      <c r="V323" t="s">
        <v>23739</v>
      </c>
      <c r="W323" t="s">
        <v>23883</v>
      </c>
      <c r="X323" t="s">
        <v>3</v>
      </c>
      <c r="AA323" s="5" t="str">
        <f>HYPERLINK("https://www.zillow.com/homes/258-MONTEGO-CT-BLOOMINGDALE-IL-60108_rb/","check listing")</f>
        <v>check listing</v>
      </c>
      <c r="AB323" s="5" t="str">
        <f>HYPERLINK("https://propertylookup.dupagecounty.gov/Datalets/Datalet.aspx?UseSearch=no&amp;mode=sales&amp;pin=0208302024","sales record")</f>
        <v>sales record</v>
      </c>
      <c r="AC323" t="s">
        <v>3</v>
      </c>
      <c r="AD323">
        <v>41.965283</v>
      </c>
      <c r="AE323">
        <v>-88.12088799999999</v>
      </c>
      <c r="AF323" s="5" t="str">
        <f>HYPERLINK("https://www.google.com/maps/search/?api=1&amp;query=41.965283,-88.120888","map")</f>
        <v>map</v>
      </c>
    </row>
    <row r="324" spans="1:32">
      <c r="A324" t="s">
        <v>374</v>
      </c>
      <c r="B324" t="s">
        <v>7954</v>
      </c>
      <c r="C324" t="s">
        <v>15134</v>
      </c>
      <c r="D324" t="s">
        <v>16196</v>
      </c>
      <c r="E324" t="s">
        <v>16218</v>
      </c>
      <c r="F324" t="s">
        <v>16221</v>
      </c>
      <c r="G324" t="s">
        <v>16235</v>
      </c>
      <c r="H324" t="s">
        <v>16241</v>
      </c>
      <c r="I324" t="s">
        <v>16313</v>
      </c>
      <c r="J324" t="s">
        <v>16385</v>
      </c>
      <c r="K324">
        <v>0.207</v>
      </c>
      <c r="L324">
        <v>9030</v>
      </c>
      <c r="M324">
        <v>2241</v>
      </c>
      <c r="N324" t="s">
        <v>16393</v>
      </c>
      <c r="O324" s="4">
        <v>40342</v>
      </c>
      <c r="P324" s="4">
        <v>100466</v>
      </c>
      <c r="Q324" s="4">
        <v>140808</v>
      </c>
      <c r="R324" s="4">
        <v>422424</v>
      </c>
      <c r="S324" t="s">
        <v>16705</v>
      </c>
      <c r="T324" s="6">
        <v>43221</v>
      </c>
      <c r="U324" s="4">
        <v>317000</v>
      </c>
      <c r="V324" t="s">
        <v>23739</v>
      </c>
      <c r="W324" t="s">
        <v>23884</v>
      </c>
      <c r="X324" t="s">
        <v>3</v>
      </c>
      <c r="AA324" s="5" t="str">
        <f>HYPERLINK("https://www.zillow.com/homes/152-HINGHAM-LN-BLOOMINGDALE-IL-601081527_rb/","check listing")</f>
        <v>check listing</v>
      </c>
      <c r="AB324" s="5" t="str">
        <f>HYPERLINK("https://propertylookup.dupagecounty.gov/Datalets/Datalet.aspx?UseSearch=no&amp;mode=sales&amp;pin=0215411001","sales record")</f>
        <v>sales record</v>
      </c>
      <c r="AC324" t="s">
        <v>3</v>
      </c>
      <c r="AD324">
        <v>41.953002</v>
      </c>
      <c r="AE324">
        <v>-88.07595000000001</v>
      </c>
      <c r="AF324" s="5" t="str">
        <f>HYPERLINK("https://www.google.com/maps/search/?api=1&amp;query=41.953002,-88.07595","map")</f>
        <v>map</v>
      </c>
    </row>
    <row r="325" spans="1:32">
      <c r="A325" t="s">
        <v>375</v>
      </c>
      <c r="B325" t="s">
        <v>7955</v>
      </c>
      <c r="C325" t="s">
        <v>15118</v>
      </c>
      <c r="D325" t="s">
        <v>16196</v>
      </c>
      <c r="E325" t="s">
        <v>16218</v>
      </c>
      <c r="F325" t="s">
        <v>16221</v>
      </c>
      <c r="G325" t="s">
        <v>16235</v>
      </c>
      <c r="H325" t="s">
        <v>16241</v>
      </c>
      <c r="I325" t="s">
        <v>16313</v>
      </c>
      <c r="J325" t="s">
        <v>16385</v>
      </c>
      <c r="K325">
        <v>0.207</v>
      </c>
      <c r="L325">
        <v>9027</v>
      </c>
      <c r="M325">
        <v>1856</v>
      </c>
      <c r="N325" t="s">
        <v>16393</v>
      </c>
      <c r="O325" s="4">
        <v>40342</v>
      </c>
      <c r="P325" s="4">
        <v>107745</v>
      </c>
      <c r="Q325" s="4">
        <v>148087</v>
      </c>
      <c r="R325" s="4">
        <v>444261</v>
      </c>
      <c r="S325" t="s">
        <v>16706</v>
      </c>
      <c r="T325" s="6">
        <v>39387</v>
      </c>
      <c r="U325" s="4">
        <v>335000</v>
      </c>
      <c r="V325" t="s">
        <v>23739</v>
      </c>
      <c r="W325" t="s">
        <v>23885</v>
      </c>
      <c r="X325" t="s">
        <v>3</v>
      </c>
      <c r="AA325" s="5" t="str">
        <f>HYPERLINK("https://www.zillow.com/homes/154-BRAINTREE-DR-BLOOMINGDALE-IL-60108_rb/","check listing")</f>
        <v>check listing</v>
      </c>
      <c r="AB325" s="5" t="str">
        <f>HYPERLINK("https://propertylookup.dupagecounty.gov/Datalets/Datalet.aspx?UseSearch=no&amp;mode=sales&amp;pin=0215409017","sales record")</f>
        <v>sales record</v>
      </c>
      <c r="AC325" t="s">
        <v>27873</v>
      </c>
      <c r="AD325">
        <v>41.952899</v>
      </c>
      <c r="AE325">
        <v>-88.07669199999999</v>
      </c>
      <c r="AF325" s="5" t="str">
        <f>HYPERLINK("https://www.google.com/maps/search/?api=1&amp;query=41.952899,-88.076692","map")</f>
        <v>map</v>
      </c>
    </row>
    <row r="326" spans="1:32">
      <c r="A326" t="s">
        <v>376</v>
      </c>
      <c r="B326" t="s">
        <v>7956</v>
      </c>
      <c r="C326" t="s">
        <v>15118</v>
      </c>
      <c r="D326" t="s">
        <v>16196</v>
      </c>
      <c r="E326" t="s">
        <v>16218</v>
      </c>
      <c r="F326" t="s">
        <v>16221</v>
      </c>
      <c r="G326" t="s">
        <v>16236</v>
      </c>
      <c r="H326" t="s">
        <v>16241</v>
      </c>
      <c r="I326" t="s">
        <v>16313</v>
      </c>
      <c r="J326" t="s">
        <v>16385</v>
      </c>
      <c r="K326">
        <v>0.207</v>
      </c>
      <c r="L326">
        <v>9026</v>
      </c>
      <c r="M326">
        <v>2967</v>
      </c>
      <c r="N326" t="s">
        <v>16393</v>
      </c>
      <c r="O326" s="4">
        <v>29656</v>
      </c>
      <c r="P326" s="4">
        <v>119005</v>
      </c>
      <c r="Q326" s="4">
        <v>148661</v>
      </c>
      <c r="R326" s="4">
        <v>445983</v>
      </c>
      <c r="S326" t="s">
        <v>16707</v>
      </c>
      <c r="T326" s="6">
        <v>34608</v>
      </c>
      <c r="U326" s="4">
        <v>185490</v>
      </c>
      <c r="X326" t="s">
        <v>3</v>
      </c>
      <c r="AA326" s="5" t="str">
        <f>HYPERLINK("https://www.zillow.com/homes/307-CHESAPEAKE-LN-BLOOMINGDALE-IL-60108_rb/","check listing")</f>
        <v>check listing</v>
      </c>
      <c r="AB326" s="5" t="str">
        <f>HYPERLINK("https://propertylookup.dupagecounty.gov/Datalets/Datalet.aspx?UseSearch=no&amp;mode=sales&amp;pin=0208303029","sales record")</f>
        <v>sales record</v>
      </c>
      <c r="AC326" t="s">
        <v>3</v>
      </c>
      <c r="AD326">
        <v>41.961946</v>
      </c>
      <c r="AE326">
        <v>-88.121559</v>
      </c>
      <c r="AF326" s="5" t="str">
        <f>HYPERLINK("https://www.google.com/maps/search/?api=1&amp;query=41.961946,-88.121559","map")</f>
        <v>map</v>
      </c>
    </row>
    <row r="327" spans="1:32">
      <c r="A327" t="s">
        <v>377</v>
      </c>
      <c r="B327" t="s">
        <v>7957</v>
      </c>
      <c r="C327" t="s">
        <v>15118</v>
      </c>
      <c r="D327" t="s">
        <v>16196</v>
      </c>
      <c r="E327" t="s">
        <v>16218</v>
      </c>
      <c r="F327" t="s">
        <v>16221</v>
      </c>
      <c r="G327" t="s">
        <v>16235</v>
      </c>
      <c r="H327" t="s">
        <v>16241</v>
      </c>
      <c r="I327" t="s">
        <v>16313</v>
      </c>
      <c r="J327" t="s">
        <v>16385</v>
      </c>
      <c r="K327">
        <v>0.207</v>
      </c>
      <c r="L327">
        <v>9010</v>
      </c>
      <c r="M327">
        <v>2436</v>
      </c>
      <c r="N327" t="s">
        <v>16393</v>
      </c>
      <c r="O327" s="4">
        <v>40342</v>
      </c>
      <c r="P327" s="4">
        <v>109358</v>
      </c>
      <c r="Q327" s="4">
        <v>149700</v>
      </c>
      <c r="R327" s="4">
        <v>449100</v>
      </c>
      <c r="S327" t="s">
        <v>16708</v>
      </c>
      <c r="X327" t="s">
        <v>3</v>
      </c>
      <c r="AA327" s="5" t="str">
        <f>HYPERLINK("https://www.zillow.com/homes/176-CAMBRIDGE-LN-BLOOMINGDALE-IL-60108_rb/","check listing")</f>
        <v>check listing</v>
      </c>
      <c r="AB327" s="5" t="str">
        <f>HYPERLINK("https://propertylookup.dupagecounty.gov/Datalets/Datalet.aspx?UseSearch=no&amp;mode=sales&amp;pin=0215402029","sales record")</f>
        <v>sales record</v>
      </c>
      <c r="AC327" t="s">
        <v>27873</v>
      </c>
      <c r="AD327">
        <v>41.95093</v>
      </c>
      <c r="AE327">
        <v>-88.077933</v>
      </c>
      <c r="AF327" s="5" t="str">
        <f>HYPERLINK("https://www.google.com/maps/search/?api=1&amp;query=41.95093,-88.077933","map")</f>
        <v>map</v>
      </c>
    </row>
    <row r="328" spans="1:32">
      <c r="A328" t="s">
        <v>378</v>
      </c>
      <c r="B328" t="s">
        <v>7958</v>
      </c>
      <c r="C328" t="s">
        <v>15118</v>
      </c>
      <c r="D328" t="s">
        <v>16196</v>
      </c>
      <c r="E328" t="s">
        <v>16218</v>
      </c>
      <c r="F328" t="s">
        <v>16221</v>
      </c>
      <c r="G328" t="s">
        <v>16236</v>
      </c>
      <c r="H328" t="s">
        <v>16241</v>
      </c>
      <c r="I328" t="s">
        <v>16313</v>
      </c>
      <c r="J328" t="s">
        <v>16385</v>
      </c>
      <c r="K328">
        <v>0.206</v>
      </c>
      <c r="L328">
        <v>8958</v>
      </c>
      <c r="M328">
        <v>2142</v>
      </c>
      <c r="N328" t="s">
        <v>16393</v>
      </c>
      <c r="O328" s="4">
        <v>29656</v>
      </c>
      <c r="P328" s="4">
        <v>120092</v>
      </c>
      <c r="Q328" s="4">
        <v>149748</v>
      </c>
      <c r="R328" s="4">
        <v>449244</v>
      </c>
      <c r="S328" t="s">
        <v>16709</v>
      </c>
      <c r="T328" s="6">
        <v>45366</v>
      </c>
      <c r="U328" s="4">
        <v>531000</v>
      </c>
      <c r="V328" t="s">
        <v>23739</v>
      </c>
      <c r="W328" t="s">
        <v>23886</v>
      </c>
      <c r="X328" t="s">
        <v>3</v>
      </c>
      <c r="AA328" s="5" t="str">
        <f>HYPERLINK("https://www.zillow.com/homes/309-CHESAPEAKE-LN-BLOOMINGDALE-IL-60108_rb/","check listing")</f>
        <v>check listing</v>
      </c>
      <c r="AB328" s="5" t="str">
        <f>HYPERLINK("https://propertylookup.dupagecounty.gov/Datalets/Datalet.aspx?UseSearch=no&amp;mode=sales&amp;pin=0208303028","sales record")</f>
        <v>sales record</v>
      </c>
      <c r="AC328" t="s">
        <v>3</v>
      </c>
      <c r="AD328">
        <v>41.961944</v>
      </c>
      <c r="AE328">
        <v>-88.121844</v>
      </c>
      <c r="AF328" s="5" t="str">
        <f>HYPERLINK("https://www.google.com/maps/search/?api=1&amp;query=41.961944,-88.121844","map")</f>
        <v>map</v>
      </c>
    </row>
    <row r="329" spans="1:32">
      <c r="A329" t="s">
        <v>379</v>
      </c>
      <c r="B329" t="s">
        <v>7959</v>
      </c>
      <c r="C329" t="s">
        <v>15118</v>
      </c>
      <c r="D329" t="s">
        <v>16196</v>
      </c>
      <c r="E329" t="s">
        <v>16218</v>
      </c>
      <c r="F329" t="s">
        <v>16221</v>
      </c>
      <c r="G329" t="s">
        <v>16236</v>
      </c>
      <c r="H329" t="s">
        <v>16241</v>
      </c>
      <c r="I329" t="s">
        <v>16313</v>
      </c>
      <c r="J329" t="s">
        <v>16385</v>
      </c>
      <c r="K329">
        <v>0.206</v>
      </c>
      <c r="L329">
        <v>8955</v>
      </c>
      <c r="M329">
        <v>1814</v>
      </c>
      <c r="N329" t="s">
        <v>16393</v>
      </c>
      <c r="O329" s="4">
        <v>29656</v>
      </c>
      <c r="P329" s="4">
        <v>118254</v>
      </c>
      <c r="Q329" s="4">
        <v>147910</v>
      </c>
      <c r="R329" s="4">
        <v>443730</v>
      </c>
      <c r="S329" t="s">
        <v>16710</v>
      </c>
      <c r="T329" s="6">
        <v>35916</v>
      </c>
      <c r="U329" s="4">
        <v>245000</v>
      </c>
      <c r="X329" t="s">
        <v>3</v>
      </c>
      <c r="AA329" s="5" t="str">
        <f>HYPERLINK("https://www.zillow.com/homes/243-BISCAYNE-ST-BLOOMINGDALE-IL-60108_rb/","check listing")</f>
        <v>check listing</v>
      </c>
      <c r="AB329" s="5" t="str">
        <f>HYPERLINK("https://propertylookup.dupagecounty.gov/Datalets/Datalet.aspx?UseSearch=no&amp;mode=sales&amp;pin=0208305009","sales record")</f>
        <v>sales record</v>
      </c>
      <c r="AC329" t="s">
        <v>3</v>
      </c>
      <c r="AD329">
        <v>41.965056</v>
      </c>
      <c r="AE329">
        <v>-88.121999</v>
      </c>
      <c r="AF329" s="5" t="str">
        <f>HYPERLINK("https://www.google.com/maps/search/?api=1&amp;query=41.965056,-88.121999","map")</f>
        <v>map</v>
      </c>
    </row>
    <row r="330" spans="1:32">
      <c r="A330" t="s">
        <v>380</v>
      </c>
      <c r="B330" t="s">
        <v>7960</v>
      </c>
      <c r="C330" t="s">
        <v>15147</v>
      </c>
      <c r="D330" t="s">
        <v>16196</v>
      </c>
      <c r="E330" t="s">
        <v>16218</v>
      </c>
      <c r="F330" t="s">
        <v>16221</v>
      </c>
      <c r="G330" t="s">
        <v>16235</v>
      </c>
      <c r="H330" t="s">
        <v>16241</v>
      </c>
      <c r="I330" t="s">
        <v>16313</v>
      </c>
      <c r="J330" t="s">
        <v>16385</v>
      </c>
      <c r="K330">
        <v>0.205</v>
      </c>
      <c r="L330">
        <v>8943</v>
      </c>
      <c r="M330">
        <v>1625</v>
      </c>
      <c r="N330" t="s">
        <v>16393</v>
      </c>
      <c r="O330" s="4">
        <v>40342</v>
      </c>
      <c r="P330" s="4">
        <v>88680</v>
      </c>
      <c r="Q330" s="4">
        <v>129022</v>
      </c>
      <c r="R330" s="4">
        <v>387066</v>
      </c>
      <c r="S330" t="s">
        <v>16711</v>
      </c>
      <c r="T330" s="6">
        <v>33117</v>
      </c>
      <c r="U330" s="4">
        <v>149000</v>
      </c>
      <c r="X330" t="s">
        <v>3</v>
      </c>
      <c r="AA330" s="5" t="str">
        <f>HYPERLINK("https://www.zillow.com/homes/193-BRAINTREE-DR-BLOOMINGDALE-IL-601081533_rb/","check listing")</f>
        <v>check listing</v>
      </c>
      <c r="AB330" s="5" t="str">
        <f>HYPERLINK("https://propertylookup.dupagecounty.gov/Datalets/Datalet.aspx?UseSearch=no&amp;mode=sales&amp;pin=0215412028","sales record")</f>
        <v>sales record</v>
      </c>
      <c r="AC330" t="s">
        <v>3</v>
      </c>
      <c r="AD330">
        <v>41.949835</v>
      </c>
      <c r="AE330">
        <v>-88.074701</v>
      </c>
      <c r="AF330" s="5" t="str">
        <f>HYPERLINK("https://www.google.com/maps/search/?api=1&amp;query=41.949835,-88.074701","map")</f>
        <v>map</v>
      </c>
    </row>
    <row r="331" spans="1:32">
      <c r="A331" t="s">
        <v>381</v>
      </c>
      <c r="B331" t="s">
        <v>7961</v>
      </c>
      <c r="C331" t="s">
        <v>15118</v>
      </c>
      <c r="D331" t="s">
        <v>16196</v>
      </c>
      <c r="E331" t="s">
        <v>16218</v>
      </c>
      <c r="F331" t="s">
        <v>16221</v>
      </c>
      <c r="G331" t="s">
        <v>16235</v>
      </c>
      <c r="H331" t="s">
        <v>16241</v>
      </c>
      <c r="I331" t="s">
        <v>16313</v>
      </c>
      <c r="J331" t="s">
        <v>16385</v>
      </c>
      <c r="K331">
        <v>0.205</v>
      </c>
      <c r="L331">
        <v>8926</v>
      </c>
      <c r="M331">
        <v>2247</v>
      </c>
      <c r="N331" t="s">
        <v>16393</v>
      </c>
      <c r="O331" s="4">
        <v>40342</v>
      </c>
      <c r="P331" s="4">
        <v>88078</v>
      </c>
      <c r="Q331" s="4">
        <v>128420</v>
      </c>
      <c r="R331" s="4">
        <v>385260</v>
      </c>
      <c r="S331" t="s">
        <v>16712</v>
      </c>
      <c r="T331" s="6">
        <v>31747</v>
      </c>
      <c r="U331" s="4">
        <v>118000</v>
      </c>
      <c r="X331" t="s">
        <v>3</v>
      </c>
      <c r="AA331" s="5" t="str">
        <f>HYPERLINK("https://www.zillow.com/homes/169-BRAINTREE-DR-BLOOMINGDALE-IL-60108_rb/","check listing")</f>
        <v>check listing</v>
      </c>
      <c r="AB331" s="5" t="str">
        <f>HYPERLINK("https://propertylookup.dupagecounty.gov/Datalets/Datalet.aspx?UseSearch=no&amp;mode=sales&amp;pin=0215411019","sales record")</f>
        <v>sales record</v>
      </c>
      <c r="AC331" t="s">
        <v>3</v>
      </c>
      <c r="AD331">
        <v>41.951509</v>
      </c>
      <c r="AE331">
        <v>-88.075655</v>
      </c>
      <c r="AF331" s="5" t="str">
        <f>HYPERLINK("https://www.google.com/maps/search/?api=1&amp;query=41.951509,-88.075655","map")</f>
        <v>map</v>
      </c>
    </row>
    <row r="332" spans="1:32">
      <c r="A332" t="s">
        <v>382</v>
      </c>
      <c r="B332" t="s">
        <v>7962</v>
      </c>
      <c r="C332" t="s">
        <v>15118</v>
      </c>
      <c r="D332" t="s">
        <v>16196</v>
      </c>
      <c r="E332" t="s">
        <v>16218</v>
      </c>
      <c r="F332" t="s">
        <v>16221</v>
      </c>
      <c r="G332" t="s">
        <v>16235</v>
      </c>
      <c r="H332" t="s">
        <v>16241</v>
      </c>
      <c r="I332" t="s">
        <v>16313</v>
      </c>
      <c r="J332" t="s">
        <v>16385</v>
      </c>
      <c r="K332">
        <v>0.204</v>
      </c>
      <c r="L332">
        <v>8866</v>
      </c>
      <c r="M332">
        <v>2374</v>
      </c>
      <c r="N332" t="s">
        <v>16393</v>
      </c>
      <c r="O332" s="4">
        <v>40342</v>
      </c>
      <c r="P332" s="4">
        <v>91691</v>
      </c>
      <c r="Q332" s="4">
        <v>132033</v>
      </c>
      <c r="R332" s="4">
        <v>396099</v>
      </c>
      <c r="S332" t="s">
        <v>16713</v>
      </c>
      <c r="X332" t="s">
        <v>3</v>
      </c>
      <c r="AA332" s="5" t="str">
        <f>HYPERLINK("https://www.zillow.com/homes/158-E-SCHICK-RD-BLOOMINGDALE-IL-60108_rb/","check listing")</f>
        <v>check listing</v>
      </c>
      <c r="AB332" s="5" t="str">
        <f>HYPERLINK("https://propertylookup.dupagecounty.gov/Datalets/Datalet.aspx?UseSearch=no&amp;mode=sales&amp;pin=0215410004","sales record")</f>
        <v>sales record</v>
      </c>
      <c r="AC332" t="s">
        <v>3</v>
      </c>
      <c r="AD332">
        <v>41.953751</v>
      </c>
      <c r="AE332">
        <v>-88.07494199999999</v>
      </c>
      <c r="AF332" s="5" t="str">
        <f>HYPERLINK("https://www.google.com/maps/search/?api=1&amp;query=41.953751,-88.074942","map")</f>
        <v>map</v>
      </c>
    </row>
    <row r="333" spans="1:32">
      <c r="A333" t="s">
        <v>383</v>
      </c>
      <c r="B333" t="s">
        <v>7963</v>
      </c>
      <c r="C333" t="s">
        <v>15118</v>
      </c>
      <c r="D333" t="s">
        <v>16196</v>
      </c>
      <c r="E333" t="s">
        <v>16218</v>
      </c>
      <c r="F333" t="s">
        <v>16221</v>
      </c>
      <c r="G333" t="s">
        <v>16235</v>
      </c>
      <c r="H333" t="s">
        <v>16241</v>
      </c>
      <c r="I333" t="s">
        <v>16313</v>
      </c>
      <c r="J333" t="s">
        <v>16385</v>
      </c>
      <c r="K333">
        <v>0.203</v>
      </c>
      <c r="L333">
        <v>8861</v>
      </c>
      <c r="M333">
        <v>1951</v>
      </c>
      <c r="N333" t="s">
        <v>16393</v>
      </c>
      <c r="O333" s="4">
        <v>40342</v>
      </c>
      <c r="P333" s="4">
        <v>118395</v>
      </c>
      <c r="Q333" s="4">
        <v>158737</v>
      </c>
      <c r="R333" s="4">
        <v>476211</v>
      </c>
      <c r="S333" t="s">
        <v>16714</v>
      </c>
      <c r="T333" s="6">
        <v>39934</v>
      </c>
      <c r="U333" s="4">
        <v>340000</v>
      </c>
      <c r="V333" t="s">
        <v>23739</v>
      </c>
      <c r="W333" t="s">
        <v>23887</v>
      </c>
      <c r="X333" t="s">
        <v>3</v>
      </c>
      <c r="AA333" s="5" t="str">
        <f>HYPERLINK("https://www.zillow.com/homes/156-BRAINTREE-DR-BLOOMINGDALE-IL-60108_rb/","check listing")</f>
        <v>check listing</v>
      </c>
      <c r="AB333" s="5" t="str">
        <f>HYPERLINK("https://propertylookup.dupagecounty.gov/Datalets/Datalet.aspx?UseSearch=no&amp;mode=sales&amp;pin=0215409018","sales record")</f>
        <v>sales record</v>
      </c>
      <c r="AC333" t="s">
        <v>27873</v>
      </c>
      <c r="AD333">
        <v>41.952735</v>
      </c>
      <c r="AE333">
        <v>-88.076714</v>
      </c>
      <c r="AF333" s="5" t="str">
        <f>HYPERLINK("https://www.google.com/maps/search/?api=1&amp;query=41.952735,-88.076714","map")</f>
        <v>map</v>
      </c>
    </row>
    <row r="334" spans="1:32">
      <c r="A334" t="s">
        <v>384</v>
      </c>
      <c r="B334" t="s">
        <v>7964</v>
      </c>
      <c r="C334" t="s">
        <v>15130</v>
      </c>
      <c r="D334" t="s">
        <v>16196</v>
      </c>
      <c r="E334" t="s">
        <v>16218</v>
      </c>
      <c r="F334" t="s">
        <v>16221</v>
      </c>
      <c r="G334" t="s">
        <v>16236</v>
      </c>
      <c r="H334" t="s">
        <v>16241</v>
      </c>
      <c r="I334" t="s">
        <v>16313</v>
      </c>
      <c r="J334" t="s">
        <v>16385</v>
      </c>
      <c r="K334">
        <v>0.203</v>
      </c>
      <c r="L334">
        <v>8852</v>
      </c>
      <c r="M334">
        <v>2638</v>
      </c>
      <c r="N334" t="s">
        <v>16393</v>
      </c>
      <c r="O334" s="4">
        <v>29656</v>
      </c>
      <c r="P334" s="4">
        <v>128471</v>
      </c>
      <c r="Q334" s="4">
        <v>158127</v>
      </c>
      <c r="R334" s="4">
        <v>474381</v>
      </c>
      <c r="S334" t="s">
        <v>16715</v>
      </c>
      <c r="T334" s="6">
        <v>43221</v>
      </c>
      <c r="U334" s="4">
        <v>349900</v>
      </c>
      <c r="V334" t="s">
        <v>23739</v>
      </c>
      <c r="W334" t="s">
        <v>16715</v>
      </c>
      <c r="X334" t="s">
        <v>3</v>
      </c>
      <c r="AA334" s="5" t="str">
        <f>HYPERLINK("https://www.zillow.com/homes/330-CHESAPEAKE-LN-BLOOMINGDALE-IL-601083305_rb/","check listing")</f>
        <v>check listing</v>
      </c>
      <c r="AB334" s="5" t="str">
        <f>HYPERLINK("https://propertylookup.dupagecounty.gov/Datalets/Datalet.aspx?UseSearch=no&amp;mode=sales&amp;pin=0208304008","sales record")</f>
        <v>sales record</v>
      </c>
      <c r="AC334" t="s">
        <v>3</v>
      </c>
      <c r="AD334">
        <v>41.961432</v>
      </c>
      <c r="AE334">
        <v>-88.122855</v>
      </c>
      <c r="AF334" s="5" t="str">
        <f>HYPERLINK("https://www.google.com/maps/search/?api=1&amp;query=41.961432,-88.122855","map")</f>
        <v>map</v>
      </c>
    </row>
    <row r="335" spans="1:32">
      <c r="A335" t="s">
        <v>385</v>
      </c>
      <c r="B335" t="s">
        <v>7965</v>
      </c>
      <c r="C335" t="s">
        <v>15148</v>
      </c>
      <c r="D335" t="s">
        <v>16196</v>
      </c>
      <c r="E335" t="s">
        <v>16218</v>
      </c>
      <c r="F335" t="s">
        <v>16221</v>
      </c>
      <c r="G335" t="s">
        <v>16236</v>
      </c>
      <c r="H335" t="s">
        <v>16241</v>
      </c>
      <c r="I335" t="s">
        <v>16313</v>
      </c>
      <c r="J335" t="s">
        <v>16385</v>
      </c>
      <c r="K335">
        <v>0.203</v>
      </c>
      <c r="L335">
        <v>8848</v>
      </c>
      <c r="M335">
        <v>3000</v>
      </c>
      <c r="N335" t="s">
        <v>16393</v>
      </c>
      <c r="O335" s="4">
        <v>29656</v>
      </c>
      <c r="P335" s="4">
        <v>126607</v>
      </c>
      <c r="Q335" s="4">
        <v>156263</v>
      </c>
      <c r="R335" s="4">
        <v>468789</v>
      </c>
      <c r="S335" t="s">
        <v>16716</v>
      </c>
      <c r="T335" s="6">
        <v>34669</v>
      </c>
      <c r="U335" s="4">
        <v>193280</v>
      </c>
      <c r="X335" t="s">
        <v>3</v>
      </c>
      <c r="AA335" s="5" t="str">
        <f>HYPERLINK("https://www.zillow.com/homes/216-FRISCO-ST-BLOOMINGDALE-IL-601083297_rb/","check listing")</f>
        <v>check listing</v>
      </c>
      <c r="AB335" s="5" t="str">
        <f>HYPERLINK("https://propertylookup.dupagecounty.gov/Datalets/Datalet.aspx?UseSearch=no&amp;mode=sales&amp;pin=0208304001","sales record")</f>
        <v>sales record</v>
      </c>
      <c r="AC335" t="s">
        <v>3</v>
      </c>
      <c r="AD335">
        <v>41.962385</v>
      </c>
      <c r="AE335">
        <v>-88.125049</v>
      </c>
      <c r="AF335" s="5" t="str">
        <f>HYPERLINK("https://www.google.com/maps/search/?api=1&amp;query=41.962385,-88.125049","map")</f>
        <v>map</v>
      </c>
    </row>
    <row r="336" spans="1:32">
      <c r="A336" t="s">
        <v>386</v>
      </c>
      <c r="B336" t="s">
        <v>7966</v>
      </c>
      <c r="C336" t="s">
        <v>15118</v>
      </c>
      <c r="D336" t="s">
        <v>16196</v>
      </c>
      <c r="E336" t="s">
        <v>16218</v>
      </c>
      <c r="F336" t="s">
        <v>16221</v>
      </c>
      <c r="G336" t="s">
        <v>16235</v>
      </c>
      <c r="H336" t="s">
        <v>16241</v>
      </c>
      <c r="I336" t="s">
        <v>16313</v>
      </c>
      <c r="J336" t="s">
        <v>16385</v>
      </c>
      <c r="K336">
        <v>0.202</v>
      </c>
      <c r="L336">
        <v>8784</v>
      </c>
      <c r="M336">
        <v>1945</v>
      </c>
      <c r="N336" t="s">
        <v>16393</v>
      </c>
      <c r="O336" s="4">
        <v>40342</v>
      </c>
      <c r="P336" s="4">
        <v>104649</v>
      </c>
      <c r="Q336" s="4">
        <v>144991</v>
      </c>
      <c r="R336" s="4">
        <v>434973</v>
      </c>
      <c r="S336" t="s">
        <v>16717</v>
      </c>
      <c r="T336" s="6">
        <v>42795</v>
      </c>
      <c r="U336" s="4">
        <v>355000</v>
      </c>
      <c r="V336" t="s">
        <v>23739</v>
      </c>
      <c r="W336" t="s">
        <v>23888</v>
      </c>
      <c r="X336" t="s">
        <v>3</v>
      </c>
      <c r="AA336" s="5" t="str">
        <f>HYPERLINK("https://www.zillow.com/homes/155-BRAINTREE-DR-BLOOMINGDALE-IL-60108_rb/","check listing")</f>
        <v>check listing</v>
      </c>
      <c r="AB336" s="5" t="str">
        <f>HYPERLINK("https://propertylookup.dupagecounty.gov/Datalets/Datalet.aspx?UseSearch=no&amp;mode=sales&amp;pin=0215411012","sales record")</f>
        <v>sales record</v>
      </c>
      <c r="AC336" t="s">
        <v>27873</v>
      </c>
      <c r="AD336">
        <v>41.952598</v>
      </c>
      <c r="AE336">
        <v>-88.075958</v>
      </c>
      <c r="AF336" s="5" t="str">
        <f>HYPERLINK("https://www.google.com/maps/search/?api=1&amp;query=41.952598,-88.075958","map")</f>
        <v>map</v>
      </c>
    </row>
    <row r="337" spans="1:32">
      <c r="A337" t="s">
        <v>387</v>
      </c>
      <c r="B337" t="s">
        <v>7967</v>
      </c>
      <c r="C337" t="s">
        <v>15118</v>
      </c>
      <c r="D337" t="s">
        <v>16196</v>
      </c>
      <c r="E337" t="s">
        <v>16218</v>
      </c>
      <c r="F337" t="s">
        <v>16221</v>
      </c>
      <c r="G337" t="s">
        <v>16235</v>
      </c>
      <c r="H337" t="s">
        <v>16241</v>
      </c>
      <c r="I337" t="s">
        <v>16313</v>
      </c>
      <c r="J337" t="s">
        <v>16385</v>
      </c>
      <c r="K337">
        <v>0.201</v>
      </c>
      <c r="L337">
        <v>8753</v>
      </c>
      <c r="M337">
        <v>1947</v>
      </c>
      <c r="N337" t="s">
        <v>16393</v>
      </c>
      <c r="O337" s="4">
        <v>40342</v>
      </c>
      <c r="P337" s="4">
        <v>83313</v>
      </c>
      <c r="Q337" s="4">
        <v>123655</v>
      </c>
      <c r="R337" s="4">
        <v>370965</v>
      </c>
      <c r="S337" t="s">
        <v>16718</v>
      </c>
      <c r="T337" s="6">
        <v>31686</v>
      </c>
      <c r="U337" s="4">
        <v>120000</v>
      </c>
      <c r="X337" t="s">
        <v>3</v>
      </c>
      <c r="AA337" s="5" t="str">
        <f>HYPERLINK("https://www.zillow.com/homes/182-FAIRFIELD-WAY-BLOOMINGDALE-IL-60108_rb/","check listing")</f>
        <v>check listing</v>
      </c>
      <c r="AB337" s="5" t="str">
        <f>HYPERLINK("https://propertylookup.dupagecounty.gov/Datalets/Datalet.aspx?UseSearch=no&amp;mode=sales&amp;pin=0215412019","sales record")</f>
        <v>sales record</v>
      </c>
      <c r="AC337" t="s">
        <v>27873</v>
      </c>
      <c r="AD337">
        <v>41.950246</v>
      </c>
      <c r="AE337">
        <v>-88.073328</v>
      </c>
      <c r="AF337" s="5" t="str">
        <f>HYPERLINK("https://www.google.com/maps/search/?api=1&amp;query=41.950246,-88.073328","map")</f>
        <v>map</v>
      </c>
    </row>
    <row r="338" spans="1:32">
      <c r="A338" t="s">
        <v>388</v>
      </c>
      <c r="B338" t="s">
        <v>7968</v>
      </c>
      <c r="C338" t="s">
        <v>15118</v>
      </c>
      <c r="D338" t="s">
        <v>16196</v>
      </c>
      <c r="E338" t="s">
        <v>16218</v>
      </c>
      <c r="F338" t="s">
        <v>16221</v>
      </c>
      <c r="G338" t="s">
        <v>16235</v>
      </c>
      <c r="H338" t="s">
        <v>16241</v>
      </c>
      <c r="I338" t="s">
        <v>16313</v>
      </c>
      <c r="J338" t="s">
        <v>16385</v>
      </c>
      <c r="K338">
        <v>0.2</v>
      </c>
      <c r="L338">
        <v>8721</v>
      </c>
      <c r="M338">
        <v>1727</v>
      </c>
      <c r="N338" t="s">
        <v>16393</v>
      </c>
      <c r="O338" s="4">
        <v>40342</v>
      </c>
      <c r="P338" s="4">
        <v>104744</v>
      </c>
      <c r="Q338" s="4">
        <v>145086</v>
      </c>
      <c r="R338" s="4">
        <v>435258</v>
      </c>
      <c r="S338" t="s">
        <v>16719</v>
      </c>
      <c r="X338" t="s">
        <v>3</v>
      </c>
      <c r="AA338" s="5" t="str">
        <f>HYPERLINK("https://www.zillow.com/homes/165-BRAINTREE-DR-BLOOMINGDALE-IL-60108_rb/","check listing")</f>
        <v>check listing</v>
      </c>
      <c r="AB338" s="5" t="str">
        <f>HYPERLINK("https://propertylookup.dupagecounty.gov/Datalets/Datalet.aspx?UseSearch=no&amp;mode=sales&amp;pin=0215411017","sales record")</f>
        <v>sales record</v>
      </c>
      <c r="AC338" t="s">
        <v>27873</v>
      </c>
      <c r="AD338">
        <v>41.951751</v>
      </c>
      <c r="AE338">
        <v>-88.07595499999999</v>
      </c>
      <c r="AF338" s="5" t="str">
        <f>HYPERLINK("https://www.google.com/maps/search/?api=1&amp;query=41.951751,-88.075955","map")</f>
        <v>map</v>
      </c>
    </row>
    <row r="339" spans="1:32">
      <c r="A339" t="s">
        <v>389</v>
      </c>
      <c r="B339" t="s">
        <v>7969</v>
      </c>
      <c r="C339" t="s">
        <v>15118</v>
      </c>
      <c r="D339" t="s">
        <v>16196</v>
      </c>
      <c r="E339" t="s">
        <v>16218</v>
      </c>
      <c r="F339" t="s">
        <v>16221</v>
      </c>
      <c r="G339" t="s">
        <v>16236</v>
      </c>
      <c r="H339" t="s">
        <v>16241</v>
      </c>
      <c r="I339" t="s">
        <v>16313</v>
      </c>
      <c r="J339" t="s">
        <v>16385</v>
      </c>
      <c r="K339">
        <v>0.2</v>
      </c>
      <c r="L339">
        <v>8701</v>
      </c>
      <c r="M339">
        <v>1979</v>
      </c>
      <c r="N339" t="s">
        <v>16393</v>
      </c>
      <c r="O339" s="4">
        <v>29656</v>
      </c>
      <c r="P339" s="4">
        <v>127073</v>
      </c>
      <c r="Q339" s="4">
        <v>156729</v>
      </c>
      <c r="R339" s="4">
        <v>470187</v>
      </c>
      <c r="S339" t="s">
        <v>16720</v>
      </c>
      <c r="T339" s="6">
        <v>38626</v>
      </c>
      <c r="U339" s="4">
        <v>420000</v>
      </c>
      <c r="V339" t="s">
        <v>23739</v>
      </c>
      <c r="W339" t="s">
        <v>23889</v>
      </c>
      <c r="X339" t="s">
        <v>3</v>
      </c>
      <c r="AA339" s="5" t="str">
        <f>HYPERLINK("https://www.zillow.com/homes/212-BISCAYNE-CT-BLOOMINGDALE-IL-60108_rb/","check listing")</f>
        <v>check listing</v>
      </c>
      <c r="AB339" s="5" t="str">
        <f>HYPERLINK("https://propertylookup.dupagecounty.gov/Datalets/Datalet.aspx?UseSearch=no&amp;mode=sales&amp;pin=0208303035","sales record")</f>
        <v>sales record</v>
      </c>
      <c r="AC339" t="s">
        <v>3</v>
      </c>
      <c r="AD339">
        <v>41.962222</v>
      </c>
      <c r="AE339">
        <v>-88.12224500000001</v>
      </c>
      <c r="AF339" s="5" t="str">
        <f>HYPERLINK("https://www.google.com/maps/search/?api=1&amp;query=41.962222,-88.122245","map")</f>
        <v>map</v>
      </c>
    </row>
    <row r="340" spans="1:32">
      <c r="A340" t="s">
        <v>390</v>
      </c>
      <c r="B340" t="s">
        <v>7970</v>
      </c>
      <c r="C340" t="s">
        <v>15118</v>
      </c>
      <c r="D340" t="s">
        <v>16196</v>
      </c>
      <c r="E340" t="s">
        <v>16218</v>
      </c>
      <c r="F340" t="s">
        <v>16221</v>
      </c>
      <c r="G340" t="s">
        <v>16235</v>
      </c>
      <c r="H340" t="s">
        <v>16241</v>
      </c>
      <c r="I340" t="s">
        <v>16313</v>
      </c>
      <c r="J340" t="s">
        <v>16385</v>
      </c>
      <c r="K340">
        <v>0.199</v>
      </c>
      <c r="L340">
        <v>8679</v>
      </c>
      <c r="M340">
        <v>2241</v>
      </c>
      <c r="N340" t="s">
        <v>16393</v>
      </c>
      <c r="O340" s="4">
        <v>40342</v>
      </c>
      <c r="P340" s="4">
        <v>106478</v>
      </c>
      <c r="Q340" s="4">
        <v>146820</v>
      </c>
      <c r="R340" s="4">
        <v>440460</v>
      </c>
      <c r="S340" t="s">
        <v>16721</v>
      </c>
      <c r="X340" t="s">
        <v>3</v>
      </c>
      <c r="AA340" s="5" t="str">
        <f>HYPERLINK("https://www.zillow.com/homes/184-FAIRFIELD-WAY-BLOOMINGDALE-IL-60108_rb/","check listing")</f>
        <v>check listing</v>
      </c>
      <c r="AB340" s="5" t="str">
        <f>HYPERLINK("https://propertylookup.dupagecounty.gov/Datalets/Datalet.aspx?UseSearch=no&amp;mode=sales&amp;pin=0215412020","sales record")</f>
        <v>sales record</v>
      </c>
      <c r="AC340" t="s">
        <v>27873</v>
      </c>
      <c r="AD340">
        <v>41.950057</v>
      </c>
      <c r="AE340">
        <v>-88.07326999999999</v>
      </c>
      <c r="AF340" s="5" t="str">
        <f>HYPERLINK("https://www.google.com/maps/search/?api=1&amp;query=41.950057,-88.07327","map")</f>
        <v>map</v>
      </c>
    </row>
    <row r="341" spans="1:32">
      <c r="A341" t="s">
        <v>391</v>
      </c>
      <c r="B341" t="s">
        <v>7971</v>
      </c>
      <c r="C341" t="s">
        <v>15139</v>
      </c>
      <c r="D341" t="s">
        <v>16196</v>
      </c>
      <c r="E341" t="s">
        <v>16218</v>
      </c>
      <c r="F341" t="s">
        <v>16221</v>
      </c>
      <c r="G341" t="s">
        <v>16235</v>
      </c>
      <c r="H341" t="s">
        <v>16241</v>
      </c>
      <c r="I341" t="s">
        <v>16313</v>
      </c>
      <c r="J341" t="s">
        <v>16385</v>
      </c>
      <c r="K341">
        <v>0.199</v>
      </c>
      <c r="L341">
        <v>8675</v>
      </c>
      <c r="M341">
        <v>2177</v>
      </c>
      <c r="N341" t="s">
        <v>16393</v>
      </c>
      <c r="O341" s="4">
        <v>40342</v>
      </c>
      <c r="P341" s="4">
        <v>102784</v>
      </c>
      <c r="Q341" s="4">
        <v>143126</v>
      </c>
      <c r="R341" s="4">
        <v>429378</v>
      </c>
      <c r="S341" t="s">
        <v>16722</v>
      </c>
      <c r="T341" s="6">
        <v>42948</v>
      </c>
      <c r="U341" s="4">
        <v>269400</v>
      </c>
      <c r="V341" t="s">
        <v>16232</v>
      </c>
      <c r="W341" t="s">
        <v>16722</v>
      </c>
      <c r="X341" t="s">
        <v>3</v>
      </c>
      <c r="AA341" s="5" t="str">
        <f>HYPERLINK("https://www.zillow.com/homes/147-HINGHAM-LN-BLOOMINGDALE-IL-601081524_rb/","check listing")</f>
        <v>check listing</v>
      </c>
      <c r="AB341" s="5" t="str">
        <f>HYPERLINK("https://propertylookup.dupagecounty.gov/Datalets/Datalet.aspx?UseSearch=no&amp;mode=sales&amp;pin=0215408010","sales record")</f>
        <v>sales record</v>
      </c>
      <c r="AC341" t="s">
        <v>3</v>
      </c>
      <c r="AD341">
        <v>41.953602</v>
      </c>
      <c r="AE341">
        <v>-88.07662500000001</v>
      </c>
      <c r="AF341" s="5" t="str">
        <f>HYPERLINK("https://www.google.com/maps/search/?api=1&amp;query=41.953602,-88.076625","map")</f>
        <v>map</v>
      </c>
    </row>
    <row r="342" spans="1:32">
      <c r="A342" t="s">
        <v>392</v>
      </c>
      <c r="B342" t="s">
        <v>7972</v>
      </c>
      <c r="C342" t="s">
        <v>15118</v>
      </c>
      <c r="D342" t="s">
        <v>16196</v>
      </c>
      <c r="E342" t="s">
        <v>16218</v>
      </c>
      <c r="F342" t="s">
        <v>16221</v>
      </c>
      <c r="G342" t="s">
        <v>16235</v>
      </c>
      <c r="H342" t="s">
        <v>16241</v>
      </c>
      <c r="I342" t="s">
        <v>16313</v>
      </c>
      <c r="J342" t="s">
        <v>16385</v>
      </c>
      <c r="K342">
        <v>0.199</v>
      </c>
      <c r="L342">
        <v>8662</v>
      </c>
      <c r="M342">
        <v>2254</v>
      </c>
      <c r="N342" t="s">
        <v>16393</v>
      </c>
      <c r="O342" s="4">
        <v>40342</v>
      </c>
      <c r="P342" s="4">
        <v>91691</v>
      </c>
      <c r="Q342" s="4">
        <v>132033</v>
      </c>
      <c r="R342" s="4">
        <v>396099</v>
      </c>
      <c r="S342" t="s">
        <v>16723</v>
      </c>
      <c r="T342" s="6">
        <v>36526</v>
      </c>
      <c r="U342" s="4">
        <v>224500</v>
      </c>
      <c r="V342" t="s">
        <v>23739</v>
      </c>
      <c r="W342" t="s">
        <v>23890</v>
      </c>
      <c r="X342" t="s">
        <v>3</v>
      </c>
      <c r="AA342" s="5" t="str">
        <f>HYPERLINK("https://www.zillow.com/homes/159-BRAINTREE-DR-BLOOMINGDALE-IL-60108_rb/","check listing")</f>
        <v>check listing</v>
      </c>
      <c r="AB342" s="5" t="str">
        <f>HYPERLINK("https://propertylookup.dupagecounty.gov/Datalets/Datalet.aspx?UseSearch=no&amp;mode=sales&amp;pin=0215411014","sales record")</f>
        <v>sales record</v>
      </c>
      <c r="AC342" t="s">
        <v>27873</v>
      </c>
      <c r="AD342">
        <v>41.952278</v>
      </c>
      <c r="AE342">
        <v>-88.07601699999999</v>
      </c>
      <c r="AF342" s="5" t="str">
        <f>HYPERLINK("https://www.google.com/maps/search/?api=1&amp;query=41.952278,-88.076017","map")</f>
        <v>map</v>
      </c>
    </row>
    <row r="343" spans="1:32">
      <c r="A343" t="s">
        <v>393</v>
      </c>
      <c r="B343" t="s">
        <v>7973</v>
      </c>
      <c r="C343" t="s">
        <v>15141</v>
      </c>
      <c r="D343" t="s">
        <v>16196</v>
      </c>
      <c r="E343" t="s">
        <v>16218</v>
      </c>
      <c r="F343" t="s">
        <v>16221</v>
      </c>
      <c r="G343" t="s">
        <v>16235</v>
      </c>
      <c r="H343" t="s">
        <v>16241</v>
      </c>
      <c r="I343" t="s">
        <v>16313</v>
      </c>
      <c r="J343" t="s">
        <v>16385</v>
      </c>
      <c r="K343">
        <v>0.198</v>
      </c>
      <c r="L343">
        <v>8636</v>
      </c>
      <c r="M343">
        <v>1914</v>
      </c>
      <c r="N343" t="s">
        <v>16393</v>
      </c>
      <c r="O343" s="4">
        <v>40342</v>
      </c>
      <c r="P343" s="4">
        <v>102784</v>
      </c>
      <c r="Q343" s="4">
        <v>143126</v>
      </c>
      <c r="R343" s="4">
        <v>429378</v>
      </c>
      <c r="S343" t="s">
        <v>16724</v>
      </c>
      <c r="T343" s="6">
        <v>43525</v>
      </c>
      <c r="U343" s="4">
        <v>340000</v>
      </c>
      <c r="V343" t="s">
        <v>23740</v>
      </c>
      <c r="W343" t="s">
        <v>16724</v>
      </c>
      <c r="X343" t="s">
        <v>3</v>
      </c>
      <c r="AA343" s="5" t="str">
        <f>HYPERLINK("https://www.zillow.com/homes/155-CAMBRIDGE-LN-BLOOMINGDALE-IL-601081551_rb/","check listing")</f>
        <v>check listing</v>
      </c>
      <c r="AB343" s="5" t="str">
        <f>HYPERLINK("https://propertylookup.dupagecounty.gov/Datalets/Datalet.aspx?UseSearch=no&amp;mode=sales&amp;pin=0215409006","sales record")</f>
        <v>sales record</v>
      </c>
      <c r="AC343" t="s">
        <v>27873</v>
      </c>
      <c r="AD343">
        <v>41.952712</v>
      </c>
      <c r="AE343">
        <v>-88.077253</v>
      </c>
      <c r="AF343" s="5" t="str">
        <f>HYPERLINK("https://www.google.com/maps/search/?api=1&amp;query=41.952712,-88.077253","map")</f>
        <v>map</v>
      </c>
    </row>
    <row r="344" spans="1:32">
      <c r="A344" t="s">
        <v>394</v>
      </c>
      <c r="B344" t="s">
        <v>7974</v>
      </c>
      <c r="C344" t="s">
        <v>15118</v>
      </c>
      <c r="D344" t="s">
        <v>16196</v>
      </c>
      <c r="E344" t="s">
        <v>16218</v>
      </c>
      <c r="F344" t="s">
        <v>16221</v>
      </c>
      <c r="G344" t="s">
        <v>16235</v>
      </c>
      <c r="H344" t="s">
        <v>16241</v>
      </c>
      <c r="I344" t="s">
        <v>16313</v>
      </c>
      <c r="J344" t="s">
        <v>16385</v>
      </c>
      <c r="K344">
        <v>0.197</v>
      </c>
      <c r="L344">
        <v>8600</v>
      </c>
      <c r="M344">
        <v>1319</v>
      </c>
      <c r="N344" t="s">
        <v>16393</v>
      </c>
      <c r="O344" s="4">
        <v>40342</v>
      </c>
      <c r="P344" s="4">
        <v>104744</v>
      </c>
      <c r="Q344" s="4">
        <v>145086</v>
      </c>
      <c r="R344" s="4">
        <v>435258</v>
      </c>
      <c r="S344" t="s">
        <v>16725</v>
      </c>
      <c r="T344" s="6">
        <v>32905</v>
      </c>
      <c r="U344" s="4">
        <v>137000</v>
      </c>
      <c r="X344" t="s">
        <v>3</v>
      </c>
      <c r="AA344" s="5" t="str">
        <f>HYPERLINK("https://www.zillow.com/homes/195-BRAINTREE-DR-BLOOMINGDALE-IL-60108_rb/","check listing")</f>
        <v>check listing</v>
      </c>
      <c r="AB344" s="5" t="str">
        <f>HYPERLINK("https://propertylookup.dupagecounty.gov/Datalets/Datalet.aspx?UseSearch=no&amp;mode=sales&amp;pin=0215412029","sales record")</f>
        <v>sales record</v>
      </c>
      <c r="AC344" t="s">
        <v>3</v>
      </c>
      <c r="AD344">
        <v>41.949758</v>
      </c>
      <c r="AE344">
        <v>-88.074502</v>
      </c>
      <c r="AF344" s="5" t="str">
        <f>HYPERLINK("https://www.google.com/maps/search/?api=1&amp;query=41.949758,-88.074502","map")</f>
        <v>map</v>
      </c>
    </row>
    <row r="345" spans="1:32">
      <c r="A345" t="s">
        <v>395</v>
      </c>
      <c r="B345" t="s">
        <v>7975</v>
      </c>
      <c r="C345" t="s">
        <v>15149</v>
      </c>
      <c r="D345" t="s">
        <v>16196</v>
      </c>
      <c r="E345" t="s">
        <v>16218</v>
      </c>
      <c r="F345" t="s">
        <v>16221</v>
      </c>
      <c r="G345" t="s">
        <v>16236</v>
      </c>
      <c r="H345" t="s">
        <v>16241</v>
      </c>
      <c r="I345" t="s">
        <v>16313</v>
      </c>
      <c r="J345" t="s">
        <v>16385</v>
      </c>
      <c r="K345">
        <v>0.197</v>
      </c>
      <c r="L345">
        <v>8599</v>
      </c>
      <c r="M345">
        <v>2639</v>
      </c>
      <c r="N345" t="s">
        <v>16393</v>
      </c>
      <c r="O345" s="4">
        <v>29656</v>
      </c>
      <c r="P345" s="4">
        <v>130336</v>
      </c>
      <c r="Q345" s="4">
        <v>159992</v>
      </c>
      <c r="R345" s="4">
        <v>479976</v>
      </c>
      <c r="S345" t="s">
        <v>16726</v>
      </c>
      <c r="T345" s="6">
        <v>43221</v>
      </c>
      <c r="U345" s="4">
        <v>380000</v>
      </c>
      <c r="V345" t="s">
        <v>23739</v>
      </c>
      <c r="W345" t="s">
        <v>16726</v>
      </c>
      <c r="X345" t="s">
        <v>3</v>
      </c>
      <c r="AA345" s="5" t="str">
        <f>HYPERLINK("https://www.zillow.com/homes/240-BISCAYNE-ST-BLOOMINGDALE-IL-601083311_rb/","check listing")</f>
        <v>check listing</v>
      </c>
      <c r="AB345" s="5" t="str">
        <f>HYPERLINK("https://propertylookup.dupagecounty.gov/Datalets/Datalet.aspx?UseSearch=no&amp;mode=sales&amp;pin=0208302034","sales record")</f>
        <v>sales record</v>
      </c>
      <c r="AC345" t="s">
        <v>3</v>
      </c>
      <c r="AD345">
        <v>41.965344</v>
      </c>
      <c r="AE345">
        <v>-88.122713</v>
      </c>
      <c r="AF345" s="5" t="str">
        <f>HYPERLINK("https://www.google.com/maps/search/?api=1&amp;query=41.965344,-88.122713","map")</f>
        <v>map</v>
      </c>
    </row>
    <row r="346" spans="1:32">
      <c r="A346" t="s">
        <v>396</v>
      </c>
      <c r="B346" t="s">
        <v>7976</v>
      </c>
      <c r="C346" t="s">
        <v>15118</v>
      </c>
      <c r="D346" t="s">
        <v>16196</v>
      </c>
      <c r="E346" t="s">
        <v>16218</v>
      </c>
      <c r="F346" t="s">
        <v>16221</v>
      </c>
      <c r="G346" t="s">
        <v>16235</v>
      </c>
      <c r="H346" t="s">
        <v>16241</v>
      </c>
      <c r="I346" t="s">
        <v>16313</v>
      </c>
      <c r="J346" t="s">
        <v>16385</v>
      </c>
      <c r="K346">
        <v>0.197</v>
      </c>
      <c r="L346">
        <v>8591</v>
      </c>
      <c r="M346">
        <v>1825</v>
      </c>
      <c r="N346" t="s">
        <v>16393</v>
      </c>
      <c r="O346" s="4">
        <v>40342</v>
      </c>
      <c r="P346" s="4">
        <v>112490</v>
      </c>
      <c r="Q346" s="4">
        <v>152832</v>
      </c>
      <c r="R346" s="4">
        <v>458496</v>
      </c>
      <c r="S346" t="s">
        <v>16727</v>
      </c>
      <c r="T346" s="6">
        <v>38169</v>
      </c>
      <c r="U346" s="4">
        <v>345000</v>
      </c>
      <c r="V346" t="s">
        <v>23739</v>
      </c>
      <c r="W346" t="s">
        <v>23891</v>
      </c>
      <c r="X346" t="s">
        <v>3</v>
      </c>
      <c r="AA346" s="5" t="str">
        <f>HYPERLINK("https://www.zillow.com/homes/167-CAMBRIDGE-LN-BLOOMINGDALE-IL-60108_rb/","check listing")</f>
        <v>check listing</v>
      </c>
      <c r="AB346" s="5" t="str">
        <f>HYPERLINK("https://propertylookup.dupagecounty.gov/Datalets/Datalet.aspx?UseSearch=no&amp;mode=sales&amp;pin=0215409012","sales record")</f>
        <v>sales record</v>
      </c>
      <c r="AC346" t="s">
        <v>27873</v>
      </c>
      <c r="AD346">
        <v>41.951716</v>
      </c>
      <c r="AE346">
        <v>-88.077208</v>
      </c>
      <c r="AF346" s="5" t="str">
        <f>HYPERLINK("https://www.google.com/maps/search/?api=1&amp;query=41.951716,-88.077208","map")</f>
        <v>map</v>
      </c>
    </row>
    <row r="347" spans="1:32">
      <c r="A347" t="s">
        <v>397</v>
      </c>
      <c r="B347" t="s">
        <v>7977</v>
      </c>
      <c r="C347" t="s">
        <v>15118</v>
      </c>
      <c r="D347" t="s">
        <v>16196</v>
      </c>
      <c r="E347" t="s">
        <v>16218</v>
      </c>
      <c r="F347" t="s">
        <v>16221</v>
      </c>
      <c r="G347" t="s">
        <v>16235</v>
      </c>
      <c r="H347" t="s">
        <v>16241</v>
      </c>
      <c r="I347" t="s">
        <v>16313</v>
      </c>
      <c r="J347" t="s">
        <v>16385</v>
      </c>
      <c r="K347">
        <v>0.197</v>
      </c>
      <c r="L347">
        <v>8585</v>
      </c>
      <c r="M347">
        <v>2477</v>
      </c>
      <c r="N347" t="s">
        <v>16393</v>
      </c>
      <c r="O347" s="4">
        <v>40342</v>
      </c>
      <c r="P347" s="4">
        <v>111498</v>
      </c>
      <c r="Q347" s="4">
        <v>151840</v>
      </c>
      <c r="R347" s="4">
        <v>455520</v>
      </c>
      <c r="S347" t="s">
        <v>16728</v>
      </c>
      <c r="X347" t="s">
        <v>3</v>
      </c>
      <c r="AA347" s="5" t="str">
        <f>HYPERLINK("https://www.zillow.com/homes/183-BOURNE-LN-BLOOMINGDALE-IL-60108_rb/","check listing")</f>
        <v>check listing</v>
      </c>
      <c r="AB347" s="5" t="str">
        <f>HYPERLINK("https://propertylookup.dupagecounty.gov/Datalets/Datalet.aspx?UseSearch=no&amp;mode=sales&amp;pin=0215411026","sales record")</f>
        <v>sales record</v>
      </c>
      <c r="AC347" t="s">
        <v>3</v>
      </c>
      <c r="AD347">
        <v>41.951632</v>
      </c>
      <c r="AE347">
        <v>-88.074412</v>
      </c>
      <c r="AF347" s="5" t="str">
        <f>HYPERLINK("https://www.google.com/maps/search/?api=1&amp;query=41.951632,-88.074412","map")</f>
        <v>map</v>
      </c>
    </row>
    <row r="348" spans="1:32">
      <c r="A348" t="s">
        <v>398</v>
      </c>
      <c r="B348" t="s">
        <v>7978</v>
      </c>
      <c r="C348" t="s">
        <v>15118</v>
      </c>
      <c r="D348" t="s">
        <v>16196</v>
      </c>
      <c r="E348" t="s">
        <v>16218</v>
      </c>
      <c r="F348" t="s">
        <v>16221</v>
      </c>
      <c r="G348" t="s">
        <v>16236</v>
      </c>
      <c r="H348" t="s">
        <v>16241</v>
      </c>
      <c r="I348" t="s">
        <v>16313</v>
      </c>
      <c r="J348" t="s">
        <v>16385</v>
      </c>
      <c r="K348">
        <v>0.197</v>
      </c>
      <c r="L348">
        <v>8584</v>
      </c>
      <c r="M348">
        <v>2167</v>
      </c>
      <c r="N348" t="s">
        <v>16393</v>
      </c>
      <c r="O348" s="4">
        <v>29656</v>
      </c>
      <c r="P348" s="4">
        <v>126930</v>
      </c>
      <c r="Q348" s="4">
        <v>156586</v>
      </c>
      <c r="R348" s="4">
        <v>469758</v>
      </c>
      <c r="S348" t="s">
        <v>16729</v>
      </c>
      <c r="T348" s="6">
        <v>39692</v>
      </c>
      <c r="U348" s="4">
        <v>375000</v>
      </c>
      <c r="V348" t="s">
        <v>23739</v>
      </c>
      <c r="W348" t="s">
        <v>23892</v>
      </c>
      <c r="X348" t="s">
        <v>3</v>
      </c>
      <c r="AA348" s="5" t="str">
        <f>HYPERLINK("https://www.zillow.com/homes/214-FRISCO-ST-BLOOMINGDALE-IL-60108_rb/","check listing")</f>
        <v>check listing</v>
      </c>
      <c r="AB348" s="5" t="str">
        <f>HYPERLINK("https://propertylookup.dupagecounty.gov/Datalets/Datalet.aspx?UseSearch=no&amp;mode=sales&amp;pin=0208304002","sales record")</f>
        <v>sales record</v>
      </c>
      <c r="AC348" t="s">
        <v>3</v>
      </c>
      <c r="AD348">
        <v>41.962461</v>
      </c>
      <c r="AE348">
        <v>-88.124753</v>
      </c>
      <c r="AF348" s="5" t="str">
        <f>HYPERLINK("https://www.google.com/maps/search/?api=1&amp;query=41.962461,-88.124753","map")</f>
        <v>map</v>
      </c>
    </row>
    <row r="349" spans="1:32">
      <c r="A349" t="s">
        <v>399</v>
      </c>
      <c r="B349" t="s">
        <v>7979</v>
      </c>
      <c r="C349" t="s">
        <v>15150</v>
      </c>
      <c r="D349" t="s">
        <v>16196</v>
      </c>
      <c r="E349" t="s">
        <v>16218</v>
      </c>
      <c r="F349" t="s">
        <v>16221</v>
      </c>
      <c r="G349" t="s">
        <v>16235</v>
      </c>
      <c r="H349" t="s">
        <v>16241</v>
      </c>
      <c r="I349" t="s">
        <v>16313</v>
      </c>
      <c r="J349" t="s">
        <v>16385</v>
      </c>
      <c r="K349">
        <v>0.197</v>
      </c>
      <c r="L349">
        <v>8581</v>
      </c>
      <c r="M349">
        <v>2564</v>
      </c>
      <c r="N349" t="s">
        <v>16393</v>
      </c>
      <c r="O349" s="4">
        <v>40342</v>
      </c>
      <c r="P349" s="4">
        <v>91691</v>
      </c>
      <c r="Q349" s="4">
        <v>132033</v>
      </c>
      <c r="R349" s="4">
        <v>396099</v>
      </c>
      <c r="S349" t="s">
        <v>16730</v>
      </c>
      <c r="T349" s="6">
        <v>46059</v>
      </c>
      <c r="U349" s="4">
        <v>642500</v>
      </c>
      <c r="V349" t="s">
        <v>23739</v>
      </c>
      <c r="W349" t="s">
        <v>23893</v>
      </c>
      <c r="X349" t="s">
        <v>3</v>
      </c>
      <c r="AA349" s="5" t="str">
        <f>HYPERLINK("https://www.zillow.com/homes/187-BOURNE-LN-BLOOMINGDALE-IL-601081530_rb/","check listing")</f>
        <v>check listing</v>
      </c>
      <c r="AB349" s="5" t="str">
        <f>HYPERLINK("https://propertylookup.dupagecounty.gov/Datalets/Datalet.aspx?UseSearch=no&amp;mode=sales&amp;pin=0215411027","sales record")</f>
        <v>sales record</v>
      </c>
      <c r="AC349" t="s">
        <v>3</v>
      </c>
      <c r="AD349">
        <v>41.95168</v>
      </c>
      <c r="AE349">
        <v>-88.074202</v>
      </c>
      <c r="AF349" s="5" t="str">
        <f>HYPERLINK("https://www.google.com/maps/search/?api=1&amp;query=41.95168,-88.074202","map")</f>
        <v>map</v>
      </c>
    </row>
    <row r="350" spans="1:32">
      <c r="A350" t="s">
        <v>400</v>
      </c>
      <c r="B350" t="s">
        <v>7980</v>
      </c>
      <c r="C350" t="s">
        <v>15118</v>
      </c>
      <c r="D350" t="s">
        <v>16196</v>
      </c>
      <c r="E350" t="s">
        <v>16218</v>
      </c>
      <c r="F350" t="s">
        <v>16221</v>
      </c>
      <c r="G350" t="s">
        <v>16236</v>
      </c>
      <c r="H350" t="s">
        <v>16241</v>
      </c>
      <c r="I350" t="s">
        <v>16313</v>
      </c>
      <c r="J350" t="s">
        <v>16385</v>
      </c>
      <c r="K350">
        <v>0.197</v>
      </c>
      <c r="L350">
        <v>8570</v>
      </c>
      <c r="M350">
        <v>2329</v>
      </c>
      <c r="N350" t="s">
        <v>16393</v>
      </c>
      <c r="O350" s="4">
        <v>29656</v>
      </c>
      <c r="P350" s="4">
        <v>120092</v>
      </c>
      <c r="Q350" s="4">
        <v>149748</v>
      </c>
      <c r="R350" s="4">
        <v>449244</v>
      </c>
      <c r="S350" t="s">
        <v>16731</v>
      </c>
      <c r="T350" s="6">
        <v>35004</v>
      </c>
      <c r="U350" s="4">
        <v>222840</v>
      </c>
      <c r="X350" t="s">
        <v>3</v>
      </c>
      <c r="AA350" s="5" t="str">
        <f>HYPERLINK("https://www.zillow.com/homes/260-BISCAYNE-ST-BLOOMINGDALE-IL-60108_rb/","check listing")</f>
        <v>check listing</v>
      </c>
      <c r="AB350" s="5" t="str">
        <f>HYPERLINK("https://propertylookup.dupagecounty.gov/Datalets/Datalet.aspx?UseSearch=no&amp;mode=sales&amp;pin=0208302023","sales record")</f>
        <v>sales record</v>
      </c>
      <c r="AC350" t="s">
        <v>3</v>
      </c>
      <c r="AD350">
        <v>41.965135</v>
      </c>
      <c r="AE350">
        <v>-88.120836</v>
      </c>
      <c r="AF350" s="5" t="str">
        <f>HYPERLINK("https://www.google.com/maps/search/?api=1&amp;query=41.965135,-88.120836","map")</f>
        <v>map</v>
      </c>
    </row>
    <row r="351" spans="1:32">
      <c r="A351" t="s">
        <v>401</v>
      </c>
      <c r="B351" t="s">
        <v>7981</v>
      </c>
      <c r="C351" t="s">
        <v>15118</v>
      </c>
      <c r="D351" t="s">
        <v>16196</v>
      </c>
      <c r="E351" t="s">
        <v>16218</v>
      </c>
      <c r="F351" t="s">
        <v>16221</v>
      </c>
      <c r="G351" t="s">
        <v>16235</v>
      </c>
      <c r="H351" t="s">
        <v>16241</v>
      </c>
      <c r="I351" t="s">
        <v>16313</v>
      </c>
      <c r="J351" t="s">
        <v>16385</v>
      </c>
      <c r="K351">
        <v>0.196</v>
      </c>
      <c r="L351">
        <v>8557</v>
      </c>
      <c r="M351">
        <v>2120</v>
      </c>
      <c r="N351" t="s">
        <v>16393</v>
      </c>
      <c r="O351" s="4">
        <v>40342</v>
      </c>
      <c r="P351" s="4">
        <v>106800</v>
      </c>
      <c r="Q351" s="4">
        <v>147142</v>
      </c>
      <c r="R351" s="4">
        <v>441426</v>
      </c>
      <c r="S351" t="s">
        <v>16732</v>
      </c>
      <c r="T351" s="6">
        <v>42186</v>
      </c>
      <c r="U351" s="4">
        <v>345000</v>
      </c>
      <c r="V351" t="s">
        <v>23739</v>
      </c>
      <c r="W351" t="s">
        <v>16732</v>
      </c>
      <c r="X351" t="s">
        <v>3</v>
      </c>
      <c r="AA351" s="5" t="str">
        <f>HYPERLINK("https://www.zillow.com/homes/158-BRAINTREE-DR-BLOOMINGDALE-IL-60108_rb/","check listing")</f>
        <v>check listing</v>
      </c>
      <c r="AB351" s="5" t="str">
        <f>HYPERLINK("https://propertylookup.dupagecounty.gov/Datalets/Datalet.aspx?UseSearch=no&amp;mode=sales&amp;pin=0215409019","sales record")</f>
        <v>sales record</v>
      </c>
      <c r="AC351" t="s">
        <v>27873</v>
      </c>
      <c r="AD351">
        <v>41.952561</v>
      </c>
      <c r="AE351">
        <v>-88.07673800000001</v>
      </c>
      <c r="AF351" s="5" t="str">
        <f>HYPERLINK("https://www.google.com/maps/search/?api=1&amp;query=41.952561,-88.076738","map")</f>
        <v>map</v>
      </c>
    </row>
    <row r="352" spans="1:32">
      <c r="A352" t="s">
        <v>402</v>
      </c>
      <c r="B352" t="s">
        <v>7982</v>
      </c>
      <c r="C352" t="s">
        <v>15151</v>
      </c>
      <c r="D352" t="s">
        <v>16196</v>
      </c>
      <c r="E352" t="s">
        <v>16218</v>
      </c>
      <c r="F352" t="s">
        <v>16221</v>
      </c>
      <c r="G352" t="s">
        <v>16236</v>
      </c>
      <c r="H352" t="s">
        <v>16241</v>
      </c>
      <c r="I352" t="s">
        <v>16313</v>
      </c>
      <c r="J352" t="s">
        <v>16385</v>
      </c>
      <c r="K352">
        <v>0.196</v>
      </c>
      <c r="L352">
        <v>8549</v>
      </c>
      <c r="M352">
        <v>1996</v>
      </c>
      <c r="N352" t="s">
        <v>16393</v>
      </c>
      <c r="O352" s="4">
        <v>29656</v>
      </c>
      <c r="P352" s="4">
        <v>123977</v>
      </c>
      <c r="Q352" s="4">
        <v>153633</v>
      </c>
      <c r="R352" s="4">
        <v>460899</v>
      </c>
      <c r="S352" t="s">
        <v>16733</v>
      </c>
      <c r="T352" s="6">
        <v>38808</v>
      </c>
      <c r="U352" s="4">
        <v>380000</v>
      </c>
      <c r="V352" t="s">
        <v>23739</v>
      </c>
      <c r="W352" t="s">
        <v>16733</v>
      </c>
      <c r="X352" t="s">
        <v>3</v>
      </c>
      <c r="AA352" s="5" t="str">
        <f>HYPERLINK("https://www.zillow.com/homes/301-CHESAPEAKE-LN-BLOOMINGDALE-IL-601083306_rb/","check listing")</f>
        <v>check listing</v>
      </c>
      <c r="AB352" s="5" t="str">
        <f>HYPERLINK("https://propertylookup.dupagecounty.gov/Datalets/Datalet.aspx?UseSearch=no&amp;mode=sales&amp;pin=0208303032","sales record")</f>
        <v>sales record</v>
      </c>
      <c r="AC352" t="s">
        <v>3</v>
      </c>
      <c r="AD352">
        <v>41.962522</v>
      </c>
      <c r="AE352">
        <v>-88.121495</v>
      </c>
      <c r="AF352" s="5" t="str">
        <f>HYPERLINK("https://www.google.com/maps/search/?api=1&amp;query=41.962522,-88.121495","map")</f>
        <v>map</v>
      </c>
    </row>
    <row r="353" spans="1:32">
      <c r="A353" t="s">
        <v>403</v>
      </c>
      <c r="B353" t="s">
        <v>7983</v>
      </c>
      <c r="C353" t="s">
        <v>15118</v>
      </c>
      <c r="D353" t="s">
        <v>16196</v>
      </c>
      <c r="E353" t="s">
        <v>16218</v>
      </c>
      <c r="F353" t="s">
        <v>16221</v>
      </c>
      <c r="G353" t="s">
        <v>16236</v>
      </c>
      <c r="H353" t="s">
        <v>16241</v>
      </c>
      <c r="I353" t="s">
        <v>16313</v>
      </c>
      <c r="J353" t="s">
        <v>16385</v>
      </c>
      <c r="K353">
        <v>0.196</v>
      </c>
      <c r="L353">
        <v>8545</v>
      </c>
      <c r="M353">
        <v>2143</v>
      </c>
      <c r="N353" t="s">
        <v>16393</v>
      </c>
      <c r="O353" s="4">
        <v>29656</v>
      </c>
      <c r="P353" s="4">
        <v>119662</v>
      </c>
      <c r="Q353" s="4">
        <v>149318</v>
      </c>
      <c r="R353" s="4">
        <v>447954</v>
      </c>
      <c r="S353" t="s">
        <v>16734</v>
      </c>
      <c r="T353" s="6">
        <v>34820</v>
      </c>
      <c r="U353" s="4">
        <v>215500</v>
      </c>
      <c r="X353" t="s">
        <v>3</v>
      </c>
      <c r="AA353" s="5" t="str">
        <f>HYPERLINK("https://www.zillow.com/homes/204-FRISCO-CT-BLOOMINGDALE-IL-60108_rb/","check listing")</f>
        <v>check listing</v>
      </c>
      <c r="AB353" s="5" t="str">
        <f>HYPERLINK("https://propertylookup.dupagecounty.gov/Datalets/Datalet.aspx?UseSearch=no&amp;mode=sales&amp;pin=0208303013","sales record")</f>
        <v>sales record</v>
      </c>
      <c r="AC353" t="s">
        <v>3</v>
      </c>
      <c r="AD353">
        <v>41.962194</v>
      </c>
      <c r="AE353">
        <v>-88.123287</v>
      </c>
      <c r="AF353" s="5" t="str">
        <f>HYPERLINK("https://www.google.com/maps/search/?api=1&amp;query=41.962194,-88.123287","map")</f>
        <v>map</v>
      </c>
    </row>
    <row r="354" spans="1:32">
      <c r="A354" t="s">
        <v>404</v>
      </c>
      <c r="B354" t="s">
        <v>7984</v>
      </c>
      <c r="C354" t="s">
        <v>15136</v>
      </c>
      <c r="D354" t="s">
        <v>16196</v>
      </c>
      <c r="E354" t="s">
        <v>16218</v>
      </c>
      <c r="F354" t="s">
        <v>16221</v>
      </c>
      <c r="G354" t="s">
        <v>16236</v>
      </c>
      <c r="H354" t="s">
        <v>16241</v>
      </c>
      <c r="I354" t="s">
        <v>16313</v>
      </c>
      <c r="J354" t="s">
        <v>16385</v>
      </c>
      <c r="K354">
        <v>0.196</v>
      </c>
      <c r="L354">
        <v>8521</v>
      </c>
      <c r="M354">
        <v>2677</v>
      </c>
      <c r="N354" t="s">
        <v>16393</v>
      </c>
      <c r="O354" s="4">
        <v>29656</v>
      </c>
      <c r="P354" s="4">
        <v>117606</v>
      </c>
      <c r="Q354" s="4">
        <v>147262</v>
      </c>
      <c r="R354" s="4">
        <v>441786</v>
      </c>
      <c r="S354" t="s">
        <v>16735</v>
      </c>
      <c r="T354" s="6">
        <v>43282</v>
      </c>
      <c r="U354" s="4">
        <v>340000</v>
      </c>
      <c r="V354" t="s">
        <v>23739</v>
      </c>
      <c r="W354" t="s">
        <v>23894</v>
      </c>
      <c r="X354" t="s">
        <v>3</v>
      </c>
      <c r="AA354" s="5" t="str">
        <f>HYPERLINK("https://www.zillow.com/homes/206-FRISCO-CT-BLOOMINGDALE-IL-601083299_rb/","check listing")</f>
        <v>check listing</v>
      </c>
      <c r="AB354" s="5" t="str">
        <f>HYPERLINK("https://propertylookup.dupagecounty.gov/Datalets/Datalet.aspx?UseSearch=no&amp;mode=sales&amp;pin=0208303014","sales record")</f>
        <v>sales record</v>
      </c>
      <c r="AC354" t="s">
        <v>3</v>
      </c>
      <c r="AD354">
        <v>41.962207</v>
      </c>
      <c r="AE354">
        <v>-88.123576</v>
      </c>
      <c r="AF354" s="5" t="str">
        <f>HYPERLINK("https://www.google.com/maps/search/?api=1&amp;query=41.962207,-88.123576","map")</f>
        <v>map</v>
      </c>
    </row>
    <row r="355" spans="1:32">
      <c r="A355" t="s">
        <v>405</v>
      </c>
      <c r="B355" t="s">
        <v>7985</v>
      </c>
      <c r="C355" t="s">
        <v>15118</v>
      </c>
      <c r="D355" t="s">
        <v>16196</v>
      </c>
      <c r="E355" t="s">
        <v>16218</v>
      </c>
      <c r="F355" t="s">
        <v>16221</v>
      </c>
      <c r="G355" t="s">
        <v>16235</v>
      </c>
      <c r="H355" t="s">
        <v>16241</v>
      </c>
      <c r="I355" t="s">
        <v>16313</v>
      </c>
      <c r="J355" t="s">
        <v>16385</v>
      </c>
      <c r="K355">
        <v>0.195</v>
      </c>
      <c r="L355">
        <v>8514</v>
      </c>
      <c r="M355">
        <v>2143</v>
      </c>
      <c r="N355" t="s">
        <v>16393</v>
      </c>
      <c r="O355" s="4">
        <v>40342</v>
      </c>
      <c r="P355" s="4">
        <v>103644</v>
      </c>
      <c r="Q355" s="4">
        <v>143986</v>
      </c>
      <c r="R355" s="4">
        <v>431958</v>
      </c>
      <c r="S355" t="s">
        <v>16736</v>
      </c>
      <c r="T355" s="6">
        <v>45481</v>
      </c>
      <c r="U355" s="4">
        <v>475000</v>
      </c>
      <c r="V355" t="s">
        <v>23739</v>
      </c>
      <c r="W355" t="s">
        <v>23895</v>
      </c>
      <c r="X355" t="s">
        <v>3</v>
      </c>
      <c r="AA355" s="5" t="str">
        <f>HYPERLINK("https://www.zillow.com/homes/185-SALEM-CT-BLOOMINGDALE-IL-60108_rb/","check listing")</f>
        <v>check listing</v>
      </c>
      <c r="AB355" s="5" t="str">
        <f>HYPERLINK("https://propertylookup.dupagecounty.gov/Datalets/Datalet.aspx?UseSearch=no&amp;mode=sales&amp;pin=0215412010","sales record")</f>
        <v>sales record</v>
      </c>
      <c r="AC355" t="s">
        <v>3</v>
      </c>
      <c r="AD355">
        <v>41.950775</v>
      </c>
      <c r="AE355">
        <v>-88.07405799999999</v>
      </c>
      <c r="AF355" s="5" t="str">
        <f>HYPERLINK("https://www.google.com/maps/search/?api=1&amp;query=41.950775,-88.074058","map")</f>
        <v>map</v>
      </c>
    </row>
    <row r="356" spans="1:32">
      <c r="A356" t="s">
        <v>406</v>
      </c>
      <c r="B356" t="s">
        <v>7986</v>
      </c>
      <c r="C356" t="s">
        <v>15118</v>
      </c>
      <c r="D356" t="s">
        <v>16196</v>
      </c>
      <c r="E356" t="s">
        <v>16218</v>
      </c>
      <c r="F356" t="s">
        <v>16221</v>
      </c>
      <c r="G356" t="s">
        <v>16235</v>
      </c>
      <c r="H356" t="s">
        <v>16241</v>
      </c>
      <c r="I356" t="s">
        <v>16313</v>
      </c>
      <c r="J356" t="s">
        <v>16385</v>
      </c>
      <c r="K356">
        <v>0.195</v>
      </c>
      <c r="L356">
        <v>8490</v>
      </c>
      <c r="M356">
        <v>2919</v>
      </c>
      <c r="N356" t="s">
        <v>16393</v>
      </c>
      <c r="O356" s="4">
        <v>40342</v>
      </c>
      <c r="P356" s="4">
        <v>127097</v>
      </c>
      <c r="Q356" s="4">
        <v>167439</v>
      </c>
      <c r="R356" s="4">
        <v>502317</v>
      </c>
      <c r="S356" t="s">
        <v>16737</v>
      </c>
      <c r="X356" t="s">
        <v>3</v>
      </c>
      <c r="AA356" s="5" t="str">
        <f>HYPERLINK("https://www.zillow.com/homes/171-BOURNE-LN-BLOOMINGDALE-IL-60108_rb/","check listing")</f>
        <v>check listing</v>
      </c>
      <c r="AB356" s="5" t="str">
        <f>HYPERLINK("https://propertylookup.dupagecounty.gov/Datalets/Datalet.aspx?UseSearch=no&amp;mode=sales&amp;pin=0215411023","sales record")</f>
        <v>sales record</v>
      </c>
      <c r="AC356" t="s">
        <v>3</v>
      </c>
      <c r="AD356">
        <v>41.95149</v>
      </c>
      <c r="AE356">
        <v>-88.075039</v>
      </c>
      <c r="AF356" s="5" t="str">
        <f>HYPERLINK("https://www.google.com/maps/search/?api=1&amp;query=41.95149,-88.075039","map")</f>
        <v>map</v>
      </c>
    </row>
    <row r="357" spans="1:32">
      <c r="A357" t="s">
        <v>407</v>
      </c>
      <c r="B357" t="s">
        <v>7987</v>
      </c>
      <c r="C357" t="s">
        <v>15118</v>
      </c>
      <c r="D357" t="s">
        <v>16196</v>
      </c>
      <c r="E357" t="s">
        <v>16218</v>
      </c>
      <c r="F357" t="s">
        <v>16221</v>
      </c>
      <c r="G357" t="s">
        <v>16236</v>
      </c>
      <c r="H357" t="s">
        <v>16241</v>
      </c>
      <c r="I357" t="s">
        <v>16313</v>
      </c>
      <c r="J357" t="s">
        <v>16385</v>
      </c>
      <c r="K357">
        <v>0.195</v>
      </c>
      <c r="L357">
        <v>8476</v>
      </c>
      <c r="M357">
        <v>2176</v>
      </c>
      <c r="N357" t="s">
        <v>16393</v>
      </c>
      <c r="O357" s="4">
        <v>29656</v>
      </c>
      <c r="P357" s="4">
        <v>117534</v>
      </c>
      <c r="Q357" s="4">
        <v>147190</v>
      </c>
      <c r="R357" s="4">
        <v>441570</v>
      </c>
      <c r="S357" t="s">
        <v>16738</v>
      </c>
      <c r="T357" s="6">
        <v>35034</v>
      </c>
      <c r="U357" s="4">
        <v>212545</v>
      </c>
      <c r="X357" t="s">
        <v>3</v>
      </c>
      <c r="AA357" s="5" t="str">
        <f>HYPERLINK("https://www.zillow.com/homes/266-BISCAYNE-ST-BLOOMINGDALE-IL-60108_rb/","check listing")</f>
        <v>check listing</v>
      </c>
      <c r="AB357" s="5" t="str">
        <f>HYPERLINK("https://propertylookup.dupagecounty.gov/Datalets/Datalet.aspx?UseSearch=no&amp;mode=sales&amp;pin=0208302020","sales record")</f>
        <v>sales record</v>
      </c>
      <c r="AC357" t="s">
        <v>3</v>
      </c>
      <c r="AD357">
        <v>41.964632</v>
      </c>
      <c r="AE357">
        <v>-88.120828</v>
      </c>
      <c r="AF357" s="5" t="str">
        <f>HYPERLINK("https://www.google.com/maps/search/?api=1&amp;query=41.964632,-88.120828","map")</f>
        <v>map</v>
      </c>
    </row>
    <row r="358" spans="1:32">
      <c r="A358" t="s">
        <v>408</v>
      </c>
      <c r="B358" t="s">
        <v>7988</v>
      </c>
      <c r="C358" t="s">
        <v>15147</v>
      </c>
      <c r="D358" t="s">
        <v>16196</v>
      </c>
      <c r="E358" t="s">
        <v>16218</v>
      </c>
      <c r="F358" t="s">
        <v>16221</v>
      </c>
      <c r="G358" t="s">
        <v>16235</v>
      </c>
      <c r="H358" t="s">
        <v>16241</v>
      </c>
      <c r="I358" t="s">
        <v>16313</v>
      </c>
      <c r="J358" t="s">
        <v>16385</v>
      </c>
      <c r="K358">
        <v>0.194</v>
      </c>
      <c r="L358">
        <v>8458</v>
      </c>
      <c r="M358">
        <v>1941</v>
      </c>
      <c r="N358" t="s">
        <v>16393</v>
      </c>
      <c r="O358" s="4">
        <v>40342</v>
      </c>
      <c r="P358" s="4">
        <v>104744</v>
      </c>
      <c r="Q358" s="4">
        <v>145086</v>
      </c>
      <c r="R358" s="4">
        <v>435258</v>
      </c>
      <c r="S358" t="s">
        <v>16739</v>
      </c>
      <c r="T358" s="6">
        <v>43922</v>
      </c>
      <c r="U358" s="4">
        <v>290000</v>
      </c>
      <c r="V358" t="s">
        <v>23739</v>
      </c>
      <c r="W358" t="s">
        <v>16739</v>
      </c>
      <c r="X358" t="s">
        <v>3</v>
      </c>
      <c r="AA358" s="5" t="str">
        <f>HYPERLINK("https://www.zillow.com/homes/189-BRAINTREE-DR-BLOOMINGDALE-IL-601081533_rb/","check listing")</f>
        <v>check listing</v>
      </c>
      <c r="AB358" s="5" t="str">
        <f>HYPERLINK("https://propertylookup.dupagecounty.gov/Datalets/Datalet.aspx?UseSearch=no&amp;mode=sales&amp;pin=0215412026","sales record")</f>
        <v>sales record</v>
      </c>
      <c r="AC358" t="s">
        <v>3</v>
      </c>
      <c r="AD358">
        <v>41.95002</v>
      </c>
      <c r="AE358">
        <v>-88.075063</v>
      </c>
      <c r="AF358" s="5" t="str">
        <f>HYPERLINK("https://www.google.com/maps/search/?api=1&amp;query=41.95002,-88.075063","map")</f>
        <v>map</v>
      </c>
    </row>
    <row r="359" spans="1:32">
      <c r="A359" t="s">
        <v>409</v>
      </c>
      <c r="B359" t="s">
        <v>7989</v>
      </c>
      <c r="C359" t="s">
        <v>15145</v>
      </c>
      <c r="D359" t="s">
        <v>16196</v>
      </c>
      <c r="E359" t="s">
        <v>16218</v>
      </c>
      <c r="F359" t="s">
        <v>16221</v>
      </c>
      <c r="G359" t="s">
        <v>16235</v>
      </c>
      <c r="H359" t="s">
        <v>16241</v>
      </c>
      <c r="I359" t="s">
        <v>16313</v>
      </c>
      <c r="J359" t="s">
        <v>16385</v>
      </c>
      <c r="K359">
        <v>0.194</v>
      </c>
      <c r="L359">
        <v>8455</v>
      </c>
      <c r="M359">
        <v>2269</v>
      </c>
      <c r="N359" t="s">
        <v>16393</v>
      </c>
      <c r="O359" s="4">
        <v>40342</v>
      </c>
      <c r="P359" s="4">
        <v>95709</v>
      </c>
      <c r="Q359" s="4">
        <v>136051</v>
      </c>
      <c r="R359" s="4">
        <v>408153</v>
      </c>
      <c r="S359" t="s">
        <v>16740</v>
      </c>
      <c r="X359" t="s">
        <v>3</v>
      </c>
      <c r="AA359" s="5" t="str">
        <f>HYPERLINK("https://www.zillow.com/homes/157-BRAINTREE-DR-BLOOMINGDALE-IL-601081532_rb/","check listing")</f>
        <v>check listing</v>
      </c>
      <c r="AB359" s="5" t="str">
        <f>HYPERLINK("https://propertylookup.dupagecounty.gov/Datalets/Datalet.aspx?UseSearch=no&amp;mode=sales&amp;pin=0215411013","sales record")</f>
        <v>sales record</v>
      </c>
      <c r="AC359" t="s">
        <v>27873</v>
      </c>
      <c r="AD359">
        <v>41.95242</v>
      </c>
      <c r="AE359">
        <v>-88.076008</v>
      </c>
      <c r="AF359" s="5" t="str">
        <f>HYPERLINK("https://www.google.com/maps/search/?api=1&amp;query=41.95242,-88.076008","map")</f>
        <v>map</v>
      </c>
    </row>
    <row r="360" spans="1:32">
      <c r="A360" t="s">
        <v>410</v>
      </c>
      <c r="B360" t="s">
        <v>7990</v>
      </c>
      <c r="C360" t="s">
        <v>15118</v>
      </c>
      <c r="D360" t="s">
        <v>16196</v>
      </c>
      <c r="E360" t="s">
        <v>16218</v>
      </c>
      <c r="F360" t="s">
        <v>16221</v>
      </c>
      <c r="G360" t="s">
        <v>16236</v>
      </c>
      <c r="H360" t="s">
        <v>16241</v>
      </c>
      <c r="I360" t="s">
        <v>16313</v>
      </c>
      <c r="J360" t="s">
        <v>16385</v>
      </c>
      <c r="K360">
        <v>0.194</v>
      </c>
      <c r="L360">
        <v>8451</v>
      </c>
      <c r="M360">
        <v>2273</v>
      </c>
      <c r="N360" t="s">
        <v>16393</v>
      </c>
      <c r="O360" s="4">
        <v>29656</v>
      </c>
      <c r="P360" s="4">
        <v>114953</v>
      </c>
      <c r="Q360" s="4">
        <v>144609</v>
      </c>
      <c r="R360" s="4">
        <v>433827</v>
      </c>
      <c r="S360" t="s">
        <v>16741</v>
      </c>
      <c r="T360" s="6">
        <v>35034</v>
      </c>
      <c r="U360" s="4">
        <v>203965</v>
      </c>
      <c r="X360" t="s">
        <v>3</v>
      </c>
      <c r="AA360" s="5" t="str">
        <f>HYPERLINK("https://www.zillow.com/homes/275-BISCAYNE-ST-BLOOMINGDALE-IL-60108_rb/","check listing")</f>
        <v>check listing</v>
      </c>
      <c r="AB360" s="5" t="str">
        <f>HYPERLINK("https://propertylookup.dupagecounty.gov/Datalets/Datalet.aspx?UseSearch=no&amp;mode=sales&amp;pin=0208305018","sales record")</f>
        <v>sales record</v>
      </c>
      <c r="AC360" t="s">
        <v>3</v>
      </c>
      <c r="AD360">
        <v>41.963713</v>
      </c>
      <c r="AE360">
        <v>-88.12143</v>
      </c>
      <c r="AF360" s="5" t="str">
        <f>HYPERLINK("https://www.google.com/maps/search/?api=1&amp;query=41.963713,-88.12143","map")</f>
        <v>map</v>
      </c>
    </row>
    <row r="361" spans="1:32">
      <c r="A361" t="s">
        <v>411</v>
      </c>
      <c r="B361" t="s">
        <v>7991</v>
      </c>
      <c r="C361" t="s">
        <v>15118</v>
      </c>
      <c r="D361" t="s">
        <v>16196</v>
      </c>
      <c r="E361" t="s">
        <v>16218</v>
      </c>
      <c r="F361" t="s">
        <v>16221</v>
      </c>
      <c r="G361" t="s">
        <v>16236</v>
      </c>
      <c r="H361" t="s">
        <v>16241</v>
      </c>
      <c r="I361" t="s">
        <v>16313</v>
      </c>
      <c r="J361" t="s">
        <v>16385</v>
      </c>
      <c r="K361">
        <v>0.194</v>
      </c>
      <c r="L361">
        <v>8447</v>
      </c>
      <c r="M361">
        <v>2358</v>
      </c>
      <c r="N361" t="s">
        <v>16393</v>
      </c>
      <c r="O361" s="4">
        <v>29656</v>
      </c>
      <c r="P361" s="4">
        <v>133862</v>
      </c>
      <c r="Q361" s="4">
        <v>163518</v>
      </c>
      <c r="R361" s="4">
        <v>490554</v>
      </c>
      <c r="S361" t="s">
        <v>16742</v>
      </c>
      <c r="T361" s="6">
        <v>39904</v>
      </c>
      <c r="U361" s="4">
        <v>347000</v>
      </c>
      <c r="V361" t="s">
        <v>23739</v>
      </c>
      <c r="W361" t="s">
        <v>23896</v>
      </c>
      <c r="X361" t="s">
        <v>3</v>
      </c>
      <c r="AA361" s="5" t="str">
        <f>HYPERLINK("https://www.zillow.com/homes/306-MISSION-CT-BLOOMINGDALE-IL-60108_rb/","check listing")</f>
        <v>check listing</v>
      </c>
      <c r="AB361" s="5" t="str">
        <f>HYPERLINK("https://propertylookup.dupagecounty.gov/Datalets/Datalet.aspx?UseSearch=no&amp;mode=sales&amp;pin=0208303044","sales record")</f>
        <v>sales record</v>
      </c>
      <c r="AC361" t="s">
        <v>3</v>
      </c>
      <c r="AD361">
        <v>41.963215</v>
      </c>
      <c r="AE361">
        <v>-88.12344299999999</v>
      </c>
      <c r="AF361" s="5" t="str">
        <f>HYPERLINK("https://www.google.com/maps/search/?api=1&amp;query=41.963215,-88.123443","map")</f>
        <v>map</v>
      </c>
    </row>
    <row r="362" spans="1:32">
      <c r="A362" t="s">
        <v>412</v>
      </c>
      <c r="B362" t="s">
        <v>7992</v>
      </c>
      <c r="C362" t="s">
        <v>15118</v>
      </c>
      <c r="D362" t="s">
        <v>16196</v>
      </c>
      <c r="E362" t="s">
        <v>16218</v>
      </c>
      <c r="F362" t="s">
        <v>16221</v>
      </c>
      <c r="G362" t="s">
        <v>16236</v>
      </c>
      <c r="H362" t="s">
        <v>16241</v>
      </c>
      <c r="I362" t="s">
        <v>16313</v>
      </c>
      <c r="J362" t="s">
        <v>16385</v>
      </c>
      <c r="K362">
        <v>0.194</v>
      </c>
      <c r="L362">
        <v>8444</v>
      </c>
      <c r="M362">
        <v>2119</v>
      </c>
      <c r="N362" t="s">
        <v>16393</v>
      </c>
      <c r="O362" s="4">
        <v>29656</v>
      </c>
      <c r="P362" s="4">
        <v>115909</v>
      </c>
      <c r="Q362" s="4">
        <v>145565</v>
      </c>
      <c r="R362" s="4">
        <v>436695</v>
      </c>
      <c r="S362" t="s">
        <v>16743</v>
      </c>
      <c r="T362" s="6">
        <v>34669</v>
      </c>
      <c r="U362" s="4">
        <v>196425</v>
      </c>
      <c r="X362" t="s">
        <v>3</v>
      </c>
      <c r="AA362" s="5" t="str">
        <f>HYPERLINK("https://www.zillow.com/homes/310-CHESAPEAKE-LN-BLOOMINGDALE-IL-60108_rb/","check listing")</f>
        <v>check listing</v>
      </c>
      <c r="AB362" s="5" t="str">
        <f>HYPERLINK("https://propertylookup.dupagecounty.gov/Datalets/Datalet.aspx?UseSearch=no&amp;mode=sales&amp;pin=0208304018","sales record")</f>
        <v>sales record</v>
      </c>
      <c r="AC362" t="s">
        <v>3</v>
      </c>
      <c r="AD362">
        <v>41.961862</v>
      </c>
      <c r="AE362">
        <v>-88.12089</v>
      </c>
      <c r="AF362" s="5" t="str">
        <f>HYPERLINK("https://www.google.com/maps/search/?api=1&amp;query=41.961862,-88.12089","map")</f>
        <v>map</v>
      </c>
    </row>
    <row r="363" spans="1:32">
      <c r="A363" t="s">
        <v>413</v>
      </c>
      <c r="B363" t="s">
        <v>7993</v>
      </c>
      <c r="C363" t="s">
        <v>15152</v>
      </c>
      <c r="D363" t="s">
        <v>16196</v>
      </c>
      <c r="E363" t="s">
        <v>16218</v>
      </c>
      <c r="F363" t="s">
        <v>16221</v>
      </c>
      <c r="G363" t="s">
        <v>16235</v>
      </c>
      <c r="H363" t="s">
        <v>16241</v>
      </c>
      <c r="I363" t="s">
        <v>16313</v>
      </c>
      <c r="J363" t="s">
        <v>16385</v>
      </c>
      <c r="K363">
        <v>0.193</v>
      </c>
      <c r="L363">
        <v>8426</v>
      </c>
      <c r="M363">
        <v>2190</v>
      </c>
      <c r="N363" t="s">
        <v>16393</v>
      </c>
      <c r="O363" s="4">
        <v>40342</v>
      </c>
      <c r="P363" s="4">
        <v>106967</v>
      </c>
      <c r="Q363" s="4">
        <v>147309</v>
      </c>
      <c r="R363" s="4">
        <v>441927</v>
      </c>
      <c r="S363" t="s">
        <v>16744</v>
      </c>
      <c r="T363" s="6">
        <v>44409</v>
      </c>
      <c r="U363" s="4">
        <v>405000</v>
      </c>
      <c r="V363" t="s">
        <v>23739</v>
      </c>
      <c r="W363" t="s">
        <v>16744</v>
      </c>
      <c r="X363" t="s">
        <v>3</v>
      </c>
      <c r="AA363" s="5" t="str">
        <f>HYPERLINK("https://www.zillow.com/homes/166-E-SCHICK-RD-BLOOMINGDALE-IL-601081529_rb/","check listing")</f>
        <v>check listing</v>
      </c>
      <c r="AB363" s="5" t="str">
        <f>HYPERLINK("https://propertylookup.dupagecounty.gov/Datalets/Datalet.aspx?UseSearch=no&amp;mode=sales&amp;pin=0215410008","sales record")</f>
        <v>sales record</v>
      </c>
      <c r="AC363" t="s">
        <v>27873</v>
      </c>
      <c r="AD363">
        <v>41.95383</v>
      </c>
      <c r="AE363">
        <v>-88.073941</v>
      </c>
      <c r="AF363" s="5" t="str">
        <f>HYPERLINK("https://www.google.com/maps/search/?api=1&amp;query=41.95383,-88.073941","map")</f>
        <v>map</v>
      </c>
    </row>
    <row r="364" spans="1:32">
      <c r="A364" t="s">
        <v>414</v>
      </c>
      <c r="B364" t="s">
        <v>7994</v>
      </c>
      <c r="C364" t="s">
        <v>15118</v>
      </c>
      <c r="D364" t="s">
        <v>16196</v>
      </c>
      <c r="E364" t="s">
        <v>16218</v>
      </c>
      <c r="F364" t="s">
        <v>16221</v>
      </c>
      <c r="G364" t="s">
        <v>16236</v>
      </c>
      <c r="H364" t="s">
        <v>16241</v>
      </c>
      <c r="I364" t="s">
        <v>16313</v>
      </c>
      <c r="J364" t="s">
        <v>16385</v>
      </c>
      <c r="K364">
        <v>0.193</v>
      </c>
      <c r="L364">
        <v>8420</v>
      </c>
      <c r="M364">
        <v>2306</v>
      </c>
      <c r="N364" t="s">
        <v>16393</v>
      </c>
      <c r="O364" s="4">
        <v>29656</v>
      </c>
      <c r="P364" s="4">
        <v>117534</v>
      </c>
      <c r="Q364" s="4">
        <v>147190</v>
      </c>
      <c r="R364" s="4">
        <v>441570</v>
      </c>
      <c r="S364" t="s">
        <v>16745</v>
      </c>
      <c r="T364" s="6">
        <v>35217</v>
      </c>
      <c r="U364" s="4">
        <v>234140</v>
      </c>
      <c r="X364" t="s">
        <v>3</v>
      </c>
      <c r="AA364" s="5" t="str">
        <f>HYPERLINK("https://www.zillow.com/homes/250-BISCAYNE-ST-BLOOMINGDALE-IL-60108_rb/","check listing")</f>
        <v>check listing</v>
      </c>
      <c r="AB364" s="5" t="str">
        <f>HYPERLINK("https://propertylookup.dupagecounty.gov/Datalets/Datalet.aspx?UseSearch=no&amp;mode=sales&amp;pin=0208302029","sales record")</f>
        <v>sales record</v>
      </c>
      <c r="AC364" t="s">
        <v>3</v>
      </c>
      <c r="AD364">
        <v>41.965487</v>
      </c>
      <c r="AE364">
        <v>-88.12152500000001</v>
      </c>
      <c r="AF364" s="5" t="str">
        <f>HYPERLINK("https://www.google.com/maps/search/?api=1&amp;query=41.965487,-88.121525","map")</f>
        <v>map</v>
      </c>
    </row>
    <row r="365" spans="1:32">
      <c r="A365" t="s">
        <v>415</v>
      </c>
      <c r="B365" t="s">
        <v>7995</v>
      </c>
      <c r="C365" t="s">
        <v>15144</v>
      </c>
      <c r="D365" t="s">
        <v>16196</v>
      </c>
      <c r="E365" t="s">
        <v>16218</v>
      </c>
      <c r="F365" t="s">
        <v>16221</v>
      </c>
      <c r="G365" t="s">
        <v>16236</v>
      </c>
      <c r="H365" t="s">
        <v>16241</v>
      </c>
      <c r="I365" t="s">
        <v>16313</v>
      </c>
      <c r="J365" t="s">
        <v>16385</v>
      </c>
      <c r="K365">
        <v>0.192</v>
      </c>
      <c r="L365">
        <v>8355</v>
      </c>
      <c r="M365">
        <v>2715</v>
      </c>
      <c r="N365" t="s">
        <v>16393</v>
      </c>
      <c r="O365" s="4">
        <v>29656</v>
      </c>
      <c r="P365" s="4">
        <v>116769</v>
      </c>
      <c r="Q365" s="4">
        <v>146425</v>
      </c>
      <c r="R365" s="4">
        <v>439275</v>
      </c>
      <c r="S365" t="s">
        <v>16746</v>
      </c>
      <c r="T365" s="6">
        <v>44105</v>
      </c>
      <c r="U365" s="4">
        <v>285786</v>
      </c>
      <c r="V365" t="s">
        <v>23738</v>
      </c>
      <c r="W365" t="s">
        <v>23897</v>
      </c>
      <c r="X365" t="s">
        <v>3</v>
      </c>
      <c r="AA365" s="5" t="str">
        <f>HYPERLINK("https://www.zillow.com/homes/268-BISCAYNE-ST-BLOOMINGDALE-IL-601083312_rb/","check listing")</f>
        <v>check listing</v>
      </c>
      <c r="AB365" s="5" t="str">
        <f>HYPERLINK("https://propertylookup.dupagecounty.gov/Datalets/Datalet.aspx?UseSearch=no&amp;mode=sales&amp;pin=0208302019","sales record")</f>
        <v>sales record</v>
      </c>
      <c r="AC365" t="s">
        <v>3</v>
      </c>
      <c r="AD365">
        <v>41.964477</v>
      </c>
      <c r="AE365">
        <v>-88.120841</v>
      </c>
      <c r="AF365" s="5" t="str">
        <f>HYPERLINK("https://www.google.com/maps/search/?api=1&amp;query=41.964477,-88.120841","map")</f>
        <v>map</v>
      </c>
    </row>
    <row r="366" spans="1:32">
      <c r="A366" t="s">
        <v>416</v>
      </c>
      <c r="B366" t="s">
        <v>7996</v>
      </c>
      <c r="C366" t="s">
        <v>15118</v>
      </c>
      <c r="D366" t="s">
        <v>16196</v>
      </c>
      <c r="E366" t="s">
        <v>16218</v>
      </c>
      <c r="F366" t="s">
        <v>16221</v>
      </c>
      <c r="G366" t="s">
        <v>16236</v>
      </c>
      <c r="H366" t="s">
        <v>16241</v>
      </c>
      <c r="I366" t="s">
        <v>16313</v>
      </c>
      <c r="J366" t="s">
        <v>16385</v>
      </c>
      <c r="K366">
        <v>0.192</v>
      </c>
      <c r="L366">
        <v>8346</v>
      </c>
      <c r="M366">
        <v>2434</v>
      </c>
      <c r="N366" t="s">
        <v>16393</v>
      </c>
      <c r="O366" s="4">
        <v>29656</v>
      </c>
      <c r="P366" s="4">
        <v>123224</v>
      </c>
      <c r="Q366" s="4">
        <v>152880</v>
      </c>
      <c r="R366" s="4">
        <v>458640</v>
      </c>
      <c r="S366" t="s">
        <v>16747</v>
      </c>
      <c r="T366" s="6">
        <v>36404</v>
      </c>
      <c r="U366" s="4">
        <v>252500</v>
      </c>
      <c r="X366" t="s">
        <v>3</v>
      </c>
      <c r="AA366" s="5" t="str">
        <f>HYPERLINK("https://www.zillow.com/homes/304-MISSION-CT-BLOOMINGDALE-IL-60108_rb/","check listing")</f>
        <v>check listing</v>
      </c>
      <c r="AB366" s="5" t="str">
        <f>HYPERLINK("https://propertylookup.dupagecounty.gov/Datalets/Datalet.aspx?UseSearch=no&amp;mode=sales&amp;pin=0208303043","sales record")</f>
        <v>sales record</v>
      </c>
      <c r="AC366" t="s">
        <v>3</v>
      </c>
      <c r="AD366">
        <v>41.963218</v>
      </c>
      <c r="AE366">
        <v>-88.12320099999999</v>
      </c>
      <c r="AF366" s="5" t="str">
        <f>HYPERLINK("https://www.google.com/maps/search/?api=1&amp;query=41.963218,-88.123201","map")</f>
        <v>map</v>
      </c>
    </row>
    <row r="367" spans="1:32">
      <c r="A367" t="s">
        <v>417</v>
      </c>
      <c r="B367" t="s">
        <v>7997</v>
      </c>
      <c r="C367" t="s">
        <v>15118</v>
      </c>
      <c r="D367" t="s">
        <v>16196</v>
      </c>
      <c r="E367" t="s">
        <v>16218</v>
      </c>
      <c r="F367" t="s">
        <v>16221</v>
      </c>
      <c r="G367" t="s">
        <v>16235</v>
      </c>
      <c r="H367" t="s">
        <v>16241</v>
      </c>
      <c r="I367" t="s">
        <v>16313</v>
      </c>
      <c r="J367" t="s">
        <v>16385</v>
      </c>
      <c r="K367">
        <v>0.19</v>
      </c>
      <c r="L367">
        <v>8293</v>
      </c>
      <c r="M367">
        <v>1847</v>
      </c>
      <c r="N367" t="s">
        <v>16393</v>
      </c>
      <c r="O367" s="4">
        <v>40342</v>
      </c>
      <c r="P367" s="4">
        <v>102784</v>
      </c>
      <c r="Q367" s="4">
        <v>143126</v>
      </c>
      <c r="R367" s="4">
        <v>429378</v>
      </c>
      <c r="S367" t="s">
        <v>16748</v>
      </c>
      <c r="T367" s="6">
        <v>39873</v>
      </c>
      <c r="U367" s="4">
        <v>245000</v>
      </c>
      <c r="V367" t="s">
        <v>16232</v>
      </c>
      <c r="W367" t="s">
        <v>23898</v>
      </c>
      <c r="X367" t="s">
        <v>3</v>
      </c>
      <c r="AA367" s="5" t="str">
        <f>HYPERLINK("https://www.zillow.com/homes/209-CAMBRIDGE-LN-BLOOMINGDALE-IL-60108_rb/","check listing")</f>
        <v>check listing</v>
      </c>
      <c r="AB367" s="5" t="str">
        <f>HYPERLINK("https://propertylookup.dupagecounty.gov/Datalets/Datalet.aspx?UseSearch=no&amp;mode=sales&amp;pin=0215409033","sales record")</f>
        <v>sales record</v>
      </c>
      <c r="AC367" t="s">
        <v>3</v>
      </c>
      <c r="AD367">
        <v>41.950735</v>
      </c>
      <c r="AE367">
        <v>-88.07611300000001</v>
      </c>
      <c r="AF367" s="5" t="str">
        <f>HYPERLINK("https://www.google.com/maps/search/?api=1&amp;query=41.950735,-88.076113","map")</f>
        <v>map</v>
      </c>
    </row>
    <row r="368" spans="1:32">
      <c r="A368" t="s">
        <v>418</v>
      </c>
      <c r="B368" t="s">
        <v>7998</v>
      </c>
      <c r="C368" t="s">
        <v>15118</v>
      </c>
      <c r="D368" t="s">
        <v>16196</v>
      </c>
      <c r="E368" t="s">
        <v>16218</v>
      </c>
      <c r="F368" t="s">
        <v>16221</v>
      </c>
      <c r="G368" t="s">
        <v>16236</v>
      </c>
      <c r="H368" t="s">
        <v>16241</v>
      </c>
      <c r="I368" t="s">
        <v>16313</v>
      </c>
      <c r="J368" t="s">
        <v>16385</v>
      </c>
      <c r="K368">
        <v>0.19</v>
      </c>
      <c r="L368">
        <v>8262</v>
      </c>
      <c r="M368">
        <v>2558</v>
      </c>
      <c r="N368" t="s">
        <v>16393</v>
      </c>
      <c r="O368" s="4">
        <v>29656</v>
      </c>
      <c r="P368" s="4">
        <v>117606</v>
      </c>
      <c r="Q368" s="4">
        <v>147262</v>
      </c>
      <c r="R368" s="4">
        <v>441786</v>
      </c>
      <c r="S368" t="s">
        <v>16749</v>
      </c>
      <c r="T368" s="6">
        <v>34881</v>
      </c>
      <c r="U368" s="4">
        <v>191640</v>
      </c>
      <c r="X368" t="s">
        <v>3</v>
      </c>
      <c r="AA368" s="5" t="str">
        <f>HYPERLINK("https://www.zillow.com/homes/308-CHESAPEAKE-LN-BLOOMINGDALE-IL-60108_rb/","check listing")</f>
        <v>check listing</v>
      </c>
      <c r="AB368" s="5" t="str">
        <f>HYPERLINK("https://propertylookup.dupagecounty.gov/Datalets/Datalet.aspx?UseSearch=no&amp;mode=sales&amp;pin=0208304019","sales record")</f>
        <v>sales record</v>
      </c>
      <c r="AC368" t="s">
        <v>3</v>
      </c>
      <c r="AD368">
        <v>41.962021</v>
      </c>
      <c r="AE368">
        <v>-88.12087099999999</v>
      </c>
      <c r="AF368" s="5" t="str">
        <f>HYPERLINK("https://www.google.com/maps/search/?api=1&amp;query=41.962021,-88.120871","map")</f>
        <v>map</v>
      </c>
    </row>
    <row r="369" spans="1:32">
      <c r="A369" t="s">
        <v>419</v>
      </c>
      <c r="B369" t="s">
        <v>7999</v>
      </c>
      <c r="C369" t="s">
        <v>15118</v>
      </c>
      <c r="D369" t="s">
        <v>16196</v>
      </c>
      <c r="E369" t="s">
        <v>16218</v>
      </c>
      <c r="F369" t="s">
        <v>16221</v>
      </c>
      <c r="G369" t="s">
        <v>16236</v>
      </c>
      <c r="H369" t="s">
        <v>16241</v>
      </c>
      <c r="I369" t="s">
        <v>16313</v>
      </c>
      <c r="J369" t="s">
        <v>16385</v>
      </c>
      <c r="K369">
        <v>0.189</v>
      </c>
      <c r="L369">
        <v>8219</v>
      </c>
      <c r="M369">
        <v>2633</v>
      </c>
      <c r="N369" t="s">
        <v>16393</v>
      </c>
      <c r="O369" s="4">
        <v>29656</v>
      </c>
      <c r="P369" s="4">
        <v>117056</v>
      </c>
      <c r="Q369" s="4">
        <v>146712</v>
      </c>
      <c r="R369" s="4">
        <v>440136</v>
      </c>
      <c r="S369" t="s">
        <v>16750</v>
      </c>
      <c r="T369" s="6">
        <v>44747</v>
      </c>
      <c r="U369" s="4">
        <v>415000</v>
      </c>
      <c r="V369" t="s">
        <v>23739</v>
      </c>
      <c r="W369" t="s">
        <v>23899</v>
      </c>
      <c r="X369" t="s">
        <v>3</v>
      </c>
      <c r="AA369" s="5" t="str">
        <f>HYPERLINK("https://www.zillow.com/homes/222-BISCAYNE-ST-BLOOMINGDALE-IL-60108_rb/","check listing")</f>
        <v>check listing</v>
      </c>
      <c r="AB369" s="5" t="str">
        <f>HYPERLINK("https://propertylookup.dupagecounty.gov/Datalets/Datalet.aspx?UseSearch=no&amp;mode=sales&amp;pin=0208303040","sales record")</f>
        <v>sales record</v>
      </c>
      <c r="AC369" t="s">
        <v>3</v>
      </c>
      <c r="AD369">
        <v>41.962959</v>
      </c>
      <c r="AE369">
        <v>-88.122764</v>
      </c>
      <c r="AF369" s="5" t="str">
        <f>HYPERLINK("https://www.google.com/maps/search/?api=1&amp;query=41.962959,-88.122764","map")</f>
        <v>map</v>
      </c>
    </row>
    <row r="370" spans="1:32">
      <c r="A370" t="s">
        <v>420</v>
      </c>
      <c r="B370" t="s">
        <v>8000</v>
      </c>
      <c r="C370" t="s">
        <v>15153</v>
      </c>
      <c r="D370" t="s">
        <v>16196</v>
      </c>
      <c r="E370" t="s">
        <v>16218</v>
      </c>
      <c r="F370" t="s">
        <v>16221</v>
      </c>
      <c r="G370" t="s">
        <v>16235</v>
      </c>
      <c r="H370" t="s">
        <v>16241</v>
      </c>
      <c r="I370" t="s">
        <v>16313</v>
      </c>
      <c r="J370" t="s">
        <v>16385</v>
      </c>
      <c r="K370">
        <v>0.189</v>
      </c>
      <c r="L370">
        <v>8217</v>
      </c>
      <c r="M370">
        <v>1978</v>
      </c>
      <c r="N370" t="s">
        <v>16393</v>
      </c>
      <c r="O370" s="4">
        <v>40342</v>
      </c>
      <c r="P370" s="4">
        <v>104744</v>
      </c>
      <c r="Q370" s="4">
        <v>145086</v>
      </c>
      <c r="R370" s="4">
        <v>435258</v>
      </c>
      <c r="S370" t="s">
        <v>16751</v>
      </c>
      <c r="T370" s="6">
        <v>44378</v>
      </c>
      <c r="U370" s="4">
        <v>363000</v>
      </c>
      <c r="V370" t="s">
        <v>23739</v>
      </c>
      <c r="W370" t="s">
        <v>23900</v>
      </c>
      <c r="X370" t="s">
        <v>3</v>
      </c>
      <c r="AA370" s="5" t="str">
        <f>HYPERLINK("https://www.zillow.com/homes/146-E-SCHICK-RD-BLOOMINGDALE-IL-601081563_rb/","check listing")</f>
        <v>check listing</v>
      </c>
      <c r="AB370" s="5" t="str">
        <f>HYPERLINK("https://propertylookup.dupagecounty.gov/Datalets/Datalet.aspx?UseSearch=no&amp;mode=sales&amp;pin=0215408005","sales record")</f>
        <v>sales record</v>
      </c>
      <c r="AC370" t="s">
        <v>3</v>
      </c>
      <c r="AD370">
        <v>41.953928</v>
      </c>
      <c r="AE370">
        <v>-88.076515</v>
      </c>
      <c r="AF370" s="5" t="str">
        <f>HYPERLINK("https://www.google.com/maps/search/?api=1&amp;query=41.953928,-88.076515","map")</f>
        <v>map</v>
      </c>
    </row>
    <row r="371" spans="1:32">
      <c r="A371" t="s">
        <v>421</v>
      </c>
      <c r="B371" t="s">
        <v>8001</v>
      </c>
      <c r="C371" t="s">
        <v>15118</v>
      </c>
      <c r="D371" t="s">
        <v>16196</v>
      </c>
      <c r="E371" t="s">
        <v>16218</v>
      </c>
      <c r="F371" t="s">
        <v>16221</v>
      </c>
      <c r="G371" t="s">
        <v>16236</v>
      </c>
      <c r="H371" t="s">
        <v>16241</v>
      </c>
      <c r="I371" t="s">
        <v>16313</v>
      </c>
      <c r="J371" t="s">
        <v>16385</v>
      </c>
      <c r="K371">
        <v>0.188</v>
      </c>
      <c r="L371">
        <v>8172</v>
      </c>
      <c r="M371">
        <v>2141</v>
      </c>
      <c r="N371" t="s">
        <v>16393</v>
      </c>
      <c r="O371" s="4">
        <v>29656</v>
      </c>
      <c r="P371" s="4">
        <v>104003</v>
      </c>
      <c r="Q371" s="4">
        <v>133659</v>
      </c>
      <c r="R371" s="4">
        <v>400977</v>
      </c>
      <c r="S371" t="s">
        <v>16752</v>
      </c>
      <c r="T371" s="6">
        <v>37288</v>
      </c>
      <c r="U371" s="4">
        <v>280000</v>
      </c>
      <c r="V371" t="s">
        <v>23739</v>
      </c>
      <c r="W371" t="s">
        <v>16752</v>
      </c>
      <c r="X371" t="s">
        <v>3</v>
      </c>
      <c r="AA371" s="5" t="str">
        <f>HYPERLINK("https://www.zillow.com/homes/262-BISCAYNE-ST-BLOOMINGDALE-IL-60108_rb/","check listing")</f>
        <v>check listing</v>
      </c>
      <c r="AB371" s="5" t="str">
        <f>HYPERLINK("https://propertylookup.dupagecounty.gov/Datalets/Datalet.aspx?UseSearch=no&amp;mode=sales&amp;pin=0208302022","sales record")</f>
        <v>sales record</v>
      </c>
      <c r="AC371" t="s">
        <v>3</v>
      </c>
      <c r="AD371">
        <v>41.964949</v>
      </c>
      <c r="AE371">
        <v>-88.120823</v>
      </c>
      <c r="AF371" s="5" t="str">
        <f>HYPERLINK("https://www.google.com/maps/search/?api=1&amp;query=41.964949,-88.120823","map")</f>
        <v>map</v>
      </c>
    </row>
    <row r="372" spans="1:32">
      <c r="A372" t="s">
        <v>422</v>
      </c>
      <c r="B372" t="s">
        <v>8002</v>
      </c>
      <c r="C372" t="s">
        <v>15118</v>
      </c>
      <c r="D372" t="s">
        <v>16196</v>
      </c>
      <c r="E372" t="s">
        <v>16218</v>
      </c>
      <c r="F372" t="s">
        <v>16221</v>
      </c>
      <c r="G372" t="s">
        <v>16235</v>
      </c>
      <c r="H372" t="s">
        <v>16241</v>
      </c>
      <c r="I372" t="s">
        <v>16313</v>
      </c>
      <c r="J372" t="s">
        <v>16385</v>
      </c>
      <c r="K372">
        <v>0.188</v>
      </c>
      <c r="L372">
        <v>8168</v>
      </c>
      <c r="M372">
        <v>2324</v>
      </c>
      <c r="N372" t="s">
        <v>16393</v>
      </c>
      <c r="O372" s="4">
        <v>40342</v>
      </c>
      <c r="P372" s="4">
        <v>102784</v>
      </c>
      <c r="Q372" s="4">
        <v>143126</v>
      </c>
      <c r="R372" s="4">
        <v>429378</v>
      </c>
      <c r="S372" t="s">
        <v>16753</v>
      </c>
      <c r="T372" s="6">
        <v>44991</v>
      </c>
      <c r="U372" s="4">
        <v>416000</v>
      </c>
      <c r="V372" t="s">
        <v>23739</v>
      </c>
      <c r="W372" t="s">
        <v>23901</v>
      </c>
      <c r="X372" t="s">
        <v>3</v>
      </c>
      <c r="AA372" s="5" t="str">
        <f>HYPERLINK("https://www.zillow.com/homes/167-BOURNE-LN-BLOOMINGDALE-IL-60108_rb/","check listing")</f>
        <v>check listing</v>
      </c>
      <c r="AB372" s="5" t="str">
        <f>HYPERLINK("https://propertylookup.dupagecounty.gov/Datalets/Datalet.aspx?UseSearch=no&amp;mode=sales&amp;pin=0215411022","sales record")</f>
        <v>sales record</v>
      </c>
      <c r="AC372" t="s">
        <v>3</v>
      </c>
      <c r="AD372">
        <v>41.95142</v>
      </c>
      <c r="AE372">
        <v>-88.075237</v>
      </c>
      <c r="AF372" s="5" t="str">
        <f>HYPERLINK("https://www.google.com/maps/search/?api=1&amp;query=41.95142,-88.075237","map")</f>
        <v>map</v>
      </c>
    </row>
    <row r="373" spans="1:32">
      <c r="A373" t="s">
        <v>423</v>
      </c>
      <c r="B373" t="s">
        <v>8003</v>
      </c>
      <c r="C373" t="s">
        <v>15118</v>
      </c>
      <c r="D373" t="s">
        <v>16196</v>
      </c>
      <c r="E373" t="s">
        <v>16218</v>
      </c>
      <c r="F373" t="s">
        <v>16221</v>
      </c>
      <c r="G373" t="s">
        <v>16236</v>
      </c>
      <c r="H373" t="s">
        <v>16241</v>
      </c>
      <c r="I373" t="s">
        <v>16313</v>
      </c>
      <c r="J373" t="s">
        <v>16385</v>
      </c>
      <c r="K373">
        <v>0.187</v>
      </c>
      <c r="L373">
        <v>8133</v>
      </c>
      <c r="M373">
        <v>2144</v>
      </c>
      <c r="N373" t="s">
        <v>16393</v>
      </c>
      <c r="O373" s="4">
        <v>29656</v>
      </c>
      <c r="P373" s="4">
        <v>132918</v>
      </c>
      <c r="Q373" s="4">
        <v>162574</v>
      </c>
      <c r="R373" s="4">
        <v>487722</v>
      </c>
      <c r="S373" t="s">
        <v>16754</v>
      </c>
      <c r="T373" s="6">
        <v>36831</v>
      </c>
      <c r="U373" s="4">
        <v>290000</v>
      </c>
      <c r="V373" t="s">
        <v>23739</v>
      </c>
      <c r="W373" t="s">
        <v>23902</v>
      </c>
      <c r="X373" t="s">
        <v>3</v>
      </c>
      <c r="AA373" s="5" t="str">
        <f>HYPERLINK("https://www.zillow.com/homes/305-CHESAPEAKE-LN-BLOOMINGDALE-IL-60108_rb/","check listing")</f>
        <v>check listing</v>
      </c>
      <c r="AB373" s="5" t="str">
        <f>HYPERLINK("https://propertylookup.dupagecounty.gov/Datalets/Datalet.aspx?UseSearch=no&amp;mode=sales&amp;pin=0208303030","sales record")</f>
        <v>sales record</v>
      </c>
      <c r="AC373" t="s">
        <v>3</v>
      </c>
      <c r="AD373">
        <v>41.962133</v>
      </c>
      <c r="AE373">
        <v>-88.121528</v>
      </c>
      <c r="AF373" s="5" t="str">
        <f>HYPERLINK("https://www.google.com/maps/search/?api=1&amp;query=41.962133,-88.121528","map")</f>
        <v>map</v>
      </c>
    </row>
    <row r="374" spans="1:32">
      <c r="A374" t="s">
        <v>424</v>
      </c>
      <c r="B374" t="s">
        <v>8004</v>
      </c>
      <c r="C374" t="s">
        <v>15118</v>
      </c>
      <c r="D374" t="s">
        <v>16196</v>
      </c>
      <c r="E374" t="s">
        <v>16218</v>
      </c>
      <c r="F374" t="s">
        <v>16221</v>
      </c>
      <c r="G374" t="s">
        <v>16236</v>
      </c>
      <c r="H374" t="s">
        <v>16241</v>
      </c>
      <c r="I374" t="s">
        <v>16313</v>
      </c>
      <c r="J374" t="s">
        <v>16385</v>
      </c>
      <c r="K374">
        <v>0.186</v>
      </c>
      <c r="L374">
        <v>8121</v>
      </c>
      <c r="M374">
        <v>2145</v>
      </c>
      <c r="N374" t="s">
        <v>16393</v>
      </c>
      <c r="O374" s="4">
        <v>29656</v>
      </c>
      <c r="P374" s="4">
        <v>118682</v>
      </c>
      <c r="Q374" s="4">
        <v>148338</v>
      </c>
      <c r="R374" s="4">
        <v>445014</v>
      </c>
      <c r="S374" t="s">
        <v>16755</v>
      </c>
      <c r="T374" s="6">
        <v>35034</v>
      </c>
      <c r="U374" s="4">
        <v>213540</v>
      </c>
      <c r="X374" t="s">
        <v>3</v>
      </c>
      <c r="AA374" s="5" t="str">
        <f>HYPERLINK("https://www.zillow.com/homes/261-BISCAYNE-ST-BLOOMINGDALE-IL-60108_rb/","check listing")</f>
        <v>check listing</v>
      </c>
      <c r="AB374" s="5" t="str">
        <f>HYPERLINK("https://propertylookup.dupagecounty.gov/Datalets/Datalet.aspx?UseSearch=no&amp;mode=sales&amp;pin=0208305011","sales record")</f>
        <v>sales record</v>
      </c>
      <c r="AC374" t="s">
        <v>3</v>
      </c>
      <c r="AD374">
        <v>41.965034</v>
      </c>
      <c r="AE374">
        <v>-88.121416</v>
      </c>
      <c r="AF374" s="5" t="str">
        <f>HYPERLINK("https://www.google.com/maps/search/?api=1&amp;query=41.965034,-88.121416","map")</f>
        <v>map</v>
      </c>
    </row>
    <row r="375" spans="1:32">
      <c r="A375" t="s">
        <v>425</v>
      </c>
      <c r="B375" t="s">
        <v>8005</v>
      </c>
      <c r="C375" t="s">
        <v>15118</v>
      </c>
      <c r="D375" t="s">
        <v>16196</v>
      </c>
      <c r="E375" t="s">
        <v>16218</v>
      </c>
      <c r="F375" t="s">
        <v>16221</v>
      </c>
      <c r="G375" t="s">
        <v>16236</v>
      </c>
      <c r="H375" t="s">
        <v>16241</v>
      </c>
      <c r="I375" t="s">
        <v>16313</v>
      </c>
      <c r="J375" t="s">
        <v>16385</v>
      </c>
      <c r="K375">
        <v>0.186</v>
      </c>
      <c r="L375">
        <v>8116</v>
      </c>
      <c r="M375">
        <v>2095</v>
      </c>
      <c r="N375" t="s">
        <v>16393</v>
      </c>
      <c r="O375" s="4">
        <v>29656</v>
      </c>
      <c r="P375" s="4">
        <v>120439</v>
      </c>
      <c r="Q375" s="4">
        <v>150095</v>
      </c>
      <c r="R375" s="4">
        <v>450285</v>
      </c>
      <c r="S375" t="s">
        <v>16756</v>
      </c>
      <c r="T375" s="6">
        <v>35034</v>
      </c>
      <c r="U375" s="4">
        <v>224149</v>
      </c>
      <c r="X375" t="s">
        <v>3</v>
      </c>
      <c r="AA375" s="5" t="str">
        <f>HYPERLINK("https://www.zillow.com/homes/302-MISSION-CT-BLOOMINGDALE-IL-60108_rb/","check listing")</f>
        <v>check listing</v>
      </c>
      <c r="AB375" s="5" t="str">
        <f>HYPERLINK("https://propertylookup.dupagecounty.gov/Datalets/Datalet.aspx?UseSearch=no&amp;mode=sales&amp;pin=0208303042","sales record")</f>
        <v>sales record</v>
      </c>
      <c r="AC375" t="s">
        <v>3</v>
      </c>
      <c r="AD375">
        <v>41.963245</v>
      </c>
      <c r="AE375">
        <v>-88.122964</v>
      </c>
      <c r="AF375" s="5" t="str">
        <f>HYPERLINK("https://www.google.com/maps/search/?api=1&amp;query=41.963245,-88.122964","map")</f>
        <v>map</v>
      </c>
    </row>
    <row r="376" spans="1:32">
      <c r="A376" t="s">
        <v>426</v>
      </c>
      <c r="B376" t="s">
        <v>8006</v>
      </c>
      <c r="C376" t="s">
        <v>15118</v>
      </c>
      <c r="D376" t="s">
        <v>16196</v>
      </c>
      <c r="E376" t="s">
        <v>16218</v>
      </c>
      <c r="F376" t="s">
        <v>16221</v>
      </c>
      <c r="G376" t="s">
        <v>16236</v>
      </c>
      <c r="H376" t="s">
        <v>16241</v>
      </c>
      <c r="I376" t="s">
        <v>16313</v>
      </c>
      <c r="J376" t="s">
        <v>16385</v>
      </c>
      <c r="K376">
        <v>0.186</v>
      </c>
      <c r="L376">
        <v>8099</v>
      </c>
      <c r="M376">
        <v>2473</v>
      </c>
      <c r="N376" t="s">
        <v>16393</v>
      </c>
      <c r="O376" s="4">
        <v>29656</v>
      </c>
      <c r="P376" s="4">
        <v>137561</v>
      </c>
      <c r="Q376" s="4">
        <v>167217</v>
      </c>
      <c r="R376" s="4">
        <v>501651</v>
      </c>
      <c r="S376" t="s">
        <v>16757</v>
      </c>
      <c r="T376" s="6">
        <v>36647</v>
      </c>
      <c r="U376" s="4">
        <v>232000</v>
      </c>
      <c r="V376" t="s">
        <v>23739</v>
      </c>
      <c r="W376" t="s">
        <v>23903</v>
      </c>
      <c r="X376" t="s">
        <v>3</v>
      </c>
      <c r="AA376" s="5" t="str">
        <f>HYPERLINK("https://www.zillow.com/homes/276-BISCAYNE-ST-BLOOMINGDALE-IL-60108_rb/","check listing")</f>
        <v>check listing</v>
      </c>
      <c r="AB376" s="5" t="str">
        <f>HYPERLINK("https://propertylookup.dupagecounty.gov/Datalets/Datalet.aspx?UseSearch=no&amp;mode=sales&amp;pin=0208302015","sales record")</f>
        <v>sales record</v>
      </c>
      <c r="AC376" t="s">
        <v>3</v>
      </c>
      <c r="AD376">
        <v>41.963711</v>
      </c>
      <c r="AE376">
        <v>-88.12084</v>
      </c>
      <c r="AF376" s="5" t="str">
        <f>HYPERLINK("https://www.google.com/maps/search/?api=1&amp;query=41.963711,-88.12084","map")</f>
        <v>map</v>
      </c>
    </row>
    <row r="377" spans="1:32">
      <c r="A377" t="s">
        <v>427</v>
      </c>
      <c r="B377" t="s">
        <v>8007</v>
      </c>
      <c r="C377" t="s">
        <v>15118</v>
      </c>
      <c r="D377" t="s">
        <v>16196</v>
      </c>
      <c r="E377" t="s">
        <v>16218</v>
      </c>
      <c r="F377" t="s">
        <v>16221</v>
      </c>
      <c r="G377" t="s">
        <v>16236</v>
      </c>
      <c r="H377" t="s">
        <v>16241</v>
      </c>
      <c r="I377" t="s">
        <v>16313</v>
      </c>
      <c r="J377" t="s">
        <v>16385</v>
      </c>
      <c r="K377">
        <v>0.185</v>
      </c>
      <c r="L377">
        <v>8071</v>
      </c>
      <c r="M377">
        <v>1929</v>
      </c>
      <c r="N377" t="s">
        <v>16393</v>
      </c>
      <c r="O377" s="4">
        <v>29656</v>
      </c>
      <c r="P377" s="4">
        <v>118084</v>
      </c>
      <c r="Q377" s="4">
        <v>147740</v>
      </c>
      <c r="R377" s="4">
        <v>443220</v>
      </c>
      <c r="S377" t="s">
        <v>16758</v>
      </c>
      <c r="T377" s="6">
        <v>34851</v>
      </c>
      <c r="U377" s="4">
        <v>203940</v>
      </c>
      <c r="X377" t="s">
        <v>3</v>
      </c>
      <c r="AA377" s="5" t="str">
        <f>HYPERLINK("https://www.zillow.com/homes/216-BISCAYNE-CT-BLOOMINGDALE-IL-60108_rb/","check listing")</f>
        <v>check listing</v>
      </c>
      <c r="AB377" s="5" t="str">
        <f>HYPERLINK("https://propertylookup.dupagecounty.gov/Datalets/Datalet.aspx?UseSearch=no&amp;mode=sales&amp;pin=0208303037","sales record")</f>
        <v>sales record</v>
      </c>
      <c r="AC377" t="s">
        <v>3</v>
      </c>
      <c r="AD377">
        <v>41.962408</v>
      </c>
      <c r="AE377">
        <v>-88.122657</v>
      </c>
      <c r="AF377" s="5" t="str">
        <f>HYPERLINK("https://www.google.com/maps/search/?api=1&amp;query=41.962408,-88.122657","map")</f>
        <v>map</v>
      </c>
    </row>
    <row r="378" spans="1:32">
      <c r="A378" t="s">
        <v>428</v>
      </c>
      <c r="B378" t="s">
        <v>8008</v>
      </c>
      <c r="C378" t="s">
        <v>15134</v>
      </c>
      <c r="D378" t="s">
        <v>16196</v>
      </c>
      <c r="E378" t="s">
        <v>16218</v>
      </c>
      <c r="F378" t="s">
        <v>16221</v>
      </c>
      <c r="G378" t="s">
        <v>16235</v>
      </c>
      <c r="H378" t="s">
        <v>16241</v>
      </c>
      <c r="I378" t="s">
        <v>16313</v>
      </c>
      <c r="J378" t="s">
        <v>16385</v>
      </c>
      <c r="K378">
        <v>0.185</v>
      </c>
      <c r="L378">
        <v>8058</v>
      </c>
      <c r="M378">
        <v>2530</v>
      </c>
      <c r="N378" t="s">
        <v>16393</v>
      </c>
      <c r="O378" s="4">
        <v>40182</v>
      </c>
      <c r="P378" s="4">
        <v>105344</v>
      </c>
      <c r="Q378" s="4">
        <v>145526</v>
      </c>
      <c r="R378" s="4">
        <v>436578</v>
      </c>
      <c r="S378" t="s">
        <v>16759</v>
      </c>
      <c r="T378" s="6">
        <v>39479</v>
      </c>
      <c r="U378" s="4">
        <v>300000</v>
      </c>
      <c r="V378" t="s">
        <v>16232</v>
      </c>
      <c r="W378" t="s">
        <v>23904</v>
      </c>
      <c r="X378" t="s">
        <v>3</v>
      </c>
      <c r="AA378" s="5" t="str">
        <f>HYPERLINK("https://www.zillow.com/homes/186-HINGHAM-LN-BLOOMINGDALE-IL-601081527_rb/","check listing")</f>
        <v>check listing</v>
      </c>
      <c r="AB378" s="5" t="str">
        <f>HYPERLINK("https://propertylookup.dupagecounty.gov/Datalets/Datalet.aspx?UseSearch=no&amp;mode=sales&amp;pin=0215411009","sales record")</f>
        <v>sales record</v>
      </c>
      <c r="AC378" t="s">
        <v>3</v>
      </c>
      <c r="AD378">
        <v>41.952302</v>
      </c>
      <c r="AE378">
        <v>-88.07414799999999</v>
      </c>
      <c r="AF378" s="5" t="str">
        <f>HYPERLINK("https://www.google.com/maps/search/?api=1&amp;query=41.952302,-88.074148","map")</f>
        <v>map</v>
      </c>
    </row>
    <row r="379" spans="1:32">
      <c r="A379" t="s">
        <v>429</v>
      </c>
      <c r="B379" t="s">
        <v>8009</v>
      </c>
      <c r="C379" t="s">
        <v>15118</v>
      </c>
      <c r="D379" t="s">
        <v>16196</v>
      </c>
      <c r="E379" t="s">
        <v>16218</v>
      </c>
      <c r="F379" t="s">
        <v>16221</v>
      </c>
      <c r="G379" t="s">
        <v>16236</v>
      </c>
      <c r="H379" t="s">
        <v>16241</v>
      </c>
      <c r="I379" t="s">
        <v>16313</v>
      </c>
      <c r="J379" t="s">
        <v>16385</v>
      </c>
      <c r="K379">
        <v>0.184</v>
      </c>
      <c r="L379">
        <v>8023</v>
      </c>
      <c r="M379">
        <v>2121</v>
      </c>
      <c r="N379" t="s">
        <v>16393</v>
      </c>
      <c r="O379" s="4">
        <v>29656</v>
      </c>
      <c r="P379" s="4">
        <v>117534</v>
      </c>
      <c r="Q379" s="4">
        <v>147190</v>
      </c>
      <c r="R379" s="4">
        <v>441570</v>
      </c>
      <c r="S379" t="s">
        <v>16760</v>
      </c>
      <c r="T379" s="6">
        <v>35247</v>
      </c>
      <c r="U379" s="4">
        <v>238195</v>
      </c>
      <c r="X379" t="s">
        <v>3</v>
      </c>
      <c r="AA379" s="5" t="str">
        <f>HYPERLINK("https://www.zillow.com/homes/303-MISSION-CT-BLOOMINGDALE-IL-60108_rb/","check listing")</f>
        <v>check listing</v>
      </c>
      <c r="AB379" s="5" t="str">
        <f>HYPERLINK("https://propertylookup.dupagecounty.gov/Datalets/Datalet.aspx?UseSearch=no&amp;mode=sales&amp;pin=0208303047","sales record")</f>
        <v>sales record</v>
      </c>
      <c r="AC379" t="s">
        <v>3</v>
      </c>
      <c r="AD379">
        <v>41.963748</v>
      </c>
      <c r="AE379">
        <v>-88.12284099999999</v>
      </c>
      <c r="AF379" s="5" t="str">
        <f>HYPERLINK("https://www.google.com/maps/search/?api=1&amp;query=41.963748,-88.122841","map")</f>
        <v>map</v>
      </c>
    </row>
    <row r="380" spans="1:32">
      <c r="A380" t="s">
        <v>430</v>
      </c>
      <c r="B380" t="s">
        <v>8010</v>
      </c>
      <c r="C380" t="s">
        <v>15118</v>
      </c>
      <c r="D380" t="s">
        <v>16196</v>
      </c>
      <c r="E380" t="s">
        <v>16218</v>
      </c>
      <c r="F380" t="s">
        <v>16221</v>
      </c>
      <c r="G380" t="s">
        <v>16235</v>
      </c>
      <c r="H380" t="s">
        <v>16241</v>
      </c>
      <c r="I380" t="s">
        <v>16313</v>
      </c>
      <c r="J380" t="s">
        <v>16385</v>
      </c>
      <c r="K380">
        <v>0.184</v>
      </c>
      <c r="L380">
        <v>8013</v>
      </c>
      <c r="M380">
        <v>2144</v>
      </c>
      <c r="N380" t="s">
        <v>16393</v>
      </c>
      <c r="O380" s="4">
        <v>40342</v>
      </c>
      <c r="P380" s="4">
        <v>108665</v>
      </c>
      <c r="Q380" s="4">
        <v>149007</v>
      </c>
      <c r="R380" s="4">
        <v>447021</v>
      </c>
      <c r="S380" t="s">
        <v>16761</v>
      </c>
      <c r="T380" s="6">
        <v>36586</v>
      </c>
      <c r="U380" s="4">
        <v>243000</v>
      </c>
      <c r="V380" t="s">
        <v>23739</v>
      </c>
      <c r="W380" t="s">
        <v>16761</v>
      </c>
      <c r="X380" t="s">
        <v>3</v>
      </c>
      <c r="AA380" s="5" t="str">
        <f>HYPERLINK("https://www.zillow.com/homes/140-HINGHAM-LN-BLOOMINGDALE-IL-60108_rb/","check listing")</f>
        <v>check listing</v>
      </c>
      <c r="AB380" s="5" t="str">
        <f>HYPERLINK("https://propertylookup.dupagecounty.gov/Datalets/Datalet.aspx?UseSearch=no&amp;mode=sales&amp;pin=0215409002","sales record")</f>
        <v>sales record</v>
      </c>
      <c r="AC380" t="s">
        <v>3</v>
      </c>
      <c r="AD380">
        <v>41.953112</v>
      </c>
      <c r="AE380">
        <v>-88.077119</v>
      </c>
      <c r="AF380" s="5" t="str">
        <f>HYPERLINK("https://www.google.com/maps/search/?api=1&amp;query=41.953112,-88.077119","map")</f>
        <v>map</v>
      </c>
    </row>
    <row r="381" spans="1:32">
      <c r="A381" t="s">
        <v>431</v>
      </c>
      <c r="B381" t="s">
        <v>8011</v>
      </c>
      <c r="C381" t="s">
        <v>15136</v>
      </c>
      <c r="D381" t="s">
        <v>16196</v>
      </c>
      <c r="E381" t="s">
        <v>16218</v>
      </c>
      <c r="F381" t="s">
        <v>16221</v>
      </c>
      <c r="G381" t="s">
        <v>16236</v>
      </c>
      <c r="H381" t="s">
        <v>16241</v>
      </c>
      <c r="I381" t="s">
        <v>16313</v>
      </c>
      <c r="J381" t="s">
        <v>16385</v>
      </c>
      <c r="K381">
        <v>0.184</v>
      </c>
      <c r="L381">
        <v>8011</v>
      </c>
      <c r="M381">
        <v>2310</v>
      </c>
      <c r="N381" t="s">
        <v>16393</v>
      </c>
      <c r="O381" s="4">
        <v>29656</v>
      </c>
      <c r="P381" s="4">
        <v>134329</v>
      </c>
      <c r="Q381" s="4">
        <v>163985</v>
      </c>
      <c r="R381" s="4">
        <v>491955</v>
      </c>
      <c r="S381" t="s">
        <v>16762</v>
      </c>
      <c r="T381" s="6">
        <v>44440</v>
      </c>
      <c r="U381" s="4">
        <v>409000</v>
      </c>
      <c r="V381" t="s">
        <v>23739</v>
      </c>
      <c r="W381" t="s">
        <v>23905</v>
      </c>
      <c r="X381" t="s">
        <v>3</v>
      </c>
      <c r="AA381" s="5" t="str">
        <f>HYPERLINK("https://www.zillow.com/homes/203-FRISCO-CT-BLOOMINGDALE-IL-601083299_rb/","check listing")</f>
        <v>check listing</v>
      </c>
      <c r="AB381" s="5" t="str">
        <f>HYPERLINK("https://propertylookup.dupagecounty.gov/Datalets/Datalet.aspx?UseSearch=no&amp;mode=sales&amp;pin=0208303010","sales record")</f>
        <v>sales record</v>
      </c>
      <c r="AC381" t="s">
        <v>3</v>
      </c>
      <c r="AD381">
        <v>41.96276</v>
      </c>
      <c r="AE381">
        <v>-88.123015</v>
      </c>
      <c r="AF381" s="5" t="str">
        <f>HYPERLINK("https://www.google.com/maps/search/?api=1&amp;query=41.96276,-88.123015","map")</f>
        <v>map</v>
      </c>
    </row>
    <row r="382" spans="1:32">
      <c r="A382" t="s">
        <v>432</v>
      </c>
      <c r="B382" t="s">
        <v>8012</v>
      </c>
      <c r="C382" t="s">
        <v>15137</v>
      </c>
      <c r="D382" t="s">
        <v>16196</v>
      </c>
      <c r="E382" t="s">
        <v>16218</v>
      </c>
      <c r="F382" t="s">
        <v>16221</v>
      </c>
      <c r="G382" t="s">
        <v>16236</v>
      </c>
      <c r="H382" t="s">
        <v>16241</v>
      </c>
      <c r="I382" t="s">
        <v>16313</v>
      </c>
      <c r="J382" t="s">
        <v>16385</v>
      </c>
      <c r="K382">
        <v>0.184</v>
      </c>
      <c r="L382">
        <v>7997</v>
      </c>
      <c r="M382">
        <v>2176</v>
      </c>
      <c r="N382" t="s">
        <v>16393</v>
      </c>
      <c r="O382" s="4">
        <v>29656</v>
      </c>
      <c r="P382" s="4">
        <v>117534</v>
      </c>
      <c r="Q382" s="4">
        <v>147190</v>
      </c>
      <c r="R382" s="4">
        <v>441570</v>
      </c>
      <c r="S382" t="s">
        <v>16763</v>
      </c>
      <c r="T382" s="6">
        <v>44013</v>
      </c>
      <c r="U382" s="4">
        <v>295586</v>
      </c>
      <c r="V382" t="s">
        <v>23742</v>
      </c>
      <c r="W382" t="s">
        <v>23906</v>
      </c>
      <c r="X382" t="s">
        <v>3</v>
      </c>
      <c r="AA382" s="5" t="str">
        <f>HYPERLINK("https://www.zillow.com/homes/263-BISCAYNE-ST-BLOOMINGDALE-IL-601083309_rb/","check listing")</f>
        <v>check listing</v>
      </c>
      <c r="AB382" s="5" t="str">
        <f>HYPERLINK("https://propertylookup.dupagecounty.gov/Datalets/Datalet.aspx?UseSearch=no&amp;mode=sales&amp;pin=0208305012","sales record")</f>
        <v>sales record</v>
      </c>
      <c r="AC382" t="s">
        <v>3</v>
      </c>
      <c r="AD382">
        <v>41.964842</v>
      </c>
      <c r="AE382">
        <v>-88.12151900000001</v>
      </c>
      <c r="AF382" s="5" t="str">
        <f>HYPERLINK("https://www.google.com/maps/search/?api=1&amp;query=41.964842,-88.121519","map")</f>
        <v>map</v>
      </c>
    </row>
    <row r="383" spans="1:32">
      <c r="A383" t="s">
        <v>433</v>
      </c>
      <c r="B383" t="s">
        <v>8013</v>
      </c>
      <c r="C383" t="s">
        <v>15118</v>
      </c>
      <c r="D383" t="s">
        <v>16196</v>
      </c>
      <c r="E383" t="s">
        <v>16218</v>
      </c>
      <c r="F383" t="s">
        <v>16221</v>
      </c>
      <c r="G383" t="s">
        <v>16235</v>
      </c>
      <c r="H383" t="s">
        <v>16241</v>
      </c>
      <c r="I383" t="s">
        <v>16313</v>
      </c>
      <c r="J383" t="s">
        <v>16385</v>
      </c>
      <c r="K383">
        <v>0.183</v>
      </c>
      <c r="L383">
        <v>7977</v>
      </c>
      <c r="M383">
        <v>2570</v>
      </c>
      <c r="N383" t="s">
        <v>16393</v>
      </c>
      <c r="O383" s="4">
        <v>40342</v>
      </c>
      <c r="P383" s="4">
        <v>102784</v>
      </c>
      <c r="Q383" s="4">
        <v>143126</v>
      </c>
      <c r="R383" s="4">
        <v>429378</v>
      </c>
      <c r="S383" t="s">
        <v>16764</v>
      </c>
      <c r="T383" s="6">
        <v>38869</v>
      </c>
      <c r="U383" s="4">
        <v>331000</v>
      </c>
      <c r="V383" t="s">
        <v>23739</v>
      </c>
      <c r="W383" t="s">
        <v>16764</v>
      </c>
      <c r="X383" t="s">
        <v>3</v>
      </c>
      <c r="AA383" s="5" t="str">
        <f>HYPERLINK("https://www.zillow.com/homes/142-E-SCHICK-RD-BLOOMINGDALE-IL-60108_rb/","check listing")</f>
        <v>check listing</v>
      </c>
      <c r="AB383" s="5" t="str">
        <f>HYPERLINK("https://propertylookup.dupagecounty.gov/Datalets/Datalet.aspx?UseSearch=no&amp;mode=sales&amp;pin=0215408004","sales record")</f>
        <v>sales record</v>
      </c>
      <c r="AC383" t="s">
        <v>3</v>
      </c>
      <c r="AD383">
        <v>41.953941</v>
      </c>
      <c r="AE383">
        <v>-88.07675399999999</v>
      </c>
      <c r="AF383" s="5" t="str">
        <f>HYPERLINK("https://www.google.com/maps/search/?api=1&amp;query=41.953941,-88.076754","map")</f>
        <v>map</v>
      </c>
    </row>
    <row r="384" spans="1:32">
      <c r="A384" t="s">
        <v>434</v>
      </c>
      <c r="B384" t="s">
        <v>8014</v>
      </c>
      <c r="C384" t="s">
        <v>15118</v>
      </c>
      <c r="D384" t="s">
        <v>16196</v>
      </c>
      <c r="E384" t="s">
        <v>16218</v>
      </c>
      <c r="F384" t="s">
        <v>16221</v>
      </c>
      <c r="G384" t="s">
        <v>16235</v>
      </c>
      <c r="H384" t="s">
        <v>16241</v>
      </c>
      <c r="I384" t="s">
        <v>16313</v>
      </c>
      <c r="J384" t="s">
        <v>16385</v>
      </c>
      <c r="K384">
        <v>0.182</v>
      </c>
      <c r="L384">
        <v>7926</v>
      </c>
      <c r="M384">
        <v>2073</v>
      </c>
      <c r="N384" t="s">
        <v>16393</v>
      </c>
      <c r="O384" s="4">
        <v>40342</v>
      </c>
      <c r="P384" s="4">
        <v>111498</v>
      </c>
      <c r="Q384" s="4">
        <v>151840</v>
      </c>
      <c r="R384" s="4">
        <v>455520</v>
      </c>
      <c r="S384" t="s">
        <v>16765</v>
      </c>
      <c r="T384" s="6">
        <v>45371</v>
      </c>
      <c r="U384" s="4">
        <v>80000</v>
      </c>
      <c r="V384" t="s">
        <v>23739</v>
      </c>
      <c r="W384" t="s">
        <v>23907</v>
      </c>
      <c r="X384" t="s">
        <v>3</v>
      </c>
      <c r="AA384" s="5" t="str">
        <f>HYPERLINK("https://www.zillow.com/homes/164-E-SCHICK-RD-BLOOMINGDALE-IL-60108_rb/","check listing")</f>
        <v>check listing</v>
      </c>
      <c r="AB384" s="5" t="str">
        <f>HYPERLINK("https://propertylookup.dupagecounty.gov/Datalets/Datalet.aspx?UseSearch=no&amp;mode=sales&amp;pin=0215410007","sales record")</f>
        <v>sales record</v>
      </c>
      <c r="AC384" t="s">
        <v>27873</v>
      </c>
      <c r="AD384">
        <v>41.9538</v>
      </c>
      <c r="AE384">
        <v>-88.07417700000001</v>
      </c>
      <c r="AF384" s="5" t="str">
        <f>HYPERLINK("https://www.google.com/maps/search/?api=1&amp;query=41.9538,-88.074177","map")</f>
        <v>map</v>
      </c>
    </row>
    <row r="385" spans="1:32">
      <c r="A385" t="s">
        <v>435</v>
      </c>
      <c r="B385" t="s">
        <v>8015</v>
      </c>
      <c r="C385" t="s">
        <v>15152</v>
      </c>
      <c r="D385" t="s">
        <v>16196</v>
      </c>
      <c r="E385" t="s">
        <v>16218</v>
      </c>
      <c r="F385" t="s">
        <v>16221</v>
      </c>
      <c r="G385" t="s">
        <v>16235</v>
      </c>
      <c r="H385" t="s">
        <v>16241</v>
      </c>
      <c r="I385" t="s">
        <v>16313</v>
      </c>
      <c r="J385" t="s">
        <v>16385</v>
      </c>
      <c r="K385">
        <v>0.182</v>
      </c>
      <c r="L385">
        <v>7908</v>
      </c>
      <c r="M385">
        <v>1023</v>
      </c>
      <c r="N385" t="s">
        <v>16393</v>
      </c>
      <c r="O385" s="4">
        <v>40342</v>
      </c>
      <c r="P385" s="4">
        <v>106800</v>
      </c>
      <c r="Q385" s="4">
        <v>147142</v>
      </c>
      <c r="R385" s="4">
        <v>441426</v>
      </c>
      <c r="S385" t="s">
        <v>16766</v>
      </c>
      <c r="T385" s="6">
        <v>42887</v>
      </c>
      <c r="U385" s="4">
        <v>355000</v>
      </c>
      <c r="V385" t="s">
        <v>23739</v>
      </c>
      <c r="W385" t="s">
        <v>23908</v>
      </c>
      <c r="X385" t="s">
        <v>3</v>
      </c>
      <c r="AA385" s="5" t="str">
        <f>HYPERLINK("https://www.zillow.com/homes/162-E-SCHICK-RD-BLOOMINGDALE-IL-601081529_rb/","check listing")</f>
        <v>check listing</v>
      </c>
      <c r="AB385" s="5" t="str">
        <f>HYPERLINK("https://propertylookup.dupagecounty.gov/Datalets/Datalet.aspx?UseSearch=no&amp;mode=sales&amp;pin=0215410006","sales record")</f>
        <v>sales record</v>
      </c>
      <c r="AC385" t="s">
        <v>27873</v>
      </c>
      <c r="AD385">
        <v>41.953777</v>
      </c>
      <c r="AE385">
        <v>-88.074412</v>
      </c>
      <c r="AF385" s="5" t="str">
        <f>HYPERLINK("https://www.google.com/maps/search/?api=1&amp;query=41.953777,-88.074412","map")</f>
        <v>map</v>
      </c>
    </row>
    <row r="386" spans="1:32">
      <c r="A386" t="s">
        <v>436</v>
      </c>
      <c r="B386" t="s">
        <v>8016</v>
      </c>
      <c r="C386" t="s">
        <v>15118</v>
      </c>
      <c r="D386" t="s">
        <v>16196</v>
      </c>
      <c r="E386" t="s">
        <v>16218</v>
      </c>
      <c r="F386" t="s">
        <v>16221</v>
      </c>
      <c r="G386" t="s">
        <v>16235</v>
      </c>
      <c r="H386" t="s">
        <v>16241</v>
      </c>
      <c r="I386" t="s">
        <v>16313</v>
      </c>
      <c r="J386" t="s">
        <v>16385</v>
      </c>
      <c r="K386">
        <v>0.181</v>
      </c>
      <c r="L386">
        <v>7906</v>
      </c>
      <c r="M386">
        <v>1978</v>
      </c>
      <c r="N386" t="s">
        <v>16393</v>
      </c>
      <c r="O386" s="4">
        <v>40342</v>
      </c>
      <c r="P386" s="4">
        <v>104744</v>
      </c>
      <c r="Q386" s="4">
        <v>145086</v>
      </c>
      <c r="R386" s="4">
        <v>435258</v>
      </c>
      <c r="S386" t="s">
        <v>16767</v>
      </c>
      <c r="T386" s="6">
        <v>41640</v>
      </c>
      <c r="U386" s="4">
        <v>235000</v>
      </c>
      <c r="V386" t="s">
        <v>23739</v>
      </c>
      <c r="W386" t="s">
        <v>16767</v>
      </c>
      <c r="X386" t="s">
        <v>3</v>
      </c>
      <c r="AA386" s="5" t="str">
        <f>HYPERLINK("https://www.zillow.com/homes/181-HINGHAM-LN-BLOOMINGDALE-IL-60108_rb/","check listing")</f>
        <v>check listing</v>
      </c>
      <c r="AB386" s="5" t="str">
        <f>HYPERLINK("https://propertylookup.dupagecounty.gov/Datalets/Datalet.aspx?UseSearch=no&amp;mode=sales&amp;pin=0215410018","sales record")</f>
        <v>sales record</v>
      </c>
      <c r="AC386" t="s">
        <v>3</v>
      </c>
      <c r="AD386">
        <v>41.95295</v>
      </c>
      <c r="AE386">
        <v>-88.07390100000001</v>
      </c>
      <c r="AF386" s="5" t="str">
        <f>HYPERLINK("https://www.google.com/maps/search/?api=1&amp;query=41.95295,-88.073901","map")</f>
        <v>map</v>
      </c>
    </row>
    <row r="387" spans="1:32">
      <c r="A387" t="s">
        <v>437</v>
      </c>
      <c r="B387" t="s">
        <v>8017</v>
      </c>
      <c r="C387" t="s">
        <v>15118</v>
      </c>
      <c r="D387" t="s">
        <v>16196</v>
      </c>
      <c r="E387" t="s">
        <v>16218</v>
      </c>
      <c r="F387" t="s">
        <v>16221</v>
      </c>
      <c r="G387" t="s">
        <v>16236</v>
      </c>
      <c r="H387" t="s">
        <v>16241</v>
      </c>
      <c r="I387" t="s">
        <v>16313</v>
      </c>
      <c r="J387" t="s">
        <v>16385</v>
      </c>
      <c r="K387">
        <v>0.181</v>
      </c>
      <c r="L387">
        <v>7882</v>
      </c>
      <c r="M387">
        <v>2897</v>
      </c>
      <c r="N387" t="s">
        <v>16393</v>
      </c>
      <c r="O387" s="4">
        <v>29656</v>
      </c>
      <c r="P387" s="4">
        <v>119005</v>
      </c>
      <c r="Q387" s="4">
        <v>148661</v>
      </c>
      <c r="R387" s="4">
        <v>445983</v>
      </c>
      <c r="S387" t="s">
        <v>16768</v>
      </c>
      <c r="T387" s="6">
        <v>36800</v>
      </c>
      <c r="U387" s="4">
        <v>232000</v>
      </c>
      <c r="V387" t="s">
        <v>23739</v>
      </c>
      <c r="W387" t="s">
        <v>23909</v>
      </c>
      <c r="X387" t="s">
        <v>3</v>
      </c>
      <c r="AA387" s="5" t="str">
        <f>HYPERLINK("https://www.zillow.com/homes/305-MISSION-CT-BLOOMINGDALE-IL-60108_rb/","check listing")</f>
        <v>check listing</v>
      </c>
      <c r="AB387" s="5" t="str">
        <f>HYPERLINK("https://propertylookup.dupagecounty.gov/Datalets/Datalet.aspx?UseSearch=no&amp;mode=sales&amp;pin=0208303046","sales record")</f>
        <v>sales record</v>
      </c>
      <c r="AC387" t="s">
        <v>3</v>
      </c>
      <c r="AD387">
        <v>41.963803</v>
      </c>
      <c r="AE387">
        <v>-88.12306100000001</v>
      </c>
      <c r="AF387" s="5" t="str">
        <f>HYPERLINK("https://www.google.com/maps/search/?api=1&amp;query=41.963803,-88.123061","map")</f>
        <v>map</v>
      </c>
    </row>
    <row r="388" spans="1:32">
      <c r="A388" t="s">
        <v>438</v>
      </c>
      <c r="B388" t="s">
        <v>8018</v>
      </c>
      <c r="C388" t="s">
        <v>15118</v>
      </c>
      <c r="D388" t="s">
        <v>16196</v>
      </c>
      <c r="E388" t="s">
        <v>16218</v>
      </c>
      <c r="F388" t="s">
        <v>16221</v>
      </c>
      <c r="G388" t="s">
        <v>16235</v>
      </c>
      <c r="H388" t="s">
        <v>16241</v>
      </c>
      <c r="I388" t="s">
        <v>16313</v>
      </c>
      <c r="J388" t="s">
        <v>16385</v>
      </c>
      <c r="K388">
        <v>0.181</v>
      </c>
      <c r="L388">
        <v>7881</v>
      </c>
      <c r="M388">
        <v>2141</v>
      </c>
      <c r="N388" t="s">
        <v>16393</v>
      </c>
      <c r="O388" s="4">
        <v>40342</v>
      </c>
      <c r="P388" s="4">
        <v>109622</v>
      </c>
      <c r="Q388" s="4">
        <v>149964</v>
      </c>
      <c r="R388" s="4">
        <v>449892</v>
      </c>
      <c r="S388" t="s">
        <v>16769</v>
      </c>
      <c r="T388" s="6">
        <v>35916</v>
      </c>
      <c r="U388" s="4">
        <v>170000</v>
      </c>
      <c r="X388" t="s">
        <v>3</v>
      </c>
      <c r="AA388" s="5" t="str">
        <f>HYPERLINK("https://www.zillow.com/homes/183-SALEM-CT-BLOOMINGDALE-IL-60108_rb/","check listing")</f>
        <v>check listing</v>
      </c>
      <c r="AB388" s="5" t="str">
        <f>HYPERLINK("https://propertylookup.dupagecounty.gov/Datalets/Datalet.aspx?UseSearch=no&amp;mode=sales&amp;pin=0215412011","sales record")</f>
        <v>sales record</v>
      </c>
      <c r="AC388" t="s">
        <v>3</v>
      </c>
      <c r="AD388">
        <v>41.95072</v>
      </c>
      <c r="AE388">
        <v>-88.07426599999999</v>
      </c>
      <c r="AF388" s="5" t="str">
        <f>HYPERLINK("https://www.google.com/maps/search/?api=1&amp;query=41.95072,-88.074266","map")</f>
        <v>map</v>
      </c>
    </row>
    <row r="389" spans="1:32">
      <c r="A389" t="s">
        <v>439</v>
      </c>
      <c r="B389" t="s">
        <v>8019</v>
      </c>
      <c r="C389" t="s">
        <v>15141</v>
      </c>
      <c r="D389" t="s">
        <v>16196</v>
      </c>
      <c r="E389" t="s">
        <v>16218</v>
      </c>
      <c r="F389" t="s">
        <v>16221</v>
      </c>
      <c r="G389" t="s">
        <v>16235</v>
      </c>
      <c r="H389" t="s">
        <v>16241</v>
      </c>
      <c r="I389" t="s">
        <v>16313</v>
      </c>
      <c r="J389" t="s">
        <v>16385</v>
      </c>
      <c r="K389">
        <v>0.18</v>
      </c>
      <c r="L389">
        <v>7829</v>
      </c>
      <c r="M389">
        <v>2802</v>
      </c>
      <c r="N389" t="s">
        <v>16393</v>
      </c>
      <c r="O389" s="4">
        <v>40342</v>
      </c>
      <c r="P389" s="4">
        <v>67988</v>
      </c>
      <c r="Q389" s="4">
        <v>108330</v>
      </c>
      <c r="R389" s="4">
        <v>324990</v>
      </c>
      <c r="S389" t="s">
        <v>16770</v>
      </c>
      <c r="T389" s="6">
        <v>45160</v>
      </c>
      <c r="U389" s="4">
        <v>325000</v>
      </c>
      <c r="V389" t="s">
        <v>16232</v>
      </c>
      <c r="W389" t="s">
        <v>23910</v>
      </c>
      <c r="X389" t="s">
        <v>3</v>
      </c>
      <c r="AA389" s="5" t="str">
        <f>HYPERLINK("https://www.zillow.com/homes/163-CAMBRIDGE-LN-BLOOMINGDALE-IL-601081551_rb/","check listing")</f>
        <v>check listing</v>
      </c>
      <c r="AB389" s="5" t="str">
        <f>HYPERLINK("https://propertylookup.dupagecounty.gov/Datalets/Datalet.aspx?UseSearch=no&amp;mode=sales&amp;pin=0215409010","sales record")</f>
        <v>sales record</v>
      </c>
      <c r="AC389" t="s">
        <v>27873</v>
      </c>
      <c r="AD389">
        <v>41.952005</v>
      </c>
      <c r="AE389">
        <v>-88.07718</v>
      </c>
      <c r="AF389" s="5" t="str">
        <f>HYPERLINK("https://www.google.com/maps/search/?api=1&amp;query=41.952005,-88.07718","map")</f>
        <v>map</v>
      </c>
    </row>
    <row r="390" spans="1:32">
      <c r="A390" t="s">
        <v>440</v>
      </c>
      <c r="B390" t="s">
        <v>8020</v>
      </c>
      <c r="C390" t="s">
        <v>15147</v>
      </c>
      <c r="D390" t="s">
        <v>16196</v>
      </c>
      <c r="E390" t="s">
        <v>16218</v>
      </c>
      <c r="F390" t="s">
        <v>16221</v>
      </c>
      <c r="G390" t="s">
        <v>16235</v>
      </c>
      <c r="H390" t="s">
        <v>16241</v>
      </c>
      <c r="I390" t="s">
        <v>16313</v>
      </c>
      <c r="J390" t="s">
        <v>16385</v>
      </c>
      <c r="K390">
        <v>0.18</v>
      </c>
      <c r="L390">
        <v>7821</v>
      </c>
      <c r="M390">
        <v>2297</v>
      </c>
      <c r="N390" t="s">
        <v>16393</v>
      </c>
      <c r="O390" s="4">
        <v>40342</v>
      </c>
      <c r="P390" s="4">
        <v>115394</v>
      </c>
      <c r="Q390" s="4">
        <v>155736</v>
      </c>
      <c r="R390" s="4">
        <v>467208</v>
      </c>
      <c r="S390" t="s">
        <v>16771</v>
      </c>
      <c r="T390" s="6">
        <v>43862</v>
      </c>
      <c r="U390" s="4">
        <v>360000</v>
      </c>
      <c r="V390" t="s">
        <v>23739</v>
      </c>
      <c r="W390" t="s">
        <v>23911</v>
      </c>
      <c r="X390" t="s">
        <v>3</v>
      </c>
      <c r="AA390" s="5" t="str">
        <f>HYPERLINK("https://www.zillow.com/homes/183-BRAINTREE-DR-BLOOMINGDALE-IL-601081533_rb/","check listing")</f>
        <v>check listing</v>
      </c>
      <c r="AB390" s="5" t="str">
        <f>HYPERLINK("https://propertylookup.dupagecounty.gov/Datalets/Datalet.aspx?UseSearch=no&amp;mode=sales&amp;pin=0215412023","sales record")</f>
        <v>sales record</v>
      </c>
      <c r="AC390" t="s">
        <v>27873</v>
      </c>
      <c r="AD390">
        <v>41.950546</v>
      </c>
      <c r="AE390">
        <v>-88.075104</v>
      </c>
      <c r="AF390" s="5" t="str">
        <f>HYPERLINK("https://www.google.com/maps/search/?api=1&amp;query=41.950546,-88.075104","map")</f>
        <v>map</v>
      </c>
    </row>
    <row r="391" spans="1:32">
      <c r="A391" t="s">
        <v>441</v>
      </c>
      <c r="B391" t="s">
        <v>8021</v>
      </c>
      <c r="C391" t="s">
        <v>15118</v>
      </c>
      <c r="D391" t="s">
        <v>16196</v>
      </c>
      <c r="E391" t="s">
        <v>16218</v>
      </c>
      <c r="F391" t="s">
        <v>16221</v>
      </c>
      <c r="G391" t="s">
        <v>16236</v>
      </c>
      <c r="H391" t="s">
        <v>16241</v>
      </c>
      <c r="I391" t="s">
        <v>16313</v>
      </c>
      <c r="J391" t="s">
        <v>16385</v>
      </c>
      <c r="K391">
        <v>0.179</v>
      </c>
      <c r="L391">
        <v>7812</v>
      </c>
      <c r="M391">
        <v>2446</v>
      </c>
      <c r="N391" t="s">
        <v>16393</v>
      </c>
      <c r="O391" s="4">
        <v>29656</v>
      </c>
      <c r="P391" s="4">
        <v>122005</v>
      </c>
      <c r="Q391" s="4">
        <v>151661</v>
      </c>
      <c r="R391" s="4">
        <v>454983</v>
      </c>
      <c r="S391" t="s">
        <v>16772</v>
      </c>
      <c r="T391" s="6">
        <v>35125</v>
      </c>
      <c r="U391" s="4">
        <v>204900</v>
      </c>
      <c r="X391" t="s">
        <v>3</v>
      </c>
      <c r="AA391" s="5" t="str">
        <f>HYPERLINK("https://www.zillow.com/homes/264-BISCAYNE-ST-BLOOMINGDALE-IL-60108_rb/","check listing")</f>
        <v>check listing</v>
      </c>
      <c r="AB391" s="5" t="str">
        <f>HYPERLINK("https://propertylookup.dupagecounty.gov/Datalets/Datalet.aspx?UseSearch=no&amp;mode=sales&amp;pin=0208302021","sales record")</f>
        <v>sales record</v>
      </c>
      <c r="AC391" t="s">
        <v>3</v>
      </c>
      <c r="AD391">
        <v>41.964796</v>
      </c>
      <c r="AE391">
        <v>-88.120825</v>
      </c>
      <c r="AF391" s="5" t="str">
        <f>HYPERLINK("https://www.google.com/maps/search/?api=1&amp;query=41.964796,-88.120825","map")</f>
        <v>map</v>
      </c>
    </row>
    <row r="392" spans="1:32">
      <c r="A392" t="s">
        <v>442</v>
      </c>
      <c r="B392" t="s">
        <v>8022</v>
      </c>
      <c r="C392" t="s">
        <v>15118</v>
      </c>
      <c r="D392" t="s">
        <v>16196</v>
      </c>
      <c r="E392" t="s">
        <v>16218</v>
      </c>
      <c r="F392" t="s">
        <v>16221</v>
      </c>
      <c r="G392" t="s">
        <v>16236</v>
      </c>
      <c r="H392" t="s">
        <v>16241</v>
      </c>
      <c r="I392" t="s">
        <v>16313</v>
      </c>
      <c r="J392" t="s">
        <v>16385</v>
      </c>
      <c r="K392">
        <v>0.179</v>
      </c>
      <c r="L392">
        <v>7812</v>
      </c>
      <c r="M392">
        <v>1838</v>
      </c>
      <c r="N392" t="s">
        <v>16393</v>
      </c>
      <c r="O392" s="4">
        <v>29656</v>
      </c>
      <c r="P392" s="4">
        <v>109251</v>
      </c>
      <c r="Q392" s="4">
        <v>138907</v>
      </c>
      <c r="R392" s="4">
        <v>416721</v>
      </c>
      <c r="S392" t="s">
        <v>16773</v>
      </c>
      <c r="T392" s="6">
        <v>37500</v>
      </c>
      <c r="U392" s="4">
        <v>321000</v>
      </c>
      <c r="V392" t="s">
        <v>23739</v>
      </c>
      <c r="W392" t="s">
        <v>23912</v>
      </c>
      <c r="X392" t="s">
        <v>3</v>
      </c>
      <c r="AA392" s="5" t="str">
        <f>HYPERLINK("https://www.zillow.com/homes/306-CHESAPEAKE-LN-BLOOMINGDALE-IL-60108_rb/","check listing")</f>
        <v>check listing</v>
      </c>
      <c r="AB392" s="5" t="str">
        <f>HYPERLINK("https://propertylookup.dupagecounty.gov/Datalets/Datalet.aspx?UseSearch=no&amp;mode=sales&amp;pin=0208304020","sales record")</f>
        <v>sales record</v>
      </c>
      <c r="AC392" t="s">
        <v>3</v>
      </c>
      <c r="AD392">
        <v>41.962218</v>
      </c>
      <c r="AE392">
        <v>-88.12085500000001</v>
      </c>
      <c r="AF392" s="5" t="str">
        <f>HYPERLINK("https://www.google.com/maps/search/?api=1&amp;query=41.962218,-88.120855","map")</f>
        <v>map</v>
      </c>
    </row>
    <row r="393" spans="1:32">
      <c r="A393" t="s">
        <v>443</v>
      </c>
      <c r="B393" t="s">
        <v>8023</v>
      </c>
      <c r="C393" t="s">
        <v>15118</v>
      </c>
      <c r="D393" t="s">
        <v>16196</v>
      </c>
      <c r="E393" t="s">
        <v>16218</v>
      </c>
      <c r="F393" t="s">
        <v>16221</v>
      </c>
      <c r="G393" t="s">
        <v>16236</v>
      </c>
      <c r="H393" t="s">
        <v>16241</v>
      </c>
      <c r="I393" t="s">
        <v>16313</v>
      </c>
      <c r="J393" t="s">
        <v>16385</v>
      </c>
      <c r="K393">
        <v>0.179</v>
      </c>
      <c r="L393">
        <v>7798</v>
      </c>
      <c r="M393">
        <v>2630</v>
      </c>
      <c r="N393" t="s">
        <v>16393</v>
      </c>
      <c r="O393" s="4">
        <v>29656</v>
      </c>
      <c r="P393" s="4">
        <v>124193</v>
      </c>
      <c r="Q393" s="4">
        <v>153849</v>
      </c>
      <c r="R393" s="4">
        <v>461547</v>
      </c>
      <c r="S393" t="s">
        <v>16774</v>
      </c>
      <c r="T393" s="6">
        <v>42186</v>
      </c>
      <c r="U393" s="4">
        <v>295000</v>
      </c>
      <c r="V393" t="s">
        <v>23739</v>
      </c>
      <c r="W393" t="s">
        <v>23913</v>
      </c>
      <c r="X393" t="s">
        <v>3</v>
      </c>
      <c r="AA393" s="5" t="str">
        <f>HYPERLINK("https://www.zillow.com/homes/304-CHESAPEAKE-LN-BLOOMINGDALE-IL-60108_rb/","check listing")</f>
        <v>check listing</v>
      </c>
      <c r="AB393" s="5" t="str">
        <f>HYPERLINK("https://propertylookup.dupagecounty.gov/Datalets/Datalet.aspx?UseSearch=no&amp;mode=sales&amp;pin=0208304021","sales record")</f>
        <v>sales record</v>
      </c>
      <c r="AC393" t="s">
        <v>3</v>
      </c>
      <c r="AD393">
        <v>41.96235</v>
      </c>
      <c r="AE393">
        <v>-88.12085399999999</v>
      </c>
      <c r="AF393" s="5" t="str">
        <f>HYPERLINK("https://www.google.com/maps/search/?api=1&amp;query=41.96235,-88.120854","map")</f>
        <v>map</v>
      </c>
    </row>
    <row r="394" spans="1:32">
      <c r="A394" t="s">
        <v>444</v>
      </c>
      <c r="B394" t="s">
        <v>8024</v>
      </c>
      <c r="C394" t="s">
        <v>15118</v>
      </c>
      <c r="D394" t="s">
        <v>16196</v>
      </c>
      <c r="E394" t="s">
        <v>16218</v>
      </c>
      <c r="F394" t="s">
        <v>16221</v>
      </c>
      <c r="G394" t="s">
        <v>16236</v>
      </c>
      <c r="H394" t="s">
        <v>16241</v>
      </c>
      <c r="I394" t="s">
        <v>16313</v>
      </c>
      <c r="J394" t="s">
        <v>16385</v>
      </c>
      <c r="K394">
        <v>0.178</v>
      </c>
      <c r="L394">
        <v>7768</v>
      </c>
      <c r="M394">
        <v>2341</v>
      </c>
      <c r="N394" t="s">
        <v>16393</v>
      </c>
      <c r="O394" s="4">
        <v>29656</v>
      </c>
      <c r="P394" s="4">
        <v>131742</v>
      </c>
      <c r="Q394" s="4">
        <v>161398</v>
      </c>
      <c r="R394" s="4">
        <v>484194</v>
      </c>
      <c r="S394" t="s">
        <v>16775</v>
      </c>
      <c r="T394" s="6">
        <v>45779</v>
      </c>
      <c r="U394" s="4">
        <v>580000</v>
      </c>
      <c r="V394" t="s">
        <v>23739</v>
      </c>
      <c r="W394" t="s">
        <v>23914</v>
      </c>
      <c r="X394" t="s">
        <v>3</v>
      </c>
      <c r="AA394" s="5" t="str">
        <f>HYPERLINK("https://www.zillow.com/homes/265-BISCAYNE-ST-BLOOMINGDALE-IL-60108_rb/","check listing")</f>
        <v>check listing</v>
      </c>
      <c r="AB394" s="5" t="str">
        <f>HYPERLINK("https://propertylookup.dupagecounty.gov/Datalets/Datalet.aspx?UseSearch=no&amp;mode=sales&amp;pin=0208305013","sales record")</f>
        <v>sales record</v>
      </c>
      <c r="AC394" t="s">
        <v>3</v>
      </c>
      <c r="AD394">
        <v>41.96462</v>
      </c>
      <c r="AE394">
        <v>-88.121511</v>
      </c>
      <c r="AF394" s="5" t="str">
        <f>HYPERLINK("https://www.google.com/maps/search/?api=1&amp;query=41.96462,-88.121511","map")</f>
        <v>map</v>
      </c>
    </row>
    <row r="395" spans="1:32">
      <c r="A395" t="s">
        <v>445</v>
      </c>
      <c r="B395" t="s">
        <v>8025</v>
      </c>
      <c r="C395" t="s">
        <v>15139</v>
      </c>
      <c r="D395" t="s">
        <v>16196</v>
      </c>
      <c r="E395" t="s">
        <v>16218</v>
      </c>
      <c r="F395" t="s">
        <v>16221</v>
      </c>
      <c r="G395" t="s">
        <v>16235</v>
      </c>
      <c r="H395" t="s">
        <v>16241</v>
      </c>
      <c r="I395" t="s">
        <v>16313</v>
      </c>
      <c r="J395" t="s">
        <v>16385</v>
      </c>
      <c r="K395">
        <v>0.178</v>
      </c>
      <c r="L395">
        <v>7766</v>
      </c>
      <c r="M395">
        <v>2533</v>
      </c>
      <c r="N395" t="s">
        <v>16393</v>
      </c>
      <c r="O395" s="4">
        <v>40342</v>
      </c>
      <c r="P395" s="4">
        <v>111474</v>
      </c>
      <c r="Q395" s="4">
        <v>151816</v>
      </c>
      <c r="R395" s="4">
        <v>455448</v>
      </c>
      <c r="S395" t="s">
        <v>16776</v>
      </c>
      <c r="T395" s="6">
        <v>33359</v>
      </c>
      <c r="U395" s="4">
        <v>162000</v>
      </c>
      <c r="X395" t="s">
        <v>3</v>
      </c>
      <c r="AA395" s="5" t="str">
        <f>HYPERLINK("https://www.zillow.com/homes/139-HINGHAM-LN-BLOOMINGDALE-IL-601081524_rb/","check listing")</f>
        <v>check listing</v>
      </c>
      <c r="AB395" s="5" t="str">
        <f>HYPERLINK("https://propertylookup.dupagecounty.gov/Datalets/Datalet.aspx?UseSearch=no&amp;mode=sales&amp;pin=0215408008","sales record")</f>
        <v>sales record</v>
      </c>
      <c r="AC395" t="s">
        <v>3</v>
      </c>
      <c r="AD395">
        <v>41.953605</v>
      </c>
      <c r="AE395">
        <v>-88.07717</v>
      </c>
      <c r="AF395" s="5" t="str">
        <f>HYPERLINK("https://www.google.com/maps/search/?api=1&amp;query=41.953605,-88.07717","map")</f>
        <v>map</v>
      </c>
    </row>
    <row r="396" spans="1:32">
      <c r="A396" t="s">
        <v>446</v>
      </c>
      <c r="B396" t="s">
        <v>8026</v>
      </c>
      <c r="C396" t="s">
        <v>15118</v>
      </c>
      <c r="D396" t="s">
        <v>16196</v>
      </c>
      <c r="E396" t="s">
        <v>16218</v>
      </c>
      <c r="F396" t="s">
        <v>16221</v>
      </c>
      <c r="G396" t="s">
        <v>16236</v>
      </c>
      <c r="H396" t="s">
        <v>16241</v>
      </c>
      <c r="I396" t="s">
        <v>16313</v>
      </c>
      <c r="J396" t="s">
        <v>16385</v>
      </c>
      <c r="K396">
        <v>0.178</v>
      </c>
      <c r="L396">
        <v>7742</v>
      </c>
      <c r="M396">
        <v>2459</v>
      </c>
      <c r="N396" t="s">
        <v>16393</v>
      </c>
      <c r="O396" s="4">
        <v>29656</v>
      </c>
      <c r="P396" s="4">
        <v>130922</v>
      </c>
      <c r="Q396" s="4">
        <v>160578</v>
      </c>
      <c r="R396" s="4">
        <v>481734</v>
      </c>
      <c r="S396" t="s">
        <v>16777</v>
      </c>
      <c r="T396" s="6">
        <v>38657</v>
      </c>
      <c r="U396" s="4">
        <v>378000</v>
      </c>
      <c r="V396" t="s">
        <v>23739</v>
      </c>
      <c r="W396" t="s">
        <v>23915</v>
      </c>
      <c r="X396" t="s">
        <v>3</v>
      </c>
      <c r="AA396" s="5" t="str">
        <f>HYPERLINK("https://www.zillow.com/homes/318-CHESAPEAKE-LN-BLOOMINGDALE-IL-60108_rb/","check listing")</f>
        <v>check listing</v>
      </c>
      <c r="AB396" s="5" t="str">
        <f>HYPERLINK("https://propertylookup.dupagecounty.gov/Datalets/Datalet.aspx?UseSearch=no&amp;mode=sales&amp;pin=0208304014","sales record")</f>
        <v>sales record</v>
      </c>
      <c r="AC396" t="s">
        <v>3</v>
      </c>
      <c r="AD396">
        <v>41.961457</v>
      </c>
      <c r="AE396">
        <v>-88.121499</v>
      </c>
      <c r="AF396" s="5" t="str">
        <f>HYPERLINK("https://www.google.com/maps/search/?api=1&amp;query=41.961457,-88.121499","map")</f>
        <v>map</v>
      </c>
    </row>
    <row r="397" spans="1:32">
      <c r="A397" t="s">
        <v>447</v>
      </c>
      <c r="B397" t="s">
        <v>8027</v>
      </c>
      <c r="C397" t="s">
        <v>15118</v>
      </c>
      <c r="D397" t="s">
        <v>16196</v>
      </c>
      <c r="E397" t="s">
        <v>16218</v>
      </c>
      <c r="F397" t="s">
        <v>16221</v>
      </c>
      <c r="G397" t="s">
        <v>16236</v>
      </c>
      <c r="H397" t="s">
        <v>16241</v>
      </c>
      <c r="I397" t="s">
        <v>16313</v>
      </c>
      <c r="J397" t="s">
        <v>16385</v>
      </c>
      <c r="K397">
        <v>0.178</v>
      </c>
      <c r="L397">
        <v>7734</v>
      </c>
      <c r="M397">
        <v>2372</v>
      </c>
      <c r="N397" t="s">
        <v>16393</v>
      </c>
      <c r="O397" s="4">
        <v>29656</v>
      </c>
      <c r="P397" s="4">
        <v>121849</v>
      </c>
      <c r="Q397" s="4">
        <v>151505</v>
      </c>
      <c r="R397" s="4">
        <v>454515</v>
      </c>
      <c r="S397" t="s">
        <v>16778</v>
      </c>
      <c r="T397" s="6">
        <v>34820</v>
      </c>
      <c r="U397" s="4">
        <v>223435</v>
      </c>
      <c r="X397" t="s">
        <v>3</v>
      </c>
      <c r="AA397" s="5" t="str">
        <f>HYPERLINK("https://www.zillow.com/homes/207-FRISCO-CT-BLOOMINGDALE-IL-60108_rb/","check listing")</f>
        <v>check listing</v>
      </c>
      <c r="AB397" s="5" t="str">
        <f>HYPERLINK("https://propertylookup.dupagecounty.gov/Datalets/Datalet.aspx?UseSearch=no&amp;mode=sales&amp;pin=0208303008","sales record")</f>
        <v>sales record</v>
      </c>
      <c r="AC397" t="s">
        <v>3</v>
      </c>
      <c r="AD397">
        <v>41.962895</v>
      </c>
      <c r="AE397">
        <v>-88.12345999999999</v>
      </c>
      <c r="AF397" s="5" t="str">
        <f>HYPERLINK("https://www.google.com/maps/search/?api=1&amp;query=41.962895,-88.12346","map")</f>
        <v>map</v>
      </c>
    </row>
    <row r="398" spans="1:32">
      <c r="A398" t="s">
        <v>448</v>
      </c>
      <c r="B398" t="s">
        <v>8028</v>
      </c>
      <c r="C398" t="s">
        <v>15130</v>
      </c>
      <c r="D398" t="s">
        <v>16196</v>
      </c>
      <c r="E398" t="s">
        <v>16218</v>
      </c>
      <c r="F398" t="s">
        <v>16221</v>
      </c>
      <c r="G398" t="s">
        <v>16236</v>
      </c>
      <c r="H398" t="s">
        <v>16241</v>
      </c>
      <c r="I398" t="s">
        <v>16313</v>
      </c>
      <c r="J398" t="s">
        <v>16385</v>
      </c>
      <c r="K398">
        <v>0.176</v>
      </c>
      <c r="L398">
        <v>7687</v>
      </c>
      <c r="M398">
        <v>2359</v>
      </c>
      <c r="N398" t="s">
        <v>16393</v>
      </c>
      <c r="O398" s="4">
        <v>29656</v>
      </c>
      <c r="P398" s="4">
        <v>117319</v>
      </c>
      <c r="Q398" s="4">
        <v>146975</v>
      </c>
      <c r="R398" s="4">
        <v>440925</v>
      </c>
      <c r="S398" t="s">
        <v>16779</v>
      </c>
      <c r="T398" s="6">
        <v>44197</v>
      </c>
      <c r="U398" s="4">
        <v>331000</v>
      </c>
      <c r="V398" t="s">
        <v>23739</v>
      </c>
      <c r="W398" t="s">
        <v>16779</v>
      </c>
      <c r="X398" t="s">
        <v>3</v>
      </c>
      <c r="AA398" s="5" t="str">
        <f>HYPERLINK("https://www.zillow.com/homes/338-CHESAPEAKE-LN-BLOOMINGDALE-IL-601083305_rb/","check listing")</f>
        <v>check listing</v>
      </c>
      <c r="AB398" s="5" t="str">
        <f>HYPERLINK("https://propertylookup.dupagecounty.gov/Datalets/Datalet.aspx?UseSearch=no&amp;mode=sales&amp;pin=0208304004","sales record")</f>
        <v>sales record</v>
      </c>
      <c r="AC398" t="s">
        <v>3</v>
      </c>
      <c r="AD398">
        <v>41.961398</v>
      </c>
      <c r="AE398">
        <v>-88.123746</v>
      </c>
      <c r="AF398" s="5" t="str">
        <f>HYPERLINK("https://www.google.com/maps/search/?api=1&amp;query=41.961398,-88.123746","map")</f>
        <v>map</v>
      </c>
    </row>
    <row r="399" spans="1:32">
      <c r="A399" t="s">
        <v>449</v>
      </c>
      <c r="B399" t="s">
        <v>8029</v>
      </c>
      <c r="C399" t="s">
        <v>15118</v>
      </c>
      <c r="D399" t="s">
        <v>16196</v>
      </c>
      <c r="E399" t="s">
        <v>16218</v>
      </c>
      <c r="F399" t="s">
        <v>16221</v>
      </c>
      <c r="G399" t="s">
        <v>16236</v>
      </c>
      <c r="H399" t="s">
        <v>16241</v>
      </c>
      <c r="I399" t="s">
        <v>16313</v>
      </c>
      <c r="J399" t="s">
        <v>16385</v>
      </c>
      <c r="K399">
        <v>0.176</v>
      </c>
      <c r="L399">
        <v>7681</v>
      </c>
      <c r="M399">
        <v>1930</v>
      </c>
      <c r="N399" t="s">
        <v>16393</v>
      </c>
      <c r="O399" s="4">
        <v>29656</v>
      </c>
      <c r="P399" s="4">
        <v>122447</v>
      </c>
      <c r="Q399" s="4">
        <v>152103</v>
      </c>
      <c r="R399" s="4">
        <v>456309</v>
      </c>
      <c r="S399" t="s">
        <v>16780</v>
      </c>
      <c r="T399" s="6">
        <v>38869</v>
      </c>
      <c r="U399" s="4">
        <v>402000</v>
      </c>
      <c r="V399" t="s">
        <v>23739</v>
      </c>
      <c r="W399" t="s">
        <v>23916</v>
      </c>
      <c r="X399" t="s">
        <v>3</v>
      </c>
      <c r="AA399" s="5" t="str">
        <f>HYPERLINK("https://www.zillow.com/homes/282-BISCAYNE-ST-BLOOMINGDALE-IL-60108_rb/","check listing")</f>
        <v>check listing</v>
      </c>
      <c r="AB399" s="5" t="str">
        <f>HYPERLINK("https://propertylookup.dupagecounty.gov/Datalets/Datalet.aspx?UseSearch=no&amp;mode=sales&amp;pin=0208302012","sales record")</f>
        <v>sales record</v>
      </c>
      <c r="AC399" t="s">
        <v>3</v>
      </c>
      <c r="AD399">
        <v>41.963262</v>
      </c>
      <c r="AE399">
        <v>-88.12123699999999</v>
      </c>
      <c r="AF399" s="5" t="str">
        <f>HYPERLINK("https://www.google.com/maps/search/?api=1&amp;query=41.963262,-88.121237","map")</f>
        <v>map</v>
      </c>
    </row>
    <row r="400" spans="1:32">
      <c r="A400" t="s">
        <v>450</v>
      </c>
      <c r="B400" t="s">
        <v>8030</v>
      </c>
      <c r="C400" t="s">
        <v>15118</v>
      </c>
      <c r="D400" t="s">
        <v>16196</v>
      </c>
      <c r="E400" t="s">
        <v>16218</v>
      </c>
      <c r="F400" t="s">
        <v>16221</v>
      </c>
      <c r="G400" t="s">
        <v>16235</v>
      </c>
      <c r="H400" t="s">
        <v>16241</v>
      </c>
      <c r="I400" t="s">
        <v>16313</v>
      </c>
      <c r="J400" t="s">
        <v>16385</v>
      </c>
      <c r="K400">
        <v>0.176</v>
      </c>
      <c r="L400">
        <v>7655</v>
      </c>
      <c r="M400">
        <v>2324</v>
      </c>
      <c r="N400" t="s">
        <v>16393</v>
      </c>
      <c r="O400" s="4">
        <v>40342</v>
      </c>
      <c r="P400" s="4">
        <v>115394</v>
      </c>
      <c r="Q400" s="4">
        <v>155736</v>
      </c>
      <c r="R400" s="4">
        <v>467208</v>
      </c>
      <c r="S400" t="s">
        <v>16781</v>
      </c>
      <c r="T400" s="6">
        <v>42979</v>
      </c>
      <c r="U400" s="4">
        <v>329500</v>
      </c>
      <c r="V400" t="s">
        <v>23739</v>
      </c>
      <c r="W400" t="s">
        <v>23917</v>
      </c>
      <c r="X400" t="s">
        <v>3</v>
      </c>
      <c r="AA400" s="5" t="str">
        <f>HYPERLINK("https://www.zillow.com/homes/181-BRAINTREE-DR-BLOOMINGDALE-IL-60108_rb/","check listing")</f>
        <v>check listing</v>
      </c>
      <c r="AB400" s="5" t="str">
        <f>HYPERLINK("https://propertylookup.dupagecounty.gov/Datalets/Datalet.aspx?UseSearch=no&amp;mode=sales&amp;pin=0215412022","sales record")</f>
        <v>sales record</v>
      </c>
      <c r="AC400" t="s">
        <v>27873</v>
      </c>
      <c r="AD400">
        <v>41.950757</v>
      </c>
      <c r="AE400">
        <v>-88.075141</v>
      </c>
      <c r="AF400" s="5" t="str">
        <f>HYPERLINK("https://www.google.com/maps/search/?api=1&amp;query=41.950757,-88.075141","map")</f>
        <v>map</v>
      </c>
    </row>
    <row r="401" spans="1:32">
      <c r="A401" t="s">
        <v>451</v>
      </c>
      <c r="B401" t="s">
        <v>8031</v>
      </c>
      <c r="C401" t="s">
        <v>15118</v>
      </c>
      <c r="D401" t="s">
        <v>16196</v>
      </c>
      <c r="E401" t="s">
        <v>16218</v>
      </c>
      <c r="F401" t="s">
        <v>16221</v>
      </c>
      <c r="G401" t="s">
        <v>16235</v>
      </c>
      <c r="H401" t="s">
        <v>16241</v>
      </c>
      <c r="I401" t="s">
        <v>16313</v>
      </c>
      <c r="J401" t="s">
        <v>16385</v>
      </c>
      <c r="K401">
        <v>0.176</v>
      </c>
      <c r="L401">
        <v>7654</v>
      </c>
      <c r="M401">
        <v>1996</v>
      </c>
      <c r="N401" t="s">
        <v>16393</v>
      </c>
      <c r="O401" s="4">
        <v>40342</v>
      </c>
      <c r="P401" s="4">
        <v>106800</v>
      </c>
      <c r="Q401" s="4">
        <v>147142</v>
      </c>
      <c r="R401" s="4">
        <v>441426</v>
      </c>
      <c r="S401" t="s">
        <v>16782</v>
      </c>
      <c r="X401" t="s">
        <v>3</v>
      </c>
      <c r="AA401" s="5" t="str">
        <f>HYPERLINK("https://www.zillow.com/homes/187-BRAINTREE-DR-BLOOMINGDALE-IL-60108_rb/","check listing")</f>
        <v>check listing</v>
      </c>
      <c r="AB401" s="5" t="str">
        <f>HYPERLINK("https://propertylookup.dupagecounty.gov/Datalets/Datalet.aspx?UseSearch=no&amp;mode=sales&amp;pin=0215412025","sales record")</f>
        <v>sales record</v>
      </c>
      <c r="AC401" t="s">
        <v>3</v>
      </c>
      <c r="AD401">
        <v>41.950255</v>
      </c>
      <c r="AE401">
        <v>-88.07504</v>
      </c>
      <c r="AF401" s="5" t="str">
        <f>HYPERLINK("https://www.google.com/maps/search/?api=1&amp;query=41.950255,-88.07504","map")</f>
        <v>map</v>
      </c>
    </row>
    <row r="402" spans="1:32">
      <c r="A402" t="s">
        <v>452</v>
      </c>
      <c r="B402" t="s">
        <v>8032</v>
      </c>
      <c r="C402" t="s">
        <v>15118</v>
      </c>
      <c r="D402" t="s">
        <v>16196</v>
      </c>
      <c r="E402" t="s">
        <v>16218</v>
      </c>
      <c r="F402" t="s">
        <v>16221</v>
      </c>
      <c r="G402" t="s">
        <v>16235</v>
      </c>
      <c r="H402" t="s">
        <v>16241</v>
      </c>
      <c r="I402" t="s">
        <v>16313</v>
      </c>
      <c r="J402" t="s">
        <v>16385</v>
      </c>
      <c r="K402">
        <v>0.175</v>
      </c>
      <c r="L402">
        <v>7616</v>
      </c>
      <c r="M402">
        <v>2624</v>
      </c>
      <c r="N402" t="s">
        <v>16393</v>
      </c>
      <c r="O402" s="4">
        <v>40342</v>
      </c>
      <c r="P402" s="4">
        <v>111498</v>
      </c>
      <c r="Q402" s="4">
        <v>151840</v>
      </c>
      <c r="R402" s="4">
        <v>455520</v>
      </c>
      <c r="S402" t="s">
        <v>16783</v>
      </c>
      <c r="T402" s="6">
        <v>45107</v>
      </c>
      <c r="U402" s="4">
        <v>425000</v>
      </c>
      <c r="V402" t="s">
        <v>23739</v>
      </c>
      <c r="W402" t="s">
        <v>23918</v>
      </c>
      <c r="X402" t="s">
        <v>3</v>
      </c>
      <c r="AA402" s="5" t="str">
        <f>HYPERLINK("https://www.zillow.com/homes/197-BRAINTREE-DR-BLOOMINGDALE-IL-60108_rb/","check listing")</f>
        <v>check listing</v>
      </c>
      <c r="AB402" s="5" t="str">
        <f>HYPERLINK("https://propertylookup.dupagecounty.gov/Datalets/Datalet.aspx?UseSearch=no&amp;mode=sales&amp;pin=0215412030","sales record")</f>
        <v>sales record</v>
      </c>
      <c r="AC402" t="s">
        <v>3</v>
      </c>
      <c r="AD402">
        <v>41.949706</v>
      </c>
      <c r="AE402">
        <v>-88.074282</v>
      </c>
      <c r="AF402" s="5" t="str">
        <f>HYPERLINK("https://www.google.com/maps/search/?api=1&amp;query=41.949706,-88.074282","map")</f>
        <v>map</v>
      </c>
    </row>
    <row r="403" spans="1:32">
      <c r="A403" t="s">
        <v>453</v>
      </c>
      <c r="B403" t="s">
        <v>8033</v>
      </c>
      <c r="C403" t="s">
        <v>15133</v>
      </c>
      <c r="D403" t="s">
        <v>16196</v>
      </c>
      <c r="E403" t="s">
        <v>16218</v>
      </c>
      <c r="F403" t="s">
        <v>16221</v>
      </c>
      <c r="G403" t="s">
        <v>16235</v>
      </c>
      <c r="H403" t="s">
        <v>16241</v>
      </c>
      <c r="I403" t="s">
        <v>16313</v>
      </c>
      <c r="J403" t="s">
        <v>16385</v>
      </c>
      <c r="K403">
        <v>0.175</v>
      </c>
      <c r="L403">
        <v>7605</v>
      </c>
      <c r="M403">
        <v>2291</v>
      </c>
      <c r="N403" t="s">
        <v>16393</v>
      </c>
      <c r="O403" s="4">
        <v>40342</v>
      </c>
      <c r="P403" s="4">
        <v>91691</v>
      </c>
      <c r="Q403" s="4">
        <v>132033</v>
      </c>
      <c r="R403" s="4">
        <v>396099</v>
      </c>
      <c r="S403" t="s">
        <v>16784</v>
      </c>
      <c r="T403" s="6">
        <v>39995</v>
      </c>
      <c r="U403" s="4">
        <v>261500</v>
      </c>
      <c r="V403" t="s">
        <v>16232</v>
      </c>
      <c r="W403" t="s">
        <v>23919</v>
      </c>
      <c r="X403" t="s">
        <v>3</v>
      </c>
      <c r="AA403" s="5" t="str">
        <f>HYPERLINK("https://www.zillow.com/homes/142-FAIRFIELD-WAY-BLOOMINGDALE-IL-601081540_rb/","check listing")</f>
        <v>check listing</v>
      </c>
      <c r="AB403" s="5" t="str">
        <f>HYPERLINK("https://propertylookup.dupagecounty.gov/Datalets/Datalet.aspx?UseSearch=no&amp;mode=sales&amp;pin=0215410021","sales record")</f>
        <v>sales record</v>
      </c>
      <c r="AC403" t="s">
        <v>3</v>
      </c>
      <c r="AD403">
        <v>41.953819</v>
      </c>
      <c r="AE403">
        <v>-88.073313</v>
      </c>
      <c r="AF403" s="5" t="str">
        <f>HYPERLINK("https://www.google.com/maps/search/?api=1&amp;query=41.953819,-88.073313","map")</f>
        <v>map</v>
      </c>
    </row>
    <row r="404" spans="1:32">
      <c r="A404" t="s">
        <v>454</v>
      </c>
      <c r="B404" t="s">
        <v>8034</v>
      </c>
      <c r="C404" t="s">
        <v>15118</v>
      </c>
      <c r="D404" t="s">
        <v>16196</v>
      </c>
      <c r="E404" t="s">
        <v>16218</v>
      </c>
      <c r="F404" t="s">
        <v>16221</v>
      </c>
      <c r="G404" t="s">
        <v>16235</v>
      </c>
      <c r="H404" t="s">
        <v>16241</v>
      </c>
      <c r="I404" t="s">
        <v>16313</v>
      </c>
      <c r="J404" t="s">
        <v>16385</v>
      </c>
      <c r="K404">
        <v>0.175</v>
      </c>
      <c r="L404">
        <v>7604</v>
      </c>
      <c r="M404">
        <v>2376</v>
      </c>
      <c r="N404" t="s">
        <v>16393</v>
      </c>
      <c r="O404" s="4">
        <v>40342</v>
      </c>
      <c r="P404" s="4">
        <v>102784</v>
      </c>
      <c r="Q404" s="4">
        <v>143126</v>
      </c>
      <c r="R404" s="4">
        <v>429378</v>
      </c>
      <c r="S404" t="s">
        <v>16785</v>
      </c>
      <c r="T404" s="6">
        <v>41913</v>
      </c>
      <c r="U404" s="4">
        <v>270000</v>
      </c>
      <c r="V404" t="s">
        <v>23739</v>
      </c>
      <c r="W404" t="s">
        <v>23920</v>
      </c>
      <c r="X404" t="s">
        <v>3</v>
      </c>
      <c r="AA404" s="5" t="str">
        <f>HYPERLINK("https://www.zillow.com/homes/202-CAMBRIDGE-LN-BLOOMINGDALE-IL-60108_rb/","check listing")</f>
        <v>check listing</v>
      </c>
      <c r="AB404" s="5" t="str">
        <f>HYPERLINK("https://propertylookup.dupagecounty.gov/Datalets/Datalet.aspx?UseSearch=no&amp;mode=sales&amp;pin=0215402037","sales record")</f>
        <v>sales record</v>
      </c>
      <c r="AC404" t="s">
        <v>3</v>
      </c>
      <c r="AD404">
        <v>41.950209</v>
      </c>
      <c r="AE404">
        <v>-88.076396</v>
      </c>
      <c r="AF404" s="5" t="str">
        <f>HYPERLINK("https://www.google.com/maps/search/?api=1&amp;query=41.950209,-88.076396","map")</f>
        <v>map</v>
      </c>
    </row>
    <row r="405" spans="1:32">
      <c r="A405" t="s">
        <v>455</v>
      </c>
      <c r="B405" t="s">
        <v>8035</v>
      </c>
      <c r="C405" t="s">
        <v>15140</v>
      </c>
      <c r="D405" t="s">
        <v>16196</v>
      </c>
      <c r="E405" t="s">
        <v>16218</v>
      </c>
      <c r="F405" t="s">
        <v>16221</v>
      </c>
      <c r="G405" t="s">
        <v>16235</v>
      </c>
      <c r="H405" t="s">
        <v>16241</v>
      </c>
      <c r="I405" t="s">
        <v>16313</v>
      </c>
      <c r="J405" t="s">
        <v>16385</v>
      </c>
      <c r="K405">
        <v>0.174</v>
      </c>
      <c r="L405">
        <v>7595</v>
      </c>
      <c r="M405">
        <v>1890</v>
      </c>
      <c r="N405" t="s">
        <v>16393</v>
      </c>
      <c r="O405" s="4">
        <v>40342</v>
      </c>
      <c r="P405" s="4">
        <v>104744</v>
      </c>
      <c r="Q405" s="4">
        <v>145086</v>
      </c>
      <c r="R405" s="4">
        <v>435258</v>
      </c>
      <c r="S405" t="s">
        <v>16786</v>
      </c>
      <c r="T405" s="6">
        <v>43221</v>
      </c>
      <c r="U405" s="4">
        <v>312000</v>
      </c>
      <c r="V405" t="s">
        <v>23740</v>
      </c>
      <c r="W405" t="s">
        <v>23921</v>
      </c>
      <c r="X405" t="s">
        <v>3</v>
      </c>
      <c r="AA405" s="5" t="str">
        <f>HYPERLINK("https://www.zillow.com/homes/170-CAMBRIDGE-LN-BLOOMINGDALE-IL-601081504_rb/","check listing")</f>
        <v>check listing</v>
      </c>
      <c r="AB405" s="5" t="str">
        <f>HYPERLINK("https://propertylookup.dupagecounty.gov/Datalets/Datalet.aspx?UseSearch=no&amp;mode=sales&amp;pin=0215402026","sales record")</f>
        <v>sales record</v>
      </c>
      <c r="AC405" t="s">
        <v>27873</v>
      </c>
      <c r="AD405">
        <v>41.951424</v>
      </c>
      <c r="AE405">
        <v>-88.077977</v>
      </c>
      <c r="AF405" s="5" t="str">
        <f>HYPERLINK("https://www.google.com/maps/search/?api=1&amp;query=41.951424,-88.077977","map")</f>
        <v>map</v>
      </c>
    </row>
    <row r="406" spans="1:32">
      <c r="A406" t="s">
        <v>456</v>
      </c>
      <c r="B406" t="s">
        <v>8036</v>
      </c>
      <c r="C406" t="s">
        <v>15118</v>
      </c>
      <c r="D406" t="s">
        <v>16196</v>
      </c>
      <c r="E406" t="s">
        <v>16218</v>
      </c>
      <c r="F406" t="s">
        <v>16221</v>
      </c>
      <c r="G406" t="s">
        <v>16235</v>
      </c>
      <c r="H406" t="s">
        <v>16241</v>
      </c>
      <c r="I406" t="s">
        <v>16313</v>
      </c>
      <c r="J406" t="s">
        <v>16385</v>
      </c>
      <c r="K406">
        <v>0.174</v>
      </c>
      <c r="L406">
        <v>7583</v>
      </c>
      <c r="M406">
        <v>2090</v>
      </c>
      <c r="N406" t="s">
        <v>16393</v>
      </c>
      <c r="O406" s="4">
        <v>40342</v>
      </c>
      <c r="P406" s="4">
        <v>102784</v>
      </c>
      <c r="Q406" s="4">
        <v>143126</v>
      </c>
      <c r="R406" s="4">
        <v>429378</v>
      </c>
      <c r="S406" t="s">
        <v>16787</v>
      </c>
      <c r="T406" s="6">
        <v>40664</v>
      </c>
      <c r="U406" s="4">
        <v>255000</v>
      </c>
      <c r="V406" t="s">
        <v>23739</v>
      </c>
      <c r="W406" t="s">
        <v>23922</v>
      </c>
      <c r="X406" t="s">
        <v>3</v>
      </c>
      <c r="AA406" s="5" t="str">
        <f>HYPERLINK("https://www.zillow.com/homes/155-HINGHAM-LN-BLOOMINGDALE-IL-60108_rb/","check listing")</f>
        <v>check listing</v>
      </c>
      <c r="AB406" s="5" t="str">
        <f>HYPERLINK("https://propertylookup.dupagecounty.gov/Datalets/Datalet.aspx?UseSearch=no&amp;mode=sales&amp;pin=0215410011","sales record")</f>
        <v>sales record</v>
      </c>
      <c r="AC406" t="s">
        <v>27873</v>
      </c>
      <c r="AD406">
        <v>41.953441</v>
      </c>
      <c r="AE406">
        <v>-88.075534</v>
      </c>
      <c r="AF406" s="5" t="str">
        <f>HYPERLINK("https://www.google.com/maps/search/?api=1&amp;query=41.953441,-88.075534","map")</f>
        <v>map</v>
      </c>
    </row>
    <row r="407" spans="1:32">
      <c r="A407" t="s">
        <v>457</v>
      </c>
      <c r="B407" t="s">
        <v>8037</v>
      </c>
      <c r="C407" t="s">
        <v>15118</v>
      </c>
      <c r="D407" t="s">
        <v>16196</v>
      </c>
      <c r="E407" t="s">
        <v>16218</v>
      </c>
      <c r="F407" t="s">
        <v>16221</v>
      </c>
      <c r="G407" t="s">
        <v>16235</v>
      </c>
      <c r="H407" t="s">
        <v>16241</v>
      </c>
      <c r="I407" t="s">
        <v>16313</v>
      </c>
      <c r="J407" t="s">
        <v>16385</v>
      </c>
      <c r="K407">
        <v>0.174</v>
      </c>
      <c r="L407">
        <v>7574</v>
      </c>
      <c r="M407">
        <v>1996</v>
      </c>
      <c r="N407" t="s">
        <v>16393</v>
      </c>
      <c r="O407" s="4">
        <v>40342</v>
      </c>
      <c r="P407" s="4">
        <v>91691</v>
      </c>
      <c r="Q407" s="4">
        <v>132033</v>
      </c>
      <c r="R407" s="4">
        <v>396099</v>
      </c>
      <c r="S407" t="s">
        <v>16788</v>
      </c>
      <c r="T407" s="6">
        <v>37347</v>
      </c>
      <c r="U407" s="4">
        <v>260000</v>
      </c>
      <c r="V407" t="s">
        <v>23739</v>
      </c>
      <c r="W407" t="s">
        <v>23923</v>
      </c>
      <c r="X407" t="s">
        <v>3</v>
      </c>
      <c r="AA407" s="5" t="str">
        <f>HYPERLINK("https://www.zillow.com/homes/154-E-SCHICK-RD-BLOOMINGDALE-IL-60108_rb/","check listing")</f>
        <v>check listing</v>
      </c>
      <c r="AB407" s="5" t="str">
        <f>HYPERLINK("https://propertylookup.dupagecounty.gov/Datalets/Datalet.aspx?UseSearch=no&amp;mode=sales&amp;pin=0215410002","sales record")</f>
        <v>sales record</v>
      </c>
      <c r="AC407" t="s">
        <v>3</v>
      </c>
      <c r="AD407">
        <v>41.953768</v>
      </c>
      <c r="AE407">
        <v>-88.075406</v>
      </c>
      <c r="AF407" s="5" t="str">
        <f>HYPERLINK("https://www.google.com/maps/search/?api=1&amp;query=41.953768,-88.075406","map")</f>
        <v>map</v>
      </c>
    </row>
    <row r="408" spans="1:32">
      <c r="A408" t="s">
        <v>458</v>
      </c>
      <c r="B408" t="s">
        <v>8038</v>
      </c>
      <c r="C408" t="s">
        <v>15118</v>
      </c>
      <c r="D408" t="s">
        <v>16196</v>
      </c>
      <c r="E408" t="s">
        <v>16218</v>
      </c>
      <c r="F408" t="s">
        <v>16221</v>
      </c>
      <c r="G408" t="s">
        <v>16235</v>
      </c>
      <c r="H408" t="s">
        <v>16241</v>
      </c>
      <c r="I408" t="s">
        <v>16313</v>
      </c>
      <c r="J408" t="s">
        <v>16385</v>
      </c>
      <c r="K408">
        <v>0.174</v>
      </c>
      <c r="L408">
        <v>7566</v>
      </c>
      <c r="M408">
        <v>2013</v>
      </c>
      <c r="N408" t="s">
        <v>16393</v>
      </c>
      <c r="O408" s="4">
        <v>40342</v>
      </c>
      <c r="P408" s="4">
        <v>111498</v>
      </c>
      <c r="Q408" s="4">
        <v>151840</v>
      </c>
      <c r="R408" s="4">
        <v>455520</v>
      </c>
      <c r="S408" t="s">
        <v>16789</v>
      </c>
      <c r="X408" t="s">
        <v>3</v>
      </c>
      <c r="AA408" s="5" t="str">
        <f>HYPERLINK("https://www.zillow.com/homes/157-CAMBRIDGE-LN-BLOOMINGDALE-IL-60108_rb/","check listing")</f>
        <v>check listing</v>
      </c>
      <c r="AB408" s="5" t="str">
        <f>HYPERLINK("https://propertylookup.dupagecounty.gov/Datalets/Datalet.aspx?UseSearch=no&amp;mode=sales&amp;pin=0215409007","sales record")</f>
        <v>sales record</v>
      </c>
      <c r="AC408" t="s">
        <v>27873</v>
      </c>
      <c r="AD408">
        <v>41.952577</v>
      </c>
      <c r="AE408">
        <v>-88.077226</v>
      </c>
      <c r="AF408" s="5" t="str">
        <f>HYPERLINK("https://www.google.com/maps/search/?api=1&amp;query=41.952577,-88.077226","map")</f>
        <v>map</v>
      </c>
    </row>
    <row r="409" spans="1:32">
      <c r="A409" t="s">
        <v>459</v>
      </c>
      <c r="B409" t="s">
        <v>8039</v>
      </c>
      <c r="C409" t="s">
        <v>15118</v>
      </c>
      <c r="D409" t="s">
        <v>16196</v>
      </c>
      <c r="E409" t="s">
        <v>16218</v>
      </c>
      <c r="F409" t="s">
        <v>16221</v>
      </c>
      <c r="G409" t="s">
        <v>16235</v>
      </c>
      <c r="H409" t="s">
        <v>16241</v>
      </c>
      <c r="I409" t="s">
        <v>16313</v>
      </c>
      <c r="J409" t="s">
        <v>16385</v>
      </c>
      <c r="K409">
        <v>0.174</v>
      </c>
      <c r="L409">
        <v>7565</v>
      </c>
      <c r="M409">
        <v>2145</v>
      </c>
      <c r="N409" t="s">
        <v>16393</v>
      </c>
      <c r="O409" s="4">
        <v>40342</v>
      </c>
      <c r="P409" s="4">
        <v>104744</v>
      </c>
      <c r="Q409" s="4">
        <v>145086</v>
      </c>
      <c r="R409" s="4">
        <v>435258</v>
      </c>
      <c r="S409" t="s">
        <v>16790</v>
      </c>
      <c r="T409" s="6">
        <v>41548</v>
      </c>
      <c r="U409" s="4">
        <v>225000</v>
      </c>
      <c r="V409" t="s">
        <v>16232</v>
      </c>
      <c r="W409" t="s">
        <v>16790</v>
      </c>
      <c r="X409" t="s">
        <v>3</v>
      </c>
      <c r="AA409" s="5" t="str">
        <f>HYPERLINK("https://www.zillow.com/homes/154-FAIRFIELD-WAY-BLOOMINGDALE-IL-60108_rb/","check listing")</f>
        <v>check listing</v>
      </c>
      <c r="AB409" s="5" t="str">
        <f>HYPERLINK("https://propertylookup.dupagecounty.gov/Datalets/Datalet.aspx?UseSearch=no&amp;mode=sales&amp;pin=0215410024","sales record")</f>
        <v>sales record</v>
      </c>
      <c r="AC409" t="s">
        <v>3</v>
      </c>
      <c r="AD409">
        <v>41.953362</v>
      </c>
      <c r="AE409">
        <v>-88.073391</v>
      </c>
      <c r="AF409" s="5" t="str">
        <f>HYPERLINK("https://www.google.com/maps/search/?api=1&amp;query=41.953362,-88.073391","map")</f>
        <v>map</v>
      </c>
    </row>
    <row r="410" spans="1:32">
      <c r="A410" t="s">
        <v>460</v>
      </c>
      <c r="B410" t="s">
        <v>8040</v>
      </c>
      <c r="C410" t="s">
        <v>15154</v>
      </c>
      <c r="D410" t="s">
        <v>16196</v>
      </c>
      <c r="E410" t="s">
        <v>16218</v>
      </c>
      <c r="F410" t="s">
        <v>16221</v>
      </c>
      <c r="G410" t="s">
        <v>16236</v>
      </c>
      <c r="H410" t="s">
        <v>16241</v>
      </c>
      <c r="I410" t="s">
        <v>16313</v>
      </c>
      <c r="J410" t="s">
        <v>16385</v>
      </c>
      <c r="K410">
        <v>0.173</v>
      </c>
      <c r="L410">
        <v>7556</v>
      </c>
      <c r="M410">
        <v>2787</v>
      </c>
      <c r="N410" t="s">
        <v>16393</v>
      </c>
      <c r="O410" s="4">
        <v>29656</v>
      </c>
      <c r="P410" s="4">
        <v>121466</v>
      </c>
      <c r="Q410" s="4">
        <v>151122</v>
      </c>
      <c r="R410" s="4">
        <v>453366</v>
      </c>
      <c r="S410" t="s">
        <v>16791</v>
      </c>
      <c r="T410" s="6">
        <v>35309</v>
      </c>
      <c r="U410" s="4">
        <v>231550</v>
      </c>
      <c r="X410" t="s">
        <v>3</v>
      </c>
      <c r="AA410" s="5" t="str">
        <f>HYPERLINK("https://www.zillow.com/homes/228-BISCAYNE-ST-BLOOMINGDALE-IL-601083310_rb/","check listing")</f>
        <v>check listing</v>
      </c>
      <c r="AB410" s="5" t="str">
        <f>HYPERLINK("https://propertylookup.dupagecounty.gov/Datalets/Datalet.aspx?UseSearch=no&amp;mode=sales&amp;pin=0208303049","sales record")</f>
        <v>sales record</v>
      </c>
      <c r="AC410" t="s">
        <v>3</v>
      </c>
      <c r="AD410">
        <v>41.963991</v>
      </c>
      <c r="AE410">
        <v>-88.122595</v>
      </c>
      <c r="AF410" s="5" t="str">
        <f>HYPERLINK("https://www.google.com/maps/search/?api=1&amp;query=41.963991,-88.122595","map")</f>
        <v>map</v>
      </c>
    </row>
    <row r="411" spans="1:32">
      <c r="A411" t="s">
        <v>461</v>
      </c>
      <c r="B411" t="s">
        <v>8041</v>
      </c>
      <c r="C411" t="s">
        <v>15118</v>
      </c>
      <c r="D411" t="s">
        <v>16196</v>
      </c>
      <c r="E411" t="s">
        <v>16218</v>
      </c>
      <c r="F411" t="s">
        <v>16221</v>
      </c>
      <c r="G411" t="s">
        <v>16235</v>
      </c>
      <c r="H411" t="s">
        <v>16241</v>
      </c>
      <c r="I411" t="s">
        <v>16313</v>
      </c>
      <c r="J411" t="s">
        <v>16385</v>
      </c>
      <c r="K411">
        <v>0.172</v>
      </c>
      <c r="L411">
        <v>7509</v>
      </c>
      <c r="M411">
        <v>1513</v>
      </c>
      <c r="N411" t="s">
        <v>16393</v>
      </c>
      <c r="O411" s="4">
        <v>40342</v>
      </c>
      <c r="P411" s="4">
        <v>102784</v>
      </c>
      <c r="Q411" s="4">
        <v>143126</v>
      </c>
      <c r="R411" s="4">
        <v>429378</v>
      </c>
      <c r="S411" t="s">
        <v>16792</v>
      </c>
      <c r="T411" s="6">
        <v>33695</v>
      </c>
      <c r="U411" s="4">
        <v>170000</v>
      </c>
      <c r="X411" t="s">
        <v>3</v>
      </c>
      <c r="AA411" s="5" t="str">
        <f>HYPERLINK("https://www.zillow.com/homes/161-CAMBRIDGE-LN-BLOOMINGDALE-IL-60108_rb/","check listing")</f>
        <v>check listing</v>
      </c>
      <c r="AB411" s="5" t="str">
        <f>HYPERLINK("https://propertylookup.dupagecounty.gov/Datalets/Datalet.aspx?UseSearch=no&amp;mode=sales&amp;pin=0215409009","sales record")</f>
        <v>sales record</v>
      </c>
      <c r="AC411" t="s">
        <v>27873</v>
      </c>
      <c r="AD411">
        <v>41.952248</v>
      </c>
      <c r="AE411">
        <v>-88.077181</v>
      </c>
      <c r="AF411" s="5" t="str">
        <f>HYPERLINK("https://www.google.com/maps/search/?api=1&amp;query=41.952248,-88.077181","map")</f>
        <v>map</v>
      </c>
    </row>
    <row r="412" spans="1:32">
      <c r="A412" t="s">
        <v>462</v>
      </c>
      <c r="B412" t="s">
        <v>8042</v>
      </c>
      <c r="C412" t="s">
        <v>15130</v>
      </c>
      <c r="D412" t="s">
        <v>16196</v>
      </c>
      <c r="E412" t="s">
        <v>16218</v>
      </c>
      <c r="F412" t="s">
        <v>16221</v>
      </c>
      <c r="G412" t="s">
        <v>16236</v>
      </c>
      <c r="H412" t="s">
        <v>16241</v>
      </c>
      <c r="I412" t="s">
        <v>16313</v>
      </c>
      <c r="J412" t="s">
        <v>16385</v>
      </c>
      <c r="K412">
        <v>0.172</v>
      </c>
      <c r="L412">
        <v>7507</v>
      </c>
      <c r="M412">
        <v>2308</v>
      </c>
      <c r="N412" t="s">
        <v>16393</v>
      </c>
      <c r="O412" s="4">
        <v>29656</v>
      </c>
      <c r="P412" s="4">
        <v>116207</v>
      </c>
      <c r="Q412" s="4">
        <v>145863</v>
      </c>
      <c r="R412" s="4">
        <v>437589</v>
      </c>
      <c r="S412" t="s">
        <v>16793</v>
      </c>
      <c r="T412" s="6">
        <v>44378</v>
      </c>
      <c r="U412" s="4">
        <v>378000</v>
      </c>
      <c r="V412" t="s">
        <v>23739</v>
      </c>
      <c r="W412" t="s">
        <v>23924</v>
      </c>
      <c r="X412" t="s">
        <v>3</v>
      </c>
      <c r="AA412" s="5" t="str">
        <f>HYPERLINK("https://www.zillow.com/homes/316-CHESAPEAKE-LN-BLOOMINGDALE-IL-601083305_rb/","check listing")</f>
        <v>check listing</v>
      </c>
      <c r="AB412" s="5" t="str">
        <f>HYPERLINK("https://propertylookup.dupagecounty.gov/Datalets/Datalet.aspx?UseSearch=no&amp;mode=sales&amp;pin=0208304015","sales record")</f>
        <v>sales record</v>
      </c>
      <c r="AC412" t="s">
        <v>3</v>
      </c>
      <c r="AD412">
        <v>41.961454</v>
      </c>
      <c r="AE412">
        <v>-88.12126600000001</v>
      </c>
      <c r="AF412" s="5" t="str">
        <f>HYPERLINK("https://www.google.com/maps/search/?api=1&amp;query=41.961454,-88.121266","map")</f>
        <v>map</v>
      </c>
    </row>
    <row r="413" spans="1:32">
      <c r="A413" t="s">
        <v>463</v>
      </c>
      <c r="B413" t="s">
        <v>8043</v>
      </c>
      <c r="C413" t="s">
        <v>15118</v>
      </c>
      <c r="D413" t="s">
        <v>16196</v>
      </c>
      <c r="E413" t="s">
        <v>16218</v>
      </c>
      <c r="F413" t="s">
        <v>16221</v>
      </c>
      <c r="G413" t="s">
        <v>16236</v>
      </c>
      <c r="H413" t="s">
        <v>16241</v>
      </c>
      <c r="I413" t="s">
        <v>16313</v>
      </c>
      <c r="J413" t="s">
        <v>16385</v>
      </c>
      <c r="K413">
        <v>0.171</v>
      </c>
      <c r="L413">
        <v>7466</v>
      </c>
      <c r="M413">
        <v>2133</v>
      </c>
      <c r="N413" t="s">
        <v>16393</v>
      </c>
      <c r="O413" s="4">
        <v>29656</v>
      </c>
      <c r="P413" s="4">
        <v>119303</v>
      </c>
      <c r="Q413" s="4">
        <v>148959</v>
      </c>
      <c r="R413" s="4">
        <v>446877</v>
      </c>
      <c r="S413" t="s">
        <v>16794</v>
      </c>
      <c r="T413" s="6">
        <v>34669</v>
      </c>
      <c r="U413" s="4">
        <v>214465</v>
      </c>
      <c r="X413" t="s">
        <v>3</v>
      </c>
      <c r="AA413" s="5" t="str">
        <f>HYPERLINK("https://www.zillow.com/homes/323-CHESAPEAKE-LN-BLOOMINGDALE-IL-60108_rb/","check listing")</f>
        <v>check listing</v>
      </c>
      <c r="AB413" s="5" t="str">
        <f>HYPERLINK("https://propertylookup.dupagecounty.gov/Datalets/Datalet.aspx?UseSearch=no&amp;mode=sales&amp;pin=0208303021","sales record")</f>
        <v>sales record</v>
      </c>
      <c r="AC413" t="s">
        <v>3</v>
      </c>
      <c r="AD413">
        <v>41.961856</v>
      </c>
      <c r="AE413">
        <v>-88.123458</v>
      </c>
      <c r="AF413" s="5" t="str">
        <f>HYPERLINK("https://www.google.com/maps/search/?api=1&amp;query=41.961856,-88.123458","map")</f>
        <v>map</v>
      </c>
    </row>
    <row r="414" spans="1:32">
      <c r="A414" t="s">
        <v>464</v>
      </c>
      <c r="B414" t="s">
        <v>8044</v>
      </c>
      <c r="C414" t="s">
        <v>15118</v>
      </c>
      <c r="D414" t="s">
        <v>16196</v>
      </c>
      <c r="E414" t="s">
        <v>16218</v>
      </c>
      <c r="F414" t="s">
        <v>16221</v>
      </c>
      <c r="G414" t="s">
        <v>16236</v>
      </c>
      <c r="H414" t="s">
        <v>16241</v>
      </c>
      <c r="I414" t="s">
        <v>16313</v>
      </c>
      <c r="J414" t="s">
        <v>16385</v>
      </c>
      <c r="K414">
        <v>0.171</v>
      </c>
      <c r="L414">
        <v>7465</v>
      </c>
      <c r="M414">
        <v>2357</v>
      </c>
      <c r="N414" t="s">
        <v>16393</v>
      </c>
      <c r="O414" s="4">
        <v>29656</v>
      </c>
      <c r="P414" s="4">
        <v>129284</v>
      </c>
      <c r="Q414" s="4">
        <v>158940</v>
      </c>
      <c r="R414" s="4">
        <v>476820</v>
      </c>
      <c r="S414" t="s">
        <v>16795</v>
      </c>
      <c r="T414" s="6">
        <v>39173</v>
      </c>
      <c r="U414" s="4">
        <v>400000</v>
      </c>
      <c r="V414" t="s">
        <v>23739</v>
      </c>
      <c r="W414" t="s">
        <v>23925</v>
      </c>
      <c r="X414" t="s">
        <v>3</v>
      </c>
      <c r="AA414" s="5" t="str">
        <f>HYPERLINK("https://www.zillow.com/homes/325-CHESAPEAKE-LN-BLOOMINGDALE-IL-60108_rb/","check listing")</f>
        <v>check listing</v>
      </c>
      <c r="AB414" s="5" t="str">
        <f>HYPERLINK("https://propertylookup.dupagecounty.gov/Datalets/Datalet.aspx?UseSearch=no&amp;mode=sales&amp;pin=0208303020","sales record")</f>
        <v>sales record</v>
      </c>
      <c r="AC414" t="s">
        <v>3</v>
      </c>
      <c r="AD414">
        <v>41.961901</v>
      </c>
      <c r="AE414">
        <v>-88.123706</v>
      </c>
      <c r="AF414" s="5" t="str">
        <f>HYPERLINK("https://www.google.com/maps/search/?api=1&amp;query=41.961901,-88.123706","map")</f>
        <v>map</v>
      </c>
    </row>
    <row r="415" spans="1:32">
      <c r="A415" t="s">
        <v>465</v>
      </c>
      <c r="B415" t="s">
        <v>8045</v>
      </c>
      <c r="C415" t="s">
        <v>15118</v>
      </c>
      <c r="D415" t="s">
        <v>16196</v>
      </c>
      <c r="E415" t="s">
        <v>16218</v>
      </c>
      <c r="F415" t="s">
        <v>16221</v>
      </c>
      <c r="G415" t="s">
        <v>16236</v>
      </c>
      <c r="H415" t="s">
        <v>16241</v>
      </c>
      <c r="I415" t="s">
        <v>16313</v>
      </c>
      <c r="J415" t="s">
        <v>16385</v>
      </c>
      <c r="K415">
        <v>0.171</v>
      </c>
      <c r="L415">
        <v>7464</v>
      </c>
      <c r="M415">
        <v>2715</v>
      </c>
      <c r="N415" t="s">
        <v>16393</v>
      </c>
      <c r="O415" s="4">
        <v>29656</v>
      </c>
      <c r="P415" s="4">
        <v>120391</v>
      </c>
      <c r="Q415" s="4">
        <v>150047</v>
      </c>
      <c r="R415" s="4">
        <v>450141</v>
      </c>
      <c r="S415" t="s">
        <v>16796</v>
      </c>
      <c r="T415" s="6">
        <v>37438</v>
      </c>
      <c r="U415" s="4">
        <v>305000</v>
      </c>
      <c r="V415" t="s">
        <v>23739</v>
      </c>
      <c r="W415" t="s">
        <v>23926</v>
      </c>
      <c r="X415" t="s">
        <v>3</v>
      </c>
      <c r="AA415" s="5" t="str">
        <f>HYPERLINK("https://www.zillow.com/homes/327-CHESAPEAKE-LN-BLOOMINGDALE-IL-60108_rb/","check listing")</f>
        <v>check listing</v>
      </c>
      <c r="AB415" s="5" t="str">
        <f>HYPERLINK("https://propertylookup.dupagecounty.gov/Datalets/Datalet.aspx?UseSearch=no&amp;mode=sales&amp;pin=0208303019","sales record")</f>
        <v>sales record</v>
      </c>
      <c r="AC415" t="s">
        <v>3</v>
      </c>
      <c r="AD415">
        <v>41.962002</v>
      </c>
      <c r="AE415">
        <v>-88.123923</v>
      </c>
      <c r="AF415" s="5" t="str">
        <f>HYPERLINK("https://www.google.com/maps/search/?api=1&amp;query=41.962002,-88.123923","map")</f>
        <v>map</v>
      </c>
    </row>
    <row r="416" spans="1:32">
      <c r="A416" t="s">
        <v>466</v>
      </c>
      <c r="B416" t="s">
        <v>8046</v>
      </c>
      <c r="C416" t="s">
        <v>15118</v>
      </c>
      <c r="D416" t="s">
        <v>16196</v>
      </c>
      <c r="E416" t="s">
        <v>16218</v>
      </c>
      <c r="F416" t="s">
        <v>16221</v>
      </c>
      <c r="G416" t="s">
        <v>16235</v>
      </c>
      <c r="H416" t="s">
        <v>16241</v>
      </c>
      <c r="I416" t="s">
        <v>16313</v>
      </c>
      <c r="J416" t="s">
        <v>16385</v>
      </c>
      <c r="K416">
        <v>0.171</v>
      </c>
      <c r="L416">
        <v>7464</v>
      </c>
      <c r="M416">
        <v>1651</v>
      </c>
      <c r="N416" t="s">
        <v>16393</v>
      </c>
      <c r="O416" s="4">
        <v>40342</v>
      </c>
      <c r="P416" s="4">
        <v>104744</v>
      </c>
      <c r="Q416" s="4">
        <v>145086</v>
      </c>
      <c r="R416" s="4">
        <v>435258</v>
      </c>
      <c r="S416" t="s">
        <v>16797</v>
      </c>
      <c r="T416" s="6">
        <v>32568</v>
      </c>
      <c r="U416" s="4">
        <v>134000</v>
      </c>
      <c r="X416" t="s">
        <v>3</v>
      </c>
      <c r="AA416" s="5" t="str">
        <f>HYPERLINK("https://www.zillow.com/homes/168-CAMBRIDGE-LN-BLOOMINGDALE-IL-60108_rb/","check listing")</f>
        <v>check listing</v>
      </c>
      <c r="AB416" s="5" t="str">
        <f>HYPERLINK("https://propertylookup.dupagecounty.gov/Datalets/Datalet.aspx?UseSearch=no&amp;mode=sales&amp;pin=0215402025","sales record")</f>
        <v>sales record</v>
      </c>
      <c r="AC416" t="s">
        <v>27873</v>
      </c>
      <c r="AD416">
        <v>41.951596</v>
      </c>
      <c r="AE416">
        <v>-88.07796999999999</v>
      </c>
      <c r="AF416" s="5" t="str">
        <f>HYPERLINK("https://www.google.com/maps/search/?api=1&amp;query=41.951596,-88.07797","map")</f>
        <v>map</v>
      </c>
    </row>
    <row r="417" spans="1:32">
      <c r="A417" t="s">
        <v>467</v>
      </c>
      <c r="B417" t="s">
        <v>8047</v>
      </c>
      <c r="C417" t="s">
        <v>15118</v>
      </c>
      <c r="D417" t="s">
        <v>16196</v>
      </c>
      <c r="E417" t="s">
        <v>16218</v>
      </c>
      <c r="F417" t="s">
        <v>16221</v>
      </c>
      <c r="G417" t="s">
        <v>16235</v>
      </c>
      <c r="H417" t="s">
        <v>16241</v>
      </c>
      <c r="I417" t="s">
        <v>16313</v>
      </c>
      <c r="J417" t="s">
        <v>16385</v>
      </c>
      <c r="K417">
        <v>0.171</v>
      </c>
      <c r="L417">
        <v>7451</v>
      </c>
      <c r="M417">
        <v>2514</v>
      </c>
      <c r="N417" t="s">
        <v>16393</v>
      </c>
      <c r="O417" s="4">
        <v>40342</v>
      </c>
      <c r="P417" s="4">
        <v>106800</v>
      </c>
      <c r="Q417" s="4">
        <v>147142</v>
      </c>
      <c r="R417" s="4">
        <v>441426</v>
      </c>
      <c r="S417" t="s">
        <v>16798</v>
      </c>
      <c r="T417" s="6">
        <v>31564</v>
      </c>
      <c r="U417" s="4">
        <v>132500</v>
      </c>
      <c r="X417" t="s">
        <v>3</v>
      </c>
      <c r="AA417" s="5" t="str">
        <f>HYPERLINK("https://www.zillow.com/homes/146-FAIRFIELD-WAY-BLOOMINGDALE-IL-60108_rb/","check listing")</f>
        <v>check listing</v>
      </c>
      <c r="AB417" s="5" t="str">
        <f>HYPERLINK("https://propertylookup.dupagecounty.gov/Datalets/Datalet.aspx?UseSearch=no&amp;mode=sales&amp;pin=0215410022","sales record")</f>
        <v>sales record</v>
      </c>
      <c r="AC417" t="s">
        <v>3</v>
      </c>
      <c r="AD417">
        <v>41.953663</v>
      </c>
      <c r="AE417">
        <v>-88.07332599999999</v>
      </c>
      <c r="AF417" s="5" t="str">
        <f>HYPERLINK("https://www.google.com/maps/search/?api=1&amp;query=41.953663,-88.073326","map")</f>
        <v>map</v>
      </c>
    </row>
    <row r="418" spans="1:32">
      <c r="A418" t="s">
        <v>468</v>
      </c>
      <c r="B418" t="s">
        <v>8048</v>
      </c>
      <c r="C418" t="s">
        <v>15137</v>
      </c>
      <c r="D418" t="s">
        <v>16196</v>
      </c>
      <c r="E418" t="s">
        <v>16218</v>
      </c>
      <c r="F418" t="s">
        <v>16221</v>
      </c>
      <c r="G418" t="s">
        <v>16236</v>
      </c>
      <c r="H418" t="s">
        <v>16241</v>
      </c>
      <c r="I418" t="s">
        <v>16313</v>
      </c>
      <c r="J418" t="s">
        <v>16385</v>
      </c>
      <c r="K418">
        <v>0.171</v>
      </c>
      <c r="L418">
        <v>7447</v>
      </c>
      <c r="M418">
        <v>2473</v>
      </c>
      <c r="N418" t="s">
        <v>16393</v>
      </c>
      <c r="O418" s="4">
        <v>29656</v>
      </c>
      <c r="P418" s="4">
        <v>130229</v>
      </c>
      <c r="Q418" s="4">
        <v>159885</v>
      </c>
      <c r="R418" s="4">
        <v>479655</v>
      </c>
      <c r="S418" t="s">
        <v>16799</v>
      </c>
      <c r="T418" s="6">
        <v>45500</v>
      </c>
      <c r="U418" s="4">
        <v>577000</v>
      </c>
      <c r="V418" t="s">
        <v>23741</v>
      </c>
      <c r="W418" t="s">
        <v>23927</v>
      </c>
      <c r="X418" t="s">
        <v>3</v>
      </c>
      <c r="AA418" s="5" t="str">
        <f>HYPERLINK("https://www.zillow.com/homes/267-BISCAYNE-ST-BLOOMINGDALE-IL-601083309_rb/","check listing")</f>
        <v>check listing</v>
      </c>
      <c r="AB418" s="5" t="str">
        <f>HYPERLINK("https://propertylookup.dupagecounty.gov/Datalets/Datalet.aspx?UseSearch=no&amp;mode=sales&amp;pin=0208305014","sales record")</f>
        <v>sales record</v>
      </c>
      <c r="AC418" t="s">
        <v>3</v>
      </c>
      <c r="AD418">
        <v>41.964502</v>
      </c>
      <c r="AE418">
        <v>-88.12151799999999</v>
      </c>
      <c r="AF418" s="5" t="str">
        <f>HYPERLINK("https://www.google.com/maps/search/?api=1&amp;query=41.964502,-88.121518","map")</f>
        <v>map</v>
      </c>
    </row>
    <row r="419" spans="1:32">
      <c r="A419" t="s">
        <v>469</v>
      </c>
      <c r="B419" t="s">
        <v>8049</v>
      </c>
      <c r="C419" t="s">
        <v>15118</v>
      </c>
      <c r="D419" t="s">
        <v>16196</v>
      </c>
      <c r="E419" t="s">
        <v>16218</v>
      </c>
      <c r="F419" t="s">
        <v>16221</v>
      </c>
      <c r="G419" t="s">
        <v>16236</v>
      </c>
      <c r="H419" t="s">
        <v>16241</v>
      </c>
      <c r="I419" t="s">
        <v>16313</v>
      </c>
      <c r="J419" t="s">
        <v>16385</v>
      </c>
      <c r="K419">
        <v>0.17</v>
      </c>
      <c r="L419">
        <v>7410</v>
      </c>
      <c r="M419">
        <v>2349</v>
      </c>
      <c r="N419" t="s">
        <v>16393</v>
      </c>
      <c r="O419" s="4">
        <v>29656</v>
      </c>
      <c r="P419" s="4">
        <v>120092</v>
      </c>
      <c r="Q419" s="4">
        <v>149748</v>
      </c>
      <c r="R419" s="4">
        <v>449244</v>
      </c>
      <c r="S419" t="s">
        <v>16800</v>
      </c>
      <c r="T419" s="6">
        <v>37135</v>
      </c>
      <c r="U419" s="4">
        <v>320000</v>
      </c>
      <c r="V419" t="s">
        <v>23739</v>
      </c>
      <c r="W419" t="s">
        <v>23928</v>
      </c>
      <c r="X419" t="s">
        <v>3</v>
      </c>
      <c r="AA419" s="5" t="str">
        <f>HYPERLINK("https://www.zillow.com/homes/319-CHESAPEAKE-LN-BLOOMINGDALE-IL-60108_rb/","check listing")</f>
        <v>check listing</v>
      </c>
      <c r="AB419" s="5" t="str">
        <f>HYPERLINK("https://propertylookup.dupagecounty.gov/Datalets/Datalet.aspx?UseSearch=no&amp;mode=sales&amp;pin=0208303023","sales record")</f>
        <v>sales record</v>
      </c>
      <c r="AC419" t="s">
        <v>3</v>
      </c>
      <c r="AD419">
        <v>41.961913</v>
      </c>
      <c r="AE419">
        <v>-88.122991</v>
      </c>
      <c r="AF419" s="5" t="str">
        <f>HYPERLINK("https://www.google.com/maps/search/?api=1&amp;query=41.961913,-88.122991","map")</f>
        <v>map</v>
      </c>
    </row>
    <row r="420" spans="1:32">
      <c r="A420" t="s">
        <v>470</v>
      </c>
      <c r="B420" t="s">
        <v>8050</v>
      </c>
      <c r="C420" t="s">
        <v>15118</v>
      </c>
      <c r="D420" t="s">
        <v>16196</v>
      </c>
      <c r="E420" t="s">
        <v>16218</v>
      </c>
      <c r="F420" t="s">
        <v>16221</v>
      </c>
      <c r="G420" t="s">
        <v>16235</v>
      </c>
      <c r="H420" t="s">
        <v>16241</v>
      </c>
      <c r="I420" t="s">
        <v>16313</v>
      </c>
      <c r="J420" t="s">
        <v>16385</v>
      </c>
      <c r="K420">
        <v>0.17</v>
      </c>
      <c r="L420">
        <v>7409</v>
      </c>
      <c r="M420">
        <v>2143</v>
      </c>
      <c r="N420" t="s">
        <v>16393</v>
      </c>
      <c r="O420" s="4">
        <v>40342</v>
      </c>
      <c r="P420" s="4">
        <v>111498</v>
      </c>
      <c r="Q420" s="4">
        <v>151840</v>
      </c>
      <c r="R420" s="4">
        <v>455520</v>
      </c>
      <c r="S420" t="s">
        <v>16801</v>
      </c>
      <c r="T420" s="6">
        <v>37773</v>
      </c>
      <c r="U420" s="4">
        <v>284500</v>
      </c>
      <c r="V420" t="s">
        <v>23739</v>
      </c>
      <c r="W420" t="s">
        <v>23929</v>
      </c>
      <c r="X420" t="s">
        <v>3</v>
      </c>
      <c r="AA420" s="5" t="str">
        <f>HYPERLINK("https://www.zillow.com/homes/156-E-SCHICK-RD-BLOOMINGDALE-IL-60108_rb/","check listing")</f>
        <v>check listing</v>
      </c>
      <c r="AB420" s="5" t="str">
        <f>HYPERLINK("https://propertylookup.dupagecounty.gov/Datalets/Datalet.aspx?UseSearch=no&amp;mode=sales&amp;pin=0215410003","sales record")</f>
        <v>sales record</v>
      </c>
      <c r="AC420" t="s">
        <v>3</v>
      </c>
      <c r="AD420">
        <v>41.95375</v>
      </c>
      <c r="AE420">
        <v>-88.075183</v>
      </c>
      <c r="AF420" s="5" t="str">
        <f>HYPERLINK("https://www.google.com/maps/search/?api=1&amp;query=41.95375,-88.075183","map")</f>
        <v>map</v>
      </c>
    </row>
    <row r="421" spans="1:32">
      <c r="A421" t="s">
        <v>471</v>
      </c>
      <c r="B421" t="s">
        <v>8051</v>
      </c>
      <c r="C421" t="s">
        <v>15155</v>
      </c>
      <c r="D421" t="s">
        <v>16196</v>
      </c>
      <c r="E421" t="s">
        <v>16218</v>
      </c>
      <c r="F421" t="s">
        <v>16221</v>
      </c>
      <c r="G421" t="s">
        <v>16235</v>
      </c>
      <c r="H421" t="s">
        <v>16241</v>
      </c>
      <c r="I421" t="s">
        <v>16313</v>
      </c>
      <c r="J421" t="s">
        <v>16385</v>
      </c>
      <c r="K421">
        <v>0.17</v>
      </c>
      <c r="L421">
        <v>7398</v>
      </c>
      <c r="M421">
        <v>2359</v>
      </c>
      <c r="N421" t="s">
        <v>16393</v>
      </c>
      <c r="O421" s="4">
        <v>40342</v>
      </c>
      <c r="P421" s="4">
        <v>111498</v>
      </c>
      <c r="Q421" s="4">
        <v>151840</v>
      </c>
      <c r="R421" s="4">
        <v>455520</v>
      </c>
      <c r="S421" t="s">
        <v>16802</v>
      </c>
      <c r="T421" s="6">
        <v>39965</v>
      </c>
      <c r="U421" s="4">
        <v>292500</v>
      </c>
      <c r="V421" t="s">
        <v>23739</v>
      </c>
      <c r="W421" t="s">
        <v>23930</v>
      </c>
      <c r="X421" t="s">
        <v>3</v>
      </c>
      <c r="AA421" s="5" t="str">
        <f>HYPERLINK("https://www.zillow.com/homes/206-CAMBRIDGE-LN-BLOOMINGDALE-IL-601081506_rb/","check listing")</f>
        <v>check listing</v>
      </c>
      <c r="AB421" s="5" t="str">
        <f>HYPERLINK("https://propertylookup.dupagecounty.gov/Datalets/Datalet.aspx?UseSearch=no&amp;mode=sales&amp;pin=0215402038","sales record")</f>
        <v>sales record</v>
      </c>
      <c r="AC421" t="s">
        <v>3</v>
      </c>
      <c r="AD421">
        <v>41.950229</v>
      </c>
      <c r="AE421">
        <v>-88.07617</v>
      </c>
      <c r="AF421" s="5" t="str">
        <f>HYPERLINK("https://www.google.com/maps/search/?api=1&amp;query=41.950229,-88.07617","map")</f>
        <v>map</v>
      </c>
    </row>
    <row r="422" spans="1:32">
      <c r="A422" t="s">
        <v>472</v>
      </c>
      <c r="B422" t="s">
        <v>8052</v>
      </c>
      <c r="C422" t="s">
        <v>15118</v>
      </c>
      <c r="D422" t="s">
        <v>16196</v>
      </c>
      <c r="E422" t="s">
        <v>16218</v>
      </c>
      <c r="F422" t="s">
        <v>16221</v>
      </c>
      <c r="G422" t="s">
        <v>16235</v>
      </c>
      <c r="H422" t="s">
        <v>16241</v>
      </c>
      <c r="I422" t="s">
        <v>16313</v>
      </c>
      <c r="J422" t="s">
        <v>16385</v>
      </c>
      <c r="K422">
        <v>0.17</v>
      </c>
      <c r="L422">
        <v>7388</v>
      </c>
      <c r="M422">
        <v>2353</v>
      </c>
      <c r="N422" t="s">
        <v>16393</v>
      </c>
      <c r="O422" s="4">
        <v>40342</v>
      </c>
      <c r="P422" s="4">
        <v>106800</v>
      </c>
      <c r="Q422" s="4">
        <v>147142</v>
      </c>
      <c r="R422" s="4">
        <v>441426</v>
      </c>
      <c r="S422" t="s">
        <v>16803</v>
      </c>
      <c r="T422" s="6">
        <v>31625</v>
      </c>
      <c r="U422" s="4">
        <v>145000</v>
      </c>
      <c r="X422" t="s">
        <v>3</v>
      </c>
      <c r="AA422" s="5" t="str">
        <f>HYPERLINK("https://www.zillow.com/homes/162-FAIRFIELD-WAY-BLOOMINGDALE-IL-60108_rb/","check listing")</f>
        <v>check listing</v>
      </c>
      <c r="AB422" s="5" t="str">
        <f>HYPERLINK("https://propertylookup.dupagecounty.gov/Datalets/Datalet.aspx?UseSearch=no&amp;mode=sales&amp;pin=0215410026","sales record")</f>
        <v>sales record</v>
      </c>
      <c r="AC422" t="s">
        <v>3</v>
      </c>
      <c r="AD422">
        <v>41.953043</v>
      </c>
      <c r="AE422">
        <v>-88.073522</v>
      </c>
      <c r="AF422" s="5" t="str">
        <f>HYPERLINK("https://www.google.com/maps/search/?api=1&amp;query=41.953043,-88.073522","map")</f>
        <v>map</v>
      </c>
    </row>
    <row r="423" spans="1:32">
      <c r="A423" t="s">
        <v>473</v>
      </c>
      <c r="B423" t="s">
        <v>8053</v>
      </c>
      <c r="C423" t="s">
        <v>15147</v>
      </c>
      <c r="D423" t="s">
        <v>16196</v>
      </c>
      <c r="E423" t="s">
        <v>16218</v>
      </c>
      <c r="F423" t="s">
        <v>16221</v>
      </c>
      <c r="G423" t="s">
        <v>16235</v>
      </c>
      <c r="H423" t="s">
        <v>16241</v>
      </c>
      <c r="I423" t="s">
        <v>16313</v>
      </c>
      <c r="J423" t="s">
        <v>16385</v>
      </c>
      <c r="K423">
        <v>0.169</v>
      </c>
      <c r="L423">
        <v>7381</v>
      </c>
      <c r="M423">
        <v>2474</v>
      </c>
      <c r="N423" t="s">
        <v>16393</v>
      </c>
      <c r="O423" s="4">
        <v>40342</v>
      </c>
      <c r="P423" s="4">
        <v>111498</v>
      </c>
      <c r="Q423" s="4">
        <v>151840</v>
      </c>
      <c r="R423" s="4">
        <v>455520</v>
      </c>
      <c r="S423" t="s">
        <v>16804</v>
      </c>
      <c r="T423" s="6">
        <v>45615</v>
      </c>
      <c r="U423" s="4">
        <v>494000</v>
      </c>
      <c r="V423" t="s">
        <v>23739</v>
      </c>
      <c r="W423" t="s">
        <v>23931</v>
      </c>
      <c r="X423" t="s">
        <v>3</v>
      </c>
      <c r="AA423" s="5" t="str">
        <f>HYPERLINK("https://www.zillow.com/homes/185-BRAINTREE-DR-BLOOMINGDALE-IL-601081533_rb/","check listing")</f>
        <v>check listing</v>
      </c>
      <c r="AB423" s="5" t="str">
        <f>HYPERLINK("https://propertylookup.dupagecounty.gov/Datalets/Datalet.aspx?UseSearch=no&amp;mode=sales&amp;pin=0215412024","sales record")</f>
        <v>sales record</v>
      </c>
      <c r="AC423" t="s">
        <v>3</v>
      </c>
      <c r="AD423">
        <v>41.950387</v>
      </c>
      <c r="AE423">
        <v>-88.07507699999999</v>
      </c>
      <c r="AF423" s="5" t="str">
        <f>HYPERLINK("https://www.google.com/maps/search/?api=1&amp;query=41.950387,-88.075077","map")</f>
        <v>map</v>
      </c>
    </row>
    <row r="424" spans="1:32">
      <c r="A424" t="s">
        <v>474</v>
      </c>
      <c r="B424" t="s">
        <v>8054</v>
      </c>
      <c r="C424" t="s">
        <v>15133</v>
      </c>
      <c r="D424" t="s">
        <v>16196</v>
      </c>
      <c r="E424" t="s">
        <v>16218</v>
      </c>
      <c r="F424" t="s">
        <v>16221</v>
      </c>
      <c r="G424" t="s">
        <v>16235</v>
      </c>
      <c r="H424" t="s">
        <v>16241</v>
      </c>
      <c r="I424" t="s">
        <v>16313</v>
      </c>
      <c r="J424" t="s">
        <v>16385</v>
      </c>
      <c r="K424">
        <v>0.169</v>
      </c>
      <c r="L424">
        <v>7372</v>
      </c>
      <c r="M424">
        <v>1431</v>
      </c>
      <c r="N424" t="s">
        <v>16393</v>
      </c>
      <c r="O424" s="4">
        <v>40342</v>
      </c>
      <c r="P424" s="4">
        <v>105438</v>
      </c>
      <c r="Q424" s="4">
        <v>145780</v>
      </c>
      <c r="R424" s="4">
        <v>437340</v>
      </c>
      <c r="S424" t="s">
        <v>16805</v>
      </c>
      <c r="T424" s="6">
        <v>45448</v>
      </c>
      <c r="U424" s="4">
        <v>89592</v>
      </c>
      <c r="V424" t="s">
        <v>23742</v>
      </c>
      <c r="W424" t="s">
        <v>23932</v>
      </c>
      <c r="X424" t="s">
        <v>3</v>
      </c>
      <c r="AA424" s="5" t="str">
        <f>HYPERLINK("https://www.zillow.com/homes/158-FAIRFIELD-WAY-BLOOMINGDALE-IL-601081540_rb/","check listing")</f>
        <v>check listing</v>
      </c>
      <c r="AB424" s="5" t="str">
        <f>HYPERLINK("https://propertylookup.dupagecounty.gov/Datalets/Datalet.aspx?UseSearch=no&amp;mode=sales&amp;pin=0215410025","sales record")</f>
        <v>sales record</v>
      </c>
      <c r="AC424" t="s">
        <v>3</v>
      </c>
      <c r="AD424">
        <v>41.953203</v>
      </c>
      <c r="AE424">
        <v>-88.073453</v>
      </c>
      <c r="AF424" s="5" t="str">
        <f>HYPERLINK("https://www.google.com/maps/search/?api=1&amp;query=41.953203,-88.073453","map")</f>
        <v>map</v>
      </c>
    </row>
    <row r="425" spans="1:32">
      <c r="A425" t="s">
        <v>475</v>
      </c>
      <c r="B425" t="s">
        <v>8055</v>
      </c>
      <c r="C425" t="s">
        <v>15118</v>
      </c>
      <c r="D425" t="s">
        <v>16196</v>
      </c>
      <c r="E425" t="s">
        <v>16218</v>
      </c>
      <c r="F425" t="s">
        <v>16221</v>
      </c>
      <c r="G425" t="s">
        <v>16236</v>
      </c>
      <c r="H425" t="s">
        <v>16241</v>
      </c>
      <c r="I425" t="s">
        <v>16313</v>
      </c>
      <c r="J425" t="s">
        <v>16385</v>
      </c>
      <c r="K425">
        <v>0.168</v>
      </c>
      <c r="L425">
        <v>7338</v>
      </c>
      <c r="M425">
        <v>1996</v>
      </c>
      <c r="N425" t="s">
        <v>16393</v>
      </c>
      <c r="O425" s="4">
        <v>29656</v>
      </c>
      <c r="P425" s="4">
        <v>121849</v>
      </c>
      <c r="Q425" s="4">
        <v>151505</v>
      </c>
      <c r="R425" s="4">
        <v>454515</v>
      </c>
      <c r="S425" t="s">
        <v>16806</v>
      </c>
      <c r="X425" t="s">
        <v>3</v>
      </c>
      <c r="AA425" s="5" t="str">
        <f>HYPERLINK("https://www.zillow.com/homes/BISCAYNE-ST-BLOOMINGDALE-IL-60108_rb/","check listing")</f>
        <v>check listing</v>
      </c>
      <c r="AB425" s="5" t="str">
        <f>HYPERLINK("https://propertylookup.dupagecounty.gov/Datalets/Datalet.aspx?UseSearch=no&amp;mode=sales&amp;pin=0208305015","sales record")</f>
        <v>sales record</v>
      </c>
      <c r="AC425" t="s">
        <v>3</v>
      </c>
      <c r="AD425">
        <v>41.964286</v>
      </c>
      <c r="AE425">
        <v>-88.121521</v>
      </c>
      <c r="AF425" s="5" t="str">
        <f>HYPERLINK("https://www.google.com/maps/search/?api=1&amp;query=41.964286,-88.121521","map")</f>
        <v>map</v>
      </c>
    </row>
    <row r="426" spans="1:32">
      <c r="A426" t="s">
        <v>476</v>
      </c>
      <c r="B426" t="s">
        <v>8056</v>
      </c>
      <c r="C426" t="s">
        <v>15118</v>
      </c>
      <c r="D426" t="s">
        <v>16196</v>
      </c>
      <c r="E426" t="s">
        <v>16218</v>
      </c>
      <c r="F426" t="s">
        <v>16221</v>
      </c>
      <c r="G426" t="s">
        <v>16236</v>
      </c>
      <c r="H426" t="s">
        <v>16241</v>
      </c>
      <c r="I426" t="s">
        <v>16313</v>
      </c>
      <c r="J426" t="s">
        <v>16385</v>
      </c>
      <c r="K426">
        <v>0.168</v>
      </c>
      <c r="L426">
        <v>7300</v>
      </c>
      <c r="M426">
        <v>2104</v>
      </c>
      <c r="N426" t="s">
        <v>16393</v>
      </c>
      <c r="O426" s="4">
        <v>29656</v>
      </c>
      <c r="P426" s="4">
        <v>119303</v>
      </c>
      <c r="Q426" s="4">
        <v>148959</v>
      </c>
      <c r="R426" s="4">
        <v>446877</v>
      </c>
      <c r="S426" t="s">
        <v>16807</v>
      </c>
      <c r="T426" s="6">
        <v>34669</v>
      </c>
      <c r="U426" s="4">
        <v>199390</v>
      </c>
      <c r="X426" t="s">
        <v>3</v>
      </c>
      <c r="AA426" s="5" t="str">
        <f>HYPERLINK("https://www.zillow.com/homes/311-CHESAPEAKE-LN-BLOOMINGDALE-IL-60108_rb/","check listing")</f>
        <v>check listing</v>
      </c>
      <c r="AB426" s="5" t="str">
        <f>HYPERLINK("https://propertylookup.dupagecounty.gov/Datalets/Datalet.aspx?UseSearch=no&amp;mode=sales&amp;pin=0208303027","sales record")</f>
        <v>sales record</v>
      </c>
      <c r="AC426" t="s">
        <v>3</v>
      </c>
      <c r="AD426">
        <v>41.961908</v>
      </c>
      <c r="AE426">
        <v>-88.122079</v>
      </c>
      <c r="AF426" s="5" t="str">
        <f>HYPERLINK("https://www.google.com/maps/search/?api=1&amp;query=41.961908,-88.122079","map")</f>
        <v>map</v>
      </c>
    </row>
    <row r="427" spans="1:32">
      <c r="A427" t="s">
        <v>477</v>
      </c>
      <c r="B427" t="s">
        <v>8057</v>
      </c>
      <c r="C427" t="s">
        <v>15118</v>
      </c>
      <c r="D427" t="s">
        <v>16196</v>
      </c>
      <c r="E427" t="s">
        <v>16218</v>
      </c>
      <c r="F427" t="s">
        <v>16221</v>
      </c>
      <c r="G427" t="s">
        <v>16235</v>
      </c>
      <c r="H427" t="s">
        <v>16241</v>
      </c>
      <c r="I427" t="s">
        <v>16313</v>
      </c>
      <c r="J427" t="s">
        <v>16385</v>
      </c>
      <c r="K427">
        <v>0.167</v>
      </c>
      <c r="L427">
        <v>7272</v>
      </c>
      <c r="M427">
        <v>2979</v>
      </c>
      <c r="N427" t="s">
        <v>16393</v>
      </c>
      <c r="O427" s="4">
        <v>40342</v>
      </c>
      <c r="P427" s="4">
        <v>115670</v>
      </c>
      <c r="Q427" s="4">
        <v>156012</v>
      </c>
      <c r="R427" s="4">
        <v>468036</v>
      </c>
      <c r="S427" t="s">
        <v>16808</v>
      </c>
      <c r="T427" s="6">
        <v>42125</v>
      </c>
      <c r="U427" s="4">
        <v>260000</v>
      </c>
      <c r="V427" t="s">
        <v>23739</v>
      </c>
      <c r="W427" t="s">
        <v>23933</v>
      </c>
      <c r="X427" t="s">
        <v>3</v>
      </c>
      <c r="AA427" s="5" t="str">
        <f>HYPERLINK("https://www.zillow.com/homes/166-FAIRFIELD-WAY-BLOOMINGDALE-IL-60108_rb/","check listing")</f>
        <v>check listing</v>
      </c>
      <c r="AB427" s="5" t="str">
        <f>HYPERLINK("https://propertylookup.dupagecounty.gov/Datalets/Datalet.aspx?UseSearch=no&amp;mode=sales&amp;pin=0215410027","sales record")</f>
        <v>sales record</v>
      </c>
      <c r="AC427" t="s">
        <v>3</v>
      </c>
      <c r="AD427">
        <v>41.952886</v>
      </c>
      <c r="AE427">
        <v>-88.07360199999999</v>
      </c>
      <c r="AF427" s="5" t="str">
        <f>HYPERLINK("https://www.google.com/maps/search/?api=1&amp;query=41.952886,-88.073602","map")</f>
        <v>map</v>
      </c>
    </row>
    <row r="428" spans="1:32">
      <c r="A428" t="s">
        <v>478</v>
      </c>
      <c r="B428" t="s">
        <v>8058</v>
      </c>
      <c r="C428" t="s">
        <v>15118</v>
      </c>
      <c r="D428" t="s">
        <v>16196</v>
      </c>
      <c r="E428" t="s">
        <v>16218</v>
      </c>
      <c r="F428" t="s">
        <v>16221</v>
      </c>
      <c r="G428" t="s">
        <v>16236</v>
      </c>
      <c r="H428" t="s">
        <v>16241</v>
      </c>
      <c r="I428" t="s">
        <v>16313</v>
      </c>
      <c r="J428" t="s">
        <v>16385</v>
      </c>
      <c r="K428">
        <v>0.167</v>
      </c>
      <c r="L428">
        <v>7265</v>
      </c>
      <c r="M428">
        <v>2493</v>
      </c>
      <c r="N428" t="s">
        <v>16393</v>
      </c>
      <c r="O428" s="4">
        <v>29656</v>
      </c>
      <c r="P428" s="4">
        <v>117319</v>
      </c>
      <c r="Q428" s="4">
        <v>146975</v>
      </c>
      <c r="R428" s="4">
        <v>440925</v>
      </c>
      <c r="S428" t="s">
        <v>16809</v>
      </c>
      <c r="T428" s="6">
        <v>34731</v>
      </c>
      <c r="U428" s="4">
        <v>198965</v>
      </c>
      <c r="X428" t="s">
        <v>3</v>
      </c>
      <c r="AA428" s="5" t="str">
        <f>HYPERLINK("https://www.zillow.com/homes/332-CHESAPEAKE-LN-BLOOMINGDALE-IL-60108_rb/","check listing")</f>
        <v>check listing</v>
      </c>
      <c r="AB428" s="5" t="str">
        <f>HYPERLINK("https://propertylookup.dupagecounty.gov/Datalets/Datalet.aspx?UseSearch=no&amp;mode=sales&amp;pin=0208304007","sales record")</f>
        <v>sales record</v>
      </c>
      <c r="AC428" t="s">
        <v>3</v>
      </c>
      <c r="AD428">
        <v>41.961408</v>
      </c>
      <c r="AE428">
        <v>-88.123085</v>
      </c>
      <c r="AF428" s="5" t="str">
        <f>HYPERLINK("https://www.google.com/maps/search/?api=1&amp;query=41.961408,-88.123085","map")</f>
        <v>map</v>
      </c>
    </row>
    <row r="429" spans="1:32">
      <c r="A429" t="s">
        <v>479</v>
      </c>
      <c r="B429" t="s">
        <v>8059</v>
      </c>
      <c r="C429" t="s">
        <v>15140</v>
      </c>
      <c r="D429" t="s">
        <v>16196</v>
      </c>
      <c r="E429" t="s">
        <v>16218</v>
      </c>
      <c r="F429" t="s">
        <v>16221</v>
      </c>
      <c r="G429" t="s">
        <v>16235</v>
      </c>
      <c r="H429" t="s">
        <v>16241</v>
      </c>
      <c r="I429" t="s">
        <v>16313</v>
      </c>
      <c r="J429" t="s">
        <v>16385</v>
      </c>
      <c r="K429">
        <v>0.166</v>
      </c>
      <c r="L429">
        <v>7252</v>
      </c>
      <c r="M429">
        <v>1806</v>
      </c>
      <c r="N429" t="s">
        <v>16393</v>
      </c>
      <c r="O429" s="4">
        <v>40342</v>
      </c>
      <c r="P429" s="4">
        <v>104744</v>
      </c>
      <c r="Q429" s="4">
        <v>145086</v>
      </c>
      <c r="R429" s="4">
        <v>435258</v>
      </c>
      <c r="S429" t="s">
        <v>16810</v>
      </c>
      <c r="T429" s="6">
        <v>43252</v>
      </c>
      <c r="U429" s="4">
        <v>305000</v>
      </c>
      <c r="V429" t="s">
        <v>23739</v>
      </c>
      <c r="W429" t="s">
        <v>23934</v>
      </c>
      <c r="X429" t="s">
        <v>3</v>
      </c>
      <c r="AA429" s="5" t="str">
        <f>HYPERLINK("https://www.zillow.com/homes/174-CAMBRIDGE-LN-BLOOMINGDALE-IL-601081504_rb/","check listing")</f>
        <v>check listing</v>
      </c>
      <c r="AB429" s="5" t="str">
        <f>HYPERLINK("https://propertylookup.dupagecounty.gov/Datalets/Datalet.aspx?UseSearch=no&amp;mode=sales&amp;pin=0215402028","sales record")</f>
        <v>sales record</v>
      </c>
      <c r="AC429" t="s">
        <v>3</v>
      </c>
      <c r="AD429">
        <v>41.95114</v>
      </c>
      <c r="AE429">
        <v>-88.077963</v>
      </c>
      <c r="AF429" s="5" t="str">
        <f>HYPERLINK("https://www.google.com/maps/search/?api=1&amp;query=41.95114,-88.077963","map")</f>
        <v>map</v>
      </c>
    </row>
    <row r="430" spans="1:32">
      <c r="A430" t="s">
        <v>480</v>
      </c>
      <c r="B430" t="s">
        <v>8060</v>
      </c>
      <c r="C430" t="s">
        <v>15128</v>
      </c>
      <c r="D430" t="s">
        <v>16196</v>
      </c>
      <c r="E430" t="s">
        <v>16218</v>
      </c>
      <c r="F430" t="s">
        <v>16221</v>
      </c>
      <c r="G430" t="s">
        <v>16235</v>
      </c>
      <c r="H430" t="s">
        <v>16241</v>
      </c>
      <c r="I430" t="s">
        <v>16313</v>
      </c>
      <c r="J430" t="s">
        <v>16385</v>
      </c>
      <c r="K430">
        <v>0.166</v>
      </c>
      <c r="L430">
        <v>7248</v>
      </c>
      <c r="M430">
        <v>2474</v>
      </c>
      <c r="N430" t="s">
        <v>16393</v>
      </c>
      <c r="O430" s="4">
        <v>40342</v>
      </c>
      <c r="P430" s="4">
        <v>105916</v>
      </c>
      <c r="Q430" s="4">
        <v>146258</v>
      </c>
      <c r="R430" s="4">
        <v>438774</v>
      </c>
      <c r="S430" t="s">
        <v>16811</v>
      </c>
      <c r="T430" s="6">
        <v>44820</v>
      </c>
      <c r="U430" s="4">
        <v>350000</v>
      </c>
      <c r="V430" t="s">
        <v>23739</v>
      </c>
      <c r="W430" t="s">
        <v>23935</v>
      </c>
      <c r="X430" t="s">
        <v>3</v>
      </c>
      <c r="AA430" s="5" t="str">
        <f>HYPERLINK("https://www.zillow.com/homes/187-SALEM-CT-BLOOMINGDALE-IL-601081516_rb/","check listing")</f>
        <v>check listing</v>
      </c>
      <c r="AB430" s="5" t="str">
        <f>HYPERLINK("https://propertylookup.dupagecounty.gov/Datalets/Datalet.aspx?UseSearch=no&amp;mode=sales&amp;pin=0215412009","sales record")</f>
        <v>sales record</v>
      </c>
      <c r="AC430" t="s">
        <v>3</v>
      </c>
      <c r="AD430">
        <v>41.950835</v>
      </c>
      <c r="AE430">
        <v>-88.073842</v>
      </c>
      <c r="AF430" s="5" t="str">
        <f>HYPERLINK("https://www.google.com/maps/search/?api=1&amp;query=41.950835,-88.073842","map")</f>
        <v>map</v>
      </c>
    </row>
    <row r="431" spans="1:32">
      <c r="A431" t="s">
        <v>481</v>
      </c>
      <c r="B431" t="s">
        <v>8061</v>
      </c>
      <c r="C431" t="s">
        <v>15118</v>
      </c>
      <c r="D431" t="s">
        <v>16196</v>
      </c>
      <c r="E431" t="s">
        <v>16218</v>
      </c>
      <c r="F431" t="s">
        <v>16221</v>
      </c>
      <c r="G431" t="s">
        <v>16235</v>
      </c>
      <c r="H431" t="s">
        <v>16241</v>
      </c>
      <c r="I431" t="s">
        <v>16313</v>
      </c>
      <c r="J431" t="s">
        <v>16385</v>
      </c>
      <c r="K431">
        <v>0.166</v>
      </c>
      <c r="L431">
        <v>7233</v>
      </c>
      <c r="M431">
        <v>2722</v>
      </c>
      <c r="N431" t="s">
        <v>16393</v>
      </c>
      <c r="O431" s="4">
        <v>40342</v>
      </c>
      <c r="P431" s="4">
        <v>115945</v>
      </c>
      <c r="Q431" s="4">
        <v>156287</v>
      </c>
      <c r="R431" s="4">
        <v>468861</v>
      </c>
      <c r="S431" t="s">
        <v>16812</v>
      </c>
      <c r="T431" s="6">
        <v>42156</v>
      </c>
      <c r="U431" s="4">
        <v>275000</v>
      </c>
      <c r="V431" t="s">
        <v>23739</v>
      </c>
      <c r="W431" t="s">
        <v>23936</v>
      </c>
      <c r="X431" t="s">
        <v>3</v>
      </c>
      <c r="AA431" s="5" t="str">
        <f>HYPERLINK("https://www.zillow.com/homes/150-FAIRFIELD-WAY-BLOOMINGDALE-IL-60108_rb/","check listing")</f>
        <v>check listing</v>
      </c>
      <c r="AB431" s="5" t="str">
        <f>HYPERLINK("https://propertylookup.dupagecounty.gov/Datalets/Datalet.aspx?UseSearch=no&amp;mode=sales&amp;pin=0215410023","sales record")</f>
        <v>sales record</v>
      </c>
      <c r="AC431" t="s">
        <v>3</v>
      </c>
      <c r="AD431">
        <v>41.953532</v>
      </c>
      <c r="AE431">
        <v>-88.073342</v>
      </c>
      <c r="AF431" s="5" t="str">
        <f>HYPERLINK("https://www.google.com/maps/search/?api=1&amp;query=41.953532,-88.073342","map")</f>
        <v>map</v>
      </c>
    </row>
    <row r="432" spans="1:32">
      <c r="A432" t="s">
        <v>482</v>
      </c>
      <c r="B432" t="s">
        <v>8062</v>
      </c>
      <c r="C432" t="s">
        <v>15118</v>
      </c>
      <c r="D432" t="s">
        <v>16196</v>
      </c>
      <c r="E432" t="s">
        <v>16218</v>
      </c>
      <c r="F432" t="s">
        <v>16221</v>
      </c>
      <c r="G432" t="s">
        <v>16236</v>
      </c>
      <c r="H432" t="s">
        <v>16241</v>
      </c>
      <c r="I432" t="s">
        <v>16313</v>
      </c>
      <c r="J432" t="s">
        <v>16385</v>
      </c>
      <c r="K432">
        <v>0.166</v>
      </c>
      <c r="L432">
        <v>7228</v>
      </c>
      <c r="M432">
        <v>1979</v>
      </c>
      <c r="N432" t="s">
        <v>16393</v>
      </c>
      <c r="O432" s="4">
        <v>29656</v>
      </c>
      <c r="P432" s="4">
        <v>118849</v>
      </c>
      <c r="Q432" s="4">
        <v>148505</v>
      </c>
      <c r="R432" s="4">
        <v>445515</v>
      </c>
      <c r="S432" t="s">
        <v>16813</v>
      </c>
      <c r="T432" s="6">
        <v>44013</v>
      </c>
      <c r="U432" s="4">
        <v>310000</v>
      </c>
      <c r="V432" t="s">
        <v>23739</v>
      </c>
      <c r="W432" t="s">
        <v>16813</v>
      </c>
      <c r="X432" t="s">
        <v>3</v>
      </c>
      <c r="AA432" s="5" t="str">
        <f>HYPERLINK("https://www.zillow.com/homes/273-BISCAYNE-ST-BLOOMINGDALE-IL-60108_rb/","check listing")</f>
        <v>check listing</v>
      </c>
      <c r="AB432" s="5" t="str">
        <f>HYPERLINK("https://propertylookup.dupagecounty.gov/Datalets/Datalet.aspx?UseSearch=no&amp;mode=sales&amp;pin=0208305017","sales record")</f>
        <v>sales record</v>
      </c>
      <c r="AC432" t="s">
        <v>3</v>
      </c>
      <c r="AD432">
        <v>41.963975</v>
      </c>
      <c r="AE432">
        <v>-88.121517</v>
      </c>
      <c r="AF432" s="5" t="str">
        <f>HYPERLINK("https://www.google.com/maps/search/?api=1&amp;query=41.963975,-88.121517","map")</f>
        <v>map</v>
      </c>
    </row>
    <row r="433" spans="1:32">
      <c r="A433" t="s">
        <v>483</v>
      </c>
      <c r="B433" t="s">
        <v>8063</v>
      </c>
      <c r="C433" t="s">
        <v>15118</v>
      </c>
      <c r="D433" t="s">
        <v>16196</v>
      </c>
      <c r="E433" t="s">
        <v>16218</v>
      </c>
      <c r="F433" t="s">
        <v>16221</v>
      </c>
      <c r="G433" t="s">
        <v>16235</v>
      </c>
      <c r="H433" t="s">
        <v>16241</v>
      </c>
      <c r="I433" t="s">
        <v>16313</v>
      </c>
      <c r="J433" t="s">
        <v>16385</v>
      </c>
      <c r="K433">
        <v>0.165</v>
      </c>
      <c r="L433">
        <v>7190</v>
      </c>
      <c r="M433">
        <v>2434</v>
      </c>
      <c r="N433" t="s">
        <v>16393</v>
      </c>
      <c r="O433" s="4">
        <v>40342</v>
      </c>
      <c r="P433" s="4">
        <v>95709</v>
      </c>
      <c r="Q433" s="4">
        <v>136051</v>
      </c>
      <c r="R433" s="4">
        <v>408153</v>
      </c>
      <c r="S433" t="s">
        <v>16814</v>
      </c>
      <c r="T433" s="6">
        <v>34790</v>
      </c>
      <c r="U433" s="4">
        <v>173500</v>
      </c>
      <c r="X433" t="s">
        <v>3</v>
      </c>
      <c r="AA433" s="5" t="str">
        <f>HYPERLINK("https://www.zillow.com/homes/140-E-SCHICK-RD-BLOOMINGDALE-IL-60108_rb/","check listing")</f>
        <v>check listing</v>
      </c>
      <c r="AB433" s="5" t="str">
        <f>HYPERLINK("https://propertylookup.dupagecounty.gov/Datalets/Datalet.aspx?UseSearch=no&amp;mode=sales&amp;pin=0215408003","sales record")</f>
        <v>sales record</v>
      </c>
      <c r="AC433" t="s">
        <v>3</v>
      </c>
      <c r="AD433">
        <v>41.953938</v>
      </c>
      <c r="AE433">
        <v>-88.076982</v>
      </c>
      <c r="AF433" s="5" t="str">
        <f>HYPERLINK("https://www.google.com/maps/search/?api=1&amp;query=41.953938,-88.076982","map")</f>
        <v>map</v>
      </c>
    </row>
    <row r="434" spans="1:32">
      <c r="A434" t="s">
        <v>484</v>
      </c>
      <c r="B434" t="s">
        <v>8064</v>
      </c>
      <c r="C434" t="s">
        <v>15131</v>
      </c>
      <c r="D434" t="s">
        <v>16196</v>
      </c>
      <c r="E434" t="s">
        <v>16218</v>
      </c>
      <c r="F434" t="s">
        <v>16221</v>
      </c>
      <c r="G434" t="s">
        <v>16235</v>
      </c>
      <c r="H434" t="s">
        <v>16241</v>
      </c>
      <c r="I434" t="s">
        <v>16313</v>
      </c>
      <c r="J434" t="s">
        <v>16385</v>
      </c>
      <c r="K434">
        <v>0.165</v>
      </c>
      <c r="L434">
        <v>7185</v>
      </c>
      <c r="M434">
        <v>2369</v>
      </c>
      <c r="N434" t="s">
        <v>16393</v>
      </c>
      <c r="O434" s="4">
        <v>40342</v>
      </c>
      <c r="P434" s="4">
        <v>112681</v>
      </c>
      <c r="Q434" s="4">
        <v>153023</v>
      </c>
      <c r="R434" s="4">
        <v>459069</v>
      </c>
      <c r="S434" t="s">
        <v>16815</v>
      </c>
      <c r="T434" s="6">
        <v>44256</v>
      </c>
      <c r="U434" s="4">
        <v>385000</v>
      </c>
      <c r="V434" t="s">
        <v>23739</v>
      </c>
      <c r="W434" t="s">
        <v>16815</v>
      </c>
      <c r="X434" t="s">
        <v>3</v>
      </c>
      <c r="AA434" s="5" t="str">
        <f>HYPERLINK("https://www.zillow.com/homes/164-BRAINTREE-DR-BLOOMINGDALE-IL-601081501_rb/","check listing")</f>
        <v>check listing</v>
      </c>
      <c r="AB434" s="5" t="str">
        <f>HYPERLINK("https://propertylookup.dupagecounty.gov/Datalets/Datalet.aspx?UseSearch=no&amp;mode=sales&amp;pin=0215409022","sales record")</f>
        <v>sales record</v>
      </c>
      <c r="AC434" t="s">
        <v>27873</v>
      </c>
      <c r="AD434">
        <v>41.952031</v>
      </c>
      <c r="AE434">
        <v>-88.076733</v>
      </c>
      <c r="AF434" s="5" t="str">
        <f>HYPERLINK("https://www.google.com/maps/search/?api=1&amp;query=41.952031,-88.076733","map")</f>
        <v>map</v>
      </c>
    </row>
    <row r="435" spans="1:32">
      <c r="A435" t="s">
        <v>485</v>
      </c>
      <c r="B435" t="s">
        <v>8065</v>
      </c>
      <c r="C435" t="s">
        <v>15118</v>
      </c>
      <c r="D435" t="s">
        <v>16196</v>
      </c>
      <c r="E435" t="s">
        <v>16218</v>
      </c>
      <c r="F435" t="s">
        <v>16221</v>
      </c>
      <c r="G435" t="s">
        <v>16235</v>
      </c>
      <c r="H435" t="s">
        <v>16241</v>
      </c>
      <c r="I435" t="s">
        <v>16313</v>
      </c>
      <c r="J435" t="s">
        <v>16385</v>
      </c>
      <c r="K435">
        <v>0.164</v>
      </c>
      <c r="L435">
        <v>7135</v>
      </c>
      <c r="M435">
        <v>1726</v>
      </c>
      <c r="N435" t="s">
        <v>16393</v>
      </c>
      <c r="O435" s="4">
        <v>40346</v>
      </c>
      <c r="P435" s="4">
        <v>89289</v>
      </c>
      <c r="Q435" s="4">
        <v>129635</v>
      </c>
      <c r="R435" s="4">
        <v>388905</v>
      </c>
      <c r="S435" t="s">
        <v>16816</v>
      </c>
      <c r="T435" s="6">
        <v>35490</v>
      </c>
      <c r="U435" s="4">
        <v>161000</v>
      </c>
      <c r="X435" t="s">
        <v>3</v>
      </c>
      <c r="AA435" s="5" t="str">
        <f>HYPERLINK("https://www.zillow.com/homes/159-CAMBRIDGE-LN-BLOOMINGDALE-IL-60108_rb/","check listing")</f>
        <v>check listing</v>
      </c>
      <c r="AB435" s="5" t="str">
        <f>HYPERLINK("https://propertylookup.dupagecounty.gov/Datalets/Datalet.aspx?UseSearch=no&amp;mode=sales&amp;pin=0215409008","sales record")</f>
        <v>sales record</v>
      </c>
      <c r="AC435" t="s">
        <v>27873</v>
      </c>
      <c r="AD435">
        <v>41.95241</v>
      </c>
      <c r="AE435">
        <v>-88.07719899999999</v>
      </c>
      <c r="AF435" s="5" t="str">
        <f>HYPERLINK("https://www.google.com/maps/search/?api=1&amp;query=41.95241,-88.077199","map")</f>
        <v>map</v>
      </c>
    </row>
    <row r="436" spans="1:32">
      <c r="A436" t="s">
        <v>486</v>
      </c>
      <c r="B436" t="s">
        <v>8066</v>
      </c>
      <c r="C436" t="s">
        <v>15118</v>
      </c>
      <c r="D436" t="s">
        <v>16196</v>
      </c>
      <c r="E436" t="s">
        <v>16218</v>
      </c>
      <c r="F436" t="s">
        <v>16221</v>
      </c>
      <c r="G436" t="s">
        <v>16235</v>
      </c>
      <c r="H436" t="s">
        <v>16241</v>
      </c>
      <c r="I436" t="s">
        <v>16313</v>
      </c>
      <c r="J436" t="s">
        <v>16385</v>
      </c>
      <c r="K436">
        <v>0.164</v>
      </c>
      <c r="L436">
        <v>7126</v>
      </c>
      <c r="M436">
        <v>1857</v>
      </c>
      <c r="N436" t="s">
        <v>16393</v>
      </c>
      <c r="O436" s="4">
        <v>40342</v>
      </c>
      <c r="P436" s="4">
        <v>104744</v>
      </c>
      <c r="Q436" s="4">
        <v>145086</v>
      </c>
      <c r="R436" s="4">
        <v>435258</v>
      </c>
      <c r="S436" t="s">
        <v>16817</v>
      </c>
      <c r="T436" s="6">
        <v>38412</v>
      </c>
      <c r="U436" s="4">
        <v>294000</v>
      </c>
      <c r="V436" t="s">
        <v>23740</v>
      </c>
      <c r="W436" t="s">
        <v>16817</v>
      </c>
      <c r="X436" t="s">
        <v>3</v>
      </c>
      <c r="AA436" s="5" t="str">
        <f>HYPERLINK("https://www.zillow.com/homes/172-CAMBRIDGE-LN-BLOOMINGDALE-IL-60108_rb/","check listing")</f>
        <v>check listing</v>
      </c>
      <c r="AB436" s="5" t="str">
        <f>HYPERLINK("https://propertylookup.dupagecounty.gov/Datalets/Datalet.aspx?UseSearch=no&amp;mode=sales&amp;pin=0215402027","sales record")</f>
        <v>sales record</v>
      </c>
      <c r="AC436" t="s">
        <v>3</v>
      </c>
      <c r="AD436">
        <v>41.951276</v>
      </c>
      <c r="AE436">
        <v>-88.07797100000001</v>
      </c>
      <c r="AF436" s="5" t="str">
        <f>HYPERLINK("https://www.google.com/maps/search/?api=1&amp;query=41.951276,-88.077971","map")</f>
        <v>map</v>
      </c>
    </row>
    <row r="437" spans="1:32">
      <c r="A437" t="s">
        <v>487</v>
      </c>
      <c r="B437" t="s">
        <v>8067</v>
      </c>
      <c r="C437" t="s">
        <v>15118</v>
      </c>
      <c r="D437" t="s">
        <v>16196</v>
      </c>
      <c r="E437" t="s">
        <v>16218</v>
      </c>
      <c r="F437" t="s">
        <v>16221</v>
      </c>
      <c r="G437" t="s">
        <v>16236</v>
      </c>
      <c r="H437" t="s">
        <v>16241</v>
      </c>
      <c r="I437" t="s">
        <v>16313</v>
      </c>
      <c r="J437" t="s">
        <v>16385</v>
      </c>
      <c r="K437">
        <v>0.163</v>
      </c>
      <c r="L437">
        <v>7115</v>
      </c>
      <c r="M437">
        <v>1976</v>
      </c>
      <c r="N437" t="s">
        <v>16393</v>
      </c>
      <c r="O437" s="4">
        <v>29656</v>
      </c>
      <c r="P437" s="4">
        <v>130611</v>
      </c>
      <c r="Q437" s="4">
        <v>160267</v>
      </c>
      <c r="R437" s="4">
        <v>480801</v>
      </c>
      <c r="S437" t="s">
        <v>16818</v>
      </c>
      <c r="T437" s="6">
        <v>41426</v>
      </c>
      <c r="U437" s="4">
        <v>353000</v>
      </c>
      <c r="V437" t="s">
        <v>23739</v>
      </c>
      <c r="W437" t="s">
        <v>23937</v>
      </c>
      <c r="X437" t="s">
        <v>3</v>
      </c>
      <c r="AA437" s="5" t="str">
        <f>HYPERLINK("https://www.zillow.com/homes/231-BISCAYNE-ST-BLOOMINGDALE-IL-60108_rb/","check listing")</f>
        <v>check listing</v>
      </c>
      <c r="AB437" s="5" t="str">
        <f>HYPERLINK("https://propertylookup.dupagecounty.gov/Datalets/Datalet.aspx?UseSearch=no&amp;mode=sales&amp;pin=0208305003","sales record")</f>
        <v>sales record</v>
      </c>
      <c r="AC437" t="s">
        <v>3</v>
      </c>
      <c r="AD437">
        <v>41.964009</v>
      </c>
      <c r="AE437">
        <v>-88.121933</v>
      </c>
      <c r="AF437" s="5" t="str">
        <f>HYPERLINK("https://www.google.com/maps/search/?api=1&amp;query=41.964009,-88.121933","map")</f>
        <v>map</v>
      </c>
    </row>
    <row r="438" spans="1:32">
      <c r="A438" t="s">
        <v>488</v>
      </c>
      <c r="B438" t="s">
        <v>8068</v>
      </c>
      <c r="C438" t="s">
        <v>15118</v>
      </c>
      <c r="D438" t="s">
        <v>16196</v>
      </c>
      <c r="E438" t="s">
        <v>16218</v>
      </c>
      <c r="F438" t="s">
        <v>16221</v>
      </c>
      <c r="G438" t="s">
        <v>16236</v>
      </c>
      <c r="H438" t="s">
        <v>16241</v>
      </c>
      <c r="I438" t="s">
        <v>16313</v>
      </c>
      <c r="J438" t="s">
        <v>16385</v>
      </c>
      <c r="K438">
        <v>0.163</v>
      </c>
      <c r="L438">
        <v>7094</v>
      </c>
      <c r="M438">
        <v>2372</v>
      </c>
      <c r="N438" t="s">
        <v>16393</v>
      </c>
      <c r="O438" s="4">
        <v>29656</v>
      </c>
      <c r="P438" s="4">
        <v>133540</v>
      </c>
      <c r="Q438" s="4">
        <v>163196</v>
      </c>
      <c r="R438" s="4">
        <v>489588</v>
      </c>
      <c r="S438" t="s">
        <v>16819</v>
      </c>
      <c r="T438" s="6">
        <v>35247</v>
      </c>
      <c r="U438" s="4">
        <v>228805</v>
      </c>
      <c r="X438" t="s">
        <v>3</v>
      </c>
      <c r="AA438" s="5" t="str">
        <f>HYPERLINK("https://www.zillow.com/homes/234-BISCAYNE-ST-BLOOMINGDALE-IL-60108_rb/","check listing")</f>
        <v>check listing</v>
      </c>
      <c r="AB438" s="5" t="str">
        <f>HYPERLINK("https://propertylookup.dupagecounty.gov/Datalets/Datalet.aspx?UseSearch=no&amp;mode=sales&amp;pin=0208302037","sales record")</f>
        <v>sales record</v>
      </c>
      <c r="AC438" t="s">
        <v>3</v>
      </c>
      <c r="AD438">
        <v>41.964717</v>
      </c>
      <c r="AE438">
        <v>-88.12260999999999</v>
      </c>
      <c r="AF438" s="5" t="str">
        <f>HYPERLINK("https://www.google.com/maps/search/?api=1&amp;query=41.964717,-88.12261","map")</f>
        <v>map</v>
      </c>
    </row>
    <row r="439" spans="1:32">
      <c r="A439" t="s">
        <v>489</v>
      </c>
      <c r="B439" t="s">
        <v>8069</v>
      </c>
      <c r="C439" t="s">
        <v>15118</v>
      </c>
      <c r="D439" t="s">
        <v>16196</v>
      </c>
      <c r="E439" t="s">
        <v>16218</v>
      </c>
      <c r="F439" t="s">
        <v>16221</v>
      </c>
      <c r="G439" t="s">
        <v>16235</v>
      </c>
      <c r="H439" t="s">
        <v>16241</v>
      </c>
      <c r="I439" t="s">
        <v>16313</v>
      </c>
      <c r="J439" t="s">
        <v>16385</v>
      </c>
      <c r="K439">
        <v>0.163</v>
      </c>
      <c r="L439">
        <v>7088</v>
      </c>
      <c r="M439">
        <v>2746</v>
      </c>
      <c r="N439" t="s">
        <v>16393</v>
      </c>
      <c r="O439" s="4">
        <v>40342</v>
      </c>
      <c r="P439" s="4">
        <v>119363</v>
      </c>
      <c r="Q439" s="4">
        <v>159705</v>
      </c>
      <c r="R439" s="4">
        <v>479115</v>
      </c>
      <c r="S439" t="s">
        <v>16820</v>
      </c>
      <c r="T439" s="6">
        <v>32660</v>
      </c>
      <c r="U439" s="4">
        <v>199000</v>
      </c>
      <c r="X439" t="s">
        <v>3</v>
      </c>
      <c r="AA439" s="5" t="str">
        <f>HYPERLINK("https://www.zillow.com/homes/210-CAMBRIDGE-LN-BLOOMINGDALE-IL-60108_rb/","check listing")</f>
        <v>check listing</v>
      </c>
      <c r="AB439" s="5" t="str">
        <f>HYPERLINK("https://propertylookup.dupagecounty.gov/Datalets/Datalet.aspx?UseSearch=no&amp;mode=sales&amp;pin=0215402039","sales record")</f>
        <v>sales record</v>
      </c>
      <c r="AC439" t="s">
        <v>3</v>
      </c>
      <c r="AD439">
        <v>41.950248</v>
      </c>
      <c r="AE439">
        <v>-88.075953</v>
      </c>
      <c r="AF439" s="5" t="str">
        <f>HYPERLINK("https://www.google.com/maps/search/?api=1&amp;query=41.950248,-88.075953","map")</f>
        <v>map</v>
      </c>
    </row>
    <row r="440" spans="1:32">
      <c r="A440" t="s">
        <v>490</v>
      </c>
      <c r="B440" t="s">
        <v>8070</v>
      </c>
      <c r="C440" t="s">
        <v>15118</v>
      </c>
      <c r="D440" t="s">
        <v>16196</v>
      </c>
      <c r="E440" t="s">
        <v>16218</v>
      </c>
      <c r="F440" t="s">
        <v>16221</v>
      </c>
      <c r="G440" t="s">
        <v>16236</v>
      </c>
      <c r="H440" t="s">
        <v>16241</v>
      </c>
      <c r="I440" t="s">
        <v>16313</v>
      </c>
      <c r="J440" t="s">
        <v>16385</v>
      </c>
      <c r="K440">
        <v>0.163</v>
      </c>
      <c r="L440">
        <v>7085</v>
      </c>
      <c r="M440">
        <v>1845</v>
      </c>
      <c r="N440" t="s">
        <v>16393</v>
      </c>
      <c r="O440" s="4">
        <v>29656</v>
      </c>
      <c r="P440" s="4">
        <v>134436</v>
      </c>
      <c r="Q440" s="4">
        <v>164092</v>
      </c>
      <c r="R440" s="4">
        <v>492276</v>
      </c>
      <c r="S440" t="s">
        <v>16821</v>
      </c>
      <c r="T440" s="6">
        <v>40725</v>
      </c>
      <c r="U440" s="4">
        <v>364000</v>
      </c>
      <c r="V440" t="s">
        <v>23739</v>
      </c>
      <c r="W440" t="s">
        <v>23938</v>
      </c>
      <c r="X440" t="s">
        <v>3</v>
      </c>
      <c r="AA440" s="5" t="str">
        <f>HYPERLINK("https://www.zillow.com/homes/241-BISCAYNE-ST-BLOOMINGDALE-IL-60108_rb/","check listing")</f>
        <v>check listing</v>
      </c>
      <c r="AB440" s="5" t="str">
        <f>HYPERLINK("https://propertylookup.dupagecounty.gov/Datalets/Datalet.aspx?UseSearch=no&amp;mode=sales&amp;pin=0208305008","sales record")</f>
        <v>sales record</v>
      </c>
      <c r="AC440" t="s">
        <v>3</v>
      </c>
      <c r="AD440">
        <v>41.964843</v>
      </c>
      <c r="AE440">
        <v>-88.12198600000001</v>
      </c>
      <c r="AF440" s="5" t="str">
        <f>HYPERLINK("https://www.google.com/maps/search/?api=1&amp;query=41.964843,-88.121986","map")</f>
        <v>map</v>
      </c>
    </row>
    <row r="441" spans="1:32">
      <c r="A441" t="s">
        <v>491</v>
      </c>
      <c r="B441" t="s">
        <v>8071</v>
      </c>
      <c r="C441" t="s">
        <v>15118</v>
      </c>
      <c r="D441" t="s">
        <v>16196</v>
      </c>
      <c r="E441" t="s">
        <v>16218</v>
      </c>
      <c r="F441" t="s">
        <v>16221</v>
      </c>
      <c r="G441" t="s">
        <v>16235</v>
      </c>
      <c r="H441" t="s">
        <v>16241</v>
      </c>
      <c r="I441" t="s">
        <v>16313</v>
      </c>
      <c r="J441" t="s">
        <v>16385</v>
      </c>
      <c r="K441">
        <v>0.163</v>
      </c>
      <c r="L441">
        <v>7079</v>
      </c>
      <c r="M441">
        <v>2554</v>
      </c>
      <c r="N441" t="s">
        <v>16393</v>
      </c>
      <c r="O441" s="4">
        <v>40342</v>
      </c>
      <c r="P441" s="4">
        <v>102784</v>
      </c>
      <c r="Q441" s="4">
        <v>143126</v>
      </c>
      <c r="R441" s="4">
        <v>429378</v>
      </c>
      <c r="S441" t="s">
        <v>16822</v>
      </c>
      <c r="T441" s="6">
        <v>30317</v>
      </c>
      <c r="U441" s="4">
        <v>92000</v>
      </c>
      <c r="X441" t="s">
        <v>3</v>
      </c>
      <c r="AA441" s="5" t="str">
        <f>HYPERLINK("https://www.zillow.com/homes/199-BRAINTREE-DR-BLOOMINGDALE-IL-60108_rb/","check listing")</f>
        <v>check listing</v>
      </c>
      <c r="AB441" s="5" t="str">
        <f>HYPERLINK("https://propertylookup.dupagecounty.gov/Datalets/Datalet.aspx?UseSearch=no&amp;mode=sales&amp;pin=0215412031","sales record")</f>
        <v>sales record</v>
      </c>
      <c r="AC441" t="s">
        <v>3</v>
      </c>
      <c r="AD441">
        <v>41.94969</v>
      </c>
      <c r="AE441">
        <v>-88.07406400000001</v>
      </c>
      <c r="AF441" s="5" t="str">
        <f>HYPERLINK("https://www.google.com/maps/search/?api=1&amp;query=41.94969,-88.074064","map")</f>
        <v>map</v>
      </c>
    </row>
    <row r="442" spans="1:32">
      <c r="A442" t="s">
        <v>492</v>
      </c>
      <c r="B442" t="s">
        <v>8072</v>
      </c>
      <c r="C442" t="s">
        <v>15118</v>
      </c>
      <c r="D442" t="s">
        <v>16196</v>
      </c>
      <c r="E442" t="s">
        <v>16218</v>
      </c>
      <c r="F442" t="s">
        <v>16221</v>
      </c>
      <c r="G442" t="s">
        <v>16236</v>
      </c>
      <c r="H442" t="s">
        <v>16241</v>
      </c>
      <c r="I442" t="s">
        <v>16313</v>
      </c>
      <c r="J442" t="s">
        <v>16385</v>
      </c>
      <c r="K442">
        <v>0.162</v>
      </c>
      <c r="L442">
        <v>7055</v>
      </c>
      <c r="M442">
        <v>2207</v>
      </c>
      <c r="N442" t="s">
        <v>16393</v>
      </c>
      <c r="O442" s="4">
        <v>29656</v>
      </c>
      <c r="P442" s="4">
        <v>123810</v>
      </c>
      <c r="Q442" s="4">
        <v>153466</v>
      </c>
      <c r="R442" s="4">
        <v>460398</v>
      </c>
      <c r="S442" t="s">
        <v>16823</v>
      </c>
      <c r="T442" s="6">
        <v>37438</v>
      </c>
      <c r="U442" s="4">
        <v>317000</v>
      </c>
      <c r="V442" t="s">
        <v>23739</v>
      </c>
      <c r="W442" t="s">
        <v>23939</v>
      </c>
      <c r="X442" t="s">
        <v>3</v>
      </c>
      <c r="AA442" s="5" t="str">
        <f>HYPERLINK("https://www.zillow.com/homes/285-BISCAYNE-ST-BLOOMINGDALE-IL-60108_rb/","check listing")</f>
        <v>check listing</v>
      </c>
      <c r="AB442" s="5" t="str">
        <f>HYPERLINK("https://propertylookup.dupagecounty.gov/Datalets/Datalet.aspx?UseSearch=no&amp;mode=sales&amp;pin=0208305019","sales record")</f>
        <v>sales record</v>
      </c>
      <c r="AC442" t="s">
        <v>3</v>
      </c>
      <c r="AD442">
        <v>41.963651</v>
      </c>
      <c r="AE442">
        <v>-88.121681</v>
      </c>
      <c r="AF442" s="5" t="str">
        <f>HYPERLINK("https://www.google.com/maps/search/?api=1&amp;query=41.963651,-88.121681","map")</f>
        <v>map</v>
      </c>
    </row>
    <row r="443" spans="1:32">
      <c r="A443" t="s">
        <v>493</v>
      </c>
      <c r="B443" t="s">
        <v>8073</v>
      </c>
      <c r="C443" t="s">
        <v>15118</v>
      </c>
      <c r="D443" t="s">
        <v>16196</v>
      </c>
      <c r="E443" t="s">
        <v>16218</v>
      </c>
      <c r="F443" t="s">
        <v>16221</v>
      </c>
      <c r="G443" t="s">
        <v>16235</v>
      </c>
      <c r="H443" t="s">
        <v>16241</v>
      </c>
      <c r="I443" t="s">
        <v>16313</v>
      </c>
      <c r="J443" t="s">
        <v>16385</v>
      </c>
      <c r="K443">
        <v>0.162</v>
      </c>
      <c r="L443">
        <v>7048</v>
      </c>
      <c r="M443">
        <v>2548</v>
      </c>
      <c r="N443" t="s">
        <v>16393</v>
      </c>
      <c r="O443" s="4">
        <v>40342</v>
      </c>
      <c r="P443" s="4">
        <v>106800</v>
      </c>
      <c r="Q443" s="4">
        <v>147142</v>
      </c>
      <c r="R443" s="4">
        <v>441426</v>
      </c>
      <c r="S443" t="s">
        <v>16824</v>
      </c>
      <c r="T443" s="6">
        <v>34731</v>
      </c>
      <c r="U443" s="4">
        <v>209000</v>
      </c>
      <c r="X443" t="s">
        <v>3</v>
      </c>
      <c r="AA443" s="5" t="str">
        <f>HYPERLINK("https://www.zillow.com/homes/203-BRAINTREE-DR-BLOOMINGDALE-IL-60108_rb/","check listing")</f>
        <v>check listing</v>
      </c>
      <c r="AB443" s="5" t="str">
        <f>HYPERLINK("https://propertylookup.dupagecounty.gov/Datalets/Datalet.aspx?UseSearch=no&amp;mode=sales&amp;pin=0215412033","sales record")</f>
        <v>sales record</v>
      </c>
      <c r="AC443" t="s">
        <v>3</v>
      </c>
      <c r="AD443">
        <v>41.949659</v>
      </c>
      <c r="AE443">
        <v>-88.07364</v>
      </c>
      <c r="AF443" s="5" t="str">
        <f>HYPERLINK("https://www.google.com/maps/search/?api=1&amp;query=41.949659,-88.07364","map")</f>
        <v>map</v>
      </c>
    </row>
    <row r="444" spans="1:32">
      <c r="A444" t="s">
        <v>494</v>
      </c>
      <c r="B444" t="s">
        <v>8074</v>
      </c>
      <c r="C444" t="s">
        <v>15156</v>
      </c>
      <c r="D444" t="s">
        <v>16196</v>
      </c>
      <c r="E444" t="s">
        <v>16218</v>
      </c>
      <c r="F444" t="s">
        <v>16221</v>
      </c>
      <c r="G444" t="s">
        <v>16235</v>
      </c>
      <c r="H444" t="s">
        <v>16241</v>
      </c>
      <c r="I444" t="s">
        <v>16313</v>
      </c>
      <c r="J444" t="s">
        <v>16385</v>
      </c>
      <c r="K444">
        <v>0.162</v>
      </c>
      <c r="L444">
        <v>7048</v>
      </c>
      <c r="M444">
        <v>2357</v>
      </c>
      <c r="N444" t="s">
        <v>16393</v>
      </c>
      <c r="O444" s="4">
        <v>40342</v>
      </c>
      <c r="P444" s="4">
        <v>111498</v>
      </c>
      <c r="Q444" s="4">
        <v>151840</v>
      </c>
      <c r="R444" s="4">
        <v>455520</v>
      </c>
      <c r="S444" t="s">
        <v>16825</v>
      </c>
      <c r="T444" s="6">
        <v>40087</v>
      </c>
      <c r="U444" s="4">
        <v>288000</v>
      </c>
      <c r="V444" t="s">
        <v>23739</v>
      </c>
      <c r="W444" t="s">
        <v>23940</v>
      </c>
      <c r="X444" t="s">
        <v>3</v>
      </c>
      <c r="AA444" s="5" t="str">
        <f>HYPERLINK("https://www.zillow.com/homes/205-BRAINTREE-DR-BLOOMINGDALE-IL-601081534_rb/","check listing")</f>
        <v>check listing</v>
      </c>
      <c r="AB444" s="5" t="str">
        <f>HYPERLINK("https://propertylookup.dupagecounty.gov/Datalets/Datalet.aspx?UseSearch=no&amp;mode=sales&amp;pin=0215412034","sales record")</f>
        <v>sales record</v>
      </c>
      <c r="AC444" t="s">
        <v>3</v>
      </c>
      <c r="AD444">
        <v>41.949644</v>
      </c>
      <c r="AE444">
        <v>-88.073425</v>
      </c>
      <c r="AF444" s="5" t="str">
        <f>HYPERLINK("https://www.google.com/maps/search/?api=1&amp;query=41.949644,-88.073425","map")</f>
        <v>map</v>
      </c>
    </row>
    <row r="445" spans="1:32">
      <c r="A445" t="s">
        <v>495</v>
      </c>
      <c r="B445" t="s">
        <v>8075</v>
      </c>
      <c r="C445" t="s">
        <v>15140</v>
      </c>
      <c r="D445" t="s">
        <v>16196</v>
      </c>
      <c r="E445" t="s">
        <v>16218</v>
      </c>
      <c r="F445" t="s">
        <v>16221</v>
      </c>
      <c r="G445" t="s">
        <v>16235</v>
      </c>
      <c r="H445" t="s">
        <v>16241</v>
      </c>
      <c r="I445" t="s">
        <v>16313</v>
      </c>
      <c r="J445" t="s">
        <v>16385</v>
      </c>
      <c r="K445">
        <v>0.162</v>
      </c>
      <c r="L445">
        <v>7039</v>
      </c>
      <c r="M445">
        <v>1795</v>
      </c>
      <c r="N445" t="s">
        <v>16393</v>
      </c>
      <c r="O445" s="4">
        <v>40342</v>
      </c>
      <c r="P445" s="4">
        <v>102653</v>
      </c>
      <c r="Q445" s="4">
        <v>142995</v>
      </c>
      <c r="R445" s="4">
        <v>428985</v>
      </c>
      <c r="S445" t="s">
        <v>16826</v>
      </c>
      <c r="T445" s="6">
        <v>45469</v>
      </c>
      <c r="U445" s="4">
        <v>495000</v>
      </c>
      <c r="V445" t="s">
        <v>23739</v>
      </c>
      <c r="W445" t="s">
        <v>23941</v>
      </c>
      <c r="X445" t="s">
        <v>3</v>
      </c>
      <c r="AA445" s="5" t="str">
        <f>HYPERLINK("https://www.zillow.com/homes/150-CAMBRIDGE-LN-BLOOMINGDALE-IL-601081504_rb/","check listing")</f>
        <v>check listing</v>
      </c>
      <c r="AB445" s="5" t="str">
        <f>HYPERLINK("https://propertylookup.dupagecounty.gov/Datalets/Datalet.aspx?UseSearch=no&amp;mode=sales&amp;pin=0215402016","sales record")</f>
        <v>sales record</v>
      </c>
      <c r="AC445" t="s">
        <v>27873</v>
      </c>
      <c r="AD445">
        <v>41.953095</v>
      </c>
      <c r="AE445">
        <v>-88.078041</v>
      </c>
      <c r="AF445" s="5" t="str">
        <f>HYPERLINK("https://www.google.com/maps/search/?api=1&amp;query=41.953095,-88.078041","map")</f>
        <v>map</v>
      </c>
    </row>
    <row r="446" spans="1:32">
      <c r="A446" t="s">
        <v>496</v>
      </c>
      <c r="B446" t="s">
        <v>8076</v>
      </c>
      <c r="C446" t="s">
        <v>15140</v>
      </c>
      <c r="D446" t="s">
        <v>16196</v>
      </c>
      <c r="E446" t="s">
        <v>16218</v>
      </c>
      <c r="F446" t="s">
        <v>16221</v>
      </c>
      <c r="G446" t="s">
        <v>16235</v>
      </c>
      <c r="H446" t="s">
        <v>16241</v>
      </c>
      <c r="I446" t="s">
        <v>16313</v>
      </c>
      <c r="J446" t="s">
        <v>16385</v>
      </c>
      <c r="K446">
        <v>0.162</v>
      </c>
      <c r="L446">
        <v>7035</v>
      </c>
      <c r="M446">
        <v>1933</v>
      </c>
      <c r="N446" t="s">
        <v>16393</v>
      </c>
      <c r="O446" s="4">
        <v>40342</v>
      </c>
      <c r="P446" s="4">
        <v>117367</v>
      </c>
      <c r="Q446" s="4">
        <v>157709</v>
      </c>
      <c r="R446" s="4">
        <v>473127</v>
      </c>
      <c r="S446" t="s">
        <v>16827</v>
      </c>
      <c r="T446" s="6">
        <v>37834</v>
      </c>
      <c r="U446" s="4">
        <v>307000</v>
      </c>
      <c r="V446" t="s">
        <v>23739</v>
      </c>
      <c r="W446" t="s">
        <v>23942</v>
      </c>
      <c r="X446" t="s">
        <v>3</v>
      </c>
      <c r="AA446" s="5" t="str">
        <f>HYPERLINK("https://www.zillow.com/homes/148-CAMBRIDGE-LN-BLOOMINGDALE-IL-601081504_rb/","check listing")</f>
        <v>check listing</v>
      </c>
      <c r="AB446" s="5" t="str">
        <f>HYPERLINK("https://propertylookup.dupagecounty.gov/Datalets/Datalet.aspx?UseSearch=no&amp;mode=sales&amp;pin=0215402015","sales record")</f>
        <v>sales record</v>
      </c>
      <c r="AC446" t="s">
        <v>27873</v>
      </c>
      <c r="AD446">
        <v>41.953259</v>
      </c>
      <c r="AE446">
        <v>-88.078048</v>
      </c>
      <c r="AF446" s="5" t="str">
        <f>HYPERLINK("https://www.google.com/maps/search/?api=1&amp;query=41.953259,-88.078048","map")</f>
        <v>map</v>
      </c>
    </row>
    <row r="447" spans="1:32">
      <c r="A447" t="s">
        <v>497</v>
      </c>
      <c r="B447" t="s">
        <v>8077</v>
      </c>
      <c r="C447" t="s">
        <v>15118</v>
      </c>
      <c r="D447" t="s">
        <v>16196</v>
      </c>
      <c r="E447" t="s">
        <v>16218</v>
      </c>
      <c r="F447" t="s">
        <v>16221</v>
      </c>
      <c r="G447" t="s">
        <v>16235</v>
      </c>
      <c r="H447" t="s">
        <v>16241</v>
      </c>
      <c r="I447" t="s">
        <v>16313</v>
      </c>
      <c r="J447" t="s">
        <v>16385</v>
      </c>
      <c r="K447">
        <v>0.161</v>
      </c>
      <c r="L447">
        <v>7034</v>
      </c>
      <c r="M447">
        <v>2112</v>
      </c>
      <c r="N447" t="s">
        <v>16393</v>
      </c>
      <c r="O447" s="4">
        <v>40342</v>
      </c>
      <c r="P447" s="4">
        <v>111498</v>
      </c>
      <c r="Q447" s="4">
        <v>151840</v>
      </c>
      <c r="R447" s="4">
        <v>455520</v>
      </c>
      <c r="S447" t="s">
        <v>16828</v>
      </c>
      <c r="T447" s="6">
        <v>36312</v>
      </c>
      <c r="U447" s="4">
        <v>215000</v>
      </c>
      <c r="X447" t="s">
        <v>3</v>
      </c>
      <c r="AA447" s="5" t="str">
        <f>HYPERLINK("https://www.zillow.com/homes/146-CAMBRIDGE-LN-BLOOMINGDALE-IL-60108_rb/","check listing")</f>
        <v>check listing</v>
      </c>
      <c r="AB447" s="5" t="str">
        <f>HYPERLINK("https://propertylookup.dupagecounty.gov/Datalets/Datalet.aspx?UseSearch=no&amp;mode=sales&amp;pin=0215402014","sales record")</f>
        <v>sales record</v>
      </c>
      <c r="AC447" t="s">
        <v>27873</v>
      </c>
      <c r="AD447">
        <v>41.953424</v>
      </c>
      <c r="AE447">
        <v>-88.07805500000001</v>
      </c>
      <c r="AF447" s="5" t="str">
        <f>HYPERLINK("https://www.google.com/maps/search/?api=1&amp;query=41.953424,-88.078055","map")</f>
        <v>map</v>
      </c>
    </row>
    <row r="448" spans="1:32">
      <c r="A448" t="s">
        <v>498</v>
      </c>
      <c r="B448" t="s">
        <v>8078</v>
      </c>
      <c r="C448" t="s">
        <v>15140</v>
      </c>
      <c r="D448" t="s">
        <v>16196</v>
      </c>
      <c r="E448" t="s">
        <v>16218</v>
      </c>
      <c r="F448" t="s">
        <v>16221</v>
      </c>
      <c r="G448" t="s">
        <v>16235</v>
      </c>
      <c r="H448" t="s">
        <v>16241</v>
      </c>
      <c r="I448" t="s">
        <v>16313</v>
      </c>
      <c r="J448" t="s">
        <v>16385</v>
      </c>
      <c r="K448">
        <v>0.161</v>
      </c>
      <c r="L448">
        <v>7033</v>
      </c>
      <c r="M448">
        <v>2001</v>
      </c>
      <c r="N448" t="s">
        <v>16393</v>
      </c>
      <c r="O448" s="4">
        <v>40342</v>
      </c>
      <c r="P448" s="4">
        <v>91691</v>
      </c>
      <c r="Q448" s="4">
        <v>132033</v>
      </c>
      <c r="R448" s="4">
        <v>396099</v>
      </c>
      <c r="S448" t="s">
        <v>16829</v>
      </c>
      <c r="T448" s="6">
        <v>43191</v>
      </c>
      <c r="U448" s="4">
        <v>303000</v>
      </c>
      <c r="V448" t="s">
        <v>23739</v>
      </c>
      <c r="W448" t="s">
        <v>16829</v>
      </c>
      <c r="X448" t="s">
        <v>3</v>
      </c>
      <c r="AA448" s="5" t="str">
        <f>HYPERLINK("https://www.zillow.com/homes/144-CAMBRIDGE-LN-BLOOMINGDALE-IL-601081504_rb/","check listing")</f>
        <v>check listing</v>
      </c>
      <c r="AB448" s="5" t="str">
        <f>HYPERLINK("https://propertylookup.dupagecounty.gov/Datalets/Datalet.aspx?UseSearch=no&amp;mode=sales&amp;pin=0215402013","sales record")</f>
        <v>sales record</v>
      </c>
      <c r="AC448" t="s">
        <v>27873</v>
      </c>
      <c r="AD448">
        <v>41.953588</v>
      </c>
      <c r="AE448">
        <v>-88.078062</v>
      </c>
      <c r="AF448" s="5" t="str">
        <f>HYPERLINK("https://www.google.com/maps/search/?api=1&amp;query=41.953588,-88.078062","map")</f>
        <v>map</v>
      </c>
    </row>
    <row r="449" spans="1:32">
      <c r="A449" t="s">
        <v>499</v>
      </c>
      <c r="B449" t="s">
        <v>8079</v>
      </c>
      <c r="C449" t="s">
        <v>15118</v>
      </c>
      <c r="D449" t="s">
        <v>16196</v>
      </c>
      <c r="E449" t="s">
        <v>16218</v>
      </c>
      <c r="F449" t="s">
        <v>16221</v>
      </c>
      <c r="G449" t="s">
        <v>16235</v>
      </c>
      <c r="H449" t="s">
        <v>16241</v>
      </c>
      <c r="I449" t="s">
        <v>16313</v>
      </c>
      <c r="J449" t="s">
        <v>16385</v>
      </c>
      <c r="K449">
        <v>0.161</v>
      </c>
      <c r="L449">
        <v>7032</v>
      </c>
      <c r="M449">
        <v>2169</v>
      </c>
      <c r="N449" t="s">
        <v>16393</v>
      </c>
      <c r="O449" s="4">
        <v>40342</v>
      </c>
      <c r="P449" s="4">
        <v>111498</v>
      </c>
      <c r="Q449" s="4">
        <v>151840</v>
      </c>
      <c r="R449" s="4">
        <v>455520</v>
      </c>
      <c r="S449" t="s">
        <v>16830</v>
      </c>
      <c r="X449" t="s">
        <v>3</v>
      </c>
      <c r="AA449" s="5" t="str">
        <f>HYPERLINK("https://www.zillow.com/homes/142-CAMBRIDGE-LN-BLOOMINGDALE-IL-60108_rb/","check listing")</f>
        <v>check listing</v>
      </c>
      <c r="AB449" s="5" t="str">
        <f>HYPERLINK("https://propertylookup.dupagecounty.gov/Datalets/Datalet.aspx?UseSearch=no&amp;mode=sales&amp;pin=0215402012","sales record")</f>
        <v>sales record</v>
      </c>
      <c r="AC449" t="s">
        <v>3</v>
      </c>
      <c r="AD449">
        <v>41.953752</v>
      </c>
      <c r="AE449">
        <v>-88.078069</v>
      </c>
      <c r="AF449" s="5" t="str">
        <f>HYPERLINK("https://www.google.com/maps/search/?api=1&amp;query=41.953752,-88.078069","map")</f>
        <v>map</v>
      </c>
    </row>
    <row r="450" spans="1:32">
      <c r="A450" t="s">
        <v>500</v>
      </c>
      <c r="B450" t="s">
        <v>8080</v>
      </c>
      <c r="C450" t="s">
        <v>15118</v>
      </c>
      <c r="D450" t="s">
        <v>16196</v>
      </c>
      <c r="E450" t="s">
        <v>16218</v>
      </c>
      <c r="F450" t="s">
        <v>16221</v>
      </c>
      <c r="G450" t="s">
        <v>16235</v>
      </c>
      <c r="H450" t="s">
        <v>16241</v>
      </c>
      <c r="I450" t="s">
        <v>16313</v>
      </c>
      <c r="J450" t="s">
        <v>16385</v>
      </c>
      <c r="K450">
        <v>0.161</v>
      </c>
      <c r="L450">
        <v>7030</v>
      </c>
      <c r="M450">
        <v>2719</v>
      </c>
      <c r="N450" t="s">
        <v>16393</v>
      </c>
      <c r="O450" s="4">
        <v>40342</v>
      </c>
      <c r="P450" s="4">
        <v>114139</v>
      </c>
      <c r="Q450" s="4">
        <v>154481</v>
      </c>
      <c r="R450" s="4">
        <v>463443</v>
      </c>
      <c r="S450" t="s">
        <v>16831</v>
      </c>
      <c r="T450" s="6">
        <v>35125</v>
      </c>
      <c r="U450" s="4">
        <v>190000</v>
      </c>
      <c r="X450" t="s">
        <v>3</v>
      </c>
      <c r="AA450" s="5" t="str">
        <f>HYPERLINK("https://www.zillow.com/homes/138-E-SCHICK-RD-BLOOMINGDALE-IL-60108_rb/","check listing")</f>
        <v>check listing</v>
      </c>
      <c r="AB450" s="5" t="str">
        <f>HYPERLINK("https://propertylookup.dupagecounty.gov/Datalets/Datalet.aspx?UseSearch=no&amp;mode=sales&amp;pin=0215408002","sales record")</f>
        <v>sales record</v>
      </c>
      <c r="AC450" t="s">
        <v>3</v>
      </c>
      <c r="AD450">
        <v>41.953933</v>
      </c>
      <c r="AE450">
        <v>-88.07719899999999</v>
      </c>
      <c r="AF450" s="5" t="str">
        <f>HYPERLINK("https://www.google.com/maps/search/?api=1&amp;query=41.953933,-88.077199","map")</f>
        <v>map</v>
      </c>
    </row>
    <row r="451" spans="1:32">
      <c r="A451" t="s">
        <v>501</v>
      </c>
      <c r="B451" t="s">
        <v>8081</v>
      </c>
      <c r="C451" t="s">
        <v>15118</v>
      </c>
      <c r="D451" t="s">
        <v>16196</v>
      </c>
      <c r="E451" t="s">
        <v>16218</v>
      </c>
      <c r="F451" t="s">
        <v>16221</v>
      </c>
      <c r="G451" t="s">
        <v>16236</v>
      </c>
      <c r="H451" t="s">
        <v>16241</v>
      </c>
      <c r="I451" t="s">
        <v>16313</v>
      </c>
      <c r="J451" t="s">
        <v>16385</v>
      </c>
      <c r="K451">
        <v>0.161</v>
      </c>
      <c r="L451">
        <v>7013</v>
      </c>
      <c r="M451">
        <v>2440</v>
      </c>
      <c r="N451" t="s">
        <v>16393</v>
      </c>
      <c r="O451" s="4">
        <v>29656</v>
      </c>
      <c r="P451" s="4">
        <v>123786</v>
      </c>
      <c r="Q451" s="4">
        <v>153442</v>
      </c>
      <c r="R451" s="4">
        <v>460326</v>
      </c>
      <c r="S451" t="s">
        <v>16832</v>
      </c>
      <c r="T451" s="6">
        <v>35947</v>
      </c>
      <c r="U451" s="4">
        <v>233000</v>
      </c>
      <c r="X451" t="s">
        <v>3</v>
      </c>
      <c r="AA451" s="5" t="str">
        <f>HYPERLINK("https://www.zillow.com/homes/315-CHESAPEAKE-LN-BLOOMINGDALE-IL-60108_rb/","check listing")</f>
        <v>check listing</v>
      </c>
      <c r="AB451" s="5" t="str">
        <f>HYPERLINK("https://propertylookup.dupagecounty.gov/Datalets/Datalet.aspx?UseSearch=no&amp;mode=sales&amp;pin=0208303025","sales record")</f>
        <v>sales record</v>
      </c>
      <c r="AC451" t="s">
        <v>3</v>
      </c>
      <c r="AD451">
        <v>41.961935</v>
      </c>
      <c r="AE451">
        <v>-88.122522</v>
      </c>
      <c r="AF451" s="5" t="str">
        <f>HYPERLINK("https://www.google.com/maps/search/?api=1&amp;query=41.961935,-88.122522","map")</f>
        <v>map</v>
      </c>
    </row>
    <row r="452" spans="1:32">
      <c r="A452" t="s">
        <v>502</v>
      </c>
      <c r="B452" t="s">
        <v>8082</v>
      </c>
      <c r="C452" t="s">
        <v>15118</v>
      </c>
      <c r="D452" t="s">
        <v>16196</v>
      </c>
      <c r="E452" t="s">
        <v>16218</v>
      </c>
      <c r="F452" t="s">
        <v>16221</v>
      </c>
      <c r="G452" t="s">
        <v>16236</v>
      </c>
      <c r="H452" t="s">
        <v>16241</v>
      </c>
      <c r="I452" t="s">
        <v>16313</v>
      </c>
      <c r="J452" t="s">
        <v>16385</v>
      </c>
      <c r="K452">
        <v>0.16</v>
      </c>
      <c r="L452">
        <v>6983</v>
      </c>
      <c r="M452">
        <v>2136</v>
      </c>
      <c r="N452" t="s">
        <v>16393</v>
      </c>
      <c r="O452" s="4">
        <v>29656</v>
      </c>
      <c r="P452" s="4">
        <v>120284</v>
      </c>
      <c r="Q452" s="4">
        <v>149940</v>
      </c>
      <c r="R452" s="4">
        <v>449820</v>
      </c>
      <c r="S452" t="s">
        <v>16833</v>
      </c>
      <c r="X452" t="s">
        <v>3</v>
      </c>
      <c r="AA452" s="5" t="str">
        <f>HYPERLINK("https://www.zillow.com/homes/239-BISCAYNE-ST-BLOOMINGDALE-IL-60108_rb/","check listing")</f>
        <v>check listing</v>
      </c>
      <c r="AB452" s="5" t="str">
        <f>HYPERLINK("https://propertylookup.dupagecounty.gov/Datalets/Datalet.aspx?UseSearch=no&amp;mode=sales&amp;pin=0208305007","sales record")</f>
        <v>sales record</v>
      </c>
      <c r="AC452" t="s">
        <v>3</v>
      </c>
      <c r="AD452">
        <v>41.964682</v>
      </c>
      <c r="AE452">
        <v>-88.121966</v>
      </c>
      <c r="AF452" s="5" t="str">
        <f>HYPERLINK("https://www.google.com/maps/search/?api=1&amp;query=41.964682,-88.121966","map")</f>
        <v>map</v>
      </c>
    </row>
    <row r="453" spans="1:32">
      <c r="A453" t="s">
        <v>503</v>
      </c>
      <c r="B453" t="s">
        <v>8083</v>
      </c>
      <c r="C453" t="s">
        <v>15118</v>
      </c>
      <c r="D453" t="s">
        <v>16196</v>
      </c>
      <c r="E453" t="s">
        <v>16218</v>
      </c>
      <c r="F453" t="s">
        <v>16221</v>
      </c>
      <c r="G453" t="s">
        <v>16236</v>
      </c>
      <c r="H453" t="s">
        <v>16241</v>
      </c>
      <c r="I453" t="s">
        <v>16313</v>
      </c>
      <c r="J453" t="s">
        <v>16385</v>
      </c>
      <c r="K453">
        <v>0.16</v>
      </c>
      <c r="L453">
        <v>6968</v>
      </c>
      <c r="M453">
        <v>1979</v>
      </c>
      <c r="N453" t="s">
        <v>16393</v>
      </c>
      <c r="O453" s="4">
        <v>29656</v>
      </c>
      <c r="P453" s="4">
        <v>108737</v>
      </c>
      <c r="Q453" s="4">
        <v>138393</v>
      </c>
      <c r="R453" s="4">
        <v>415179</v>
      </c>
      <c r="S453" t="s">
        <v>16834</v>
      </c>
      <c r="T453" s="6">
        <v>36647</v>
      </c>
      <c r="U453" s="4">
        <v>251000</v>
      </c>
      <c r="V453" t="s">
        <v>23739</v>
      </c>
      <c r="W453" t="s">
        <v>23943</v>
      </c>
      <c r="X453" t="s">
        <v>3</v>
      </c>
      <c r="AA453" s="5" t="str">
        <f>HYPERLINK("https://www.zillow.com/homes/321-CHESAPEAKE-LN-BLOOMINGDALE-IL-60108_rb/","check listing")</f>
        <v>check listing</v>
      </c>
      <c r="AB453" s="5" t="str">
        <f>HYPERLINK("https://propertylookup.dupagecounty.gov/Datalets/Datalet.aspx?UseSearch=no&amp;mode=sales&amp;pin=0208303022","sales record")</f>
        <v>sales record</v>
      </c>
      <c r="AC453" t="s">
        <v>3</v>
      </c>
      <c r="AD453">
        <v>41.961873</v>
      </c>
      <c r="AE453">
        <v>-88.123214</v>
      </c>
      <c r="AF453" s="5" t="str">
        <f>HYPERLINK("https://www.google.com/maps/search/?api=1&amp;query=41.961873,-88.123214","map")</f>
        <v>map</v>
      </c>
    </row>
    <row r="454" spans="1:32">
      <c r="A454" t="s">
        <v>504</v>
      </c>
      <c r="B454" t="s">
        <v>8084</v>
      </c>
      <c r="C454" t="s">
        <v>15157</v>
      </c>
      <c r="D454" t="s">
        <v>16196</v>
      </c>
      <c r="E454" t="s">
        <v>16218</v>
      </c>
      <c r="F454" t="s">
        <v>16221</v>
      </c>
      <c r="G454" t="s">
        <v>16236</v>
      </c>
      <c r="H454" t="s">
        <v>16241</v>
      </c>
      <c r="I454" t="s">
        <v>16313</v>
      </c>
      <c r="J454" t="s">
        <v>16385</v>
      </c>
      <c r="K454">
        <v>0.16</v>
      </c>
      <c r="L454">
        <v>6957</v>
      </c>
      <c r="M454">
        <v>2257</v>
      </c>
      <c r="N454" t="s">
        <v>16393</v>
      </c>
      <c r="O454" s="4">
        <v>29656</v>
      </c>
      <c r="P454" s="4">
        <v>122447</v>
      </c>
      <c r="Q454" s="4">
        <v>152103</v>
      </c>
      <c r="R454" s="4">
        <v>456309</v>
      </c>
      <c r="S454" t="s">
        <v>16835</v>
      </c>
      <c r="T454" s="6">
        <v>39753</v>
      </c>
      <c r="U454" s="4">
        <v>373500</v>
      </c>
      <c r="V454" t="s">
        <v>23739</v>
      </c>
      <c r="W454" t="s">
        <v>23944</v>
      </c>
      <c r="X454" t="s">
        <v>3</v>
      </c>
      <c r="AA454" s="5" t="str">
        <f>HYPERLINK("https://www.zillow.com/homes/215-FRISCO-ST-BLOOMINGDALE-IL-601083298_rb/","check listing")</f>
        <v>check listing</v>
      </c>
      <c r="AB454" s="5" t="str">
        <f>HYPERLINK("https://propertylookup.dupagecounty.gov/Datalets/Datalet.aspx?UseSearch=no&amp;mode=sales&amp;pin=0208303004","sales record")</f>
        <v>sales record</v>
      </c>
      <c r="AC454" t="s">
        <v>3</v>
      </c>
      <c r="AD454">
        <v>41.962864</v>
      </c>
      <c r="AE454">
        <v>-88.12435600000001</v>
      </c>
      <c r="AF454" s="5" t="str">
        <f>HYPERLINK("https://www.google.com/maps/search/?api=1&amp;query=41.962864,-88.124356","map")</f>
        <v>map</v>
      </c>
    </row>
    <row r="455" spans="1:32">
      <c r="A455" t="s">
        <v>505</v>
      </c>
      <c r="B455" t="s">
        <v>8085</v>
      </c>
      <c r="C455" t="s">
        <v>15118</v>
      </c>
      <c r="D455" t="s">
        <v>16196</v>
      </c>
      <c r="E455" t="s">
        <v>16218</v>
      </c>
      <c r="F455" t="s">
        <v>16221</v>
      </c>
      <c r="G455" t="s">
        <v>16236</v>
      </c>
      <c r="H455" t="s">
        <v>16241</v>
      </c>
      <c r="I455" t="s">
        <v>16313</v>
      </c>
      <c r="J455" t="s">
        <v>16385</v>
      </c>
      <c r="K455">
        <v>0.16</v>
      </c>
      <c r="L455">
        <v>6957</v>
      </c>
      <c r="M455">
        <v>2285</v>
      </c>
      <c r="N455" t="s">
        <v>16393</v>
      </c>
      <c r="O455" s="4">
        <v>29656</v>
      </c>
      <c r="P455" s="4">
        <v>117534</v>
      </c>
      <c r="Q455" s="4">
        <v>147190</v>
      </c>
      <c r="R455" s="4">
        <v>441570</v>
      </c>
      <c r="S455" t="s">
        <v>16836</v>
      </c>
      <c r="T455" s="6">
        <v>38504</v>
      </c>
      <c r="U455" s="4">
        <v>385000</v>
      </c>
      <c r="V455" t="s">
        <v>23739</v>
      </c>
      <c r="W455" t="s">
        <v>23945</v>
      </c>
      <c r="X455" t="s">
        <v>3</v>
      </c>
      <c r="AA455" s="5" t="str">
        <f>HYPERLINK("https://www.zillow.com/homes/219-FRISCO-ST-BLOOMINGDALE-IL-60108_rb/","check listing")</f>
        <v>check listing</v>
      </c>
      <c r="AB455" s="5" t="str">
        <f>HYPERLINK("https://propertylookup.dupagecounty.gov/Datalets/Datalet.aspx?UseSearch=no&amp;mode=sales&amp;pin=0208303002","sales record")</f>
        <v>sales record</v>
      </c>
      <c r="AC455" t="s">
        <v>3</v>
      </c>
      <c r="AD455">
        <v>41.962851</v>
      </c>
      <c r="AE455">
        <v>-88.124797</v>
      </c>
      <c r="AF455" s="5" t="str">
        <f>HYPERLINK("https://www.google.com/maps/search/?api=1&amp;query=41.962851,-88.124797","map")</f>
        <v>map</v>
      </c>
    </row>
    <row r="456" spans="1:32">
      <c r="A456" t="s">
        <v>506</v>
      </c>
      <c r="B456" t="s">
        <v>8086</v>
      </c>
      <c r="C456" t="s">
        <v>15157</v>
      </c>
      <c r="D456" t="s">
        <v>16196</v>
      </c>
      <c r="E456" t="s">
        <v>16218</v>
      </c>
      <c r="F456" t="s">
        <v>16221</v>
      </c>
      <c r="G456" t="s">
        <v>16236</v>
      </c>
      <c r="H456" t="s">
        <v>16241</v>
      </c>
      <c r="I456" t="s">
        <v>16313</v>
      </c>
      <c r="J456" t="s">
        <v>16385</v>
      </c>
      <c r="K456">
        <v>0.16</v>
      </c>
      <c r="L456">
        <v>6956</v>
      </c>
      <c r="M456">
        <v>2783</v>
      </c>
      <c r="N456" t="s">
        <v>16393</v>
      </c>
      <c r="O456" s="4">
        <v>29656</v>
      </c>
      <c r="P456" s="4">
        <v>119005</v>
      </c>
      <c r="Q456" s="4">
        <v>148661</v>
      </c>
      <c r="R456" s="4">
        <v>445983</v>
      </c>
      <c r="S456" t="s">
        <v>16837</v>
      </c>
      <c r="T456" s="6">
        <v>43405</v>
      </c>
      <c r="U456" s="4">
        <v>342500</v>
      </c>
      <c r="V456" t="s">
        <v>23739</v>
      </c>
      <c r="W456" t="s">
        <v>23946</v>
      </c>
      <c r="X456" t="s">
        <v>3</v>
      </c>
      <c r="AA456" s="5" t="str">
        <f>HYPERLINK("https://www.zillow.com/homes/209-FRISCO-ST-BLOOMINGDALE-IL-601083298_rb/","check listing")</f>
        <v>check listing</v>
      </c>
      <c r="AB456" s="5" t="str">
        <f>HYPERLINK("https://propertylookup.dupagecounty.gov/Datalets/Datalet.aspx?UseSearch=no&amp;mode=sales&amp;pin=0208303007","sales record")</f>
        <v>sales record</v>
      </c>
      <c r="AC456" t="s">
        <v>3</v>
      </c>
      <c r="AD456">
        <v>41.962883</v>
      </c>
      <c r="AE456">
        <v>-88.123695</v>
      </c>
      <c r="AF456" s="5" t="str">
        <f>HYPERLINK("https://www.google.com/maps/search/?api=1&amp;query=41.962883,-88.123695","map")</f>
        <v>map</v>
      </c>
    </row>
    <row r="457" spans="1:32">
      <c r="A457" t="s">
        <v>507</v>
      </c>
      <c r="B457" t="s">
        <v>8087</v>
      </c>
      <c r="C457" t="s">
        <v>15118</v>
      </c>
      <c r="D457" t="s">
        <v>16196</v>
      </c>
      <c r="E457" t="s">
        <v>16218</v>
      </c>
      <c r="F457" t="s">
        <v>16221</v>
      </c>
      <c r="G457" t="s">
        <v>16236</v>
      </c>
      <c r="H457" t="s">
        <v>16241</v>
      </c>
      <c r="I457" t="s">
        <v>16313</v>
      </c>
      <c r="J457" t="s">
        <v>16385</v>
      </c>
      <c r="K457">
        <v>0.16</v>
      </c>
      <c r="L457">
        <v>6956</v>
      </c>
      <c r="M457">
        <v>2547</v>
      </c>
      <c r="N457" t="s">
        <v>16393</v>
      </c>
      <c r="O457" s="4">
        <v>29656</v>
      </c>
      <c r="P457" s="4">
        <v>115658</v>
      </c>
      <c r="Q457" s="4">
        <v>145314</v>
      </c>
      <c r="R457" s="4">
        <v>435942</v>
      </c>
      <c r="S457" t="s">
        <v>16838</v>
      </c>
      <c r="T457" s="6">
        <v>43132</v>
      </c>
      <c r="U457" s="4">
        <v>285000</v>
      </c>
      <c r="V457" t="s">
        <v>23739</v>
      </c>
      <c r="W457" t="s">
        <v>23947</v>
      </c>
      <c r="X457" t="s">
        <v>3</v>
      </c>
      <c r="AA457" s="5" t="str">
        <f>HYPERLINK("https://www.zillow.com/homes/213-FRISCO-ST-BLOOMINGDALE-IL-60108_rb/","check listing")</f>
        <v>check listing</v>
      </c>
      <c r="AB457" s="5" t="str">
        <f>HYPERLINK("https://propertylookup.dupagecounty.gov/Datalets/Datalet.aspx?UseSearch=no&amp;mode=sales&amp;pin=0208303005","sales record")</f>
        <v>sales record</v>
      </c>
      <c r="AC457" t="s">
        <v>3</v>
      </c>
      <c r="AD457">
        <v>41.96287</v>
      </c>
      <c r="AE457">
        <v>-88.12413599999999</v>
      </c>
      <c r="AF457" s="5" t="str">
        <f>HYPERLINK("https://www.google.com/maps/search/?api=1&amp;query=41.96287,-88.124136","map")</f>
        <v>map</v>
      </c>
    </row>
    <row r="458" spans="1:32">
      <c r="A458" t="s">
        <v>508</v>
      </c>
      <c r="B458" t="s">
        <v>8088</v>
      </c>
      <c r="C458" t="s">
        <v>15118</v>
      </c>
      <c r="D458" t="s">
        <v>16196</v>
      </c>
      <c r="E458" t="s">
        <v>16218</v>
      </c>
      <c r="F458" t="s">
        <v>16221</v>
      </c>
      <c r="G458" t="s">
        <v>16236</v>
      </c>
      <c r="H458" t="s">
        <v>16241</v>
      </c>
      <c r="I458" t="s">
        <v>16313</v>
      </c>
      <c r="J458" t="s">
        <v>16385</v>
      </c>
      <c r="K458">
        <v>0.16</v>
      </c>
      <c r="L458">
        <v>6955</v>
      </c>
      <c r="M458">
        <v>2310</v>
      </c>
      <c r="N458" t="s">
        <v>16393</v>
      </c>
      <c r="O458" s="4">
        <v>29656</v>
      </c>
      <c r="P458" s="4">
        <v>121849</v>
      </c>
      <c r="Q458" s="4">
        <v>151505</v>
      </c>
      <c r="R458" s="4">
        <v>454515</v>
      </c>
      <c r="S458" t="s">
        <v>16839</v>
      </c>
      <c r="T458" s="6">
        <v>34912</v>
      </c>
      <c r="U458" s="4">
        <v>224610</v>
      </c>
      <c r="X458" t="s">
        <v>3</v>
      </c>
      <c r="AA458" s="5" t="str">
        <f>HYPERLINK("https://www.zillow.com/homes/211-FRISCO-ST-BLOOMINGDALE-IL-60108_rb/","check listing")</f>
        <v>check listing</v>
      </c>
      <c r="AB458" s="5" t="str">
        <f>HYPERLINK("https://propertylookup.dupagecounty.gov/Datalets/Datalet.aspx?UseSearch=no&amp;mode=sales&amp;pin=0208303006","sales record")</f>
        <v>sales record</v>
      </c>
      <c r="AC458" t="s">
        <v>3</v>
      </c>
      <c r="AD458">
        <v>41.962876</v>
      </c>
      <c r="AE458">
        <v>-88.12391599999999</v>
      </c>
      <c r="AF458" s="5" t="str">
        <f>HYPERLINK("https://www.google.com/maps/search/?api=1&amp;query=41.962876,-88.123916","map")</f>
        <v>map</v>
      </c>
    </row>
    <row r="459" spans="1:32">
      <c r="A459" t="s">
        <v>509</v>
      </c>
      <c r="B459" t="s">
        <v>8089</v>
      </c>
      <c r="C459" t="s">
        <v>15157</v>
      </c>
      <c r="D459" t="s">
        <v>16196</v>
      </c>
      <c r="E459" t="s">
        <v>16218</v>
      </c>
      <c r="F459" t="s">
        <v>16221</v>
      </c>
      <c r="G459" t="s">
        <v>16236</v>
      </c>
      <c r="H459" t="s">
        <v>16241</v>
      </c>
      <c r="I459" t="s">
        <v>16313</v>
      </c>
      <c r="J459" t="s">
        <v>16385</v>
      </c>
      <c r="K459">
        <v>0.16</v>
      </c>
      <c r="L459">
        <v>6955</v>
      </c>
      <c r="M459">
        <v>2562</v>
      </c>
      <c r="N459" t="s">
        <v>16393</v>
      </c>
      <c r="O459" s="4">
        <v>29656</v>
      </c>
      <c r="P459" s="4">
        <v>117606</v>
      </c>
      <c r="Q459" s="4">
        <v>147262</v>
      </c>
      <c r="R459" s="4">
        <v>441786</v>
      </c>
      <c r="S459" t="s">
        <v>16840</v>
      </c>
      <c r="T459" s="6">
        <v>34943</v>
      </c>
      <c r="U459" s="4">
        <v>189090</v>
      </c>
      <c r="X459" t="s">
        <v>3</v>
      </c>
      <c r="AA459" s="5" t="str">
        <f>HYPERLINK("https://www.zillow.com/homes/217-FRISCO-ST-BLOOMINGDALE-IL-601083298_rb/","check listing")</f>
        <v>check listing</v>
      </c>
      <c r="AB459" s="5" t="str">
        <f>HYPERLINK("https://propertylookup.dupagecounty.gov/Datalets/Datalet.aspx?UseSearch=no&amp;mode=sales&amp;pin=0208303003","sales record")</f>
        <v>sales record</v>
      </c>
      <c r="AC459" t="s">
        <v>3</v>
      </c>
      <c r="AD459">
        <v>41.962857</v>
      </c>
      <c r="AE459">
        <v>-88.124577</v>
      </c>
      <c r="AF459" s="5" t="str">
        <f>HYPERLINK("https://www.google.com/maps/search/?api=1&amp;query=41.962857,-88.124577","map")</f>
        <v>map</v>
      </c>
    </row>
    <row r="460" spans="1:32">
      <c r="A460" t="s">
        <v>510</v>
      </c>
      <c r="B460" t="s">
        <v>8090</v>
      </c>
      <c r="C460" t="s">
        <v>15143</v>
      </c>
      <c r="D460" t="s">
        <v>16196</v>
      </c>
      <c r="E460" t="s">
        <v>16218</v>
      </c>
      <c r="F460" t="s">
        <v>16221</v>
      </c>
      <c r="G460" t="s">
        <v>16236</v>
      </c>
      <c r="H460" t="s">
        <v>16241</v>
      </c>
      <c r="I460" t="s">
        <v>16313</v>
      </c>
      <c r="J460" t="s">
        <v>16385</v>
      </c>
      <c r="K460">
        <v>0.16</v>
      </c>
      <c r="L460">
        <v>6951</v>
      </c>
      <c r="M460">
        <v>2136</v>
      </c>
      <c r="N460" t="s">
        <v>16393</v>
      </c>
      <c r="O460" s="4">
        <v>29656</v>
      </c>
      <c r="P460" s="4">
        <v>121025</v>
      </c>
      <c r="Q460" s="4">
        <v>150681</v>
      </c>
      <c r="R460" s="4">
        <v>452043</v>
      </c>
      <c r="S460" t="s">
        <v>16841</v>
      </c>
      <c r="T460" s="6">
        <v>44317</v>
      </c>
      <c r="U460" s="4">
        <v>370500</v>
      </c>
      <c r="V460" t="s">
        <v>23739</v>
      </c>
      <c r="W460" t="s">
        <v>23948</v>
      </c>
      <c r="X460" t="s">
        <v>3</v>
      </c>
      <c r="AA460" s="5" t="str">
        <f>HYPERLINK("https://www.zillow.com/homes/209-BISCAYNE-ST-BLOOMINGDALE-IL-601083300_rb/","check listing")</f>
        <v>check listing</v>
      </c>
      <c r="AB460" s="5" t="str">
        <f>HYPERLINK("https://propertylookup.dupagecounty.gov/Datalets/Datalet.aspx?UseSearch=no&amp;mode=sales&amp;pin=0208302003","sales record")</f>
        <v>sales record</v>
      </c>
      <c r="AC460" t="s">
        <v>3</v>
      </c>
      <c r="AD460">
        <v>41.96294</v>
      </c>
      <c r="AE460">
        <v>-88.121689</v>
      </c>
      <c r="AF460" s="5" t="str">
        <f>HYPERLINK("https://www.google.com/maps/search/?api=1&amp;query=41.96294,-88.121689","map")</f>
        <v>map</v>
      </c>
    </row>
    <row r="461" spans="1:32">
      <c r="A461" t="s">
        <v>511</v>
      </c>
      <c r="B461" t="s">
        <v>8091</v>
      </c>
      <c r="C461" t="s">
        <v>15118</v>
      </c>
      <c r="D461" t="s">
        <v>16196</v>
      </c>
      <c r="E461" t="s">
        <v>16218</v>
      </c>
      <c r="F461" t="s">
        <v>16221</v>
      </c>
      <c r="G461" t="s">
        <v>16236</v>
      </c>
      <c r="H461" t="s">
        <v>16241</v>
      </c>
      <c r="I461" t="s">
        <v>16313</v>
      </c>
      <c r="J461" t="s">
        <v>16385</v>
      </c>
      <c r="K461">
        <v>0.16</v>
      </c>
      <c r="L461">
        <v>6950</v>
      </c>
      <c r="M461">
        <v>2330</v>
      </c>
      <c r="N461" t="s">
        <v>16393</v>
      </c>
      <c r="O461" s="4">
        <v>29656</v>
      </c>
      <c r="P461" s="4">
        <v>129284</v>
      </c>
      <c r="Q461" s="4">
        <v>158940</v>
      </c>
      <c r="R461" s="4">
        <v>476820</v>
      </c>
      <c r="S461" t="s">
        <v>16842</v>
      </c>
      <c r="T461" s="6">
        <v>41548</v>
      </c>
      <c r="U461" s="4">
        <v>250000</v>
      </c>
      <c r="V461" t="s">
        <v>23739</v>
      </c>
      <c r="W461" t="s">
        <v>16842</v>
      </c>
      <c r="X461" t="s">
        <v>3</v>
      </c>
      <c r="AA461" s="5" t="str">
        <f>HYPERLINK("https://www.zillow.com/homes/211-BISCAYNE-ST-BLOOMINGDALE-IL-60108_rb/","check listing")</f>
        <v>check listing</v>
      </c>
      <c r="AB461" s="5" t="str">
        <f>HYPERLINK("https://propertylookup.dupagecounty.gov/Datalets/Datalet.aspx?UseSearch=no&amp;mode=sales&amp;pin=0208302002","sales record")</f>
        <v>sales record</v>
      </c>
      <c r="AC461" t="s">
        <v>3</v>
      </c>
      <c r="AD461">
        <v>41.962934</v>
      </c>
      <c r="AE461">
        <v>-88.121909</v>
      </c>
      <c r="AF461" s="5" t="str">
        <f>HYPERLINK("https://www.google.com/maps/search/?api=1&amp;query=41.962934,-88.121909","map")</f>
        <v>map</v>
      </c>
    </row>
    <row r="462" spans="1:32">
      <c r="A462" t="s">
        <v>512</v>
      </c>
      <c r="B462" t="s">
        <v>8092</v>
      </c>
      <c r="C462" t="s">
        <v>15137</v>
      </c>
      <c r="D462" t="s">
        <v>16196</v>
      </c>
      <c r="E462" t="s">
        <v>16218</v>
      </c>
      <c r="F462" t="s">
        <v>16221</v>
      </c>
      <c r="G462" t="s">
        <v>16236</v>
      </c>
      <c r="H462" t="s">
        <v>16241</v>
      </c>
      <c r="I462" t="s">
        <v>16313</v>
      </c>
      <c r="J462" t="s">
        <v>16385</v>
      </c>
      <c r="K462">
        <v>0.159</v>
      </c>
      <c r="L462">
        <v>6924</v>
      </c>
      <c r="M462">
        <v>2044</v>
      </c>
      <c r="N462" t="s">
        <v>16393</v>
      </c>
      <c r="O462" s="4">
        <v>29656</v>
      </c>
      <c r="P462" s="4">
        <v>120882</v>
      </c>
      <c r="Q462" s="4">
        <v>150538</v>
      </c>
      <c r="R462" s="4">
        <v>451614</v>
      </c>
      <c r="S462" t="s">
        <v>16843</v>
      </c>
      <c r="T462" s="6">
        <v>42856</v>
      </c>
      <c r="U462" s="4">
        <v>347000</v>
      </c>
      <c r="V462" t="s">
        <v>23739</v>
      </c>
      <c r="W462" t="s">
        <v>23949</v>
      </c>
      <c r="X462" t="s">
        <v>3</v>
      </c>
      <c r="AA462" s="5" t="str">
        <f>HYPERLINK("https://www.zillow.com/homes/233-BISCAYNE-ST-BLOOMINGDALE-IL-601083309_rb/","check listing")</f>
        <v>check listing</v>
      </c>
      <c r="AB462" s="5" t="str">
        <f>HYPERLINK("https://propertylookup.dupagecounty.gov/Datalets/Datalet.aspx?UseSearch=no&amp;mode=sales&amp;pin=0208305004","sales record")</f>
        <v>sales record</v>
      </c>
      <c r="AC462" t="s">
        <v>3</v>
      </c>
      <c r="AD462">
        <v>41.964242</v>
      </c>
      <c r="AE462">
        <v>-88.121925</v>
      </c>
      <c r="AF462" s="5" t="str">
        <f>HYPERLINK("https://www.google.com/maps/search/?api=1&amp;query=41.964242,-88.121925","map")</f>
        <v>map</v>
      </c>
    </row>
    <row r="463" spans="1:32">
      <c r="A463" t="s">
        <v>513</v>
      </c>
      <c r="B463" t="s">
        <v>8093</v>
      </c>
      <c r="C463" t="s">
        <v>15130</v>
      </c>
      <c r="D463" t="s">
        <v>16196</v>
      </c>
      <c r="E463" t="s">
        <v>16218</v>
      </c>
      <c r="F463" t="s">
        <v>16221</v>
      </c>
      <c r="G463" t="s">
        <v>16236</v>
      </c>
      <c r="H463" t="s">
        <v>16241</v>
      </c>
      <c r="I463" t="s">
        <v>16313</v>
      </c>
      <c r="J463" t="s">
        <v>16385</v>
      </c>
      <c r="K463">
        <v>0.158</v>
      </c>
      <c r="L463">
        <v>6865</v>
      </c>
      <c r="M463">
        <v>2300</v>
      </c>
      <c r="N463" t="s">
        <v>16393</v>
      </c>
      <c r="O463" s="4">
        <v>29656</v>
      </c>
      <c r="P463" s="4">
        <v>136181</v>
      </c>
      <c r="Q463" s="4">
        <v>165837</v>
      </c>
      <c r="R463" s="4">
        <v>497511</v>
      </c>
      <c r="S463" t="s">
        <v>16844</v>
      </c>
      <c r="T463" s="6">
        <v>45112</v>
      </c>
      <c r="U463" s="4">
        <v>550000</v>
      </c>
      <c r="V463" t="s">
        <v>23739</v>
      </c>
      <c r="W463" t="s">
        <v>23950</v>
      </c>
      <c r="X463" t="s">
        <v>3</v>
      </c>
      <c r="AA463" s="5" t="str">
        <f>HYPERLINK("https://www.zillow.com/homes/336-CHESAPEAKE-LN-BLOOMINGDALE-IL-601083305_rb/","check listing")</f>
        <v>check listing</v>
      </c>
      <c r="AB463" s="5" t="str">
        <f>HYPERLINK("https://propertylookup.dupagecounty.gov/Datalets/Datalet.aspx?UseSearch=no&amp;mode=sales&amp;pin=0208304005","sales record")</f>
        <v>sales record</v>
      </c>
      <c r="AC463" t="s">
        <v>3</v>
      </c>
      <c r="AD463">
        <v>41.961394</v>
      </c>
      <c r="AE463">
        <v>-88.123525</v>
      </c>
      <c r="AF463" s="5" t="str">
        <f>HYPERLINK("https://www.google.com/maps/search/?api=1&amp;query=41.961394,-88.123525","map")</f>
        <v>map</v>
      </c>
    </row>
    <row r="464" spans="1:32">
      <c r="A464" t="s">
        <v>514</v>
      </c>
      <c r="B464" t="s">
        <v>8094</v>
      </c>
      <c r="C464" t="s">
        <v>15118</v>
      </c>
      <c r="D464" t="s">
        <v>16196</v>
      </c>
      <c r="E464" t="s">
        <v>16218</v>
      </c>
      <c r="F464" t="s">
        <v>16221</v>
      </c>
      <c r="G464" t="s">
        <v>16236</v>
      </c>
      <c r="H464" t="s">
        <v>16241</v>
      </c>
      <c r="I464" t="s">
        <v>16313</v>
      </c>
      <c r="J464" t="s">
        <v>16385</v>
      </c>
      <c r="K464">
        <v>0.158</v>
      </c>
      <c r="L464">
        <v>6865</v>
      </c>
      <c r="M464">
        <v>2179</v>
      </c>
      <c r="N464" t="s">
        <v>16393</v>
      </c>
      <c r="O464" s="4">
        <v>29656</v>
      </c>
      <c r="P464" s="4">
        <v>122650</v>
      </c>
      <c r="Q464" s="4">
        <v>152306</v>
      </c>
      <c r="R464" s="4">
        <v>456918</v>
      </c>
      <c r="S464" t="s">
        <v>16845</v>
      </c>
      <c r="T464" s="6">
        <v>38353</v>
      </c>
      <c r="U464" s="4">
        <v>390000</v>
      </c>
      <c r="V464" t="s">
        <v>23739</v>
      </c>
      <c r="W464" t="s">
        <v>16845</v>
      </c>
      <c r="X464" t="s">
        <v>3</v>
      </c>
      <c r="AA464" s="5" t="str">
        <f>HYPERLINK("https://www.zillow.com/homes/238-BISCAYNE-ST-BLOOMINGDALE-IL-60108_rb/","check listing")</f>
        <v>check listing</v>
      </c>
      <c r="AB464" s="5" t="str">
        <f>HYPERLINK("https://propertylookup.dupagecounty.gov/Datalets/Datalet.aspx?UseSearch=no&amp;mode=sales&amp;pin=0208302035","sales record")</f>
        <v>sales record</v>
      </c>
      <c r="AC464" t="s">
        <v>3</v>
      </c>
      <c r="AD464">
        <v>41.965037</v>
      </c>
      <c r="AE464">
        <v>-88.122625</v>
      </c>
      <c r="AF464" s="5" t="str">
        <f>HYPERLINK("https://www.google.com/maps/search/?api=1&amp;query=41.965037,-88.122625","map")</f>
        <v>map</v>
      </c>
    </row>
    <row r="465" spans="1:32">
      <c r="A465" t="s">
        <v>515</v>
      </c>
      <c r="B465" t="s">
        <v>8095</v>
      </c>
      <c r="C465" t="s">
        <v>15118</v>
      </c>
      <c r="D465" t="s">
        <v>16196</v>
      </c>
      <c r="E465" t="s">
        <v>16218</v>
      </c>
      <c r="F465" t="s">
        <v>16221</v>
      </c>
      <c r="G465" t="s">
        <v>16235</v>
      </c>
      <c r="H465" t="s">
        <v>16241</v>
      </c>
      <c r="I465" t="s">
        <v>16313</v>
      </c>
      <c r="J465" t="s">
        <v>16385</v>
      </c>
      <c r="K465">
        <v>0.157</v>
      </c>
      <c r="L465">
        <v>6820</v>
      </c>
      <c r="M465">
        <v>2370</v>
      </c>
      <c r="N465" t="s">
        <v>16393</v>
      </c>
      <c r="O465" s="4">
        <v>40342</v>
      </c>
      <c r="P465" s="4">
        <v>91691</v>
      </c>
      <c r="Q465" s="4">
        <v>132033</v>
      </c>
      <c r="R465" s="4">
        <v>396099</v>
      </c>
      <c r="S465" t="s">
        <v>16846</v>
      </c>
      <c r="T465" s="6">
        <v>36708</v>
      </c>
      <c r="U465" s="4">
        <v>220000</v>
      </c>
      <c r="V465" t="s">
        <v>23739</v>
      </c>
      <c r="W465" t="s">
        <v>23951</v>
      </c>
      <c r="X465" t="s">
        <v>3</v>
      </c>
      <c r="AA465" s="5" t="str">
        <f>HYPERLINK("https://www.zillow.com/homes/201-BRAINTREE-DR-BLOOMINGDALE-IL-60108_rb/","check listing")</f>
        <v>check listing</v>
      </c>
      <c r="AB465" s="5" t="str">
        <f>HYPERLINK("https://propertylookup.dupagecounty.gov/Datalets/Datalet.aspx?UseSearch=no&amp;mode=sales&amp;pin=0215412032","sales record")</f>
        <v>sales record</v>
      </c>
      <c r="AC465" t="s">
        <v>3</v>
      </c>
      <c r="AD465">
        <v>41.949675</v>
      </c>
      <c r="AE465">
        <v>-88.073852</v>
      </c>
      <c r="AF465" s="5" t="str">
        <f>HYPERLINK("https://www.google.com/maps/search/?api=1&amp;query=41.949675,-88.073852","map")</f>
        <v>map</v>
      </c>
    </row>
    <row r="466" spans="1:32">
      <c r="A466" t="s">
        <v>516</v>
      </c>
      <c r="B466" t="s">
        <v>8096</v>
      </c>
      <c r="C466" t="s">
        <v>15118</v>
      </c>
      <c r="D466" t="s">
        <v>16196</v>
      </c>
      <c r="E466" t="s">
        <v>16218</v>
      </c>
      <c r="F466" t="s">
        <v>16221</v>
      </c>
      <c r="G466" t="s">
        <v>16236</v>
      </c>
      <c r="H466" t="s">
        <v>16241</v>
      </c>
      <c r="I466" t="s">
        <v>16313</v>
      </c>
      <c r="J466" t="s">
        <v>16385</v>
      </c>
      <c r="K466">
        <v>0.156</v>
      </c>
      <c r="L466">
        <v>6817</v>
      </c>
      <c r="M466">
        <v>2106</v>
      </c>
      <c r="N466" t="s">
        <v>16393</v>
      </c>
      <c r="O466" s="4">
        <v>29656</v>
      </c>
      <c r="P466" s="4">
        <v>118252</v>
      </c>
      <c r="Q466" s="4">
        <v>147908</v>
      </c>
      <c r="R466" s="4">
        <v>443724</v>
      </c>
      <c r="S466" t="s">
        <v>16847</v>
      </c>
      <c r="T466" s="6">
        <v>35065</v>
      </c>
      <c r="U466" s="4">
        <v>217225</v>
      </c>
      <c r="X466" t="s">
        <v>3</v>
      </c>
      <c r="AA466" s="5" t="str">
        <f>HYPERLINK("https://www.zillow.com/homes/237-BISCAYNE-ST-BLOOMINGDALE-IL-60108_rb/","check listing")</f>
        <v>check listing</v>
      </c>
      <c r="AB466" s="5" t="str">
        <f>HYPERLINK("https://propertylookup.dupagecounty.gov/Datalets/Datalet.aspx?UseSearch=no&amp;mode=sales&amp;pin=0208305006","sales record")</f>
        <v>sales record</v>
      </c>
      <c r="AC466" t="s">
        <v>3</v>
      </c>
      <c r="AD466">
        <v>41.96453</v>
      </c>
      <c r="AE466">
        <v>-88.121951</v>
      </c>
      <c r="AF466" s="5" t="str">
        <f>HYPERLINK("https://www.google.com/maps/search/?api=1&amp;query=41.96453,-88.121951","map")</f>
        <v>map</v>
      </c>
    </row>
    <row r="467" spans="1:32">
      <c r="A467" t="s">
        <v>517</v>
      </c>
      <c r="B467" t="s">
        <v>8097</v>
      </c>
      <c r="C467" t="s">
        <v>15118</v>
      </c>
      <c r="D467" t="s">
        <v>16196</v>
      </c>
      <c r="E467" t="s">
        <v>16218</v>
      </c>
      <c r="F467" t="s">
        <v>16221</v>
      </c>
      <c r="G467" t="s">
        <v>16236</v>
      </c>
      <c r="H467" t="s">
        <v>16241</v>
      </c>
      <c r="I467" t="s">
        <v>16313</v>
      </c>
      <c r="J467" t="s">
        <v>16385</v>
      </c>
      <c r="K467">
        <v>0.156</v>
      </c>
      <c r="L467">
        <v>6786</v>
      </c>
      <c r="M467">
        <v>2475</v>
      </c>
      <c r="N467" t="s">
        <v>16393</v>
      </c>
      <c r="O467" s="4">
        <v>29656</v>
      </c>
      <c r="P467" s="4">
        <v>107100</v>
      </c>
      <c r="Q467" s="4">
        <v>136756</v>
      </c>
      <c r="R467" s="4">
        <v>410268</v>
      </c>
      <c r="S467" t="s">
        <v>16848</v>
      </c>
      <c r="T467" s="6">
        <v>38687</v>
      </c>
      <c r="U467" s="4">
        <v>372000</v>
      </c>
      <c r="V467" t="s">
        <v>23739</v>
      </c>
      <c r="W467" t="s">
        <v>16848</v>
      </c>
      <c r="X467" t="s">
        <v>3</v>
      </c>
      <c r="AA467" s="5" t="str">
        <f>HYPERLINK("https://www.zillow.com/homes/271-BISCAYNE-ST-BLOOMINGDALE-IL-60108_rb/","check listing")</f>
        <v>check listing</v>
      </c>
      <c r="AB467" s="5" t="str">
        <f>HYPERLINK("https://propertylookup.dupagecounty.gov/Datalets/Datalet.aspx?UseSearch=no&amp;mode=sales&amp;pin=0208305016","sales record")</f>
        <v>sales record</v>
      </c>
      <c r="AC467" t="s">
        <v>3</v>
      </c>
      <c r="AD467">
        <v>41.964155</v>
      </c>
      <c r="AE467">
        <v>-88.121515</v>
      </c>
      <c r="AF467" s="5" t="str">
        <f>HYPERLINK("https://www.google.com/maps/search/?api=1&amp;query=41.964155,-88.121515","map")</f>
        <v>map</v>
      </c>
    </row>
    <row r="468" spans="1:32">
      <c r="A468" t="s">
        <v>518</v>
      </c>
      <c r="B468" t="s">
        <v>8098</v>
      </c>
      <c r="C468" t="s">
        <v>15118</v>
      </c>
      <c r="D468" t="s">
        <v>16196</v>
      </c>
      <c r="E468" t="s">
        <v>16218</v>
      </c>
      <c r="F468" t="s">
        <v>16221</v>
      </c>
      <c r="G468" t="s">
        <v>16236</v>
      </c>
      <c r="H468" t="s">
        <v>16241</v>
      </c>
      <c r="I468" t="s">
        <v>16313</v>
      </c>
      <c r="J468" t="s">
        <v>16385</v>
      </c>
      <c r="K468">
        <v>0.155</v>
      </c>
      <c r="L468">
        <v>6747</v>
      </c>
      <c r="M468">
        <v>2770</v>
      </c>
      <c r="N468" t="s">
        <v>16393</v>
      </c>
      <c r="O468" s="4">
        <v>29656</v>
      </c>
      <c r="P468" s="4">
        <v>124228</v>
      </c>
      <c r="Q468" s="4">
        <v>153884</v>
      </c>
      <c r="R468" s="4">
        <v>461652</v>
      </c>
      <c r="S468" t="s">
        <v>16849</v>
      </c>
      <c r="T468" s="6">
        <v>34731</v>
      </c>
      <c r="U468" s="4">
        <v>189240</v>
      </c>
      <c r="X468" t="s">
        <v>3</v>
      </c>
      <c r="AA468" s="5" t="str">
        <f>HYPERLINK("https://www.zillow.com/homes/334-CHESAPEAKE-LN-BLOOMINGDALE-IL-60108_rb/","check listing")</f>
        <v>check listing</v>
      </c>
      <c r="AB468" s="5" t="str">
        <f>HYPERLINK("https://propertylookup.dupagecounty.gov/Datalets/Datalet.aspx?UseSearch=no&amp;mode=sales&amp;pin=0208304006","sales record")</f>
        <v>sales record</v>
      </c>
      <c r="AC468" t="s">
        <v>3</v>
      </c>
      <c r="AD468">
        <v>41.961397</v>
      </c>
      <c r="AE468">
        <v>-88.123305</v>
      </c>
      <c r="AF468" s="5" t="str">
        <f>HYPERLINK("https://www.google.com/maps/search/?api=1&amp;query=41.961397,-88.123305","map")</f>
        <v>map</v>
      </c>
    </row>
    <row r="469" spans="1:32">
      <c r="A469" t="s">
        <v>519</v>
      </c>
      <c r="B469" t="s">
        <v>8099</v>
      </c>
      <c r="C469" t="s">
        <v>15118</v>
      </c>
      <c r="D469" t="s">
        <v>16196</v>
      </c>
      <c r="E469" t="s">
        <v>16218</v>
      </c>
      <c r="F469" t="s">
        <v>16221</v>
      </c>
      <c r="G469" t="s">
        <v>16236</v>
      </c>
      <c r="H469" t="s">
        <v>16241</v>
      </c>
      <c r="I469" t="s">
        <v>16313</v>
      </c>
      <c r="J469" t="s">
        <v>16385</v>
      </c>
      <c r="K469">
        <v>0.155</v>
      </c>
      <c r="L469">
        <v>6744</v>
      </c>
      <c r="M469">
        <v>2564</v>
      </c>
      <c r="N469" t="s">
        <v>16393</v>
      </c>
      <c r="O469" s="4">
        <v>29656</v>
      </c>
      <c r="P469" s="4">
        <v>125746</v>
      </c>
      <c r="Q469" s="4">
        <v>155402</v>
      </c>
      <c r="R469" s="4">
        <v>466206</v>
      </c>
      <c r="S469" t="s">
        <v>16850</v>
      </c>
      <c r="T469" s="6">
        <v>37803</v>
      </c>
      <c r="U469" s="4">
        <v>314000</v>
      </c>
      <c r="V469" t="s">
        <v>23739</v>
      </c>
      <c r="W469" t="s">
        <v>23952</v>
      </c>
      <c r="X469" t="s">
        <v>3</v>
      </c>
      <c r="AA469" s="5" t="str">
        <f>HYPERLINK("https://www.zillow.com/homes/236-BISCAYNE-ST-BLOOMINGDALE-IL-60108_rb/","check listing")</f>
        <v>check listing</v>
      </c>
      <c r="AB469" s="5" t="str">
        <f>HYPERLINK("https://propertylookup.dupagecounty.gov/Datalets/Datalet.aspx?UseSearch=no&amp;mode=sales&amp;pin=0208302036","sales record")</f>
        <v>sales record</v>
      </c>
      <c r="AC469" t="s">
        <v>3</v>
      </c>
      <c r="AD469">
        <v>41.964884</v>
      </c>
      <c r="AE469">
        <v>-88.12262</v>
      </c>
      <c r="AF469" s="5" t="str">
        <f>HYPERLINK("https://www.google.com/maps/search/?api=1&amp;query=41.964884,-88.12262","map")</f>
        <v>map</v>
      </c>
    </row>
    <row r="470" spans="1:32">
      <c r="A470" t="s">
        <v>520</v>
      </c>
      <c r="B470" t="s">
        <v>8100</v>
      </c>
      <c r="C470" t="s">
        <v>15136</v>
      </c>
      <c r="D470" t="s">
        <v>16196</v>
      </c>
      <c r="E470" t="s">
        <v>16218</v>
      </c>
      <c r="F470" t="s">
        <v>16221</v>
      </c>
      <c r="G470" t="s">
        <v>16236</v>
      </c>
      <c r="H470" t="s">
        <v>16241</v>
      </c>
      <c r="I470" t="s">
        <v>16313</v>
      </c>
      <c r="J470" t="s">
        <v>16385</v>
      </c>
      <c r="K470">
        <v>0.154</v>
      </c>
      <c r="L470">
        <v>6727</v>
      </c>
      <c r="M470">
        <v>3084</v>
      </c>
      <c r="N470" t="s">
        <v>16393</v>
      </c>
      <c r="O470" s="4">
        <v>29656</v>
      </c>
      <c r="P470" s="4">
        <v>117606</v>
      </c>
      <c r="Q470" s="4">
        <v>147262</v>
      </c>
      <c r="R470" s="4">
        <v>441786</v>
      </c>
      <c r="S470" t="s">
        <v>16851</v>
      </c>
      <c r="T470" s="6">
        <v>44531</v>
      </c>
      <c r="U470" s="4">
        <v>352500</v>
      </c>
      <c r="V470" t="s">
        <v>23739</v>
      </c>
      <c r="W470" t="s">
        <v>23953</v>
      </c>
      <c r="X470" t="s">
        <v>3</v>
      </c>
      <c r="AA470" s="5" t="str">
        <f>HYPERLINK("https://www.zillow.com/homes/201-FRISCO-CT-BLOOMINGDALE-IL-601083299_rb/","check listing")</f>
        <v>check listing</v>
      </c>
      <c r="AB470" s="5" t="str">
        <f>HYPERLINK("https://propertylookup.dupagecounty.gov/Datalets/Datalet.aspx?UseSearch=no&amp;mode=sales&amp;pin=0208303011","sales record")</f>
        <v>sales record</v>
      </c>
      <c r="AC470" t="s">
        <v>3</v>
      </c>
      <c r="AD470">
        <v>41.962481</v>
      </c>
      <c r="AE470">
        <v>-88.12304399999999</v>
      </c>
      <c r="AF470" s="5" t="str">
        <f>HYPERLINK("https://www.google.com/maps/search/?api=1&amp;query=41.962481,-88.123044","map")</f>
        <v>map</v>
      </c>
    </row>
    <row r="471" spans="1:32">
      <c r="A471" t="s">
        <v>521</v>
      </c>
      <c r="B471" t="s">
        <v>8101</v>
      </c>
      <c r="C471" t="s">
        <v>15142</v>
      </c>
      <c r="D471" t="s">
        <v>16196</v>
      </c>
      <c r="E471" t="s">
        <v>16218</v>
      </c>
      <c r="F471" t="s">
        <v>16221</v>
      </c>
      <c r="G471" t="s">
        <v>16236</v>
      </c>
      <c r="H471" t="s">
        <v>16241</v>
      </c>
      <c r="I471" t="s">
        <v>16313</v>
      </c>
      <c r="J471" t="s">
        <v>16385</v>
      </c>
      <c r="K471">
        <v>0.154</v>
      </c>
      <c r="L471">
        <v>6725</v>
      </c>
      <c r="M471">
        <v>2474</v>
      </c>
      <c r="N471" t="s">
        <v>16393</v>
      </c>
      <c r="O471" s="4">
        <v>29656</v>
      </c>
      <c r="P471" s="4">
        <v>124575</v>
      </c>
      <c r="Q471" s="4">
        <v>154231</v>
      </c>
      <c r="R471" s="4">
        <v>462693</v>
      </c>
      <c r="S471" t="s">
        <v>16852</v>
      </c>
      <c r="T471" s="6">
        <v>34669</v>
      </c>
      <c r="U471" s="4">
        <v>200415</v>
      </c>
      <c r="X471" t="s">
        <v>3</v>
      </c>
      <c r="AA471" s="5" t="str">
        <f>HYPERLINK("https://www.zillow.com/homes/218-BISCAYNE-CT-BLOOMINGDALE-IL-601083304_rb/","check listing")</f>
        <v>check listing</v>
      </c>
      <c r="AB471" s="5" t="str">
        <f>HYPERLINK("https://propertylookup.dupagecounty.gov/Datalets/Datalet.aspx?UseSearch=no&amp;mode=sales&amp;pin=0208303038","sales record")</f>
        <v>sales record</v>
      </c>
      <c r="AC471" t="s">
        <v>3</v>
      </c>
      <c r="AD471">
        <v>41.962629</v>
      </c>
      <c r="AE471">
        <v>-88.12266099999999</v>
      </c>
      <c r="AF471" s="5" t="str">
        <f>HYPERLINK("https://www.google.com/maps/search/?api=1&amp;query=41.962629,-88.122661","map")</f>
        <v>map</v>
      </c>
    </row>
    <row r="472" spans="1:32">
      <c r="A472" t="s">
        <v>522</v>
      </c>
      <c r="B472" t="s">
        <v>8102</v>
      </c>
      <c r="C472" t="s">
        <v>15118</v>
      </c>
      <c r="D472" t="s">
        <v>16196</v>
      </c>
      <c r="E472" t="s">
        <v>16218</v>
      </c>
      <c r="F472" t="s">
        <v>16221</v>
      </c>
      <c r="G472" t="s">
        <v>16236</v>
      </c>
      <c r="H472" t="s">
        <v>16241</v>
      </c>
      <c r="I472" t="s">
        <v>16313</v>
      </c>
      <c r="J472" t="s">
        <v>16385</v>
      </c>
      <c r="K472">
        <v>0.152</v>
      </c>
      <c r="L472">
        <v>6639</v>
      </c>
      <c r="M472">
        <v>1979</v>
      </c>
      <c r="N472" t="s">
        <v>16393</v>
      </c>
      <c r="O472" s="4">
        <v>29656</v>
      </c>
      <c r="P472" s="4">
        <v>124563</v>
      </c>
      <c r="Q472" s="4">
        <v>154219</v>
      </c>
      <c r="R472" s="4">
        <v>462657</v>
      </c>
      <c r="S472" t="s">
        <v>16853</v>
      </c>
      <c r="T472" s="6">
        <v>41913</v>
      </c>
      <c r="U472" s="4">
        <v>312000</v>
      </c>
      <c r="V472" t="s">
        <v>23740</v>
      </c>
      <c r="W472" t="s">
        <v>23954</v>
      </c>
      <c r="X472" t="s">
        <v>3</v>
      </c>
      <c r="AA472" s="5" t="str">
        <f>HYPERLINK("https://www.zillow.com/homes/320-CHESAPEAKE-LN-BLOOMINGDALE-IL-60108_rb/","check listing")</f>
        <v>check listing</v>
      </c>
      <c r="AB472" s="5" t="str">
        <f>HYPERLINK("https://propertylookup.dupagecounty.gov/Datalets/Datalet.aspx?UseSearch=no&amp;mode=sales&amp;pin=0208304013","sales record")</f>
        <v>sales record</v>
      </c>
      <c r="AC472" t="s">
        <v>3</v>
      </c>
      <c r="AD472">
        <v>41.961436</v>
      </c>
      <c r="AE472">
        <v>-88.121719</v>
      </c>
      <c r="AF472" s="5" t="str">
        <f>HYPERLINK("https://www.google.com/maps/search/?api=1&amp;query=41.961436,-88.121719","map")</f>
        <v>map</v>
      </c>
    </row>
    <row r="473" spans="1:32">
      <c r="A473" t="s">
        <v>523</v>
      </c>
      <c r="B473" t="s">
        <v>8103</v>
      </c>
      <c r="C473" t="s">
        <v>15118</v>
      </c>
      <c r="D473" t="s">
        <v>16196</v>
      </c>
      <c r="E473" t="s">
        <v>16218</v>
      </c>
      <c r="F473" t="s">
        <v>16221</v>
      </c>
      <c r="G473" t="s">
        <v>16236</v>
      </c>
      <c r="H473" t="s">
        <v>16241</v>
      </c>
      <c r="I473" t="s">
        <v>16313</v>
      </c>
      <c r="J473" t="s">
        <v>16385</v>
      </c>
      <c r="K473">
        <v>0.152</v>
      </c>
      <c r="L473">
        <v>6636</v>
      </c>
      <c r="M473">
        <v>1929</v>
      </c>
      <c r="N473" t="s">
        <v>16393</v>
      </c>
      <c r="O473" s="4">
        <v>29656</v>
      </c>
      <c r="P473" s="4">
        <v>111020</v>
      </c>
      <c r="Q473" s="4">
        <v>140676</v>
      </c>
      <c r="R473" s="4">
        <v>422028</v>
      </c>
      <c r="S473" t="s">
        <v>16854</v>
      </c>
      <c r="T473" s="6">
        <v>34669</v>
      </c>
      <c r="U473" s="4">
        <v>203090</v>
      </c>
      <c r="X473" t="s">
        <v>3</v>
      </c>
      <c r="AA473" s="5" t="str">
        <f>HYPERLINK("https://www.zillow.com/homes/303-CHESAPEAKE-LN-BLOOMINGDALE-IL-60108_rb/","check listing")</f>
        <v>check listing</v>
      </c>
      <c r="AB473" s="5" t="str">
        <f>HYPERLINK("https://propertylookup.dupagecounty.gov/Datalets/Datalet.aspx?UseSearch=no&amp;mode=sales&amp;pin=0208303031","sales record")</f>
        <v>sales record</v>
      </c>
      <c r="AC473" t="s">
        <v>3</v>
      </c>
      <c r="AD473">
        <v>41.962365</v>
      </c>
      <c r="AE473">
        <v>-88.121499</v>
      </c>
      <c r="AF473" s="5" t="str">
        <f>HYPERLINK("https://www.google.com/maps/search/?api=1&amp;query=41.962365,-88.121499","map")</f>
        <v>map</v>
      </c>
    </row>
    <row r="474" spans="1:32">
      <c r="A474" t="s">
        <v>524</v>
      </c>
      <c r="B474" t="s">
        <v>8104</v>
      </c>
      <c r="C474" t="s">
        <v>15118</v>
      </c>
      <c r="D474" t="s">
        <v>16196</v>
      </c>
      <c r="E474" t="s">
        <v>16218</v>
      </c>
      <c r="F474" t="s">
        <v>16221</v>
      </c>
      <c r="G474" t="s">
        <v>16237</v>
      </c>
      <c r="H474" t="s">
        <v>16241</v>
      </c>
      <c r="I474" t="s">
        <v>16313</v>
      </c>
      <c r="J474" t="s">
        <v>16385</v>
      </c>
      <c r="K474">
        <v>0.152</v>
      </c>
      <c r="L474">
        <v>6626</v>
      </c>
      <c r="M474">
        <v>1435</v>
      </c>
      <c r="N474" t="s">
        <v>16393</v>
      </c>
      <c r="O474" s="4">
        <v>18922</v>
      </c>
      <c r="P474" s="4">
        <v>72053</v>
      </c>
      <c r="Q474" s="4">
        <v>90975</v>
      </c>
      <c r="R474" s="4">
        <v>272925</v>
      </c>
      <c r="S474" t="s">
        <v>16855</v>
      </c>
      <c r="T474" s="6">
        <v>43313</v>
      </c>
      <c r="U474" s="4">
        <v>207000</v>
      </c>
      <c r="V474" t="s">
        <v>23740</v>
      </c>
      <c r="W474" t="s">
        <v>23955</v>
      </c>
      <c r="X474" t="s">
        <v>3</v>
      </c>
      <c r="AA474" s="5" t="str">
        <f>HYPERLINK("https://www.zillow.com/homes/251-SUTTON-CT-BLOOMINGDALE-IL-60108_rb/","check listing")</f>
        <v>check listing</v>
      </c>
      <c r="AB474" s="5" t="str">
        <f>HYPERLINK("https://propertylookup.dupagecounty.gov/Datalets/Datalet.aspx?UseSearch=no&amp;mode=sales&amp;pin=0223124037","sales record")</f>
        <v>sales record</v>
      </c>
      <c r="AC474" t="s">
        <v>27873</v>
      </c>
      <c r="AD474">
        <v>41.94457</v>
      </c>
      <c r="AE474">
        <v>-88.06390399999999</v>
      </c>
      <c r="AF474" s="5" t="str">
        <f>HYPERLINK("https://www.google.com/maps/search/?api=1&amp;query=41.94457,-88.063904","map")</f>
        <v>map</v>
      </c>
    </row>
    <row r="475" spans="1:32">
      <c r="A475" t="s">
        <v>525</v>
      </c>
      <c r="B475" t="s">
        <v>8105</v>
      </c>
      <c r="C475" t="s">
        <v>15137</v>
      </c>
      <c r="D475" t="s">
        <v>16196</v>
      </c>
      <c r="E475" t="s">
        <v>16218</v>
      </c>
      <c r="F475" t="s">
        <v>16221</v>
      </c>
      <c r="G475" t="s">
        <v>16236</v>
      </c>
      <c r="H475" t="s">
        <v>16241</v>
      </c>
      <c r="I475" t="s">
        <v>16313</v>
      </c>
      <c r="J475" t="s">
        <v>16385</v>
      </c>
      <c r="K475">
        <v>0.152</v>
      </c>
      <c r="L475">
        <v>6624</v>
      </c>
      <c r="M475">
        <v>2297</v>
      </c>
      <c r="N475" t="s">
        <v>16393</v>
      </c>
      <c r="O475" s="4">
        <v>29656</v>
      </c>
      <c r="P475" s="4">
        <v>126033</v>
      </c>
      <c r="Q475" s="4">
        <v>155689</v>
      </c>
      <c r="R475" s="4">
        <v>467067</v>
      </c>
      <c r="S475" t="s">
        <v>16856</v>
      </c>
      <c r="T475" s="6">
        <v>44409</v>
      </c>
      <c r="U475" s="4">
        <v>400000</v>
      </c>
      <c r="V475" t="s">
        <v>23739</v>
      </c>
      <c r="W475" t="s">
        <v>16856</v>
      </c>
      <c r="X475" t="s">
        <v>3</v>
      </c>
      <c r="AA475" s="5" t="str">
        <f>HYPERLINK("https://www.zillow.com/homes/235-BISCAYNE-ST-BLOOMINGDALE-IL-601083309_rb/","check listing")</f>
        <v>check listing</v>
      </c>
      <c r="AB475" s="5" t="str">
        <f>HYPERLINK("https://propertylookup.dupagecounty.gov/Datalets/Datalet.aspx?UseSearch=no&amp;mode=sales&amp;pin=0208305005","sales record")</f>
        <v>sales record</v>
      </c>
      <c r="AC475" t="s">
        <v>3</v>
      </c>
      <c r="AD475">
        <v>41.964355</v>
      </c>
      <c r="AE475">
        <v>-88.121934</v>
      </c>
      <c r="AF475" s="5" t="str">
        <f>HYPERLINK("https://www.google.com/maps/search/?api=1&amp;query=41.964355,-88.121934","map")</f>
        <v>map</v>
      </c>
    </row>
    <row r="476" spans="1:32">
      <c r="A476" t="s">
        <v>526</v>
      </c>
      <c r="B476" t="s">
        <v>8106</v>
      </c>
      <c r="C476" t="s">
        <v>15118</v>
      </c>
      <c r="D476" t="s">
        <v>16196</v>
      </c>
      <c r="E476" t="s">
        <v>16218</v>
      </c>
      <c r="F476" t="s">
        <v>16221</v>
      </c>
      <c r="G476" t="s">
        <v>16237</v>
      </c>
      <c r="H476" t="s">
        <v>16241</v>
      </c>
      <c r="I476" t="s">
        <v>16313</v>
      </c>
      <c r="J476" t="s">
        <v>16385</v>
      </c>
      <c r="K476">
        <v>0.151</v>
      </c>
      <c r="L476">
        <v>6594</v>
      </c>
      <c r="M476">
        <v>1661</v>
      </c>
      <c r="N476" t="s">
        <v>16393</v>
      </c>
      <c r="O476" s="4">
        <v>18922</v>
      </c>
      <c r="P476" s="4">
        <v>73237</v>
      </c>
      <c r="Q476" s="4">
        <v>92159</v>
      </c>
      <c r="R476" s="4">
        <v>276477</v>
      </c>
      <c r="S476" t="s">
        <v>16857</v>
      </c>
      <c r="T476" s="6">
        <v>39508</v>
      </c>
      <c r="U476" s="4">
        <v>198500</v>
      </c>
      <c r="V476" t="s">
        <v>23740</v>
      </c>
      <c r="W476" t="s">
        <v>16857</v>
      </c>
      <c r="X476" t="s">
        <v>3</v>
      </c>
      <c r="AA476" s="5" t="str">
        <f>HYPERLINK("https://www.zillow.com/homes/236-TAMARACK-DR-BLOOMINGDALE-IL-60108_rb/","check listing")</f>
        <v>check listing</v>
      </c>
      <c r="AB476" s="5" t="str">
        <f>HYPERLINK("https://propertylookup.dupagecounty.gov/Datalets/Datalet.aspx?UseSearch=no&amp;mode=sales&amp;pin=0223131018","sales record")</f>
        <v>sales record</v>
      </c>
      <c r="AC476" t="s">
        <v>27873</v>
      </c>
      <c r="AD476">
        <v>41.947075</v>
      </c>
      <c r="AE476">
        <v>-88.064001</v>
      </c>
      <c r="AF476" s="5" t="str">
        <f>HYPERLINK("https://www.google.com/maps/search/?api=1&amp;query=41.947075,-88.064001","map")</f>
        <v>map</v>
      </c>
    </row>
    <row r="477" spans="1:32">
      <c r="A477" t="s">
        <v>527</v>
      </c>
      <c r="B477" t="s">
        <v>8107</v>
      </c>
      <c r="C477" t="s">
        <v>15118</v>
      </c>
      <c r="D477" t="s">
        <v>16196</v>
      </c>
      <c r="E477" t="s">
        <v>16218</v>
      </c>
      <c r="F477" t="s">
        <v>16221</v>
      </c>
      <c r="G477" t="s">
        <v>16236</v>
      </c>
      <c r="H477" t="s">
        <v>16241</v>
      </c>
      <c r="I477" t="s">
        <v>16313</v>
      </c>
      <c r="J477" t="s">
        <v>16385</v>
      </c>
      <c r="K477">
        <v>0.151</v>
      </c>
      <c r="L477">
        <v>6594</v>
      </c>
      <c r="M477">
        <v>2112</v>
      </c>
      <c r="N477" t="s">
        <v>16393</v>
      </c>
      <c r="O477" s="4">
        <v>29656</v>
      </c>
      <c r="P477" s="4">
        <v>80072</v>
      </c>
      <c r="Q477" s="4">
        <v>109728</v>
      </c>
      <c r="R477" s="4">
        <v>329184</v>
      </c>
      <c r="S477" t="s">
        <v>16858</v>
      </c>
      <c r="T477" s="6">
        <v>37196</v>
      </c>
      <c r="U477" s="4">
        <v>281000</v>
      </c>
      <c r="V477" t="s">
        <v>23740</v>
      </c>
      <c r="W477" t="s">
        <v>23956</v>
      </c>
      <c r="X477" t="s">
        <v>3</v>
      </c>
      <c r="AA477" s="5" t="str">
        <f>HYPERLINK("https://www.zillow.com/homes/210-FRISCO-ST-BLOOMINGDALE-IL-60108_rb/","check listing")</f>
        <v>check listing</v>
      </c>
      <c r="AB477" s="5" t="str">
        <f>HYPERLINK("https://propertylookup.dupagecounty.gov/Datalets/Datalet.aspx?UseSearch=no&amp;mode=sales&amp;pin=0208303016","sales record")</f>
        <v>sales record</v>
      </c>
      <c r="AC477" t="s">
        <v>3</v>
      </c>
      <c r="AD477">
        <v>41.96241</v>
      </c>
      <c r="AE477">
        <v>-88.124</v>
      </c>
      <c r="AF477" s="5" t="str">
        <f>HYPERLINK("https://www.google.com/maps/search/?api=1&amp;query=41.96241,-88.124","map")</f>
        <v>map</v>
      </c>
    </row>
    <row r="478" spans="1:32">
      <c r="A478" t="s">
        <v>528</v>
      </c>
      <c r="B478" t="s">
        <v>8108</v>
      </c>
      <c r="C478" t="s">
        <v>15118</v>
      </c>
      <c r="D478" t="s">
        <v>16196</v>
      </c>
      <c r="E478" t="s">
        <v>16218</v>
      </c>
      <c r="F478" t="s">
        <v>16221</v>
      </c>
      <c r="G478" t="s">
        <v>16236</v>
      </c>
      <c r="H478" t="s">
        <v>16241</v>
      </c>
      <c r="I478" t="s">
        <v>16313</v>
      </c>
      <c r="J478" t="s">
        <v>16385</v>
      </c>
      <c r="K478">
        <v>0.151</v>
      </c>
      <c r="L478">
        <v>6580</v>
      </c>
      <c r="M478">
        <v>1979</v>
      </c>
      <c r="N478" t="s">
        <v>16393</v>
      </c>
      <c r="O478" s="4">
        <v>29656</v>
      </c>
      <c r="P478" s="4">
        <v>123224</v>
      </c>
      <c r="Q478" s="4">
        <v>152880</v>
      </c>
      <c r="R478" s="4">
        <v>458640</v>
      </c>
      <c r="S478" t="s">
        <v>16859</v>
      </c>
      <c r="T478" s="6">
        <v>35034</v>
      </c>
      <c r="U478" s="4">
        <v>233080</v>
      </c>
      <c r="X478" t="s">
        <v>3</v>
      </c>
      <c r="AA478" s="5" t="str">
        <f>HYPERLINK("https://www.zillow.com/homes/247-BISCAYNE-ST-BLOOMINGDALE-IL-60108_rb/","check listing")</f>
        <v>check listing</v>
      </c>
      <c r="AB478" s="5" t="str">
        <f>HYPERLINK("https://propertylookup.dupagecounty.gov/Datalets/Datalet.aspx?UseSearch=no&amp;mode=sales&amp;pin=0208305010","sales record")</f>
        <v>sales record</v>
      </c>
      <c r="AC478" t="s">
        <v>3</v>
      </c>
      <c r="AD478">
        <v>41.965075</v>
      </c>
      <c r="AE478">
        <v>-88.12167599999999</v>
      </c>
      <c r="AF478" s="5" t="str">
        <f>HYPERLINK("https://www.google.com/maps/search/?api=1&amp;query=41.965075,-88.121676","map")</f>
        <v>map</v>
      </c>
    </row>
    <row r="479" spans="1:32">
      <c r="A479" t="s">
        <v>529</v>
      </c>
      <c r="B479" t="s">
        <v>8109</v>
      </c>
      <c r="C479" t="s">
        <v>15118</v>
      </c>
      <c r="D479" t="s">
        <v>16196</v>
      </c>
      <c r="E479" t="s">
        <v>16218</v>
      </c>
      <c r="F479" t="s">
        <v>16221</v>
      </c>
      <c r="G479" t="s">
        <v>16236</v>
      </c>
      <c r="H479" t="s">
        <v>16241</v>
      </c>
      <c r="I479" t="s">
        <v>16313</v>
      </c>
      <c r="J479" t="s">
        <v>16385</v>
      </c>
      <c r="K479">
        <v>0.151</v>
      </c>
      <c r="L479">
        <v>6568</v>
      </c>
      <c r="M479">
        <v>2466</v>
      </c>
      <c r="N479" t="s">
        <v>16393</v>
      </c>
      <c r="O479" s="4">
        <v>29656</v>
      </c>
      <c r="P479" s="4">
        <v>121335</v>
      </c>
      <c r="Q479" s="4">
        <v>150991</v>
      </c>
      <c r="R479" s="4">
        <v>452973</v>
      </c>
      <c r="S479" t="s">
        <v>16860</v>
      </c>
      <c r="T479" s="6">
        <v>41974</v>
      </c>
      <c r="U479" s="4">
        <v>352000</v>
      </c>
      <c r="V479" t="s">
        <v>23739</v>
      </c>
      <c r="W479" t="s">
        <v>23957</v>
      </c>
      <c r="X479" t="s">
        <v>3</v>
      </c>
      <c r="AA479" s="5" t="str">
        <f>HYPERLINK("https://www.zillow.com/homes/229-BISCAYNE-ST-BLOOMINGDALE-IL-60108_rb/","check listing")</f>
        <v>check listing</v>
      </c>
      <c r="AB479" s="5" t="str">
        <f>HYPERLINK("https://propertylookup.dupagecounty.gov/Datalets/Datalet.aspx?UseSearch=no&amp;mode=sales&amp;pin=0208305002","sales record")</f>
        <v>sales record</v>
      </c>
      <c r="AC479" t="s">
        <v>3</v>
      </c>
      <c r="AD479">
        <v>41.963842</v>
      </c>
      <c r="AE479">
        <v>-88.121979</v>
      </c>
      <c r="AF479" s="5" t="str">
        <f>HYPERLINK("https://www.google.com/maps/search/?api=1&amp;query=41.963842,-88.121979","map")</f>
        <v>map</v>
      </c>
    </row>
    <row r="480" spans="1:32">
      <c r="A480" t="s">
        <v>530</v>
      </c>
      <c r="B480" t="s">
        <v>8110</v>
      </c>
      <c r="C480" t="s">
        <v>15118</v>
      </c>
      <c r="D480" t="s">
        <v>16196</v>
      </c>
      <c r="E480" t="s">
        <v>16218</v>
      </c>
      <c r="F480" t="s">
        <v>16221</v>
      </c>
      <c r="G480" t="s">
        <v>16236</v>
      </c>
      <c r="H480" t="s">
        <v>16241</v>
      </c>
      <c r="I480" t="s">
        <v>16313</v>
      </c>
      <c r="J480" t="s">
        <v>16385</v>
      </c>
      <c r="K480">
        <v>0.151</v>
      </c>
      <c r="L480">
        <v>6567</v>
      </c>
      <c r="M480">
        <v>1979</v>
      </c>
      <c r="N480" t="s">
        <v>16393</v>
      </c>
      <c r="O480" s="4">
        <v>29656</v>
      </c>
      <c r="P480" s="4">
        <v>118252</v>
      </c>
      <c r="Q480" s="4">
        <v>147908</v>
      </c>
      <c r="R480" s="4">
        <v>443724</v>
      </c>
      <c r="S480" t="s">
        <v>16861</v>
      </c>
      <c r="T480" s="6">
        <v>43617</v>
      </c>
      <c r="U480" s="4">
        <v>327000</v>
      </c>
      <c r="V480" t="s">
        <v>23739</v>
      </c>
      <c r="W480" t="s">
        <v>23958</v>
      </c>
      <c r="X480" t="s">
        <v>3</v>
      </c>
      <c r="AA480" s="5" t="str">
        <f>HYPERLINK("https://www.zillow.com/homes/220-BISCAYNE-CT-BLOOMINGDALE-IL-60108_rb/","check listing")</f>
        <v>check listing</v>
      </c>
      <c r="AB480" s="5" t="str">
        <f>HYPERLINK("https://propertylookup.dupagecounty.gov/Datalets/Datalet.aspx?UseSearch=no&amp;mode=sales&amp;pin=0208303039","sales record")</f>
        <v>sales record</v>
      </c>
      <c r="AC480" t="s">
        <v>3</v>
      </c>
      <c r="AD480">
        <v>41.962799</v>
      </c>
      <c r="AE480">
        <v>-88.122703</v>
      </c>
      <c r="AF480" s="5" t="str">
        <f>HYPERLINK("https://www.google.com/maps/search/?api=1&amp;query=41.962799,-88.122703","map")</f>
        <v>map</v>
      </c>
    </row>
    <row r="481" spans="1:32">
      <c r="A481" t="s">
        <v>531</v>
      </c>
      <c r="B481" t="s">
        <v>8111</v>
      </c>
      <c r="C481" t="s">
        <v>15118</v>
      </c>
      <c r="D481" t="s">
        <v>16196</v>
      </c>
      <c r="E481" t="s">
        <v>16218</v>
      </c>
      <c r="F481" t="s">
        <v>16221</v>
      </c>
      <c r="G481" t="s">
        <v>16236</v>
      </c>
      <c r="H481" t="s">
        <v>16241</v>
      </c>
      <c r="I481" t="s">
        <v>16313</v>
      </c>
      <c r="J481" t="s">
        <v>16385</v>
      </c>
      <c r="K481">
        <v>0.151</v>
      </c>
      <c r="L481">
        <v>6562</v>
      </c>
      <c r="M481">
        <v>2452</v>
      </c>
      <c r="N481" t="s">
        <v>16393</v>
      </c>
      <c r="O481" s="4">
        <v>29656</v>
      </c>
      <c r="P481" s="4">
        <v>120236</v>
      </c>
      <c r="Q481" s="4">
        <v>149892</v>
      </c>
      <c r="R481" s="4">
        <v>449676</v>
      </c>
      <c r="S481" t="s">
        <v>16862</v>
      </c>
      <c r="T481" s="6">
        <v>35217</v>
      </c>
      <c r="U481" s="4">
        <v>227790</v>
      </c>
      <c r="X481" t="s">
        <v>3</v>
      </c>
      <c r="AA481" s="5" t="str">
        <f>HYPERLINK("https://www.zillow.com/homes/248-BISCAYNE-ST-BLOOMINGDALE-IL-60108_rb/","check listing")</f>
        <v>check listing</v>
      </c>
      <c r="AB481" s="5" t="str">
        <f>HYPERLINK("https://propertylookup.dupagecounty.gov/Datalets/Datalet.aspx?UseSearch=no&amp;mode=sales&amp;pin=0208302030","sales record")</f>
        <v>sales record</v>
      </c>
      <c r="AC481" t="s">
        <v>3</v>
      </c>
      <c r="AD481">
        <v>41.965488</v>
      </c>
      <c r="AE481">
        <v>-88.121787</v>
      </c>
      <c r="AF481" s="5" t="str">
        <f>HYPERLINK("https://www.google.com/maps/search/?api=1&amp;query=41.965488,-88.121787","map")</f>
        <v>map</v>
      </c>
    </row>
    <row r="482" spans="1:32">
      <c r="A482" t="s">
        <v>532</v>
      </c>
      <c r="B482" t="s">
        <v>8112</v>
      </c>
      <c r="C482" t="s">
        <v>15118</v>
      </c>
      <c r="D482" t="s">
        <v>16196</v>
      </c>
      <c r="E482" t="s">
        <v>16218</v>
      </c>
      <c r="F482" t="s">
        <v>16221</v>
      </c>
      <c r="G482" t="s">
        <v>16236</v>
      </c>
      <c r="H482" t="s">
        <v>16241</v>
      </c>
      <c r="I482" t="s">
        <v>16313</v>
      </c>
      <c r="J482" t="s">
        <v>16385</v>
      </c>
      <c r="K482">
        <v>0.15</v>
      </c>
      <c r="L482">
        <v>6548</v>
      </c>
      <c r="M482">
        <v>2470</v>
      </c>
      <c r="N482" t="s">
        <v>16393</v>
      </c>
      <c r="O482" s="4">
        <v>29656</v>
      </c>
      <c r="P482" s="4">
        <v>122602</v>
      </c>
      <c r="Q482" s="4">
        <v>152258</v>
      </c>
      <c r="R482" s="4">
        <v>456774</v>
      </c>
      <c r="S482" t="s">
        <v>16863</v>
      </c>
      <c r="T482" s="6">
        <v>35034</v>
      </c>
      <c r="U482" s="4">
        <v>222800</v>
      </c>
      <c r="X482" t="s">
        <v>3</v>
      </c>
      <c r="AA482" s="5" t="str">
        <f>HYPERLINK("https://www.zillow.com/homes/284-BISCAYNE-ST-BLOOMINGDALE-IL-60108_rb/","check listing")</f>
        <v>check listing</v>
      </c>
      <c r="AB482" s="5" t="str">
        <f>HYPERLINK("https://propertylookup.dupagecounty.gov/Datalets/Datalet.aspx?UseSearch=no&amp;mode=sales&amp;pin=0208302011","sales record")</f>
        <v>sales record</v>
      </c>
      <c r="AC482" t="s">
        <v>3</v>
      </c>
      <c r="AD482">
        <v>41.963252</v>
      </c>
      <c r="AE482">
        <v>-88.121477</v>
      </c>
      <c r="AF482" s="5" t="str">
        <f>HYPERLINK("https://www.google.com/maps/search/?api=1&amp;query=41.963252,-88.121477","map")</f>
        <v>map</v>
      </c>
    </row>
    <row r="483" spans="1:32">
      <c r="A483" t="s">
        <v>533</v>
      </c>
      <c r="B483" t="s">
        <v>8113</v>
      </c>
      <c r="C483" t="s">
        <v>15118</v>
      </c>
      <c r="D483" t="s">
        <v>16196</v>
      </c>
      <c r="E483" t="s">
        <v>16218</v>
      </c>
      <c r="F483" t="s">
        <v>16221</v>
      </c>
      <c r="G483" t="s">
        <v>16235</v>
      </c>
      <c r="H483" t="s">
        <v>16241</v>
      </c>
      <c r="I483" t="s">
        <v>16313</v>
      </c>
      <c r="J483" t="s">
        <v>16385</v>
      </c>
      <c r="K483">
        <v>0.15</v>
      </c>
      <c r="L483">
        <v>6523</v>
      </c>
      <c r="M483">
        <v>1667</v>
      </c>
      <c r="N483" t="s">
        <v>16393</v>
      </c>
      <c r="O483" s="4">
        <v>40342</v>
      </c>
      <c r="P483" s="4">
        <v>104744</v>
      </c>
      <c r="Q483" s="4">
        <v>145086</v>
      </c>
      <c r="R483" s="4">
        <v>435258</v>
      </c>
      <c r="S483" t="s">
        <v>16864</v>
      </c>
      <c r="T483" s="6">
        <v>40848</v>
      </c>
      <c r="U483" s="4">
        <v>235000</v>
      </c>
      <c r="V483" t="s">
        <v>23739</v>
      </c>
      <c r="W483" t="s">
        <v>23959</v>
      </c>
      <c r="X483" t="s">
        <v>3</v>
      </c>
      <c r="AA483" s="5" t="str">
        <f>HYPERLINK("https://www.zillow.com/homes/165-CAMBRIDGE-LN-BLOOMINGDALE-IL-60108_rb/","check listing")</f>
        <v>check listing</v>
      </c>
      <c r="AB483" s="5" t="str">
        <f>HYPERLINK("https://propertylookup.dupagecounty.gov/Datalets/Datalet.aspx?UseSearch=no&amp;mode=sales&amp;pin=0215409011","sales record")</f>
        <v>sales record</v>
      </c>
      <c r="AC483" t="s">
        <v>27873</v>
      </c>
      <c r="AD483">
        <v>41.951852</v>
      </c>
      <c r="AE483">
        <v>-88.077192</v>
      </c>
      <c r="AF483" s="5" t="str">
        <f>HYPERLINK("https://www.google.com/maps/search/?api=1&amp;query=41.951852,-88.077192","map")</f>
        <v>map</v>
      </c>
    </row>
    <row r="484" spans="1:32">
      <c r="A484" t="s">
        <v>534</v>
      </c>
      <c r="B484" t="s">
        <v>8114</v>
      </c>
      <c r="C484" t="s">
        <v>15118</v>
      </c>
      <c r="D484" t="s">
        <v>16196</v>
      </c>
      <c r="E484" t="s">
        <v>16218</v>
      </c>
      <c r="F484" t="s">
        <v>16221</v>
      </c>
      <c r="G484" t="s">
        <v>16236</v>
      </c>
      <c r="H484" t="s">
        <v>16241</v>
      </c>
      <c r="I484" t="s">
        <v>16313</v>
      </c>
      <c r="J484" t="s">
        <v>16385</v>
      </c>
      <c r="K484">
        <v>0.149</v>
      </c>
      <c r="L484">
        <v>6503</v>
      </c>
      <c r="M484">
        <v>2138</v>
      </c>
      <c r="N484" t="s">
        <v>16393</v>
      </c>
      <c r="O484" s="4">
        <v>29656</v>
      </c>
      <c r="P484" s="4">
        <v>130025</v>
      </c>
      <c r="Q484" s="4">
        <v>159681</v>
      </c>
      <c r="R484" s="4">
        <v>479043</v>
      </c>
      <c r="S484" t="s">
        <v>16865</v>
      </c>
      <c r="T484" s="6">
        <v>40210</v>
      </c>
      <c r="U484" s="4">
        <v>375000</v>
      </c>
      <c r="V484" t="s">
        <v>23739</v>
      </c>
      <c r="W484" t="s">
        <v>16865</v>
      </c>
      <c r="X484" t="s">
        <v>3</v>
      </c>
      <c r="AA484" s="5" t="str">
        <f>HYPERLINK("https://www.zillow.com/homes/322-CHESAPEAKE-LN-BLOOMINGDALE-IL-60108_rb/","check listing")</f>
        <v>check listing</v>
      </c>
      <c r="AB484" s="5" t="str">
        <f>HYPERLINK("https://propertylookup.dupagecounty.gov/Datalets/Datalet.aspx?UseSearch=no&amp;mode=sales&amp;pin=0208304012","sales record")</f>
        <v>sales record</v>
      </c>
      <c r="AC484" t="s">
        <v>3</v>
      </c>
      <c r="AD484">
        <v>41.961432</v>
      </c>
      <c r="AE484">
        <v>-88.121939</v>
      </c>
      <c r="AF484" s="5" t="str">
        <f>HYPERLINK("https://www.google.com/maps/search/?api=1&amp;query=41.961432,-88.121939","map")</f>
        <v>map</v>
      </c>
    </row>
    <row r="485" spans="1:32">
      <c r="A485" t="s">
        <v>535</v>
      </c>
      <c r="B485" t="s">
        <v>8115</v>
      </c>
      <c r="C485" t="s">
        <v>15144</v>
      </c>
      <c r="D485" t="s">
        <v>16196</v>
      </c>
      <c r="E485" t="s">
        <v>16218</v>
      </c>
      <c r="F485" t="s">
        <v>16221</v>
      </c>
      <c r="G485" t="s">
        <v>16236</v>
      </c>
      <c r="H485" t="s">
        <v>16241</v>
      </c>
      <c r="I485" t="s">
        <v>16313</v>
      </c>
      <c r="J485" t="s">
        <v>16385</v>
      </c>
      <c r="K485">
        <v>0.149</v>
      </c>
      <c r="L485">
        <v>6480</v>
      </c>
      <c r="M485">
        <v>1979</v>
      </c>
      <c r="N485" t="s">
        <v>16393</v>
      </c>
      <c r="O485" s="4">
        <v>29656</v>
      </c>
      <c r="P485" s="4">
        <v>123224</v>
      </c>
      <c r="Q485" s="4">
        <v>152880</v>
      </c>
      <c r="R485" s="4">
        <v>458640</v>
      </c>
      <c r="S485" t="s">
        <v>16866</v>
      </c>
      <c r="T485" s="6">
        <v>35096</v>
      </c>
      <c r="U485" s="4">
        <v>236720</v>
      </c>
      <c r="X485" t="s">
        <v>3</v>
      </c>
      <c r="AA485" s="5" t="str">
        <f>HYPERLINK("https://www.zillow.com/homes/286-BISCAYNE-ST-BLOOMINGDALE-IL-601083312_rb/","check listing")</f>
        <v>check listing</v>
      </c>
      <c r="AB485" s="5" t="str">
        <f>HYPERLINK("https://propertylookup.dupagecounty.gov/Datalets/Datalet.aspx?UseSearch=no&amp;mode=sales&amp;pin=0208302010","sales record")</f>
        <v>sales record</v>
      </c>
      <c r="AC485" t="s">
        <v>3</v>
      </c>
      <c r="AD485">
        <v>41.963245</v>
      </c>
      <c r="AE485">
        <v>-88.121701</v>
      </c>
      <c r="AF485" s="5" t="str">
        <f>HYPERLINK("https://www.google.com/maps/search/?api=1&amp;query=41.963245,-88.121701","map")</f>
        <v>map</v>
      </c>
    </row>
    <row r="486" spans="1:32">
      <c r="A486" t="s">
        <v>536</v>
      </c>
      <c r="B486" t="s">
        <v>8116</v>
      </c>
      <c r="C486" t="s">
        <v>15118</v>
      </c>
      <c r="D486" t="s">
        <v>16196</v>
      </c>
      <c r="E486" t="s">
        <v>16218</v>
      </c>
      <c r="F486" t="s">
        <v>16221</v>
      </c>
      <c r="G486" t="s">
        <v>16236</v>
      </c>
      <c r="H486" t="s">
        <v>16241</v>
      </c>
      <c r="I486" t="s">
        <v>16313</v>
      </c>
      <c r="J486" t="s">
        <v>16385</v>
      </c>
      <c r="K486">
        <v>0.149</v>
      </c>
      <c r="L486">
        <v>6478</v>
      </c>
      <c r="M486">
        <v>2144</v>
      </c>
      <c r="N486" t="s">
        <v>16393</v>
      </c>
      <c r="O486" s="4">
        <v>29656</v>
      </c>
      <c r="P486" s="4">
        <v>104470</v>
      </c>
      <c r="Q486" s="4">
        <v>134126</v>
      </c>
      <c r="R486" s="4">
        <v>402378</v>
      </c>
      <c r="S486" t="s">
        <v>16867</v>
      </c>
      <c r="T486" s="6">
        <v>37926</v>
      </c>
      <c r="U486" s="4">
        <v>330000</v>
      </c>
      <c r="V486" t="s">
        <v>23739</v>
      </c>
      <c r="W486" t="s">
        <v>23960</v>
      </c>
      <c r="X486" t="s">
        <v>3</v>
      </c>
      <c r="AA486" s="5" t="str">
        <f>HYPERLINK("https://www.zillow.com/homes/288-BISCAYNE-ST-BLOOMINGDALE-IL-60108_rb/","check listing")</f>
        <v>check listing</v>
      </c>
      <c r="AB486" s="5" t="str">
        <f>HYPERLINK("https://propertylookup.dupagecounty.gov/Datalets/Datalet.aspx?UseSearch=no&amp;mode=sales&amp;pin=0208302009","sales record")</f>
        <v>sales record</v>
      </c>
      <c r="AC486" t="s">
        <v>3</v>
      </c>
      <c r="AD486">
        <v>41.963239</v>
      </c>
      <c r="AE486">
        <v>-88.12192400000001</v>
      </c>
      <c r="AF486" s="5" t="str">
        <f>HYPERLINK("https://www.google.com/maps/search/?api=1&amp;query=41.963239,-88.121924","map")</f>
        <v>map</v>
      </c>
    </row>
    <row r="487" spans="1:32">
      <c r="A487" t="s">
        <v>537</v>
      </c>
      <c r="B487" t="s">
        <v>8117</v>
      </c>
      <c r="C487" t="s">
        <v>15118</v>
      </c>
      <c r="D487" t="s">
        <v>16196</v>
      </c>
      <c r="E487" t="s">
        <v>16218</v>
      </c>
      <c r="F487" t="s">
        <v>16221</v>
      </c>
      <c r="G487" t="s">
        <v>16236</v>
      </c>
      <c r="H487" t="s">
        <v>16241</v>
      </c>
      <c r="I487" t="s">
        <v>16313</v>
      </c>
      <c r="J487" t="s">
        <v>16385</v>
      </c>
      <c r="K487">
        <v>0.148</v>
      </c>
      <c r="L487">
        <v>6465</v>
      </c>
      <c r="M487">
        <v>1773</v>
      </c>
      <c r="N487" t="s">
        <v>16393</v>
      </c>
      <c r="O487" s="4">
        <v>29656</v>
      </c>
      <c r="P487" s="4">
        <v>121025</v>
      </c>
      <c r="Q487" s="4">
        <v>150681</v>
      </c>
      <c r="R487" s="4">
        <v>452043</v>
      </c>
      <c r="S487" t="s">
        <v>16868</v>
      </c>
      <c r="T487" s="6">
        <v>34608</v>
      </c>
      <c r="U487" s="4">
        <v>206275</v>
      </c>
      <c r="X487" t="s">
        <v>3</v>
      </c>
      <c r="AA487" s="5" t="str">
        <f>HYPERLINK("https://www.zillow.com/homes/313-CHESAPEAKE-LN-BLOOMINGDALE-IL-60108_rb/","check listing")</f>
        <v>check listing</v>
      </c>
      <c r="AB487" s="5" t="str">
        <f>HYPERLINK("https://propertylookup.dupagecounty.gov/Datalets/Datalet.aspx?UseSearch=no&amp;mode=sales&amp;pin=0208303026","sales record")</f>
        <v>sales record</v>
      </c>
      <c r="AC487" t="s">
        <v>3</v>
      </c>
      <c r="AD487">
        <v>41.961919</v>
      </c>
      <c r="AE487">
        <v>-88.122299</v>
      </c>
      <c r="AF487" s="5" t="str">
        <f>HYPERLINK("https://www.google.com/maps/search/?api=1&amp;query=41.961919,-88.122299","map")</f>
        <v>map</v>
      </c>
    </row>
    <row r="488" spans="1:32">
      <c r="A488" t="s">
        <v>538</v>
      </c>
      <c r="B488" t="s">
        <v>8118</v>
      </c>
      <c r="C488" t="s">
        <v>15118</v>
      </c>
      <c r="D488" t="s">
        <v>16196</v>
      </c>
      <c r="E488" t="s">
        <v>16218</v>
      </c>
      <c r="F488" t="s">
        <v>16221</v>
      </c>
      <c r="G488" t="s">
        <v>16237</v>
      </c>
      <c r="H488" t="s">
        <v>16241</v>
      </c>
      <c r="I488" t="s">
        <v>16313</v>
      </c>
      <c r="J488" t="s">
        <v>16385</v>
      </c>
      <c r="K488">
        <v>0.144</v>
      </c>
      <c r="L488">
        <v>6291</v>
      </c>
      <c r="N488" t="s">
        <v>16393</v>
      </c>
      <c r="O488" s="4">
        <v>18922</v>
      </c>
      <c r="P488" s="4">
        <v>64905</v>
      </c>
      <c r="Q488" s="4">
        <v>83827</v>
      </c>
      <c r="R488" s="4">
        <v>251481</v>
      </c>
      <c r="S488" t="s">
        <v>16869</v>
      </c>
      <c r="T488" s="6">
        <v>38961</v>
      </c>
      <c r="U488" s="4">
        <v>197000</v>
      </c>
      <c r="V488" t="s">
        <v>23739</v>
      </c>
      <c r="W488" t="s">
        <v>16869</v>
      </c>
      <c r="X488" t="s">
        <v>3</v>
      </c>
      <c r="AA488" s="5" t="str">
        <f>HYPERLINK("https://www.zillow.com/homes/223-SIGNATURE-LN-BLOOMINGDALE-IL-60108_rb/","check listing")</f>
        <v>check listing</v>
      </c>
      <c r="AB488" s="5" t="str">
        <f>HYPERLINK("https://propertylookup.dupagecounty.gov/Datalets/Datalet.aspx?UseSearch=no&amp;mode=sales&amp;pin=0223131035","sales record")</f>
        <v>sales record</v>
      </c>
      <c r="AC488" t="s">
        <v>3</v>
      </c>
      <c r="AD488">
        <v>41.946725</v>
      </c>
      <c r="AE488">
        <v>-88.065066</v>
      </c>
      <c r="AF488" s="5" t="str">
        <f>HYPERLINK("https://www.google.com/maps/search/?api=1&amp;query=41.946725,-88.065066","map")</f>
        <v>map</v>
      </c>
    </row>
    <row r="489" spans="1:32">
      <c r="A489" t="s">
        <v>539</v>
      </c>
      <c r="B489" t="s">
        <v>8119</v>
      </c>
      <c r="C489" t="s">
        <v>15118</v>
      </c>
      <c r="D489" t="s">
        <v>16196</v>
      </c>
      <c r="E489" t="s">
        <v>16218</v>
      </c>
      <c r="F489" t="s">
        <v>16221</v>
      </c>
      <c r="G489" t="s">
        <v>16237</v>
      </c>
      <c r="H489" t="s">
        <v>16241</v>
      </c>
      <c r="I489" t="s">
        <v>16313</v>
      </c>
      <c r="J489" t="s">
        <v>16385</v>
      </c>
      <c r="K489">
        <v>0.141</v>
      </c>
      <c r="L489">
        <v>6128</v>
      </c>
      <c r="M489">
        <v>1172</v>
      </c>
      <c r="N489" t="s">
        <v>16393</v>
      </c>
      <c r="O489" s="4">
        <v>18922</v>
      </c>
      <c r="P489" s="4">
        <v>64905</v>
      </c>
      <c r="Q489" s="4">
        <v>83827</v>
      </c>
      <c r="R489" s="4">
        <v>251481</v>
      </c>
      <c r="S489" t="s">
        <v>16870</v>
      </c>
      <c r="T489" s="6">
        <v>32933</v>
      </c>
      <c r="U489" s="4">
        <v>89000</v>
      </c>
      <c r="X489" t="s">
        <v>3</v>
      </c>
      <c r="AA489" s="5" t="str">
        <f>HYPERLINK("https://www.zillow.com/homes/219-TAMARACK-DR-BLOOMINGDALE-IL-60108_rb/","check listing")</f>
        <v>check listing</v>
      </c>
      <c r="AB489" s="5" t="str">
        <f>HYPERLINK("https://propertylookup.dupagecounty.gov/Datalets/Datalet.aspx?UseSearch=no&amp;mode=sales&amp;pin=0223129011","sales record")</f>
        <v>sales record</v>
      </c>
      <c r="AC489" t="s">
        <v>3</v>
      </c>
      <c r="AD489">
        <v>41.947279</v>
      </c>
      <c r="AE489">
        <v>-88.06532300000001</v>
      </c>
      <c r="AF489" s="5" t="str">
        <f>HYPERLINK("https://www.google.com/maps/search/?api=1&amp;query=41.947279,-88.065323","map")</f>
        <v>map</v>
      </c>
    </row>
    <row r="490" spans="1:32">
      <c r="A490" t="s">
        <v>540</v>
      </c>
      <c r="B490" t="s">
        <v>8120</v>
      </c>
      <c r="C490" t="s">
        <v>15118</v>
      </c>
      <c r="D490" t="s">
        <v>16196</v>
      </c>
      <c r="E490" t="s">
        <v>16218</v>
      </c>
      <c r="F490" t="s">
        <v>16221</v>
      </c>
      <c r="G490" t="s">
        <v>16237</v>
      </c>
      <c r="H490" t="s">
        <v>16241</v>
      </c>
      <c r="I490" t="s">
        <v>16313</v>
      </c>
      <c r="J490" t="s">
        <v>16385</v>
      </c>
      <c r="K490">
        <v>0.122</v>
      </c>
      <c r="L490">
        <v>5309</v>
      </c>
      <c r="M490">
        <v>1646</v>
      </c>
      <c r="N490" t="s">
        <v>16393</v>
      </c>
      <c r="O490" s="4">
        <v>18922</v>
      </c>
      <c r="P490" s="4">
        <v>75495</v>
      </c>
      <c r="Q490" s="4">
        <v>94417</v>
      </c>
      <c r="R490" s="4">
        <v>283251</v>
      </c>
      <c r="S490" t="s">
        <v>16871</v>
      </c>
      <c r="T490" s="6">
        <v>45824</v>
      </c>
      <c r="U490" s="4">
        <v>370000</v>
      </c>
      <c r="V490" t="s">
        <v>23739</v>
      </c>
      <c r="W490" t="s">
        <v>23961</v>
      </c>
      <c r="X490" t="s">
        <v>3</v>
      </c>
      <c r="AA490" s="5" t="str">
        <f>HYPERLINK("https://www.zillow.com/homes/230-STANYON-LN-BLOOMINGDALE-IL-60108_rb/","check listing")</f>
        <v>check listing</v>
      </c>
      <c r="AB490" s="5" t="str">
        <f>HYPERLINK("https://propertylookup.dupagecounty.gov/Datalets/Datalet.aspx?UseSearch=no&amp;mode=sales&amp;pin=0223129027","sales record")</f>
        <v>sales record</v>
      </c>
      <c r="AC490" t="s">
        <v>3</v>
      </c>
      <c r="AD490">
        <v>41.945852</v>
      </c>
      <c r="AE490">
        <v>-88.065409</v>
      </c>
      <c r="AF490" s="5" t="str">
        <f>HYPERLINK("https://www.google.com/maps/search/?api=1&amp;query=41.945852,-88.065409","map")</f>
        <v>map</v>
      </c>
    </row>
    <row r="491" spans="1:32">
      <c r="A491" t="s">
        <v>541</v>
      </c>
      <c r="B491" t="s">
        <v>8121</v>
      </c>
      <c r="C491" t="s">
        <v>15118</v>
      </c>
      <c r="D491" t="s">
        <v>16196</v>
      </c>
      <c r="E491" t="s">
        <v>16218</v>
      </c>
      <c r="F491" t="s">
        <v>16221</v>
      </c>
      <c r="G491" t="s">
        <v>16237</v>
      </c>
      <c r="H491" t="s">
        <v>16241</v>
      </c>
      <c r="I491" t="s">
        <v>16313</v>
      </c>
      <c r="J491" t="s">
        <v>16385</v>
      </c>
      <c r="K491">
        <v>0.115</v>
      </c>
      <c r="L491">
        <v>5013</v>
      </c>
      <c r="M491">
        <v>1113</v>
      </c>
      <c r="N491" t="s">
        <v>16393</v>
      </c>
      <c r="O491" s="4">
        <v>18922</v>
      </c>
      <c r="P491" s="4">
        <v>74312</v>
      </c>
      <c r="Q491" s="4">
        <v>93234</v>
      </c>
      <c r="R491" s="4">
        <v>279702</v>
      </c>
      <c r="S491" t="s">
        <v>16872</v>
      </c>
      <c r="T491" s="6">
        <v>41548</v>
      </c>
      <c r="U491" s="4">
        <v>120000</v>
      </c>
      <c r="V491" t="s">
        <v>23739</v>
      </c>
      <c r="W491" t="s">
        <v>23962</v>
      </c>
      <c r="X491" t="s">
        <v>3</v>
      </c>
      <c r="AA491" s="5" t="str">
        <f>HYPERLINK("https://www.zillow.com/homes/240-PEBBLE-CREEK-DR-BLOOMINGDALE-IL-60108_rb/","check listing")</f>
        <v>check listing</v>
      </c>
      <c r="AB491" s="5" t="str">
        <f>HYPERLINK("https://propertylookup.dupagecounty.gov/Datalets/Datalet.aspx?UseSearch=no&amp;mode=sales&amp;pin=0223133054","sales record")</f>
        <v>sales record</v>
      </c>
      <c r="AC491" t="s">
        <v>27873</v>
      </c>
      <c r="AD491">
        <v>41.945264</v>
      </c>
      <c r="AE491">
        <v>-88.062682</v>
      </c>
      <c r="AF491" s="5" t="str">
        <f>HYPERLINK("https://www.google.com/maps/search/?api=1&amp;query=41.945264,-88.062682","map")</f>
        <v>map</v>
      </c>
    </row>
    <row r="492" spans="1:32">
      <c r="A492" t="s">
        <v>542</v>
      </c>
      <c r="B492" t="s">
        <v>8122</v>
      </c>
      <c r="C492" t="s">
        <v>15158</v>
      </c>
      <c r="D492" t="s">
        <v>16196</v>
      </c>
      <c r="E492" t="s">
        <v>16218</v>
      </c>
      <c r="F492" t="s">
        <v>16221</v>
      </c>
      <c r="G492" t="s">
        <v>16237</v>
      </c>
      <c r="H492" t="s">
        <v>16241</v>
      </c>
      <c r="I492" t="s">
        <v>16313</v>
      </c>
      <c r="J492" t="s">
        <v>16385</v>
      </c>
      <c r="K492">
        <v>0.114</v>
      </c>
      <c r="L492">
        <v>4952</v>
      </c>
      <c r="M492">
        <v>1330</v>
      </c>
      <c r="N492" t="s">
        <v>16393</v>
      </c>
      <c r="O492" s="4">
        <v>18922</v>
      </c>
      <c r="P492" s="4">
        <v>74312</v>
      </c>
      <c r="Q492" s="4">
        <v>93234</v>
      </c>
      <c r="R492" s="4">
        <v>279702</v>
      </c>
      <c r="S492" t="s">
        <v>16873</v>
      </c>
      <c r="T492" s="6">
        <v>43040</v>
      </c>
      <c r="U492" s="4">
        <v>199000</v>
      </c>
      <c r="V492" t="s">
        <v>23739</v>
      </c>
      <c r="W492" t="s">
        <v>23963</v>
      </c>
      <c r="X492" t="s">
        <v>3</v>
      </c>
      <c r="AA492" s="5" t="str">
        <f>HYPERLINK("https://www.zillow.com/homes/240-AMBERWOOD-CT-BLOOMINGDALE-IL-601081733_rb/","check listing")</f>
        <v>check listing</v>
      </c>
      <c r="AB492" s="5" t="str">
        <f>HYPERLINK("https://propertylookup.dupagecounty.gov/Datalets/Datalet.aspx?UseSearch=no&amp;mode=sales&amp;pin=0223133038","sales record")</f>
        <v>sales record</v>
      </c>
      <c r="AC492" t="s">
        <v>27873</v>
      </c>
      <c r="AD492">
        <v>41.945128</v>
      </c>
      <c r="AE492">
        <v>-88.064536</v>
      </c>
      <c r="AF492" s="5" t="str">
        <f>HYPERLINK("https://www.google.com/maps/search/?api=1&amp;query=41.945128,-88.064536","map")</f>
        <v>map</v>
      </c>
    </row>
    <row r="493" spans="1:32">
      <c r="A493" t="s">
        <v>543</v>
      </c>
      <c r="B493" t="s">
        <v>8123</v>
      </c>
      <c r="C493" t="s">
        <v>15118</v>
      </c>
      <c r="D493" t="s">
        <v>16196</v>
      </c>
      <c r="E493" t="s">
        <v>16218</v>
      </c>
      <c r="F493" t="s">
        <v>16221</v>
      </c>
      <c r="G493" t="s">
        <v>16237</v>
      </c>
      <c r="H493" t="s">
        <v>16241</v>
      </c>
      <c r="I493" t="s">
        <v>16313</v>
      </c>
      <c r="J493" t="s">
        <v>16385</v>
      </c>
      <c r="K493">
        <v>0.106</v>
      </c>
      <c r="L493">
        <v>4598</v>
      </c>
      <c r="M493">
        <v>1162</v>
      </c>
      <c r="N493" t="s">
        <v>16393</v>
      </c>
      <c r="O493" s="4">
        <v>18922</v>
      </c>
      <c r="P493" s="4">
        <v>74312</v>
      </c>
      <c r="Q493" s="4">
        <v>93234</v>
      </c>
      <c r="R493" s="4">
        <v>279702</v>
      </c>
      <c r="S493" t="s">
        <v>16874</v>
      </c>
      <c r="T493" s="6">
        <v>45523</v>
      </c>
      <c r="U493" s="4">
        <v>350000</v>
      </c>
      <c r="V493" t="s">
        <v>23739</v>
      </c>
      <c r="W493" t="s">
        <v>23964</v>
      </c>
      <c r="X493" t="s">
        <v>3</v>
      </c>
      <c r="AA493" s="5" t="str">
        <f>HYPERLINK("https://www.zillow.com/homes/244-STANYON-LN-BLOOMINGDALE-IL-60108_rb/","check listing")</f>
        <v>check listing</v>
      </c>
      <c r="AB493" s="5" t="str">
        <f>HYPERLINK("https://propertylookup.dupagecounty.gov/Datalets/Datalet.aspx?UseSearch=no&amp;mode=sales&amp;pin=0223129033","sales record")</f>
        <v>sales record</v>
      </c>
      <c r="AC493" t="s">
        <v>27873</v>
      </c>
      <c r="AD493">
        <v>41.944955</v>
      </c>
      <c r="AE493">
        <v>-88.065388</v>
      </c>
      <c r="AF493" s="5" t="str">
        <f>HYPERLINK("https://www.google.com/maps/search/?api=1&amp;query=41.944955,-88.065388","map")</f>
        <v>map</v>
      </c>
    </row>
    <row r="494" spans="1:32">
      <c r="A494" t="s">
        <v>544</v>
      </c>
      <c r="B494" t="s">
        <v>8124</v>
      </c>
      <c r="C494" t="s">
        <v>15159</v>
      </c>
      <c r="D494" t="s">
        <v>16196</v>
      </c>
      <c r="E494" t="s">
        <v>16218</v>
      </c>
      <c r="F494" t="s">
        <v>16221</v>
      </c>
      <c r="G494" t="s">
        <v>16237</v>
      </c>
      <c r="H494" t="s">
        <v>16241</v>
      </c>
      <c r="I494" t="s">
        <v>16313</v>
      </c>
      <c r="J494" t="s">
        <v>16385</v>
      </c>
      <c r="K494">
        <v>0.105</v>
      </c>
      <c r="L494">
        <v>4557</v>
      </c>
      <c r="M494">
        <v>1260</v>
      </c>
      <c r="N494" t="s">
        <v>16393</v>
      </c>
      <c r="O494" s="4">
        <v>18922</v>
      </c>
      <c r="P494" s="4">
        <v>65849</v>
      </c>
      <c r="Q494" s="4">
        <v>84771</v>
      </c>
      <c r="R494" s="4">
        <v>254313</v>
      </c>
      <c r="S494" t="s">
        <v>16875</v>
      </c>
      <c r="T494" s="6">
        <v>44075</v>
      </c>
      <c r="U494" s="4">
        <v>202000</v>
      </c>
      <c r="V494" t="s">
        <v>23739</v>
      </c>
      <c r="W494" t="s">
        <v>16875</v>
      </c>
      <c r="X494" t="s">
        <v>3</v>
      </c>
      <c r="AA494" s="5" t="str">
        <f>HYPERLINK("https://www.zillow.com/homes/240-COVENTRY-CT-BLOOMINGDALE-IL-601081734_rb/","check listing")</f>
        <v>check listing</v>
      </c>
      <c r="AB494" s="5" t="str">
        <f>HYPERLINK("https://propertylookup.dupagecounty.gov/Datalets/Datalet.aspx?UseSearch=no&amp;mode=sales&amp;pin=0223133062","sales record")</f>
        <v>sales record</v>
      </c>
      <c r="AC494" t="s">
        <v>3</v>
      </c>
      <c r="AD494">
        <v>41.945211</v>
      </c>
      <c r="AE494">
        <v>-88.063609</v>
      </c>
      <c r="AF494" s="5" t="str">
        <f>HYPERLINK("https://www.google.com/maps/search/?api=1&amp;query=41.945211,-88.063609","map")</f>
        <v>map</v>
      </c>
    </row>
    <row r="495" spans="1:32">
      <c r="A495" t="s">
        <v>545</v>
      </c>
      <c r="B495" t="s">
        <v>8125</v>
      </c>
      <c r="C495" t="s">
        <v>15118</v>
      </c>
      <c r="D495" t="s">
        <v>16196</v>
      </c>
      <c r="E495" t="s">
        <v>16218</v>
      </c>
      <c r="F495" t="s">
        <v>16221</v>
      </c>
      <c r="G495" t="s">
        <v>16237</v>
      </c>
      <c r="H495" t="s">
        <v>16241</v>
      </c>
      <c r="I495" t="s">
        <v>16313</v>
      </c>
      <c r="J495" t="s">
        <v>16385</v>
      </c>
      <c r="K495">
        <v>0.094</v>
      </c>
      <c r="L495">
        <v>4087</v>
      </c>
      <c r="M495">
        <v>1526</v>
      </c>
      <c r="N495" t="s">
        <v>16393</v>
      </c>
      <c r="O495" s="4">
        <v>18922</v>
      </c>
      <c r="P495" s="4">
        <v>75495</v>
      </c>
      <c r="Q495" s="4">
        <v>94417</v>
      </c>
      <c r="R495" s="4">
        <v>283251</v>
      </c>
      <c r="S495" t="s">
        <v>16876</v>
      </c>
      <c r="T495" s="6">
        <v>42614</v>
      </c>
      <c r="U495" s="4">
        <v>126500</v>
      </c>
      <c r="V495" t="s">
        <v>23739</v>
      </c>
      <c r="W495" t="s">
        <v>16876</v>
      </c>
      <c r="X495" t="s">
        <v>3</v>
      </c>
      <c r="AA495" s="5" t="str">
        <f>HYPERLINK("https://www.zillow.com/homes/241-AMBERWOOD-CT-BLOOMINGDALE-IL-60108_rb/","check listing")</f>
        <v>check listing</v>
      </c>
      <c r="AB495" s="5" t="str">
        <f>HYPERLINK("https://propertylookup.dupagecounty.gov/Datalets/Datalet.aspx?UseSearch=no&amp;mode=sales&amp;pin=0223133043","sales record")</f>
        <v>sales record</v>
      </c>
      <c r="AC495" t="s">
        <v>27873</v>
      </c>
      <c r="AD495">
        <v>41.945202</v>
      </c>
      <c r="AE495">
        <v>-88.063937</v>
      </c>
      <c r="AF495" s="5" t="str">
        <f>HYPERLINK("https://www.google.com/maps/search/?api=1&amp;query=41.945202,-88.063937","map")</f>
        <v>map</v>
      </c>
    </row>
    <row r="496" spans="1:32">
      <c r="A496" t="s">
        <v>546</v>
      </c>
      <c r="B496" t="s">
        <v>8126</v>
      </c>
      <c r="C496" t="s">
        <v>15118</v>
      </c>
      <c r="D496" t="s">
        <v>16196</v>
      </c>
      <c r="E496" t="s">
        <v>16218</v>
      </c>
      <c r="F496" t="s">
        <v>16221</v>
      </c>
      <c r="G496" t="s">
        <v>16237</v>
      </c>
      <c r="H496" t="s">
        <v>16241</v>
      </c>
      <c r="I496" t="s">
        <v>16313</v>
      </c>
      <c r="J496" t="s">
        <v>16385</v>
      </c>
      <c r="K496">
        <v>0.077</v>
      </c>
      <c r="L496">
        <v>3374</v>
      </c>
      <c r="N496" t="s">
        <v>16393</v>
      </c>
      <c r="O496" s="4">
        <v>21862</v>
      </c>
      <c r="P496" s="4">
        <v>50167</v>
      </c>
      <c r="Q496" s="4">
        <v>72029</v>
      </c>
      <c r="R496" s="4">
        <v>216087</v>
      </c>
      <c r="S496" t="s">
        <v>16877</v>
      </c>
      <c r="T496" s="6">
        <v>29252</v>
      </c>
      <c r="U496" s="4">
        <v>63500</v>
      </c>
      <c r="X496" t="s">
        <v>3</v>
      </c>
      <c r="AA496" s="5" t="str">
        <f>HYPERLINK("https://www.zillow.com/homes/201-EDGEWATER-DR-BLOOMINGDALE-IL-60108_rb/","check listing")</f>
        <v>check listing</v>
      </c>
      <c r="AB496" s="5" t="str">
        <f>HYPERLINK("https://propertylookup.dupagecounty.gov/Datalets/Datalet.aspx?UseSearch=no&amp;mode=sales&amp;pin=0223106001","sales record")</f>
        <v>sales record</v>
      </c>
      <c r="AC496" t="s">
        <v>3</v>
      </c>
      <c r="AD496">
        <v>41.945588</v>
      </c>
      <c r="AE496">
        <v>-88.071631</v>
      </c>
      <c r="AF496" s="5" t="str">
        <f>HYPERLINK("https://www.google.com/maps/search/?api=1&amp;query=41.945588,-88.071631","map")</f>
        <v>map</v>
      </c>
    </row>
    <row r="497" spans="1:32">
      <c r="A497" t="s">
        <v>547</v>
      </c>
      <c r="B497" t="s">
        <v>8127</v>
      </c>
      <c r="C497" t="s">
        <v>15118</v>
      </c>
      <c r="D497" t="s">
        <v>16196</v>
      </c>
      <c r="E497" t="s">
        <v>16218</v>
      </c>
      <c r="F497" t="s">
        <v>16221</v>
      </c>
      <c r="G497" t="s">
        <v>16237</v>
      </c>
      <c r="H497" t="s">
        <v>16241</v>
      </c>
      <c r="I497" t="s">
        <v>16313</v>
      </c>
      <c r="J497" t="s">
        <v>16385</v>
      </c>
      <c r="K497">
        <v>0.077</v>
      </c>
      <c r="L497">
        <v>3351</v>
      </c>
      <c r="N497" t="s">
        <v>16393</v>
      </c>
      <c r="O497" s="4">
        <v>21862</v>
      </c>
      <c r="P497" s="4">
        <v>49999</v>
      </c>
      <c r="Q497" s="4">
        <v>71861</v>
      </c>
      <c r="R497" s="4">
        <v>215583</v>
      </c>
      <c r="S497" t="s">
        <v>16878</v>
      </c>
      <c r="T497" s="6">
        <v>35339</v>
      </c>
      <c r="U497" s="4">
        <v>95000</v>
      </c>
      <c r="X497" t="s">
        <v>3</v>
      </c>
      <c r="AA497" s="5" t="str">
        <f>HYPERLINK("https://www.zillow.com/homes/229-LAKEVIEW-LN-BLOOMINGDALE-IL-60108_rb/","check listing")</f>
        <v>check listing</v>
      </c>
      <c r="AB497" s="5" t="str">
        <f>HYPERLINK("https://propertylookup.dupagecounty.gov/Datalets/Datalet.aspx?UseSearch=no&amp;mode=sales&amp;pin=0223106012","sales record")</f>
        <v>sales record</v>
      </c>
      <c r="AC497" t="s">
        <v>3</v>
      </c>
      <c r="AD497">
        <v>41.946195</v>
      </c>
      <c r="AE497">
        <v>-88.071026</v>
      </c>
      <c r="AF497" s="5" t="str">
        <f>HYPERLINK("https://www.google.com/maps/search/?api=1&amp;query=41.946195,-88.071026","map")</f>
        <v>map</v>
      </c>
    </row>
    <row r="498" spans="1:32">
      <c r="A498" t="s">
        <v>548</v>
      </c>
      <c r="B498" t="s">
        <v>8128</v>
      </c>
      <c r="C498" t="s">
        <v>15118</v>
      </c>
      <c r="D498" t="s">
        <v>16196</v>
      </c>
      <c r="E498" t="s">
        <v>16218</v>
      </c>
      <c r="F498" t="s">
        <v>16221</v>
      </c>
      <c r="G498" t="s">
        <v>16237</v>
      </c>
      <c r="H498" t="s">
        <v>16241</v>
      </c>
      <c r="I498" t="s">
        <v>16313</v>
      </c>
      <c r="J498" t="s">
        <v>16385</v>
      </c>
      <c r="K498">
        <v>0.077</v>
      </c>
      <c r="L498">
        <v>3346</v>
      </c>
      <c r="N498" t="s">
        <v>16393</v>
      </c>
      <c r="O498" s="4">
        <v>21862</v>
      </c>
      <c r="P498" s="4">
        <v>47943</v>
      </c>
      <c r="Q498" s="4">
        <v>69805</v>
      </c>
      <c r="R498" s="4">
        <v>209415</v>
      </c>
      <c r="S498" t="s">
        <v>16879</v>
      </c>
      <c r="T498" s="6">
        <v>34090</v>
      </c>
      <c r="U498" s="4">
        <v>93000</v>
      </c>
      <c r="X498" t="s">
        <v>3</v>
      </c>
      <c r="AA498" s="5" t="str">
        <f>HYPERLINK("https://www.zillow.com/homes/217-LAKEVIEW-LN-BLOOMINGDALE-IL-60108_rb/","check listing")</f>
        <v>check listing</v>
      </c>
      <c r="AB498" s="5" t="str">
        <f>HYPERLINK("https://propertylookup.dupagecounty.gov/Datalets/Datalet.aspx?UseSearch=no&amp;mode=sales&amp;pin=0223106018","sales record")</f>
        <v>sales record</v>
      </c>
      <c r="AC498" t="s">
        <v>3</v>
      </c>
      <c r="AD498">
        <v>41.946472</v>
      </c>
      <c r="AE498">
        <v>-88.070657</v>
      </c>
      <c r="AF498" s="5" t="str">
        <f>HYPERLINK("https://www.google.com/maps/search/?api=1&amp;query=41.946472,-88.070657","map")</f>
        <v>map</v>
      </c>
    </row>
    <row r="499" spans="1:32">
      <c r="A499" t="s">
        <v>549</v>
      </c>
      <c r="B499" t="s">
        <v>8129</v>
      </c>
      <c r="C499" t="s">
        <v>15160</v>
      </c>
      <c r="D499" t="s">
        <v>16196</v>
      </c>
      <c r="E499" t="s">
        <v>16218</v>
      </c>
      <c r="F499" t="s">
        <v>16221</v>
      </c>
      <c r="G499" t="s">
        <v>16237</v>
      </c>
      <c r="H499" t="s">
        <v>16241</v>
      </c>
      <c r="I499" t="s">
        <v>16313</v>
      </c>
      <c r="J499" t="s">
        <v>16385</v>
      </c>
      <c r="K499">
        <v>0.074</v>
      </c>
      <c r="L499">
        <v>3223</v>
      </c>
      <c r="N499" t="s">
        <v>16393</v>
      </c>
      <c r="O499" s="4">
        <v>21862</v>
      </c>
      <c r="P499" s="4">
        <v>53371</v>
      </c>
      <c r="Q499" s="4">
        <v>75233</v>
      </c>
      <c r="R499" s="4">
        <v>225699</v>
      </c>
      <c r="S499" t="s">
        <v>16880</v>
      </c>
      <c r="T499" s="6">
        <v>42887</v>
      </c>
      <c r="U499" s="4">
        <v>158000</v>
      </c>
      <c r="V499" t="s">
        <v>23739</v>
      </c>
      <c r="W499" t="s">
        <v>23965</v>
      </c>
      <c r="X499" t="s">
        <v>3</v>
      </c>
      <c r="AA499" s="5" t="str">
        <f>HYPERLINK("https://www.zillow.com/homes/215-PINEWOOD-LN-BLOOMINGDALE-IL-601082122_rb/","check listing")</f>
        <v>check listing</v>
      </c>
      <c r="AB499" s="5" t="str">
        <f>HYPERLINK("https://propertylookup.dupagecounty.gov/Datalets/Datalet.aspx?UseSearch=no&amp;mode=sales&amp;pin=0223114019","sales record")</f>
        <v>sales record</v>
      </c>
      <c r="AC499" t="s">
        <v>3</v>
      </c>
      <c r="AD499">
        <v>41.939846</v>
      </c>
      <c r="AE499">
        <v>-88.06618</v>
      </c>
      <c r="AF499" s="5" t="str">
        <f>HYPERLINK("https://www.google.com/maps/search/?api=1&amp;query=41.939846,-88.06618","map")</f>
        <v>map</v>
      </c>
    </row>
    <row r="500" spans="1:32">
      <c r="A500" t="s">
        <v>550</v>
      </c>
      <c r="B500" t="s">
        <v>8130</v>
      </c>
      <c r="C500" t="s">
        <v>15161</v>
      </c>
      <c r="D500" t="s">
        <v>16196</v>
      </c>
      <c r="E500" t="s">
        <v>16218</v>
      </c>
      <c r="F500" t="s">
        <v>16221</v>
      </c>
      <c r="G500" t="s">
        <v>16237</v>
      </c>
      <c r="H500" t="s">
        <v>16241</v>
      </c>
      <c r="I500" t="s">
        <v>16313</v>
      </c>
      <c r="J500" t="s">
        <v>16385</v>
      </c>
      <c r="K500">
        <v>0.073</v>
      </c>
      <c r="L500">
        <v>3175</v>
      </c>
      <c r="M500">
        <v>855</v>
      </c>
      <c r="N500" t="s">
        <v>16393</v>
      </c>
      <c r="O500" s="4">
        <v>21862</v>
      </c>
      <c r="P500" s="4">
        <v>55594</v>
      </c>
      <c r="Q500" s="4">
        <v>77456</v>
      </c>
      <c r="R500" s="4">
        <v>232368</v>
      </c>
      <c r="S500" t="s">
        <v>16881</v>
      </c>
      <c r="T500" s="6">
        <v>43983</v>
      </c>
      <c r="U500" s="4">
        <v>224000</v>
      </c>
      <c r="V500" t="s">
        <v>23739</v>
      </c>
      <c r="W500" t="s">
        <v>23966</v>
      </c>
      <c r="X500" t="s">
        <v>3</v>
      </c>
      <c r="AA500" s="5" t="str">
        <f>HYPERLINK("https://www.zillow.com/homes/216-CLEARBROOK-LN-BLOOMINGDALE-IL-601081901_rb/","check listing")</f>
        <v>check listing</v>
      </c>
      <c r="AB500" s="5" t="str">
        <f>HYPERLINK("https://propertylookup.dupagecounty.gov/Datalets/Datalet.aspx?UseSearch=no&amp;mode=sales&amp;pin=0223102021","sales record")</f>
        <v>sales record</v>
      </c>
      <c r="AC500" t="s">
        <v>3</v>
      </c>
      <c r="AD500">
        <v>41.944167</v>
      </c>
      <c r="AE500">
        <v>-88.068505</v>
      </c>
      <c r="AF500" s="5" t="str">
        <f>HYPERLINK("https://www.google.com/maps/search/?api=1&amp;query=41.944167,-88.068505","map")</f>
        <v>map</v>
      </c>
    </row>
    <row r="501" spans="1:32">
      <c r="A501" t="s">
        <v>551</v>
      </c>
      <c r="B501" t="s">
        <v>8131</v>
      </c>
      <c r="C501" t="s">
        <v>15162</v>
      </c>
      <c r="D501" t="s">
        <v>16196</v>
      </c>
      <c r="E501" t="s">
        <v>16218</v>
      </c>
      <c r="F501" t="s">
        <v>16221</v>
      </c>
      <c r="G501" t="s">
        <v>16237</v>
      </c>
      <c r="H501" t="s">
        <v>16241</v>
      </c>
      <c r="I501" t="s">
        <v>16313</v>
      </c>
      <c r="J501" t="s">
        <v>16385</v>
      </c>
      <c r="K501">
        <v>0.07199999999999999</v>
      </c>
      <c r="L501">
        <v>3158</v>
      </c>
      <c r="N501" t="s">
        <v>16393</v>
      </c>
      <c r="O501" s="4">
        <v>21862</v>
      </c>
      <c r="P501" s="4">
        <v>47943</v>
      </c>
      <c r="Q501" s="4">
        <v>69805</v>
      </c>
      <c r="R501" s="4">
        <v>209415</v>
      </c>
      <c r="S501" t="s">
        <v>16882</v>
      </c>
      <c r="T501" s="6">
        <v>42125</v>
      </c>
      <c r="U501" s="4">
        <v>135000</v>
      </c>
      <c r="V501" t="s">
        <v>23739</v>
      </c>
      <c r="W501" t="s">
        <v>16882</v>
      </c>
      <c r="X501" t="s">
        <v>3</v>
      </c>
      <c r="AA501" s="5" t="str">
        <f>HYPERLINK("https://www.zillow.com/homes/248-COLONY-GREEN-DR-BLOOMINGDALE-IL-601082115_rb/","check listing")</f>
        <v>check listing</v>
      </c>
      <c r="AB501" s="5" t="str">
        <f>HYPERLINK("https://propertylookup.dupagecounty.gov/Datalets/Datalet.aspx?UseSearch=no&amp;mode=sales&amp;pin=0223110021","sales record")</f>
        <v>sales record</v>
      </c>
      <c r="AC501" t="s">
        <v>3</v>
      </c>
      <c r="AD501">
        <v>41.941966</v>
      </c>
      <c r="AE501">
        <v>-88.065602</v>
      </c>
      <c r="AF501" s="5" t="str">
        <f>HYPERLINK("https://www.google.com/maps/search/?api=1&amp;query=41.941966,-88.065602","map")</f>
        <v>map</v>
      </c>
    </row>
    <row r="502" spans="1:32">
      <c r="A502" t="s">
        <v>552</v>
      </c>
      <c r="B502" t="s">
        <v>8132</v>
      </c>
      <c r="C502" t="s">
        <v>15163</v>
      </c>
      <c r="D502" t="s">
        <v>16196</v>
      </c>
      <c r="E502" t="s">
        <v>16218</v>
      </c>
      <c r="F502" t="s">
        <v>16221</v>
      </c>
      <c r="G502" t="s">
        <v>16237</v>
      </c>
      <c r="H502" t="s">
        <v>16241</v>
      </c>
      <c r="I502" t="s">
        <v>16313</v>
      </c>
      <c r="J502" t="s">
        <v>16385</v>
      </c>
      <c r="K502">
        <v>0.07199999999999999</v>
      </c>
      <c r="L502">
        <v>3154</v>
      </c>
      <c r="N502" t="s">
        <v>16393</v>
      </c>
      <c r="O502" s="4">
        <v>21862</v>
      </c>
      <c r="P502" s="4">
        <v>58510</v>
      </c>
      <c r="Q502" s="4">
        <v>80372</v>
      </c>
      <c r="R502" s="4">
        <v>241116</v>
      </c>
      <c r="S502" t="s">
        <v>16883</v>
      </c>
      <c r="T502" s="6">
        <v>43831</v>
      </c>
      <c r="U502" s="4">
        <v>170000</v>
      </c>
      <c r="V502" t="s">
        <v>23740</v>
      </c>
      <c r="W502" t="s">
        <v>23967</v>
      </c>
      <c r="X502" t="s">
        <v>3</v>
      </c>
      <c r="AA502" s="5" t="str">
        <f>HYPERLINK("https://www.zillow.com/homes/312-EDGEWATER-DR-BLOOMINGDALE-IL-601081975_rb/","check listing")</f>
        <v>check listing</v>
      </c>
      <c r="AB502" s="5" t="str">
        <f>HYPERLINK("https://propertylookup.dupagecounty.gov/Datalets/Datalet.aspx?UseSearch=no&amp;mode=sales&amp;pin=0223105008","sales record")</f>
        <v>sales record</v>
      </c>
      <c r="AC502" t="s">
        <v>3</v>
      </c>
      <c r="AD502">
        <v>41.942153</v>
      </c>
      <c r="AE502">
        <v>-88.06710200000001</v>
      </c>
      <c r="AF502" s="5" t="str">
        <f>HYPERLINK("https://www.google.com/maps/search/?api=1&amp;query=41.942153,-88.067102","map")</f>
        <v>map</v>
      </c>
    </row>
    <row r="503" spans="1:32">
      <c r="A503" t="s">
        <v>553</v>
      </c>
      <c r="B503" t="s">
        <v>8133</v>
      </c>
      <c r="C503" t="s">
        <v>15118</v>
      </c>
      <c r="D503" t="s">
        <v>16196</v>
      </c>
      <c r="E503" t="s">
        <v>16218</v>
      </c>
      <c r="F503" t="s">
        <v>16221</v>
      </c>
      <c r="G503" t="s">
        <v>16237</v>
      </c>
      <c r="H503" t="s">
        <v>16241</v>
      </c>
      <c r="I503" t="s">
        <v>16313</v>
      </c>
      <c r="J503" t="s">
        <v>16385</v>
      </c>
      <c r="K503">
        <v>0.07099999999999999</v>
      </c>
      <c r="L503">
        <v>3076</v>
      </c>
      <c r="M503">
        <v>656</v>
      </c>
      <c r="N503" t="s">
        <v>16393</v>
      </c>
      <c r="O503" s="4">
        <v>21862</v>
      </c>
      <c r="P503" s="4">
        <v>67296</v>
      </c>
      <c r="Q503" s="4">
        <v>89158</v>
      </c>
      <c r="R503" s="4">
        <v>267474</v>
      </c>
      <c r="S503" t="s">
        <v>16884</v>
      </c>
      <c r="T503" s="6">
        <v>29495</v>
      </c>
      <c r="U503" s="4">
        <v>62000</v>
      </c>
      <c r="X503" t="s">
        <v>3</v>
      </c>
      <c r="AA503" s="5" t="str">
        <f>HYPERLINK("https://www.zillow.com/homes/263-EDGEWATER-DR-BLOOMINGDALE-IL-60108_rb/","check listing")</f>
        <v>check listing</v>
      </c>
      <c r="AB503" s="5" t="str">
        <f>HYPERLINK("https://propertylookup.dupagecounty.gov/Datalets/Datalet.aspx?UseSearch=no&amp;mode=sales&amp;pin=0223103001","sales record")</f>
        <v>sales record</v>
      </c>
      <c r="AC503" t="s">
        <v>3</v>
      </c>
      <c r="AD503">
        <v>41.943323</v>
      </c>
      <c r="AE503">
        <v>-88.069641</v>
      </c>
      <c r="AF503" s="5" t="str">
        <f>HYPERLINK("https://www.google.com/maps/search/?api=1&amp;query=41.943323,-88.069641","map")</f>
        <v>map</v>
      </c>
    </row>
    <row r="504" spans="1:32">
      <c r="A504" t="s">
        <v>554</v>
      </c>
      <c r="B504" t="s">
        <v>8134</v>
      </c>
      <c r="C504" t="s">
        <v>15118</v>
      </c>
      <c r="D504" t="s">
        <v>16196</v>
      </c>
      <c r="E504" t="s">
        <v>16218</v>
      </c>
      <c r="F504" t="s">
        <v>16221</v>
      </c>
      <c r="G504" t="s">
        <v>16237</v>
      </c>
      <c r="H504" t="s">
        <v>16241</v>
      </c>
      <c r="I504" t="s">
        <v>16313</v>
      </c>
      <c r="J504" t="s">
        <v>16385</v>
      </c>
      <c r="K504">
        <v>0.07000000000000001</v>
      </c>
      <c r="L504">
        <v>3035</v>
      </c>
      <c r="N504" t="s">
        <v>16393</v>
      </c>
      <c r="O504" s="4">
        <v>21862</v>
      </c>
      <c r="P504" s="4">
        <v>47943</v>
      </c>
      <c r="Q504" s="4">
        <v>69805</v>
      </c>
      <c r="R504" s="4">
        <v>209415</v>
      </c>
      <c r="S504" t="s">
        <v>16885</v>
      </c>
      <c r="X504" t="s">
        <v>3</v>
      </c>
      <c r="AA504" s="5" t="str">
        <f>HYPERLINK("https://www.zillow.com/homes/227-DRIFTWOOD-LN-BLOOMINGDALE-IL-60108_rb/","check listing")</f>
        <v>check listing</v>
      </c>
      <c r="AB504" s="5" t="str">
        <f>HYPERLINK("https://propertylookup.dupagecounty.gov/Datalets/Datalet.aspx?UseSearch=no&amp;mode=sales&amp;pin=0223109011","sales record")</f>
        <v>sales record</v>
      </c>
      <c r="AC504" t="s">
        <v>3</v>
      </c>
      <c r="AD504">
        <v>41.944977</v>
      </c>
      <c r="AE504">
        <v>-88.06966300000001</v>
      </c>
      <c r="AF504" s="5" t="str">
        <f>HYPERLINK("https://www.google.com/maps/search/?api=1&amp;query=41.944977,-88.069663","map")</f>
        <v>map</v>
      </c>
    </row>
    <row r="505" spans="1:32">
      <c r="A505" t="s">
        <v>555</v>
      </c>
      <c r="B505" t="s">
        <v>8135</v>
      </c>
      <c r="C505" t="s">
        <v>15118</v>
      </c>
      <c r="D505" t="s">
        <v>16196</v>
      </c>
      <c r="E505" t="s">
        <v>16217</v>
      </c>
      <c r="F505" t="s">
        <v>16221</v>
      </c>
      <c r="G505" t="s">
        <v>16236</v>
      </c>
      <c r="H505" t="s">
        <v>16241</v>
      </c>
      <c r="I505" t="s">
        <v>16313</v>
      </c>
      <c r="J505" t="s">
        <v>16385</v>
      </c>
      <c r="K505">
        <v>2.609</v>
      </c>
      <c r="L505">
        <v>113663</v>
      </c>
      <c r="N505" t="s">
        <v>16392</v>
      </c>
      <c r="O505" s="4">
        <v>364102</v>
      </c>
      <c r="P505" s="4">
        <v>0</v>
      </c>
      <c r="Q505" s="4">
        <v>364102</v>
      </c>
      <c r="R505" s="4">
        <v>1092306</v>
      </c>
      <c r="S505" t="s">
        <v>16886</v>
      </c>
      <c r="X505" t="s">
        <v>3</v>
      </c>
      <c r="AA505" s="5" t="str">
        <f>HYPERLINK("https://www.zillow.com/homes/318-EDGEWATER-DR-BLOOMINGDALE-IL-60108_rb/","check listing")</f>
        <v>check listing</v>
      </c>
      <c r="AB505" s="5" t="str">
        <f>HYPERLINK("https://propertylookup.dupagecounty.gov/Datalets/Datalet.aspx?UseSearch=no&amp;mode=sales&amp;pin=0223124068","sales record")</f>
        <v>sales record</v>
      </c>
      <c r="AC505" t="s">
        <v>3</v>
      </c>
      <c r="AD505">
        <v>41.943105</v>
      </c>
      <c r="AE505">
        <v>-88.064457</v>
      </c>
      <c r="AF505" s="5" t="str">
        <f>HYPERLINK("https://www.google.com/maps/search/?api=1&amp;query=41.943105,-88.064457","map")</f>
        <v>map</v>
      </c>
    </row>
    <row r="506" spans="1:32">
      <c r="A506" t="s">
        <v>556</v>
      </c>
      <c r="B506" t="s">
        <v>8136</v>
      </c>
      <c r="C506" t="s">
        <v>15118</v>
      </c>
      <c r="D506" t="s">
        <v>16196</v>
      </c>
      <c r="E506" t="s">
        <v>16217</v>
      </c>
      <c r="F506" t="s">
        <v>16221</v>
      </c>
      <c r="G506" t="s">
        <v>16236</v>
      </c>
      <c r="H506" t="s">
        <v>16241</v>
      </c>
      <c r="I506" t="s">
        <v>16313</v>
      </c>
      <c r="J506" t="s">
        <v>16385</v>
      </c>
      <c r="K506">
        <v>2.098</v>
      </c>
      <c r="L506">
        <v>91380</v>
      </c>
      <c r="N506" t="s">
        <v>16392</v>
      </c>
      <c r="O506" s="4">
        <v>310014</v>
      </c>
      <c r="P506" s="4">
        <v>0</v>
      </c>
      <c r="Q506" s="4">
        <v>310014</v>
      </c>
      <c r="R506" s="4">
        <v>930042</v>
      </c>
      <c r="S506" t="s">
        <v>16886</v>
      </c>
      <c r="X506" t="s">
        <v>27865</v>
      </c>
      <c r="Y506" s="5" t="str">
        <f>HYPERLINK("https://www.cbre.com/properties/properties-for-lease/land/details/US-SMPL-185930/321-edgewater-drive-bloomingdale-il-60108","listing")</f>
        <v>listing</v>
      </c>
      <c r="Z506" s="4">
        <v>2500000</v>
      </c>
      <c r="AA506" s="5" t="str">
        <f>HYPERLINK("https://www.zillow.com/homes/321-EDGEWATER-DR-BLOOMINGDALE-IL-60108_rb/","check listing")</f>
        <v>check listing</v>
      </c>
      <c r="AB506" s="5" t="str">
        <f>HYPERLINK("https://propertylookup.dupagecounty.gov/Datalets/Datalet.aspx?UseSearch=no&amp;mode=sales&amp;pin=0223124065","sales record")</f>
        <v>sales record</v>
      </c>
      <c r="AC506" t="s">
        <v>3</v>
      </c>
      <c r="AD506">
        <v>41.942596</v>
      </c>
      <c r="AE506">
        <v>-88.064137</v>
      </c>
      <c r="AF506" s="5" t="str">
        <f>HYPERLINK("https://www.google.com/maps/search/?api=1&amp;query=41.942596,-88.064137","map")</f>
        <v>map</v>
      </c>
    </row>
    <row r="507" spans="1:32">
      <c r="A507" t="s">
        <v>557</v>
      </c>
      <c r="B507" t="s">
        <v>8137</v>
      </c>
      <c r="C507" t="s">
        <v>15118</v>
      </c>
      <c r="D507" t="s">
        <v>16196</v>
      </c>
      <c r="E507" t="s">
        <v>16217</v>
      </c>
      <c r="F507" t="s">
        <v>16221</v>
      </c>
      <c r="G507" t="s">
        <v>16236</v>
      </c>
      <c r="H507" t="s">
        <v>16241</v>
      </c>
      <c r="I507" t="s">
        <v>16313</v>
      </c>
      <c r="J507" t="s">
        <v>16385</v>
      </c>
      <c r="K507">
        <v>0.234</v>
      </c>
      <c r="L507">
        <v>10207</v>
      </c>
      <c r="N507" t="s">
        <v>16392</v>
      </c>
      <c r="O507" s="4">
        <v>37485</v>
      </c>
      <c r="P507" s="4">
        <v>0</v>
      </c>
      <c r="Q507" s="4">
        <v>37485</v>
      </c>
      <c r="R507" s="4">
        <v>112455</v>
      </c>
      <c r="S507" t="s">
        <v>16887</v>
      </c>
      <c r="T507" s="6">
        <v>42339</v>
      </c>
      <c r="U507" s="4">
        <v>154000</v>
      </c>
      <c r="V507" t="s">
        <v>23739</v>
      </c>
      <c r="W507" t="s">
        <v>23968</v>
      </c>
      <c r="X507" t="s">
        <v>3</v>
      </c>
      <c r="AA507" s="5" t="str">
        <f>HYPERLINK("https://www.zillow.com/homes/267-E-LAKE-ST-BLOOMINGDALE-IL-60108_rb/","check listing")</f>
        <v>check listing</v>
      </c>
      <c r="AB507" s="5" t="str">
        <f>HYPERLINK("https://propertylookup.dupagecounty.gov/Datalets/Datalet.aspx?UseSearch=no&amp;mode=sales&amp;pin=0214107042","sales record")</f>
        <v>sales record</v>
      </c>
      <c r="AC507" t="s">
        <v>27872</v>
      </c>
      <c r="AD507">
        <v>41.958078</v>
      </c>
      <c r="AE507">
        <v>-88.06317900000001</v>
      </c>
      <c r="AF507" s="5" t="str">
        <f>HYPERLINK("https://www.google.com/maps/search/?api=1&amp;query=41.958078,-88.063179","map")</f>
        <v>map</v>
      </c>
    </row>
    <row r="508" spans="1:32">
      <c r="A508" t="s">
        <v>558</v>
      </c>
      <c r="B508" t="s">
        <v>8138</v>
      </c>
      <c r="C508" t="s">
        <v>15118</v>
      </c>
      <c r="D508" t="s">
        <v>16196</v>
      </c>
      <c r="E508" t="s">
        <v>16217</v>
      </c>
      <c r="F508" t="s">
        <v>16221</v>
      </c>
      <c r="G508" t="s">
        <v>16236</v>
      </c>
      <c r="H508" t="s">
        <v>16241</v>
      </c>
      <c r="I508" t="s">
        <v>16313</v>
      </c>
      <c r="J508" t="s">
        <v>16385</v>
      </c>
      <c r="K508">
        <v>0.06900000000000001</v>
      </c>
      <c r="L508">
        <v>3020</v>
      </c>
      <c r="N508" t="s">
        <v>16392</v>
      </c>
      <c r="O508" s="4">
        <v>8726</v>
      </c>
      <c r="P508" s="4">
        <v>0</v>
      </c>
      <c r="Q508" s="4">
        <v>8726</v>
      </c>
      <c r="R508" s="4">
        <v>26178</v>
      </c>
      <c r="S508" t="s">
        <v>16888</v>
      </c>
      <c r="X508" t="s">
        <v>3</v>
      </c>
      <c r="AA508" s="5" t="str">
        <f>HYPERLINK("https://www.zillow.com/homes/311-EDGEWATER-DR-BLOOMINGDALE-IL-60108_rb/","check listing")</f>
        <v>check listing</v>
      </c>
      <c r="AB508" s="5" t="str">
        <f>HYPERLINK("https://propertylookup.dupagecounty.gov/Datalets/Datalet.aspx?UseSearch=no&amp;mode=sales&amp;pin=0223124067","sales record")</f>
        <v>sales record</v>
      </c>
      <c r="AC508" t="s">
        <v>3</v>
      </c>
      <c r="AD508">
        <v>41.943047</v>
      </c>
      <c r="AE508">
        <v>-88.06497299999999</v>
      </c>
      <c r="AF508" s="5" t="str">
        <f>HYPERLINK("https://www.google.com/maps/search/?api=1&amp;query=41.943047,-88.064973","map")</f>
        <v>map</v>
      </c>
    </row>
    <row r="509" spans="1:32">
      <c r="A509" t="s">
        <v>559</v>
      </c>
      <c r="B509" t="s">
        <v>8139</v>
      </c>
      <c r="C509" t="s">
        <v>15164</v>
      </c>
      <c r="D509" t="s">
        <v>16197</v>
      </c>
      <c r="E509" t="s">
        <v>16218</v>
      </c>
      <c r="F509" t="s">
        <v>16220</v>
      </c>
      <c r="G509" t="s">
        <v>16238</v>
      </c>
      <c r="H509" t="s">
        <v>16238</v>
      </c>
      <c r="I509" t="s">
        <v>16314</v>
      </c>
      <c r="J509" t="s">
        <v>16385</v>
      </c>
      <c r="K509">
        <v>0.545</v>
      </c>
      <c r="L509">
        <v>23729</v>
      </c>
      <c r="M509">
        <v>3135</v>
      </c>
      <c r="N509" t="s">
        <v>16393</v>
      </c>
      <c r="O509" s="4">
        <v>35954</v>
      </c>
      <c r="P509" s="4">
        <v>153835</v>
      </c>
      <c r="Q509" s="4">
        <v>189789</v>
      </c>
      <c r="R509" s="4">
        <v>569367</v>
      </c>
      <c r="S509" t="s">
        <v>16889</v>
      </c>
      <c r="T509" s="6">
        <v>36342</v>
      </c>
      <c r="U509" s="4">
        <v>304890</v>
      </c>
      <c r="X509" t="s">
        <v>3</v>
      </c>
      <c r="AA509" s="5" t="str">
        <f>HYPERLINK("https://www.zillow.com/homes/1024-IDAHO-ST-CAROL-STREAM-IL-60188_rb/","check listing")</f>
        <v>check listing</v>
      </c>
      <c r="AB509" s="5" t="str">
        <f>HYPERLINK("https://propertylookup.dupagecounty.gov/Datalets/Datalet.aspx?UseSearch=no&amp;mode=sales&amp;pin=0220304001","sales record")</f>
        <v>sales record</v>
      </c>
      <c r="AC509" t="s">
        <v>3</v>
      </c>
      <c r="AD509">
        <v>41.931047</v>
      </c>
      <c r="AE509">
        <v>-88.12991</v>
      </c>
      <c r="AF509" s="5" t="str">
        <f>HYPERLINK("https://www.google.com/maps/search/?api=1&amp;query=41.931047,-88.12991","map")</f>
        <v>map</v>
      </c>
    </row>
    <row r="510" spans="1:32">
      <c r="A510" t="s">
        <v>560</v>
      </c>
      <c r="B510" t="s">
        <v>8140</v>
      </c>
      <c r="C510" t="s">
        <v>15165</v>
      </c>
      <c r="D510" t="s">
        <v>16197</v>
      </c>
      <c r="E510" t="s">
        <v>16218</v>
      </c>
      <c r="F510" t="s">
        <v>16220</v>
      </c>
      <c r="G510" t="s">
        <v>16238</v>
      </c>
      <c r="H510" t="s">
        <v>16238</v>
      </c>
      <c r="I510" t="s">
        <v>16314</v>
      </c>
      <c r="J510" t="s">
        <v>16385</v>
      </c>
      <c r="K510">
        <v>0.499</v>
      </c>
      <c r="L510">
        <v>21749</v>
      </c>
      <c r="M510">
        <v>2804</v>
      </c>
      <c r="N510" t="s">
        <v>16393</v>
      </c>
      <c r="O510" s="4">
        <v>46702</v>
      </c>
      <c r="P510" s="4">
        <v>137170</v>
      </c>
      <c r="Q510" s="4">
        <v>183872</v>
      </c>
      <c r="R510" s="4">
        <v>551616</v>
      </c>
      <c r="S510" t="s">
        <v>16890</v>
      </c>
      <c r="T510" s="6">
        <v>32295</v>
      </c>
      <c r="U510" s="4">
        <v>40500</v>
      </c>
      <c r="X510" t="s">
        <v>3</v>
      </c>
      <c r="AA510" s="5" t="str">
        <f>HYPERLINK("https://www.zillow.com/homes/1225-LAKESIDE-LN-CAROL-STREAM-IL-601882950_rb/","check listing")</f>
        <v>check listing</v>
      </c>
      <c r="AB510" s="5" t="str">
        <f>HYPERLINK("https://propertylookup.dupagecounty.gov/Datalets/Datalet.aspx?UseSearch=no&amp;mode=sales&amp;pin=0124301014","sales record")</f>
        <v>sales record</v>
      </c>
      <c r="AC510" t="s">
        <v>3</v>
      </c>
      <c r="AD510">
        <v>41.936988</v>
      </c>
      <c r="AE510">
        <v>-88.155681</v>
      </c>
      <c r="AF510" s="5" t="str">
        <f>HYPERLINK("https://www.google.com/maps/search/?api=1&amp;query=41.936988,-88.155681","map")</f>
        <v>map</v>
      </c>
    </row>
    <row r="511" spans="1:32">
      <c r="A511" t="s">
        <v>561</v>
      </c>
      <c r="B511" t="s">
        <v>8141</v>
      </c>
      <c r="C511" t="s">
        <v>15166</v>
      </c>
      <c r="D511" t="s">
        <v>16197</v>
      </c>
      <c r="E511" t="s">
        <v>16218</v>
      </c>
      <c r="F511" t="s">
        <v>16220</v>
      </c>
      <c r="G511" t="s">
        <v>16238</v>
      </c>
      <c r="H511" t="s">
        <v>16238</v>
      </c>
      <c r="I511" t="s">
        <v>16314</v>
      </c>
      <c r="J511" t="s">
        <v>16385</v>
      </c>
      <c r="K511">
        <v>0.459</v>
      </c>
      <c r="L511">
        <v>20010</v>
      </c>
      <c r="M511">
        <v>4222</v>
      </c>
      <c r="N511" t="s">
        <v>16393</v>
      </c>
      <c r="O511" s="4">
        <v>35954</v>
      </c>
      <c r="P511" s="4">
        <v>173713</v>
      </c>
      <c r="Q511" s="4">
        <v>209667</v>
      </c>
      <c r="R511" s="4">
        <v>629001</v>
      </c>
      <c r="S511" t="s">
        <v>16891</v>
      </c>
      <c r="T511" s="6">
        <v>44075</v>
      </c>
      <c r="U511" s="4">
        <v>515000</v>
      </c>
      <c r="V511" t="s">
        <v>23739</v>
      </c>
      <c r="W511" t="s">
        <v>23969</v>
      </c>
      <c r="X511" t="s">
        <v>3</v>
      </c>
      <c r="AA511" s="5" t="str">
        <f>HYPERLINK("https://www.zillow.com/homes/1158-IDAHO-ST-CAROL-STREAM-IL-601881387_rb/","check listing")</f>
        <v>check listing</v>
      </c>
      <c r="AB511" s="5" t="str">
        <f>HYPERLINK("https://propertylookup.dupagecounty.gov/Datalets/Datalet.aspx?UseSearch=no&amp;mode=sales&amp;pin=0220304017","sales record")</f>
        <v>sales record</v>
      </c>
      <c r="AC511" t="s">
        <v>3</v>
      </c>
      <c r="AD511">
        <v>41.934874</v>
      </c>
      <c r="AE511">
        <v>-88.129976</v>
      </c>
      <c r="AF511" s="5" t="str">
        <f>HYPERLINK("https://www.google.com/maps/search/?api=1&amp;query=41.934874,-88.129976","map")</f>
        <v>map</v>
      </c>
    </row>
    <row r="512" spans="1:32">
      <c r="A512" t="s">
        <v>562</v>
      </c>
      <c r="B512" t="s">
        <v>8142</v>
      </c>
      <c r="C512" t="s">
        <v>15164</v>
      </c>
      <c r="D512" t="s">
        <v>16197</v>
      </c>
      <c r="E512" t="s">
        <v>16218</v>
      </c>
      <c r="F512" t="s">
        <v>16220</v>
      </c>
      <c r="G512" t="s">
        <v>16238</v>
      </c>
      <c r="H512" t="s">
        <v>16238</v>
      </c>
      <c r="I512" t="s">
        <v>16314</v>
      </c>
      <c r="J512" t="s">
        <v>16385</v>
      </c>
      <c r="K512">
        <v>0.442</v>
      </c>
      <c r="L512">
        <v>19236</v>
      </c>
      <c r="M512">
        <v>3166</v>
      </c>
      <c r="N512" t="s">
        <v>16393</v>
      </c>
      <c r="O512" s="4">
        <v>53363</v>
      </c>
      <c r="P512" s="4">
        <v>137781</v>
      </c>
      <c r="Q512" s="4">
        <v>191144</v>
      </c>
      <c r="R512" s="4">
        <v>573432</v>
      </c>
      <c r="S512" t="s">
        <v>16892</v>
      </c>
      <c r="T512" s="6">
        <v>32568</v>
      </c>
      <c r="U512" s="4">
        <v>233385</v>
      </c>
      <c r="X512" t="s">
        <v>3</v>
      </c>
      <c r="AA512" s="5" t="str">
        <f>HYPERLINK("https://www.zillow.com/homes/1226-LAKESIDE-LN-CAROL-STREAM-IL-60188_rb/","check listing")</f>
        <v>check listing</v>
      </c>
      <c r="AB512" s="5" t="str">
        <f>HYPERLINK("https://propertylookup.dupagecounty.gov/Datalets/Datalet.aspx?UseSearch=no&amp;mode=sales&amp;pin=0124301001","sales record")</f>
        <v>sales record</v>
      </c>
      <c r="AC512" t="s">
        <v>3</v>
      </c>
      <c r="AD512">
        <v>41.93696</v>
      </c>
      <c r="AE512">
        <v>-88.156203</v>
      </c>
      <c r="AF512" s="5" t="str">
        <f>HYPERLINK("https://www.google.com/maps/search/?api=1&amp;query=41.93696,-88.156203","map")</f>
        <v>map</v>
      </c>
    </row>
    <row r="513" spans="1:32">
      <c r="A513" t="s">
        <v>563</v>
      </c>
      <c r="B513" t="s">
        <v>8143</v>
      </c>
      <c r="C513" t="s">
        <v>15164</v>
      </c>
      <c r="D513" t="s">
        <v>16197</v>
      </c>
      <c r="E513" t="s">
        <v>16218</v>
      </c>
      <c r="F513" t="s">
        <v>16220</v>
      </c>
      <c r="G513" t="s">
        <v>16238</v>
      </c>
      <c r="H513" t="s">
        <v>16238</v>
      </c>
      <c r="I513" t="s">
        <v>16314</v>
      </c>
      <c r="J513" t="s">
        <v>16385</v>
      </c>
      <c r="K513">
        <v>0.419</v>
      </c>
      <c r="L513">
        <v>18253</v>
      </c>
      <c r="M513">
        <v>2771</v>
      </c>
      <c r="N513" t="s">
        <v>16393</v>
      </c>
      <c r="O513" s="4">
        <v>35954</v>
      </c>
      <c r="P513" s="4">
        <v>150035</v>
      </c>
      <c r="Q513" s="4">
        <v>185989</v>
      </c>
      <c r="R513" s="4">
        <v>557967</v>
      </c>
      <c r="S513" t="s">
        <v>16893</v>
      </c>
      <c r="T513" s="6">
        <v>45853</v>
      </c>
      <c r="U513" s="4">
        <v>705000</v>
      </c>
      <c r="V513" t="s">
        <v>23741</v>
      </c>
      <c r="W513" t="s">
        <v>23970</v>
      </c>
      <c r="X513" t="s">
        <v>3</v>
      </c>
      <c r="AA513" s="5" t="str">
        <f>HYPERLINK("https://www.zillow.com/homes/1034-IDAHO-ST-CAROL-STREAM-IL-60188_rb/","check listing")</f>
        <v>check listing</v>
      </c>
      <c r="AB513" s="5" t="str">
        <f>HYPERLINK("https://propertylookup.dupagecounty.gov/Datalets/Datalet.aspx?UseSearch=no&amp;mode=sales&amp;pin=0220304002","sales record")</f>
        <v>sales record</v>
      </c>
      <c r="AC513" t="s">
        <v>3</v>
      </c>
      <c r="AD513">
        <v>41.931339</v>
      </c>
      <c r="AE513">
        <v>-88.129918</v>
      </c>
      <c r="AF513" s="5" t="str">
        <f>HYPERLINK("https://www.google.com/maps/search/?api=1&amp;query=41.931339,-88.129918","map")</f>
        <v>map</v>
      </c>
    </row>
    <row r="514" spans="1:32">
      <c r="A514" t="s">
        <v>564</v>
      </c>
      <c r="B514" t="s">
        <v>8144</v>
      </c>
      <c r="C514" t="s">
        <v>15167</v>
      </c>
      <c r="D514" t="s">
        <v>16197</v>
      </c>
      <c r="E514" t="s">
        <v>16218</v>
      </c>
      <c r="F514" t="s">
        <v>16220</v>
      </c>
      <c r="G514" t="s">
        <v>16238</v>
      </c>
      <c r="H514" t="s">
        <v>16238</v>
      </c>
      <c r="I514" t="s">
        <v>16314</v>
      </c>
      <c r="J514" t="s">
        <v>16385</v>
      </c>
      <c r="K514">
        <v>0.409</v>
      </c>
      <c r="L514">
        <v>17834</v>
      </c>
      <c r="M514">
        <v>2967</v>
      </c>
      <c r="N514" t="s">
        <v>16393</v>
      </c>
      <c r="O514" s="4">
        <v>35954</v>
      </c>
      <c r="P514" s="4">
        <v>172148</v>
      </c>
      <c r="Q514" s="4">
        <v>208102</v>
      </c>
      <c r="R514" s="4">
        <v>624306</v>
      </c>
      <c r="S514" t="s">
        <v>16894</v>
      </c>
      <c r="T514" s="6">
        <v>44440</v>
      </c>
      <c r="U514" s="4">
        <v>524500</v>
      </c>
      <c r="V514" t="s">
        <v>23739</v>
      </c>
      <c r="W514" t="s">
        <v>23971</v>
      </c>
      <c r="X514" t="s">
        <v>3</v>
      </c>
      <c r="AA514" s="5" t="str">
        <f>HYPERLINK("https://www.zillow.com/homes/1044-IDAHO-ST-CAROL-STREAM-IL-601881310_rb/","check listing")</f>
        <v>check listing</v>
      </c>
      <c r="AB514" s="5" t="str">
        <f>HYPERLINK("https://propertylookup.dupagecounty.gov/Datalets/Datalet.aspx?UseSearch=no&amp;mode=sales&amp;pin=0220304004","sales record")</f>
        <v>sales record</v>
      </c>
      <c r="AC514" t="s">
        <v>3</v>
      </c>
      <c r="AD514">
        <v>41.931561</v>
      </c>
      <c r="AE514">
        <v>-88.129941</v>
      </c>
      <c r="AF514" s="5" t="str">
        <f>HYPERLINK("https://www.google.com/maps/search/?api=1&amp;query=41.931561,-88.129941","map")</f>
        <v>map</v>
      </c>
    </row>
    <row r="515" spans="1:32">
      <c r="A515" t="s">
        <v>565</v>
      </c>
      <c r="B515" t="s">
        <v>8145</v>
      </c>
      <c r="C515" t="s">
        <v>15168</v>
      </c>
      <c r="D515" t="s">
        <v>16197</v>
      </c>
      <c r="E515" t="s">
        <v>16218</v>
      </c>
      <c r="F515" t="s">
        <v>16220</v>
      </c>
      <c r="G515" t="s">
        <v>16238</v>
      </c>
      <c r="H515" t="s">
        <v>16238</v>
      </c>
      <c r="I515" t="s">
        <v>16314</v>
      </c>
      <c r="J515" t="s">
        <v>16385</v>
      </c>
      <c r="K515">
        <v>0.388</v>
      </c>
      <c r="L515">
        <v>16908</v>
      </c>
      <c r="M515">
        <v>3001</v>
      </c>
      <c r="N515" t="s">
        <v>16393</v>
      </c>
      <c r="O515" s="4">
        <v>37980</v>
      </c>
      <c r="P515" s="4">
        <v>80536</v>
      </c>
      <c r="Q515" s="4">
        <v>118516</v>
      </c>
      <c r="R515" s="4">
        <v>355548</v>
      </c>
      <c r="S515" t="s">
        <v>16895</v>
      </c>
      <c r="T515" s="6">
        <v>43252</v>
      </c>
      <c r="U515" s="4">
        <v>275000</v>
      </c>
      <c r="V515" t="s">
        <v>23739</v>
      </c>
      <c r="W515" t="s">
        <v>23972</v>
      </c>
      <c r="X515" t="s">
        <v>3</v>
      </c>
      <c r="AA515" s="5" t="str">
        <f>HYPERLINK("https://www.zillow.com/homes/1418-MAPLE-RIDGE-CT-CAROL-STREAM-IL-601889083_rb/","check listing")</f>
        <v>check listing</v>
      </c>
      <c r="AB515" s="5" t="str">
        <f>HYPERLINK("https://propertylookup.dupagecounty.gov/Datalets/Datalet.aspx?UseSearch=no&amp;mode=sales&amp;pin=0123403055","sales record")</f>
        <v>sales record</v>
      </c>
      <c r="AC515" t="s">
        <v>3</v>
      </c>
      <c r="AD515">
        <v>41.935556</v>
      </c>
      <c r="AE515">
        <v>-88.171429</v>
      </c>
      <c r="AF515" s="5" t="str">
        <f>HYPERLINK("https://www.google.com/maps/search/?api=1&amp;query=41.935556,-88.171429","map")</f>
        <v>map</v>
      </c>
    </row>
    <row r="516" spans="1:32">
      <c r="A516" t="s">
        <v>566</v>
      </c>
      <c r="B516" t="s">
        <v>8146</v>
      </c>
      <c r="C516" t="s">
        <v>15164</v>
      </c>
      <c r="D516" t="s">
        <v>16197</v>
      </c>
      <c r="E516" t="s">
        <v>16218</v>
      </c>
      <c r="F516" t="s">
        <v>16220</v>
      </c>
      <c r="G516" t="s">
        <v>16238</v>
      </c>
      <c r="H516" t="s">
        <v>16238</v>
      </c>
      <c r="I516" t="s">
        <v>16314</v>
      </c>
      <c r="J516" t="s">
        <v>16385</v>
      </c>
      <c r="K516">
        <v>0.384</v>
      </c>
      <c r="L516">
        <v>16725</v>
      </c>
      <c r="M516">
        <v>1847</v>
      </c>
      <c r="N516" t="s">
        <v>16393</v>
      </c>
      <c r="O516" s="4">
        <v>40963</v>
      </c>
      <c r="P516" s="4">
        <v>105451</v>
      </c>
      <c r="Q516" s="4">
        <v>146414</v>
      </c>
      <c r="R516" s="4">
        <v>439242</v>
      </c>
      <c r="S516" t="s">
        <v>16896</v>
      </c>
      <c r="T516" s="6">
        <v>33543</v>
      </c>
      <c r="U516" s="4">
        <v>172750</v>
      </c>
      <c r="X516" t="s">
        <v>3</v>
      </c>
      <c r="AA516" s="5" t="str">
        <f>HYPERLINK("https://www.zillow.com/homes/1271-CRYSTAL-SHORE-DR-CAROL-STREAM-IL-60188_rb/","check listing")</f>
        <v>check listing</v>
      </c>
      <c r="AB516" s="5" t="str">
        <f>HYPERLINK("https://propertylookup.dupagecounty.gov/Datalets/Datalet.aspx?UseSearch=no&amp;mode=sales&amp;pin=0124308011","sales record")</f>
        <v>sales record</v>
      </c>
      <c r="AC516" t="s">
        <v>3</v>
      </c>
      <c r="AD516">
        <v>41.930116</v>
      </c>
      <c r="AE516">
        <v>-88.164838</v>
      </c>
      <c r="AF516" s="5" t="str">
        <f>HYPERLINK("https://www.google.com/maps/search/?api=1&amp;query=41.930116,-88.164838","map")</f>
        <v>map</v>
      </c>
    </row>
    <row r="517" spans="1:32">
      <c r="A517" t="s">
        <v>567</v>
      </c>
      <c r="B517" t="s">
        <v>8147</v>
      </c>
      <c r="C517" t="s">
        <v>15164</v>
      </c>
      <c r="D517" t="s">
        <v>16197</v>
      </c>
      <c r="E517" t="s">
        <v>16218</v>
      </c>
      <c r="F517" t="s">
        <v>16220</v>
      </c>
      <c r="G517" t="s">
        <v>16238</v>
      </c>
      <c r="H517" t="s">
        <v>16238</v>
      </c>
      <c r="I517" t="s">
        <v>16314</v>
      </c>
      <c r="J517" t="s">
        <v>16385</v>
      </c>
      <c r="K517">
        <v>0.384</v>
      </c>
      <c r="L517">
        <v>16706</v>
      </c>
      <c r="M517">
        <v>3564</v>
      </c>
      <c r="N517" t="s">
        <v>16393</v>
      </c>
      <c r="O517" s="4">
        <v>35954</v>
      </c>
      <c r="P517" s="4">
        <v>166829</v>
      </c>
      <c r="Q517" s="4">
        <v>202783</v>
      </c>
      <c r="R517" s="4">
        <v>608349</v>
      </c>
      <c r="S517" t="s">
        <v>16897</v>
      </c>
      <c r="T517" s="6">
        <v>41974</v>
      </c>
      <c r="U517" s="4">
        <v>431500</v>
      </c>
      <c r="V517" t="s">
        <v>23739</v>
      </c>
      <c r="W517" t="s">
        <v>23973</v>
      </c>
      <c r="X517" t="s">
        <v>3</v>
      </c>
      <c r="AA517" s="5" t="str">
        <f>HYPERLINK("https://www.zillow.com/homes/1054-IDAHO-ST-CAROL-STREAM-IL-60188_rb/","check listing")</f>
        <v>check listing</v>
      </c>
      <c r="AB517" s="5" t="str">
        <f>HYPERLINK("https://propertylookup.dupagecounty.gov/Datalets/Datalet.aspx?UseSearch=no&amp;mode=sales&amp;pin=0220304005","sales record")</f>
        <v>sales record</v>
      </c>
      <c r="AC517" t="s">
        <v>3</v>
      </c>
      <c r="AD517">
        <v>41.931839</v>
      </c>
      <c r="AE517">
        <v>-88.129985</v>
      </c>
      <c r="AF517" s="5" t="str">
        <f>HYPERLINK("https://www.google.com/maps/search/?api=1&amp;query=41.931839,-88.129985","map")</f>
        <v>map</v>
      </c>
    </row>
    <row r="518" spans="1:32">
      <c r="A518" t="s">
        <v>568</v>
      </c>
      <c r="B518" t="s">
        <v>8148</v>
      </c>
      <c r="C518" t="s">
        <v>15164</v>
      </c>
      <c r="D518" t="s">
        <v>16197</v>
      </c>
      <c r="E518" t="s">
        <v>16218</v>
      </c>
      <c r="F518" t="s">
        <v>16220</v>
      </c>
      <c r="G518" t="s">
        <v>16238</v>
      </c>
      <c r="H518" t="s">
        <v>16238</v>
      </c>
      <c r="I518" t="s">
        <v>16314</v>
      </c>
      <c r="J518" t="s">
        <v>16385</v>
      </c>
      <c r="K518">
        <v>0.383</v>
      </c>
      <c r="L518">
        <v>16668</v>
      </c>
      <c r="M518">
        <v>3959</v>
      </c>
      <c r="N518" t="s">
        <v>16393</v>
      </c>
      <c r="O518" s="4">
        <v>35954</v>
      </c>
      <c r="P518" s="4">
        <v>187328</v>
      </c>
      <c r="Q518" s="4">
        <v>223282</v>
      </c>
      <c r="R518" s="4">
        <v>669846</v>
      </c>
      <c r="S518" t="s">
        <v>16898</v>
      </c>
      <c r="T518" s="6">
        <v>43282</v>
      </c>
      <c r="U518" s="4">
        <v>510000</v>
      </c>
      <c r="V518" t="s">
        <v>23739</v>
      </c>
      <c r="W518" t="s">
        <v>23974</v>
      </c>
      <c r="X518" t="s">
        <v>3</v>
      </c>
      <c r="AA518" s="5" t="str">
        <f>HYPERLINK("https://www.zillow.com/homes/1262-MC-CORMICK-ST-CAROL-STREAM-IL-60188_rb/","check listing")</f>
        <v>check listing</v>
      </c>
      <c r="AB518" s="5" t="str">
        <f>HYPERLINK("https://propertylookup.dupagecounty.gov/Datalets/Datalet.aspx?UseSearch=no&amp;mode=sales&amp;pin=0220304028","sales record")</f>
        <v>sales record</v>
      </c>
      <c r="AC518" t="s">
        <v>3</v>
      </c>
      <c r="AD518">
        <v>41.93754</v>
      </c>
      <c r="AE518">
        <v>-88.13007500000001</v>
      </c>
      <c r="AF518" s="5" t="str">
        <f>HYPERLINK("https://www.google.com/maps/search/?api=1&amp;query=41.93754,-88.130075","map")</f>
        <v>map</v>
      </c>
    </row>
    <row r="519" spans="1:32">
      <c r="A519" t="s">
        <v>569</v>
      </c>
      <c r="B519" t="s">
        <v>8149</v>
      </c>
      <c r="C519" t="s">
        <v>15164</v>
      </c>
      <c r="D519" t="s">
        <v>16197</v>
      </c>
      <c r="E519" t="s">
        <v>16218</v>
      </c>
      <c r="F519" t="s">
        <v>16220</v>
      </c>
      <c r="G519" t="s">
        <v>16238</v>
      </c>
      <c r="H519" t="s">
        <v>16238</v>
      </c>
      <c r="I519" t="s">
        <v>16314</v>
      </c>
      <c r="J519" t="s">
        <v>16385</v>
      </c>
      <c r="K519">
        <v>0.364</v>
      </c>
      <c r="L519">
        <v>15861</v>
      </c>
      <c r="M519">
        <v>1848</v>
      </c>
      <c r="N519" t="s">
        <v>16393</v>
      </c>
      <c r="O519" s="4">
        <v>38721</v>
      </c>
      <c r="P519" s="4">
        <v>106014</v>
      </c>
      <c r="Q519" s="4">
        <v>144735</v>
      </c>
      <c r="R519" s="4">
        <v>434205</v>
      </c>
      <c r="S519" t="s">
        <v>16899</v>
      </c>
      <c r="T519" s="6">
        <v>42522</v>
      </c>
      <c r="U519" s="4">
        <v>290000</v>
      </c>
      <c r="V519" t="s">
        <v>23739</v>
      </c>
      <c r="W519" t="s">
        <v>23975</v>
      </c>
      <c r="X519" t="s">
        <v>3</v>
      </c>
      <c r="AA519" s="5" t="str">
        <f>HYPERLINK("https://www.zillow.com/homes/1249-COUNTRY-GLEN-LN-CAROL-STREAM-IL-60188_rb/","check listing")</f>
        <v>check listing</v>
      </c>
      <c r="AB519" s="5" t="str">
        <f>HYPERLINK("https://propertylookup.dupagecounty.gov/Datalets/Datalet.aspx?UseSearch=no&amp;mode=sales&amp;pin=0124402014","sales record")</f>
        <v>sales record</v>
      </c>
      <c r="AC519" t="s">
        <v>3</v>
      </c>
      <c r="AD519">
        <v>41.937136</v>
      </c>
      <c r="AE519">
        <v>-88.150722</v>
      </c>
      <c r="AF519" s="5" t="str">
        <f>HYPERLINK("https://www.google.com/maps/search/?api=1&amp;query=41.937136,-88.150722","map")</f>
        <v>map</v>
      </c>
    </row>
    <row r="520" spans="1:32">
      <c r="A520" t="s">
        <v>570</v>
      </c>
      <c r="B520" t="s">
        <v>8150</v>
      </c>
      <c r="C520" t="s">
        <v>15164</v>
      </c>
      <c r="D520" t="s">
        <v>16197</v>
      </c>
      <c r="E520" t="s">
        <v>16218</v>
      </c>
      <c r="F520" t="s">
        <v>16220</v>
      </c>
      <c r="G520" t="s">
        <v>16238</v>
      </c>
      <c r="H520" t="s">
        <v>16238</v>
      </c>
      <c r="I520" t="s">
        <v>16314</v>
      </c>
      <c r="J520" t="s">
        <v>16385</v>
      </c>
      <c r="K520">
        <v>0.36</v>
      </c>
      <c r="L520">
        <v>15685</v>
      </c>
      <c r="M520">
        <v>1997</v>
      </c>
      <c r="N520" t="s">
        <v>16393</v>
      </c>
      <c r="O520" s="4">
        <v>37980</v>
      </c>
      <c r="P520" s="4">
        <v>98340</v>
      </c>
      <c r="Q520" s="4">
        <v>136320</v>
      </c>
      <c r="R520" s="4">
        <v>408960</v>
      </c>
      <c r="S520" t="s">
        <v>16900</v>
      </c>
      <c r="T520" s="6">
        <v>41852</v>
      </c>
      <c r="U520" s="4">
        <v>236000</v>
      </c>
      <c r="V520" t="s">
        <v>23739</v>
      </c>
      <c r="W520" t="s">
        <v>23976</v>
      </c>
      <c r="X520" t="s">
        <v>3</v>
      </c>
      <c r="AA520" s="5" t="str">
        <f>HYPERLINK("https://www.zillow.com/homes/1415-MAPLE-RIDGE-CT-CAROL-STREAM-IL-60188_rb/","check listing")</f>
        <v>check listing</v>
      </c>
      <c r="AB520" s="5" t="str">
        <f>HYPERLINK("https://propertylookup.dupagecounty.gov/Datalets/Datalet.aspx?UseSearch=no&amp;mode=sales&amp;pin=0123403041","sales record")</f>
        <v>sales record</v>
      </c>
      <c r="AC520" t="s">
        <v>3</v>
      </c>
      <c r="AD520">
        <v>41.936276</v>
      </c>
      <c r="AE520">
        <v>-88.171421</v>
      </c>
      <c r="AF520" s="5" t="str">
        <f>HYPERLINK("https://www.google.com/maps/search/?api=1&amp;query=41.936276,-88.171421","map")</f>
        <v>map</v>
      </c>
    </row>
    <row r="521" spans="1:32">
      <c r="A521" t="s">
        <v>571</v>
      </c>
      <c r="B521" t="s">
        <v>8151</v>
      </c>
      <c r="C521" t="s">
        <v>15164</v>
      </c>
      <c r="D521" t="s">
        <v>16197</v>
      </c>
      <c r="E521" t="s">
        <v>16218</v>
      </c>
      <c r="F521" t="s">
        <v>16220</v>
      </c>
      <c r="G521" t="s">
        <v>16238</v>
      </c>
      <c r="H521" t="s">
        <v>16238</v>
      </c>
      <c r="I521" t="s">
        <v>16314</v>
      </c>
      <c r="J521" t="s">
        <v>16385</v>
      </c>
      <c r="K521">
        <v>0.34</v>
      </c>
      <c r="L521">
        <v>14815</v>
      </c>
      <c r="M521">
        <v>3464</v>
      </c>
      <c r="N521" t="s">
        <v>16393</v>
      </c>
      <c r="O521" s="4">
        <v>35954</v>
      </c>
      <c r="P521" s="4">
        <v>171933</v>
      </c>
      <c r="Q521" s="4">
        <v>207887</v>
      </c>
      <c r="R521" s="4">
        <v>623661</v>
      </c>
      <c r="S521" t="s">
        <v>16901</v>
      </c>
      <c r="T521" s="6">
        <v>36312</v>
      </c>
      <c r="U521" s="4">
        <v>352000</v>
      </c>
      <c r="X521" t="s">
        <v>3</v>
      </c>
      <c r="AA521" s="5" t="str">
        <f>HYPERLINK("https://www.zillow.com/homes/1064-IDAHO-ST-CAROL-STREAM-IL-60188_rb/","check listing")</f>
        <v>check listing</v>
      </c>
      <c r="AB521" s="5" t="str">
        <f>HYPERLINK("https://propertylookup.dupagecounty.gov/Datalets/Datalet.aspx?UseSearch=no&amp;mode=sales&amp;pin=0220304006","sales record")</f>
        <v>sales record</v>
      </c>
      <c r="AC521" t="s">
        <v>3</v>
      </c>
      <c r="AD521">
        <v>41.932095</v>
      </c>
      <c r="AE521">
        <v>-88.130025</v>
      </c>
      <c r="AF521" s="5" t="str">
        <f>HYPERLINK("https://www.google.com/maps/search/?api=1&amp;query=41.932095,-88.130025","map")</f>
        <v>map</v>
      </c>
    </row>
    <row r="522" spans="1:32">
      <c r="A522" t="s">
        <v>572</v>
      </c>
      <c r="B522" t="s">
        <v>8152</v>
      </c>
      <c r="C522" t="s">
        <v>15164</v>
      </c>
      <c r="D522" t="s">
        <v>16197</v>
      </c>
      <c r="E522" t="s">
        <v>16218</v>
      </c>
      <c r="F522" t="s">
        <v>16220</v>
      </c>
      <c r="G522" t="s">
        <v>16238</v>
      </c>
      <c r="H522" t="s">
        <v>16238</v>
      </c>
      <c r="I522" t="s">
        <v>16314</v>
      </c>
      <c r="J522" t="s">
        <v>16385</v>
      </c>
      <c r="K522">
        <v>0.335</v>
      </c>
      <c r="L522">
        <v>14589</v>
      </c>
      <c r="M522">
        <v>1978</v>
      </c>
      <c r="N522" t="s">
        <v>16393</v>
      </c>
      <c r="O522" s="4">
        <v>37045</v>
      </c>
      <c r="P522" s="4">
        <v>89545</v>
      </c>
      <c r="Q522" s="4">
        <v>126590</v>
      </c>
      <c r="R522" s="4">
        <v>379770</v>
      </c>
      <c r="S522" t="s">
        <v>16902</v>
      </c>
      <c r="X522" t="s">
        <v>3</v>
      </c>
      <c r="AA522" s="5" t="str">
        <f>HYPERLINK("https://www.zillow.com/homes/1291-BRAVE-CT-CAROL-STREAM-IL-60188_rb/","check listing")</f>
        <v>check listing</v>
      </c>
      <c r="AB522" s="5" t="str">
        <f>HYPERLINK("https://propertylookup.dupagecounty.gov/Datalets/Datalet.aspx?UseSearch=no&amp;mode=sales&amp;pin=0123404010","sales record")</f>
        <v>sales record</v>
      </c>
      <c r="AC522" t="s">
        <v>3</v>
      </c>
      <c r="AD522">
        <v>41.935342</v>
      </c>
      <c r="AE522">
        <v>-88.167261</v>
      </c>
      <c r="AF522" s="5" t="str">
        <f>HYPERLINK("https://www.google.com/maps/search/?api=1&amp;query=41.935342,-88.167261","map")</f>
        <v>map</v>
      </c>
    </row>
    <row r="523" spans="1:32">
      <c r="A523" t="s">
        <v>573</v>
      </c>
      <c r="B523" t="s">
        <v>8153</v>
      </c>
      <c r="C523" t="s">
        <v>15169</v>
      </c>
      <c r="D523" t="s">
        <v>16197</v>
      </c>
      <c r="E523" t="s">
        <v>16218</v>
      </c>
      <c r="F523" t="s">
        <v>16220</v>
      </c>
      <c r="G523" t="s">
        <v>16238</v>
      </c>
      <c r="H523" t="s">
        <v>16238</v>
      </c>
      <c r="I523" t="s">
        <v>16314</v>
      </c>
      <c r="J523" t="s">
        <v>16385</v>
      </c>
      <c r="K523">
        <v>0.321</v>
      </c>
      <c r="L523">
        <v>13968</v>
      </c>
      <c r="M523">
        <v>2638</v>
      </c>
      <c r="N523" t="s">
        <v>16393</v>
      </c>
      <c r="O523" s="4">
        <v>43658</v>
      </c>
      <c r="P523" s="4">
        <v>143759</v>
      </c>
      <c r="Q523" s="4">
        <v>187417</v>
      </c>
      <c r="R523" s="4">
        <v>562251</v>
      </c>
      <c r="S523" t="s">
        <v>16903</v>
      </c>
      <c r="T523" s="6">
        <v>44317</v>
      </c>
      <c r="U523" s="4">
        <v>450000</v>
      </c>
      <c r="V523" t="s">
        <v>23739</v>
      </c>
      <c r="W523" t="s">
        <v>23977</v>
      </c>
      <c r="X523" t="s">
        <v>3</v>
      </c>
      <c r="AA523" s="5" t="str">
        <f>HYPERLINK("https://www.zillow.com/homes/1424-PLUM-GROVE-CT-CAROL-STREAM-IL-601884845_rb/","check listing")</f>
        <v>check listing</v>
      </c>
      <c r="AB523" s="5" t="str">
        <f>HYPERLINK("https://propertylookup.dupagecounty.gov/Datalets/Datalet.aspx?UseSearch=no&amp;mode=sales&amp;pin=0123400033","sales record")</f>
        <v>sales record</v>
      </c>
      <c r="AC523" t="s">
        <v>3</v>
      </c>
      <c r="AD523">
        <v>41.934975</v>
      </c>
      <c r="AE523">
        <v>-88.17004900000001</v>
      </c>
      <c r="AF523" s="5" t="str">
        <f>HYPERLINK("https://www.google.com/maps/search/?api=1&amp;query=41.934975,-88.170049","map")</f>
        <v>map</v>
      </c>
    </row>
    <row r="524" spans="1:32">
      <c r="A524" t="s">
        <v>574</v>
      </c>
      <c r="B524" t="s">
        <v>8154</v>
      </c>
      <c r="C524" t="s">
        <v>15164</v>
      </c>
      <c r="D524" t="s">
        <v>16197</v>
      </c>
      <c r="E524" t="s">
        <v>16218</v>
      </c>
      <c r="F524" t="s">
        <v>16220</v>
      </c>
      <c r="G524" t="s">
        <v>16238</v>
      </c>
      <c r="H524" t="s">
        <v>16238</v>
      </c>
      <c r="I524" t="s">
        <v>16314</v>
      </c>
      <c r="J524" t="s">
        <v>16385</v>
      </c>
      <c r="K524">
        <v>0.314</v>
      </c>
      <c r="L524">
        <v>13658</v>
      </c>
      <c r="M524">
        <v>4485</v>
      </c>
      <c r="N524" t="s">
        <v>16393</v>
      </c>
      <c r="O524" s="4">
        <v>35954</v>
      </c>
      <c r="P524" s="4">
        <v>169232</v>
      </c>
      <c r="Q524" s="4">
        <v>205186</v>
      </c>
      <c r="R524" s="4">
        <v>615558</v>
      </c>
      <c r="S524" t="s">
        <v>16904</v>
      </c>
      <c r="T524" s="6">
        <v>39508</v>
      </c>
      <c r="U524" s="4">
        <v>366000</v>
      </c>
      <c r="V524" t="s">
        <v>23739</v>
      </c>
      <c r="W524" t="s">
        <v>23978</v>
      </c>
      <c r="X524" t="s">
        <v>3</v>
      </c>
      <c r="AA524" s="5" t="str">
        <f>HYPERLINK("https://www.zillow.com/homes/1166-MC-CORMICK-ST-CAROL-STREAM-IL-60188_rb/","check listing")</f>
        <v>check listing</v>
      </c>
      <c r="AB524" s="5" t="str">
        <f>HYPERLINK("https://propertylookup.dupagecounty.gov/Datalets/Datalet.aspx?UseSearch=no&amp;mode=sales&amp;pin=0220304019","sales record")</f>
        <v>sales record</v>
      </c>
      <c r="AC524" t="s">
        <v>3</v>
      </c>
      <c r="AD524">
        <v>41.935158</v>
      </c>
      <c r="AE524">
        <v>-88.130064</v>
      </c>
      <c r="AF524" s="5" t="str">
        <f>HYPERLINK("https://www.google.com/maps/search/?api=1&amp;query=41.935158,-88.130064","map")</f>
        <v>map</v>
      </c>
    </row>
    <row r="525" spans="1:32">
      <c r="A525" t="s">
        <v>575</v>
      </c>
      <c r="B525" t="s">
        <v>8155</v>
      </c>
      <c r="C525" t="s">
        <v>15164</v>
      </c>
      <c r="D525" t="s">
        <v>16197</v>
      </c>
      <c r="E525" t="s">
        <v>16218</v>
      </c>
      <c r="F525" t="s">
        <v>16220</v>
      </c>
      <c r="G525" t="s">
        <v>16238</v>
      </c>
      <c r="H525" t="s">
        <v>16238</v>
      </c>
      <c r="I525" t="s">
        <v>16314</v>
      </c>
      <c r="J525" t="s">
        <v>16385</v>
      </c>
      <c r="K525">
        <v>0.306</v>
      </c>
      <c r="L525">
        <v>13324</v>
      </c>
      <c r="M525">
        <v>2671</v>
      </c>
      <c r="N525" t="s">
        <v>16393</v>
      </c>
      <c r="O525" s="4">
        <v>35954</v>
      </c>
      <c r="P525" s="4">
        <v>131113</v>
      </c>
      <c r="Q525" s="4">
        <v>167067</v>
      </c>
      <c r="R525" s="4">
        <v>501201</v>
      </c>
      <c r="S525" t="s">
        <v>16905</v>
      </c>
      <c r="T525" s="6">
        <v>36069</v>
      </c>
      <c r="U525" s="4">
        <v>283440</v>
      </c>
      <c r="X525" t="s">
        <v>3</v>
      </c>
      <c r="AA525" s="5" t="str">
        <f>HYPERLINK("https://www.zillow.com/homes/1074-IDAHO-ST-CAROL-STREAM-IL-60188_rb/","check listing")</f>
        <v>check listing</v>
      </c>
      <c r="AB525" s="5" t="str">
        <f>HYPERLINK("https://propertylookup.dupagecounty.gov/Datalets/Datalet.aspx?UseSearch=no&amp;mode=sales&amp;pin=0220304007","sales record")</f>
        <v>sales record</v>
      </c>
      <c r="AC525" t="s">
        <v>3</v>
      </c>
      <c r="AD525">
        <v>41.93234</v>
      </c>
      <c r="AE525">
        <v>-88.13006300000001</v>
      </c>
      <c r="AF525" s="5" t="str">
        <f>HYPERLINK("https://www.google.com/maps/search/?api=1&amp;query=41.93234,-88.130063","map")</f>
        <v>map</v>
      </c>
    </row>
    <row r="526" spans="1:32">
      <c r="A526" t="s">
        <v>576</v>
      </c>
      <c r="B526" t="s">
        <v>8156</v>
      </c>
      <c r="C526" t="s">
        <v>15164</v>
      </c>
      <c r="D526" t="s">
        <v>16197</v>
      </c>
      <c r="E526" t="s">
        <v>16218</v>
      </c>
      <c r="F526" t="s">
        <v>16220</v>
      </c>
      <c r="G526" t="s">
        <v>16238</v>
      </c>
      <c r="H526" t="s">
        <v>16238</v>
      </c>
      <c r="I526" t="s">
        <v>16314</v>
      </c>
      <c r="J526" t="s">
        <v>16385</v>
      </c>
      <c r="K526">
        <v>0.297</v>
      </c>
      <c r="L526">
        <v>12953</v>
      </c>
      <c r="M526">
        <v>3364</v>
      </c>
      <c r="N526" t="s">
        <v>16393</v>
      </c>
      <c r="O526" s="4">
        <v>35954</v>
      </c>
      <c r="P526" s="4">
        <v>167498</v>
      </c>
      <c r="Q526" s="4">
        <v>203452</v>
      </c>
      <c r="R526" s="4">
        <v>610356</v>
      </c>
      <c r="S526" t="s">
        <v>16906</v>
      </c>
      <c r="T526" s="6">
        <v>35339</v>
      </c>
      <c r="U526" s="4">
        <v>277140</v>
      </c>
      <c r="X526" t="s">
        <v>3</v>
      </c>
      <c r="AA526" s="5" t="str">
        <f>HYPERLINK("https://www.zillow.com/homes/1150-IDAHO-ST-CAROL-STREAM-IL-60188_rb/","check listing")</f>
        <v>check listing</v>
      </c>
      <c r="AB526" s="5" t="str">
        <f>HYPERLINK("https://propertylookup.dupagecounty.gov/Datalets/Datalet.aspx?UseSearch=no&amp;mode=sales&amp;pin=0220304016","sales record")</f>
        <v>sales record</v>
      </c>
      <c r="AC526" t="s">
        <v>3</v>
      </c>
      <c r="AD526">
        <v>41.934573</v>
      </c>
      <c r="AE526">
        <v>-88.13007500000001</v>
      </c>
      <c r="AF526" s="5" t="str">
        <f>HYPERLINK("https://www.google.com/maps/search/?api=1&amp;query=41.934573,-88.130075","map")</f>
        <v>map</v>
      </c>
    </row>
    <row r="527" spans="1:32">
      <c r="A527" t="s">
        <v>577</v>
      </c>
      <c r="B527" t="s">
        <v>8157</v>
      </c>
      <c r="C527" t="s">
        <v>15164</v>
      </c>
      <c r="D527" t="s">
        <v>16197</v>
      </c>
      <c r="E527" t="s">
        <v>16218</v>
      </c>
      <c r="F527" t="s">
        <v>16220</v>
      </c>
      <c r="G527" t="s">
        <v>16238</v>
      </c>
      <c r="H527" t="s">
        <v>16238</v>
      </c>
      <c r="I527" t="s">
        <v>16314</v>
      </c>
      <c r="J527" t="s">
        <v>16385</v>
      </c>
      <c r="K527">
        <v>0.296</v>
      </c>
      <c r="L527">
        <v>12886</v>
      </c>
      <c r="M527">
        <v>1978</v>
      </c>
      <c r="N527" t="s">
        <v>16393</v>
      </c>
      <c r="O527" s="4">
        <v>39708</v>
      </c>
      <c r="P527" s="4">
        <v>111702</v>
      </c>
      <c r="Q527" s="4">
        <v>151410</v>
      </c>
      <c r="R527" s="4">
        <v>454230</v>
      </c>
      <c r="S527" t="s">
        <v>16907</v>
      </c>
      <c r="T527" s="6">
        <v>40787</v>
      </c>
      <c r="U527" s="4">
        <v>273000</v>
      </c>
      <c r="V527" t="s">
        <v>23739</v>
      </c>
      <c r="W527" t="s">
        <v>23979</v>
      </c>
      <c r="X527" t="s">
        <v>3</v>
      </c>
      <c r="AA527" s="5" t="str">
        <f>HYPERLINK("https://www.zillow.com/homes/513-YARDLEY-DR-CAROL-STREAM-IL-60188_rb/","check listing")</f>
        <v>check listing</v>
      </c>
      <c r="AB527" s="5" t="str">
        <f>HYPERLINK("https://propertylookup.dupagecounty.gov/Datalets/Datalet.aspx?UseSearch=no&amp;mode=sales&amp;pin=0219414008","sales record")</f>
        <v>sales record</v>
      </c>
      <c r="AC527" t="s">
        <v>3</v>
      </c>
      <c r="AD527">
        <v>41.935709</v>
      </c>
      <c r="AE527">
        <v>-88.138288</v>
      </c>
      <c r="AF527" s="5" t="str">
        <f>HYPERLINK("https://www.google.com/maps/search/?api=1&amp;query=41.935709,-88.138288","map")</f>
        <v>map</v>
      </c>
    </row>
    <row r="528" spans="1:32">
      <c r="A528" t="s">
        <v>578</v>
      </c>
      <c r="B528" t="s">
        <v>8158</v>
      </c>
      <c r="C528" t="s">
        <v>15164</v>
      </c>
      <c r="D528" t="s">
        <v>16197</v>
      </c>
      <c r="E528" t="s">
        <v>16218</v>
      </c>
      <c r="F528" t="s">
        <v>16220</v>
      </c>
      <c r="G528" t="s">
        <v>16238</v>
      </c>
      <c r="H528" t="s">
        <v>16238</v>
      </c>
      <c r="I528" t="s">
        <v>16314</v>
      </c>
      <c r="J528" t="s">
        <v>16385</v>
      </c>
      <c r="K528">
        <v>0.291</v>
      </c>
      <c r="L528">
        <v>12686</v>
      </c>
      <c r="M528">
        <v>1929</v>
      </c>
      <c r="N528" t="s">
        <v>16393</v>
      </c>
      <c r="O528" s="4">
        <v>37045</v>
      </c>
      <c r="P528" s="4">
        <v>94769</v>
      </c>
      <c r="Q528" s="4">
        <v>131814</v>
      </c>
      <c r="R528" s="4">
        <v>395442</v>
      </c>
      <c r="S528" t="s">
        <v>16908</v>
      </c>
      <c r="T528" s="6">
        <v>33117</v>
      </c>
      <c r="U528" s="4">
        <v>152500</v>
      </c>
      <c r="X528" t="s">
        <v>3</v>
      </c>
      <c r="AA528" s="5" t="str">
        <f>HYPERLINK("https://www.zillow.com/homes/1293-BRAVE-CT-CAROL-STREAM-IL-60188_rb/","check listing")</f>
        <v>check listing</v>
      </c>
      <c r="AB528" s="5" t="str">
        <f>HYPERLINK("https://propertylookup.dupagecounty.gov/Datalets/Datalet.aspx?UseSearch=no&amp;mode=sales&amp;pin=0123404011","sales record")</f>
        <v>sales record</v>
      </c>
      <c r="AC528" t="s">
        <v>3</v>
      </c>
      <c r="AD528">
        <v>41.935294</v>
      </c>
      <c r="AE528">
        <v>-88.16696899999999</v>
      </c>
      <c r="AF528" s="5" t="str">
        <f>HYPERLINK("https://www.google.com/maps/search/?api=1&amp;query=41.935294,-88.166969","map")</f>
        <v>map</v>
      </c>
    </row>
    <row r="529" spans="1:32">
      <c r="A529" t="s">
        <v>579</v>
      </c>
      <c r="B529" t="s">
        <v>8159</v>
      </c>
      <c r="C529" t="s">
        <v>15164</v>
      </c>
      <c r="D529" t="s">
        <v>16197</v>
      </c>
      <c r="E529" t="s">
        <v>16218</v>
      </c>
      <c r="F529" t="s">
        <v>16220</v>
      </c>
      <c r="G529" t="s">
        <v>16238</v>
      </c>
      <c r="H529" t="s">
        <v>16238</v>
      </c>
      <c r="I529" t="s">
        <v>16314</v>
      </c>
      <c r="J529" t="s">
        <v>16385</v>
      </c>
      <c r="K529">
        <v>0.288</v>
      </c>
      <c r="L529">
        <v>12535</v>
      </c>
      <c r="M529">
        <v>2770</v>
      </c>
      <c r="N529" t="s">
        <v>16393</v>
      </c>
      <c r="O529" s="4">
        <v>35954</v>
      </c>
      <c r="P529" s="4">
        <v>153262</v>
      </c>
      <c r="Q529" s="4">
        <v>189216</v>
      </c>
      <c r="R529" s="4">
        <v>567648</v>
      </c>
      <c r="S529" t="s">
        <v>16909</v>
      </c>
      <c r="T529" s="6">
        <v>40148</v>
      </c>
      <c r="U529" s="4">
        <v>389001</v>
      </c>
      <c r="V529" t="s">
        <v>23739</v>
      </c>
      <c r="W529" t="s">
        <v>23980</v>
      </c>
      <c r="X529" t="s">
        <v>3</v>
      </c>
      <c r="AA529" s="5" t="str">
        <f>HYPERLINK("https://www.zillow.com/homes/1084-IDAHO-ST-CAROL-STREAM-IL-60188_rb/","check listing")</f>
        <v>check listing</v>
      </c>
      <c r="AB529" s="5" t="str">
        <f>HYPERLINK("https://propertylookup.dupagecounty.gov/Datalets/Datalet.aspx?UseSearch=no&amp;mode=sales&amp;pin=0220304008","sales record")</f>
        <v>sales record</v>
      </c>
      <c r="AC529" t="s">
        <v>3</v>
      </c>
      <c r="AD529">
        <v>41.932572</v>
      </c>
      <c r="AE529">
        <v>-88.130081</v>
      </c>
      <c r="AF529" s="5" t="str">
        <f>HYPERLINK("https://www.google.com/maps/search/?api=1&amp;query=41.932572,-88.130081","map")</f>
        <v>map</v>
      </c>
    </row>
    <row r="530" spans="1:32">
      <c r="A530" t="s">
        <v>580</v>
      </c>
      <c r="B530" t="s">
        <v>8160</v>
      </c>
      <c r="C530" t="s">
        <v>15164</v>
      </c>
      <c r="D530" t="s">
        <v>16197</v>
      </c>
      <c r="E530" t="s">
        <v>16218</v>
      </c>
      <c r="F530" t="s">
        <v>16220</v>
      </c>
      <c r="G530" t="s">
        <v>16238</v>
      </c>
      <c r="H530" t="s">
        <v>16238</v>
      </c>
      <c r="I530" t="s">
        <v>16314</v>
      </c>
      <c r="J530" t="s">
        <v>16385</v>
      </c>
      <c r="K530">
        <v>0.284</v>
      </c>
      <c r="L530">
        <v>12367</v>
      </c>
      <c r="M530">
        <v>2770</v>
      </c>
      <c r="N530" t="s">
        <v>16393</v>
      </c>
      <c r="O530" s="4">
        <v>36878</v>
      </c>
      <c r="P530" s="4">
        <v>104150</v>
      </c>
      <c r="Q530" s="4">
        <v>141028</v>
      </c>
      <c r="R530" s="4">
        <v>423084</v>
      </c>
      <c r="S530" t="s">
        <v>16910</v>
      </c>
      <c r="T530" s="6">
        <v>41153</v>
      </c>
      <c r="U530" s="4">
        <v>235000</v>
      </c>
      <c r="V530" t="s">
        <v>16232</v>
      </c>
      <c r="W530" t="s">
        <v>16910</v>
      </c>
      <c r="X530" t="s">
        <v>3</v>
      </c>
      <c r="AA530" s="5" t="str">
        <f>HYPERLINK("https://www.zillow.com/homes/1372-BOA-TR-CAROL-STREAM-IL-60188_rb/","check listing")</f>
        <v>check listing</v>
      </c>
      <c r="AB530" s="5" t="str">
        <f>HYPERLINK("https://propertylookup.dupagecounty.gov/Datalets/Datalet.aspx?UseSearch=no&amp;mode=sales&amp;pin=0123404094","sales record")</f>
        <v>sales record</v>
      </c>
      <c r="AC530" t="s">
        <v>3</v>
      </c>
      <c r="AD530">
        <v>41.935331</v>
      </c>
      <c r="AE530">
        <v>-88.169276</v>
      </c>
      <c r="AF530" s="5" t="str">
        <f>HYPERLINK("https://www.google.com/maps/search/?api=1&amp;query=41.935331,-88.169276","map")</f>
        <v>map</v>
      </c>
    </row>
    <row r="531" spans="1:32">
      <c r="A531" t="s">
        <v>581</v>
      </c>
      <c r="B531" t="s">
        <v>8161</v>
      </c>
      <c r="C531" t="s">
        <v>15164</v>
      </c>
      <c r="D531" t="s">
        <v>16197</v>
      </c>
      <c r="E531" t="s">
        <v>16218</v>
      </c>
      <c r="F531" t="s">
        <v>16220</v>
      </c>
      <c r="G531" t="s">
        <v>16238</v>
      </c>
      <c r="H531" t="s">
        <v>16238</v>
      </c>
      <c r="I531" t="s">
        <v>16314</v>
      </c>
      <c r="J531" t="s">
        <v>16385</v>
      </c>
      <c r="K531">
        <v>0.284</v>
      </c>
      <c r="L531">
        <v>12351</v>
      </c>
      <c r="M531">
        <v>1979</v>
      </c>
      <c r="N531" t="s">
        <v>16393</v>
      </c>
      <c r="O531" s="4">
        <v>37045</v>
      </c>
      <c r="P531" s="4">
        <v>91403</v>
      </c>
      <c r="Q531" s="4">
        <v>128448</v>
      </c>
      <c r="R531" s="4">
        <v>385344</v>
      </c>
      <c r="S531" t="s">
        <v>16911</v>
      </c>
      <c r="T531" s="6">
        <v>30133</v>
      </c>
      <c r="U531" s="4">
        <v>83000</v>
      </c>
      <c r="X531" t="s">
        <v>3</v>
      </c>
      <c r="AA531" s="5" t="str">
        <f>HYPERLINK("https://www.zillow.com/homes/1283-BRAVE-CT-CAROL-STREAM-IL-60188_rb/","check listing")</f>
        <v>check listing</v>
      </c>
      <c r="AB531" s="5" t="str">
        <f>HYPERLINK("https://propertylookup.dupagecounty.gov/Datalets/Datalet.aspx?UseSearch=no&amp;mode=sales&amp;pin=0123404006","sales record")</f>
        <v>sales record</v>
      </c>
      <c r="AC531" t="s">
        <v>3</v>
      </c>
      <c r="AD531">
        <v>41.936306</v>
      </c>
      <c r="AE531">
        <v>-88.16703800000001</v>
      </c>
      <c r="AF531" s="5" t="str">
        <f>HYPERLINK("https://www.google.com/maps/search/?api=1&amp;query=41.936306,-88.167038","map")</f>
        <v>map</v>
      </c>
    </row>
    <row r="532" spans="1:32">
      <c r="A532" t="s">
        <v>582</v>
      </c>
      <c r="B532" t="s">
        <v>8162</v>
      </c>
      <c r="C532" t="s">
        <v>15164</v>
      </c>
      <c r="D532" t="s">
        <v>16197</v>
      </c>
      <c r="E532" t="s">
        <v>16218</v>
      </c>
      <c r="F532" t="s">
        <v>16220</v>
      </c>
      <c r="G532" t="s">
        <v>16238</v>
      </c>
      <c r="H532" t="s">
        <v>16238</v>
      </c>
      <c r="I532" t="s">
        <v>16314</v>
      </c>
      <c r="J532" t="s">
        <v>16385</v>
      </c>
      <c r="K532">
        <v>0.277</v>
      </c>
      <c r="L532">
        <v>12061</v>
      </c>
      <c r="M532">
        <v>2968</v>
      </c>
      <c r="N532" t="s">
        <v>16393</v>
      </c>
      <c r="O532" s="4">
        <v>35954</v>
      </c>
      <c r="P532" s="4">
        <v>153835</v>
      </c>
      <c r="Q532" s="4">
        <v>189789</v>
      </c>
      <c r="R532" s="4">
        <v>569367</v>
      </c>
      <c r="S532" t="s">
        <v>16912</v>
      </c>
      <c r="T532" s="6">
        <v>42156</v>
      </c>
      <c r="U532" s="4">
        <v>400000</v>
      </c>
      <c r="V532" t="s">
        <v>23739</v>
      </c>
      <c r="W532" t="s">
        <v>23981</v>
      </c>
      <c r="X532" t="s">
        <v>3</v>
      </c>
      <c r="AA532" s="5" t="str">
        <f>HYPERLINK("https://www.zillow.com/homes/1250-MC-CORMICK-ST-CAROL-STREAM-IL-60188_rb/","check listing")</f>
        <v>check listing</v>
      </c>
      <c r="AB532" s="5" t="str">
        <f>HYPERLINK("https://propertylookup.dupagecounty.gov/Datalets/Datalet.aspx?UseSearch=no&amp;mode=sales&amp;pin=0220304027","sales record")</f>
        <v>sales record</v>
      </c>
      <c r="AC532" t="s">
        <v>3</v>
      </c>
      <c r="AD532">
        <v>41.937203</v>
      </c>
      <c r="AE532">
        <v>-88.13007500000001</v>
      </c>
      <c r="AF532" s="5" t="str">
        <f>HYPERLINK("https://www.google.com/maps/search/?api=1&amp;query=41.937203,-88.130075","map")</f>
        <v>map</v>
      </c>
    </row>
    <row r="533" spans="1:32">
      <c r="A533" t="s">
        <v>583</v>
      </c>
      <c r="B533" t="s">
        <v>8163</v>
      </c>
      <c r="C533" t="s">
        <v>15164</v>
      </c>
      <c r="D533" t="s">
        <v>16197</v>
      </c>
      <c r="E533" t="s">
        <v>16218</v>
      </c>
      <c r="F533" t="s">
        <v>16220</v>
      </c>
      <c r="G533" t="s">
        <v>16238</v>
      </c>
      <c r="H533" t="s">
        <v>16238</v>
      </c>
      <c r="I533" t="s">
        <v>16314</v>
      </c>
      <c r="J533" t="s">
        <v>16385</v>
      </c>
      <c r="K533">
        <v>0.277</v>
      </c>
      <c r="L533">
        <v>12050</v>
      </c>
      <c r="M533">
        <v>3260</v>
      </c>
      <c r="N533" t="s">
        <v>16393</v>
      </c>
      <c r="O533" s="4">
        <v>35954</v>
      </c>
      <c r="P533" s="4">
        <v>182176</v>
      </c>
      <c r="Q533" s="4">
        <v>218130</v>
      </c>
      <c r="R533" s="4">
        <v>654390</v>
      </c>
      <c r="S533" t="s">
        <v>16913</v>
      </c>
      <c r="T533" s="6">
        <v>42339</v>
      </c>
      <c r="U533" s="4">
        <v>440000</v>
      </c>
      <c r="V533" t="s">
        <v>23739</v>
      </c>
      <c r="W533" t="s">
        <v>23982</v>
      </c>
      <c r="X533" t="s">
        <v>3</v>
      </c>
      <c r="AA533" s="5" t="str">
        <f>HYPERLINK("https://www.zillow.com/homes/1238-MC-CORMICK-ST-CAROL-STREAM-IL-60188_rb/","check listing")</f>
        <v>check listing</v>
      </c>
      <c r="AB533" s="5" t="str">
        <f>HYPERLINK("https://propertylookup.dupagecounty.gov/Datalets/Datalet.aspx?UseSearch=no&amp;mode=sales&amp;pin=0220304026","sales record")</f>
        <v>sales record</v>
      </c>
      <c r="AC533" t="s">
        <v>3</v>
      </c>
      <c r="AD533">
        <v>41.936974</v>
      </c>
      <c r="AE533">
        <v>-88.130076</v>
      </c>
      <c r="AF533" s="5" t="str">
        <f>HYPERLINK("https://www.google.com/maps/search/?api=1&amp;query=41.936974,-88.130076","map")</f>
        <v>map</v>
      </c>
    </row>
    <row r="534" spans="1:32">
      <c r="A534" t="s">
        <v>584</v>
      </c>
      <c r="B534" t="s">
        <v>8164</v>
      </c>
      <c r="C534" t="s">
        <v>15164</v>
      </c>
      <c r="D534" t="s">
        <v>16197</v>
      </c>
      <c r="E534" t="s">
        <v>16218</v>
      </c>
      <c r="F534" t="s">
        <v>16220</v>
      </c>
      <c r="G534" t="s">
        <v>16238</v>
      </c>
      <c r="H534" t="s">
        <v>16238</v>
      </c>
      <c r="I534" t="s">
        <v>16314</v>
      </c>
      <c r="J534" t="s">
        <v>16385</v>
      </c>
      <c r="K534">
        <v>0.276</v>
      </c>
      <c r="L534">
        <v>12037</v>
      </c>
      <c r="M534">
        <v>2771</v>
      </c>
      <c r="N534" t="s">
        <v>16393</v>
      </c>
      <c r="O534" s="4">
        <v>35954</v>
      </c>
      <c r="P534" s="4">
        <v>145529</v>
      </c>
      <c r="Q534" s="4">
        <v>181483</v>
      </c>
      <c r="R534" s="4">
        <v>544449</v>
      </c>
      <c r="S534" t="s">
        <v>16914</v>
      </c>
      <c r="T534" s="6">
        <v>35551</v>
      </c>
      <c r="U534" s="4">
        <v>276625</v>
      </c>
      <c r="X534" t="s">
        <v>3</v>
      </c>
      <c r="AA534" s="5" t="str">
        <f>HYPERLINK("https://www.zillow.com/homes/1226-MC-CORMICK-ST-CAROL-STREAM-IL-60188_rb/","check listing")</f>
        <v>check listing</v>
      </c>
      <c r="AB534" s="5" t="str">
        <f>HYPERLINK("https://propertylookup.dupagecounty.gov/Datalets/Datalet.aspx?UseSearch=no&amp;mode=sales&amp;pin=0220304025","sales record")</f>
        <v>sales record</v>
      </c>
      <c r="AC534" t="s">
        <v>3</v>
      </c>
      <c r="AD534">
        <v>41.936737</v>
      </c>
      <c r="AE534">
        <v>-88.130076</v>
      </c>
      <c r="AF534" s="5" t="str">
        <f>HYPERLINK("https://www.google.com/maps/search/?api=1&amp;query=41.936737,-88.130076","map")</f>
        <v>map</v>
      </c>
    </row>
    <row r="535" spans="1:32">
      <c r="A535" t="s">
        <v>585</v>
      </c>
      <c r="B535" t="s">
        <v>8165</v>
      </c>
      <c r="C535" t="s">
        <v>15164</v>
      </c>
      <c r="D535" t="s">
        <v>16197</v>
      </c>
      <c r="E535" t="s">
        <v>16218</v>
      </c>
      <c r="F535" t="s">
        <v>16220</v>
      </c>
      <c r="G535" t="s">
        <v>16238</v>
      </c>
      <c r="H535" t="s">
        <v>16238</v>
      </c>
      <c r="I535" t="s">
        <v>16314</v>
      </c>
      <c r="J535" t="s">
        <v>16385</v>
      </c>
      <c r="K535">
        <v>0.276</v>
      </c>
      <c r="L535">
        <v>12029</v>
      </c>
      <c r="M535">
        <v>2539</v>
      </c>
      <c r="N535" t="s">
        <v>16393</v>
      </c>
      <c r="O535" s="4">
        <v>35954</v>
      </c>
      <c r="P535" s="4">
        <v>149102</v>
      </c>
      <c r="Q535" s="4">
        <v>185056</v>
      </c>
      <c r="R535" s="4">
        <v>555168</v>
      </c>
      <c r="S535" t="s">
        <v>16915</v>
      </c>
      <c r="T535" s="6">
        <v>35551</v>
      </c>
      <c r="U535" s="4">
        <v>258740</v>
      </c>
      <c r="X535" t="s">
        <v>3</v>
      </c>
      <c r="AA535" s="5" t="str">
        <f>HYPERLINK("https://www.zillow.com/homes/1214-MCCORMICK-ST-CAROL-STREAM-IL-60188_rb/","check listing")</f>
        <v>check listing</v>
      </c>
      <c r="AB535" s="5" t="str">
        <f>HYPERLINK("https://propertylookup.dupagecounty.gov/Datalets/Datalet.aspx?UseSearch=no&amp;mode=sales&amp;pin=0220304024","sales record")</f>
        <v>sales record</v>
      </c>
      <c r="AC535" t="s">
        <v>3</v>
      </c>
      <c r="AD535">
        <v>41.93651</v>
      </c>
      <c r="AE535">
        <v>-88.130076</v>
      </c>
      <c r="AF535" s="5" t="str">
        <f>HYPERLINK("https://www.google.com/maps/search/?api=1&amp;query=41.93651,-88.130076","map")</f>
        <v>map</v>
      </c>
    </row>
    <row r="536" spans="1:32">
      <c r="A536" t="s">
        <v>586</v>
      </c>
      <c r="B536" t="s">
        <v>8166</v>
      </c>
      <c r="C536" t="s">
        <v>15164</v>
      </c>
      <c r="D536" t="s">
        <v>16197</v>
      </c>
      <c r="E536" t="s">
        <v>16218</v>
      </c>
      <c r="F536" t="s">
        <v>16220</v>
      </c>
      <c r="G536" t="s">
        <v>16238</v>
      </c>
      <c r="H536" t="s">
        <v>16238</v>
      </c>
      <c r="I536" t="s">
        <v>16314</v>
      </c>
      <c r="J536" t="s">
        <v>16385</v>
      </c>
      <c r="K536">
        <v>0.276</v>
      </c>
      <c r="L536">
        <v>12017</v>
      </c>
      <c r="M536">
        <v>2771</v>
      </c>
      <c r="N536" t="s">
        <v>16393</v>
      </c>
      <c r="O536" s="4">
        <v>35954</v>
      </c>
      <c r="P536" s="4">
        <v>149724</v>
      </c>
      <c r="Q536" s="4">
        <v>185678</v>
      </c>
      <c r="R536" s="4">
        <v>557034</v>
      </c>
      <c r="S536" t="s">
        <v>16916</v>
      </c>
      <c r="T536" s="6">
        <v>35886</v>
      </c>
      <c r="U536" s="4">
        <v>290200</v>
      </c>
      <c r="X536" t="s">
        <v>3</v>
      </c>
      <c r="AA536" s="5" t="str">
        <f>HYPERLINK("https://www.zillow.com/homes/1202-MC-CORMICK-ST-CAROL-STREAM-IL-60188_rb/","check listing")</f>
        <v>check listing</v>
      </c>
      <c r="AB536" s="5" t="str">
        <f>HYPERLINK("https://propertylookup.dupagecounty.gov/Datalets/Datalet.aspx?UseSearch=no&amp;mode=sales&amp;pin=0220304023","sales record")</f>
        <v>sales record</v>
      </c>
      <c r="AC536" t="s">
        <v>3</v>
      </c>
      <c r="AD536">
        <v>41.936255</v>
      </c>
      <c r="AE536">
        <v>-88.130077</v>
      </c>
      <c r="AF536" s="5" t="str">
        <f>HYPERLINK("https://www.google.com/maps/search/?api=1&amp;query=41.936255,-88.130077","map")</f>
        <v>map</v>
      </c>
    </row>
    <row r="537" spans="1:32">
      <c r="A537" t="s">
        <v>587</v>
      </c>
      <c r="B537" t="s">
        <v>8167</v>
      </c>
      <c r="C537" t="s">
        <v>15170</v>
      </c>
      <c r="D537" t="s">
        <v>16197</v>
      </c>
      <c r="E537" t="s">
        <v>16218</v>
      </c>
      <c r="F537" t="s">
        <v>16220</v>
      </c>
      <c r="G537" t="s">
        <v>16238</v>
      </c>
      <c r="H537" t="s">
        <v>16238</v>
      </c>
      <c r="I537" t="s">
        <v>16314</v>
      </c>
      <c r="J537" t="s">
        <v>16385</v>
      </c>
      <c r="K537">
        <v>0.276</v>
      </c>
      <c r="L537">
        <v>12003</v>
      </c>
      <c r="M537">
        <v>2506</v>
      </c>
      <c r="N537" t="s">
        <v>16393</v>
      </c>
      <c r="O537" s="4">
        <v>35954</v>
      </c>
      <c r="P537" s="4">
        <v>167474</v>
      </c>
      <c r="Q537" s="4">
        <v>203428</v>
      </c>
      <c r="R537" s="4">
        <v>610284</v>
      </c>
      <c r="S537" t="s">
        <v>16917</v>
      </c>
      <c r="T537" s="6">
        <v>43952</v>
      </c>
      <c r="U537" s="4">
        <v>450000</v>
      </c>
      <c r="V537" t="s">
        <v>23740</v>
      </c>
      <c r="W537" t="s">
        <v>23983</v>
      </c>
      <c r="X537" t="s">
        <v>3</v>
      </c>
      <c r="AA537" s="5" t="str">
        <f>HYPERLINK("https://www.zillow.com/homes/1190-MCCORMICK-ST-CAROL-STREAM-IL-601881382_rb/","check listing")</f>
        <v>check listing</v>
      </c>
      <c r="AB537" s="5" t="str">
        <f>HYPERLINK("https://propertylookup.dupagecounty.gov/Datalets/Datalet.aspx?UseSearch=no&amp;mode=sales&amp;pin=0220304022","sales record")</f>
        <v>sales record</v>
      </c>
      <c r="AC537" t="s">
        <v>3</v>
      </c>
      <c r="AD537">
        <v>41.936</v>
      </c>
      <c r="AE537">
        <v>-88.130077</v>
      </c>
      <c r="AF537" s="5" t="str">
        <f>HYPERLINK("https://www.google.com/maps/search/?api=1&amp;query=41.936,-88.130077","map")</f>
        <v>map</v>
      </c>
    </row>
    <row r="538" spans="1:32">
      <c r="A538" t="s">
        <v>588</v>
      </c>
      <c r="B538" t="s">
        <v>8168</v>
      </c>
      <c r="C538" t="s">
        <v>15164</v>
      </c>
      <c r="D538" t="s">
        <v>16197</v>
      </c>
      <c r="E538" t="s">
        <v>16218</v>
      </c>
      <c r="F538" t="s">
        <v>16220</v>
      </c>
      <c r="G538" t="s">
        <v>16238</v>
      </c>
      <c r="H538" t="s">
        <v>16238</v>
      </c>
      <c r="I538" t="s">
        <v>16314</v>
      </c>
      <c r="J538" t="s">
        <v>16385</v>
      </c>
      <c r="K538">
        <v>0.275</v>
      </c>
      <c r="L538">
        <v>11994</v>
      </c>
      <c r="M538">
        <v>4116</v>
      </c>
      <c r="N538" t="s">
        <v>16393</v>
      </c>
      <c r="O538" s="4">
        <v>35954</v>
      </c>
      <c r="P538" s="4">
        <v>171155</v>
      </c>
      <c r="Q538" s="4">
        <v>207109</v>
      </c>
      <c r="R538" s="4">
        <v>621327</v>
      </c>
      <c r="S538" t="s">
        <v>16918</v>
      </c>
      <c r="T538" s="6">
        <v>36130</v>
      </c>
      <c r="U538" s="4">
        <v>319665</v>
      </c>
      <c r="X538" t="s">
        <v>3</v>
      </c>
      <c r="AA538" s="5" t="str">
        <f>HYPERLINK("https://www.zillow.com/homes/1182-MC-CORMICK-ST-CAROL-STREAM-IL-60188_rb/","check listing")</f>
        <v>check listing</v>
      </c>
      <c r="AB538" s="5" t="str">
        <f>HYPERLINK("https://propertylookup.dupagecounty.gov/Datalets/Datalet.aspx?UseSearch=no&amp;mode=sales&amp;pin=0220304021","sales record")</f>
        <v>sales record</v>
      </c>
      <c r="AC538" t="s">
        <v>3</v>
      </c>
      <c r="AD538">
        <v>41.935768</v>
      </c>
      <c r="AE538">
        <v>-88.130078</v>
      </c>
      <c r="AF538" s="5" t="str">
        <f>HYPERLINK("https://www.google.com/maps/search/?api=1&amp;query=41.935768,-88.130078","map")</f>
        <v>map</v>
      </c>
    </row>
    <row r="539" spans="1:32">
      <c r="A539" t="s">
        <v>589</v>
      </c>
      <c r="B539" t="s">
        <v>8169</v>
      </c>
      <c r="C539" t="s">
        <v>15164</v>
      </c>
      <c r="D539" t="s">
        <v>16197</v>
      </c>
      <c r="E539" t="s">
        <v>16218</v>
      </c>
      <c r="F539" t="s">
        <v>16220</v>
      </c>
      <c r="G539" t="s">
        <v>16238</v>
      </c>
      <c r="H539" t="s">
        <v>16238</v>
      </c>
      <c r="I539" t="s">
        <v>16314</v>
      </c>
      <c r="J539" t="s">
        <v>16385</v>
      </c>
      <c r="K539">
        <v>0.275</v>
      </c>
      <c r="L539">
        <v>11980</v>
      </c>
      <c r="M539">
        <v>2178</v>
      </c>
      <c r="N539" t="s">
        <v>16393</v>
      </c>
      <c r="O539" s="4">
        <v>39708</v>
      </c>
      <c r="P539" s="4">
        <v>111702</v>
      </c>
      <c r="Q539" s="4">
        <v>151410</v>
      </c>
      <c r="R539" s="4">
        <v>454230</v>
      </c>
      <c r="S539" t="s">
        <v>16919</v>
      </c>
      <c r="T539" s="6">
        <v>35612</v>
      </c>
      <c r="U539" s="4">
        <v>190000</v>
      </c>
      <c r="X539" t="s">
        <v>3</v>
      </c>
      <c r="AA539" s="5" t="str">
        <f>HYPERLINK("https://www.zillow.com/homes/558-BURKE-DR-CAROL-STREAM-IL-60188_rb/","check listing")</f>
        <v>check listing</v>
      </c>
      <c r="AB539" s="5" t="str">
        <f>HYPERLINK("https://propertylookup.dupagecounty.gov/Datalets/Datalet.aspx?UseSearch=no&amp;mode=sales&amp;pin=0219417001","sales record")</f>
        <v>sales record</v>
      </c>
      <c r="AC539" t="s">
        <v>3</v>
      </c>
      <c r="AD539">
        <v>41.932728</v>
      </c>
      <c r="AE539">
        <v>-88.13981</v>
      </c>
      <c r="AF539" s="5" t="str">
        <f>HYPERLINK("https://www.google.com/maps/search/?api=1&amp;query=41.932728,-88.13981","map")</f>
        <v>map</v>
      </c>
    </row>
    <row r="540" spans="1:32">
      <c r="A540" t="s">
        <v>590</v>
      </c>
      <c r="B540" t="s">
        <v>8170</v>
      </c>
      <c r="C540" t="s">
        <v>15164</v>
      </c>
      <c r="D540" t="s">
        <v>16197</v>
      </c>
      <c r="E540" t="s">
        <v>16218</v>
      </c>
      <c r="F540" t="s">
        <v>16220</v>
      </c>
      <c r="G540" t="s">
        <v>16238</v>
      </c>
      <c r="H540" t="s">
        <v>16238</v>
      </c>
      <c r="I540" t="s">
        <v>16314</v>
      </c>
      <c r="J540" t="s">
        <v>16385</v>
      </c>
      <c r="K540">
        <v>0.274</v>
      </c>
      <c r="L540">
        <v>11948</v>
      </c>
      <c r="M540">
        <v>2143</v>
      </c>
      <c r="N540" t="s">
        <v>16393</v>
      </c>
      <c r="O540" s="4">
        <v>37980</v>
      </c>
      <c r="P540" s="4">
        <v>80512</v>
      </c>
      <c r="Q540" s="4">
        <v>118492</v>
      </c>
      <c r="R540" s="4">
        <v>355476</v>
      </c>
      <c r="S540" t="s">
        <v>16920</v>
      </c>
      <c r="T540" s="6">
        <v>41306</v>
      </c>
      <c r="U540" s="4">
        <v>199000</v>
      </c>
      <c r="V540" t="s">
        <v>23739</v>
      </c>
      <c r="W540" t="s">
        <v>23984</v>
      </c>
      <c r="X540" t="s">
        <v>3</v>
      </c>
      <c r="AA540" s="5" t="str">
        <f>HYPERLINK("https://www.zillow.com/homes/1484-MAPLE-RIDGE-CT-CAROL-STREAM-IL-60188_rb/","check listing")</f>
        <v>check listing</v>
      </c>
      <c r="AB540" s="5" t="str">
        <f>HYPERLINK("https://propertylookup.dupagecounty.gov/Datalets/Datalet.aspx?UseSearch=no&amp;mode=sales&amp;pin=0123403043","sales record")</f>
        <v>sales record</v>
      </c>
      <c r="AC540" t="s">
        <v>3</v>
      </c>
      <c r="AD540">
        <v>41.935572</v>
      </c>
      <c r="AE540">
        <v>-88.17436600000001</v>
      </c>
      <c r="AF540" s="5" t="str">
        <f>HYPERLINK("https://www.google.com/maps/search/?api=1&amp;query=41.935572,-88.174366","map")</f>
        <v>map</v>
      </c>
    </row>
    <row r="541" spans="1:32">
      <c r="A541" t="s">
        <v>591</v>
      </c>
      <c r="B541" t="s">
        <v>8171</v>
      </c>
      <c r="C541" t="s">
        <v>15167</v>
      </c>
      <c r="D541" t="s">
        <v>16197</v>
      </c>
      <c r="E541" t="s">
        <v>16218</v>
      </c>
      <c r="F541" t="s">
        <v>16220</v>
      </c>
      <c r="G541" t="s">
        <v>16238</v>
      </c>
      <c r="H541" t="s">
        <v>16238</v>
      </c>
      <c r="I541" t="s">
        <v>16314</v>
      </c>
      <c r="J541" t="s">
        <v>16385</v>
      </c>
      <c r="K541">
        <v>0.274</v>
      </c>
      <c r="L541">
        <v>11920</v>
      </c>
      <c r="M541">
        <v>2722</v>
      </c>
      <c r="N541" t="s">
        <v>16393</v>
      </c>
      <c r="O541" s="4">
        <v>35954</v>
      </c>
      <c r="P541" s="4">
        <v>159537</v>
      </c>
      <c r="Q541" s="4">
        <v>195491</v>
      </c>
      <c r="R541" s="4">
        <v>586473</v>
      </c>
      <c r="S541" t="s">
        <v>16921</v>
      </c>
      <c r="T541" s="6">
        <v>44378</v>
      </c>
      <c r="U541" s="4">
        <v>533000</v>
      </c>
      <c r="V541" t="s">
        <v>23739</v>
      </c>
      <c r="W541" t="s">
        <v>23985</v>
      </c>
      <c r="X541" t="s">
        <v>3</v>
      </c>
      <c r="AA541" s="5" t="str">
        <f>HYPERLINK("https://www.zillow.com/homes/1094-IDAHO-ST-CAROL-STREAM-IL-601881310_rb/","check listing")</f>
        <v>check listing</v>
      </c>
      <c r="AB541" s="5" t="str">
        <f>HYPERLINK("https://propertylookup.dupagecounty.gov/Datalets/Datalet.aspx?UseSearch=no&amp;mode=sales&amp;pin=0220304009","sales record")</f>
        <v>sales record</v>
      </c>
      <c r="AC541" t="s">
        <v>3</v>
      </c>
      <c r="AD541">
        <v>41.932863</v>
      </c>
      <c r="AE541">
        <v>-88.130081</v>
      </c>
      <c r="AF541" s="5" t="str">
        <f>HYPERLINK("https://www.google.com/maps/search/?api=1&amp;query=41.932863,-88.130081","map")</f>
        <v>map</v>
      </c>
    </row>
    <row r="542" spans="1:32">
      <c r="A542" t="s">
        <v>592</v>
      </c>
      <c r="B542" t="s">
        <v>8172</v>
      </c>
      <c r="C542" t="s">
        <v>15164</v>
      </c>
      <c r="D542" t="s">
        <v>16197</v>
      </c>
      <c r="E542" t="s">
        <v>16218</v>
      </c>
      <c r="F542" t="s">
        <v>16220</v>
      </c>
      <c r="G542" t="s">
        <v>16238</v>
      </c>
      <c r="H542" t="s">
        <v>16238</v>
      </c>
      <c r="I542" t="s">
        <v>16314</v>
      </c>
      <c r="J542" t="s">
        <v>16385</v>
      </c>
      <c r="K542">
        <v>0.273</v>
      </c>
      <c r="L542">
        <v>11909</v>
      </c>
      <c r="M542">
        <v>2805</v>
      </c>
      <c r="N542" t="s">
        <v>16393</v>
      </c>
      <c r="O542" s="4">
        <v>35954</v>
      </c>
      <c r="P542" s="4">
        <v>151003</v>
      </c>
      <c r="Q542" s="4">
        <v>186957</v>
      </c>
      <c r="R542" s="4">
        <v>560871</v>
      </c>
      <c r="S542" t="s">
        <v>16922</v>
      </c>
      <c r="T542" s="6">
        <v>35431</v>
      </c>
      <c r="U542" s="4">
        <v>264490</v>
      </c>
      <c r="X542" t="s">
        <v>3</v>
      </c>
      <c r="AA542" s="5" t="str">
        <f>HYPERLINK("https://www.zillow.com/homes/1142-IDAHO-ST-CAROL-STREAM-IL-60188_rb/","check listing")</f>
        <v>check listing</v>
      </c>
      <c r="AB542" s="5" t="str">
        <f>HYPERLINK("https://propertylookup.dupagecounty.gov/Datalets/Datalet.aspx?UseSearch=no&amp;mode=sales&amp;pin=0220304015","sales record")</f>
        <v>sales record</v>
      </c>
      <c r="AC542" t="s">
        <v>3</v>
      </c>
      <c r="AD542">
        <v>41.934293</v>
      </c>
      <c r="AE542">
        <v>-88.13007899999999</v>
      </c>
      <c r="AF542" s="5" t="str">
        <f>HYPERLINK("https://www.google.com/maps/search/?api=1&amp;query=41.934293,-88.130079","map")</f>
        <v>map</v>
      </c>
    </row>
    <row r="543" spans="1:32">
      <c r="A543" t="s">
        <v>593</v>
      </c>
      <c r="B543" t="s">
        <v>8173</v>
      </c>
      <c r="C543" t="s">
        <v>15164</v>
      </c>
      <c r="D543" t="s">
        <v>16197</v>
      </c>
      <c r="E543" t="s">
        <v>16218</v>
      </c>
      <c r="F543" t="s">
        <v>16220</v>
      </c>
      <c r="G543" t="s">
        <v>16238</v>
      </c>
      <c r="H543" t="s">
        <v>16238</v>
      </c>
      <c r="I543" t="s">
        <v>16314</v>
      </c>
      <c r="J543" t="s">
        <v>16385</v>
      </c>
      <c r="K543">
        <v>0.273</v>
      </c>
      <c r="L543">
        <v>11907</v>
      </c>
      <c r="M543">
        <v>2902</v>
      </c>
      <c r="N543" t="s">
        <v>16393</v>
      </c>
      <c r="O543" s="4">
        <v>35954</v>
      </c>
      <c r="P543" s="4">
        <v>149102</v>
      </c>
      <c r="Q543" s="4">
        <v>185056</v>
      </c>
      <c r="R543" s="4">
        <v>555168</v>
      </c>
      <c r="S543" t="s">
        <v>16923</v>
      </c>
      <c r="T543" s="6">
        <v>35400</v>
      </c>
      <c r="U543" s="4">
        <v>259960</v>
      </c>
      <c r="X543" t="s">
        <v>3</v>
      </c>
      <c r="AA543" s="5" t="str">
        <f>HYPERLINK("https://www.zillow.com/homes/1134-IDAHO-ST-CAROL-STREAM-IL-60188_rb/","check listing")</f>
        <v>check listing</v>
      </c>
      <c r="AB543" s="5" t="str">
        <f>HYPERLINK("https://propertylookup.dupagecounty.gov/Datalets/Datalet.aspx?UseSearch=no&amp;mode=sales&amp;pin=0220304014","sales record")</f>
        <v>sales record</v>
      </c>
      <c r="AC543" t="s">
        <v>3</v>
      </c>
      <c r="AD543">
        <v>41.93403</v>
      </c>
      <c r="AE543">
        <v>-88.13007899999999</v>
      </c>
      <c r="AF543" s="5" t="str">
        <f>HYPERLINK("https://www.google.com/maps/search/?api=1&amp;query=41.93403,-88.130079","map")</f>
        <v>map</v>
      </c>
    </row>
    <row r="544" spans="1:32">
      <c r="A544" t="s">
        <v>594</v>
      </c>
      <c r="B544" t="s">
        <v>8174</v>
      </c>
      <c r="C544" t="s">
        <v>15164</v>
      </c>
      <c r="D544" t="s">
        <v>16197</v>
      </c>
      <c r="E544" t="s">
        <v>16218</v>
      </c>
      <c r="F544" t="s">
        <v>16220</v>
      </c>
      <c r="G544" t="s">
        <v>16238</v>
      </c>
      <c r="H544" t="s">
        <v>16238</v>
      </c>
      <c r="I544" t="s">
        <v>16314</v>
      </c>
      <c r="J544" t="s">
        <v>16385</v>
      </c>
      <c r="K544">
        <v>0.273</v>
      </c>
      <c r="L544">
        <v>11903</v>
      </c>
      <c r="M544">
        <v>3561</v>
      </c>
      <c r="N544" t="s">
        <v>16393</v>
      </c>
      <c r="O544" s="4">
        <v>35954</v>
      </c>
      <c r="P544" s="4">
        <v>173870</v>
      </c>
      <c r="Q544" s="4">
        <v>209824</v>
      </c>
      <c r="R544" s="4">
        <v>629472</v>
      </c>
      <c r="S544" t="s">
        <v>16924</v>
      </c>
      <c r="T544" s="6">
        <v>35370</v>
      </c>
      <c r="U544" s="4">
        <v>273990</v>
      </c>
      <c r="X544" t="s">
        <v>3</v>
      </c>
      <c r="AA544" s="5" t="str">
        <f>HYPERLINK("https://www.zillow.com/homes/1102-IDAHO-ST-CAROL-STREAM-IL-60188_rb/","check listing")</f>
        <v>check listing</v>
      </c>
      <c r="AB544" s="5" t="str">
        <f>HYPERLINK("https://propertylookup.dupagecounty.gov/Datalets/Datalet.aspx?UseSearch=no&amp;mode=sales&amp;pin=0220304010","sales record")</f>
        <v>sales record</v>
      </c>
      <c r="AC544" t="s">
        <v>3</v>
      </c>
      <c r="AD544">
        <v>41.933083</v>
      </c>
      <c r="AE544">
        <v>-88.13008000000001</v>
      </c>
      <c r="AF544" s="5" t="str">
        <f>HYPERLINK("https://www.google.com/maps/search/?api=1&amp;query=41.933083,-88.13008","map")</f>
        <v>map</v>
      </c>
    </row>
    <row r="545" spans="1:32">
      <c r="A545" t="s">
        <v>595</v>
      </c>
      <c r="B545" t="s">
        <v>8175</v>
      </c>
      <c r="C545" t="s">
        <v>15164</v>
      </c>
      <c r="D545" t="s">
        <v>16197</v>
      </c>
      <c r="E545" t="s">
        <v>16218</v>
      </c>
      <c r="F545" t="s">
        <v>16220</v>
      </c>
      <c r="G545" t="s">
        <v>16238</v>
      </c>
      <c r="H545" t="s">
        <v>16238</v>
      </c>
      <c r="I545" t="s">
        <v>16314</v>
      </c>
      <c r="J545" t="s">
        <v>16385</v>
      </c>
      <c r="K545">
        <v>0.273</v>
      </c>
      <c r="L545">
        <v>11902</v>
      </c>
      <c r="M545">
        <v>2539</v>
      </c>
      <c r="N545" t="s">
        <v>16393</v>
      </c>
      <c r="O545" s="4">
        <v>35954</v>
      </c>
      <c r="P545" s="4">
        <v>150955</v>
      </c>
      <c r="Q545" s="4">
        <v>186909</v>
      </c>
      <c r="R545" s="4">
        <v>560727</v>
      </c>
      <c r="S545" t="s">
        <v>16925</v>
      </c>
      <c r="T545" s="6">
        <v>41883</v>
      </c>
      <c r="U545" s="4">
        <v>385500</v>
      </c>
      <c r="V545" t="s">
        <v>23739</v>
      </c>
      <c r="W545" t="s">
        <v>23986</v>
      </c>
      <c r="X545" t="s">
        <v>3</v>
      </c>
      <c r="AA545" s="5" t="str">
        <f>HYPERLINK("https://www.zillow.com/homes/1118-IDAHO-ST-CAROL-STREAM-IL-60188_rb/","check listing")</f>
        <v>check listing</v>
      </c>
      <c r="AB545" s="5" t="str">
        <f>HYPERLINK("https://propertylookup.dupagecounty.gov/Datalets/Datalet.aspx?UseSearch=no&amp;mode=sales&amp;pin=0220304012","sales record")</f>
        <v>sales record</v>
      </c>
      <c r="AC545" t="s">
        <v>3</v>
      </c>
      <c r="AD545">
        <v>41.933522</v>
      </c>
      <c r="AE545">
        <v>-88.13008000000001</v>
      </c>
      <c r="AF545" s="5" t="str">
        <f>HYPERLINK("https://www.google.com/maps/search/?api=1&amp;query=41.933522,-88.13008","map")</f>
        <v>map</v>
      </c>
    </row>
    <row r="546" spans="1:32">
      <c r="A546" t="s">
        <v>596</v>
      </c>
      <c r="B546" t="s">
        <v>8176</v>
      </c>
      <c r="C546" t="s">
        <v>15164</v>
      </c>
      <c r="D546" t="s">
        <v>16197</v>
      </c>
      <c r="E546" t="s">
        <v>16218</v>
      </c>
      <c r="F546" t="s">
        <v>16220</v>
      </c>
      <c r="G546" t="s">
        <v>16238</v>
      </c>
      <c r="H546" t="s">
        <v>16238</v>
      </c>
      <c r="I546" t="s">
        <v>16314</v>
      </c>
      <c r="J546" t="s">
        <v>16385</v>
      </c>
      <c r="K546">
        <v>0.273</v>
      </c>
      <c r="L546">
        <v>11898</v>
      </c>
      <c r="M546">
        <v>2771</v>
      </c>
      <c r="N546" t="s">
        <v>16393</v>
      </c>
      <c r="O546" s="4">
        <v>35954</v>
      </c>
      <c r="P546" s="4">
        <v>154445</v>
      </c>
      <c r="Q546" s="4">
        <v>190399</v>
      </c>
      <c r="R546" s="4">
        <v>571197</v>
      </c>
      <c r="S546" t="s">
        <v>16926</v>
      </c>
      <c r="T546" s="6">
        <v>43647</v>
      </c>
      <c r="U546" s="4">
        <v>402500</v>
      </c>
      <c r="V546" t="s">
        <v>23739</v>
      </c>
      <c r="W546" t="s">
        <v>23987</v>
      </c>
      <c r="X546" t="s">
        <v>3</v>
      </c>
      <c r="AA546" s="5" t="str">
        <f>HYPERLINK("https://www.zillow.com/homes/1110-IDAHO-ST-CAROL-STREAM-IL-60188_rb/","check listing")</f>
        <v>check listing</v>
      </c>
      <c r="AB546" s="5" t="str">
        <f>HYPERLINK("https://propertylookup.dupagecounty.gov/Datalets/Datalet.aspx?UseSearch=no&amp;mode=sales&amp;pin=0220304011","sales record")</f>
        <v>sales record</v>
      </c>
      <c r="AC546" t="s">
        <v>3</v>
      </c>
      <c r="AD546">
        <v>41.933303</v>
      </c>
      <c r="AE546">
        <v>-88.13008000000001</v>
      </c>
      <c r="AF546" s="5" t="str">
        <f>HYPERLINK("https://www.google.com/maps/search/?api=1&amp;query=41.933303,-88.13008","map")</f>
        <v>map</v>
      </c>
    </row>
    <row r="547" spans="1:32">
      <c r="A547" t="s">
        <v>597</v>
      </c>
      <c r="B547" t="s">
        <v>8177</v>
      </c>
      <c r="C547" t="s">
        <v>15164</v>
      </c>
      <c r="D547" t="s">
        <v>16197</v>
      </c>
      <c r="E547" t="s">
        <v>16218</v>
      </c>
      <c r="F547" t="s">
        <v>16220</v>
      </c>
      <c r="G547" t="s">
        <v>16238</v>
      </c>
      <c r="H547" t="s">
        <v>16238</v>
      </c>
      <c r="I547" t="s">
        <v>16314</v>
      </c>
      <c r="J547" t="s">
        <v>16385</v>
      </c>
      <c r="K547">
        <v>0.273</v>
      </c>
      <c r="L547">
        <v>11887</v>
      </c>
      <c r="M547">
        <v>3002</v>
      </c>
      <c r="N547" t="s">
        <v>16393</v>
      </c>
      <c r="O547" s="4">
        <v>35954</v>
      </c>
      <c r="P547" s="4">
        <v>163972</v>
      </c>
      <c r="Q547" s="4">
        <v>199926</v>
      </c>
      <c r="R547" s="4">
        <v>599778</v>
      </c>
      <c r="S547" t="s">
        <v>16927</v>
      </c>
      <c r="T547" s="6">
        <v>36281</v>
      </c>
      <c r="U547" s="4">
        <v>307000</v>
      </c>
      <c r="X547" t="s">
        <v>3</v>
      </c>
      <c r="AA547" s="5" t="str">
        <f>HYPERLINK("https://www.zillow.com/homes/1126-IDAHO-ST-CAROL-STREAM-IL-60188_rb/","check listing")</f>
        <v>check listing</v>
      </c>
      <c r="AB547" s="5" t="str">
        <f>HYPERLINK("https://propertylookup.dupagecounty.gov/Datalets/Datalet.aspx?UseSearch=no&amp;mode=sales&amp;pin=0220304013","sales record")</f>
        <v>sales record</v>
      </c>
      <c r="AC547" t="s">
        <v>3</v>
      </c>
      <c r="AD547">
        <v>41.933863</v>
      </c>
      <c r="AE547">
        <v>-88.13007899999999</v>
      </c>
      <c r="AF547" s="5" t="str">
        <f>HYPERLINK("https://www.google.com/maps/search/?api=1&amp;query=41.933863,-88.130079","map")</f>
        <v>map</v>
      </c>
    </row>
    <row r="548" spans="1:32">
      <c r="A548" t="s">
        <v>598</v>
      </c>
      <c r="B548" t="s">
        <v>8178</v>
      </c>
      <c r="C548" t="s">
        <v>15164</v>
      </c>
      <c r="D548" t="s">
        <v>16197</v>
      </c>
      <c r="E548" t="s">
        <v>16218</v>
      </c>
      <c r="F548" t="s">
        <v>16220</v>
      </c>
      <c r="G548" t="s">
        <v>16238</v>
      </c>
      <c r="H548" t="s">
        <v>16238</v>
      </c>
      <c r="I548" t="s">
        <v>16314</v>
      </c>
      <c r="J548" t="s">
        <v>16385</v>
      </c>
      <c r="K548">
        <v>0.272</v>
      </c>
      <c r="L548">
        <v>11828</v>
      </c>
      <c r="M548">
        <v>2144</v>
      </c>
      <c r="N548" t="s">
        <v>16393</v>
      </c>
      <c r="O548" s="4">
        <v>37045</v>
      </c>
      <c r="P548" s="4">
        <v>85747</v>
      </c>
      <c r="Q548" s="4">
        <v>122792</v>
      </c>
      <c r="R548" s="4">
        <v>368376</v>
      </c>
      <c r="S548" t="s">
        <v>16928</v>
      </c>
      <c r="T548" s="6">
        <v>31138</v>
      </c>
      <c r="U548" s="4">
        <v>86000</v>
      </c>
      <c r="X548" t="s">
        <v>3</v>
      </c>
      <c r="AA548" s="5" t="str">
        <f>HYPERLINK("https://www.zillow.com/homes/1256-SPRING-VALLEY-DR-CAROL-STREAM-IL-60188_rb/","check listing")</f>
        <v>check listing</v>
      </c>
      <c r="AB548" s="5" t="str">
        <f>HYPERLINK("https://propertylookup.dupagecounty.gov/Datalets/Datalet.aspx?UseSearch=no&amp;mode=sales&amp;pin=0123404018","sales record")</f>
        <v>sales record</v>
      </c>
      <c r="AC548" t="s">
        <v>3</v>
      </c>
      <c r="AD548">
        <v>41.936439</v>
      </c>
      <c r="AE548">
        <v>-88.165921</v>
      </c>
      <c r="AF548" s="5" t="str">
        <f>HYPERLINK("https://www.google.com/maps/search/?api=1&amp;query=41.936439,-88.165921","map")</f>
        <v>map</v>
      </c>
    </row>
    <row r="549" spans="1:32">
      <c r="A549" t="s">
        <v>599</v>
      </c>
      <c r="B549" t="s">
        <v>8179</v>
      </c>
      <c r="C549" t="s">
        <v>15171</v>
      </c>
      <c r="D549" t="s">
        <v>16197</v>
      </c>
      <c r="E549" t="s">
        <v>16218</v>
      </c>
      <c r="F549" t="s">
        <v>16220</v>
      </c>
      <c r="G549" t="s">
        <v>16238</v>
      </c>
      <c r="H549" t="s">
        <v>16238</v>
      </c>
      <c r="I549" t="s">
        <v>16314</v>
      </c>
      <c r="J549" t="s">
        <v>16385</v>
      </c>
      <c r="K549">
        <v>0.27</v>
      </c>
      <c r="L549">
        <v>11777</v>
      </c>
      <c r="M549">
        <v>2771</v>
      </c>
      <c r="N549" t="s">
        <v>16393</v>
      </c>
      <c r="O549" s="4">
        <v>40963</v>
      </c>
      <c r="P549" s="4">
        <v>111922</v>
      </c>
      <c r="Q549" s="4">
        <v>152885</v>
      </c>
      <c r="R549" s="4">
        <v>458655</v>
      </c>
      <c r="S549" t="s">
        <v>16929</v>
      </c>
      <c r="T549" s="6">
        <v>38808</v>
      </c>
      <c r="U549" s="4">
        <v>415000</v>
      </c>
      <c r="V549" t="s">
        <v>23739</v>
      </c>
      <c r="W549" t="s">
        <v>23988</v>
      </c>
      <c r="X549" t="s">
        <v>3</v>
      </c>
      <c r="AA549" s="5" t="str">
        <f>HYPERLINK("https://www.zillow.com/homes/1267-CRYSTAL-SHORE-CT-CAROL-STREAM-IL-601886000_rb/","check listing")</f>
        <v>check listing</v>
      </c>
      <c r="AB549" s="5" t="str">
        <f>HYPERLINK("https://propertylookup.dupagecounty.gov/Datalets/Datalet.aspx?UseSearch=no&amp;mode=sales&amp;pin=0124308009","sales record")</f>
        <v>sales record</v>
      </c>
      <c r="AC549" t="s">
        <v>3</v>
      </c>
      <c r="AD549">
        <v>41.930751</v>
      </c>
      <c r="AE549">
        <v>-88.164704</v>
      </c>
      <c r="AF549" s="5" t="str">
        <f>HYPERLINK("https://www.google.com/maps/search/?api=1&amp;query=41.930751,-88.164704","map")</f>
        <v>map</v>
      </c>
    </row>
    <row r="550" spans="1:32">
      <c r="A550" t="s">
        <v>600</v>
      </c>
      <c r="B550" t="s">
        <v>8180</v>
      </c>
      <c r="C550" t="s">
        <v>15164</v>
      </c>
      <c r="D550" t="s">
        <v>16197</v>
      </c>
      <c r="E550" t="s">
        <v>16218</v>
      </c>
      <c r="F550" t="s">
        <v>16220</v>
      </c>
      <c r="G550" t="s">
        <v>16238</v>
      </c>
      <c r="H550" t="s">
        <v>16238</v>
      </c>
      <c r="I550" t="s">
        <v>16314</v>
      </c>
      <c r="J550" t="s">
        <v>16385</v>
      </c>
      <c r="K550">
        <v>0.269</v>
      </c>
      <c r="L550">
        <v>11725</v>
      </c>
      <c r="M550">
        <v>1584</v>
      </c>
      <c r="N550" t="s">
        <v>16393</v>
      </c>
      <c r="O550" s="4">
        <v>37980</v>
      </c>
      <c r="P550" s="4">
        <v>70544</v>
      </c>
      <c r="Q550" s="4">
        <v>108524</v>
      </c>
      <c r="R550" s="4">
        <v>325572</v>
      </c>
      <c r="S550" t="s">
        <v>16930</v>
      </c>
      <c r="T550" s="6">
        <v>41122</v>
      </c>
      <c r="U550" s="4">
        <v>185000</v>
      </c>
      <c r="V550" t="s">
        <v>23739</v>
      </c>
      <c r="W550" t="s">
        <v>23989</v>
      </c>
      <c r="X550" t="s">
        <v>3</v>
      </c>
      <c r="AA550" s="5" t="str">
        <f>HYPERLINK("https://www.zillow.com/homes/1416-MAPLE-RIDGE-CT-CAROL-STREAM-IL-60188_rb/","check listing")</f>
        <v>check listing</v>
      </c>
      <c r="AB550" s="5" t="str">
        <f>HYPERLINK("https://propertylookup.dupagecounty.gov/Datalets/Datalet.aspx?UseSearch=no&amp;mode=sales&amp;pin=0123403042","sales record")</f>
        <v>sales record</v>
      </c>
      <c r="AC550" t="s">
        <v>3</v>
      </c>
      <c r="AD550">
        <v>41.935912</v>
      </c>
      <c r="AE550">
        <v>-88.17140499999999</v>
      </c>
      <c r="AF550" s="5" t="str">
        <f>HYPERLINK("https://www.google.com/maps/search/?api=1&amp;query=41.935912,-88.171405","map")</f>
        <v>map</v>
      </c>
    </row>
    <row r="551" spans="1:32">
      <c r="A551" t="s">
        <v>601</v>
      </c>
      <c r="B551" t="s">
        <v>8181</v>
      </c>
      <c r="C551" t="s">
        <v>15172</v>
      </c>
      <c r="D551" t="s">
        <v>16197</v>
      </c>
      <c r="E551" t="s">
        <v>16218</v>
      </c>
      <c r="F551" t="s">
        <v>16220</v>
      </c>
      <c r="G551" t="s">
        <v>16238</v>
      </c>
      <c r="H551" t="s">
        <v>16238</v>
      </c>
      <c r="I551" t="s">
        <v>16314</v>
      </c>
      <c r="J551" t="s">
        <v>16385</v>
      </c>
      <c r="K551">
        <v>0.264</v>
      </c>
      <c r="L551">
        <v>11487</v>
      </c>
      <c r="M551">
        <v>1485</v>
      </c>
      <c r="N551" t="s">
        <v>16393</v>
      </c>
      <c r="O551" s="4">
        <v>36878</v>
      </c>
      <c r="P551" s="4">
        <v>91522</v>
      </c>
      <c r="Q551" s="4">
        <v>128400</v>
      </c>
      <c r="R551" s="4">
        <v>385200</v>
      </c>
      <c r="S551" t="s">
        <v>16931</v>
      </c>
      <c r="T551" s="6">
        <v>44044</v>
      </c>
      <c r="U551" s="4">
        <v>300000</v>
      </c>
      <c r="V551" t="s">
        <v>23739</v>
      </c>
      <c r="W551" t="s">
        <v>16931</v>
      </c>
      <c r="X551" t="s">
        <v>3</v>
      </c>
      <c r="AA551" s="5" t="str">
        <f>HYPERLINK("https://www.zillow.com/homes/1356-BOA-TRL-CAROL-STREAM-IL-601889081_rb/","check listing")</f>
        <v>check listing</v>
      </c>
      <c r="AB551" s="5" t="str">
        <f>HYPERLINK("https://propertylookup.dupagecounty.gov/Datalets/Datalet.aspx?UseSearch=no&amp;mode=sales&amp;pin=0123404102","sales record")</f>
        <v>sales record</v>
      </c>
      <c r="AC551" t="s">
        <v>3</v>
      </c>
      <c r="AD551">
        <v>41.935343</v>
      </c>
      <c r="AE551">
        <v>-88.16757200000001</v>
      </c>
      <c r="AF551" s="5" t="str">
        <f>HYPERLINK("https://www.google.com/maps/search/?api=1&amp;query=41.935343,-88.167572","map")</f>
        <v>map</v>
      </c>
    </row>
    <row r="552" spans="1:32">
      <c r="A552" t="s">
        <v>602</v>
      </c>
      <c r="B552" t="s">
        <v>8182</v>
      </c>
      <c r="C552" t="s">
        <v>15164</v>
      </c>
      <c r="D552" t="s">
        <v>16197</v>
      </c>
      <c r="E552" t="s">
        <v>16218</v>
      </c>
      <c r="F552" t="s">
        <v>16220</v>
      </c>
      <c r="G552" t="s">
        <v>16238</v>
      </c>
      <c r="H552" t="s">
        <v>16238</v>
      </c>
      <c r="I552" t="s">
        <v>16314</v>
      </c>
      <c r="J552" t="s">
        <v>16385</v>
      </c>
      <c r="K552">
        <v>0.263</v>
      </c>
      <c r="L552">
        <v>11470</v>
      </c>
      <c r="M552">
        <v>2307</v>
      </c>
      <c r="N552" t="s">
        <v>16393</v>
      </c>
      <c r="O552" s="4">
        <v>41538</v>
      </c>
      <c r="P552" s="4">
        <v>99861</v>
      </c>
      <c r="Q552" s="4">
        <v>141399</v>
      </c>
      <c r="R552" s="4">
        <v>424197</v>
      </c>
      <c r="S552" t="s">
        <v>16932</v>
      </c>
      <c r="T552" s="6">
        <v>40848</v>
      </c>
      <c r="U552" s="4">
        <v>239900</v>
      </c>
      <c r="V552" t="s">
        <v>23739</v>
      </c>
      <c r="W552" t="s">
        <v>16932</v>
      </c>
      <c r="X552" t="s">
        <v>3</v>
      </c>
      <c r="AA552" s="5" t="str">
        <f>HYPERLINK("https://www.zillow.com/homes/1212-PORTCHESTER-CIR-CAROL-STREAM-IL-60188_rb/","check listing")</f>
        <v>check listing</v>
      </c>
      <c r="AB552" s="5" t="str">
        <f>HYPERLINK("https://propertylookup.dupagecounty.gov/Datalets/Datalet.aspx?UseSearch=no&amp;mode=sales&amp;pin=0124309011","sales record")</f>
        <v>sales record</v>
      </c>
      <c r="AC552" t="s">
        <v>3</v>
      </c>
      <c r="AD552">
        <v>41.934592</v>
      </c>
      <c r="AE552">
        <v>-88.164698</v>
      </c>
      <c r="AF552" s="5" t="str">
        <f>HYPERLINK("https://www.google.com/maps/search/?api=1&amp;query=41.934592,-88.164698","map")</f>
        <v>map</v>
      </c>
    </row>
    <row r="553" spans="1:32">
      <c r="A553" t="s">
        <v>603</v>
      </c>
      <c r="B553" t="s">
        <v>8183</v>
      </c>
      <c r="C553" t="s">
        <v>15164</v>
      </c>
      <c r="D553" t="s">
        <v>16197</v>
      </c>
      <c r="E553" t="s">
        <v>16218</v>
      </c>
      <c r="F553" t="s">
        <v>16220</v>
      </c>
      <c r="G553" t="s">
        <v>16238</v>
      </c>
      <c r="H553" t="s">
        <v>16238</v>
      </c>
      <c r="I553" t="s">
        <v>16314</v>
      </c>
      <c r="J553" t="s">
        <v>16385</v>
      </c>
      <c r="K553">
        <v>0.262</v>
      </c>
      <c r="L553">
        <v>11402</v>
      </c>
      <c r="M553">
        <v>1780</v>
      </c>
      <c r="N553" t="s">
        <v>16393</v>
      </c>
      <c r="O553" s="4">
        <v>36878</v>
      </c>
      <c r="P553" s="4">
        <v>58790</v>
      </c>
      <c r="Q553" s="4">
        <v>95668</v>
      </c>
      <c r="R553" s="4">
        <v>287004</v>
      </c>
      <c r="S553" t="s">
        <v>16933</v>
      </c>
      <c r="T553" s="6">
        <v>41365</v>
      </c>
      <c r="U553" s="4">
        <v>138000</v>
      </c>
      <c r="V553" t="s">
        <v>23739</v>
      </c>
      <c r="W553" t="s">
        <v>16933</v>
      </c>
      <c r="X553" t="s">
        <v>3</v>
      </c>
      <c r="AA553" s="5" t="str">
        <f>HYPERLINK("https://www.zillow.com/homes/1395-BOA-TR-CAROL-STREAM-IL-60188_rb/","check listing")</f>
        <v>check listing</v>
      </c>
      <c r="AB553" s="5" t="str">
        <f>HYPERLINK("https://propertylookup.dupagecounty.gov/Datalets/Datalet.aspx?UseSearch=no&amp;mode=sales&amp;pin=0123214024","sales record")</f>
        <v>sales record</v>
      </c>
      <c r="AC553" t="s">
        <v>3</v>
      </c>
      <c r="AD553">
        <v>41.937143</v>
      </c>
      <c r="AE553">
        <v>-88.168814</v>
      </c>
      <c r="AF553" s="5" t="str">
        <f>HYPERLINK("https://www.google.com/maps/search/?api=1&amp;query=41.937143,-88.168814","map")</f>
        <v>map</v>
      </c>
    </row>
    <row r="554" spans="1:32">
      <c r="A554" t="s">
        <v>604</v>
      </c>
      <c r="B554" t="s">
        <v>8184</v>
      </c>
      <c r="C554" t="s">
        <v>15173</v>
      </c>
      <c r="D554" t="s">
        <v>16197</v>
      </c>
      <c r="E554" t="s">
        <v>16218</v>
      </c>
      <c r="F554" t="s">
        <v>16220</v>
      </c>
      <c r="G554" t="s">
        <v>16238</v>
      </c>
      <c r="H554" t="s">
        <v>16238</v>
      </c>
      <c r="I554" t="s">
        <v>16314</v>
      </c>
      <c r="J554" t="s">
        <v>16385</v>
      </c>
      <c r="K554">
        <v>0.261</v>
      </c>
      <c r="L554">
        <v>11361</v>
      </c>
      <c r="M554">
        <v>2213</v>
      </c>
      <c r="N554" t="s">
        <v>16393</v>
      </c>
      <c r="O554" s="4">
        <v>37045</v>
      </c>
      <c r="P554" s="4">
        <v>79014</v>
      </c>
      <c r="Q554" s="4">
        <v>116059</v>
      </c>
      <c r="R554" s="4">
        <v>348177</v>
      </c>
      <c r="S554" t="s">
        <v>16934</v>
      </c>
      <c r="T554" s="6">
        <v>42644</v>
      </c>
      <c r="U554" s="4">
        <v>245000</v>
      </c>
      <c r="V554" t="s">
        <v>23739</v>
      </c>
      <c r="W554" t="s">
        <v>16934</v>
      </c>
      <c r="X554" t="s">
        <v>3</v>
      </c>
      <c r="AA554" s="5" t="str">
        <f>HYPERLINK("https://www.zillow.com/homes/1290-BRAVE-CT-CAROL-STREAM-IL-601889011_rb/","check listing")</f>
        <v>check listing</v>
      </c>
      <c r="AB554" s="5" t="str">
        <f>HYPERLINK("https://propertylookup.dupagecounty.gov/Datalets/Datalet.aspx?UseSearch=no&amp;mode=sales&amp;pin=0123404013","sales record")</f>
        <v>sales record</v>
      </c>
      <c r="AC554" t="s">
        <v>3</v>
      </c>
      <c r="AD554">
        <v>41.935361</v>
      </c>
      <c r="AE554">
        <v>-88.16632300000001</v>
      </c>
      <c r="AF554" s="5" t="str">
        <f>HYPERLINK("https://www.google.com/maps/search/?api=1&amp;query=41.935361,-88.166323","map")</f>
        <v>map</v>
      </c>
    </row>
    <row r="555" spans="1:32">
      <c r="A555" t="s">
        <v>605</v>
      </c>
      <c r="B555" t="s">
        <v>8185</v>
      </c>
      <c r="C555" t="s">
        <v>15164</v>
      </c>
      <c r="D555" t="s">
        <v>16197</v>
      </c>
      <c r="E555" t="s">
        <v>16218</v>
      </c>
      <c r="F555" t="s">
        <v>16220</v>
      </c>
      <c r="G555" t="s">
        <v>16238</v>
      </c>
      <c r="H555" t="s">
        <v>16238</v>
      </c>
      <c r="I555" t="s">
        <v>16314</v>
      </c>
      <c r="J555" t="s">
        <v>16385</v>
      </c>
      <c r="K555">
        <v>0.26</v>
      </c>
      <c r="L555">
        <v>11335</v>
      </c>
      <c r="M555">
        <v>2966</v>
      </c>
      <c r="N555" t="s">
        <v>16393</v>
      </c>
      <c r="O555" s="4">
        <v>38721</v>
      </c>
      <c r="P555" s="4">
        <v>110015</v>
      </c>
      <c r="Q555" s="4">
        <v>148736</v>
      </c>
      <c r="R555" s="4">
        <v>446208</v>
      </c>
      <c r="S555" t="s">
        <v>16935</v>
      </c>
      <c r="T555" s="6">
        <v>44013</v>
      </c>
      <c r="U555" s="4">
        <v>315000</v>
      </c>
      <c r="V555" t="s">
        <v>23739</v>
      </c>
      <c r="W555" t="s">
        <v>23990</v>
      </c>
      <c r="X555" t="s">
        <v>3</v>
      </c>
      <c r="AA555" s="5" t="str">
        <f>HYPERLINK("https://www.zillow.com/homes/1253-COUNTRY-GLEN-LN-CAROL-STREAM-IL-60188_rb/","check listing")</f>
        <v>check listing</v>
      </c>
      <c r="AB555" s="5" t="str">
        <f>HYPERLINK("https://propertylookup.dupagecounty.gov/Datalets/Datalet.aspx?UseSearch=no&amp;mode=sales&amp;pin=0124402013","sales record")</f>
        <v>sales record</v>
      </c>
      <c r="AC555" t="s">
        <v>3</v>
      </c>
      <c r="AD555">
        <v>41.937098</v>
      </c>
      <c r="AE555">
        <v>-88.151161</v>
      </c>
      <c r="AF555" s="5" t="str">
        <f>HYPERLINK("https://www.google.com/maps/search/?api=1&amp;query=41.937098,-88.151161","map")</f>
        <v>map</v>
      </c>
    </row>
    <row r="556" spans="1:32">
      <c r="A556" t="s">
        <v>606</v>
      </c>
      <c r="B556" t="s">
        <v>8186</v>
      </c>
      <c r="C556" t="s">
        <v>15164</v>
      </c>
      <c r="D556" t="s">
        <v>16197</v>
      </c>
      <c r="E556" t="s">
        <v>16218</v>
      </c>
      <c r="F556" t="s">
        <v>16220</v>
      </c>
      <c r="G556" t="s">
        <v>16238</v>
      </c>
      <c r="H556" t="s">
        <v>16238</v>
      </c>
      <c r="I556" t="s">
        <v>16314</v>
      </c>
      <c r="J556" t="s">
        <v>16385</v>
      </c>
      <c r="K556">
        <v>0.26</v>
      </c>
      <c r="L556">
        <v>11321</v>
      </c>
      <c r="M556">
        <v>2145</v>
      </c>
      <c r="N556" t="s">
        <v>16393</v>
      </c>
      <c r="O556" s="4">
        <v>37045</v>
      </c>
      <c r="P556" s="4">
        <v>89461</v>
      </c>
      <c r="Q556" s="4">
        <v>126506</v>
      </c>
      <c r="R556" s="4">
        <v>379518</v>
      </c>
      <c r="S556" t="s">
        <v>16936</v>
      </c>
      <c r="T556" s="6">
        <v>38261</v>
      </c>
      <c r="U556" s="4">
        <v>268500</v>
      </c>
      <c r="V556" t="s">
        <v>23739</v>
      </c>
      <c r="W556" t="s">
        <v>23991</v>
      </c>
      <c r="X556" t="s">
        <v>3</v>
      </c>
      <c r="AA556" s="5" t="str">
        <f>HYPERLINK("https://www.zillow.com/homes/1285-BRAVE-CT-CAROL-STREAM-IL-60188_rb/","check listing")</f>
        <v>check listing</v>
      </c>
      <c r="AB556" s="5" t="str">
        <f>HYPERLINK("https://propertylookup.dupagecounty.gov/Datalets/Datalet.aspx?UseSearch=no&amp;mode=sales&amp;pin=0123404007","sales record")</f>
        <v>sales record</v>
      </c>
      <c r="AC556" t="s">
        <v>3</v>
      </c>
      <c r="AD556">
        <v>41.936085</v>
      </c>
      <c r="AE556">
        <v>-88.16712099999999</v>
      </c>
      <c r="AF556" s="5" t="str">
        <f>HYPERLINK("https://www.google.com/maps/search/?api=1&amp;query=41.936085,-88.167121","map")</f>
        <v>map</v>
      </c>
    </row>
    <row r="557" spans="1:32">
      <c r="A557" t="s">
        <v>607</v>
      </c>
      <c r="B557" t="s">
        <v>8187</v>
      </c>
      <c r="C557" t="s">
        <v>15164</v>
      </c>
      <c r="D557" t="s">
        <v>16197</v>
      </c>
      <c r="E557" t="s">
        <v>16218</v>
      </c>
      <c r="F557" t="s">
        <v>16220</v>
      </c>
      <c r="G557" t="s">
        <v>16238</v>
      </c>
      <c r="H557" t="s">
        <v>16238</v>
      </c>
      <c r="I557" t="s">
        <v>16314</v>
      </c>
      <c r="J557" t="s">
        <v>16385</v>
      </c>
      <c r="K557">
        <v>0.259</v>
      </c>
      <c r="L557">
        <v>11264</v>
      </c>
      <c r="M557">
        <v>2375</v>
      </c>
      <c r="N557" t="s">
        <v>16393</v>
      </c>
      <c r="O557" s="4">
        <v>41538</v>
      </c>
      <c r="P557" s="4">
        <v>108415</v>
      </c>
      <c r="Q557" s="4">
        <v>149953</v>
      </c>
      <c r="R557" s="4">
        <v>449859</v>
      </c>
      <c r="S557" t="s">
        <v>16937</v>
      </c>
      <c r="T557" s="6">
        <v>35156</v>
      </c>
      <c r="U557" s="4">
        <v>181000</v>
      </c>
      <c r="X557" t="s">
        <v>3</v>
      </c>
      <c r="AA557" s="5" t="str">
        <f>HYPERLINK("https://www.zillow.com/homes/1247-CRYSTAL-SHORE-DR-CAROL-STREAM-IL-60188_rb/","check listing")</f>
        <v>check listing</v>
      </c>
      <c r="AB557" s="5" t="str">
        <f>HYPERLINK("https://propertylookup.dupagecounty.gov/Datalets/Datalet.aspx?UseSearch=no&amp;mode=sales&amp;pin=0124308001","sales record")</f>
        <v>sales record</v>
      </c>
      <c r="AC557" t="s">
        <v>3</v>
      </c>
      <c r="AD557">
        <v>41.9324</v>
      </c>
      <c r="AE557">
        <v>-88.164736</v>
      </c>
      <c r="AF557" s="5" t="str">
        <f>HYPERLINK("https://www.google.com/maps/search/?api=1&amp;query=41.9324,-88.164736","map")</f>
        <v>map</v>
      </c>
    </row>
    <row r="558" spans="1:32">
      <c r="A558" t="s">
        <v>608</v>
      </c>
      <c r="B558" t="s">
        <v>8188</v>
      </c>
      <c r="C558" t="s">
        <v>15164</v>
      </c>
      <c r="D558" t="s">
        <v>16197</v>
      </c>
      <c r="E558" t="s">
        <v>16218</v>
      </c>
      <c r="F558" t="s">
        <v>16220</v>
      </c>
      <c r="G558" t="s">
        <v>16238</v>
      </c>
      <c r="H558" t="s">
        <v>16238</v>
      </c>
      <c r="I558" t="s">
        <v>16314</v>
      </c>
      <c r="J558" t="s">
        <v>16385</v>
      </c>
      <c r="K558">
        <v>0.257</v>
      </c>
      <c r="L558">
        <v>11187</v>
      </c>
      <c r="M558">
        <v>2111</v>
      </c>
      <c r="N558" t="s">
        <v>16393</v>
      </c>
      <c r="O558" s="4">
        <v>39708</v>
      </c>
      <c r="P558" s="4">
        <v>95816</v>
      </c>
      <c r="Q558" s="4">
        <v>135524</v>
      </c>
      <c r="R558" s="4">
        <v>406572</v>
      </c>
      <c r="S558" t="s">
        <v>16938</v>
      </c>
      <c r="T558" s="6">
        <v>45799</v>
      </c>
      <c r="U558" s="4">
        <v>443000</v>
      </c>
      <c r="V558" t="s">
        <v>23739</v>
      </c>
      <c r="W558" t="s">
        <v>23992</v>
      </c>
      <c r="X558" t="s">
        <v>3</v>
      </c>
      <c r="AA558" s="5" t="str">
        <f>HYPERLINK("https://www.zillow.com/homes/503-YARDLEY-DR-CAROL-STREAM-IL-60188_rb/","check listing")</f>
        <v>check listing</v>
      </c>
      <c r="AB558" s="5" t="str">
        <f>HYPERLINK("https://propertylookup.dupagecounty.gov/Datalets/Datalet.aspx?UseSearch=no&amp;mode=sales&amp;pin=0219414010","sales record")</f>
        <v>sales record</v>
      </c>
      <c r="AC558" t="s">
        <v>3</v>
      </c>
      <c r="AD558">
        <v>41.935779</v>
      </c>
      <c r="AE558">
        <v>-88.137676</v>
      </c>
      <c r="AF558" s="5" t="str">
        <f>HYPERLINK("https://www.google.com/maps/search/?api=1&amp;query=41.935779,-88.137676","map")</f>
        <v>map</v>
      </c>
    </row>
    <row r="559" spans="1:32">
      <c r="A559" t="s">
        <v>609</v>
      </c>
      <c r="B559" t="s">
        <v>8189</v>
      </c>
      <c r="C559" t="s">
        <v>15172</v>
      </c>
      <c r="D559" t="s">
        <v>16197</v>
      </c>
      <c r="E559" t="s">
        <v>16218</v>
      </c>
      <c r="F559" t="s">
        <v>16220</v>
      </c>
      <c r="G559" t="s">
        <v>16238</v>
      </c>
      <c r="H559" t="s">
        <v>16238</v>
      </c>
      <c r="I559" t="s">
        <v>16314</v>
      </c>
      <c r="J559" t="s">
        <v>16385</v>
      </c>
      <c r="K559">
        <v>0.253</v>
      </c>
      <c r="L559">
        <v>11022</v>
      </c>
      <c r="M559">
        <v>2309</v>
      </c>
      <c r="N559" t="s">
        <v>16393</v>
      </c>
      <c r="O559" s="4">
        <v>36878</v>
      </c>
      <c r="P559" s="4">
        <v>73706</v>
      </c>
      <c r="Q559" s="4">
        <v>110584</v>
      </c>
      <c r="R559" s="4">
        <v>331752</v>
      </c>
      <c r="S559" t="s">
        <v>16939</v>
      </c>
      <c r="T559" s="6">
        <v>44256</v>
      </c>
      <c r="U559" s="4">
        <v>275000</v>
      </c>
      <c r="V559" t="s">
        <v>23739</v>
      </c>
      <c r="W559" t="s">
        <v>23993</v>
      </c>
      <c r="X559" t="s">
        <v>3</v>
      </c>
      <c r="AA559" s="5" t="str">
        <f>HYPERLINK("https://www.zillow.com/homes/1374-BOA-TRL-CAROL-STREAM-IL-601889081_rb/","check listing")</f>
        <v>check listing</v>
      </c>
      <c r="AB559" s="5" t="str">
        <f>HYPERLINK("https://propertylookup.dupagecounty.gov/Datalets/Datalet.aspx?UseSearch=no&amp;mode=sales&amp;pin=0123404093","sales record")</f>
        <v>sales record</v>
      </c>
      <c r="AC559" t="s">
        <v>3</v>
      </c>
      <c r="AD559">
        <v>41.935348</v>
      </c>
      <c r="AE559">
        <v>-88.169545</v>
      </c>
      <c r="AF559" s="5" t="str">
        <f>HYPERLINK("https://www.google.com/maps/search/?api=1&amp;query=41.935348,-88.169545","map")</f>
        <v>map</v>
      </c>
    </row>
    <row r="560" spans="1:32">
      <c r="A560" t="s">
        <v>610</v>
      </c>
      <c r="B560" t="s">
        <v>8190</v>
      </c>
      <c r="C560" t="s">
        <v>15174</v>
      </c>
      <c r="D560" t="s">
        <v>16197</v>
      </c>
      <c r="E560" t="s">
        <v>16218</v>
      </c>
      <c r="F560" t="s">
        <v>16220</v>
      </c>
      <c r="G560" t="s">
        <v>16238</v>
      </c>
      <c r="H560" t="s">
        <v>16238</v>
      </c>
      <c r="I560" t="s">
        <v>16314</v>
      </c>
      <c r="J560" t="s">
        <v>16385</v>
      </c>
      <c r="K560">
        <v>0.252</v>
      </c>
      <c r="L560">
        <v>10990</v>
      </c>
      <c r="M560">
        <v>2144</v>
      </c>
      <c r="N560" t="s">
        <v>16393</v>
      </c>
      <c r="O560" s="4">
        <v>40963</v>
      </c>
      <c r="P560" s="4">
        <v>102199</v>
      </c>
      <c r="Q560" s="4">
        <v>143162</v>
      </c>
      <c r="R560" s="4">
        <v>429486</v>
      </c>
      <c r="S560" t="s">
        <v>16940</v>
      </c>
      <c r="T560" s="6">
        <v>43556</v>
      </c>
      <c r="U560" s="4">
        <v>318000</v>
      </c>
      <c r="V560" t="s">
        <v>23740</v>
      </c>
      <c r="W560" t="s">
        <v>23994</v>
      </c>
      <c r="X560" t="s">
        <v>3</v>
      </c>
      <c r="AA560" s="5" t="str">
        <f>HYPERLINK("https://www.zillow.com/homes/1265-CRYSTAL-SHORE-DR-CAROL-STREAM-IL-601886048_rb/","check listing")</f>
        <v>check listing</v>
      </c>
      <c r="AB560" s="5" t="str">
        <f>HYPERLINK("https://propertylookup.dupagecounty.gov/Datalets/Datalet.aspx?UseSearch=no&amp;mode=sales&amp;pin=0124308008","sales record")</f>
        <v>sales record</v>
      </c>
      <c r="AC560" t="s">
        <v>3</v>
      </c>
      <c r="AD560">
        <v>41.930949</v>
      </c>
      <c r="AE560">
        <v>-88.164731</v>
      </c>
      <c r="AF560" s="5" t="str">
        <f>HYPERLINK("https://www.google.com/maps/search/?api=1&amp;query=41.930949,-88.164731","map")</f>
        <v>map</v>
      </c>
    </row>
    <row r="561" spans="1:32">
      <c r="A561" t="s">
        <v>611</v>
      </c>
      <c r="B561" t="s">
        <v>8191</v>
      </c>
      <c r="C561" t="s">
        <v>15164</v>
      </c>
      <c r="D561" t="s">
        <v>16197</v>
      </c>
      <c r="E561" t="s">
        <v>16218</v>
      </c>
      <c r="F561" t="s">
        <v>16220</v>
      </c>
      <c r="G561" t="s">
        <v>16238</v>
      </c>
      <c r="H561" t="s">
        <v>16238</v>
      </c>
      <c r="I561" t="s">
        <v>16314</v>
      </c>
      <c r="J561" t="s">
        <v>16385</v>
      </c>
      <c r="K561">
        <v>0.25</v>
      </c>
      <c r="L561">
        <v>10897</v>
      </c>
      <c r="M561">
        <v>2178</v>
      </c>
      <c r="N561" t="s">
        <v>16393</v>
      </c>
      <c r="O561" s="4">
        <v>37045</v>
      </c>
      <c r="P561" s="4">
        <v>107122</v>
      </c>
      <c r="Q561" s="4">
        <v>144167</v>
      </c>
      <c r="R561" s="4">
        <v>432501</v>
      </c>
      <c r="S561" t="s">
        <v>16941</v>
      </c>
      <c r="T561" s="6">
        <v>38534</v>
      </c>
      <c r="U561" s="4">
        <v>345000</v>
      </c>
      <c r="V561" t="s">
        <v>23739</v>
      </c>
      <c r="W561" t="s">
        <v>23995</v>
      </c>
      <c r="X561" t="s">
        <v>3</v>
      </c>
      <c r="AA561" s="5" t="str">
        <f>HYPERLINK("https://www.zillow.com/homes/1261-SPRING-VALLEY-DR-CAROL-STREAM-IL-60188_rb/","check listing")</f>
        <v>check listing</v>
      </c>
      <c r="AB561" s="5" t="str">
        <f>HYPERLINK("https://propertylookup.dupagecounty.gov/Datalets/Datalet.aspx?UseSearch=no&amp;mode=sales&amp;pin=0123407003","sales record")</f>
        <v>sales record</v>
      </c>
      <c r="AC561" t="s">
        <v>3</v>
      </c>
      <c r="AD561">
        <v>41.936655</v>
      </c>
      <c r="AE561">
        <v>-88.16522999999999</v>
      </c>
      <c r="AF561" s="5" t="str">
        <f>HYPERLINK("https://www.google.com/maps/search/?api=1&amp;query=41.936655,-88.16523","map")</f>
        <v>map</v>
      </c>
    </row>
    <row r="562" spans="1:32">
      <c r="A562" t="s">
        <v>612</v>
      </c>
      <c r="B562" t="s">
        <v>8192</v>
      </c>
      <c r="C562" t="s">
        <v>15173</v>
      </c>
      <c r="D562" t="s">
        <v>16197</v>
      </c>
      <c r="E562" t="s">
        <v>16218</v>
      </c>
      <c r="F562" t="s">
        <v>16220</v>
      </c>
      <c r="G562" t="s">
        <v>16238</v>
      </c>
      <c r="H562" t="s">
        <v>16238</v>
      </c>
      <c r="I562" t="s">
        <v>16314</v>
      </c>
      <c r="J562" t="s">
        <v>16385</v>
      </c>
      <c r="K562">
        <v>0.247</v>
      </c>
      <c r="L562">
        <v>10746</v>
      </c>
      <c r="M562">
        <v>2143</v>
      </c>
      <c r="N562" t="s">
        <v>16393</v>
      </c>
      <c r="O562" s="4">
        <v>37045</v>
      </c>
      <c r="P562" s="4">
        <v>88838</v>
      </c>
      <c r="Q562" s="4">
        <v>125883</v>
      </c>
      <c r="R562" s="4">
        <v>377649</v>
      </c>
      <c r="S562" t="s">
        <v>16942</v>
      </c>
      <c r="T562" s="6">
        <v>44470</v>
      </c>
      <c r="U562" s="4">
        <v>334800</v>
      </c>
      <c r="V562" t="s">
        <v>23739</v>
      </c>
      <c r="W562" t="s">
        <v>23996</v>
      </c>
      <c r="X562" t="s">
        <v>3</v>
      </c>
      <c r="AA562" s="5" t="str">
        <f>HYPERLINK("https://www.zillow.com/homes/1280-BRAVE-CT-CAROL-STREAM-IL-601889011_rb/","check listing")</f>
        <v>check listing</v>
      </c>
      <c r="AB562" s="5" t="str">
        <f>HYPERLINK("https://propertylookup.dupagecounty.gov/Datalets/Datalet.aspx?UseSearch=no&amp;mode=sales&amp;pin=0123404017","sales record")</f>
        <v>sales record</v>
      </c>
      <c r="AC562" t="s">
        <v>3</v>
      </c>
      <c r="AD562">
        <v>41.936295</v>
      </c>
      <c r="AE562">
        <v>-88.16629</v>
      </c>
      <c r="AF562" s="5" t="str">
        <f>HYPERLINK("https://www.google.com/maps/search/?api=1&amp;query=41.936295,-88.16629","map")</f>
        <v>map</v>
      </c>
    </row>
    <row r="563" spans="1:32">
      <c r="A563" t="s">
        <v>613</v>
      </c>
      <c r="B563" t="s">
        <v>8193</v>
      </c>
      <c r="C563" t="s">
        <v>15164</v>
      </c>
      <c r="D563" t="s">
        <v>16197</v>
      </c>
      <c r="E563" t="s">
        <v>16218</v>
      </c>
      <c r="F563" t="s">
        <v>16220</v>
      </c>
      <c r="G563" t="s">
        <v>16238</v>
      </c>
      <c r="H563" t="s">
        <v>16238</v>
      </c>
      <c r="I563" t="s">
        <v>16314</v>
      </c>
      <c r="J563" t="s">
        <v>16385</v>
      </c>
      <c r="K563">
        <v>0.244</v>
      </c>
      <c r="L563">
        <v>10625</v>
      </c>
      <c r="M563">
        <v>2732</v>
      </c>
      <c r="N563" t="s">
        <v>16393</v>
      </c>
      <c r="O563" s="4">
        <v>39708</v>
      </c>
      <c r="P563" s="4">
        <v>103370</v>
      </c>
      <c r="Q563" s="4">
        <v>143078</v>
      </c>
      <c r="R563" s="4">
        <v>429234</v>
      </c>
      <c r="S563" t="s">
        <v>16943</v>
      </c>
      <c r="T563" s="6">
        <v>37742</v>
      </c>
      <c r="U563" s="4">
        <v>264000</v>
      </c>
      <c r="V563" t="s">
        <v>23739</v>
      </c>
      <c r="W563" t="s">
        <v>23997</v>
      </c>
      <c r="X563" t="s">
        <v>3</v>
      </c>
      <c r="AA563" s="5" t="str">
        <f>HYPERLINK("https://www.zillow.com/homes/485-YARDLEY-DR-CAROL-STREAM-IL-60188_rb/","check listing")</f>
        <v>check listing</v>
      </c>
      <c r="AB563" s="5" t="str">
        <f>HYPERLINK("https://propertylookup.dupagecounty.gov/Datalets/Datalet.aspx?UseSearch=no&amp;mode=sales&amp;pin=0219414013","sales record")</f>
        <v>sales record</v>
      </c>
      <c r="AC563" t="s">
        <v>3</v>
      </c>
      <c r="AD563">
        <v>41.93582</v>
      </c>
      <c r="AE563">
        <v>-88.136798</v>
      </c>
      <c r="AF563" s="5" t="str">
        <f>HYPERLINK("https://www.google.com/maps/search/?api=1&amp;query=41.93582,-88.136798","map")</f>
        <v>map</v>
      </c>
    </row>
    <row r="564" spans="1:32">
      <c r="A564" t="s">
        <v>614</v>
      </c>
      <c r="B564" t="s">
        <v>8194</v>
      </c>
      <c r="C564" t="s">
        <v>15164</v>
      </c>
      <c r="D564" t="s">
        <v>16197</v>
      </c>
      <c r="E564" t="s">
        <v>16218</v>
      </c>
      <c r="F564" t="s">
        <v>16220</v>
      </c>
      <c r="G564" t="s">
        <v>16238</v>
      </c>
      <c r="H564" t="s">
        <v>16238</v>
      </c>
      <c r="I564" t="s">
        <v>16314</v>
      </c>
      <c r="J564" t="s">
        <v>16385</v>
      </c>
      <c r="K564">
        <v>0.242</v>
      </c>
      <c r="L564">
        <v>10557</v>
      </c>
      <c r="M564">
        <v>1583</v>
      </c>
      <c r="N564" t="s">
        <v>16393</v>
      </c>
      <c r="O564" s="4">
        <v>37045</v>
      </c>
      <c r="P564" s="4">
        <v>89533</v>
      </c>
      <c r="Q564" s="4">
        <v>126578</v>
      </c>
      <c r="R564" s="4">
        <v>379734</v>
      </c>
      <c r="S564" t="s">
        <v>16944</v>
      </c>
      <c r="T564" s="6">
        <v>39052</v>
      </c>
      <c r="U564" s="4">
        <v>265000</v>
      </c>
      <c r="V564" t="s">
        <v>23739</v>
      </c>
      <c r="W564" t="s">
        <v>16944</v>
      </c>
      <c r="X564" t="s">
        <v>3</v>
      </c>
      <c r="AA564" s="5" t="str">
        <f>HYPERLINK("https://www.zillow.com/homes/1161-SPRING-VALLEY-DR-CAROL-STREAM-IL-60188_rb/","check listing")</f>
        <v>check listing</v>
      </c>
      <c r="AB564" s="5" t="str">
        <f>HYPERLINK("https://propertylookup.dupagecounty.gov/Datalets/Datalet.aspx?UseSearch=no&amp;mode=sales&amp;pin=0123407021","sales record")</f>
        <v>sales record</v>
      </c>
      <c r="AC564" t="s">
        <v>3</v>
      </c>
      <c r="AD564">
        <v>41.933569</v>
      </c>
      <c r="AE564">
        <v>-88.165211</v>
      </c>
      <c r="AF564" s="5" t="str">
        <f>HYPERLINK("https://www.google.com/maps/search/?api=1&amp;query=41.933569,-88.165211","map")</f>
        <v>map</v>
      </c>
    </row>
    <row r="565" spans="1:32">
      <c r="A565" t="s">
        <v>615</v>
      </c>
      <c r="B565" t="s">
        <v>8195</v>
      </c>
      <c r="C565" t="s">
        <v>15164</v>
      </c>
      <c r="D565" t="s">
        <v>16197</v>
      </c>
      <c r="E565" t="s">
        <v>16218</v>
      </c>
      <c r="F565" t="s">
        <v>16220</v>
      </c>
      <c r="G565" t="s">
        <v>16238</v>
      </c>
      <c r="H565" t="s">
        <v>16238</v>
      </c>
      <c r="I565" t="s">
        <v>16314</v>
      </c>
      <c r="J565" t="s">
        <v>16385</v>
      </c>
      <c r="K565">
        <v>0.241</v>
      </c>
      <c r="L565">
        <v>10506</v>
      </c>
      <c r="M565">
        <v>2144</v>
      </c>
      <c r="N565" t="s">
        <v>16393</v>
      </c>
      <c r="O565" s="4">
        <v>37980</v>
      </c>
      <c r="P565" s="4">
        <v>100101</v>
      </c>
      <c r="Q565" s="4">
        <v>138081</v>
      </c>
      <c r="R565" s="4">
        <v>414243</v>
      </c>
      <c r="S565" t="s">
        <v>16945</v>
      </c>
      <c r="T565" s="6">
        <v>31107</v>
      </c>
      <c r="U565" s="4">
        <v>5500</v>
      </c>
      <c r="X565" t="s">
        <v>3</v>
      </c>
      <c r="AA565" s="5" t="str">
        <f>HYPERLINK("https://www.zillow.com/homes/1483-MAPLE-RIDGE-CT-CAROL-STREAM-IL-60188_rb/","check listing")</f>
        <v>check listing</v>
      </c>
      <c r="AB565" s="5" t="str">
        <f>HYPERLINK("https://propertylookup.dupagecounty.gov/Datalets/Datalet.aspx?UseSearch=no&amp;mode=sales&amp;pin=0123403028","sales record")</f>
        <v>sales record</v>
      </c>
      <c r="AC565" t="s">
        <v>3</v>
      </c>
      <c r="AD565">
        <v>41.936072</v>
      </c>
      <c r="AE565">
        <v>-88.174364</v>
      </c>
      <c r="AF565" s="5" t="str">
        <f>HYPERLINK("https://www.google.com/maps/search/?api=1&amp;query=41.936072,-88.174364","map")</f>
        <v>map</v>
      </c>
    </row>
    <row r="566" spans="1:32">
      <c r="A566" t="s">
        <v>616</v>
      </c>
      <c r="B566" t="s">
        <v>8196</v>
      </c>
      <c r="C566" t="s">
        <v>15164</v>
      </c>
      <c r="D566" t="s">
        <v>16197</v>
      </c>
      <c r="E566" t="s">
        <v>16218</v>
      </c>
      <c r="F566" t="s">
        <v>16220</v>
      </c>
      <c r="G566" t="s">
        <v>16238</v>
      </c>
      <c r="H566" t="s">
        <v>16238</v>
      </c>
      <c r="I566" t="s">
        <v>16314</v>
      </c>
      <c r="J566" t="s">
        <v>16385</v>
      </c>
      <c r="K566">
        <v>0.239</v>
      </c>
      <c r="L566">
        <v>10396</v>
      </c>
      <c r="M566">
        <v>2375</v>
      </c>
      <c r="N566" t="s">
        <v>16393</v>
      </c>
      <c r="O566" s="4">
        <v>39708</v>
      </c>
      <c r="P566" s="4">
        <v>96545</v>
      </c>
      <c r="Q566" s="4">
        <v>136253</v>
      </c>
      <c r="R566" s="4">
        <v>408759</v>
      </c>
      <c r="S566" t="s">
        <v>16946</v>
      </c>
      <c r="T566" s="6">
        <v>32478</v>
      </c>
      <c r="U566" s="4">
        <v>154910</v>
      </c>
      <c r="X566" t="s">
        <v>3</v>
      </c>
      <c r="AA566" s="5" t="str">
        <f>HYPERLINK("https://www.zillow.com/homes/497-YARDLEY-DR-CAROL-STREAM-IL-60188_rb/","check listing")</f>
        <v>check listing</v>
      </c>
      <c r="AB566" s="5" t="str">
        <f>HYPERLINK("https://propertylookup.dupagecounty.gov/Datalets/Datalet.aspx?UseSearch=no&amp;mode=sales&amp;pin=0219414011","sales record")</f>
        <v>sales record</v>
      </c>
      <c r="AC566" t="s">
        <v>3</v>
      </c>
      <c r="AD566">
        <v>41.935794</v>
      </c>
      <c r="AE566">
        <v>-88.137394</v>
      </c>
      <c r="AF566" s="5" t="str">
        <f>HYPERLINK("https://www.google.com/maps/search/?api=1&amp;query=41.935794,-88.137394","map")</f>
        <v>map</v>
      </c>
    </row>
    <row r="567" spans="1:32">
      <c r="A567" t="s">
        <v>617</v>
      </c>
      <c r="B567" t="s">
        <v>8197</v>
      </c>
      <c r="C567" t="s">
        <v>15164</v>
      </c>
      <c r="D567" t="s">
        <v>16197</v>
      </c>
      <c r="E567" t="s">
        <v>16218</v>
      </c>
      <c r="F567" t="s">
        <v>16220</v>
      </c>
      <c r="G567" t="s">
        <v>16238</v>
      </c>
      <c r="H567" t="s">
        <v>16238</v>
      </c>
      <c r="I567" t="s">
        <v>16314</v>
      </c>
      <c r="J567" t="s">
        <v>16385</v>
      </c>
      <c r="K567">
        <v>0.236</v>
      </c>
      <c r="L567">
        <v>10298</v>
      </c>
      <c r="M567">
        <v>1900</v>
      </c>
      <c r="N567" t="s">
        <v>16393</v>
      </c>
      <c r="O567" s="4">
        <v>33761</v>
      </c>
      <c r="P567" s="4">
        <v>66341</v>
      </c>
      <c r="Q567" s="4">
        <v>100102</v>
      </c>
      <c r="R567" s="4">
        <v>300306</v>
      </c>
      <c r="S567" t="s">
        <v>16947</v>
      </c>
      <c r="T567" s="6">
        <v>29312</v>
      </c>
      <c r="U567" s="4">
        <v>66990</v>
      </c>
      <c r="X567" t="s">
        <v>3</v>
      </c>
      <c r="AA567" s="5" t="str">
        <f>HYPERLINK("https://www.zillow.com/homes/1263-CARIBOU-TR-CAROL-STREAM-IL-60188_rb/","check listing")</f>
        <v>check listing</v>
      </c>
      <c r="AB567" s="5" t="str">
        <f>HYPERLINK("https://propertylookup.dupagecounty.gov/Datalets/Datalet.aspx?UseSearch=no&amp;mode=sales&amp;pin=0123404047","sales record")</f>
        <v>sales record</v>
      </c>
      <c r="AC567" t="s">
        <v>27873</v>
      </c>
      <c r="AD567">
        <v>41.934917</v>
      </c>
      <c r="AE567">
        <v>-88.16581600000001</v>
      </c>
      <c r="AF567" s="5" t="str">
        <f>HYPERLINK("https://www.google.com/maps/search/?api=1&amp;query=41.934917,-88.165816","map")</f>
        <v>map</v>
      </c>
    </row>
    <row r="568" spans="1:32">
      <c r="A568" t="s">
        <v>618</v>
      </c>
      <c r="B568" t="s">
        <v>8198</v>
      </c>
      <c r="C568" t="s">
        <v>15175</v>
      </c>
      <c r="D568" t="s">
        <v>16197</v>
      </c>
      <c r="E568" t="s">
        <v>16218</v>
      </c>
      <c r="F568" t="s">
        <v>16220</v>
      </c>
      <c r="G568" t="s">
        <v>16238</v>
      </c>
      <c r="H568" t="s">
        <v>16238</v>
      </c>
      <c r="I568" t="s">
        <v>16314</v>
      </c>
      <c r="J568" t="s">
        <v>16385</v>
      </c>
      <c r="K568">
        <v>0.235</v>
      </c>
      <c r="L568">
        <v>10252</v>
      </c>
      <c r="N568" t="s">
        <v>16393</v>
      </c>
      <c r="O568" s="4">
        <v>20283</v>
      </c>
      <c r="P568" s="4">
        <v>112597</v>
      </c>
      <c r="Q568" s="4">
        <v>132880</v>
      </c>
      <c r="R568" s="4">
        <v>398640</v>
      </c>
      <c r="S568" t="s">
        <v>16948</v>
      </c>
      <c r="T568" s="6">
        <v>43617</v>
      </c>
      <c r="U568" s="4">
        <v>290000</v>
      </c>
      <c r="V568" t="s">
        <v>23739</v>
      </c>
      <c r="W568" t="s">
        <v>23998</v>
      </c>
      <c r="X568" t="s">
        <v>3</v>
      </c>
      <c r="AA568" s="5" t="str">
        <f>HYPERLINK("https://www.zillow.com/homes/867-FOREST-LN-CAROL-STREAM-IL-601882938_rb/","check listing")</f>
        <v>check listing</v>
      </c>
      <c r="AB568" s="5" t="str">
        <f>HYPERLINK("https://propertylookup.dupagecounty.gov/Datalets/Datalet.aspx?UseSearch=no&amp;mode=sales&amp;pin=0124220037","sales record")</f>
        <v>sales record</v>
      </c>
      <c r="AC568" t="s">
        <v>3</v>
      </c>
      <c r="AD568">
        <v>41.937937</v>
      </c>
      <c r="AE568">
        <v>-88.15142</v>
      </c>
      <c r="AF568" s="5" t="str">
        <f>HYPERLINK("https://www.google.com/maps/search/?api=1&amp;query=41.937937,-88.15142","map")</f>
        <v>map</v>
      </c>
    </row>
    <row r="569" spans="1:32">
      <c r="A569" t="s">
        <v>619</v>
      </c>
      <c r="B569" t="s">
        <v>8199</v>
      </c>
      <c r="C569" t="s">
        <v>15176</v>
      </c>
      <c r="D569" t="s">
        <v>16197</v>
      </c>
      <c r="E569" t="s">
        <v>16218</v>
      </c>
      <c r="F569" t="s">
        <v>16220</v>
      </c>
      <c r="G569" t="s">
        <v>16238</v>
      </c>
      <c r="H569" t="s">
        <v>16238</v>
      </c>
      <c r="I569" t="s">
        <v>16314</v>
      </c>
      <c r="J569" t="s">
        <v>16385</v>
      </c>
      <c r="K569">
        <v>0.232</v>
      </c>
      <c r="L569">
        <v>10121</v>
      </c>
      <c r="M569">
        <v>1813</v>
      </c>
      <c r="N569" t="s">
        <v>16393</v>
      </c>
      <c r="O569" s="4">
        <v>41538</v>
      </c>
      <c r="P569" s="4">
        <v>108918</v>
      </c>
      <c r="Q569" s="4">
        <v>150456</v>
      </c>
      <c r="R569" s="4">
        <v>451368</v>
      </c>
      <c r="S569" t="s">
        <v>16949</v>
      </c>
      <c r="T569" s="6">
        <v>44166</v>
      </c>
      <c r="U569" s="4">
        <v>350000</v>
      </c>
      <c r="V569" t="s">
        <v>23739</v>
      </c>
      <c r="W569" t="s">
        <v>16949</v>
      </c>
      <c r="X569" t="s">
        <v>3</v>
      </c>
      <c r="AA569" s="5" t="str">
        <f>HYPERLINK("https://www.zillow.com/homes/1214-PORTCHESTER-CIR-CAROL-STREAM-IL-601886080_rb/","check listing")</f>
        <v>check listing</v>
      </c>
      <c r="AB569" s="5" t="str">
        <f>HYPERLINK("https://propertylookup.dupagecounty.gov/Datalets/Datalet.aspx?UseSearch=no&amp;mode=sales&amp;pin=0124309010","sales record")</f>
        <v>sales record</v>
      </c>
      <c r="AC569" t="s">
        <v>3</v>
      </c>
      <c r="AD569">
        <v>41.934874</v>
      </c>
      <c r="AE569">
        <v>-88.16474599999999</v>
      </c>
      <c r="AF569" s="5" t="str">
        <f>HYPERLINK("https://www.google.com/maps/search/?api=1&amp;query=41.934874,-88.164746","map")</f>
        <v>map</v>
      </c>
    </row>
    <row r="570" spans="1:32">
      <c r="A570" t="s">
        <v>620</v>
      </c>
      <c r="B570" t="s">
        <v>8200</v>
      </c>
      <c r="C570" t="s">
        <v>15164</v>
      </c>
      <c r="D570" t="s">
        <v>16197</v>
      </c>
      <c r="E570" t="s">
        <v>16218</v>
      </c>
      <c r="F570" t="s">
        <v>16220</v>
      </c>
      <c r="G570" t="s">
        <v>16238</v>
      </c>
      <c r="H570" t="s">
        <v>16238</v>
      </c>
      <c r="I570" t="s">
        <v>16314</v>
      </c>
      <c r="J570" t="s">
        <v>16385</v>
      </c>
      <c r="K570">
        <v>0.232</v>
      </c>
      <c r="L570">
        <v>10119</v>
      </c>
      <c r="M570">
        <v>1583</v>
      </c>
      <c r="N570" t="s">
        <v>16393</v>
      </c>
      <c r="O570" s="4">
        <v>38721</v>
      </c>
      <c r="P570" s="4">
        <v>113917</v>
      </c>
      <c r="Q570" s="4">
        <v>152638</v>
      </c>
      <c r="R570" s="4">
        <v>457914</v>
      </c>
      <c r="S570" t="s">
        <v>16950</v>
      </c>
      <c r="T570" s="6">
        <v>40026</v>
      </c>
      <c r="U570" s="4">
        <v>215000</v>
      </c>
      <c r="V570" t="s">
        <v>23739</v>
      </c>
      <c r="W570" t="s">
        <v>23999</v>
      </c>
      <c r="X570" t="s">
        <v>3</v>
      </c>
      <c r="AA570" s="5" t="str">
        <f>HYPERLINK("https://www.zillow.com/homes/1311-COUNTY-GLEN-LN-CAROL-STREAM-IL-60188_rb/","check listing")</f>
        <v>check listing</v>
      </c>
      <c r="AB570" s="5" t="str">
        <f>HYPERLINK("https://propertylookup.dupagecounty.gov/Datalets/Datalet.aspx?UseSearch=no&amp;mode=sales&amp;pin=0124402001","sales record")</f>
        <v>sales record</v>
      </c>
      <c r="AC570" t="s">
        <v>3</v>
      </c>
      <c r="AD570">
        <v>41.937052</v>
      </c>
      <c r="AE570">
        <v>-88.154331</v>
      </c>
      <c r="AF570" s="5" t="str">
        <f>HYPERLINK("https://www.google.com/maps/search/?api=1&amp;query=41.937052,-88.154331","map")</f>
        <v>map</v>
      </c>
    </row>
    <row r="571" spans="1:32">
      <c r="A571" t="s">
        <v>621</v>
      </c>
      <c r="B571" t="s">
        <v>8201</v>
      </c>
      <c r="C571" t="s">
        <v>15164</v>
      </c>
      <c r="D571" t="s">
        <v>16197</v>
      </c>
      <c r="E571" t="s">
        <v>16218</v>
      </c>
      <c r="F571" t="s">
        <v>16220</v>
      </c>
      <c r="G571" t="s">
        <v>16238</v>
      </c>
      <c r="H571" t="s">
        <v>16238</v>
      </c>
      <c r="I571" t="s">
        <v>16314</v>
      </c>
      <c r="J571" t="s">
        <v>16385</v>
      </c>
      <c r="K571">
        <v>0.23</v>
      </c>
      <c r="L571">
        <v>10020</v>
      </c>
      <c r="M571">
        <v>1633</v>
      </c>
      <c r="N571" t="s">
        <v>16393</v>
      </c>
      <c r="O571" s="4">
        <v>40963</v>
      </c>
      <c r="P571" s="4">
        <v>84697</v>
      </c>
      <c r="Q571" s="4">
        <v>125660</v>
      </c>
      <c r="R571" s="4">
        <v>376980</v>
      </c>
      <c r="S571" t="s">
        <v>16951</v>
      </c>
      <c r="T571" s="6">
        <v>35551</v>
      </c>
      <c r="U571" s="4">
        <v>176000</v>
      </c>
      <c r="X571" t="s">
        <v>3</v>
      </c>
      <c r="AA571" s="5" t="str">
        <f>HYPERLINK("https://www.zillow.com/homes/1263-CRYSTAL-SHORE-DR-CAROL-STREAM-IL-60188_rb/","check listing")</f>
        <v>check listing</v>
      </c>
      <c r="AB571" s="5" t="str">
        <f>HYPERLINK("https://propertylookup.dupagecounty.gov/Datalets/Datalet.aspx?UseSearch=no&amp;mode=sales&amp;pin=0124308007","sales record")</f>
        <v>sales record</v>
      </c>
      <c r="AC571" t="s">
        <v>3</v>
      </c>
      <c r="AD571">
        <v>41.931145</v>
      </c>
      <c r="AE571">
        <v>-88.164749</v>
      </c>
      <c r="AF571" s="5" t="str">
        <f>HYPERLINK("https://www.google.com/maps/search/?api=1&amp;query=41.931145,-88.164749","map")</f>
        <v>map</v>
      </c>
    </row>
    <row r="572" spans="1:32">
      <c r="A572" t="s">
        <v>622</v>
      </c>
      <c r="B572" t="s">
        <v>8202</v>
      </c>
      <c r="C572" t="s">
        <v>15177</v>
      </c>
      <c r="D572" t="s">
        <v>16197</v>
      </c>
      <c r="E572" t="s">
        <v>16218</v>
      </c>
      <c r="F572" t="s">
        <v>16220</v>
      </c>
      <c r="G572" t="s">
        <v>16238</v>
      </c>
      <c r="H572" t="s">
        <v>16238</v>
      </c>
      <c r="I572" t="s">
        <v>16314</v>
      </c>
      <c r="J572" t="s">
        <v>16385</v>
      </c>
      <c r="K572">
        <v>0.23</v>
      </c>
      <c r="L572">
        <v>10018</v>
      </c>
      <c r="M572">
        <v>2232</v>
      </c>
      <c r="N572" t="s">
        <v>16393</v>
      </c>
      <c r="O572" s="4">
        <v>37045</v>
      </c>
      <c r="P572" s="4">
        <v>84370</v>
      </c>
      <c r="Q572" s="4">
        <v>121415</v>
      </c>
      <c r="R572" s="4">
        <v>364245</v>
      </c>
      <c r="S572" t="s">
        <v>16952</v>
      </c>
      <c r="T572" s="6">
        <v>37712</v>
      </c>
      <c r="U572" s="4">
        <v>243000</v>
      </c>
      <c r="V572" t="s">
        <v>23739</v>
      </c>
      <c r="W572" t="s">
        <v>24000</v>
      </c>
      <c r="X572" t="s">
        <v>3</v>
      </c>
      <c r="AA572" s="5" t="str">
        <f>HYPERLINK("https://www.zillow.com/homes/1272-SPRING-VALLEY-DR-CAROL-STREAM-IL-601889053_rb/","check listing")</f>
        <v>check listing</v>
      </c>
      <c r="AB572" s="5" t="str">
        <f>HYPERLINK("https://propertylookup.dupagecounty.gov/Datalets/Datalet.aspx?UseSearch=no&amp;mode=sales&amp;pin=0123404002","sales record")</f>
        <v>sales record</v>
      </c>
      <c r="AC572" t="s">
        <v>3</v>
      </c>
      <c r="AD572">
        <v>41.93682</v>
      </c>
      <c r="AE572">
        <v>-88.16609800000001</v>
      </c>
      <c r="AF572" s="5" t="str">
        <f>HYPERLINK("https://www.google.com/maps/search/?api=1&amp;query=41.93682,-88.166098","map")</f>
        <v>map</v>
      </c>
    </row>
    <row r="573" spans="1:32">
      <c r="A573" t="s">
        <v>623</v>
      </c>
      <c r="B573" t="s">
        <v>8203</v>
      </c>
      <c r="C573" t="s">
        <v>15178</v>
      </c>
      <c r="D573" t="s">
        <v>16197</v>
      </c>
      <c r="E573" t="s">
        <v>16218</v>
      </c>
      <c r="F573" t="s">
        <v>16220</v>
      </c>
      <c r="G573" t="s">
        <v>16238</v>
      </c>
      <c r="H573" t="s">
        <v>16238</v>
      </c>
      <c r="I573" t="s">
        <v>16314</v>
      </c>
      <c r="J573" t="s">
        <v>16385</v>
      </c>
      <c r="K573">
        <v>0.23</v>
      </c>
      <c r="L573">
        <v>10004</v>
      </c>
      <c r="M573">
        <v>2112</v>
      </c>
      <c r="N573" t="s">
        <v>16393</v>
      </c>
      <c r="O573" s="4">
        <v>39708</v>
      </c>
      <c r="P573" s="4">
        <v>117224</v>
      </c>
      <c r="Q573" s="4">
        <v>156932</v>
      </c>
      <c r="R573" s="4">
        <v>470796</v>
      </c>
      <c r="S573" t="s">
        <v>16953</v>
      </c>
      <c r="T573" s="6">
        <v>44378</v>
      </c>
      <c r="U573" s="4">
        <v>385900</v>
      </c>
      <c r="V573" t="s">
        <v>23740</v>
      </c>
      <c r="W573" t="s">
        <v>24001</v>
      </c>
      <c r="X573" t="s">
        <v>3</v>
      </c>
      <c r="AA573" s="5" t="str">
        <f>HYPERLINK("https://www.zillow.com/homes/491-YARDLEY-DR-CAROL-STREAM-IL-601883981_rb/","check listing")</f>
        <v>check listing</v>
      </c>
      <c r="AB573" s="5" t="str">
        <f>HYPERLINK("https://propertylookup.dupagecounty.gov/Datalets/Datalet.aspx?UseSearch=no&amp;mode=sales&amp;pin=0219414012","sales record")</f>
        <v>sales record</v>
      </c>
      <c r="AC573" t="s">
        <v>3</v>
      </c>
      <c r="AD573">
        <v>41.935807</v>
      </c>
      <c r="AE573">
        <v>-88.1371</v>
      </c>
      <c r="AF573" s="5" t="str">
        <f>HYPERLINK("https://www.google.com/maps/search/?api=1&amp;query=41.935807,-88.1371","map")</f>
        <v>map</v>
      </c>
    </row>
    <row r="574" spans="1:32">
      <c r="A574" t="s">
        <v>624</v>
      </c>
      <c r="B574" t="s">
        <v>8204</v>
      </c>
      <c r="C574" t="s">
        <v>15164</v>
      </c>
      <c r="D574" t="s">
        <v>16197</v>
      </c>
      <c r="E574" t="s">
        <v>16218</v>
      </c>
      <c r="F574" t="s">
        <v>16220</v>
      </c>
      <c r="G574" t="s">
        <v>16238</v>
      </c>
      <c r="H574" t="s">
        <v>16238</v>
      </c>
      <c r="I574" t="s">
        <v>16314</v>
      </c>
      <c r="J574" t="s">
        <v>16385</v>
      </c>
      <c r="K574">
        <v>0.229</v>
      </c>
      <c r="L574">
        <v>9975</v>
      </c>
      <c r="M574">
        <v>2226</v>
      </c>
      <c r="N574" t="s">
        <v>16393</v>
      </c>
      <c r="O574" s="4">
        <v>40963</v>
      </c>
      <c r="P574" s="4">
        <v>117036</v>
      </c>
      <c r="Q574" s="4">
        <v>157999</v>
      </c>
      <c r="R574" s="4">
        <v>473997</v>
      </c>
      <c r="S574" t="s">
        <v>16954</v>
      </c>
      <c r="T574" s="6">
        <v>33390</v>
      </c>
      <c r="U574" s="4">
        <v>180000</v>
      </c>
      <c r="X574" t="s">
        <v>3</v>
      </c>
      <c r="AA574" s="5" t="str">
        <f>HYPERLINK("https://www.zillow.com/homes/1269-CRYSTAL-SHORE-DR-CAROL-STREAM-IL-60188_rb/","check listing")</f>
        <v>check listing</v>
      </c>
      <c r="AB574" s="5" t="str">
        <f>HYPERLINK("https://propertylookup.dupagecounty.gov/Datalets/Datalet.aspx?UseSearch=no&amp;mode=sales&amp;pin=0124308010","sales record")</f>
        <v>sales record</v>
      </c>
      <c r="AC574" t="s">
        <v>3</v>
      </c>
      <c r="AD574">
        <v>41.930503</v>
      </c>
      <c r="AE574">
        <v>-88.164795</v>
      </c>
      <c r="AF574" s="5" t="str">
        <f>HYPERLINK("https://www.google.com/maps/search/?api=1&amp;query=41.930503,-88.164795","map")</f>
        <v>map</v>
      </c>
    </row>
    <row r="575" spans="1:32">
      <c r="A575" t="s">
        <v>625</v>
      </c>
      <c r="B575" t="s">
        <v>8205</v>
      </c>
      <c r="C575" t="s">
        <v>15164</v>
      </c>
      <c r="D575" t="s">
        <v>16197</v>
      </c>
      <c r="E575" t="s">
        <v>16218</v>
      </c>
      <c r="F575" t="s">
        <v>16220</v>
      </c>
      <c r="G575" t="s">
        <v>16238</v>
      </c>
      <c r="H575" t="s">
        <v>16238</v>
      </c>
      <c r="I575" t="s">
        <v>16314</v>
      </c>
      <c r="J575" t="s">
        <v>16385</v>
      </c>
      <c r="K575">
        <v>0.229</v>
      </c>
      <c r="L575">
        <v>9964</v>
      </c>
      <c r="M575">
        <v>2176</v>
      </c>
      <c r="N575" t="s">
        <v>16393</v>
      </c>
      <c r="O575" s="4">
        <v>40963</v>
      </c>
      <c r="P575" s="4">
        <v>126582</v>
      </c>
      <c r="Q575" s="4">
        <v>167545</v>
      </c>
      <c r="R575" s="4">
        <v>502635</v>
      </c>
      <c r="S575" t="s">
        <v>16955</v>
      </c>
      <c r="T575" s="6">
        <v>34973</v>
      </c>
      <c r="U575" s="4">
        <v>220000</v>
      </c>
      <c r="X575" t="s">
        <v>3</v>
      </c>
      <c r="AA575" s="5" t="str">
        <f>HYPERLINK("https://www.zillow.com/homes/1259-CRYSTAL-SHORE-DR-CAROL-STREAM-IL-60188_rb/","check listing")</f>
        <v>check listing</v>
      </c>
      <c r="AB575" s="5" t="str">
        <f>HYPERLINK("https://propertylookup.dupagecounty.gov/Datalets/Datalet.aspx?UseSearch=no&amp;mode=sales&amp;pin=0124308005","sales record")</f>
        <v>sales record</v>
      </c>
      <c r="AC575" t="s">
        <v>3</v>
      </c>
      <c r="AD575">
        <v>41.931554</v>
      </c>
      <c r="AE575">
        <v>-88.164745</v>
      </c>
      <c r="AF575" s="5" t="str">
        <f>HYPERLINK("https://www.google.com/maps/search/?api=1&amp;query=41.931554,-88.164745","map")</f>
        <v>map</v>
      </c>
    </row>
    <row r="576" spans="1:32">
      <c r="A576" t="s">
        <v>626</v>
      </c>
      <c r="B576" t="s">
        <v>8206</v>
      </c>
      <c r="C576" t="s">
        <v>15164</v>
      </c>
      <c r="D576" t="s">
        <v>16197</v>
      </c>
      <c r="E576" t="s">
        <v>16218</v>
      </c>
      <c r="F576" t="s">
        <v>16220</v>
      </c>
      <c r="G576" t="s">
        <v>16238</v>
      </c>
      <c r="H576" t="s">
        <v>16238</v>
      </c>
      <c r="I576" t="s">
        <v>16314</v>
      </c>
      <c r="J576" t="s">
        <v>16385</v>
      </c>
      <c r="K576">
        <v>0.229</v>
      </c>
      <c r="L576">
        <v>9960</v>
      </c>
      <c r="M576">
        <v>1930</v>
      </c>
      <c r="N576" t="s">
        <v>16393</v>
      </c>
      <c r="O576" s="4">
        <v>40963</v>
      </c>
      <c r="P576" s="4">
        <v>114623</v>
      </c>
      <c r="Q576" s="4">
        <v>155586</v>
      </c>
      <c r="R576" s="4">
        <v>466758</v>
      </c>
      <c r="S576" t="s">
        <v>16956</v>
      </c>
      <c r="T576" s="6">
        <v>40848</v>
      </c>
      <c r="U576" s="4">
        <v>340000</v>
      </c>
      <c r="V576" t="s">
        <v>23739</v>
      </c>
      <c r="W576" t="s">
        <v>24002</v>
      </c>
      <c r="X576" t="s">
        <v>3</v>
      </c>
      <c r="AA576" s="5" t="str">
        <f>HYPERLINK("https://www.zillow.com/homes/1261-CRYSTAL-SHORE-DR-CAROL-STREAM-IL-60188_rb/","check listing")</f>
        <v>check listing</v>
      </c>
      <c r="AB576" s="5" t="str">
        <f>HYPERLINK("https://propertylookup.dupagecounty.gov/Datalets/Datalet.aspx?UseSearch=no&amp;mode=sales&amp;pin=0124308006","sales record")</f>
        <v>sales record</v>
      </c>
      <c r="AC576" t="s">
        <v>3</v>
      </c>
      <c r="AD576">
        <v>41.931378</v>
      </c>
      <c r="AE576">
        <v>-88.16474700000001</v>
      </c>
      <c r="AF576" s="5" t="str">
        <f>HYPERLINK("https://www.google.com/maps/search/?api=1&amp;query=41.931378,-88.164747","map")</f>
        <v>map</v>
      </c>
    </row>
    <row r="577" spans="1:32">
      <c r="A577" t="s">
        <v>627</v>
      </c>
      <c r="B577" t="s">
        <v>8207</v>
      </c>
      <c r="C577" t="s">
        <v>15164</v>
      </c>
      <c r="D577" t="s">
        <v>16197</v>
      </c>
      <c r="E577" t="s">
        <v>16218</v>
      </c>
      <c r="F577" t="s">
        <v>16220</v>
      </c>
      <c r="G577" t="s">
        <v>16238</v>
      </c>
      <c r="H577" t="s">
        <v>16238</v>
      </c>
      <c r="I577" t="s">
        <v>16314</v>
      </c>
      <c r="J577" t="s">
        <v>16385</v>
      </c>
      <c r="K577">
        <v>0.229</v>
      </c>
      <c r="L577">
        <v>9957</v>
      </c>
      <c r="M577">
        <v>1813</v>
      </c>
      <c r="N577" t="s">
        <v>16393</v>
      </c>
      <c r="O577" s="4">
        <v>40963</v>
      </c>
      <c r="P577" s="4">
        <v>106543</v>
      </c>
      <c r="Q577" s="4">
        <v>147506</v>
      </c>
      <c r="R577" s="4">
        <v>442518</v>
      </c>
      <c r="S577" t="s">
        <v>16957</v>
      </c>
      <c r="T577" s="6">
        <v>39661</v>
      </c>
      <c r="U577" s="4">
        <v>370000</v>
      </c>
      <c r="V577" t="s">
        <v>23739</v>
      </c>
      <c r="W577" t="s">
        <v>24003</v>
      </c>
      <c r="X577" t="s">
        <v>3</v>
      </c>
      <c r="AA577" s="5" t="str">
        <f>HYPERLINK("https://www.zillow.com/homes/1257-CRYSTAL-SHORE-DR-CAROL-STREAM-IL-60188_rb/","check listing")</f>
        <v>check listing</v>
      </c>
      <c r="AB577" s="5" t="str">
        <f>HYPERLINK("https://propertylookup.dupagecounty.gov/Datalets/Datalet.aspx?UseSearch=no&amp;mode=sales&amp;pin=0124308004","sales record")</f>
        <v>sales record</v>
      </c>
      <c r="AC577" t="s">
        <v>3</v>
      </c>
      <c r="AD577">
        <v>41.931756</v>
      </c>
      <c r="AE577">
        <v>-88.164743</v>
      </c>
      <c r="AF577" s="5" t="str">
        <f>HYPERLINK("https://www.google.com/maps/search/?api=1&amp;query=41.931756,-88.164743","map")</f>
        <v>map</v>
      </c>
    </row>
    <row r="578" spans="1:32">
      <c r="A578" t="s">
        <v>628</v>
      </c>
      <c r="B578" t="s">
        <v>8208</v>
      </c>
      <c r="C578" t="s">
        <v>15164</v>
      </c>
      <c r="D578" t="s">
        <v>16197</v>
      </c>
      <c r="E578" t="s">
        <v>16218</v>
      </c>
      <c r="F578" t="s">
        <v>16220</v>
      </c>
      <c r="G578" t="s">
        <v>16238</v>
      </c>
      <c r="H578" t="s">
        <v>16238</v>
      </c>
      <c r="I578" t="s">
        <v>16314</v>
      </c>
      <c r="J578" t="s">
        <v>16385</v>
      </c>
      <c r="K578">
        <v>0.227</v>
      </c>
      <c r="L578">
        <v>9894</v>
      </c>
      <c r="M578">
        <v>2475</v>
      </c>
      <c r="N578" t="s">
        <v>16393</v>
      </c>
      <c r="O578" s="4">
        <v>40963</v>
      </c>
      <c r="P578" s="4">
        <v>126582</v>
      </c>
      <c r="Q578" s="4">
        <v>167545</v>
      </c>
      <c r="R578" s="4">
        <v>502635</v>
      </c>
      <c r="S578" t="s">
        <v>16958</v>
      </c>
      <c r="T578" s="6">
        <v>35247</v>
      </c>
      <c r="U578" s="4">
        <v>222900</v>
      </c>
      <c r="X578" t="s">
        <v>3</v>
      </c>
      <c r="AA578" s="5" t="str">
        <f>HYPERLINK("https://www.zillow.com/homes/1255-CRYSTAL-SHORE-DR-CAROL-STREAM-IL-60188_rb/","check listing")</f>
        <v>check listing</v>
      </c>
      <c r="AB578" s="5" t="str">
        <f>HYPERLINK("https://propertylookup.dupagecounty.gov/Datalets/Datalet.aspx?UseSearch=no&amp;mode=sales&amp;pin=0124308003","sales record")</f>
        <v>sales record</v>
      </c>
      <c r="AC578" t="s">
        <v>3</v>
      </c>
      <c r="AD578">
        <v>41.932016</v>
      </c>
      <c r="AE578">
        <v>-88.16474100000001</v>
      </c>
      <c r="AF578" s="5" t="str">
        <f>HYPERLINK("https://www.google.com/maps/search/?api=1&amp;query=41.932016,-88.164741","map")</f>
        <v>map</v>
      </c>
    </row>
    <row r="579" spans="1:32">
      <c r="A579" t="s">
        <v>629</v>
      </c>
      <c r="B579" t="s">
        <v>8209</v>
      </c>
      <c r="C579" t="s">
        <v>15164</v>
      </c>
      <c r="D579" t="s">
        <v>16197</v>
      </c>
      <c r="E579" t="s">
        <v>16218</v>
      </c>
      <c r="F579" t="s">
        <v>16220</v>
      </c>
      <c r="G579" t="s">
        <v>16238</v>
      </c>
      <c r="H579" t="s">
        <v>16238</v>
      </c>
      <c r="I579" t="s">
        <v>16314</v>
      </c>
      <c r="J579" t="s">
        <v>16385</v>
      </c>
      <c r="K579">
        <v>0.225</v>
      </c>
      <c r="L579">
        <v>9818</v>
      </c>
      <c r="M579">
        <v>2275</v>
      </c>
      <c r="N579" t="s">
        <v>16393</v>
      </c>
      <c r="O579" s="4">
        <v>37045</v>
      </c>
      <c r="P579" s="4">
        <v>85436</v>
      </c>
      <c r="Q579" s="4">
        <v>122481</v>
      </c>
      <c r="R579" s="4">
        <v>367443</v>
      </c>
      <c r="S579" t="s">
        <v>16959</v>
      </c>
      <c r="T579" s="6">
        <v>45851</v>
      </c>
      <c r="U579" s="4">
        <v>368000</v>
      </c>
      <c r="V579" t="s">
        <v>23739</v>
      </c>
      <c r="W579" t="s">
        <v>24004</v>
      </c>
      <c r="X579" t="s">
        <v>3</v>
      </c>
      <c r="AA579" s="5" t="str">
        <f>HYPERLINK("https://www.zillow.com/homes/1257-SPRING-VALLEY-DR-CAROL-STREAM-IL-60188_rb/","check listing")</f>
        <v>check listing</v>
      </c>
      <c r="AB579" s="5" t="str">
        <f>HYPERLINK("https://propertylookup.dupagecounty.gov/Datalets/Datalet.aspx?UseSearch=no&amp;mode=sales&amp;pin=0123407004","sales record")</f>
        <v>sales record</v>
      </c>
      <c r="AC579" t="s">
        <v>3</v>
      </c>
      <c r="AD579">
        <v>41.936496</v>
      </c>
      <c r="AE579">
        <v>-88.16520800000001</v>
      </c>
      <c r="AF579" s="5" t="str">
        <f>HYPERLINK("https://www.google.com/maps/search/?api=1&amp;query=41.936496,-88.165208","map")</f>
        <v>map</v>
      </c>
    </row>
    <row r="580" spans="1:32">
      <c r="A580" t="s">
        <v>630</v>
      </c>
      <c r="B580" t="s">
        <v>8210</v>
      </c>
      <c r="C580" t="s">
        <v>15179</v>
      </c>
      <c r="D580" t="s">
        <v>16197</v>
      </c>
      <c r="E580" t="s">
        <v>16218</v>
      </c>
      <c r="F580" t="s">
        <v>16220</v>
      </c>
      <c r="G580" t="s">
        <v>16238</v>
      </c>
      <c r="H580" t="s">
        <v>16238</v>
      </c>
      <c r="I580" t="s">
        <v>16314</v>
      </c>
      <c r="J580" t="s">
        <v>16385</v>
      </c>
      <c r="K580">
        <v>0.22</v>
      </c>
      <c r="L580">
        <v>9598</v>
      </c>
      <c r="M580">
        <v>3215</v>
      </c>
      <c r="N580" t="s">
        <v>16393</v>
      </c>
      <c r="O580" s="4">
        <v>35954</v>
      </c>
      <c r="P580" s="4">
        <v>127874</v>
      </c>
      <c r="Q580" s="4">
        <v>163828</v>
      </c>
      <c r="R580" s="4">
        <v>491484</v>
      </c>
      <c r="S580" t="s">
        <v>16960</v>
      </c>
      <c r="T580" s="6">
        <v>44075</v>
      </c>
      <c r="U580" s="4">
        <v>315000</v>
      </c>
      <c r="V580" t="s">
        <v>23739</v>
      </c>
      <c r="W580" t="s">
        <v>24005</v>
      </c>
      <c r="X580" t="s">
        <v>3</v>
      </c>
      <c r="AA580" s="5" t="str">
        <f>HYPERLINK("https://www.zillow.com/homes/180-COACHLITE-TRL-CAROL-STREAM-IL-601882008_rb/","check listing")</f>
        <v>check listing</v>
      </c>
      <c r="AB580" s="5" t="str">
        <f>HYPERLINK("https://propertylookup.dupagecounty.gov/Datalets/Datalet.aspx?UseSearch=no&amp;mode=sales&amp;pin=0232305016","sales record")</f>
        <v>sales record</v>
      </c>
      <c r="AC580" t="s">
        <v>3</v>
      </c>
      <c r="AD580">
        <v>41.906063</v>
      </c>
      <c r="AE580">
        <v>-88.12362</v>
      </c>
      <c r="AF580" s="5" t="str">
        <f>HYPERLINK("https://www.google.com/maps/search/?api=1&amp;query=41.906063,-88.12362","map")</f>
        <v>map</v>
      </c>
    </row>
    <row r="581" spans="1:32">
      <c r="A581" t="s">
        <v>631</v>
      </c>
      <c r="B581" t="s">
        <v>8211</v>
      </c>
      <c r="C581" t="s">
        <v>15164</v>
      </c>
      <c r="D581" t="s">
        <v>16197</v>
      </c>
      <c r="E581" t="s">
        <v>16218</v>
      </c>
      <c r="F581" t="s">
        <v>16220</v>
      </c>
      <c r="G581" t="s">
        <v>16238</v>
      </c>
      <c r="H581" t="s">
        <v>16238</v>
      </c>
      <c r="I581" t="s">
        <v>16314</v>
      </c>
      <c r="J581" t="s">
        <v>16385</v>
      </c>
      <c r="K581">
        <v>0.22</v>
      </c>
      <c r="L581">
        <v>9585</v>
      </c>
      <c r="M581">
        <v>1701</v>
      </c>
      <c r="N581" t="s">
        <v>16393</v>
      </c>
      <c r="O581" s="4">
        <v>37980</v>
      </c>
      <c r="P581" s="4">
        <v>80033</v>
      </c>
      <c r="Q581" s="4">
        <v>118013</v>
      </c>
      <c r="R581" s="4">
        <v>354039</v>
      </c>
      <c r="S581" t="s">
        <v>16961</v>
      </c>
      <c r="T581" s="6">
        <v>45492</v>
      </c>
      <c r="U581" s="4">
        <v>370000</v>
      </c>
      <c r="V581" t="s">
        <v>23739</v>
      </c>
      <c r="W581" t="s">
        <v>24006</v>
      </c>
      <c r="X581" t="s">
        <v>3</v>
      </c>
      <c r="AA581" s="5" t="str">
        <f>HYPERLINK("https://www.zillow.com/homes/1480-MAPLE-RIDGE-CT-CAROL-STREAM-IL-60188_rb/","check listing")</f>
        <v>check listing</v>
      </c>
      <c r="AB581" s="5" t="str">
        <f>HYPERLINK("https://propertylookup.dupagecounty.gov/Datalets/Datalet.aspx?UseSearch=no&amp;mode=sales&amp;pin=0123403044","sales record")</f>
        <v>sales record</v>
      </c>
      <c r="AC581" t="s">
        <v>3</v>
      </c>
      <c r="AD581">
        <v>41.935577</v>
      </c>
      <c r="AE581">
        <v>-88.17411</v>
      </c>
      <c r="AF581" s="5" t="str">
        <f>HYPERLINK("https://www.google.com/maps/search/?api=1&amp;query=41.935577,-88.17411","map")</f>
        <v>map</v>
      </c>
    </row>
    <row r="582" spans="1:32">
      <c r="A582" t="s">
        <v>632</v>
      </c>
      <c r="B582" t="s">
        <v>8212</v>
      </c>
      <c r="C582" t="s">
        <v>15168</v>
      </c>
      <c r="D582" t="s">
        <v>16197</v>
      </c>
      <c r="E582" t="s">
        <v>16218</v>
      </c>
      <c r="F582" t="s">
        <v>16220</v>
      </c>
      <c r="G582" t="s">
        <v>16238</v>
      </c>
      <c r="H582" t="s">
        <v>16238</v>
      </c>
      <c r="I582" t="s">
        <v>16314</v>
      </c>
      <c r="J582" t="s">
        <v>16385</v>
      </c>
      <c r="K582">
        <v>0.22</v>
      </c>
      <c r="L582">
        <v>9580</v>
      </c>
      <c r="M582">
        <v>2144</v>
      </c>
      <c r="N582" t="s">
        <v>16393</v>
      </c>
      <c r="O582" s="4">
        <v>37980</v>
      </c>
      <c r="P582" s="4">
        <v>66110</v>
      </c>
      <c r="Q582" s="4">
        <v>104090</v>
      </c>
      <c r="R582" s="4">
        <v>312270</v>
      </c>
      <c r="S582" t="s">
        <v>16962</v>
      </c>
      <c r="T582" s="6">
        <v>42491</v>
      </c>
      <c r="U582" s="4">
        <v>175500</v>
      </c>
      <c r="V582" t="s">
        <v>23739</v>
      </c>
      <c r="W582" t="s">
        <v>16962</v>
      </c>
      <c r="X582" t="s">
        <v>3</v>
      </c>
      <c r="AA582" s="5" t="str">
        <f>HYPERLINK("https://www.zillow.com/homes/1474-MAPLE-RIDGE-CT-CAROL-STREAM-IL-601889083_rb/","check listing")</f>
        <v>check listing</v>
      </c>
      <c r="AB582" s="5" t="str">
        <f>HYPERLINK("https://propertylookup.dupagecounty.gov/Datalets/Datalet.aspx?UseSearch=no&amp;mode=sales&amp;pin=0123403045","sales record")</f>
        <v>sales record</v>
      </c>
      <c r="AC582" t="s">
        <v>3</v>
      </c>
      <c r="AD582">
        <v>41.935582</v>
      </c>
      <c r="AE582">
        <v>-88.173883</v>
      </c>
      <c r="AF582" s="5" t="str">
        <f>HYPERLINK("https://www.google.com/maps/search/?api=1&amp;query=41.935582,-88.173883","map")</f>
        <v>map</v>
      </c>
    </row>
    <row r="583" spans="1:32">
      <c r="A583" t="s">
        <v>633</v>
      </c>
      <c r="B583" t="s">
        <v>8213</v>
      </c>
      <c r="C583" t="s">
        <v>15168</v>
      </c>
      <c r="D583" t="s">
        <v>16197</v>
      </c>
      <c r="E583" t="s">
        <v>16218</v>
      </c>
      <c r="F583" t="s">
        <v>16220</v>
      </c>
      <c r="G583" t="s">
        <v>16238</v>
      </c>
      <c r="H583" t="s">
        <v>16238</v>
      </c>
      <c r="I583" t="s">
        <v>16314</v>
      </c>
      <c r="J583" t="s">
        <v>16385</v>
      </c>
      <c r="K583">
        <v>0.22</v>
      </c>
      <c r="L583">
        <v>9576</v>
      </c>
      <c r="M583">
        <v>1979</v>
      </c>
      <c r="N583" t="s">
        <v>16393</v>
      </c>
      <c r="O583" s="4">
        <v>37980</v>
      </c>
      <c r="P583" s="4">
        <v>77960</v>
      </c>
      <c r="Q583" s="4">
        <v>115940</v>
      </c>
      <c r="R583" s="4">
        <v>347820</v>
      </c>
      <c r="S583" t="s">
        <v>16963</v>
      </c>
      <c r="T583" s="6">
        <v>42887</v>
      </c>
      <c r="U583" s="4">
        <v>225000</v>
      </c>
      <c r="V583" t="s">
        <v>23739</v>
      </c>
      <c r="W583" t="s">
        <v>24007</v>
      </c>
      <c r="X583" t="s">
        <v>3</v>
      </c>
      <c r="AA583" s="5" t="str">
        <f>HYPERLINK("https://www.zillow.com/homes/1466-MAPLE-RIDGE-CT-CAROL-STREAM-IL-601889083_rb/","check listing")</f>
        <v>check listing</v>
      </c>
      <c r="AB583" s="5" t="str">
        <f>HYPERLINK("https://propertylookup.dupagecounty.gov/Datalets/Datalet.aspx?UseSearch=no&amp;mode=sales&amp;pin=0123403046","sales record")</f>
        <v>sales record</v>
      </c>
      <c r="AC583" t="s">
        <v>3</v>
      </c>
      <c r="AD583">
        <v>41.935587</v>
      </c>
      <c r="AE583">
        <v>-88.17365599999999</v>
      </c>
      <c r="AF583" s="5" t="str">
        <f>HYPERLINK("https://www.google.com/maps/search/?api=1&amp;query=41.935587,-88.173656","map")</f>
        <v>map</v>
      </c>
    </row>
    <row r="584" spans="1:32">
      <c r="A584" t="s">
        <v>634</v>
      </c>
      <c r="B584" t="s">
        <v>8214</v>
      </c>
      <c r="C584" t="s">
        <v>15164</v>
      </c>
      <c r="D584" t="s">
        <v>16197</v>
      </c>
      <c r="E584" t="s">
        <v>16218</v>
      </c>
      <c r="F584" t="s">
        <v>16220</v>
      </c>
      <c r="G584" t="s">
        <v>16238</v>
      </c>
      <c r="H584" t="s">
        <v>16238</v>
      </c>
      <c r="I584" t="s">
        <v>16314</v>
      </c>
      <c r="J584" t="s">
        <v>16385</v>
      </c>
      <c r="K584">
        <v>0.22</v>
      </c>
      <c r="L584">
        <v>9572</v>
      </c>
      <c r="M584">
        <v>2177</v>
      </c>
      <c r="N584" t="s">
        <v>16393</v>
      </c>
      <c r="O584" s="4">
        <v>37980</v>
      </c>
      <c r="P584" s="4">
        <v>87042</v>
      </c>
      <c r="Q584" s="4">
        <v>125022</v>
      </c>
      <c r="R584" s="4">
        <v>375066</v>
      </c>
      <c r="S584" t="s">
        <v>16964</v>
      </c>
      <c r="T584" s="6">
        <v>41487</v>
      </c>
      <c r="U584" s="4">
        <v>210000</v>
      </c>
      <c r="V584" t="s">
        <v>23740</v>
      </c>
      <c r="W584" t="s">
        <v>24008</v>
      </c>
      <c r="X584" t="s">
        <v>3</v>
      </c>
      <c r="AA584" s="5" t="str">
        <f>HYPERLINK("https://www.zillow.com/homes/1462-MAPLE-RIDGE-CT-CAROL-STREAM-IL-60188_rb/","check listing")</f>
        <v>check listing</v>
      </c>
      <c r="AB584" s="5" t="str">
        <f>HYPERLINK("https://propertylookup.dupagecounty.gov/Datalets/Datalet.aspx?UseSearch=no&amp;mode=sales&amp;pin=0123403047","sales record")</f>
        <v>sales record</v>
      </c>
      <c r="AC584" t="s">
        <v>3</v>
      </c>
      <c r="AD584">
        <v>41.935592</v>
      </c>
      <c r="AE584">
        <v>-88.173428</v>
      </c>
      <c r="AF584" s="5" t="str">
        <f>HYPERLINK("https://www.google.com/maps/search/?api=1&amp;query=41.935592,-88.173428","map")</f>
        <v>map</v>
      </c>
    </row>
    <row r="585" spans="1:32">
      <c r="A585" t="s">
        <v>635</v>
      </c>
      <c r="B585" t="s">
        <v>8215</v>
      </c>
      <c r="C585" t="s">
        <v>15164</v>
      </c>
      <c r="D585" t="s">
        <v>16197</v>
      </c>
      <c r="E585" t="s">
        <v>16218</v>
      </c>
      <c r="F585" t="s">
        <v>16220</v>
      </c>
      <c r="G585" t="s">
        <v>16238</v>
      </c>
      <c r="H585" t="s">
        <v>16238</v>
      </c>
      <c r="I585" t="s">
        <v>16314</v>
      </c>
      <c r="J585" t="s">
        <v>16385</v>
      </c>
      <c r="K585">
        <v>0.22</v>
      </c>
      <c r="L585">
        <v>9566</v>
      </c>
      <c r="M585">
        <v>1250</v>
      </c>
      <c r="N585" t="s">
        <v>16393</v>
      </c>
      <c r="O585" s="4">
        <v>36878</v>
      </c>
      <c r="P585" s="4">
        <v>72880</v>
      </c>
      <c r="Q585" s="4">
        <v>109758</v>
      </c>
      <c r="R585" s="4">
        <v>329274</v>
      </c>
      <c r="S585" t="s">
        <v>16965</v>
      </c>
      <c r="T585" s="6">
        <v>36800</v>
      </c>
      <c r="U585" s="4">
        <v>173500</v>
      </c>
      <c r="V585" t="s">
        <v>23739</v>
      </c>
      <c r="W585" t="s">
        <v>24009</v>
      </c>
      <c r="X585" t="s">
        <v>3</v>
      </c>
      <c r="AA585" s="5" t="str">
        <f>HYPERLINK("https://www.zillow.com/homes/1357-BOA-TRAIL-CAROL-STREAM-IL-60188_rb/","check listing")</f>
        <v>check listing</v>
      </c>
      <c r="AB585" s="5" t="str">
        <f>HYPERLINK("https://propertylookup.dupagecounty.gov/Datalets/Datalet.aspx?UseSearch=no&amp;mode=sales&amp;pin=0123409034","sales record")</f>
        <v>sales record</v>
      </c>
      <c r="AC585" t="s">
        <v>3</v>
      </c>
      <c r="AD585">
        <v>41.935905</v>
      </c>
      <c r="AE585">
        <v>-88.168132</v>
      </c>
      <c r="AF585" s="5" t="str">
        <f>HYPERLINK("https://www.google.com/maps/search/?api=1&amp;query=41.935905,-88.168132","map")</f>
        <v>map</v>
      </c>
    </row>
    <row r="586" spans="1:32">
      <c r="A586" t="s">
        <v>636</v>
      </c>
      <c r="B586" t="s">
        <v>8216</v>
      </c>
      <c r="C586" t="s">
        <v>15164</v>
      </c>
      <c r="D586" t="s">
        <v>16197</v>
      </c>
      <c r="E586" t="s">
        <v>16218</v>
      </c>
      <c r="F586" t="s">
        <v>16220</v>
      </c>
      <c r="G586" t="s">
        <v>16238</v>
      </c>
      <c r="H586" t="s">
        <v>16238</v>
      </c>
      <c r="I586" t="s">
        <v>16314</v>
      </c>
      <c r="J586" t="s">
        <v>16385</v>
      </c>
      <c r="K586">
        <v>0.22</v>
      </c>
      <c r="L586">
        <v>9566</v>
      </c>
      <c r="M586">
        <v>1585</v>
      </c>
      <c r="N586" t="s">
        <v>16393</v>
      </c>
      <c r="O586" s="4">
        <v>37980</v>
      </c>
      <c r="P586" s="4">
        <v>74569</v>
      </c>
      <c r="Q586" s="4">
        <v>112549</v>
      </c>
      <c r="R586" s="4">
        <v>337647</v>
      </c>
      <c r="S586" t="s">
        <v>16966</v>
      </c>
      <c r="T586" s="6">
        <v>36312</v>
      </c>
      <c r="U586" s="4">
        <v>159000</v>
      </c>
      <c r="X586" t="s">
        <v>3</v>
      </c>
      <c r="AA586" s="5" t="str">
        <f>HYPERLINK("https://www.zillow.com/homes/1456-MAPLE-RIDGE-CT-CAROL-STREAM-IL-60188_rb/","check listing")</f>
        <v>check listing</v>
      </c>
      <c r="AB586" s="5" t="str">
        <f>HYPERLINK("https://propertylookup.dupagecounty.gov/Datalets/Datalet.aspx?UseSearch=no&amp;mode=sales&amp;pin=0123403048","sales record")</f>
        <v>sales record</v>
      </c>
      <c r="AC586" t="s">
        <v>3</v>
      </c>
      <c r="AD586">
        <v>41.935597</v>
      </c>
      <c r="AE586">
        <v>-88.17320100000001</v>
      </c>
      <c r="AF586" s="5" t="str">
        <f>HYPERLINK("https://www.google.com/maps/search/?api=1&amp;query=41.935597,-88.173201","map")</f>
        <v>map</v>
      </c>
    </row>
    <row r="587" spans="1:32">
      <c r="A587" t="s">
        <v>637</v>
      </c>
      <c r="B587" t="s">
        <v>8217</v>
      </c>
      <c r="C587" t="s">
        <v>15164</v>
      </c>
      <c r="D587" t="s">
        <v>16197</v>
      </c>
      <c r="E587" t="s">
        <v>16218</v>
      </c>
      <c r="F587" t="s">
        <v>16220</v>
      </c>
      <c r="G587" t="s">
        <v>16238</v>
      </c>
      <c r="H587" t="s">
        <v>16238</v>
      </c>
      <c r="I587" t="s">
        <v>16314</v>
      </c>
      <c r="J587" t="s">
        <v>16385</v>
      </c>
      <c r="K587">
        <v>0.219</v>
      </c>
      <c r="L587">
        <v>9561</v>
      </c>
      <c r="M587">
        <v>1974</v>
      </c>
      <c r="N587" t="s">
        <v>16393</v>
      </c>
      <c r="O587" s="4">
        <v>37980</v>
      </c>
      <c r="P587" s="4">
        <v>84753</v>
      </c>
      <c r="Q587" s="4">
        <v>122733</v>
      </c>
      <c r="R587" s="4">
        <v>368199</v>
      </c>
      <c r="S587" t="s">
        <v>16967</v>
      </c>
      <c r="T587" s="6">
        <v>31107</v>
      </c>
      <c r="U587" s="4">
        <v>72268</v>
      </c>
      <c r="X587" t="s">
        <v>3</v>
      </c>
      <c r="AA587" s="5" t="str">
        <f>HYPERLINK("https://www.zillow.com/homes/1450-MAPLE-RIDGE-CT-CAROL-STREAM-IL-60188_rb/","check listing")</f>
        <v>check listing</v>
      </c>
      <c r="AB587" s="5" t="str">
        <f>HYPERLINK("https://propertylookup.dupagecounty.gov/Datalets/Datalet.aspx?UseSearch=no&amp;mode=sales&amp;pin=0123403049","sales record")</f>
        <v>sales record</v>
      </c>
      <c r="AC587" t="s">
        <v>3</v>
      </c>
      <c r="AD587">
        <v>41.935601</v>
      </c>
      <c r="AE587">
        <v>-88.172973</v>
      </c>
      <c r="AF587" s="5" t="str">
        <f>HYPERLINK("https://www.google.com/maps/search/?api=1&amp;query=41.935601,-88.172973","map")</f>
        <v>map</v>
      </c>
    </row>
    <row r="588" spans="1:32">
      <c r="A588" t="s">
        <v>638</v>
      </c>
      <c r="B588" t="s">
        <v>8218</v>
      </c>
      <c r="C588" t="s">
        <v>15164</v>
      </c>
      <c r="D588" t="s">
        <v>16197</v>
      </c>
      <c r="E588" t="s">
        <v>16218</v>
      </c>
      <c r="F588" t="s">
        <v>16220</v>
      </c>
      <c r="G588" t="s">
        <v>16238</v>
      </c>
      <c r="H588" t="s">
        <v>16238</v>
      </c>
      <c r="I588" t="s">
        <v>16314</v>
      </c>
      <c r="J588" t="s">
        <v>16385</v>
      </c>
      <c r="K588">
        <v>0.219</v>
      </c>
      <c r="L588">
        <v>9560</v>
      </c>
      <c r="M588">
        <v>1995</v>
      </c>
      <c r="N588" t="s">
        <v>16393</v>
      </c>
      <c r="O588" s="4">
        <v>37980</v>
      </c>
      <c r="P588" s="4">
        <v>77025</v>
      </c>
      <c r="Q588" s="4">
        <v>115005</v>
      </c>
      <c r="R588" s="4">
        <v>345015</v>
      </c>
      <c r="S588" t="s">
        <v>16968</v>
      </c>
      <c r="T588" s="6">
        <v>37438</v>
      </c>
      <c r="U588" s="4">
        <v>215500</v>
      </c>
      <c r="V588" t="s">
        <v>23739</v>
      </c>
      <c r="W588" t="s">
        <v>24010</v>
      </c>
      <c r="X588" t="s">
        <v>3</v>
      </c>
      <c r="AA588" s="5" t="str">
        <f>HYPERLINK("https://www.zillow.com/homes/1444-MAPLE-RIDGE-CT-CAROL-STREAM-IL-60188_rb/","check listing")</f>
        <v>check listing</v>
      </c>
      <c r="AB588" s="5" t="str">
        <f>HYPERLINK("https://propertylookup.dupagecounty.gov/Datalets/Datalet.aspx?UseSearch=no&amp;mode=sales&amp;pin=0123403050","sales record")</f>
        <v>sales record</v>
      </c>
      <c r="AC588" t="s">
        <v>3</v>
      </c>
      <c r="AD588">
        <v>41.935606</v>
      </c>
      <c r="AE588">
        <v>-88.172746</v>
      </c>
      <c r="AF588" s="5" t="str">
        <f>HYPERLINK("https://www.google.com/maps/search/?api=1&amp;query=41.935606,-88.172746","map")</f>
        <v>map</v>
      </c>
    </row>
    <row r="589" spans="1:32">
      <c r="A589" t="s">
        <v>639</v>
      </c>
      <c r="B589" t="s">
        <v>8219</v>
      </c>
      <c r="C589" t="s">
        <v>15173</v>
      </c>
      <c r="D589" t="s">
        <v>16197</v>
      </c>
      <c r="E589" t="s">
        <v>16218</v>
      </c>
      <c r="F589" t="s">
        <v>16220</v>
      </c>
      <c r="G589" t="s">
        <v>16238</v>
      </c>
      <c r="H589" t="s">
        <v>16238</v>
      </c>
      <c r="I589" t="s">
        <v>16314</v>
      </c>
      <c r="J589" t="s">
        <v>16385</v>
      </c>
      <c r="K589">
        <v>0.219</v>
      </c>
      <c r="L589">
        <v>9556</v>
      </c>
      <c r="M589">
        <v>1584</v>
      </c>
      <c r="N589" t="s">
        <v>16393</v>
      </c>
      <c r="O589" s="4">
        <v>37045</v>
      </c>
      <c r="P589" s="4">
        <v>79014</v>
      </c>
      <c r="Q589" s="4">
        <v>116059</v>
      </c>
      <c r="R589" s="4">
        <v>348177</v>
      </c>
      <c r="S589" t="s">
        <v>16969</v>
      </c>
      <c r="T589" s="6">
        <v>44531</v>
      </c>
      <c r="U589" s="4">
        <v>319900</v>
      </c>
      <c r="V589" t="s">
        <v>23739</v>
      </c>
      <c r="W589" t="s">
        <v>16969</v>
      </c>
      <c r="X589" t="s">
        <v>3</v>
      </c>
      <c r="AA589" s="5" t="str">
        <f>HYPERLINK("https://www.zillow.com/homes/1287-BRAVE-CT-CAROL-STREAM-IL-601889011_rb/","check listing")</f>
        <v>check listing</v>
      </c>
      <c r="AB589" s="5" t="str">
        <f>HYPERLINK("https://propertylookup.dupagecounty.gov/Datalets/Datalet.aspx?UseSearch=no&amp;mode=sales&amp;pin=0123404008","sales record")</f>
        <v>sales record</v>
      </c>
      <c r="AC589" t="s">
        <v>3</v>
      </c>
      <c r="AD589">
        <v>41.935892</v>
      </c>
      <c r="AE589">
        <v>-88.16713</v>
      </c>
      <c r="AF589" s="5" t="str">
        <f>HYPERLINK("https://www.google.com/maps/search/?api=1&amp;query=41.935892,-88.16713","map")</f>
        <v>map</v>
      </c>
    </row>
    <row r="590" spans="1:32">
      <c r="A590" t="s">
        <v>640</v>
      </c>
      <c r="B590" t="s">
        <v>8220</v>
      </c>
      <c r="C590" t="s">
        <v>15164</v>
      </c>
      <c r="D590" t="s">
        <v>16197</v>
      </c>
      <c r="E590" t="s">
        <v>16218</v>
      </c>
      <c r="F590" t="s">
        <v>16220</v>
      </c>
      <c r="G590" t="s">
        <v>16238</v>
      </c>
      <c r="H590" t="s">
        <v>16238</v>
      </c>
      <c r="I590" t="s">
        <v>16314</v>
      </c>
      <c r="J590" t="s">
        <v>16385</v>
      </c>
      <c r="K590">
        <v>0.219</v>
      </c>
      <c r="L590">
        <v>9551</v>
      </c>
      <c r="M590">
        <v>2164</v>
      </c>
      <c r="N590" t="s">
        <v>16393</v>
      </c>
      <c r="O590" s="4">
        <v>37980</v>
      </c>
      <c r="P590" s="4">
        <v>54813</v>
      </c>
      <c r="Q590" s="4">
        <v>92793</v>
      </c>
      <c r="R590" s="4">
        <v>278379</v>
      </c>
      <c r="S590" t="s">
        <v>16970</v>
      </c>
      <c r="T590" s="6">
        <v>43983</v>
      </c>
      <c r="U590" s="4">
        <v>205000</v>
      </c>
      <c r="V590" t="s">
        <v>23739</v>
      </c>
      <c r="W590" t="s">
        <v>24011</v>
      </c>
      <c r="X590" t="s">
        <v>3</v>
      </c>
      <c r="AA590" s="5" t="str">
        <f>HYPERLINK("https://www.zillow.com/homes/1438-MAPLE-RIDGE-CT-CAROL-STREAM-IL-60188_rb/","check listing")</f>
        <v>check listing</v>
      </c>
      <c r="AB590" s="5" t="str">
        <f>HYPERLINK("https://propertylookup.dupagecounty.gov/Datalets/Datalet.aspx?UseSearch=no&amp;mode=sales&amp;pin=0123403051","sales record")</f>
        <v>sales record</v>
      </c>
      <c r="AC590" t="s">
        <v>3</v>
      </c>
      <c r="AD590">
        <v>41.935611</v>
      </c>
      <c r="AE590">
        <v>-88.17251899999999</v>
      </c>
      <c r="AF590" s="5" t="str">
        <f>HYPERLINK("https://www.google.com/maps/search/?api=1&amp;query=41.935611,-88.172519","map")</f>
        <v>map</v>
      </c>
    </row>
    <row r="591" spans="1:32">
      <c r="A591" t="s">
        <v>641</v>
      </c>
      <c r="B591" t="s">
        <v>8221</v>
      </c>
      <c r="C591" t="s">
        <v>15164</v>
      </c>
      <c r="D591" t="s">
        <v>16197</v>
      </c>
      <c r="E591" t="s">
        <v>16218</v>
      </c>
      <c r="F591" t="s">
        <v>16220</v>
      </c>
      <c r="G591" t="s">
        <v>16238</v>
      </c>
      <c r="H591" t="s">
        <v>16238</v>
      </c>
      <c r="I591" t="s">
        <v>16314</v>
      </c>
      <c r="J591" t="s">
        <v>16385</v>
      </c>
      <c r="K591">
        <v>0.219</v>
      </c>
      <c r="L591">
        <v>9548</v>
      </c>
      <c r="M591">
        <v>1633</v>
      </c>
      <c r="N591" t="s">
        <v>16393</v>
      </c>
      <c r="O591" s="4">
        <v>37980</v>
      </c>
      <c r="P591" s="4">
        <v>73071</v>
      </c>
      <c r="Q591" s="4">
        <v>111051</v>
      </c>
      <c r="R591" s="4">
        <v>333153</v>
      </c>
      <c r="S591" t="s">
        <v>16971</v>
      </c>
      <c r="T591" s="6">
        <v>33420</v>
      </c>
      <c r="U591" s="4">
        <v>131000</v>
      </c>
      <c r="X591" t="s">
        <v>3</v>
      </c>
      <c r="AA591" s="5" t="str">
        <f>HYPERLINK("https://www.zillow.com/homes/1432-MAPLE-RIDGE-CT-CAROL-STREAM-IL-60188_rb/","check listing")</f>
        <v>check listing</v>
      </c>
      <c r="AB591" s="5" t="str">
        <f>HYPERLINK("https://propertylookup.dupagecounty.gov/Datalets/Datalet.aspx?UseSearch=no&amp;mode=sales&amp;pin=0123403052","sales record")</f>
        <v>sales record</v>
      </c>
      <c r="AC591" t="s">
        <v>3</v>
      </c>
      <c r="AD591">
        <v>41.935616</v>
      </c>
      <c r="AE591">
        <v>-88.172291</v>
      </c>
      <c r="AF591" s="5" t="str">
        <f>HYPERLINK("https://www.google.com/maps/search/?api=1&amp;query=41.935616,-88.172291","map")</f>
        <v>map</v>
      </c>
    </row>
    <row r="592" spans="1:32">
      <c r="A592" t="s">
        <v>642</v>
      </c>
      <c r="B592" t="s">
        <v>8222</v>
      </c>
      <c r="C592" t="s">
        <v>15164</v>
      </c>
      <c r="D592" t="s">
        <v>16197</v>
      </c>
      <c r="E592" t="s">
        <v>16218</v>
      </c>
      <c r="F592" t="s">
        <v>16220</v>
      </c>
      <c r="G592" t="s">
        <v>16238</v>
      </c>
      <c r="H592" t="s">
        <v>16238</v>
      </c>
      <c r="I592" t="s">
        <v>16314</v>
      </c>
      <c r="J592" t="s">
        <v>16385</v>
      </c>
      <c r="K592">
        <v>0.219</v>
      </c>
      <c r="L592">
        <v>9544</v>
      </c>
      <c r="M592">
        <v>1979</v>
      </c>
      <c r="N592" t="s">
        <v>16393</v>
      </c>
      <c r="O592" s="4">
        <v>36878</v>
      </c>
      <c r="P592" s="4">
        <v>88946</v>
      </c>
      <c r="Q592" s="4">
        <v>125824</v>
      </c>
      <c r="R592" s="4">
        <v>377472</v>
      </c>
      <c r="S592" t="s">
        <v>16972</v>
      </c>
      <c r="T592" s="6">
        <v>35004</v>
      </c>
      <c r="U592" s="4">
        <v>152000</v>
      </c>
      <c r="X592" t="s">
        <v>3</v>
      </c>
      <c r="AA592" s="5" t="str">
        <f>HYPERLINK("https://www.zillow.com/homes/1298-SPRING-VALLEY-DR-CAROL-STREAM-IL-60188_rb/","check listing")</f>
        <v>check listing</v>
      </c>
      <c r="AB592" s="5" t="str">
        <f>HYPERLINK("https://propertylookup.dupagecounty.gov/Datalets/Datalet.aspx?UseSearch=no&amp;mode=sales&amp;pin=0123215006","sales record")</f>
        <v>sales record</v>
      </c>
      <c r="AC592" t="s">
        <v>3</v>
      </c>
      <c r="AD592">
        <v>41.937448</v>
      </c>
      <c r="AE592">
        <v>-88.166543</v>
      </c>
      <c r="AF592" s="5" t="str">
        <f>HYPERLINK("https://www.google.com/maps/search/?api=1&amp;query=41.937448,-88.166543","map")</f>
        <v>map</v>
      </c>
    </row>
    <row r="593" spans="1:32">
      <c r="A593" t="s">
        <v>643</v>
      </c>
      <c r="B593" t="s">
        <v>8223</v>
      </c>
      <c r="C593" t="s">
        <v>15168</v>
      </c>
      <c r="D593" t="s">
        <v>16197</v>
      </c>
      <c r="E593" t="s">
        <v>16218</v>
      </c>
      <c r="F593" t="s">
        <v>16220</v>
      </c>
      <c r="G593" t="s">
        <v>16238</v>
      </c>
      <c r="H593" t="s">
        <v>16238</v>
      </c>
      <c r="I593" t="s">
        <v>16314</v>
      </c>
      <c r="J593" t="s">
        <v>16385</v>
      </c>
      <c r="K593">
        <v>0.219</v>
      </c>
      <c r="L593">
        <v>9536</v>
      </c>
      <c r="M593">
        <v>2071</v>
      </c>
      <c r="N593" t="s">
        <v>16393</v>
      </c>
      <c r="O593" s="4">
        <v>37980</v>
      </c>
      <c r="P593" s="4">
        <v>74414</v>
      </c>
      <c r="Q593" s="4">
        <v>112394</v>
      </c>
      <c r="R593" s="4">
        <v>337182</v>
      </c>
      <c r="S593" t="s">
        <v>16973</v>
      </c>
      <c r="T593" s="6">
        <v>46086</v>
      </c>
      <c r="U593" s="4">
        <v>365000</v>
      </c>
      <c r="V593" t="s">
        <v>23739</v>
      </c>
      <c r="W593" t="s">
        <v>24012</v>
      </c>
      <c r="X593" t="s">
        <v>3</v>
      </c>
      <c r="AA593" s="5" t="str">
        <f>HYPERLINK("https://www.zillow.com/homes/1420-MAPLE-RIDGE-CT-CAROL-STREAM-IL-601889083_rb/","check listing")</f>
        <v>check listing</v>
      </c>
      <c r="AB593" s="5" t="str">
        <f>HYPERLINK("https://propertylookup.dupagecounty.gov/Datalets/Datalet.aspx?UseSearch=no&amp;mode=sales&amp;pin=0123403054","sales record")</f>
        <v>sales record</v>
      </c>
      <c r="AC593" t="s">
        <v>3</v>
      </c>
      <c r="AD593">
        <v>41.935592</v>
      </c>
      <c r="AE593">
        <v>-88.171813</v>
      </c>
      <c r="AF593" s="5" t="str">
        <f>HYPERLINK("https://www.google.com/maps/search/?api=1&amp;query=41.935592,-88.171813","map")</f>
        <v>map</v>
      </c>
    </row>
    <row r="594" spans="1:32">
      <c r="A594" t="s">
        <v>644</v>
      </c>
      <c r="B594" t="s">
        <v>8224</v>
      </c>
      <c r="C594" t="s">
        <v>15173</v>
      </c>
      <c r="D594" t="s">
        <v>16197</v>
      </c>
      <c r="E594" t="s">
        <v>16218</v>
      </c>
      <c r="F594" t="s">
        <v>16220</v>
      </c>
      <c r="G594" t="s">
        <v>16238</v>
      </c>
      <c r="H594" t="s">
        <v>16238</v>
      </c>
      <c r="I594" t="s">
        <v>16314</v>
      </c>
      <c r="J594" t="s">
        <v>16385</v>
      </c>
      <c r="K594">
        <v>0.217</v>
      </c>
      <c r="L594">
        <v>9474</v>
      </c>
      <c r="M594">
        <v>2176</v>
      </c>
      <c r="N594" t="s">
        <v>16393</v>
      </c>
      <c r="O594" s="4">
        <v>37045</v>
      </c>
      <c r="P594" s="4">
        <v>92505</v>
      </c>
      <c r="Q594" s="4">
        <v>129550</v>
      </c>
      <c r="R594" s="4">
        <v>388650</v>
      </c>
      <c r="S594" t="s">
        <v>16974</v>
      </c>
      <c r="T594" s="6">
        <v>43252</v>
      </c>
      <c r="U594" s="4">
        <v>265100</v>
      </c>
      <c r="V594" t="s">
        <v>23739</v>
      </c>
      <c r="W594" t="s">
        <v>24013</v>
      </c>
      <c r="X594" t="s">
        <v>3</v>
      </c>
      <c r="AA594" s="5" t="str">
        <f>HYPERLINK("https://www.zillow.com/homes/1289-BRAVE-CT-CAROL-STREAM-IL-601889011_rb/","check listing")</f>
        <v>check listing</v>
      </c>
      <c r="AB594" s="5" t="str">
        <f>HYPERLINK("https://propertylookup.dupagecounty.gov/Datalets/Datalet.aspx?UseSearch=no&amp;mode=sales&amp;pin=0123404009","sales record")</f>
        <v>sales record</v>
      </c>
      <c r="AC594" t="s">
        <v>3</v>
      </c>
      <c r="AD594">
        <v>41.935706</v>
      </c>
      <c r="AE594">
        <v>-88.167152</v>
      </c>
      <c r="AF594" s="5" t="str">
        <f>HYPERLINK("https://www.google.com/maps/search/?api=1&amp;query=41.935706,-88.167152","map")</f>
        <v>map</v>
      </c>
    </row>
    <row r="595" spans="1:32">
      <c r="A595" t="s">
        <v>645</v>
      </c>
      <c r="B595" t="s">
        <v>8225</v>
      </c>
      <c r="C595" t="s">
        <v>15164</v>
      </c>
      <c r="D595" t="s">
        <v>16197</v>
      </c>
      <c r="E595" t="s">
        <v>16218</v>
      </c>
      <c r="F595" t="s">
        <v>16220</v>
      </c>
      <c r="G595" t="s">
        <v>16238</v>
      </c>
      <c r="H595" t="s">
        <v>16238</v>
      </c>
      <c r="I595" t="s">
        <v>16314</v>
      </c>
      <c r="J595" t="s">
        <v>16385</v>
      </c>
      <c r="K595">
        <v>0.217</v>
      </c>
      <c r="L595">
        <v>9464</v>
      </c>
      <c r="M595">
        <v>1993</v>
      </c>
      <c r="N595" t="s">
        <v>16393</v>
      </c>
      <c r="O595" s="4">
        <v>38721</v>
      </c>
      <c r="P595" s="4">
        <v>102156</v>
      </c>
      <c r="Q595" s="4">
        <v>140877</v>
      </c>
      <c r="R595" s="4">
        <v>422631</v>
      </c>
      <c r="S595" t="s">
        <v>16975</v>
      </c>
      <c r="T595" s="6">
        <v>35947</v>
      </c>
      <c r="U595" s="4">
        <v>190000</v>
      </c>
      <c r="X595" t="s">
        <v>3</v>
      </c>
      <c r="AA595" s="5" t="str">
        <f>HYPERLINK("https://www.zillow.com/homes/1257-COUNTRY-GLEN-LN-CAROL-STREAM-IL-60188_rb/","check listing")</f>
        <v>check listing</v>
      </c>
      <c r="AB595" s="5" t="str">
        <f>HYPERLINK("https://propertylookup.dupagecounty.gov/Datalets/Datalet.aspx?UseSearch=no&amp;mode=sales&amp;pin=0124402012","sales record")</f>
        <v>sales record</v>
      </c>
      <c r="AC595" t="s">
        <v>3</v>
      </c>
      <c r="AD595">
        <v>41.937073</v>
      </c>
      <c r="AE595">
        <v>-88.15147</v>
      </c>
      <c r="AF595" s="5" t="str">
        <f>HYPERLINK("https://www.google.com/maps/search/?api=1&amp;query=41.937073,-88.15147","map")</f>
        <v>map</v>
      </c>
    </row>
    <row r="596" spans="1:32">
      <c r="A596" t="s">
        <v>646</v>
      </c>
      <c r="B596" t="s">
        <v>8226</v>
      </c>
      <c r="C596" t="s">
        <v>15164</v>
      </c>
      <c r="D596" t="s">
        <v>16197</v>
      </c>
      <c r="E596" t="s">
        <v>16218</v>
      </c>
      <c r="F596" t="s">
        <v>16220</v>
      </c>
      <c r="G596" t="s">
        <v>16238</v>
      </c>
      <c r="H596" t="s">
        <v>16238</v>
      </c>
      <c r="I596" t="s">
        <v>16314</v>
      </c>
      <c r="J596" t="s">
        <v>16385</v>
      </c>
      <c r="K596">
        <v>0.216</v>
      </c>
      <c r="L596">
        <v>9429</v>
      </c>
      <c r="M596">
        <v>2060</v>
      </c>
      <c r="N596" t="s">
        <v>16393</v>
      </c>
      <c r="O596" s="4">
        <v>37980</v>
      </c>
      <c r="P596" s="4">
        <v>80512</v>
      </c>
      <c r="Q596" s="4">
        <v>118492</v>
      </c>
      <c r="R596" s="4">
        <v>355476</v>
      </c>
      <c r="S596" t="s">
        <v>16976</v>
      </c>
      <c r="T596" s="6">
        <v>31898</v>
      </c>
      <c r="U596" s="4">
        <v>109500</v>
      </c>
      <c r="X596" t="s">
        <v>3</v>
      </c>
      <c r="AA596" s="5" t="str">
        <f>HYPERLINK("https://www.zillow.com/homes/1424-MAPLE-RIDGE-CT-CAROL-STREAM-IL-60188_rb/","check listing")</f>
        <v>check listing</v>
      </c>
      <c r="AB596" s="5" t="str">
        <f>HYPERLINK("https://propertylookup.dupagecounty.gov/Datalets/Datalet.aspx?UseSearch=no&amp;mode=sales&amp;pin=0123403053","sales record")</f>
        <v>sales record</v>
      </c>
      <c r="AC596" t="s">
        <v>3</v>
      </c>
      <c r="AD596">
        <v>41.935603</v>
      </c>
      <c r="AE596">
        <v>-88.17206299999999</v>
      </c>
      <c r="AF596" s="5" t="str">
        <f>HYPERLINK("https://www.google.com/maps/search/?api=1&amp;query=41.935603,-88.172063","map")</f>
        <v>map</v>
      </c>
    </row>
    <row r="597" spans="1:32">
      <c r="A597" t="s">
        <v>647</v>
      </c>
      <c r="B597" t="s">
        <v>8227</v>
      </c>
      <c r="C597" t="s">
        <v>15164</v>
      </c>
      <c r="D597" t="s">
        <v>16197</v>
      </c>
      <c r="E597" t="s">
        <v>16218</v>
      </c>
      <c r="F597" t="s">
        <v>16220</v>
      </c>
      <c r="G597" t="s">
        <v>16238</v>
      </c>
      <c r="H597" t="s">
        <v>16238</v>
      </c>
      <c r="I597" t="s">
        <v>16314</v>
      </c>
      <c r="J597" t="s">
        <v>16385</v>
      </c>
      <c r="K597">
        <v>0.215</v>
      </c>
      <c r="L597">
        <v>9373</v>
      </c>
      <c r="M597">
        <v>2144</v>
      </c>
      <c r="N597" t="s">
        <v>16393</v>
      </c>
      <c r="O597" s="4">
        <v>37045</v>
      </c>
      <c r="P597" s="4">
        <v>85747</v>
      </c>
      <c r="Q597" s="4">
        <v>122792</v>
      </c>
      <c r="R597" s="4">
        <v>368376</v>
      </c>
      <c r="S597" t="s">
        <v>16977</v>
      </c>
      <c r="T597" s="6">
        <v>38961</v>
      </c>
      <c r="U597" s="4">
        <v>300000</v>
      </c>
      <c r="V597" t="s">
        <v>23739</v>
      </c>
      <c r="W597" t="s">
        <v>24014</v>
      </c>
      <c r="X597" t="s">
        <v>3</v>
      </c>
      <c r="AA597" s="5" t="str">
        <f>HYPERLINK("https://www.zillow.com/homes/1281-BRAVE-CT-CAROL-STREAM-IL-60188_rb/","check listing")</f>
        <v>check listing</v>
      </c>
      <c r="AB597" s="5" t="str">
        <f>HYPERLINK("https://propertylookup.dupagecounty.gov/Datalets/Datalet.aspx?UseSearch=no&amp;mode=sales&amp;pin=0123404005","sales record")</f>
        <v>sales record</v>
      </c>
      <c r="AC597" t="s">
        <v>3</v>
      </c>
      <c r="AD597">
        <v>41.936454</v>
      </c>
      <c r="AE597">
        <v>-88.166875</v>
      </c>
      <c r="AF597" s="5" t="str">
        <f>HYPERLINK("https://www.google.com/maps/search/?api=1&amp;query=41.936454,-88.166875","map")</f>
        <v>map</v>
      </c>
    </row>
    <row r="598" spans="1:32">
      <c r="A598" t="s">
        <v>648</v>
      </c>
      <c r="B598" t="s">
        <v>8228</v>
      </c>
      <c r="C598" t="s">
        <v>15164</v>
      </c>
      <c r="D598" t="s">
        <v>16197</v>
      </c>
      <c r="E598" t="s">
        <v>16218</v>
      </c>
      <c r="F598" t="s">
        <v>16220</v>
      </c>
      <c r="G598" t="s">
        <v>16238</v>
      </c>
      <c r="H598" t="s">
        <v>16238</v>
      </c>
      <c r="I598" t="s">
        <v>16314</v>
      </c>
      <c r="J598" t="s">
        <v>16385</v>
      </c>
      <c r="K598">
        <v>0.215</v>
      </c>
      <c r="L598">
        <v>9364</v>
      </c>
      <c r="M598">
        <v>1318</v>
      </c>
      <c r="N598" t="s">
        <v>16393</v>
      </c>
      <c r="O598" s="4">
        <v>20283</v>
      </c>
      <c r="P598" s="4">
        <v>69981</v>
      </c>
      <c r="Q598" s="4">
        <v>90264</v>
      </c>
      <c r="R598" s="4">
        <v>270792</v>
      </c>
      <c r="S598" t="s">
        <v>16978</v>
      </c>
      <c r="T598" s="6">
        <v>38504</v>
      </c>
      <c r="U598" s="4">
        <v>188000</v>
      </c>
      <c r="V598" t="s">
        <v>23739</v>
      </c>
      <c r="W598" t="s">
        <v>16978</v>
      </c>
      <c r="X598" t="s">
        <v>3</v>
      </c>
      <c r="AA598" s="5" t="str">
        <f>HYPERLINK("https://www.zillow.com/homes/1286-KNOLLWOOD-DR-CAROL-STREAM-IL-60188_rb/","check listing")</f>
        <v>check listing</v>
      </c>
      <c r="AB598" s="5" t="str">
        <f>HYPERLINK("https://propertylookup.dupagecounty.gov/Datalets/Datalet.aspx?UseSearch=no&amp;mode=sales&amp;pin=0124219007","sales record")</f>
        <v>sales record</v>
      </c>
      <c r="AC598" t="s">
        <v>3</v>
      </c>
      <c r="AD598">
        <v>41.937676</v>
      </c>
      <c r="AE598">
        <v>-88.155034</v>
      </c>
      <c r="AF598" s="5" t="str">
        <f>HYPERLINK("https://www.google.com/maps/search/?api=1&amp;query=41.937676,-88.155034","map")</f>
        <v>map</v>
      </c>
    </row>
    <row r="599" spans="1:32">
      <c r="A599" t="s">
        <v>649</v>
      </c>
      <c r="B599" t="s">
        <v>8229</v>
      </c>
      <c r="C599" t="s">
        <v>15164</v>
      </c>
      <c r="D599" t="s">
        <v>16197</v>
      </c>
      <c r="E599" t="s">
        <v>16218</v>
      </c>
      <c r="F599" t="s">
        <v>16220</v>
      </c>
      <c r="G599" t="s">
        <v>16238</v>
      </c>
      <c r="H599" t="s">
        <v>16238</v>
      </c>
      <c r="I599" t="s">
        <v>16314</v>
      </c>
      <c r="J599" t="s">
        <v>16385</v>
      </c>
      <c r="K599">
        <v>0.213</v>
      </c>
      <c r="L599">
        <v>9298</v>
      </c>
      <c r="M599">
        <v>1961</v>
      </c>
      <c r="N599" t="s">
        <v>16393</v>
      </c>
      <c r="O599" s="4">
        <v>20283</v>
      </c>
      <c r="P599" s="4">
        <v>87077</v>
      </c>
      <c r="Q599" s="4">
        <v>107360</v>
      </c>
      <c r="R599" s="4">
        <v>322080</v>
      </c>
      <c r="S599" t="s">
        <v>16979</v>
      </c>
      <c r="T599" s="6">
        <v>31868</v>
      </c>
      <c r="U599" s="4">
        <v>72500</v>
      </c>
      <c r="X599" t="s">
        <v>3</v>
      </c>
      <c r="AA599" s="5" t="str">
        <f>HYPERLINK("https://www.zillow.com/homes/1288-KNOLLWOOD-DR-CAROL-STREAM-IL-60188_rb/","check listing")</f>
        <v>check listing</v>
      </c>
      <c r="AB599" s="5" t="str">
        <f>HYPERLINK("https://propertylookup.dupagecounty.gov/Datalets/Datalet.aspx?UseSearch=no&amp;mode=sales&amp;pin=0124219006","sales record")</f>
        <v>sales record</v>
      </c>
      <c r="AC599" t="s">
        <v>3</v>
      </c>
      <c r="AD599">
        <v>41.937904</v>
      </c>
      <c r="AE599">
        <v>-88.155035</v>
      </c>
      <c r="AF599" s="5" t="str">
        <f>HYPERLINK("https://www.google.com/maps/search/?api=1&amp;query=41.937904,-88.155035","map")</f>
        <v>map</v>
      </c>
    </row>
    <row r="600" spans="1:32">
      <c r="A600" t="s">
        <v>650</v>
      </c>
      <c r="B600" t="s">
        <v>8230</v>
      </c>
      <c r="C600" t="s">
        <v>15180</v>
      </c>
      <c r="D600" t="s">
        <v>16197</v>
      </c>
      <c r="E600" t="s">
        <v>16218</v>
      </c>
      <c r="F600" t="s">
        <v>16220</v>
      </c>
      <c r="G600" t="s">
        <v>16238</v>
      </c>
      <c r="H600" t="s">
        <v>16238</v>
      </c>
      <c r="I600" t="s">
        <v>16314</v>
      </c>
      <c r="J600" t="s">
        <v>16385</v>
      </c>
      <c r="K600">
        <v>0.213</v>
      </c>
      <c r="L600">
        <v>9296</v>
      </c>
      <c r="M600">
        <v>1648</v>
      </c>
      <c r="N600" t="s">
        <v>16393</v>
      </c>
      <c r="O600" s="4">
        <v>33761</v>
      </c>
      <c r="P600" s="4">
        <v>88573</v>
      </c>
      <c r="Q600" s="4">
        <v>122334</v>
      </c>
      <c r="R600" s="4">
        <v>367002</v>
      </c>
      <c r="S600" t="s">
        <v>16980</v>
      </c>
      <c r="T600" s="6">
        <v>44166</v>
      </c>
      <c r="U600" s="4">
        <v>302500</v>
      </c>
      <c r="V600" t="s">
        <v>23739</v>
      </c>
      <c r="W600" t="s">
        <v>16980</v>
      </c>
      <c r="X600" t="s">
        <v>3</v>
      </c>
      <c r="AA600" s="5" t="str">
        <f>HYPERLINK("https://www.zillow.com/homes/1320-CARIBOU-TRL-CAROL-STREAM-IL-601889038_rb/","check listing")</f>
        <v>check listing</v>
      </c>
      <c r="AB600" s="5" t="str">
        <f>HYPERLINK("https://propertylookup.dupagecounty.gov/Datalets/Datalet.aspx?UseSearch=no&amp;mode=sales&amp;pin=0123406001","sales record")</f>
        <v>sales record</v>
      </c>
      <c r="AC600" t="s">
        <v>3</v>
      </c>
      <c r="AD600">
        <v>41.934418</v>
      </c>
      <c r="AE600">
        <v>-88.168085</v>
      </c>
      <c r="AF600" s="5" t="str">
        <f>HYPERLINK("https://www.google.com/maps/search/?api=1&amp;query=41.934418,-88.168085","map")</f>
        <v>map</v>
      </c>
    </row>
    <row r="601" spans="1:32">
      <c r="A601" t="s">
        <v>651</v>
      </c>
      <c r="B601" t="s">
        <v>8231</v>
      </c>
      <c r="C601" t="s">
        <v>15164</v>
      </c>
      <c r="D601" t="s">
        <v>16197</v>
      </c>
      <c r="E601" t="s">
        <v>16218</v>
      </c>
      <c r="F601" t="s">
        <v>16220</v>
      </c>
      <c r="G601" t="s">
        <v>16238</v>
      </c>
      <c r="H601" t="s">
        <v>16238</v>
      </c>
      <c r="I601" t="s">
        <v>16314</v>
      </c>
      <c r="J601" t="s">
        <v>16385</v>
      </c>
      <c r="K601">
        <v>0.213</v>
      </c>
      <c r="L601">
        <v>9270</v>
      </c>
      <c r="M601">
        <v>1979</v>
      </c>
      <c r="N601" t="s">
        <v>16393</v>
      </c>
      <c r="O601" s="4">
        <v>39860</v>
      </c>
      <c r="P601" s="4">
        <v>106187</v>
      </c>
      <c r="Q601" s="4">
        <v>146047</v>
      </c>
      <c r="R601" s="4">
        <v>438141</v>
      </c>
      <c r="S601" t="s">
        <v>16981</v>
      </c>
      <c r="T601" s="6">
        <v>36557</v>
      </c>
      <c r="U601" s="4">
        <v>215000</v>
      </c>
      <c r="V601" t="s">
        <v>23739</v>
      </c>
      <c r="W601" t="s">
        <v>24015</v>
      </c>
      <c r="X601" t="s">
        <v>3</v>
      </c>
      <c r="AA601" s="5" t="str">
        <f>HYPERLINK("https://www.zillow.com/homes/1153-SPRING-VALLEY-DR-CAROL-STREAM-IL-60188_rb/","check listing")</f>
        <v>check listing</v>
      </c>
      <c r="AB601" s="5" t="str">
        <f>HYPERLINK("https://propertylookup.dupagecounty.gov/Datalets/Datalet.aspx?UseSearch=no&amp;mode=sales&amp;pin=0123407022","sales record")</f>
        <v>sales record</v>
      </c>
      <c r="AC601" t="s">
        <v>3</v>
      </c>
      <c r="AD601">
        <v>41.93335</v>
      </c>
      <c r="AE601">
        <v>-88.16521299999999</v>
      </c>
      <c r="AF601" s="5" t="str">
        <f>HYPERLINK("https://www.google.com/maps/search/?api=1&amp;query=41.93335,-88.165213","map")</f>
        <v>map</v>
      </c>
    </row>
    <row r="602" spans="1:32">
      <c r="A602" t="s">
        <v>652</v>
      </c>
      <c r="B602" t="s">
        <v>8232</v>
      </c>
      <c r="C602" t="s">
        <v>15164</v>
      </c>
      <c r="D602" t="s">
        <v>16197</v>
      </c>
      <c r="E602" t="s">
        <v>16218</v>
      </c>
      <c r="F602" t="s">
        <v>16220</v>
      </c>
      <c r="G602" t="s">
        <v>16238</v>
      </c>
      <c r="H602" t="s">
        <v>16238</v>
      </c>
      <c r="I602" t="s">
        <v>16314</v>
      </c>
      <c r="J602" t="s">
        <v>16385</v>
      </c>
      <c r="K602">
        <v>0.211</v>
      </c>
      <c r="L602">
        <v>9176</v>
      </c>
      <c r="M602">
        <v>2144</v>
      </c>
      <c r="N602" t="s">
        <v>16393</v>
      </c>
      <c r="O602" s="4">
        <v>37045</v>
      </c>
      <c r="P602" s="4">
        <v>90217</v>
      </c>
      <c r="Q602" s="4">
        <v>127262</v>
      </c>
      <c r="R602" s="4">
        <v>381786</v>
      </c>
      <c r="S602" t="s">
        <v>16982</v>
      </c>
      <c r="T602" s="6">
        <v>37681</v>
      </c>
      <c r="U602" s="4">
        <v>235000</v>
      </c>
      <c r="V602" t="s">
        <v>23739</v>
      </c>
      <c r="W602" t="s">
        <v>24016</v>
      </c>
      <c r="X602" t="s">
        <v>3</v>
      </c>
      <c r="AA602" s="5" t="str">
        <f>HYPERLINK("https://www.zillow.com/homes/1286-BRAVE-CT-CAROL-STREAM-IL-60188_rb/","check listing")</f>
        <v>check listing</v>
      </c>
      <c r="AB602" s="5" t="str">
        <f>HYPERLINK("https://propertylookup.dupagecounty.gov/Datalets/Datalet.aspx?UseSearch=no&amp;mode=sales&amp;pin=0123404015","sales record")</f>
        <v>sales record</v>
      </c>
      <c r="AC602" t="s">
        <v>3</v>
      </c>
      <c r="AD602">
        <v>41.935852</v>
      </c>
      <c r="AE602">
        <v>-88.166369</v>
      </c>
      <c r="AF602" s="5" t="str">
        <f>HYPERLINK("https://www.google.com/maps/search/?api=1&amp;query=41.935852,-88.166369","map")</f>
        <v>map</v>
      </c>
    </row>
    <row r="603" spans="1:32">
      <c r="A603" t="s">
        <v>653</v>
      </c>
      <c r="B603" t="s">
        <v>8233</v>
      </c>
      <c r="C603" t="s">
        <v>15164</v>
      </c>
      <c r="D603" t="s">
        <v>16197</v>
      </c>
      <c r="E603" t="s">
        <v>16218</v>
      </c>
      <c r="F603" t="s">
        <v>16220</v>
      </c>
      <c r="G603" t="s">
        <v>16238</v>
      </c>
      <c r="H603" t="s">
        <v>16238</v>
      </c>
      <c r="I603" t="s">
        <v>16314</v>
      </c>
      <c r="J603" t="s">
        <v>16385</v>
      </c>
      <c r="K603">
        <v>0.21</v>
      </c>
      <c r="L603">
        <v>9169</v>
      </c>
      <c r="M603">
        <v>1978</v>
      </c>
      <c r="N603" t="s">
        <v>16393</v>
      </c>
      <c r="O603" s="4">
        <v>35954</v>
      </c>
      <c r="P603" s="4">
        <v>121192</v>
      </c>
      <c r="Q603" s="4">
        <v>157146</v>
      </c>
      <c r="R603" s="4">
        <v>471438</v>
      </c>
      <c r="S603" t="s">
        <v>16983</v>
      </c>
      <c r="X603" t="s">
        <v>3</v>
      </c>
      <c r="AA603" s="5" t="str">
        <f>HYPERLINK("https://www.zillow.com/homes/198-SURREY-DR-CAROL-STREAM-IL-60188_rb/","check listing")</f>
        <v>check listing</v>
      </c>
      <c r="AB603" s="5" t="str">
        <f>HYPERLINK("https://propertylookup.dupagecounty.gov/Datalets/Datalet.aspx?UseSearch=no&amp;mode=sales&amp;pin=0232302141","sales record")</f>
        <v>sales record</v>
      </c>
      <c r="AC603" t="s">
        <v>3</v>
      </c>
      <c r="AD603">
        <v>41.908245</v>
      </c>
      <c r="AE603">
        <v>-88.125281</v>
      </c>
      <c r="AF603" s="5" t="str">
        <f>HYPERLINK("https://www.google.com/maps/search/?api=1&amp;query=41.908245,-88.125281","map")</f>
        <v>map</v>
      </c>
    </row>
    <row r="604" spans="1:32">
      <c r="A604" t="s">
        <v>654</v>
      </c>
      <c r="B604" t="s">
        <v>8234</v>
      </c>
      <c r="C604" t="s">
        <v>15164</v>
      </c>
      <c r="D604" t="s">
        <v>16197</v>
      </c>
      <c r="E604" t="s">
        <v>16218</v>
      </c>
      <c r="F604" t="s">
        <v>16220</v>
      </c>
      <c r="G604" t="s">
        <v>16238</v>
      </c>
      <c r="H604" t="s">
        <v>16238</v>
      </c>
      <c r="I604" t="s">
        <v>16314</v>
      </c>
      <c r="J604" t="s">
        <v>16385</v>
      </c>
      <c r="K604">
        <v>0.21</v>
      </c>
      <c r="L604">
        <v>9147</v>
      </c>
      <c r="M604">
        <v>2130</v>
      </c>
      <c r="N604" t="s">
        <v>16393</v>
      </c>
      <c r="O604" s="4">
        <v>37045</v>
      </c>
      <c r="P604" s="4">
        <v>89821</v>
      </c>
      <c r="Q604" s="4">
        <v>126866</v>
      </c>
      <c r="R604" s="4">
        <v>380598</v>
      </c>
      <c r="S604" t="s">
        <v>16984</v>
      </c>
      <c r="T604" s="6">
        <v>38384</v>
      </c>
      <c r="U604" s="4">
        <v>270000</v>
      </c>
      <c r="V604" t="s">
        <v>23739</v>
      </c>
      <c r="W604" t="s">
        <v>24017</v>
      </c>
      <c r="X604" t="s">
        <v>3</v>
      </c>
      <c r="AA604" s="5" t="str">
        <f>HYPERLINK("https://www.zillow.com/homes/1251-SPRING-VALLEY-DR-CAROL-STREAM-IL-60188_rb/","check listing")</f>
        <v>check listing</v>
      </c>
      <c r="AB604" s="5" t="str">
        <f>HYPERLINK("https://propertylookup.dupagecounty.gov/Datalets/Datalet.aspx?UseSearch=no&amp;mode=sales&amp;pin=0123407005","sales record")</f>
        <v>sales record</v>
      </c>
      <c r="AC604" t="s">
        <v>3</v>
      </c>
      <c r="AD604">
        <v>41.936321</v>
      </c>
      <c r="AE604">
        <v>-88.165193</v>
      </c>
      <c r="AF604" s="5" t="str">
        <f>HYPERLINK("https://www.google.com/maps/search/?api=1&amp;query=41.936321,-88.165193","map")</f>
        <v>map</v>
      </c>
    </row>
    <row r="605" spans="1:32">
      <c r="A605" t="s">
        <v>655</v>
      </c>
      <c r="B605" t="s">
        <v>8235</v>
      </c>
      <c r="C605" t="s">
        <v>15164</v>
      </c>
      <c r="D605" t="s">
        <v>16197</v>
      </c>
      <c r="E605" t="s">
        <v>16218</v>
      </c>
      <c r="F605" t="s">
        <v>16220</v>
      </c>
      <c r="G605" t="s">
        <v>16238</v>
      </c>
      <c r="H605" t="s">
        <v>16238</v>
      </c>
      <c r="I605" t="s">
        <v>16314</v>
      </c>
      <c r="J605" t="s">
        <v>16385</v>
      </c>
      <c r="K605">
        <v>0.209</v>
      </c>
      <c r="L605">
        <v>9120</v>
      </c>
      <c r="M605">
        <v>2143</v>
      </c>
      <c r="N605" t="s">
        <v>16393</v>
      </c>
      <c r="O605" s="4">
        <v>41538</v>
      </c>
      <c r="P605" s="4">
        <v>101658</v>
      </c>
      <c r="Q605" s="4">
        <v>143196</v>
      </c>
      <c r="R605" s="4">
        <v>429588</v>
      </c>
      <c r="S605" t="s">
        <v>16985</v>
      </c>
      <c r="T605" s="6">
        <v>32478</v>
      </c>
      <c r="U605" s="4">
        <v>129765</v>
      </c>
      <c r="X605" t="s">
        <v>3</v>
      </c>
      <c r="AA605" s="5" t="str">
        <f>HYPERLINK("https://www.zillow.com/homes/1253-CRYSTAL-SHORE-DR-CAROL-STREAM-IL-60188_rb/","check listing")</f>
        <v>check listing</v>
      </c>
      <c r="AB605" s="5" t="str">
        <f>HYPERLINK("https://propertylookup.dupagecounty.gov/Datalets/Datalet.aspx?UseSearch=no&amp;mode=sales&amp;pin=0124308002","sales record")</f>
        <v>sales record</v>
      </c>
      <c r="AC605" t="s">
        <v>3</v>
      </c>
      <c r="AD605">
        <v>41.932171</v>
      </c>
      <c r="AE605">
        <v>-88.164738</v>
      </c>
      <c r="AF605" s="5" t="str">
        <f>HYPERLINK("https://www.google.com/maps/search/?api=1&amp;query=41.932171,-88.164738","map")</f>
        <v>map</v>
      </c>
    </row>
    <row r="606" spans="1:32">
      <c r="A606" t="s">
        <v>656</v>
      </c>
      <c r="B606" t="s">
        <v>8236</v>
      </c>
      <c r="C606" t="s">
        <v>15164</v>
      </c>
      <c r="D606" t="s">
        <v>16197</v>
      </c>
      <c r="E606" t="s">
        <v>16218</v>
      </c>
      <c r="F606" t="s">
        <v>16220</v>
      </c>
      <c r="G606" t="s">
        <v>16238</v>
      </c>
      <c r="H606" t="s">
        <v>16238</v>
      </c>
      <c r="I606" t="s">
        <v>16314</v>
      </c>
      <c r="J606" t="s">
        <v>16385</v>
      </c>
      <c r="K606">
        <v>0.208</v>
      </c>
      <c r="L606">
        <v>9079</v>
      </c>
      <c r="M606">
        <v>1633</v>
      </c>
      <c r="N606" t="s">
        <v>16393</v>
      </c>
      <c r="O606" s="4">
        <v>41538</v>
      </c>
      <c r="P606" s="4">
        <v>97381</v>
      </c>
      <c r="Q606" s="4">
        <v>138919</v>
      </c>
      <c r="R606" s="4">
        <v>416757</v>
      </c>
      <c r="S606" t="s">
        <v>16986</v>
      </c>
      <c r="T606" s="6">
        <v>33848</v>
      </c>
      <c r="U606" s="4">
        <v>157000</v>
      </c>
      <c r="X606" t="s">
        <v>3</v>
      </c>
      <c r="AA606" s="5" t="str">
        <f>HYPERLINK("https://www.zillow.com/homes/1268-PORTCHESTER-CIR-CAROL-STREAM-IL-60188_rb/","check listing")</f>
        <v>check listing</v>
      </c>
      <c r="AB606" s="5" t="str">
        <f>HYPERLINK("https://propertylookup.dupagecounty.gov/Datalets/Datalet.aspx?UseSearch=no&amp;mode=sales&amp;pin=0124309001","sales record")</f>
        <v>sales record</v>
      </c>
      <c r="AC606" t="s">
        <v>3</v>
      </c>
      <c r="AD606">
        <v>41.93676</v>
      </c>
      <c r="AE606">
        <v>-88.164692</v>
      </c>
      <c r="AF606" s="5" t="str">
        <f>HYPERLINK("https://www.google.com/maps/search/?api=1&amp;query=41.93676,-88.164692","map")</f>
        <v>map</v>
      </c>
    </row>
    <row r="607" spans="1:32">
      <c r="A607" t="s">
        <v>657</v>
      </c>
      <c r="B607" t="s">
        <v>8237</v>
      </c>
      <c r="C607" t="s">
        <v>15173</v>
      </c>
      <c r="D607" t="s">
        <v>16197</v>
      </c>
      <c r="E607" t="s">
        <v>16218</v>
      </c>
      <c r="F607" t="s">
        <v>16220</v>
      </c>
      <c r="G607" t="s">
        <v>16238</v>
      </c>
      <c r="H607" t="s">
        <v>16238</v>
      </c>
      <c r="I607" t="s">
        <v>16314</v>
      </c>
      <c r="J607" t="s">
        <v>16385</v>
      </c>
      <c r="K607">
        <v>0.208</v>
      </c>
      <c r="L607">
        <v>9074</v>
      </c>
      <c r="M607">
        <v>2091</v>
      </c>
      <c r="N607" t="s">
        <v>16393</v>
      </c>
      <c r="O607" s="4">
        <v>37045</v>
      </c>
      <c r="P607" s="4">
        <v>83663</v>
      </c>
      <c r="Q607" s="4">
        <v>120708</v>
      </c>
      <c r="R607" s="4">
        <v>362124</v>
      </c>
      <c r="S607" t="s">
        <v>16987</v>
      </c>
      <c r="T607" s="6">
        <v>41365</v>
      </c>
      <c r="U607" s="4">
        <v>245000</v>
      </c>
      <c r="V607" t="s">
        <v>23739</v>
      </c>
      <c r="W607" t="s">
        <v>24018</v>
      </c>
      <c r="X607" t="s">
        <v>3</v>
      </c>
      <c r="AA607" s="5" t="str">
        <f>HYPERLINK("https://www.zillow.com/homes/1277-BRAVE-CT-CAROL-STREAM-IL-601889011_rb/","check listing")</f>
        <v>check listing</v>
      </c>
      <c r="AB607" s="5" t="str">
        <f>HYPERLINK("https://propertylookup.dupagecounty.gov/Datalets/Datalet.aspx?UseSearch=no&amp;mode=sales&amp;pin=0123404003","sales record")</f>
        <v>sales record</v>
      </c>
      <c r="AC607" t="s">
        <v>3</v>
      </c>
      <c r="AD607">
        <v>41.936734</v>
      </c>
      <c r="AE607">
        <v>-88.16644599999999</v>
      </c>
      <c r="AF607" s="5" t="str">
        <f>HYPERLINK("https://www.google.com/maps/search/?api=1&amp;query=41.936734,-88.166446","map")</f>
        <v>map</v>
      </c>
    </row>
    <row r="608" spans="1:32">
      <c r="A608" t="s">
        <v>658</v>
      </c>
      <c r="B608" t="s">
        <v>8238</v>
      </c>
      <c r="C608" t="s">
        <v>15164</v>
      </c>
      <c r="D608" t="s">
        <v>16197</v>
      </c>
      <c r="E608" t="s">
        <v>16218</v>
      </c>
      <c r="F608" t="s">
        <v>16220</v>
      </c>
      <c r="G608" t="s">
        <v>16238</v>
      </c>
      <c r="H608" t="s">
        <v>16238</v>
      </c>
      <c r="I608" t="s">
        <v>16314</v>
      </c>
      <c r="J608" t="s">
        <v>16385</v>
      </c>
      <c r="K608">
        <v>0.208</v>
      </c>
      <c r="L608">
        <v>9062</v>
      </c>
      <c r="M608">
        <v>2639</v>
      </c>
      <c r="N608" t="s">
        <v>16393</v>
      </c>
      <c r="O608" s="4">
        <v>36002</v>
      </c>
      <c r="P608" s="4">
        <v>194906</v>
      </c>
      <c r="Q608" s="4">
        <v>230908</v>
      </c>
      <c r="R608" s="4">
        <v>692724</v>
      </c>
      <c r="S608" t="s">
        <v>16988</v>
      </c>
      <c r="T608" s="6">
        <v>42522</v>
      </c>
      <c r="U608" s="4">
        <v>367500</v>
      </c>
      <c r="V608" t="s">
        <v>23739</v>
      </c>
      <c r="W608" t="s">
        <v>24019</v>
      </c>
      <c r="X608" t="s">
        <v>3</v>
      </c>
      <c r="AA608" s="5" t="str">
        <f>HYPERLINK("https://www.zillow.com/homes/794-HOOVER-DR-CAROL-STREAM-IL-60188_rb/","check listing")</f>
        <v>check listing</v>
      </c>
      <c r="AB608" s="5" t="str">
        <f>HYPERLINK("https://propertylookup.dupagecounty.gov/Datalets/Datalet.aspx?UseSearch=no&amp;mode=sales&amp;pin=0229116018","sales record")</f>
        <v>sales record</v>
      </c>
      <c r="AC608" t="s">
        <v>3</v>
      </c>
      <c r="AD608">
        <v>41.924753</v>
      </c>
      <c r="AE608">
        <v>-88.12782300000001</v>
      </c>
      <c r="AF608" s="5" t="str">
        <f>HYPERLINK("https://www.google.com/maps/search/?api=1&amp;query=41.924753,-88.127823","map")</f>
        <v>map</v>
      </c>
    </row>
    <row r="609" spans="1:32">
      <c r="A609" t="s">
        <v>659</v>
      </c>
      <c r="B609" t="s">
        <v>8239</v>
      </c>
      <c r="C609" t="s">
        <v>15164</v>
      </c>
      <c r="D609" t="s">
        <v>16197</v>
      </c>
      <c r="E609" t="s">
        <v>16218</v>
      </c>
      <c r="F609" t="s">
        <v>16220</v>
      </c>
      <c r="G609" t="s">
        <v>16238</v>
      </c>
      <c r="H609" t="s">
        <v>16238</v>
      </c>
      <c r="I609" t="s">
        <v>16314</v>
      </c>
      <c r="J609" t="s">
        <v>16385</v>
      </c>
      <c r="K609">
        <v>0.207</v>
      </c>
      <c r="L609">
        <v>9014</v>
      </c>
      <c r="M609">
        <v>1978</v>
      </c>
      <c r="N609" t="s">
        <v>16393</v>
      </c>
      <c r="O609" s="4">
        <v>39708</v>
      </c>
      <c r="P609" s="4">
        <v>110852</v>
      </c>
      <c r="Q609" s="4">
        <v>150560</v>
      </c>
      <c r="R609" s="4">
        <v>451680</v>
      </c>
      <c r="S609" t="s">
        <v>16989</v>
      </c>
      <c r="T609" s="6">
        <v>33664</v>
      </c>
      <c r="U609" s="4">
        <v>178000</v>
      </c>
      <c r="X609" t="s">
        <v>3</v>
      </c>
      <c r="AA609" s="5" t="str">
        <f>HYPERLINK("https://www.zillow.com/homes/509-YARDLEY-DR-CAROL-STREAM-IL-60188_rb/","check listing")</f>
        <v>check listing</v>
      </c>
      <c r="AB609" s="5" t="str">
        <f>HYPERLINK("https://propertylookup.dupagecounty.gov/Datalets/Datalet.aspx?UseSearch=no&amp;mode=sales&amp;pin=0219414009","sales record")</f>
        <v>sales record</v>
      </c>
      <c r="AC609" t="s">
        <v>3</v>
      </c>
      <c r="AD609">
        <v>41.935796</v>
      </c>
      <c r="AE609">
        <v>-88.137964</v>
      </c>
      <c r="AF609" s="5" t="str">
        <f>HYPERLINK("https://www.google.com/maps/search/?api=1&amp;query=41.935796,-88.137964","map")</f>
        <v>map</v>
      </c>
    </row>
    <row r="610" spans="1:32">
      <c r="A610" t="s">
        <v>660</v>
      </c>
      <c r="B610" t="s">
        <v>8240</v>
      </c>
      <c r="C610" t="s">
        <v>15164</v>
      </c>
      <c r="D610" t="s">
        <v>16197</v>
      </c>
      <c r="E610" t="s">
        <v>16218</v>
      </c>
      <c r="F610" t="s">
        <v>16220</v>
      </c>
      <c r="G610" t="s">
        <v>16238</v>
      </c>
      <c r="H610" t="s">
        <v>16238</v>
      </c>
      <c r="I610" t="s">
        <v>16314</v>
      </c>
      <c r="J610" t="s">
        <v>16385</v>
      </c>
      <c r="K610">
        <v>0.206</v>
      </c>
      <c r="L610">
        <v>8956</v>
      </c>
      <c r="M610">
        <v>2309</v>
      </c>
      <c r="N610" t="s">
        <v>16393</v>
      </c>
      <c r="O610" s="4">
        <v>39708</v>
      </c>
      <c r="P610" s="4">
        <v>89518</v>
      </c>
      <c r="Q610" s="4">
        <v>129226</v>
      </c>
      <c r="R610" s="4">
        <v>387678</v>
      </c>
      <c r="S610" t="s">
        <v>16990</v>
      </c>
      <c r="T610" s="6">
        <v>36617</v>
      </c>
      <c r="U610" s="4">
        <v>273000</v>
      </c>
      <c r="V610" t="s">
        <v>23739</v>
      </c>
      <c r="W610" t="s">
        <v>24020</v>
      </c>
      <c r="X610" t="s">
        <v>3</v>
      </c>
      <c r="AA610" s="5" t="str">
        <f>HYPERLINK("https://www.zillow.com/homes/552-BURKE-DR-CAROL-STREAM-IL-60188_rb/","check listing")</f>
        <v>check listing</v>
      </c>
      <c r="AB610" s="5" t="str">
        <f>HYPERLINK("https://propertylookup.dupagecounty.gov/Datalets/Datalet.aspx?UseSearch=no&amp;mode=sales&amp;pin=0219417002","sales record")</f>
        <v>sales record</v>
      </c>
      <c r="AC610" t="s">
        <v>3</v>
      </c>
      <c r="AD610">
        <v>41.93274</v>
      </c>
      <c r="AE610">
        <v>-88.13951</v>
      </c>
      <c r="AF610" s="5" t="str">
        <f>HYPERLINK("https://www.google.com/maps/search/?api=1&amp;query=41.93274,-88.13951","map")</f>
        <v>map</v>
      </c>
    </row>
    <row r="611" spans="1:32">
      <c r="A611" t="s">
        <v>661</v>
      </c>
      <c r="B611" t="s">
        <v>8241</v>
      </c>
      <c r="C611" t="s">
        <v>15164</v>
      </c>
      <c r="D611" t="s">
        <v>16197</v>
      </c>
      <c r="E611" t="s">
        <v>16218</v>
      </c>
      <c r="F611" t="s">
        <v>16220</v>
      </c>
      <c r="G611" t="s">
        <v>16238</v>
      </c>
      <c r="H611" t="s">
        <v>16238</v>
      </c>
      <c r="I611" t="s">
        <v>16314</v>
      </c>
      <c r="J611" t="s">
        <v>16385</v>
      </c>
      <c r="K611">
        <v>0.204</v>
      </c>
      <c r="L611">
        <v>8904</v>
      </c>
      <c r="M611">
        <v>2309</v>
      </c>
      <c r="N611" t="s">
        <v>16393</v>
      </c>
      <c r="O611" s="4">
        <v>36878</v>
      </c>
      <c r="P611" s="4">
        <v>73431</v>
      </c>
      <c r="Q611" s="4">
        <v>110309</v>
      </c>
      <c r="R611" s="4">
        <v>330927</v>
      </c>
      <c r="S611" t="s">
        <v>16991</v>
      </c>
      <c r="T611" s="6">
        <v>42095</v>
      </c>
      <c r="U611" s="4">
        <v>195000</v>
      </c>
      <c r="V611" t="s">
        <v>23739</v>
      </c>
      <c r="W611" t="s">
        <v>24021</v>
      </c>
      <c r="X611" t="s">
        <v>3</v>
      </c>
      <c r="AA611" s="5" t="str">
        <f>HYPERLINK("https://www.zillow.com/homes/1334-BOA-TRAIL-CAROL-STREAM-IL-60188_rb/","check listing")</f>
        <v>check listing</v>
      </c>
      <c r="AB611" s="5" t="str">
        <f>HYPERLINK("https://propertylookup.dupagecounty.gov/Datalets/Datalet.aspx?UseSearch=no&amp;mode=sales&amp;pin=0123404109","sales record")</f>
        <v>sales record</v>
      </c>
      <c r="AC611" t="s">
        <v>3</v>
      </c>
      <c r="AD611">
        <v>41.936461</v>
      </c>
      <c r="AE611">
        <v>-88.167621</v>
      </c>
      <c r="AF611" s="5" t="str">
        <f>HYPERLINK("https://www.google.com/maps/search/?api=1&amp;query=41.936461,-88.167621","map")</f>
        <v>map</v>
      </c>
    </row>
    <row r="612" spans="1:32">
      <c r="A612" t="s">
        <v>662</v>
      </c>
      <c r="B612" t="s">
        <v>8242</v>
      </c>
      <c r="C612" t="s">
        <v>15164</v>
      </c>
      <c r="D612" t="s">
        <v>16197</v>
      </c>
      <c r="E612" t="s">
        <v>16218</v>
      </c>
      <c r="F612" t="s">
        <v>16220</v>
      </c>
      <c r="G612" t="s">
        <v>16238</v>
      </c>
      <c r="H612" t="s">
        <v>16238</v>
      </c>
      <c r="I612" t="s">
        <v>16314</v>
      </c>
      <c r="J612" t="s">
        <v>16385</v>
      </c>
      <c r="K612">
        <v>0.204</v>
      </c>
      <c r="L612">
        <v>8877</v>
      </c>
      <c r="M612">
        <v>2574</v>
      </c>
      <c r="N612" t="s">
        <v>16393</v>
      </c>
      <c r="O612" s="4">
        <v>38721</v>
      </c>
      <c r="P612" s="4">
        <v>112011</v>
      </c>
      <c r="Q612" s="4">
        <v>150732</v>
      </c>
      <c r="R612" s="4">
        <v>452196</v>
      </c>
      <c r="S612" t="s">
        <v>16992</v>
      </c>
      <c r="T612" s="6">
        <v>44013</v>
      </c>
      <c r="U612" s="4">
        <v>325000</v>
      </c>
      <c r="V612" t="s">
        <v>23739</v>
      </c>
      <c r="W612" t="s">
        <v>24022</v>
      </c>
      <c r="X612" t="s">
        <v>3</v>
      </c>
      <c r="AA612" s="5" t="str">
        <f>HYPERLINK("https://www.zillow.com/homes/1266-KNOLLWOOD-DR-CAROL-STREAM-IL-60188_rb/","check listing")</f>
        <v>check listing</v>
      </c>
      <c r="AB612" s="5" t="str">
        <f>HYPERLINK("https://propertylookup.dupagecounty.gov/Datalets/Datalet.aspx?UseSearch=no&amp;mode=sales&amp;pin=0124401001","sales record")</f>
        <v>sales record</v>
      </c>
      <c r="AC612" t="s">
        <v>3</v>
      </c>
      <c r="AD612">
        <v>41.937155</v>
      </c>
      <c r="AE612">
        <v>-88.15495300000001</v>
      </c>
      <c r="AF612" s="5" t="str">
        <f>HYPERLINK("https://www.google.com/maps/search/?api=1&amp;query=41.937155,-88.154953","map")</f>
        <v>map</v>
      </c>
    </row>
    <row r="613" spans="1:32">
      <c r="A613" t="s">
        <v>663</v>
      </c>
      <c r="B613" t="s">
        <v>8243</v>
      </c>
      <c r="C613" t="s">
        <v>15164</v>
      </c>
      <c r="D613" t="s">
        <v>16197</v>
      </c>
      <c r="E613" t="s">
        <v>16218</v>
      </c>
      <c r="F613" t="s">
        <v>16220</v>
      </c>
      <c r="G613" t="s">
        <v>16238</v>
      </c>
      <c r="H613" t="s">
        <v>16238</v>
      </c>
      <c r="I613" t="s">
        <v>16314</v>
      </c>
      <c r="J613" t="s">
        <v>16385</v>
      </c>
      <c r="K613">
        <v>0.203</v>
      </c>
      <c r="L613">
        <v>8860</v>
      </c>
      <c r="M613">
        <v>1971</v>
      </c>
      <c r="N613" t="s">
        <v>16393</v>
      </c>
      <c r="O613" s="4">
        <v>37980</v>
      </c>
      <c r="P613" s="4">
        <v>71299</v>
      </c>
      <c r="Q613" s="4">
        <v>109279</v>
      </c>
      <c r="R613" s="4">
        <v>327837</v>
      </c>
      <c r="S613" t="s">
        <v>16993</v>
      </c>
      <c r="T613" s="6">
        <v>41852</v>
      </c>
      <c r="U613" s="4">
        <v>182500</v>
      </c>
      <c r="V613" t="s">
        <v>23739</v>
      </c>
      <c r="W613" t="s">
        <v>24023</v>
      </c>
      <c r="X613" t="s">
        <v>3</v>
      </c>
      <c r="AA613" s="5" t="str">
        <f>HYPERLINK("https://www.zillow.com/homes/1449-MAPLE-RIDGE-CT-CAROL-STREAM-IL-60188_rb/","check listing")</f>
        <v>check listing</v>
      </c>
      <c r="AB613" s="5" t="str">
        <f>HYPERLINK("https://propertylookup.dupagecounty.gov/Datalets/Datalet.aspx?UseSearch=no&amp;mode=sales&amp;pin=0123403034","sales record")</f>
        <v>sales record</v>
      </c>
      <c r="AC613" t="s">
        <v>3</v>
      </c>
      <c r="AD613">
        <v>41.936191</v>
      </c>
      <c r="AE613">
        <v>-88.17297600000001</v>
      </c>
      <c r="AF613" s="5" t="str">
        <f>HYPERLINK("https://www.google.com/maps/search/?api=1&amp;query=41.936191,-88.172976","map")</f>
        <v>map</v>
      </c>
    </row>
    <row r="614" spans="1:32">
      <c r="A614" t="s">
        <v>664</v>
      </c>
      <c r="B614" t="s">
        <v>8244</v>
      </c>
      <c r="C614" t="s">
        <v>15164</v>
      </c>
      <c r="D614" t="s">
        <v>16197</v>
      </c>
      <c r="E614" t="s">
        <v>16218</v>
      </c>
      <c r="F614" t="s">
        <v>16220</v>
      </c>
      <c r="G614" t="s">
        <v>16238</v>
      </c>
      <c r="H614" t="s">
        <v>16238</v>
      </c>
      <c r="I614" t="s">
        <v>16314</v>
      </c>
      <c r="J614" t="s">
        <v>16385</v>
      </c>
      <c r="K614">
        <v>0.203</v>
      </c>
      <c r="L614">
        <v>8859</v>
      </c>
      <c r="M614">
        <v>1960</v>
      </c>
      <c r="N614" t="s">
        <v>16393</v>
      </c>
      <c r="O614" s="4">
        <v>37980</v>
      </c>
      <c r="P614" s="4">
        <v>89425</v>
      </c>
      <c r="Q614" s="4">
        <v>127405</v>
      </c>
      <c r="R614" s="4">
        <v>382215</v>
      </c>
      <c r="S614" t="s">
        <v>16994</v>
      </c>
      <c r="T614" s="6">
        <v>38899</v>
      </c>
      <c r="U614" s="4">
        <v>280000</v>
      </c>
      <c r="V614" t="s">
        <v>23739</v>
      </c>
      <c r="W614" t="s">
        <v>24024</v>
      </c>
      <c r="X614" t="s">
        <v>3</v>
      </c>
      <c r="AA614" s="5" t="str">
        <f>HYPERLINK("https://www.zillow.com/homes/1461-MAPLE-RIDGE-CT-CAROL-STREAM-IL-60188_rb/","check listing")</f>
        <v>check listing</v>
      </c>
      <c r="AB614" s="5" t="str">
        <f>HYPERLINK("https://propertylookup.dupagecounty.gov/Datalets/Datalet.aspx?UseSearch=no&amp;mode=sales&amp;pin=0123403032","sales record")</f>
        <v>sales record</v>
      </c>
      <c r="AC614" t="s">
        <v>3</v>
      </c>
      <c r="AD614">
        <v>41.936181</v>
      </c>
      <c r="AE614">
        <v>-88.17343200000001</v>
      </c>
      <c r="AF614" s="5" t="str">
        <f>HYPERLINK("https://www.google.com/maps/search/?api=1&amp;query=41.936181,-88.173432","map")</f>
        <v>map</v>
      </c>
    </row>
    <row r="615" spans="1:32">
      <c r="A615" t="s">
        <v>665</v>
      </c>
      <c r="B615" t="s">
        <v>8245</v>
      </c>
      <c r="C615" t="s">
        <v>15164</v>
      </c>
      <c r="D615" t="s">
        <v>16197</v>
      </c>
      <c r="E615" t="s">
        <v>16218</v>
      </c>
      <c r="F615" t="s">
        <v>16220</v>
      </c>
      <c r="G615" t="s">
        <v>16238</v>
      </c>
      <c r="H615" t="s">
        <v>16238</v>
      </c>
      <c r="I615" t="s">
        <v>16314</v>
      </c>
      <c r="J615" t="s">
        <v>16385</v>
      </c>
      <c r="K615">
        <v>0.203</v>
      </c>
      <c r="L615">
        <v>8859</v>
      </c>
      <c r="M615">
        <v>1737</v>
      </c>
      <c r="N615" t="s">
        <v>16393</v>
      </c>
      <c r="O615" s="4">
        <v>37980</v>
      </c>
      <c r="P615" s="4">
        <v>79074</v>
      </c>
      <c r="Q615" s="4">
        <v>117054</v>
      </c>
      <c r="R615" s="4">
        <v>351162</v>
      </c>
      <c r="S615" t="s">
        <v>16995</v>
      </c>
      <c r="T615" s="6">
        <v>41974</v>
      </c>
      <c r="U615" s="4">
        <v>161900</v>
      </c>
      <c r="V615" t="s">
        <v>16232</v>
      </c>
      <c r="W615" t="s">
        <v>24025</v>
      </c>
      <c r="X615" t="s">
        <v>3</v>
      </c>
      <c r="AA615" s="5" t="str">
        <f>HYPERLINK("https://www.zillow.com/homes/1437-MAPLE-RIDGE-CT-CAROL-STREAM-IL-60188_rb/","check listing")</f>
        <v>check listing</v>
      </c>
      <c r="AB615" s="5" t="str">
        <f>HYPERLINK("https://propertylookup.dupagecounty.gov/Datalets/Datalet.aspx?UseSearch=no&amp;mode=sales&amp;pin=0123403036","sales record")</f>
        <v>sales record</v>
      </c>
      <c r="AC615" t="s">
        <v>3</v>
      </c>
      <c r="AD615">
        <v>41.9362</v>
      </c>
      <c r="AE615">
        <v>-88.172521</v>
      </c>
      <c r="AF615" s="5" t="str">
        <f>HYPERLINK("https://www.google.com/maps/search/?api=1&amp;query=41.9362,-88.172521","map")</f>
        <v>map</v>
      </c>
    </row>
    <row r="616" spans="1:32">
      <c r="A616" t="s">
        <v>666</v>
      </c>
      <c r="B616" t="s">
        <v>8246</v>
      </c>
      <c r="C616" t="s">
        <v>15164</v>
      </c>
      <c r="D616" t="s">
        <v>16197</v>
      </c>
      <c r="E616" t="s">
        <v>16218</v>
      </c>
      <c r="F616" t="s">
        <v>16220</v>
      </c>
      <c r="G616" t="s">
        <v>16238</v>
      </c>
      <c r="H616" t="s">
        <v>16238</v>
      </c>
      <c r="I616" t="s">
        <v>16314</v>
      </c>
      <c r="J616" t="s">
        <v>16385</v>
      </c>
      <c r="K616">
        <v>0.203</v>
      </c>
      <c r="L616">
        <v>8859</v>
      </c>
      <c r="M616">
        <v>1985</v>
      </c>
      <c r="N616" t="s">
        <v>16393</v>
      </c>
      <c r="O616" s="4">
        <v>37980</v>
      </c>
      <c r="P616" s="4">
        <v>72005</v>
      </c>
      <c r="Q616" s="4">
        <v>109985</v>
      </c>
      <c r="R616" s="4">
        <v>329955</v>
      </c>
      <c r="S616" t="s">
        <v>16996</v>
      </c>
      <c r="T616" s="6">
        <v>45105</v>
      </c>
      <c r="U616" s="4">
        <v>322500</v>
      </c>
      <c r="V616" t="s">
        <v>23739</v>
      </c>
      <c r="W616" t="s">
        <v>24026</v>
      </c>
      <c r="X616" t="s">
        <v>3</v>
      </c>
      <c r="AA616" s="5" t="str">
        <f>HYPERLINK("https://www.zillow.com/homes/1455-MAPLE-RIDGE-CT-CAROL-STREAM-IL-60188_rb/","check listing")</f>
        <v>check listing</v>
      </c>
      <c r="AB616" s="5" t="str">
        <f>HYPERLINK("https://propertylookup.dupagecounty.gov/Datalets/Datalet.aspx?UseSearch=no&amp;mode=sales&amp;pin=0123403033","sales record")</f>
        <v>sales record</v>
      </c>
      <c r="AC616" t="s">
        <v>3</v>
      </c>
      <c r="AD616">
        <v>41.936186</v>
      </c>
      <c r="AE616">
        <v>-88.173204</v>
      </c>
      <c r="AF616" s="5" t="str">
        <f>HYPERLINK("https://www.google.com/maps/search/?api=1&amp;query=41.936186,-88.173204","map")</f>
        <v>map</v>
      </c>
    </row>
    <row r="617" spans="1:32">
      <c r="A617" t="s">
        <v>667</v>
      </c>
      <c r="B617" t="s">
        <v>8247</v>
      </c>
      <c r="C617" t="s">
        <v>15164</v>
      </c>
      <c r="D617" t="s">
        <v>16197</v>
      </c>
      <c r="E617" t="s">
        <v>16218</v>
      </c>
      <c r="F617" t="s">
        <v>16220</v>
      </c>
      <c r="G617" t="s">
        <v>16238</v>
      </c>
      <c r="H617" t="s">
        <v>16238</v>
      </c>
      <c r="I617" t="s">
        <v>16314</v>
      </c>
      <c r="J617" t="s">
        <v>16385</v>
      </c>
      <c r="K617">
        <v>0.203</v>
      </c>
      <c r="L617">
        <v>8859</v>
      </c>
      <c r="M617">
        <v>1898</v>
      </c>
      <c r="N617" t="s">
        <v>16393</v>
      </c>
      <c r="O617" s="4">
        <v>37980</v>
      </c>
      <c r="P617" s="4">
        <v>85088</v>
      </c>
      <c r="Q617" s="4">
        <v>123068</v>
      </c>
      <c r="R617" s="4">
        <v>369204</v>
      </c>
      <c r="S617" t="s">
        <v>16997</v>
      </c>
      <c r="T617" s="6">
        <v>37773</v>
      </c>
      <c r="U617" s="4">
        <v>230000</v>
      </c>
      <c r="V617" t="s">
        <v>23739</v>
      </c>
      <c r="W617" t="s">
        <v>24027</v>
      </c>
      <c r="X617" t="s">
        <v>3</v>
      </c>
      <c r="AA617" s="5" t="str">
        <f>HYPERLINK("https://www.zillow.com/homes/1479-MAPLE-RIDGE-CT-CAROL-STREAM-IL-60188_rb/","check listing")</f>
        <v>check listing</v>
      </c>
      <c r="AB617" s="5" t="str">
        <f>HYPERLINK("https://propertylookup.dupagecounty.gov/Datalets/Datalet.aspx?UseSearch=no&amp;mode=sales&amp;pin=0123403029","sales record")</f>
        <v>sales record</v>
      </c>
      <c r="AC617" t="s">
        <v>3</v>
      </c>
      <c r="AD617">
        <v>41.936167</v>
      </c>
      <c r="AE617">
        <v>-88.174115</v>
      </c>
      <c r="AF617" s="5" t="str">
        <f>HYPERLINK("https://www.google.com/maps/search/?api=1&amp;query=41.936167,-88.174115","map")</f>
        <v>map</v>
      </c>
    </row>
    <row r="618" spans="1:32">
      <c r="A618" t="s">
        <v>668</v>
      </c>
      <c r="B618" t="s">
        <v>8248</v>
      </c>
      <c r="C618" t="s">
        <v>15164</v>
      </c>
      <c r="D618" t="s">
        <v>16197</v>
      </c>
      <c r="E618" t="s">
        <v>16218</v>
      </c>
      <c r="F618" t="s">
        <v>16220</v>
      </c>
      <c r="G618" t="s">
        <v>16238</v>
      </c>
      <c r="H618" t="s">
        <v>16238</v>
      </c>
      <c r="I618" t="s">
        <v>16314</v>
      </c>
      <c r="J618" t="s">
        <v>16385</v>
      </c>
      <c r="K618">
        <v>0.203</v>
      </c>
      <c r="L618">
        <v>8858</v>
      </c>
      <c r="M618">
        <v>1747</v>
      </c>
      <c r="N618" t="s">
        <v>16393</v>
      </c>
      <c r="O618" s="4">
        <v>37980</v>
      </c>
      <c r="P618" s="4">
        <v>77552</v>
      </c>
      <c r="Q618" s="4">
        <v>115532</v>
      </c>
      <c r="R618" s="4">
        <v>346596</v>
      </c>
      <c r="S618" t="s">
        <v>16998</v>
      </c>
      <c r="T618" s="6">
        <v>42552</v>
      </c>
      <c r="U618" s="4">
        <v>225000</v>
      </c>
      <c r="V618" t="s">
        <v>23738</v>
      </c>
      <c r="W618" t="s">
        <v>24028</v>
      </c>
      <c r="X618" t="s">
        <v>3</v>
      </c>
      <c r="AA618" s="5" t="str">
        <f>HYPERLINK("https://www.zillow.com/homes/1465-MAPLE-RIDGE-CT-CAROL-STREAM-IL-60188_rb/","check listing")</f>
        <v>check listing</v>
      </c>
      <c r="AB618" s="5" t="str">
        <f>HYPERLINK("https://propertylookup.dupagecounty.gov/Datalets/Datalet.aspx?UseSearch=no&amp;mode=sales&amp;pin=0123403031","sales record")</f>
        <v>sales record</v>
      </c>
      <c r="AC618" t="s">
        <v>3</v>
      </c>
      <c r="AD618">
        <v>41.936176</v>
      </c>
      <c r="AE618">
        <v>-88.17366</v>
      </c>
      <c r="AF618" s="5" t="str">
        <f>HYPERLINK("https://www.google.com/maps/search/?api=1&amp;query=41.936176,-88.17366","map")</f>
        <v>map</v>
      </c>
    </row>
    <row r="619" spans="1:32">
      <c r="A619" t="s">
        <v>669</v>
      </c>
      <c r="B619" t="s">
        <v>8249</v>
      </c>
      <c r="C619" t="s">
        <v>15164</v>
      </c>
      <c r="D619" t="s">
        <v>16197</v>
      </c>
      <c r="E619" t="s">
        <v>16218</v>
      </c>
      <c r="F619" t="s">
        <v>16220</v>
      </c>
      <c r="G619" t="s">
        <v>16238</v>
      </c>
      <c r="H619" t="s">
        <v>16238</v>
      </c>
      <c r="I619" t="s">
        <v>16314</v>
      </c>
      <c r="J619" t="s">
        <v>16385</v>
      </c>
      <c r="K619">
        <v>0.203</v>
      </c>
      <c r="L619">
        <v>8857</v>
      </c>
      <c r="M619">
        <v>1930</v>
      </c>
      <c r="N619" t="s">
        <v>16393</v>
      </c>
      <c r="O619" s="4">
        <v>37980</v>
      </c>
      <c r="P619" s="4">
        <v>103312</v>
      </c>
      <c r="Q619" s="4">
        <v>141292</v>
      </c>
      <c r="R619" s="4">
        <v>423876</v>
      </c>
      <c r="S619" t="s">
        <v>16999</v>
      </c>
      <c r="T619" s="6">
        <v>31168</v>
      </c>
      <c r="U619" s="4">
        <v>100211</v>
      </c>
      <c r="X619" t="s">
        <v>3</v>
      </c>
      <c r="AA619" s="5" t="str">
        <f>HYPERLINK("https://www.zillow.com/homes/1443-MAPLE-RIDGE-CT-CAROL-STREAM-IL-60188_rb/","check listing")</f>
        <v>check listing</v>
      </c>
      <c r="AB619" s="5" t="str">
        <f>HYPERLINK("https://propertylookup.dupagecounty.gov/Datalets/Datalet.aspx?UseSearch=no&amp;mode=sales&amp;pin=0123403035","sales record")</f>
        <v>sales record</v>
      </c>
      <c r="AC619" t="s">
        <v>3</v>
      </c>
      <c r="AD619">
        <v>41.936195</v>
      </c>
      <c r="AE619">
        <v>-88.172748</v>
      </c>
      <c r="AF619" s="5" t="str">
        <f>HYPERLINK("https://www.google.com/maps/search/?api=1&amp;query=41.936195,-88.172748","map")</f>
        <v>map</v>
      </c>
    </row>
    <row r="620" spans="1:32">
      <c r="A620" t="s">
        <v>670</v>
      </c>
      <c r="B620" t="s">
        <v>8250</v>
      </c>
      <c r="C620" t="s">
        <v>15164</v>
      </c>
      <c r="D620" t="s">
        <v>16197</v>
      </c>
      <c r="E620" t="s">
        <v>16218</v>
      </c>
      <c r="F620" t="s">
        <v>16220</v>
      </c>
      <c r="G620" t="s">
        <v>16238</v>
      </c>
      <c r="H620" t="s">
        <v>16238</v>
      </c>
      <c r="I620" t="s">
        <v>16314</v>
      </c>
      <c r="J620" t="s">
        <v>16385</v>
      </c>
      <c r="K620">
        <v>0.203</v>
      </c>
      <c r="L620">
        <v>8857</v>
      </c>
      <c r="M620">
        <v>2036</v>
      </c>
      <c r="N620" t="s">
        <v>16393</v>
      </c>
      <c r="O620" s="4">
        <v>37980</v>
      </c>
      <c r="P620" s="4">
        <v>92073</v>
      </c>
      <c r="Q620" s="4">
        <v>130053</v>
      </c>
      <c r="R620" s="4">
        <v>390159</v>
      </c>
      <c r="S620" t="s">
        <v>17000</v>
      </c>
      <c r="T620" s="6">
        <v>39508</v>
      </c>
      <c r="U620" s="4">
        <v>245000</v>
      </c>
      <c r="V620" t="s">
        <v>23739</v>
      </c>
      <c r="W620" t="s">
        <v>24029</v>
      </c>
      <c r="X620" t="s">
        <v>3</v>
      </c>
      <c r="AA620" s="5" t="str">
        <f>HYPERLINK("https://www.zillow.com/homes/1473-MAPLE-RIDGE-CT-CAROL-STREAM-IL-60188_rb/","check listing")</f>
        <v>check listing</v>
      </c>
      <c r="AB620" s="5" t="str">
        <f>HYPERLINK("https://propertylookup.dupagecounty.gov/Datalets/Datalet.aspx?UseSearch=no&amp;mode=sales&amp;pin=0123403030","sales record")</f>
        <v>sales record</v>
      </c>
      <c r="AC620" t="s">
        <v>3</v>
      </c>
      <c r="AD620">
        <v>41.936172</v>
      </c>
      <c r="AE620">
        <v>-88.17388699999999</v>
      </c>
      <c r="AF620" s="5" t="str">
        <f>HYPERLINK("https://www.google.com/maps/search/?api=1&amp;query=41.936172,-88.173887","map")</f>
        <v>map</v>
      </c>
    </row>
    <row r="621" spans="1:32">
      <c r="A621" t="s">
        <v>671</v>
      </c>
      <c r="B621" t="s">
        <v>8251</v>
      </c>
      <c r="C621" t="s">
        <v>15164</v>
      </c>
      <c r="D621" t="s">
        <v>16197</v>
      </c>
      <c r="E621" t="s">
        <v>16218</v>
      </c>
      <c r="F621" t="s">
        <v>16220</v>
      </c>
      <c r="G621" t="s">
        <v>16238</v>
      </c>
      <c r="H621" t="s">
        <v>16238</v>
      </c>
      <c r="I621" t="s">
        <v>16314</v>
      </c>
      <c r="J621" t="s">
        <v>16385</v>
      </c>
      <c r="K621">
        <v>0.203</v>
      </c>
      <c r="L621">
        <v>8856</v>
      </c>
      <c r="M621">
        <v>2172</v>
      </c>
      <c r="N621" t="s">
        <v>16393</v>
      </c>
      <c r="O621" s="4">
        <v>37980</v>
      </c>
      <c r="P621" s="4">
        <v>63595</v>
      </c>
      <c r="Q621" s="4">
        <v>101575</v>
      </c>
      <c r="R621" s="4">
        <v>304725</v>
      </c>
      <c r="S621" t="s">
        <v>17001</v>
      </c>
      <c r="T621" s="6">
        <v>37012</v>
      </c>
      <c r="U621" s="4">
        <v>160000</v>
      </c>
      <c r="V621" t="s">
        <v>23739</v>
      </c>
      <c r="W621" t="s">
        <v>24030</v>
      </c>
      <c r="X621" t="s">
        <v>3</v>
      </c>
      <c r="AA621" s="5" t="str">
        <f>HYPERLINK("https://www.zillow.com/homes/1431-MAPLE-RIDGE-CT-CAROL-STREAM-IL-60188_rb/","check listing")</f>
        <v>check listing</v>
      </c>
      <c r="AB621" s="5" t="str">
        <f>HYPERLINK("https://propertylookup.dupagecounty.gov/Datalets/Datalet.aspx?UseSearch=no&amp;mode=sales&amp;pin=0123403037","sales record")</f>
        <v>sales record</v>
      </c>
      <c r="AC621" t="s">
        <v>3</v>
      </c>
      <c r="AD621">
        <v>41.936205</v>
      </c>
      <c r="AE621">
        <v>-88.172293</v>
      </c>
      <c r="AF621" s="5" t="str">
        <f>HYPERLINK("https://www.google.com/maps/search/?api=1&amp;query=41.936205,-88.172293","map")</f>
        <v>map</v>
      </c>
    </row>
    <row r="622" spans="1:32">
      <c r="A622" t="s">
        <v>672</v>
      </c>
      <c r="B622" t="s">
        <v>8252</v>
      </c>
      <c r="C622" t="s">
        <v>15164</v>
      </c>
      <c r="D622" t="s">
        <v>16197</v>
      </c>
      <c r="E622" t="s">
        <v>16218</v>
      </c>
      <c r="F622" t="s">
        <v>16220</v>
      </c>
      <c r="G622" t="s">
        <v>16238</v>
      </c>
      <c r="H622" t="s">
        <v>16238</v>
      </c>
      <c r="I622" t="s">
        <v>16314</v>
      </c>
      <c r="J622" t="s">
        <v>16385</v>
      </c>
      <c r="K622">
        <v>0.203</v>
      </c>
      <c r="L622">
        <v>8829</v>
      </c>
      <c r="M622">
        <v>2358</v>
      </c>
      <c r="N622" t="s">
        <v>16393</v>
      </c>
      <c r="O622" s="4">
        <v>37045</v>
      </c>
      <c r="P622" s="4">
        <v>85448</v>
      </c>
      <c r="Q622" s="4">
        <v>122493</v>
      </c>
      <c r="R622" s="4">
        <v>367479</v>
      </c>
      <c r="S622" t="s">
        <v>17002</v>
      </c>
      <c r="X622" t="s">
        <v>3</v>
      </c>
      <c r="AA622" s="5" t="str">
        <f>HYPERLINK("https://www.zillow.com/homes/1288-BRAVE-CT-CAROL-STREAM-IL-60188_rb/","check listing")</f>
        <v>check listing</v>
      </c>
      <c r="AB622" s="5" t="str">
        <f>HYPERLINK("https://propertylookup.dupagecounty.gov/Datalets/Datalet.aspx?UseSearch=no&amp;mode=sales&amp;pin=0123404014","sales record")</f>
        <v>sales record</v>
      </c>
      <c r="AC622" t="s">
        <v>3</v>
      </c>
      <c r="AD622">
        <v>41.93561</v>
      </c>
      <c r="AE622">
        <v>-88.16632300000001</v>
      </c>
      <c r="AF622" s="5" t="str">
        <f>HYPERLINK("https://www.google.com/maps/search/?api=1&amp;query=41.93561,-88.166323","map")</f>
        <v>map</v>
      </c>
    </row>
    <row r="623" spans="1:32">
      <c r="A623" t="s">
        <v>673</v>
      </c>
      <c r="B623" t="s">
        <v>8253</v>
      </c>
      <c r="C623" t="s">
        <v>15164</v>
      </c>
      <c r="D623" t="s">
        <v>16197</v>
      </c>
      <c r="E623" t="s">
        <v>16218</v>
      </c>
      <c r="F623" t="s">
        <v>16220</v>
      </c>
      <c r="G623" t="s">
        <v>16238</v>
      </c>
      <c r="H623" t="s">
        <v>16238</v>
      </c>
      <c r="I623" t="s">
        <v>16314</v>
      </c>
      <c r="J623" t="s">
        <v>16385</v>
      </c>
      <c r="K623">
        <v>0.201</v>
      </c>
      <c r="L623">
        <v>8741</v>
      </c>
      <c r="M623">
        <v>1583</v>
      </c>
      <c r="N623" t="s">
        <v>16393</v>
      </c>
      <c r="O623" s="4">
        <v>37045</v>
      </c>
      <c r="P623" s="4">
        <v>79014</v>
      </c>
      <c r="Q623" s="4">
        <v>116059</v>
      </c>
      <c r="R623" s="4">
        <v>348177</v>
      </c>
      <c r="S623" t="s">
        <v>17003</v>
      </c>
      <c r="T623" s="6">
        <v>41699</v>
      </c>
      <c r="U623" s="4">
        <v>222500</v>
      </c>
      <c r="V623" t="s">
        <v>23739</v>
      </c>
      <c r="W623" t="s">
        <v>24031</v>
      </c>
      <c r="X623" t="s">
        <v>3</v>
      </c>
      <c r="AA623" s="5" t="str">
        <f>HYPERLINK("https://www.zillow.com/homes/1245-SPRING-VALLEY-DR-CAROL-STREAM-IL-60188_rb/","check listing")</f>
        <v>check listing</v>
      </c>
      <c r="AB623" s="5" t="str">
        <f>HYPERLINK("https://propertylookup.dupagecounty.gov/Datalets/Datalet.aspx?UseSearch=no&amp;mode=sales&amp;pin=0123407006","sales record")</f>
        <v>sales record</v>
      </c>
      <c r="AC623" t="s">
        <v>3</v>
      </c>
      <c r="AD623">
        <v>41.936126</v>
      </c>
      <c r="AE623">
        <v>-88.16518600000001</v>
      </c>
      <c r="AF623" s="5" t="str">
        <f>HYPERLINK("https://www.google.com/maps/search/?api=1&amp;query=41.936126,-88.165186","map")</f>
        <v>map</v>
      </c>
    </row>
    <row r="624" spans="1:32">
      <c r="A624" t="s">
        <v>674</v>
      </c>
      <c r="B624" t="s">
        <v>8254</v>
      </c>
      <c r="C624" t="s">
        <v>15181</v>
      </c>
      <c r="D624" t="s">
        <v>16197</v>
      </c>
      <c r="E624" t="s">
        <v>16218</v>
      </c>
      <c r="F624" t="s">
        <v>16220</v>
      </c>
      <c r="G624" t="s">
        <v>16238</v>
      </c>
      <c r="H624" t="s">
        <v>16238</v>
      </c>
      <c r="I624" t="s">
        <v>16314</v>
      </c>
      <c r="J624" t="s">
        <v>16385</v>
      </c>
      <c r="K624">
        <v>0.2</v>
      </c>
      <c r="L624">
        <v>8733</v>
      </c>
      <c r="M624">
        <v>2351</v>
      </c>
      <c r="N624" t="s">
        <v>16393</v>
      </c>
      <c r="O624" s="4">
        <v>38721</v>
      </c>
      <c r="P624" s="4">
        <v>110170</v>
      </c>
      <c r="Q624" s="4">
        <v>148891</v>
      </c>
      <c r="R624" s="4">
        <v>446673</v>
      </c>
      <c r="S624" t="s">
        <v>17004</v>
      </c>
      <c r="T624" s="6">
        <v>42491</v>
      </c>
      <c r="U624" s="4">
        <v>248888</v>
      </c>
      <c r="V624" t="s">
        <v>23739</v>
      </c>
      <c r="W624" t="s">
        <v>24032</v>
      </c>
      <c r="X624" t="s">
        <v>3</v>
      </c>
      <c r="AA624" s="5" t="str">
        <f>HYPERLINK("https://www.zillow.com/homes/1283-COUNTRY-GLEN-LN-CAROL-STREAM-IL-601884720_rb/","check listing")</f>
        <v>check listing</v>
      </c>
      <c r="AB624" s="5" t="str">
        <f>HYPERLINK("https://propertylookup.dupagecounty.gov/Datalets/Datalet.aspx?UseSearch=no&amp;mode=sales&amp;pin=0124402007","sales record")</f>
        <v>sales record</v>
      </c>
      <c r="AC624" t="s">
        <v>3</v>
      </c>
      <c r="AD624">
        <v>41.937065</v>
      </c>
      <c r="AE624">
        <v>-88.15275800000001</v>
      </c>
      <c r="AF624" s="5" t="str">
        <f>HYPERLINK("https://www.google.com/maps/search/?api=1&amp;query=41.937065,-88.152758","map")</f>
        <v>map</v>
      </c>
    </row>
    <row r="625" spans="1:32">
      <c r="A625" t="s">
        <v>675</v>
      </c>
      <c r="B625" t="s">
        <v>8255</v>
      </c>
      <c r="C625" t="s">
        <v>15164</v>
      </c>
      <c r="D625" t="s">
        <v>16197</v>
      </c>
      <c r="E625" t="s">
        <v>16218</v>
      </c>
      <c r="F625" t="s">
        <v>16220</v>
      </c>
      <c r="G625" t="s">
        <v>16238</v>
      </c>
      <c r="H625" t="s">
        <v>16238</v>
      </c>
      <c r="I625" t="s">
        <v>16314</v>
      </c>
      <c r="J625" t="s">
        <v>16385</v>
      </c>
      <c r="K625">
        <v>0.2</v>
      </c>
      <c r="L625">
        <v>8729</v>
      </c>
      <c r="M625">
        <v>2231</v>
      </c>
      <c r="N625" t="s">
        <v>16393</v>
      </c>
      <c r="O625" s="4">
        <v>38721</v>
      </c>
      <c r="P625" s="4">
        <v>105198</v>
      </c>
      <c r="Q625" s="4">
        <v>143919</v>
      </c>
      <c r="R625" s="4">
        <v>431757</v>
      </c>
      <c r="S625" t="s">
        <v>17005</v>
      </c>
      <c r="T625" s="6">
        <v>45776</v>
      </c>
      <c r="U625" s="4">
        <v>455000</v>
      </c>
      <c r="V625" t="s">
        <v>23739</v>
      </c>
      <c r="W625" t="s">
        <v>24033</v>
      </c>
      <c r="X625" t="s">
        <v>3</v>
      </c>
      <c r="AA625" s="5" t="str">
        <f>HYPERLINK("https://www.zillow.com/homes/1297-COUNTRY-GLEN-LN-CAROL-STREAM-IL-60188_rb/","check listing")</f>
        <v>check listing</v>
      </c>
      <c r="AB625" s="5" t="str">
        <f>HYPERLINK("https://propertylookup.dupagecounty.gov/Datalets/Datalet.aspx?UseSearch=no&amp;mode=sales&amp;pin=0124402004","sales record")</f>
        <v>sales record</v>
      </c>
      <c r="AC625" t="s">
        <v>3</v>
      </c>
      <c r="AD625">
        <v>41.937058</v>
      </c>
      <c r="AE625">
        <v>-88.15353399999999</v>
      </c>
      <c r="AF625" s="5" t="str">
        <f>HYPERLINK("https://www.google.com/maps/search/?api=1&amp;query=41.937058,-88.153534","map")</f>
        <v>map</v>
      </c>
    </row>
    <row r="626" spans="1:32">
      <c r="A626" t="s">
        <v>676</v>
      </c>
      <c r="B626" t="s">
        <v>8256</v>
      </c>
      <c r="C626" t="s">
        <v>15164</v>
      </c>
      <c r="D626" t="s">
        <v>16197</v>
      </c>
      <c r="E626" t="s">
        <v>16218</v>
      </c>
      <c r="F626" t="s">
        <v>16220</v>
      </c>
      <c r="G626" t="s">
        <v>16238</v>
      </c>
      <c r="H626" t="s">
        <v>16238</v>
      </c>
      <c r="I626" t="s">
        <v>16314</v>
      </c>
      <c r="J626" t="s">
        <v>16385</v>
      </c>
      <c r="K626">
        <v>0.2</v>
      </c>
      <c r="L626">
        <v>8728</v>
      </c>
      <c r="M626">
        <v>2354</v>
      </c>
      <c r="N626" t="s">
        <v>16393</v>
      </c>
      <c r="O626" s="4">
        <v>38721</v>
      </c>
      <c r="P626" s="4">
        <v>84719</v>
      </c>
      <c r="Q626" s="4">
        <v>123440</v>
      </c>
      <c r="R626" s="4">
        <v>370320</v>
      </c>
      <c r="S626" t="s">
        <v>17006</v>
      </c>
      <c r="T626" s="6">
        <v>35704</v>
      </c>
      <c r="U626" s="4">
        <v>173500</v>
      </c>
      <c r="X626" t="s">
        <v>3</v>
      </c>
      <c r="AA626" s="5" t="str">
        <f>HYPERLINK("https://www.zillow.com/homes/1277-COUNTRY-GLEN-LN-CAROL-STREAM-IL-60188_rb/","check listing")</f>
        <v>check listing</v>
      </c>
      <c r="AB626" s="5" t="str">
        <f>HYPERLINK("https://propertylookup.dupagecounty.gov/Datalets/Datalet.aspx?UseSearch=no&amp;mode=sales&amp;pin=0124402008","sales record")</f>
        <v>sales record</v>
      </c>
      <c r="AC626" t="s">
        <v>3</v>
      </c>
      <c r="AD626">
        <v>41.937067</v>
      </c>
      <c r="AE626">
        <v>-88.15249900000001</v>
      </c>
      <c r="AF626" s="5" t="str">
        <f>HYPERLINK("https://www.google.com/maps/search/?api=1&amp;query=41.937067,-88.152499","map")</f>
        <v>map</v>
      </c>
    </row>
    <row r="627" spans="1:32">
      <c r="A627" t="s">
        <v>677</v>
      </c>
      <c r="B627" t="s">
        <v>8257</v>
      </c>
      <c r="C627" t="s">
        <v>15182</v>
      </c>
      <c r="D627" t="s">
        <v>16197</v>
      </c>
      <c r="E627" t="s">
        <v>16218</v>
      </c>
      <c r="F627" t="s">
        <v>16220</v>
      </c>
      <c r="G627" t="s">
        <v>16238</v>
      </c>
      <c r="H627" t="s">
        <v>16238</v>
      </c>
      <c r="I627" t="s">
        <v>16314</v>
      </c>
      <c r="J627" t="s">
        <v>16385</v>
      </c>
      <c r="K627">
        <v>0.2</v>
      </c>
      <c r="L627">
        <v>8727</v>
      </c>
      <c r="M627">
        <v>2221</v>
      </c>
      <c r="N627" t="s">
        <v>16393</v>
      </c>
      <c r="O627" s="4">
        <v>38721</v>
      </c>
      <c r="P627" s="4">
        <v>110014</v>
      </c>
      <c r="Q627" s="4">
        <v>148735</v>
      </c>
      <c r="R627" s="4">
        <v>446205</v>
      </c>
      <c r="S627" t="s">
        <v>17007</v>
      </c>
      <c r="T627" s="6">
        <v>44652</v>
      </c>
      <c r="U627" s="4">
        <v>393000</v>
      </c>
      <c r="V627" t="s">
        <v>23739</v>
      </c>
      <c r="W627" t="s">
        <v>24034</v>
      </c>
      <c r="X627" t="s">
        <v>3</v>
      </c>
      <c r="AA627" s="5" t="str">
        <f>HYPERLINK("https://www.zillow.com/homes/1307-COUNTRY-GLEN-LN-CAROL-STREAM-IL-601884701_rb/","check listing")</f>
        <v>check listing</v>
      </c>
      <c r="AB627" s="5" t="str">
        <f>HYPERLINK("https://propertylookup.dupagecounty.gov/Datalets/Datalet.aspx?UseSearch=no&amp;mode=sales&amp;pin=0124402002","sales record")</f>
        <v>sales record</v>
      </c>
      <c r="AC627" t="s">
        <v>3</v>
      </c>
      <c r="AD627">
        <v>41.937054</v>
      </c>
      <c r="AE627">
        <v>-88.154051</v>
      </c>
      <c r="AF627" s="5" t="str">
        <f>HYPERLINK("https://www.google.com/maps/search/?api=1&amp;query=41.937054,-88.154051","map")</f>
        <v>map</v>
      </c>
    </row>
    <row r="628" spans="1:32">
      <c r="A628" t="s">
        <v>678</v>
      </c>
      <c r="B628" t="s">
        <v>8258</v>
      </c>
      <c r="C628" t="s">
        <v>15164</v>
      </c>
      <c r="D628" t="s">
        <v>16197</v>
      </c>
      <c r="E628" t="s">
        <v>16218</v>
      </c>
      <c r="F628" t="s">
        <v>16220</v>
      </c>
      <c r="G628" t="s">
        <v>16238</v>
      </c>
      <c r="H628" t="s">
        <v>16238</v>
      </c>
      <c r="I628" t="s">
        <v>16314</v>
      </c>
      <c r="J628" t="s">
        <v>16385</v>
      </c>
      <c r="K628">
        <v>0.2</v>
      </c>
      <c r="L628">
        <v>8726</v>
      </c>
      <c r="M628">
        <v>1582</v>
      </c>
      <c r="N628" t="s">
        <v>16393</v>
      </c>
      <c r="O628" s="4">
        <v>38721</v>
      </c>
      <c r="P628" s="4">
        <v>79472</v>
      </c>
      <c r="Q628" s="4">
        <v>118193</v>
      </c>
      <c r="R628" s="4">
        <v>354579</v>
      </c>
      <c r="S628" t="s">
        <v>17008</v>
      </c>
      <c r="T628" s="6">
        <v>35947</v>
      </c>
      <c r="U628" s="4">
        <v>177400</v>
      </c>
      <c r="X628" t="s">
        <v>3</v>
      </c>
      <c r="AA628" s="5" t="str">
        <f>HYPERLINK("https://www.zillow.com/homes/1267-COUNTRY-GLEN-LN-CAROL-STREAM-IL-60188_rb/","check listing")</f>
        <v>check listing</v>
      </c>
      <c r="AB628" s="5" t="str">
        <f>HYPERLINK("https://propertylookup.dupagecounty.gov/Datalets/Datalet.aspx?UseSearch=no&amp;mode=sales&amp;pin=0124402010","sales record")</f>
        <v>sales record</v>
      </c>
      <c r="AC628" t="s">
        <v>3</v>
      </c>
      <c r="AD628">
        <v>41.937072</v>
      </c>
      <c r="AE628">
        <v>-88.151982</v>
      </c>
      <c r="AF628" s="5" t="str">
        <f>HYPERLINK("https://www.google.com/maps/search/?api=1&amp;query=41.937072,-88.151982","map")</f>
        <v>map</v>
      </c>
    </row>
    <row r="629" spans="1:32">
      <c r="A629" t="s">
        <v>679</v>
      </c>
      <c r="B629" t="s">
        <v>8259</v>
      </c>
      <c r="C629" t="s">
        <v>15164</v>
      </c>
      <c r="D629" t="s">
        <v>16197</v>
      </c>
      <c r="E629" t="s">
        <v>16218</v>
      </c>
      <c r="F629" t="s">
        <v>16220</v>
      </c>
      <c r="G629" t="s">
        <v>16238</v>
      </c>
      <c r="H629" t="s">
        <v>16238</v>
      </c>
      <c r="I629" t="s">
        <v>16314</v>
      </c>
      <c r="J629" t="s">
        <v>16385</v>
      </c>
      <c r="K629">
        <v>0.2</v>
      </c>
      <c r="L629">
        <v>8724</v>
      </c>
      <c r="M629">
        <v>2539</v>
      </c>
      <c r="N629" t="s">
        <v>16393</v>
      </c>
      <c r="O629" s="4">
        <v>38721</v>
      </c>
      <c r="P629" s="4">
        <v>89921</v>
      </c>
      <c r="Q629" s="4">
        <v>128642</v>
      </c>
      <c r="R629" s="4">
        <v>385926</v>
      </c>
      <c r="S629" t="s">
        <v>17009</v>
      </c>
      <c r="T629" s="6">
        <v>32813</v>
      </c>
      <c r="U629" s="4">
        <v>148500</v>
      </c>
      <c r="X629" t="s">
        <v>3</v>
      </c>
      <c r="AA629" s="5" t="str">
        <f>HYPERLINK("https://www.zillow.com/homes/1303-COUNTRY-GLEN-LN-CAROL-STREAM-IL-60188_rb/","check listing")</f>
        <v>check listing</v>
      </c>
      <c r="AB629" s="5" t="str">
        <f>HYPERLINK("https://propertylookup.dupagecounty.gov/Datalets/Datalet.aspx?UseSearch=no&amp;mode=sales&amp;pin=0124402003","sales record")</f>
        <v>sales record</v>
      </c>
      <c r="AC629" t="s">
        <v>3</v>
      </c>
      <c r="AD629">
        <v>41.937056</v>
      </c>
      <c r="AE629">
        <v>-88.15379299999999</v>
      </c>
      <c r="AF629" s="5" t="str">
        <f>HYPERLINK("https://www.google.com/maps/search/?api=1&amp;query=41.937056,-88.153793","map")</f>
        <v>map</v>
      </c>
    </row>
    <row r="630" spans="1:32">
      <c r="A630" t="s">
        <v>680</v>
      </c>
      <c r="B630" t="s">
        <v>8260</v>
      </c>
      <c r="C630" t="s">
        <v>15181</v>
      </c>
      <c r="D630" t="s">
        <v>16197</v>
      </c>
      <c r="E630" t="s">
        <v>16218</v>
      </c>
      <c r="F630" t="s">
        <v>16220</v>
      </c>
      <c r="G630" t="s">
        <v>16238</v>
      </c>
      <c r="H630" t="s">
        <v>16238</v>
      </c>
      <c r="I630" t="s">
        <v>16314</v>
      </c>
      <c r="J630" t="s">
        <v>16385</v>
      </c>
      <c r="K630">
        <v>0.2</v>
      </c>
      <c r="L630">
        <v>8724</v>
      </c>
      <c r="M630">
        <v>2235</v>
      </c>
      <c r="N630" t="s">
        <v>16393</v>
      </c>
      <c r="O630" s="4">
        <v>38721</v>
      </c>
      <c r="P630" s="4">
        <v>105242</v>
      </c>
      <c r="Q630" s="4">
        <v>143963</v>
      </c>
      <c r="R630" s="4">
        <v>431889</v>
      </c>
      <c r="S630" t="s">
        <v>17010</v>
      </c>
      <c r="T630" s="6">
        <v>44741</v>
      </c>
      <c r="U630" s="4">
        <v>435000</v>
      </c>
      <c r="V630" t="s">
        <v>23739</v>
      </c>
      <c r="W630" t="s">
        <v>24035</v>
      </c>
      <c r="X630" t="s">
        <v>3</v>
      </c>
      <c r="AA630" s="5" t="str">
        <f>HYPERLINK("https://www.zillow.com/homes/1273-COUNTRY-GLEN-LN-CAROL-STREAM-IL-601884720_rb/","check listing")</f>
        <v>check listing</v>
      </c>
      <c r="AB630" s="5" t="str">
        <f>HYPERLINK("https://propertylookup.dupagecounty.gov/Datalets/Datalet.aspx?UseSearch=no&amp;mode=sales&amp;pin=0124402009","sales record")</f>
        <v>sales record</v>
      </c>
      <c r="AC630" t="s">
        <v>3</v>
      </c>
      <c r="AD630">
        <v>41.937069</v>
      </c>
      <c r="AE630">
        <v>-88.152241</v>
      </c>
      <c r="AF630" s="5" t="str">
        <f>HYPERLINK("https://www.google.com/maps/search/?api=1&amp;query=41.937069,-88.152241","map")</f>
        <v>map</v>
      </c>
    </row>
    <row r="631" spans="1:32">
      <c r="A631" t="s">
        <v>681</v>
      </c>
      <c r="B631" t="s">
        <v>8261</v>
      </c>
      <c r="C631" t="s">
        <v>15164</v>
      </c>
      <c r="D631" t="s">
        <v>16197</v>
      </c>
      <c r="E631" t="s">
        <v>16218</v>
      </c>
      <c r="F631" t="s">
        <v>16220</v>
      </c>
      <c r="G631" t="s">
        <v>16238</v>
      </c>
      <c r="H631" t="s">
        <v>16238</v>
      </c>
      <c r="I631" t="s">
        <v>16314</v>
      </c>
      <c r="J631" t="s">
        <v>16385</v>
      </c>
      <c r="K631">
        <v>0.2</v>
      </c>
      <c r="L631">
        <v>8724</v>
      </c>
      <c r="M631">
        <v>2143</v>
      </c>
      <c r="N631" t="s">
        <v>16393</v>
      </c>
      <c r="O631" s="4">
        <v>38721</v>
      </c>
      <c r="P631" s="4">
        <v>85722</v>
      </c>
      <c r="Q631" s="4">
        <v>124443</v>
      </c>
      <c r="R631" s="4">
        <v>373329</v>
      </c>
      <c r="S631" t="s">
        <v>17011</v>
      </c>
      <c r="T631" s="6">
        <v>38534</v>
      </c>
      <c r="U631" s="4">
        <v>291900</v>
      </c>
      <c r="V631" t="s">
        <v>23739</v>
      </c>
      <c r="W631" t="s">
        <v>24036</v>
      </c>
      <c r="X631" t="s">
        <v>3</v>
      </c>
      <c r="AA631" s="5" t="str">
        <f>HYPERLINK("https://www.zillow.com/homes/1293-COUNTRY-GLEN-LN-CAROL-STREAM-IL-60188_rb/","check listing")</f>
        <v>check listing</v>
      </c>
      <c r="AB631" s="5" t="str">
        <f>HYPERLINK("https://propertylookup.dupagecounty.gov/Datalets/Datalet.aspx?UseSearch=no&amp;mode=sales&amp;pin=0124402005","sales record")</f>
        <v>sales record</v>
      </c>
      <c r="AC631" t="s">
        <v>3</v>
      </c>
      <c r="AD631">
        <v>41.937061</v>
      </c>
      <c r="AE631">
        <v>-88.15327499999999</v>
      </c>
      <c r="AF631" s="5" t="str">
        <f>HYPERLINK("https://www.google.com/maps/search/?api=1&amp;query=41.937061,-88.153275","map")</f>
        <v>map</v>
      </c>
    </row>
    <row r="632" spans="1:32">
      <c r="A632" t="s">
        <v>682</v>
      </c>
      <c r="B632" t="s">
        <v>8262</v>
      </c>
      <c r="C632" t="s">
        <v>15164</v>
      </c>
      <c r="D632" t="s">
        <v>16197</v>
      </c>
      <c r="E632" t="s">
        <v>16218</v>
      </c>
      <c r="F632" t="s">
        <v>16220</v>
      </c>
      <c r="G632" t="s">
        <v>16238</v>
      </c>
      <c r="H632" t="s">
        <v>16238</v>
      </c>
      <c r="I632" t="s">
        <v>16314</v>
      </c>
      <c r="J632" t="s">
        <v>16385</v>
      </c>
      <c r="K632">
        <v>0.2</v>
      </c>
      <c r="L632">
        <v>8718</v>
      </c>
      <c r="M632">
        <v>1911</v>
      </c>
      <c r="N632" t="s">
        <v>16393</v>
      </c>
      <c r="O632" s="4">
        <v>38721</v>
      </c>
      <c r="P632" s="4">
        <v>88010</v>
      </c>
      <c r="Q632" s="4">
        <v>126731</v>
      </c>
      <c r="R632" s="4">
        <v>380193</v>
      </c>
      <c r="S632" t="s">
        <v>17012</v>
      </c>
      <c r="T632" s="6">
        <v>44838</v>
      </c>
      <c r="U632" s="4">
        <v>335000</v>
      </c>
      <c r="V632" t="s">
        <v>23739</v>
      </c>
      <c r="W632" t="s">
        <v>24037</v>
      </c>
      <c r="X632" t="s">
        <v>3</v>
      </c>
      <c r="AA632" s="5" t="str">
        <f>HYPERLINK("https://www.zillow.com/homes/1287-COUNTRY-GLEN-LN-CAROL-STREAM-IL-60188_rb/","check listing")</f>
        <v>check listing</v>
      </c>
      <c r="AB632" s="5" t="str">
        <f>HYPERLINK("https://propertylookup.dupagecounty.gov/Datalets/Datalet.aspx?UseSearch=no&amp;mode=sales&amp;pin=0124402006","sales record")</f>
        <v>sales record</v>
      </c>
      <c r="AC632" t="s">
        <v>3</v>
      </c>
      <c r="AD632">
        <v>41.937063</v>
      </c>
      <c r="AE632">
        <v>-88.15301700000001</v>
      </c>
      <c r="AF632" s="5" t="str">
        <f>HYPERLINK("https://www.google.com/maps/search/?api=1&amp;query=41.937063,-88.153017","map")</f>
        <v>map</v>
      </c>
    </row>
    <row r="633" spans="1:32">
      <c r="A633" t="s">
        <v>683</v>
      </c>
      <c r="B633" t="s">
        <v>8263</v>
      </c>
      <c r="C633" t="s">
        <v>15164</v>
      </c>
      <c r="D633" t="s">
        <v>16197</v>
      </c>
      <c r="E633" t="s">
        <v>16218</v>
      </c>
      <c r="F633" t="s">
        <v>16220</v>
      </c>
      <c r="G633" t="s">
        <v>16238</v>
      </c>
      <c r="H633" t="s">
        <v>16238</v>
      </c>
      <c r="I633" t="s">
        <v>16314</v>
      </c>
      <c r="J633" t="s">
        <v>16385</v>
      </c>
      <c r="K633">
        <v>0.199</v>
      </c>
      <c r="L633">
        <v>8681</v>
      </c>
      <c r="M633">
        <v>2143</v>
      </c>
      <c r="N633" t="s">
        <v>16393</v>
      </c>
      <c r="O633" s="4">
        <v>37980</v>
      </c>
      <c r="P633" s="4">
        <v>81111</v>
      </c>
      <c r="Q633" s="4">
        <v>119091</v>
      </c>
      <c r="R633" s="4">
        <v>357273</v>
      </c>
      <c r="S633" t="s">
        <v>17013</v>
      </c>
      <c r="T633" s="6">
        <v>41122</v>
      </c>
      <c r="U633" s="4">
        <v>160000</v>
      </c>
      <c r="V633" t="s">
        <v>23739</v>
      </c>
      <c r="W633" t="s">
        <v>24038</v>
      </c>
      <c r="X633" t="s">
        <v>3</v>
      </c>
      <c r="AA633" s="5" t="str">
        <f>HYPERLINK("https://www.zillow.com/homes/1419-MAPLE-RIDGE-CT-CAROL-STREAM-IL-60188_rb/","check listing")</f>
        <v>check listing</v>
      </c>
      <c r="AB633" s="5" t="str">
        <f>HYPERLINK("https://propertylookup.dupagecounty.gov/Datalets/Datalet.aspx?UseSearch=no&amp;mode=sales&amp;pin=0123403039","sales record")</f>
        <v>sales record</v>
      </c>
      <c r="AC633" t="s">
        <v>3</v>
      </c>
      <c r="AD633">
        <v>41.93625</v>
      </c>
      <c r="AE633">
        <v>-88.171818</v>
      </c>
      <c r="AF633" s="5" t="str">
        <f>HYPERLINK("https://www.google.com/maps/search/?api=1&amp;query=41.93625,-88.171818","map")</f>
        <v>map</v>
      </c>
    </row>
    <row r="634" spans="1:32">
      <c r="A634" t="s">
        <v>684</v>
      </c>
      <c r="B634" t="s">
        <v>8264</v>
      </c>
      <c r="C634" t="s">
        <v>15164</v>
      </c>
      <c r="D634" t="s">
        <v>16197</v>
      </c>
      <c r="E634" t="s">
        <v>16218</v>
      </c>
      <c r="F634" t="s">
        <v>16220</v>
      </c>
      <c r="G634" t="s">
        <v>16238</v>
      </c>
      <c r="H634" t="s">
        <v>16238</v>
      </c>
      <c r="I634" t="s">
        <v>16314</v>
      </c>
      <c r="J634" t="s">
        <v>16385</v>
      </c>
      <c r="K634">
        <v>0.199</v>
      </c>
      <c r="L634">
        <v>8677</v>
      </c>
      <c r="M634">
        <v>1847</v>
      </c>
      <c r="N634" t="s">
        <v>16393</v>
      </c>
      <c r="O634" s="4">
        <v>37045</v>
      </c>
      <c r="P634" s="4">
        <v>79014</v>
      </c>
      <c r="Q634" s="4">
        <v>116059</v>
      </c>
      <c r="R634" s="4">
        <v>348177</v>
      </c>
      <c r="S634" t="s">
        <v>17014</v>
      </c>
      <c r="T634" s="6">
        <v>42309</v>
      </c>
      <c r="U634" s="4">
        <v>226000</v>
      </c>
      <c r="V634" t="s">
        <v>23739</v>
      </c>
      <c r="W634" t="s">
        <v>24039</v>
      </c>
      <c r="X634" t="s">
        <v>3</v>
      </c>
      <c r="AA634" s="5" t="str">
        <f>HYPERLINK("https://www.zillow.com/homes/1279-BRAVE-CT-CAROL-STREAM-IL-60188_rb/","check listing")</f>
        <v>check listing</v>
      </c>
      <c r="AB634" s="5" t="str">
        <f>HYPERLINK("https://propertylookup.dupagecounty.gov/Datalets/Datalet.aspx?UseSearch=no&amp;mode=sales&amp;pin=0123404004","sales record")</f>
        <v>sales record</v>
      </c>
      <c r="AC634" t="s">
        <v>3</v>
      </c>
      <c r="AD634">
        <v>41.9366</v>
      </c>
      <c r="AE634">
        <v>-88.166653</v>
      </c>
      <c r="AF634" s="5" t="str">
        <f>HYPERLINK("https://www.google.com/maps/search/?api=1&amp;query=41.9366,-88.166653","map")</f>
        <v>map</v>
      </c>
    </row>
    <row r="635" spans="1:32">
      <c r="A635" t="s">
        <v>685</v>
      </c>
      <c r="B635" t="s">
        <v>8265</v>
      </c>
      <c r="C635" t="s">
        <v>15164</v>
      </c>
      <c r="D635" t="s">
        <v>16197</v>
      </c>
      <c r="E635" t="s">
        <v>16218</v>
      </c>
      <c r="F635" t="s">
        <v>16220</v>
      </c>
      <c r="G635" t="s">
        <v>16238</v>
      </c>
      <c r="H635" t="s">
        <v>16238</v>
      </c>
      <c r="I635" t="s">
        <v>16314</v>
      </c>
      <c r="J635" t="s">
        <v>16385</v>
      </c>
      <c r="K635">
        <v>0.199</v>
      </c>
      <c r="L635">
        <v>8675</v>
      </c>
      <c r="M635">
        <v>1995</v>
      </c>
      <c r="N635" t="s">
        <v>16393</v>
      </c>
      <c r="O635" s="4">
        <v>36878</v>
      </c>
      <c r="P635" s="4">
        <v>91450</v>
      </c>
      <c r="Q635" s="4">
        <v>128328</v>
      </c>
      <c r="R635" s="4">
        <v>384984</v>
      </c>
      <c r="S635" t="s">
        <v>17015</v>
      </c>
      <c r="T635" s="6">
        <v>33878</v>
      </c>
      <c r="U635" s="4">
        <v>131500</v>
      </c>
      <c r="X635" t="s">
        <v>3</v>
      </c>
      <c r="AA635" s="5" t="str">
        <f>HYPERLINK("https://www.zillow.com/homes/1371-BOA-TRAIL-CAROL-STREAM-IL-60188_rb/","check listing")</f>
        <v>check listing</v>
      </c>
      <c r="AB635" s="5" t="str">
        <f>HYPERLINK("https://propertylookup.dupagecounty.gov/Datalets/Datalet.aspx?UseSearch=no&amp;mode=sales&amp;pin=0123409030","sales record")</f>
        <v>sales record</v>
      </c>
      <c r="AC635" t="s">
        <v>27873</v>
      </c>
      <c r="AD635">
        <v>41.935815</v>
      </c>
      <c r="AE635">
        <v>-88.16893899999999</v>
      </c>
      <c r="AF635" s="5" t="str">
        <f>HYPERLINK("https://www.google.com/maps/search/?api=1&amp;query=41.935815,-88.168939","map")</f>
        <v>map</v>
      </c>
    </row>
    <row r="636" spans="1:32">
      <c r="A636" t="s">
        <v>686</v>
      </c>
      <c r="B636" t="s">
        <v>8266</v>
      </c>
      <c r="C636" t="s">
        <v>15164</v>
      </c>
      <c r="D636" t="s">
        <v>16197</v>
      </c>
      <c r="E636" t="s">
        <v>16218</v>
      </c>
      <c r="F636" t="s">
        <v>16220</v>
      </c>
      <c r="G636" t="s">
        <v>16238</v>
      </c>
      <c r="H636" t="s">
        <v>16238</v>
      </c>
      <c r="I636" t="s">
        <v>16314</v>
      </c>
      <c r="J636" t="s">
        <v>16385</v>
      </c>
      <c r="K636">
        <v>0.199</v>
      </c>
      <c r="L636">
        <v>8650</v>
      </c>
      <c r="M636">
        <v>1814</v>
      </c>
      <c r="N636" t="s">
        <v>16393</v>
      </c>
      <c r="O636" s="4">
        <v>37980</v>
      </c>
      <c r="P636" s="4">
        <v>82058</v>
      </c>
      <c r="Q636" s="4">
        <v>120038</v>
      </c>
      <c r="R636" s="4">
        <v>360114</v>
      </c>
      <c r="S636" t="s">
        <v>17016</v>
      </c>
      <c r="T636" s="6">
        <v>31199</v>
      </c>
      <c r="U636" s="4">
        <v>5500</v>
      </c>
      <c r="X636" t="s">
        <v>3</v>
      </c>
      <c r="AA636" s="5" t="str">
        <f>HYPERLINK("https://www.zillow.com/homes/1425-MAPLE-RIDGE-CT-CAROL-STREAM-IL-60188_rb/","check listing")</f>
        <v>check listing</v>
      </c>
      <c r="AB636" s="5" t="str">
        <f>HYPERLINK("https://propertylookup.dupagecounty.gov/Datalets/Datalet.aspx?UseSearch=no&amp;mode=sales&amp;pin=0123403038","sales record")</f>
        <v>sales record</v>
      </c>
      <c r="AC636" t="s">
        <v>3</v>
      </c>
      <c r="AD636">
        <v>41.936235</v>
      </c>
      <c r="AE636">
        <v>-88.172066</v>
      </c>
      <c r="AF636" s="5" t="str">
        <f>HYPERLINK("https://www.google.com/maps/search/?api=1&amp;query=41.936235,-88.172066","map")</f>
        <v>map</v>
      </c>
    </row>
    <row r="637" spans="1:32">
      <c r="A637" t="s">
        <v>687</v>
      </c>
      <c r="B637" t="s">
        <v>8267</v>
      </c>
      <c r="C637" t="s">
        <v>15183</v>
      </c>
      <c r="D637" t="s">
        <v>16197</v>
      </c>
      <c r="E637" t="s">
        <v>16218</v>
      </c>
      <c r="F637" t="s">
        <v>16220</v>
      </c>
      <c r="G637" t="s">
        <v>16238</v>
      </c>
      <c r="H637" t="s">
        <v>16238</v>
      </c>
      <c r="I637" t="s">
        <v>16314</v>
      </c>
      <c r="J637" t="s">
        <v>16385</v>
      </c>
      <c r="K637">
        <v>0.198</v>
      </c>
      <c r="L637">
        <v>8619</v>
      </c>
      <c r="M637">
        <v>2309</v>
      </c>
      <c r="N637" t="s">
        <v>16393</v>
      </c>
      <c r="O637" s="4">
        <v>36878</v>
      </c>
      <c r="P637" s="4">
        <v>87101</v>
      </c>
      <c r="Q637" s="4">
        <v>123979</v>
      </c>
      <c r="R637" s="4">
        <v>371937</v>
      </c>
      <c r="S637" t="s">
        <v>17017</v>
      </c>
      <c r="T637" s="6">
        <v>43282</v>
      </c>
      <c r="U637" s="4">
        <v>290000</v>
      </c>
      <c r="V637" t="s">
        <v>23739</v>
      </c>
      <c r="W637" t="s">
        <v>24040</v>
      </c>
      <c r="X637" t="s">
        <v>3</v>
      </c>
      <c r="AA637" s="5" t="str">
        <f>HYPERLINK("https://www.zillow.com/homes/1335-BOA-TRL-CAROL-STREAM-IL-601889082_rb/","check listing")</f>
        <v>check listing</v>
      </c>
      <c r="AB637" s="5" t="str">
        <f>HYPERLINK("https://propertylookup.dupagecounty.gov/Datalets/Datalet.aspx?UseSearch=no&amp;mode=sales&amp;pin=0123409040","sales record")</f>
        <v>sales record</v>
      </c>
      <c r="AC637" t="s">
        <v>3</v>
      </c>
      <c r="AD637">
        <v>41.936916</v>
      </c>
      <c r="AE637">
        <v>-88.16836000000001</v>
      </c>
      <c r="AF637" s="5" t="str">
        <f>HYPERLINK("https://www.google.com/maps/search/?api=1&amp;query=41.936916,-88.16836","map")</f>
        <v>map</v>
      </c>
    </row>
    <row r="638" spans="1:32">
      <c r="A638" t="s">
        <v>688</v>
      </c>
      <c r="B638" t="s">
        <v>8268</v>
      </c>
      <c r="C638" t="s">
        <v>15164</v>
      </c>
      <c r="D638" t="s">
        <v>16197</v>
      </c>
      <c r="E638" t="s">
        <v>16218</v>
      </c>
      <c r="F638" t="s">
        <v>16220</v>
      </c>
      <c r="G638" t="s">
        <v>16238</v>
      </c>
      <c r="H638" t="s">
        <v>16238</v>
      </c>
      <c r="I638" t="s">
        <v>16314</v>
      </c>
      <c r="J638" t="s">
        <v>16385</v>
      </c>
      <c r="K638">
        <v>0.197</v>
      </c>
      <c r="L638">
        <v>8564</v>
      </c>
      <c r="M638">
        <v>2344</v>
      </c>
      <c r="N638" t="s">
        <v>16393</v>
      </c>
      <c r="O638" s="4">
        <v>38721</v>
      </c>
      <c r="P638" s="4">
        <v>82591</v>
      </c>
      <c r="Q638" s="4">
        <v>121312</v>
      </c>
      <c r="R638" s="4">
        <v>363936</v>
      </c>
      <c r="S638" t="s">
        <v>17018</v>
      </c>
      <c r="T638" s="6">
        <v>38047</v>
      </c>
      <c r="U638" s="4">
        <v>273000</v>
      </c>
      <c r="V638" t="s">
        <v>23739</v>
      </c>
      <c r="W638" t="s">
        <v>17018</v>
      </c>
      <c r="X638" t="s">
        <v>3</v>
      </c>
      <c r="AA638" s="5" t="str">
        <f>HYPERLINK("https://www.zillow.com/homes/1263-COUNTRY-GLEN-LN-CAROL-STREAM-IL-60188_rb/","check listing")</f>
        <v>check listing</v>
      </c>
      <c r="AB638" s="5" t="str">
        <f>HYPERLINK("https://propertylookup.dupagecounty.gov/Datalets/Datalet.aspx?UseSearch=no&amp;mode=sales&amp;pin=0124402011","sales record")</f>
        <v>sales record</v>
      </c>
      <c r="AC638" t="s">
        <v>3</v>
      </c>
      <c r="AD638">
        <v>41.937073</v>
      </c>
      <c r="AE638">
        <v>-88.151726</v>
      </c>
      <c r="AF638" s="5" t="str">
        <f>HYPERLINK("https://www.google.com/maps/search/?api=1&amp;query=41.937073,-88.151726","map")</f>
        <v>map</v>
      </c>
    </row>
    <row r="639" spans="1:32">
      <c r="A639" t="s">
        <v>689</v>
      </c>
      <c r="B639" t="s">
        <v>8269</v>
      </c>
      <c r="C639" t="s">
        <v>15164</v>
      </c>
      <c r="D639" t="s">
        <v>16197</v>
      </c>
      <c r="E639" t="s">
        <v>16218</v>
      </c>
      <c r="F639" t="s">
        <v>16220</v>
      </c>
      <c r="G639" t="s">
        <v>16238</v>
      </c>
      <c r="H639" t="s">
        <v>16238</v>
      </c>
      <c r="I639" t="s">
        <v>16314</v>
      </c>
      <c r="J639" t="s">
        <v>16385</v>
      </c>
      <c r="K639">
        <v>0.196</v>
      </c>
      <c r="L639">
        <v>8554</v>
      </c>
      <c r="M639">
        <v>2145</v>
      </c>
      <c r="N639" t="s">
        <v>16393</v>
      </c>
      <c r="O639" s="4">
        <v>37045</v>
      </c>
      <c r="P639" s="4">
        <v>85352</v>
      </c>
      <c r="Q639" s="4">
        <v>122397</v>
      </c>
      <c r="R639" s="4">
        <v>367191</v>
      </c>
      <c r="S639" t="s">
        <v>17019</v>
      </c>
      <c r="T639" s="6">
        <v>40969</v>
      </c>
      <c r="U639" s="4">
        <v>161550</v>
      </c>
      <c r="V639" t="s">
        <v>16232</v>
      </c>
      <c r="W639" t="s">
        <v>24041</v>
      </c>
      <c r="X639" t="s">
        <v>3</v>
      </c>
      <c r="AA639" s="5" t="str">
        <f>HYPERLINK("https://www.zillow.com/homes/1292-BRAVE-CT-CAROL-STREAM-IL-60188_rb/","check listing")</f>
        <v>check listing</v>
      </c>
      <c r="AB639" s="5" t="str">
        <f>HYPERLINK("https://propertylookup.dupagecounty.gov/Datalets/Datalet.aspx?UseSearch=no&amp;mode=sales&amp;pin=0123404012","sales record")</f>
        <v>sales record</v>
      </c>
      <c r="AC639" t="s">
        <v>3</v>
      </c>
      <c r="AD639">
        <v>41.935296</v>
      </c>
      <c r="AE639">
        <v>-88.16660299999999</v>
      </c>
      <c r="AF639" s="5" t="str">
        <f>HYPERLINK("https://www.google.com/maps/search/?api=1&amp;query=41.935296,-88.166603","map")</f>
        <v>map</v>
      </c>
    </row>
    <row r="640" spans="1:32">
      <c r="A640" t="s">
        <v>690</v>
      </c>
      <c r="B640" t="s">
        <v>8270</v>
      </c>
      <c r="C640" t="s">
        <v>15164</v>
      </c>
      <c r="D640" t="s">
        <v>16197</v>
      </c>
      <c r="E640" t="s">
        <v>16218</v>
      </c>
      <c r="F640" t="s">
        <v>16220</v>
      </c>
      <c r="G640" t="s">
        <v>16238</v>
      </c>
      <c r="H640" t="s">
        <v>16238</v>
      </c>
      <c r="I640" t="s">
        <v>16314</v>
      </c>
      <c r="J640" t="s">
        <v>16385</v>
      </c>
      <c r="K640">
        <v>0.196</v>
      </c>
      <c r="L640">
        <v>8553</v>
      </c>
      <c r="M640">
        <v>2098</v>
      </c>
      <c r="N640" t="s">
        <v>16393</v>
      </c>
      <c r="O640" s="4">
        <v>37045</v>
      </c>
      <c r="P640" s="4">
        <v>98088</v>
      </c>
      <c r="Q640" s="4">
        <v>135133</v>
      </c>
      <c r="R640" s="4">
        <v>405399</v>
      </c>
      <c r="S640" t="s">
        <v>17020</v>
      </c>
      <c r="T640" s="6">
        <v>34425</v>
      </c>
      <c r="U640" s="4">
        <v>158000</v>
      </c>
      <c r="X640" t="s">
        <v>3</v>
      </c>
      <c r="AA640" s="5" t="str">
        <f>HYPERLINK("https://www.zillow.com/homes/1271-SPRING-VALLEY-DR-CAROL-STREAM-IL-60188_rb/","check listing")</f>
        <v>check listing</v>
      </c>
      <c r="AB640" s="5" t="str">
        <f>HYPERLINK("https://propertylookup.dupagecounty.gov/Datalets/Datalet.aspx?UseSearch=no&amp;mode=sales&amp;pin=0123407002","sales record")</f>
        <v>sales record</v>
      </c>
      <c r="AC640" t="s">
        <v>3</v>
      </c>
      <c r="AD640">
        <v>41.936889</v>
      </c>
      <c r="AE640">
        <v>-88.16537599999999</v>
      </c>
      <c r="AF640" s="5" t="str">
        <f>HYPERLINK("https://www.google.com/maps/search/?api=1&amp;query=41.936889,-88.165376","map")</f>
        <v>map</v>
      </c>
    </row>
    <row r="641" spans="1:32">
      <c r="A641" t="s">
        <v>691</v>
      </c>
      <c r="B641" t="s">
        <v>8271</v>
      </c>
      <c r="C641" t="s">
        <v>15164</v>
      </c>
      <c r="D641" t="s">
        <v>16197</v>
      </c>
      <c r="E641" t="s">
        <v>16218</v>
      </c>
      <c r="F641" t="s">
        <v>16220</v>
      </c>
      <c r="G641" t="s">
        <v>16238</v>
      </c>
      <c r="H641" t="s">
        <v>16238</v>
      </c>
      <c r="I641" t="s">
        <v>16314</v>
      </c>
      <c r="J641" t="s">
        <v>16385</v>
      </c>
      <c r="K641">
        <v>0.195</v>
      </c>
      <c r="L641">
        <v>8483</v>
      </c>
      <c r="M641">
        <v>1729</v>
      </c>
      <c r="N641" t="s">
        <v>16393</v>
      </c>
      <c r="O641" s="4">
        <v>33761</v>
      </c>
      <c r="P641" s="4">
        <v>94586</v>
      </c>
      <c r="Q641" s="4">
        <v>128347</v>
      </c>
      <c r="R641" s="4">
        <v>385041</v>
      </c>
      <c r="S641" t="s">
        <v>17021</v>
      </c>
      <c r="T641" s="6">
        <v>36465</v>
      </c>
      <c r="U641" s="4">
        <v>173000</v>
      </c>
      <c r="X641" t="s">
        <v>3</v>
      </c>
      <c r="AA641" s="5" t="str">
        <f>HYPERLINK("https://www.zillow.com/homes/1355-CARIBOU-TR-CAROL-STREAM-IL-60188_rb/","check listing")</f>
        <v>check listing</v>
      </c>
      <c r="AB641" s="5" t="str">
        <f>HYPERLINK("https://propertylookup.dupagecounty.gov/Datalets/Datalet.aspx?UseSearch=no&amp;mode=sales&amp;pin=0123404027","sales record")</f>
        <v>sales record</v>
      </c>
      <c r="AC641" t="s">
        <v>27873</v>
      </c>
      <c r="AD641">
        <v>41.93497</v>
      </c>
      <c r="AE641">
        <v>-88.169369</v>
      </c>
      <c r="AF641" s="5" t="str">
        <f>HYPERLINK("https://www.google.com/maps/search/?api=1&amp;query=41.93497,-88.169369","map")</f>
        <v>map</v>
      </c>
    </row>
    <row r="642" spans="1:32">
      <c r="A642" t="s">
        <v>692</v>
      </c>
      <c r="B642" t="s">
        <v>8272</v>
      </c>
      <c r="C642" t="s">
        <v>15164</v>
      </c>
      <c r="D642" t="s">
        <v>16197</v>
      </c>
      <c r="E642" t="s">
        <v>16218</v>
      </c>
      <c r="F642" t="s">
        <v>16220</v>
      </c>
      <c r="G642" t="s">
        <v>16238</v>
      </c>
      <c r="H642" t="s">
        <v>16238</v>
      </c>
      <c r="I642" t="s">
        <v>16314</v>
      </c>
      <c r="J642" t="s">
        <v>16385</v>
      </c>
      <c r="K642">
        <v>0.194</v>
      </c>
      <c r="L642">
        <v>8453</v>
      </c>
      <c r="M642">
        <v>2144</v>
      </c>
      <c r="N642" t="s">
        <v>16393</v>
      </c>
      <c r="O642" s="4">
        <v>41538</v>
      </c>
      <c r="P642" s="4">
        <v>105264</v>
      </c>
      <c r="Q642" s="4">
        <v>146802</v>
      </c>
      <c r="R642" s="4">
        <v>440406</v>
      </c>
      <c r="S642" t="s">
        <v>17022</v>
      </c>
      <c r="T642" s="6">
        <v>36434</v>
      </c>
      <c r="U642" s="4">
        <v>185000</v>
      </c>
      <c r="X642" t="s">
        <v>3</v>
      </c>
      <c r="AA642" s="5" t="str">
        <f>HYPERLINK("https://www.zillow.com/homes/1264-PORTCHESTER-CIR-CAROL-STREAM-IL-60188_rb/","check listing")</f>
        <v>check listing</v>
      </c>
      <c r="AB642" s="5" t="str">
        <f>HYPERLINK("https://propertylookup.dupagecounty.gov/Datalets/Datalet.aspx?UseSearch=no&amp;mode=sales&amp;pin=0124309002","sales record")</f>
        <v>sales record</v>
      </c>
      <c r="AC642" t="s">
        <v>3</v>
      </c>
      <c r="AD642">
        <v>41.936597</v>
      </c>
      <c r="AE642">
        <v>-88.164731</v>
      </c>
      <c r="AF642" s="5" t="str">
        <f>HYPERLINK("https://www.google.com/maps/search/?api=1&amp;query=41.936597,-88.164731","map")</f>
        <v>map</v>
      </c>
    </row>
    <row r="643" spans="1:32">
      <c r="A643" t="s">
        <v>693</v>
      </c>
      <c r="B643" t="s">
        <v>8273</v>
      </c>
      <c r="C643" t="s">
        <v>15164</v>
      </c>
      <c r="D643" t="s">
        <v>16197</v>
      </c>
      <c r="E643" t="s">
        <v>16218</v>
      </c>
      <c r="F643" t="s">
        <v>16220</v>
      </c>
      <c r="G643" t="s">
        <v>16238</v>
      </c>
      <c r="H643" t="s">
        <v>16238</v>
      </c>
      <c r="I643" t="s">
        <v>16314</v>
      </c>
      <c r="J643" t="s">
        <v>16385</v>
      </c>
      <c r="K643">
        <v>0.193</v>
      </c>
      <c r="L643">
        <v>8400</v>
      </c>
      <c r="M643">
        <v>1484</v>
      </c>
      <c r="N643" t="s">
        <v>16393</v>
      </c>
      <c r="O643" s="4">
        <v>36878</v>
      </c>
      <c r="P643" s="4">
        <v>62768</v>
      </c>
      <c r="Q643" s="4">
        <v>99646</v>
      </c>
      <c r="R643" s="4">
        <v>298938</v>
      </c>
      <c r="S643" t="s">
        <v>17023</v>
      </c>
      <c r="T643" s="6">
        <v>40940</v>
      </c>
      <c r="U643" s="4">
        <v>127000</v>
      </c>
      <c r="V643" t="s">
        <v>16232</v>
      </c>
      <c r="W643" t="s">
        <v>24042</v>
      </c>
      <c r="X643" t="s">
        <v>3</v>
      </c>
      <c r="AA643" s="5" t="str">
        <f>HYPERLINK("https://www.zillow.com/homes/1334-BIG-HORN-TR-CAROL-STREAM-IL-60188_rb/","check listing")</f>
        <v>check listing</v>
      </c>
      <c r="AB643" s="5" t="str">
        <f>HYPERLINK("https://propertylookup.dupagecounty.gov/Datalets/Datalet.aspx?UseSearch=no&amp;mode=sales&amp;pin=0123214028","sales record")</f>
        <v>sales record</v>
      </c>
      <c r="AC643" t="s">
        <v>3</v>
      </c>
      <c r="AD643">
        <v>41.937376</v>
      </c>
      <c r="AE643">
        <v>-88.16798</v>
      </c>
      <c r="AF643" s="5" t="str">
        <f>HYPERLINK("https://www.google.com/maps/search/?api=1&amp;query=41.937376,-88.16798","map")</f>
        <v>map</v>
      </c>
    </row>
    <row r="644" spans="1:32">
      <c r="A644" t="s">
        <v>694</v>
      </c>
      <c r="B644" t="s">
        <v>8274</v>
      </c>
      <c r="C644" t="s">
        <v>15164</v>
      </c>
      <c r="D644" t="s">
        <v>16197</v>
      </c>
      <c r="E644" t="s">
        <v>16218</v>
      </c>
      <c r="F644" t="s">
        <v>16220</v>
      </c>
      <c r="G644" t="s">
        <v>16238</v>
      </c>
      <c r="H644" t="s">
        <v>16238</v>
      </c>
      <c r="I644" t="s">
        <v>16314</v>
      </c>
      <c r="J644" t="s">
        <v>16385</v>
      </c>
      <c r="K644">
        <v>0.193</v>
      </c>
      <c r="L644">
        <v>8386</v>
      </c>
      <c r="M644">
        <v>1979</v>
      </c>
      <c r="N644" t="s">
        <v>16393</v>
      </c>
      <c r="O644" s="4">
        <v>36878</v>
      </c>
      <c r="P644" s="4">
        <v>91522</v>
      </c>
      <c r="Q644" s="4">
        <v>128400</v>
      </c>
      <c r="R644" s="4">
        <v>385200</v>
      </c>
      <c r="S644" t="s">
        <v>17024</v>
      </c>
      <c r="T644" s="6">
        <v>39965</v>
      </c>
      <c r="U644" s="4">
        <v>260000</v>
      </c>
      <c r="V644" t="s">
        <v>23739</v>
      </c>
      <c r="W644" t="s">
        <v>24043</v>
      </c>
      <c r="X644" t="s">
        <v>3</v>
      </c>
      <c r="AA644" s="5" t="str">
        <f>HYPERLINK("https://www.zillow.com/homes/1328-BOA-TRL-CAROL-STREAM-IL-60188_rb/","check listing")</f>
        <v>check listing</v>
      </c>
      <c r="AB644" s="5" t="str">
        <f>HYPERLINK("https://propertylookup.dupagecounty.gov/Datalets/Datalet.aspx?UseSearch=no&amp;mode=sales&amp;pin=0123404111","sales record")</f>
        <v>sales record</v>
      </c>
      <c r="AC644" t="s">
        <v>3</v>
      </c>
      <c r="AD644">
        <v>41.936649</v>
      </c>
      <c r="AE644">
        <v>-88.167321</v>
      </c>
      <c r="AF644" s="5" t="str">
        <f>HYPERLINK("https://www.google.com/maps/search/?api=1&amp;query=41.936649,-88.167321","map")</f>
        <v>map</v>
      </c>
    </row>
    <row r="645" spans="1:32">
      <c r="A645" t="s">
        <v>695</v>
      </c>
      <c r="B645" t="s">
        <v>8275</v>
      </c>
      <c r="C645" t="s">
        <v>15172</v>
      </c>
      <c r="D645" t="s">
        <v>16197</v>
      </c>
      <c r="E645" t="s">
        <v>16218</v>
      </c>
      <c r="F645" t="s">
        <v>16220</v>
      </c>
      <c r="G645" t="s">
        <v>16238</v>
      </c>
      <c r="H645" t="s">
        <v>16238</v>
      </c>
      <c r="I645" t="s">
        <v>16314</v>
      </c>
      <c r="J645" t="s">
        <v>16385</v>
      </c>
      <c r="K645">
        <v>0.192</v>
      </c>
      <c r="L645">
        <v>8369</v>
      </c>
      <c r="M645">
        <v>1978</v>
      </c>
      <c r="N645" t="s">
        <v>16393</v>
      </c>
      <c r="O645" s="4">
        <v>36878</v>
      </c>
      <c r="P645" s="4">
        <v>62445</v>
      </c>
      <c r="Q645" s="4">
        <v>99323</v>
      </c>
      <c r="R645" s="4">
        <v>297969</v>
      </c>
      <c r="S645" t="s">
        <v>17025</v>
      </c>
      <c r="T645" s="6">
        <v>44621</v>
      </c>
      <c r="U645" s="4">
        <v>300000</v>
      </c>
      <c r="V645" t="s">
        <v>23739</v>
      </c>
      <c r="W645" t="s">
        <v>24044</v>
      </c>
      <c r="X645" t="s">
        <v>3</v>
      </c>
      <c r="AA645" s="5" t="str">
        <f>HYPERLINK("https://www.zillow.com/homes/1330-BOA-TRL-CAROL-STREAM-IL-601889081_rb/","check listing")</f>
        <v>check listing</v>
      </c>
      <c r="AB645" s="5" t="str">
        <f>HYPERLINK("https://propertylookup.dupagecounty.gov/Datalets/Datalet.aspx?UseSearch=no&amp;mode=sales&amp;pin=0123404110","sales record")</f>
        <v>sales record</v>
      </c>
      <c r="AC645" t="s">
        <v>3</v>
      </c>
      <c r="AD645">
        <v>41.936542</v>
      </c>
      <c r="AE645">
        <v>-88.16744</v>
      </c>
      <c r="AF645" s="5" t="str">
        <f>HYPERLINK("https://www.google.com/maps/search/?api=1&amp;query=41.936542,-88.16744","map")</f>
        <v>map</v>
      </c>
    </row>
    <row r="646" spans="1:32">
      <c r="A646" t="s">
        <v>696</v>
      </c>
      <c r="B646" t="s">
        <v>8276</v>
      </c>
      <c r="C646" t="s">
        <v>15184</v>
      </c>
      <c r="D646" t="s">
        <v>16197</v>
      </c>
      <c r="E646" t="s">
        <v>16218</v>
      </c>
      <c r="F646" t="s">
        <v>16220</v>
      </c>
      <c r="G646" t="s">
        <v>16238</v>
      </c>
      <c r="H646" t="s">
        <v>16238</v>
      </c>
      <c r="I646" t="s">
        <v>16314</v>
      </c>
      <c r="J646" t="s">
        <v>16385</v>
      </c>
      <c r="K646">
        <v>0.192</v>
      </c>
      <c r="L646">
        <v>8347</v>
      </c>
      <c r="M646">
        <v>1904</v>
      </c>
      <c r="N646" t="s">
        <v>16393</v>
      </c>
      <c r="O646" s="4">
        <v>37045</v>
      </c>
      <c r="P646" s="4">
        <v>94769</v>
      </c>
      <c r="Q646" s="4">
        <v>131814</v>
      </c>
      <c r="R646" s="4">
        <v>395442</v>
      </c>
      <c r="S646" t="s">
        <v>17026</v>
      </c>
      <c r="T646" s="6">
        <v>43831</v>
      </c>
      <c r="U646" s="4">
        <v>340000</v>
      </c>
      <c r="V646" t="s">
        <v>23739</v>
      </c>
      <c r="W646" t="s">
        <v>17026</v>
      </c>
      <c r="X646" t="s">
        <v>3</v>
      </c>
      <c r="AA646" s="5" t="str">
        <f>HYPERLINK("https://www.zillow.com/homes/1275-SPRING-VALLEY-DR-CAROL-STREAM-IL-601889025_rb/","check listing")</f>
        <v>check listing</v>
      </c>
      <c r="AB646" s="5" t="str">
        <f>HYPERLINK("https://propertylookup.dupagecounty.gov/Datalets/Datalet.aspx?UseSearch=no&amp;mode=sales&amp;pin=0123407001","sales record")</f>
        <v>sales record</v>
      </c>
      <c r="AC646" t="s">
        <v>3</v>
      </c>
      <c r="AD646">
        <v>41.937064</v>
      </c>
      <c r="AE646">
        <v>-88.165463</v>
      </c>
      <c r="AF646" s="5" t="str">
        <f>HYPERLINK("https://www.google.com/maps/search/?api=1&amp;query=41.937064,-88.165463","map")</f>
        <v>map</v>
      </c>
    </row>
    <row r="647" spans="1:32">
      <c r="A647" t="s">
        <v>697</v>
      </c>
      <c r="B647" t="s">
        <v>8277</v>
      </c>
      <c r="C647" t="s">
        <v>15184</v>
      </c>
      <c r="D647" t="s">
        <v>16197</v>
      </c>
      <c r="E647" t="s">
        <v>16218</v>
      </c>
      <c r="F647" t="s">
        <v>16220</v>
      </c>
      <c r="G647" t="s">
        <v>16238</v>
      </c>
      <c r="H647" t="s">
        <v>16238</v>
      </c>
      <c r="I647" t="s">
        <v>16314</v>
      </c>
      <c r="J647" t="s">
        <v>16385</v>
      </c>
      <c r="K647">
        <v>0.192</v>
      </c>
      <c r="L647">
        <v>8346</v>
      </c>
      <c r="M647">
        <v>2140</v>
      </c>
      <c r="N647" t="s">
        <v>16393</v>
      </c>
      <c r="O647" s="4">
        <v>37045</v>
      </c>
      <c r="P647" s="4">
        <v>91379</v>
      </c>
      <c r="Q647" s="4">
        <v>128424</v>
      </c>
      <c r="R647" s="4">
        <v>385272</v>
      </c>
      <c r="S647" t="s">
        <v>17027</v>
      </c>
      <c r="T647" s="6">
        <v>43647</v>
      </c>
      <c r="U647" s="4">
        <v>275000</v>
      </c>
      <c r="V647" t="s">
        <v>23739</v>
      </c>
      <c r="W647" t="s">
        <v>24045</v>
      </c>
      <c r="X647" t="s">
        <v>3</v>
      </c>
      <c r="AA647" s="5" t="str">
        <f>HYPERLINK("https://www.zillow.com/homes/1287-SPRING-VALLEY-DR-CAROL-STREAM-IL-601889025_rb/","check listing")</f>
        <v>check listing</v>
      </c>
      <c r="AB647" s="5" t="str">
        <f>HYPERLINK("https://propertylookup.dupagecounty.gov/Datalets/Datalet.aspx?UseSearch=no&amp;mode=sales&amp;pin=0123207006","sales record")</f>
        <v>sales record</v>
      </c>
      <c r="AC647" t="s">
        <v>3</v>
      </c>
      <c r="AD647">
        <v>41.937484</v>
      </c>
      <c r="AE647">
        <v>-88.165606</v>
      </c>
      <c r="AF647" s="5" t="str">
        <f>HYPERLINK("https://www.google.com/maps/search/?api=1&amp;query=41.937484,-88.165606","map")</f>
        <v>map</v>
      </c>
    </row>
    <row r="648" spans="1:32">
      <c r="A648" t="s">
        <v>698</v>
      </c>
      <c r="B648" t="s">
        <v>8278</v>
      </c>
      <c r="C648" t="s">
        <v>15164</v>
      </c>
      <c r="D648" t="s">
        <v>16197</v>
      </c>
      <c r="E648" t="s">
        <v>16218</v>
      </c>
      <c r="F648" t="s">
        <v>16220</v>
      </c>
      <c r="G648" t="s">
        <v>16238</v>
      </c>
      <c r="H648" t="s">
        <v>16238</v>
      </c>
      <c r="I648" t="s">
        <v>16314</v>
      </c>
      <c r="J648" t="s">
        <v>16385</v>
      </c>
      <c r="K648">
        <v>0.192</v>
      </c>
      <c r="L648">
        <v>8344</v>
      </c>
      <c r="M648">
        <v>2453</v>
      </c>
      <c r="N648" t="s">
        <v>16393</v>
      </c>
      <c r="O648" s="4">
        <v>37045</v>
      </c>
      <c r="P648" s="4">
        <v>90744</v>
      </c>
      <c r="Q648" s="4">
        <v>127789</v>
      </c>
      <c r="R648" s="4">
        <v>383367</v>
      </c>
      <c r="S648" t="s">
        <v>17028</v>
      </c>
      <c r="T648" s="6">
        <v>42248</v>
      </c>
      <c r="U648" s="4">
        <v>212000</v>
      </c>
      <c r="V648" t="s">
        <v>23739</v>
      </c>
      <c r="W648" t="s">
        <v>24046</v>
      </c>
      <c r="X648" t="s">
        <v>3</v>
      </c>
      <c r="AA648" s="5" t="str">
        <f>HYPERLINK("https://www.zillow.com/homes/1281-SPRING-VALLEY-DR-CAROL-STREAM-IL-60188_rb/","check listing")</f>
        <v>check listing</v>
      </c>
      <c r="AB648" s="5" t="str">
        <f>HYPERLINK("https://propertylookup.dupagecounty.gov/Datalets/Datalet.aspx?UseSearch=no&amp;mode=sales&amp;pin=0123207007","sales record")</f>
        <v>sales record</v>
      </c>
      <c r="AC648" t="s">
        <v>3</v>
      </c>
      <c r="AD648">
        <v>41.937317</v>
      </c>
      <c r="AE648">
        <v>-88.165493</v>
      </c>
      <c r="AF648" s="5" t="str">
        <f>HYPERLINK("https://www.google.com/maps/search/?api=1&amp;query=41.937317,-88.165493","map")</f>
        <v>map</v>
      </c>
    </row>
    <row r="649" spans="1:32">
      <c r="A649" t="s">
        <v>699</v>
      </c>
      <c r="B649" t="s">
        <v>8279</v>
      </c>
      <c r="C649" t="s">
        <v>15164</v>
      </c>
      <c r="D649" t="s">
        <v>16197</v>
      </c>
      <c r="E649" t="s">
        <v>16218</v>
      </c>
      <c r="F649" t="s">
        <v>16220</v>
      </c>
      <c r="G649" t="s">
        <v>16238</v>
      </c>
      <c r="H649" t="s">
        <v>16238</v>
      </c>
      <c r="I649" t="s">
        <v>16314</v>
      </c>
      <c r="J649" t="s">
        <v>16385</v>
      </c>
      <c r="K649">
        <v>0.191</v>
      </c>
      <c r="L649">
        <v>8329</v>
      </c>
      <c r="M649">
        <v>2078</v>
      </c>
      <c r="N649" t="s">
        <v>16393</v>
      </c>
      <c r="O649" s="4">
        <v>41538</v>
      </c>
      <c r="P649" s="4">
        <v>108260</v>
      </c>
      <c r="Q649" s="4">
        <v>149798</v>
      </c>
      <c r="R649" s="4">
        <v>449394</v>
      </c>
      <c r="S649" t="s">
        <v>17029</v>
      </c>
      <c r="T649" s="6">
        <v>45152</v>
      </c>
      <c r="U649" s="4">
        <v>380000</v>
      </c>
      <c r="V649" t="s">
        <v>23739</v>
      </c>
      <c r="W649" t="s">
        <v>24047</v>
      </c>
      <c r="X649" t="s">
        <v>3</v>
      </c>
      <c r="AA649" s="5" t="str">
        <f>HYPERLINK("https://www.zillow.com/homes/1220-PORTCHESTER-CIR-CAROL-STREAM-IL-60188_rb/","check listing")</f>
        <v>check listing</v>
      </c>
      <c r="AB649" s="5" t="str">
        <f>HYPERLINK("https://propertylookup.dupagecounty.gov/Datalets/Datalet.aspx?UseSearch=no&amp;mode=sales&amp;pin=0124309009","sales record")</f>
        <v>sales record</v>
      </c>
      <c r="AC649" t="s">
        <v>3</v>
      </c>
      <c r="AD649">
        <v>41.935111</v>
      </c>
      <c r="AE649">
        <v>-88.164751</v>
      </c>
      <c r="AF649" s="5" t="str">
        <f>HYPERLINK("https://www.google.com/maps/search/?api=1&amp;query=41.935111,-88.164751","map")</f>
        <v>map</v>
      </c>
    </row>
    <row r="650" spans="1:32">
      <c r="A650" t="s">
        <v>700</v>
      </c>
      <c r="B650" t="s">
        <v>8280</v>
      </c>
      <c r="C650" t="s">
        <v>15177</v>
      </c>
      <c r="D650" t="s">
        <v>16197</v>
      </c>
      <c r="E650" t="s">
        <v>16218</v>
      </c>
      <c r="F650" t="s">
        <v>16220</v>
      </c>
      <c r="G650" t="s">
        <v>16238</v>
      </c>
      <c r="H650" t="s">
        <v>16238</v>
      </c>
      <c r="I650" t="s">
        <v>16314</v>
      </c>
      <c r="J650" t="s">
        <v>16385</v>
      </c>
      <c r="K650">
        <v>0.19</v>
      </c>
      <c r="L650">
        <v>8296</v>
      </c>
      <c r="M650">
        <v>2332</v>
      </c>
      <c r="N650" t="s">
        <v>16393</v>
      </c>
      <c r="O650" s="4">
        <v>37045</v>
      </c>
      <c r="P650" s="4">
        <v>91174</v>
      </c>
      <c r="Q650" s="4">
        <v>128219</v>
      </c>
      <c r="R650" s="4">
        <v>384657</v>
      </c>
      <c r="S650" t="s">
        <v>17030</v>
      </c>
      <c r="T650" s="6">
        <v>42948</v>
      </c>
      <c r="U650" s="4">
        <v>273000</v>
      </c>
      <c r="V650" t="s">
        <v>23740</v>
      </c>
      <c r="W650" t="s">
        <v>24048</v>
      </c>
      <c r="X650" t="s">
        <v>3</v>
      </c>
      <c r="AA650" s="5" t="str">
        <f>HYPERLINK("https://www.zillow.com/homes/1278-SPRING-VALLEY-DR-CAROL-STREAM-IL-601889053_rb/","check listing")</f>
        <v>check listing</v>
      </c>
      <c r="AB650" s="5" t="str">
        <f>HYPERLINK("https://propertylookup.dupagecounty.gov/Datalets/Datalet.aspx?UseSearch=no&amp;mode=sales&amp;pin=0123404001","sales record")</f>
        <v>sales record</v>
      </c>
      <c r="AC650" t="s">
        <v>3</v>
      </c>
      <c r="AD650">
        <v>41.937052</v>
      </c>
      <c r="AE650">
        <v>-88.166152</v>
      </c>
      <c r="AF650" s="5" t="str">
        <f>HYPERLINK("https://www.google.com/maps/search/?api=1&amp;query=41.937052,-88.166152","map")</f>
        <v>map</v>
      </c>
    </row>
    <row r="651" spans="1:32">
      <c r="A651" t="s">
        <v>701</v>
      </c>
      <c r="B651" t="s">
        <v>8281</v>
      </c>
      <c r="C651" t="s">
        <v>15164</v>
      </c>
      <c r="D651" t="s">
        <v>16197</v>
      </c>
      <c r="E651" t="s">
        <v>16218</v>
      </c>
      <c r="F651" t="s">
        <v>16220</v>
      </c>
      <c r="G651" t="s">
        <v>16238</v>
      </c>
      <c r="H651" t="s">
        <v>16238</v>
      </c>
      <c r="I651" t="s">
        <v>16314</v>
      </c>
      <c r="J651" t="s">
        <v>16385</v>
      </c>
      <c r="K651">
        <v>0.19</v>
      </c>
      <c r="L651">
        <v>8286</v>
      </c>
      <c r="M651">
        <v>1979</v>
      </c>
      <c r="N651" t="s">
        <v>16393</v>
      </c>
      <c r="O651" s="4">
        <v>36878</v>
      </c>
      <c r="P651" s="4">
        <v>83950</v>
      </c>
      <c r="Q651" s="4">
        <v>120828</v>
      </c>
      <c r="R651" s="4">
        <v>362484</v>
      </c>
      <c r="S651" t="s">
        <v>17031</v>
      </c>
      <c r="T651" s="6">
        <v>36008</v>
      </c>
      <c r="U651" s="4">
        <v>153500</v>
      </c>
      <c r="X651" t="s">
        <v>3</v>
      </c>
      <c r="AA651" s="5" t="str">
        <f>HYPERLINK("https://www.zillow.com/homes/1308-SPRING-VALLEY-DR-CAROL-STREAM-IL-60188_rb/","check listing")</f>
        <v>check listing</v>
      </c>
      <c r="AB651" s="5" t="str">
        <f>HYPERLINK("https://propertylookup.dupagecounty.gov/Datalets/Datalet.aspx?UseSearch=no&amp;mode=sales&amp;pin=0123214036","sales record")</f>
        <v>sales record</v>
      </c>
      <c r="AC651" t="s">
        <v>3</v>
      </c>
      <c r="AD651">
        <v>41.937658</v>
      </c>
      <c r="AE651">
        <v>-88.166837</v>
      </c>
      <c r="AF651" s="5" t="str">
        <f>HYPERLINK("https://www.google.com/maps/search/?api=1&amp;query=41.937658,-88.166837","map")</f>
        <v>map</v>
      </c>
    </row>
    <row r="652" spans="1:32">
      <c r="A652" t="s">
        <v>702</v>
      </c>
      <c r="B652" t="s">
        <v>8282</v>
      </c>
      <c r="C652" t="s">
        <v>15183</v>
      </c>
      <c r="D652" t="s">
        <v>16197</v>
      </c>
      <c r="E652" t="s">
        <v>16218</v>
      </c>
      <c r="F652" t="s">
        <v>16220</v>
      </c>
      <c r="G652" t="s">
        <v>16238</v>
      </c>
      <c r="H652" t="s">
        <v>16238</v>
      </c>
      <c r="I652" t="s">
        <v>16314</v>
      </c>
      <c r="J652" t="s">
        <v>16385</v>
      </c>
      <c r="K652">
        <v>0.19</v>
      </c>
      <c r="L652">
        <v>8279</v>
      </c>
      <c r="M652">
        <v>2310</v>
      </c>
      <c r="N652" t="s">
        <v>16393</v>
      </c>
      <c r="O652" s="4">
        <v>36878</v>
      </c>
      <c r="P652" s="4">
        <v>71550</v>
      </c>
      <c r="Q652" s="4">
        <v>108428</v>
      </c>
      <c r="R652" s="4">
        <v>325284</v>
      </c>
      <c r="S652" t="s">
        <v>17032</v>
      </c>
      <c r="T652" s="6">
        <v>43891</v>
      </c>
      <c r="U652" s="4">
        <v>239900</v>
      </c>
      <c r="V652" t="s">
        <v>23739</v>
      </c>
      <c r="W652" t="s">
        <v>24049</v>
      </c>
      <c r="X652" t="s">
        <v>3</v>
      </c>
      <c r="AA652" s="5" t="str">
        <f>HYPERLINK("https://www.zillow.com/homes/1343-BOA-TRL-CAROL-STREAM-IL-601889082_rb/","check listing")</f>
        <v>check listing</v>
      </c>
      <c r="AB652" s="5" t="str">
        <f>HYPERLINK("https://propertylookup.dupagecounty.gov/Datalets/Datalet.aspx?UseSearch=no&amp;mode=sales&amp;pin=0123409036","sales record")</f>
        <v>sales record</v>
      </c>
      <c r="AC652" t="s">
        <v>3</v>
      </c>
      <c r="AD652">
        <v>41.93626</v>
      </c>
      <c r="AE652">
        <v>-88.168269</v>
      </c>
      <c r="AF652" s="5" t="str">
        <f>HYPERLINK("https://www.google.com/maps/search/?api=1&amp;query=41.93626,-88.168269","map")</f>
        <v>map</v>
      </c>
    </row>
    <row r="653" spans="1:32">
      <c r="A653" t="s">
        <v>703</v>
      </c>
      <c r="B653" t="s">
        <v>8283</v>
      </c>
      <c r="C653" t="s">
        <v>15164</v>
      </c>
      <c r="D653" t="s">
        <v>16197</v>
      </c>
      <c r="E653" t="s">
        <v>16218</v>
      </c>
      <c r="F653" t="s">
        <v>16220</v>
      </c>
      <c r="G653" t="s">
        <v>16238</v>
      </c>
      <c r="H653" t="s">
        <v>16238</v>
      </c>
      <c r="I653" t="s">
        <v>16314</v>
      </c>
      <c r="J653" t="s">
        <v>16385</v>
      </c>
      <c r="K653">
        <v>0.19</v>
      </c>
      <c r="L653">
        <v>8259</v>
      </c>
      <c r="M653">
        <v>1650</v>
      </c>
      <c r="N653" t="s">
        <v>16393</v>
      </c>
      <c r="O653" s="4">
        <v>36878</v>
      </c>
      <c r="P653" s="4">
        <v>62445</v>
      </c>
      <c r="Q653" s="4">
        <v>99323</v>
      </c>
      <c r="R653" s="4">
        <v>297969</v>
      </c>
      <c r="S653" t="s">
        <v>17033</v>
      </c>
      <c r="T653" s="6">
        <v>32690</v>
      </c>
      <c r="U653" s="4">
        <v>103400</v>
      </c>
      <c r="X653" t="s">
        <v>3</v>
      </c>
      <c r="AA653" s="5" t="str">
        <f>HYPERLINK("https://www.zillow.com/homes/1345-BOA-TR-CAROL-STREAM-IL-60188_rb/","check listing")</f>
        <v>check listing</v>
      </c>
      <c r="AB653" s="5" t="str">
        <f>HYPERLINK("https://propertylookup.dupagecounty.gov/Datalets/Datalet.aspx?UseSearch=no&amp;mode=sales&amp;pin=0123409035","sales record")</f>
        <v>sales record</v>
      </c>
      <c r="AC653" t="s">
        <v>3</v>
      </c>
      <c r="AD653">
        <v>41.936107</v>
      </c>
      <c r="AE653">
        <v>-88.168269</v>
      </c>
      <c r="AF653" s="5" t="str">
        <f>HYPERLINK("https://www.google.com/maps/search/?api=1&amp;query=41.936107,-88.168269","map")</f>
        <v>map</v>
      </c>
    </row>
    <row r="654" spans="1:32">
      <c r="A654" t="s">
        <v>704</v>
      </c>
      <c r="B654" t="s">
        <v>8284</v>
      </c>
      <c r="C654" t="s">
        <v>15164</v>
      </c>
      <c r="D654" t="s">
        <v>16197</v>
      </c>
      <c r="E654" t="s">
        <v>16218</v>
      </c>
      <c r="F654" t="s">
        <v>16220</v>
      </c>
      <c r="G654" t="s">
        <v>16238</v>
      </c>
      <c r="H654" t="s">
        <v>16238</v>
      </c>
      <c r="I654" t="s">
        <v>16314</v>
      </c>
      <c r="J654" t="s">
        <v>16385</v>
      </c>
      <c r="K654">
        <v>0.189</v>
      </c>
      <c r="L654">
        <v>8252</v>
      </c>
      <c r="M654">
        <v>1320</v>
      </c>
      <c r="N654" t="s">
        <v>16393</v>
      </c>
      <c r="O654" s="4">
        <v>36878</v>
      </c>
      <c r="P654" s="4">
        <v>62445</v>
      </c>
      <c r="Q654" s="4">
        <v>99323</v>
      </c>
      <c r="R654" s="4">
        <v>297969</v>
      </c>
      <c r="S654" t="s">
        <v>17034</v>
      </c>
      <c r="T654" s="6">
        <v>30956</v>
      </c>
      <c r="U654" s="4">
        <v>4500</v>
      </c>
      <c r="X654" t="s">
        <v>3</v>
      </c>
      <c r="AA654" s="5" t="str">
        <f>HYPERLINK("https://www.zillow.com/homes/1358-BOA-TRL-CAROL-STREAM-IL-60188_rb/","check listing")</f>
        <v>check listing</v>
      </c>
      <c r="AB654" s="5" t="str">
        <f>HYPERLINK("https://propertylookup.dupagecounty.gov/Datalets/Datalet.aspx?UseSearch=no&amp;mode=sales&amp;pin=0123404101","sales record")</f>
        <v>sales record</v>
      </c>
      <c r="AC654" t="s">
        <v>3</v>
      </c>
      <c r="AD654">
        <v>41.935337</v>
      </c>
      <c r="AE654">
        <v>-88.16786399999999</v>
      </c>
      <c r="AF654" s="5" t="str">
        <f>HYPERLINK("https://www.google.com/maps/search/?api=1&amp;query=41.935337,-88.167864","map")</f>
        <v>map</v>
      </c>
    </row>
    <row r="655" spans="1:32">
      <c r="A655" t="s">
        <v>705</v>
      </c>
      <c r="B655" t="s">
        <v>8285</v>
      </c>
      <c r="C655" t="s">
        <v>15164</v>
      </c>
      <c r="D655" t="s">
        <v>16197</v>
      </c>
      <c r="E655" t="s">
        <v>16218</v>
      </c>
      <c r="F655" t="s">
        <v>16220</v>
      </c>
      <c r="G655" t="s">
        <v>16238</v>
      </c>
      <c r="H655" t="s">
        <v>16238</v>
      </c>
      <c r="I655" t="s">
        <v>16314</v>
      </c>
      <c r="J655" t="s">
        <v>16385</v>
      </c>
      <c r="K655">
        <v>0.189</v>
      </c>
      <c r="L655">
        <v>8235</v>
      </c>
      <c r="M655">
        <v>1978</v>
      </c>
      <c r="N655" t="s">
        <v>16393</v>
      </c>
      <c r="O655" s="4">
        <v>41538</v>
      </c>
      <c r="P655" s="4">
        <v>87927</v>
      </c>
      <c r="Q655" s="4">
        <v>129465</v>
      </c>
      <c r="R655" s="4">
        <v>388395</v>
      </c>
      <c r="S655" t="s">
        <v>17035</v>
      </c>
      <c r="T655" s="6">
        <v>36192</v>
      </c>
      <c r="U655" s="4">
        <v>173000</v>
      </c>
      <c r="X655" t="s">
        <v>3</v>
      </c>
      <c r="AA655" s="5" t="str">
        <f>HYPERLINK("https://www.zillow.com/homes/1262-PORTCHESTER-CIR-CAROL-STREAM-IL-60188_rb/","check listing")</f>
        <v>check listing</v>
      </c>
      <c r="AB655" s="5" t="str">
        <f>HYPERLINK("https://propertylookup.dupagecounty.gov/Datalets/Datalet.aspx?UseSearch=no&amp;mode=sales&amp;pin=0124309003","sales record")</f>
        <v>sales record</v>
      </c>
      <c r="AC655" t="s">
        <v>3</v>
      </c>
      <c r="AD655">
        <v>41.936336</v>
      </c>
      <c r="AE655">
        <v>-88.164738</v>
      </c>
      <c r="AF655" s="5" t="str">
        <f>HYPERLINK("https://www.google.com/maps/search/?api=1&amp;query=41.936336,-88.164738","map")</f>
        <v>map</v>
      </c>
    </row>
    <row r="656" spans="1:32">
      <c r="A656" t="s">
        <v>706</v>
      </c>
      <c r="B656" t="s">
        <v>8286</v>
      </c>
      <c r="C656" t="s">
        <v>15164</v>
      </c>
      <c r="D656" t="s">
        <v>16197</v>
      </c>
      <c r="E656" t="s">
        <v>16218</v>
      </c>
      <c r="F656" t="s">
        <v>16220</v>
      </c>
      <c r="G656" t="s">
        <v>16238</v>
      </c>
      <c r="H656" t="s">
        <v>16238</v>
      </c>
      <c r="I656" t="s">
        <v>16314</v>
      </c>
      <c r="J656" t="s">
        <v>16385</v>
      </c>
      <c r="K656">
        <v>0.189</v>
      </c>
      <c r="L656">
        <v>8227</v>
      </c>
      <c r="M656">
        <v>1994</v>
      </c>
      <c r="N656" t="s">
        <v>16393</v>
      </c>
      <c r="O656" s="4">
        <v>41538</v>
      </c>
      <c r="P656" s="4">
        <v>91283</v>
      </c>
      <c r="Q656" s="4">
        <v>132821</v>
      </c>
      <c r="R656" s="4">
        <v>398463</v>
      </c>
      <c r="S656" t="s">
        <v>17036</v>
      </c>
      <c r="T656" s="6">
        <v>34121</v>
      </c>
      <c r="U656" s="4">
        <v>161000</v>
      </c>
      <c r="X656" t="s">
        <v>3</v>
      </c>
      <c r="AA656" s="5" t="str">
        <f>HYPERLINK("https://www.zillow.com/homes/1256-PORTCHESTER-CIR-CAROL-STREAM-IL-60188_rb/","check listing")</f>
        <v>check listing</v>
      </c>
      <c r="AB656" s="5" t="str">
        <f>HYPERLINK("https://propertylookup.dupagecounty.gov/Datalets/Datalet.aspx?UseSearch=no&amp;mode=sales&amp;pin=0124309004","sales record")</f>
        <v>sales record</v>
      </c>
      <c r="AC656" t="s">
        <v>3</v>
      </c>
      <c r="AD656">
        <v>41.936135</v>
      </c>
      <c r="AE656">
        <v>-88.16473999999999</v>
      </c>
      <c r="AF656" s="5" t="str">
        <f>HYPERLINK("https://www.google.com/maps/search/?api=1&amp;query=41.936135,-88.16474","map")</f>
        <v>map</v>
      </c>
    </row>
    <row r="657" spans="1:32">
      <c r="A657" t="s">
        <v>707</v>
      </c>
      <c r="B657" t="s">
        <v>8287</v>
      </c>
      <c r="C657" t="s">
        <v>15164</v>
      </c>
      <c r="D657" t="s">
        <v>16197</v>
      </c>
      <c r="E657" t="s">
        <v>16218</v>
      </c>
      <c r="F657" t="s">
        <v>16220</v>
      </c>
      <c r="G657" t="s">
        <v>16238</v>
      </c>
      <c r="H657" t="s">
        <v>16238</v>
      </c>
      <c r="I657" t="s">
        <v>16314</v>
      </c>
      <c r="J657" t="s">
        <v>16385</v>
      </c>
      <c r="K657">
        <v>0.189</v>
      </c>
      <c r="L657">
        <v>8216</v>
      </c>
      <c r="M657">
        <v>1847</v>
      </c>
      <c r="N657" t="s">
        <v>16393</v>
      </c>
      <c r="O657" s="4">
        <v>41538</v>
      </c>
      <c r="P657" s="4">
        <v>84298</v>
      </c>
      <c r="Q657" s="4">
        <v>125836</v>
      </c>
      <c r="R657" s="4">
        <v>377508</v>
      </c>
      <c r="S657" t="s">
        <v>17037</v>
      </c>
      <c r="T657" s="6">
        <v>35704</v>
      </c>
      <c r="U657" s="4">
        <v>163500</v>
      </c>
      <c r="X657" t="s">
        <v>3</v>
      </c>
      <c r="AA657" s="5" t="str">
        <f>HYPERLINK("https://www.zillow.com/homes/1250-PORTCHESTER-CIR-CAROL-STREAM-IL-60188_rb/","check listing")</f>
        <v>check listing</v>
      </c>
      <c r="AB657" s="5" t="str">
        <f>HYPERLINK("https://propertylookup.dupagecounty.gov/Datalets/Datalet.aspx?UseSearch=no&amp;mode=sales&amp;pin=0124309005","sales record")</f>
        <v>sales record</v>
      </c>
      <c r="AC657" t="s">
        <v>3</v>
      </c>
      <c r="AD657">
        <v>41.935938</v>
      </c>
      <c r="AE657">
        <v>-88.164742</v>
      </c>
      <c r="AF657" s="5" t="str">
        <f>HYPERLINK("https://www.google.com/maps/search/?api=1&amp;query=41.935938,-88.164742","map")</f>
        <v>map</v>
      </c>
    </row>
    <row r="658" spans="1:32">
      <c r="A658" t="s">
        <v>708</v>
      </c>
      <c r="B658" t="s">
        <v>8288</v>
      </c>
      <c r="C658" t="s">
        <v>15176</v>
      </c>
      <c r="D658" t="s">
        <v>16197</v>
      </c>
      <c r="E658" t="s">
        <v>16218</v>
      </c>
      <c r="F658" t="s">
        <v>16220</v>
      </c>
      <c r="G658" t="s">
        <v>16238</v>
      </c>
      <c r="H658" t="s">
        <v>16238</v>
      </c>
      <c r="I658" t="s">
        <v>16314</v>
      </c>
      <c r="J658" t="s">
        <v>16385</v>
      </c>
      <c r="K658">
        <v>0.188</v>
      </c>
      <c r="L658">
        <v>8207</v>
      </c>
      <c r="M658">
        <v>2522</v>
      </c>
      <c r="N658" t="s">
        <v>16393</v>
      </c>
      <c r="O658" s="4">
        <v>41538</v>
      </c>
      <c r="P658" s="4">
        <v>93175</v>
      </c>
      <c r="Q658" s="4">
        <v>134713</v>
      </c>
      <c r="R658" s="4">
        <v>404139</v>
      </c>
      <c r="S658" t="s">
        <v>17038</v>
      </c>
      <c r="T658" s="6">
        <v>44378</v>
      </c>
      <c r="U658" s="4">
        <v>368000</v>
      </c>
      <c r="V658" t="s">
        <v>23739</v>
      </c>
      <c r="W658" t="s">
        <v>24050</v>
      </c>
      <c r="X658" t="s">
        <v>3</v>
      </c>
      <c r="AA658" s="5" t="str">
        <f>HYPERLINK("https://www.zillow.com/homes/1244-PORTCHESTER-CIR-CAROL-STREAM-IL-601886080_rb/","check listing")</f>
        <v>check listing</v>
      </c>
      <c r="AB658" s="5" t="str">
        <f>HYPERLINK("https://propertylookup.dupagecounty.gov/Datalets/Datalet.aspx?UseSearch=no&amp;mode=sales&amp;pin=0124309006","sales record")</f>
        <v>sales record</v>
      </c>
      <c r="AC658" t="s">
        <v>3</v>
      </c>
      <c r="AD658">
        <v>41.935765</v>
      </c>
      <c r="AE658">
        <v>-88.164744</v>
      </c>
      <c r="AF658" s="5" t="str">
        <f>HYPERLINK("https://www.google.com/maps/search/?api=1&amp;query=41.935765,-88.164744","map")</f>
        <v>map</v>
      </c>
    </row>
    <row r="659" spans="1:32">
      <c r="A659" t="s">
        <v>709</v>
      </c>
      <c r="B659" t="s">
        <v>8289</v>
      </c>
      <c r="C659" t="s">
        <v>15164</v>
      </c>
      <c r="D659" t="s">
        <v>16197</v>
      </c>
      <c r="E659" t="s">
        <v>16218</v>
      </c>
      <c r="F659" t="s">
        <v>16220</v>
      </c>
      <c r="G659" t="s">
        <v>16238</v>
      </c>
      <c r="H659" t="s">
        <v>16238</v>
      </c>
      <c r="I659" t="s">
        <v>16314</v>
      </c>
      <c r="J659" t="s">
        <v>16385</v>
      </c>
      <c r="K659">
        <v>0.188</v>
      </c>
      <c r="L659">
        <v>8199</v>
      </c>
      <c r="M659">
        <v>1448</v>
      </c>
      <c r="N659" t="s">
        <v>16393</v>
      </c>
      <c r="O659" s="4">
        <v>17624</v>
      </c>
      <c r="P659" s="4">
        <v>75763</v>
      </c>
      <c r="Q659" s="4">
        <v>93387</v>
      </c>
      <c r="R659" s="4">
        <v>280161</v>
      </c>
      <c r="S659" t="s">
        <v>17039</v>
      </c>
      <c r="T659" s="6">
        <v>32721</v>
      </c>
      <c r="U659" s="4">
        <v>100809</v>
      </c>
      <c r="X659" t="s">
        <v>3</v>
      </c>
      <c r="AA659" s="5" t="str">
        <f>HYPERLINK("https://www.zillow.com/homes/1204-ROBIN-DR-CAROL-STREAM-IL-60188_rb/","check listing")</f>
        <v>check listing</v>
      </c>
      <c r="AB659" s="5" t="str">
        <f>HYPERLINK("https://propertylookup.dupagecounty.gov/Datalets/Datalet.aspx?UseSearch=no&amp;mode=sales&amp;pin=0123411016","sales record")</f>
        <v>sales record</v>
      </c>
      <c r="AC659" t="s">
        <v>3</v>
      </c>
      <c r="AD659">
        <v>41.932168</v>
      </c>
      <c r="AE659">
        <v>-88.165086</v>
      </c>
      <c r="AF659" s="5" t="str">
        <f>HYPERLINK("https://www.google.com/maps/search/?api=1&amp;query=41.932168,-88.165086","map")</f>
        <v>map</v>
      </c>
    </row>
    <row r="660" spans="1:32">
      <c r="A660" t="s">
        <v>710</v>
      </c>
      <c r="B660" t="s">
        <v>8290</v>
      </c>
      <c r="C660" t="s">
        <v>15173</v>
      </c>
      <c r="D660" t="s">
        <v>16197</v>
      </c>
      <c r="E660" t="s">
        <v>16218</v>
      </c>
      <c r="F660" t="s">
        <v>16220</v>
      </c>
      <c r="G660" t="s">
        <v>16238</v>
      </c>
      <c r="H660" t="s">
        <v>16238</v>
      </c>
      <c r="I660" t="s">
        <v>16314</v>
      </c>
      <c r="J660" t="s">
        <v>16385</v>
      </c>
      <c r="K660">
        <v>0.188</v>
      </c>
      <c r="L660">
        <v>8199</v>
      </c>
      <c r="M660">
        <v>2447</v>
      </c>
      <c r="N660" t="s">
        <v>16393</v>
      </c>
      <c r="O660" s="4">
        <v>37045</v>
      </c>
      <c r="P660" s="4">
        <v>92660</v>
      </c>
      <c r="Q660" s="4">
        <v>129705</v>
      </c>
      <c r="R660" s="4">
        <v>389115</v>
      </c>
      <c r="S660" t="s">
        <v>17040</v>
      </c>
      <c r="T660" s="6">
        <v>43344</v>
      </c>
      <c r="U660" s="4">
        <v>339900</v>
      </c>
      <c r="V660" t="s">
        <v>23739</v>
      </c>
      <c r="W660" t="s">
        <v>24051</v>
      </c>
      <c r="X660" t="s">
        <v>3</v>
      </c>
      <c r="AA660" s="5" t="str">
        <f>HYPERLINK("https://www.zillow.com/homes/1284-BRAVE-CT-CAROL-STREAM-IL-601889011_rb/","check listing")</f>
        <v>check listing</v>
      </c>
      <c r="AB660" s="5" t="str">
        <f>HYPERLINK("https://propertylookup.dupagecounty.gov/Datalets/Datalet.aspx?UseSearch=no&amp;mode=sales&amp;pin=0123404016","sales record")</f>
        <v>sales record</v>
      </c>
      <c r="AC660" t="s">
        <v>3</v>
      </c>
      <c r="AD660">
        <v>41.936038</v>
      </c>
      <c r="AE660">
        <v>-88.166366</v>
      </c>
      <c r="AF660" s="5" t="str">
        <f>HYPERLINK("https://www.google.com/maps/search/?api=1&amp;query=41.936038,-88.166366","map")</f>
        <v>map</v>
      </c>
    </row>
    <row r="661" spans="1:32">
      <c r="A661" t="s">
        <v>711</v>
      </c>
      <c r="B661" t="s">
        <v>8291</v>
      </c>
      <c r="C661" t="s">
        <v>15164</v>
      </c>
      <c r="D661" t="s">
        <v>16197</v>
      </c>
      <c r="E661" t="s">
        <v>16218</v>
      </c>
      <c r="F661" t="s">
        <v>16220</v>
      </c>
      <c r="G661" t="s">
        <v>16238</v>
      </c>
      <c r="H661" t="s">
        <v>16238</v>
      </c>
      <c r="I661" t="s">
        <v>16314</v>
      </c>
      <c r="J661" t="s">
        <v>16385</v>
      </c>
      <c r="K661">
        <v>0.188</v>
      </c>
      <c r="L661">
        <v>8198</v>
      </c>
      <c r="M661">
        <v>1814</v>
      </c>
      <c r="N661" t="s">
        <v>16393</v>
      </c>
      <c r="O661" s="4">
        <v>41538</v>
      </c>
      <c r="P661" s="4">
        <v>92217</v>
      </c>
      <c r="Q661" s="4">
        <v>133755</v>
      </c>
      <c r="R661" s="4">
        <v>401265</v>
      </c>
      <c r="S661" t="s">
        <v>17041</v>
      </c>
      <c r="T661" s="6">
        <v>36923</v>
      </c>
      <c r="U661" s="4">
        <v>221000</v>
      </c>
      <c r="V661" t="s">
        <v>23739</v>
      </c>
      <c r="W661" t="s">
        <v>24052</v>
      </c>
      <c r="X661" t="s">
        <v>3</v>
      </c>
      <c r="AA661" s="5" t="str">
        <f>HYPERLINK("https://www.zillow.com/homes/1236-PORTCHESTER-CIR-CAROL-STREAM-IL-60188_rb/","check listing")</f>
        <v>check listing</v>
      </c>
      <c r="AB661" s="5" t="str">
        <f>HYPERLINK("https://propertylookup.dupagecounty.gov/Datalets/Datalet.aspx?UseSearch=no&amp;mode=sales&amp;pin=0124309007","sales record")</f>
        <v>sales record</v>
      </c>
      <c r="AC661" t="s">
        <v>3</v>
      </c>
      <c r="AD661">
        <v>41.935578</v>
      </c>
      <c r="AE661">
        <v>-88.16474599999999</v>
      </c>
      <c r="AF661" s="5" t="str">
        <f>HYPERLINK("https://www.google.com/maps/search/?api=1&amp;query=41.935578,-88.164746","map")</f>
        <v>map</v>
      </c>
    </row>
    <row r="662" spans="1:32">
      <c r="A662" t="s">
        <v>712</v>
      </c>
      <c r="B662" t="s">
        <v>8292</v>
      </c>
      <c r="C662" t="s">
        <v>15164</v>
      </c>
      <c r="D662" t="s">
        <v>16197</v>
      </c>
      <c r="E662" t="s">
        <v>16218</v>
      </c>
      <c r="F662" t="s">
        <v>16220</v>
      </c>
      <c r="G662" t="s">
        <v>16238</v>
      </c>
      <c r="H662" t="s">
        <v>16238</v>
      </c>
      <c r="I662" t="s">
        <v>16314</v>
      </c>
      <c r="J662" t="s">
        <v>16385</v>
      </c>
      <c r="K662">
        <v>0.188</v>
      </c>
      <c r="L662">
        <v>8188</v>
      </c>
      <c r="M662">
        <v>1978</v>
      </c>
      <c r="N662" t="s">
        <v>16393</v>
      </c>
      <c r="O662" s="4">
        <v>41538</v>
      </c>
      <c r="P662" s="4">
        <v>90264</v>
      </c>
      <c r="Q662" s="4">
        <v>131802</v>
      </c>
      <c r="R662" s="4">
        <v>395406</v>
      </c>
      <c r="S662" t="s">
        <v>17042</v>
      </c>
      <c r="T662" s="6">
        <v>32752</v>
      </c>
      <c r="U662" s="4">
        <v>139010</v>
      </c>
      <c r="X662" t="s">
        <v>3</v>
      </c>
      <c r="AA662" s="5" t="str">
        <f>HYPERLINK("https://www.zillow.com/homes/1228-PORTCHESTER-CIR-CAROL-STREAM-IL-60188_rb/","check listing")</f>
        <v>check listing</v>
      </c>
      <c r="AB662" s="5" t="str">
        <f>HYPERLINK("https://propertylookup.dupagecounty.gov/Datalets/Datalet.aspx?UseSearch=no&amp;mode=sales&amp;pin=0124309008","sales record")</f>
        <v>sales record</v>
      </c>
      <c r="AC662" t="s">
        <v>3</v>
      </c>
      <c r="AD662">
        <v>41.935292</v>
      </c>
      <c r="AE662">
        <v>-88.16475</v>
      </c>
      <c r="AF662" s="5" t="str">
        <f>HYPERLINK("https://www.google.com/maps/search/?api=1&amp;query=41.935292,-88.16475","map")</f>
        <v>map</v>
      </c>
    </row>
    <row r="663" spans="1:32">
      <c r="A663" t="s">
        <v>713</v>
      </c>
      <c r="B663" t="s">
        <v>8293</v>
      </c>
      <c r="C663" t="s">
        <v>15164</v>
      </c>
      <c r="D663" t="s">
        <v>16197</v>
      </c>
      <c r="E663" t="s">
        <v>16218</v>
      </c>
      <c r="F663" t="s">
        <v>16220</v>
      </c>
      <c r="G663" t="s">
        <v>16238</v>
      </c>
      <c r="H663" t="s">
        <v>16238</v>
      </c>
      <c r="I663" t="s">
        <v>16314</v>
      </c>
      <c r="J663" t="s">
        <v>16385</v>
      </c>
      <c r="K663">
        <v>0.187</v>
      </c>
      <c r="L663">
        <v>8150</v>
      </c>
      <c r="M663">
        <v>1649</v>
      </c>
      <c r="N663" t="s">
        <v>16393</v>
      </c>
      <c r="O663" s="4">
        <v>36878</v>
      </c>
      <c r="P663" s="4">
        <v>63571</v>
      </c>
      <c r="Q663" s="4">
        <v>100449</v>
      </c>
      <c r="R663" s="4">
        <v>301347</v>
      </c>
      <c r="S663" t="s">
        <v>17043</v>
      </c>
      <c r="T663" s="6">
        <v>38869</v>
      </c>
      <c r="U663" s="4">
        <v>230000</v>
      </c>
      <c r="V663" t="s">
        <v>23739</v>
      </c>
      <c r="W663" t="s">
        <v>24053</v>
      </c>
      <c r="X663" t="s">
        <v>3</v>
      </c>
      <c r="AA663" s="5" t="str">
        <f>HYPERLINK("https://www.zillow.com/homes/1338-BOA-TR-CAROL-STREAM-IL-60188_rb/","check listing")</f>
        <v>check listing</v>
      </c>
      <c r="AB663" s="5" t="str">
        <f>HYPERLINK("https://propertylookup.dupagecounty.gov/Datalets/Datalet.aspx?UseSearch=no&amp;mode=sales&amp;pin=0123404108","sales record")</f>
        <v>sales record</v>
      </c>
      <c r="AC663" t="s">
        <v>3</v>
      </c>
      <c r="AD663">
        <v>41.936332</v>
      </c>
      <c r="AE663">
        <v>-88.167607</v>
      </c>
      <c r="AF663" s="5" t="str">
        <f>HYPERLINK("https://www.google.com/maps/search/?api=1&amp;query=41.936332,-88.167607","map")</f>
        <v>map</v>
      </c>
    </row>
    <row r="664" spans="1:32">
      <c r="A664" t="s">
        <v>714</v>
      </c>
      <c r="B664" t="s">
        <v>8294</v>
      </c>
      <c r="C664" t="s">
        <v>15164</v>
      </c>
      <c r="D664" t="s">
        <v>16197</v>
      </c>
      <c r="E664" t="s">
        <v>16218</v>
      </c>
      <c r="F664" t="s">
        <v>16220</v>
      </c>
      <c r="G664" t="s">
        <v>16238</v>
      </c>
      <c r="H664" t="s">
        <v>16238</v>
      </c>
      <c r="I664" t="s">
        <v>16314</v>
      </c>
      <c r="J664" t="s">
        <v>16385</v>
      </c>
      <c r="K664">
        <v>0.187</v>
      </c>
      <c r="L664">
        <v>8138</v>
      </c>
      <c r="M664">
        <v>1709</v>
      </c>
      <c r="N664" t="s">
        <v>16393</v>
      </c>
      <c r="O664" s="4">
        <v>36878</v>
      </c>
      <c r="P664" s="4">
        <v>77385</v>
      </c>
      <c r="Q664" s="4">
        <v>114263</v>
      </c>
      <c r="R664" s="4">
        <v>342789</v>
      </c>
      <c r="S664" t="s">
        <v>17044</v>
      </c>
      <c r="T664" s="6">
        <v>39569</v>
      </c>
      <c r="U664" s="4">
        <v>195000</v>
      </c>
      <c r="V664" t="s">
        <v>23739</v>
      </c>
      <c r="W664" t="s">
        <v>24054</v>
      </c>
      <c r="X664" t="s">
        <v>3</v>
      </c>
      <c r="AA664" s="5" t="str">
        <f>HYPERLINK("https://www.zillow.com/homes/1336-BIG-HORN-TRL-CAROL-STREAM-IL-60188_rb/","check listing")</f>
        <v>check listing</v>
      </c>
      <c r="AB664" s="5" t="str">
        <f>HYPERLINK("https://propertylookup.dupagecounty.gov/Datalets/Datalet.aspx?UseSearch=no&amp;mode=sales&amp;pin=0123214027","sales record")</f>
        <v>sales record</v>
      </c>
      <c r="AC664" t="s">
        <v>3</v>
      </c>
      <c r="AD664">
        <v>41.937275</v>
      </c>
      <c r="AE664">
        <v>-88.168131</v>
      </c>
      <c r="AF664" s="5" t="str">
        <f>HYPERLINK("https://www.google.com/maps/search/?api=1&amp;query=41.937275,-88.168131","map")</f>
        <v>map</v>
      </c>
    </row>
    <row r="665" spans="1:32">
      <c r="A665" t="s">
        <v>715</v>
      </c>
      <c r="B665" t="s">
        <v>8295</v>
      </c>
      <c r="C665" t="s">
        <v>15164</v>
      </c>
      <c r="D665" t="s">
        <v>16197</v>
      </c>
      <c r="E665" t="s">
        <v>16218</v>
      </c>
      <c r="F665" t="s">
        <v>16220</v>
      </c>
      <c r="G665" t="s">
        <v>16238</v>
      </c>
      <c r="H665" t="s">
        <v>16238</v>
      </c>
      <c r="I665" t="s">
        <v>16314</v>
      </c>
      <c r="J665" t="s">
        <v>16385</v>
      </c>
      <c r="K665">
        <v>0.187</v>
      </c>
      <c r="L665">
        <v>8137</v>
      </c>
      <c r="M665">
        <v>1781</v>
      </c>
      <c r="N665" t="s">
        <v>16393</v>
      </c>
      <c r="O665" s="4">
        <v>36878</v>
      </c>
      <c r="P665" s="4">
        <v>86431</v>
      </c>
      <c r="Q665" s="4">
        <v>123309</v>
      </c>
      <c r="R665" s="4">
        <v>369927</v>
      </c>
      <c r="S665" t="s">
        <v>17045</v>
      </c>
      <c r="T665" s="6">
        <v>36678</v>
      </c>
      <c r="U665" s="4">
        <v>176000</v>
      </c>
      <c r="V665" t="s">
        <v>23739</v>
      </c>
      <c r="W665" t="s">
        <v>24055</v>
      </c>
      <c r="X665" t="s">
        <v>3</v>
      </c>
      <c r="AA665" s="5" t="str">
        <f>HYPERLINK("https://www.zillow.com/homes/1383-BOA-TR-CAROL-STREAM-IL-60188_rb/","check listing")</f>
        <v>check listing</v>
      </c>
      <c r="AB665" s="5" t="str">
        <f>HYPERLINK("https://propertylookup.dupagecounty.gov/Datalets/Datalet.aspx?UseSearch=no&amp;mode=sales&amp;pin=0123409028","sales record")</f>
        <v>sales record</v>
      </c>
      <c r="AC665" t="s">
        <v>3</v>
      </c>
      <c r="AD665">
        <v>41.936212</v>
      </c>
      <c r="AE665">
        <v>-88.16877100000001</v>
      </c>
      <c r="AF665" s="5" t="str">
        <f>HYPERLINK("https://www.google.com/maps/search/?api=1&amp;query=41.936212,-88.168771","map")</f>
        <v>map</v>
      </c>
    </row>
    <row r="666" spans="1:32">
      <c r="A666" t="s">
        <v>716</v>
      </c>
      <c r="B666" t="s">
        <v>8296</v>
      </c>
      <c r="C666" t="s">
        <v>15185</v>
      </c>
      <c r="D666" t="s">
        <v>16197</v>
      </c>
      <c r="E666" t="s">
        <v>16218</v>
      </c>
      <c r="F666" t="s">
        <v>16220</v>
      </c>
      <c r="G666" t="s">
        <v>16238</v>
      </c>
      <c r="H666" t="s">
        <v>16238</v>
      </c>
      <c r="I666" t="s">
        <v>16314</v>
      </c>
      <c r="J666" t="s">
        <v>16385</v>
      </c>
      <c r="K666">
        <v>0.186</v>
      </c>
      <c r="L666">
        <v>8120</v>
      </c>
      <c r="M666">
        <v>1703</v>
      </c>
      <c r="N666" t="s">
        <v>16393</v>
      </c>
      <c r="O666" s="4">
        <v>37045</v>
      </c>
      <c r="P666" s="4">
        <v>85747</v>
      </c>
      <c r="Q666" s="4">
        <v>122792</v>
      </c>
      <c r="R666" s="4">
        <v>368376</v>
      </c>
      <c r="S666" t="s">
        <v>17046</v>
      </c>
      <c r="T666" s="6">
        <v>42826</v>
      </c>
      <c r="U666" s="4">
        <v>250000</v>
      </c>
      <c r="V666" t="s">
        <v>23739</v>
      </c>
      <c r="W666" t="s">
        <v>24056</v>
      </c>
      <c r="X666" t="s">
        <v>3</v>
      </c>
      <c r="AA666" s="5" t="str">
        <f>HYPERLINK("https://www.zillow.com/homes/1201-SPRING-VALLEY-DR-CAROL-STREAM-IL-601889023_rb/","check listing")</f>
        <v>check listing</v>
      </c>
      <c r="AB666" s="5" t="str">
        <f>HYPERLINK("https://propertylookup.dupagecounty.gov/Datalets/Datalet.aspx?UseSearch=no&amp;mode=sales&amp;pin=0123407014","sales record")</f>
        <v>sales record</v>
      </c>
      <c r="AC666" t="s">
        <v>3</v>
      </c>
      <c r="AD666">
        <v>41.934773</v>
      </c>
      <c r="AE666">
        <v>-88.165198</v>
      </c>
      <c r="AF666" s="5" t="str">
        <f>HYPERLINK("https://www.google.com/maps/search/?api=1&amp;query=41.934773,-88.165198","map")</f>
        <v>map</v>
      </c>
    </row>
    <row r="667" spans="1:32">
      <c r="A667" t="s">
        <v>717</v>
      </c>
      <c r="B667" t="s">
        <v>8297</v>
      </c>
      <c r="C667" t="s">
        <v>15185</v>
      </c>
      <c r="D667" t="s">
        <v>16197</v>
      </c>
      <c r="E667" t="s">
        <v>16218</v>
      </c>
      <c r="F667" t="s">
        <v>16220</v>
      </c>
      <c r="G667" t="s">
        <v>16238</v>
      </c>
      <c r="H667" t="s">
        <v>16238</v>
      </c>
      <c r="I667" t="s">
        <v>16314</v>
      </c>
      <c r="J667" t="s">
        <v>16385</v>
      </c>
      <c r="K667">
        <v>0.186</v>
      </c>
      <c r="L667">
        <v>8115</v>
      </c>
      <c r="M667">
        <v>1928</v>
      </c>
      <c r="N667" t="s">
        <v>16393</v>
      </c>
      <c r="O667" s="4">
        <v>37045</v>
      </c>
      <c r="P667" s="4">
        <v>88323</v>
      </c>
      <c r="Q667" s="4">
        <v>125368</v>
      </c>
      <c r="R667" s="4">
        <v>376104</v>
      </c>
      <c r="S667" t="s">
        <v>17047</v>
      </c>
      <c r="T667" s="6">
        <v>44531</v>
      </c>
      <c r="U667" s="4">
        <v>340000</v>
      </c>
      <c r="V667" t="s">
        <v>23739</v>
      </c>
      <c r="W667" t="s">
        <v>24057</v>
      </c>
      <c r="X667" t="s">
        <v>3</v>
      </c>
      <c r="AA667" s="5" t="str">
        <f>HYPERLINK("https://www.zillow.com/homes/1225-SPRING-VALLEY-DR-CAROL-STREAM-IL-601889023_rb/","check listing")</f>
        <v>check listing</v>
      </c>
      <c r="AB667" s="5" t="str">
        <f>HYPERLINK("https://propertylookup.dupagecounty.gov/Datalets/Datalet.aspx?UseSearch=no&amp;mode=sales&amp;pin=0123407010","sales record")</f>
        <v>sales record</v>
      </c>
      <c r="AC667" t="s">
        <v>3</v>
      </c>
      <c r="AD667">
        <v>41.935476</v>
      </c>
      <c r="AE667">
        <v>-88.16519099999999</v>
      </c>
      <c r="AF667" s="5" t="str">
        <f>HYPERLINK("https://www.google.com/maps/search/?api=1&amp;query=41.935476,-88.165191","map")</f>
        <v>map</v>
      </c>
    </row>
    <row r="668" spans="1:32">
      <c r="A668" t="s">
        <v>718</v>
      </c>
      <c r="B668" t="s">
        <v>8298</v>
      </c>
      <c r="C668" t="s">
        <v>15164</v>
      </c>
      <c r="D668" t="s">
        <v>16197</v>
      </c>
      <c r="E668" t="s">
        <v>16218</v>
      </c>
      <c r="F668" t="s">
        <v>16220</v>
      </c>
      <c r="G668" t="s">
        <v>16238</v>
      </c>
      <c r="H668" t="s">
        <v>16238</v>
      </c>
      <c r="I668" t="s">
        <v>16314</v>
      </c>
      <c r="J668" t="s">
        <v>16385</v>
      </c>
      <c r="K668">
        <v>0.186</v>
      </c>
      <c r="L668">
        <v>8115</v>
      </c>
      <c r="M668">
        <v>2086</v>
      </c>
      <c r="N668" t="s">
        <v>16393</v>
      </c>
      <c r="O668" s="4">
        <v>37045</v>
      </c>
      <c r="P668" s="4">
        <v>87880</v>
      </c>
      <c r="Q668" s="4">
        <v>124925</v>
      </c>
      <c r="R668" s="4">
        <v>374775</v>
      </c>
      <c r="S668" t="s">
        <v>17048</v>
      </c>
      <c r="T668" s="6">
        <v>39539</v>
      </c>
      <c r="U668" s="4">
        <v>278000</v>
      </c>
      <c r="V668" t="s">
        <v>23740</v>
      </c>
      <c r="W668" t="s">
        <v>17048</v>
      </c>
      <c r="X668" t="s">
        <v>3</v>
      </c>
      <c r="AA668" s="5" t="str">
        <f>HYPERLINK("https://www.zillow.com/homes/1179-SPRING-VALLEY-DR-CAROL-STREAM-IL-60188_rb/","check listing")</f>
        <v>check listing</v>
      </c>
      <c r="AB668" s="5" t="str">
        <f>HYPERLINK("https://propertylookup.dupagecounty.gov/Datalets/Datalet.aspx?UseSearch=no&amp;mode=sales&amp;pin=0123407018","sales record")</f>
        <v>sales record</v>
      </c>
      <c r="AC668" t="s">
        <v>3</v>
      </c>
      <c r="AD668">
        <v>41.934095</v>
      </c>
      <c r="AE668">
        <v>-88.165205</v>
      </c>
      <c r="AF668" s="5" t="str">
        <f>HYPERLINK("https://www.google.com/maps/search/?api=1&amp;query=41.934095,-88.165205","map")</f>
        <v>map</v>
      </c>
    </row>
    <row r="669" spans="1:32">
      <c r="A669" t="s">
        <v>719</v>
      </c>
      <c r="B669" t="s">
        <v>8299</v>
      </c>
      <c r="C669" t="s">
        <v>15164</v>
      </c>
      <c r="D669" t="s">
        <v>16197</v>
      </c>
      <c r="E669" t="s">
        <v>16218</v>
      </c>
      <c r="F669" t="s">
        <v>16220</v>
      </c>
      <c r="G669" t="s">
        <v>16238</v>
      </c>
      <c r="H669" t="s">
        <v>16238</v>
      </c>
      <c r="I669" t="s">
        <v>16314</v>
      </c>
      <c r="J669" t="s">
        <v>16385</v>
      </c>
      <c r="K669">
        <v>0.186</v>
      </c>
      <c r="L669">
        <v>8103</v>
      </c>
      <c r="M669">
        <v>2176</v>
      </c>
      <c r="N669" t="s">
        <v>16393</v>
      </c>
      <c r="O669" s="4">
        <v>36878</v>
      </c>
      <c r="P669" s="4">
        <v>86574</v>
      </c>
      <c r="Q669" s="4">
        <v>123452</v>
      </c>
      <c r="R669" s="4">
        <v>370356</v>
      </c>
      <c r="S669" t="s">
        <v>17049</v>
      </c>
      <c r="T669" s="6">
        <v>44734</v>
      </c>
      <c r="U669" s="4">
        <v>355000</v>
      </c>
      <c r="V669" t="s">
        <v>23739</v>
      </c>
      <c r="W669" t="s">
        <v>24058</v>
      </c>
      <c r="X669" t="s">
        <v>3</v>
      </c>
      <c r="AA669" s="5" t="str">
        <f>HYPERLINK("https://www.zillow.com/homes/1356-BIG-HORN-TR-CAROL-STREAM-IL-60188_rb/","check listing")</f>
        <v>check listing</v>
      </c>
      <c r="AB669" s="5" t="str">
        <f>HYPERLINK("https://propertylookup.dupagecounty.gov/Datalets/Datalet.aspx?UseSearch=no&amp;mode=sales&amp;pin=0123210009","sales record")</f>
        <v>sales record</v>
      </c>
      <c r="AC669" t="s">
        <v>27873</v>
      </c>
      <c r="AD669">
        <v>41.93729</v>
      </c>
      <c r="AE669">
        <v>-88.170451</v>
      </c>
      <c r="AF669" s="5" t="str">
        <f>HYPERLINK("https://www.google.com/maps/search/?api=1&amp;query=41.93729,-88.170451","map")</f>
        <v>map</v>
      </c>
    </row>
    <row r="670" spans="1:32">
      <c r="A670" t="s">
        <v>720</v>
      </c>
      <c r="B670" t="s">
        <v>8300</v>
      </c>
      <c r="C670" t="s">
        <v>15185</v>
      </c>
      <c r="D670" t="s">
        <v>16197</v>
      </c>
      <c r="E670" t="s">
        <v>16218</v>
      </c>
      <c r="F670" t="s">
        <v>16220</v>
      </c>
      <c r="G670" t="s">
        <v>16238</v>
      </c>
      <c r="H670" t="s">
        <v>16238</v>
      </c>
      <c r="I670" t="s">
        <v>16314</v>
      </c>
      <c r="J670" t="s">
        <v>16385</v>
      </c>
      <c r="K670">
        <v>0.185</v>
      </c>
      <c r="L670">
        <v>8053</v>
      </c>
      <c r="M670">
        <v>2144</v>
      </c>
      <c r="N670" t="s">
        <v>16393</v>
      </c>
      <c r="O670" s="4">
        <v>37045</v>
      </c>
      <c r="P670" s="4">
        <v>90587</v>
      </c>
      <c r="Q670" s="4">
        <v>127632</v>
      </c>
      <c r="R670" s="4">
        <v>382896</v>
      </c>
      <c r="S670" t="s">
        <v>17050</v>
      </c>
      <c r="T670" s="6">
        <v>42278</v>
      </c>
      <c r="U670" s="4">
        <v>223000</v>
      </c>
      <c r="V670" t="s">
        <v>23739</v>
      </c>
      <c r="W670" t="s">
        <v>24059</v>
      </c>
      <c r="X670" t="s">
        <v>3</v>
      </c>
      <c r="AA670" s="5" t="str">
        <f>HYPERLINK("https://www.zillow.com/homes/1239-SPRING-VALLEY-DR-CAROL-STREAM-IL-601889023_rb/","check listing")</f>
        <v>check listing</v>
      </c>
      <c r="AB670" s="5" t="str">
        <f>HYPERLINK("https://propertylookup.dupagecounty.gov/Datalets/Datalet.aspx?UseSearch=no&amp;mode=sales&amp;pin=0123407007","sales record")</f>
        <v>sales record</v>
      </c>
      <c r="AC670" t="s">
        <v>3</v>
      </c>
      <c r="AD670">
        <v>41.93594</v>
      </c>
      <c r="AE670">
        <v>-88.16518600000001</v>
      </c>
      <c r="AF670" s="5" t="str">
        <f>HYPERLINK("https://www.google.com/maps/search/?api=1&amp;query=41.93594,-88.165186","map")</f>
        <v>map</v>
      </c>
    </row>
    <row r="671" spans="1:32">
      <c r="A671" t="s">
        <v>721</v>
      </c>
      <c r="B671" t="s">
        <v>8301</v>
      </c>
      <c r="C671" t="s">
        <v>15185</v>
      </c>
      <c r="D671" t="s">
        <v>16197</v>
      </c>
      <c r="E671" t="s">
        <v>16218</v>
      </c>
      <c r="F671" t="s">
        <v>16220</v>
      </c>
      <c r="G671" t="s">
        <v>16238</v>
      </c>
      <c r="H671" t="s">
        <v>16238</v>
      </c>
      <c r="I671" t="s">
        <v>16314</v>
      </c>
      <c r="J671" t="s">
        <v>16385</v>
      </c>
      <c r="K671">
        <v>0.185</v>
      </c>
      <c r="L671">
        <v>8053</v>
      </c>
      <c r="M671">
        <v>1814</v>
      </c>
      <c r="N671" t="s">
        <v>16393</v>
      </c>
      <c r="O671" s="4">
        <v>37045</v>
      </c>
      <c r="P671" s="4">
        <v>84753</v>
      </c>
      <c r="Q671" s="4">
        <v>121798</v>
      </c>
      <c r="R671" s="4">
        <v>365394</v>
      </c>
      <c r="S671" t="s">
        <v>17051</v>
      </c>
      <c r="T671" s="6">
        <v>43191</v>
      </c>
      <c r="U671" s="4">
        <v>270000</v>
      </c>
      <c r="V671" t="s">
        <v>23739</v>
      </c>
      <c r="W671" t="s">
        <v>24060</v>
      </c>
      <c r="X671" t="s">
        <v>3</v>
      </c>
      <c r="AA671" s="5" t="str">
        <f>HYPERLINK("https://www.zillow.com/homes/1235-SPRING-VALLEY-DR-CAROL-STREAM-IL-601889023_rb/","check listing")</f>
        <v>check listing</v>
      </c>
      <c r="AB671" s="5" t="str">
        <f>HYPERLINK("https://propertylookup.dupagecounty.gov/Datalets/Datalet.aspx?UseSearch=no&amp;mode=sales&amp;pin=0123407008","sales record")</f>
        <v>sales record</v>
      </c>
      <c r="AC671" t="s">
        <v>3</v>
      </c>
      <c r="AD671">
        <v>41.935766</v>
      </c>
      <c r="AE671">
        <v>-88.165188</v>
      </c>
      <c r="AF671" s="5" t="str">
        <f>HYPERLINK("https://www.google.com/maps/search/?api=1&amp;query=41.935766,-88.165188","map")</f>
        <v>map</v>
      </c>
    </row>
    <row r="672" spans="1:32">
      <c r="A672" t="s">
        <v>722</v>
      </c>
      <c r="B672" t="s">
        <v>8302</v>
      </c>
      <c r="C672" t="s">
        <v>15164</v>
      </c>
      <c r="D672" t="s">
        <v>16197</v>
      </c>
      <c r="E672" t="s">
        <v>16218</v>
      </c>
      <c r="F672" t="s">
        <v>16220</v>
      </c>
      <c r="G672" t="s">
        <v>16238</v>
      </c>
      <c r="H672" t="s">
        <v>16238</v>
      </c>
      <c r="I672" t="s">
        <v>16314</v>
      </c>
      <c r="J672" t="s">
        <v>16385</v>
      </c>
      <c r="K672">
        <v>0.185</v>
      </c>
      <c r="L672">
        <v>8053</v>
      </c>
      <c r="M672">
        <v>1781</v>
      </c>
      <c r="N672" t="s">
        <v>16393</v>
      </c>
      <c r="O672" s="4">
        <v>37045</v>
      </c>
      <c r="P672" s="4">
        <v>76953</v>
      </c>
      <c r="Q672" s="4">
        <v>113998</v>
      </c>
      <c r="R672" s="4">
        <v>341994</v>
      </c>
      <c r="S672" t="s">
        <v>17052</v>
      </c>
      <c r="T672" s="6">
        <v>42644</v>
      </c>
      <c r="U672" s="4">
        <v>216500</v>
      </c>
      <c r="V672" t="s">
        <v>23739</v>
      </c>
      <c r="W672" t="s">
        <v>24061</v>
      </c>
      <c r="X672" t="s">
        <v>3</v>
      </c>
      <c r="AA672" s="5" t="str">
        <f>HYPERLINK("https://www.zillow.com/homes/1221-SPRING-VALLEY-DR-CAROL-STREAM-IL-60188_rb/","check listing")</f>
        <v>check listing</v>
      </c>
      <c r="AB672" s="5" t="str">
        <f>HYPERLINK("https://propertylookup.dupagecounty.gov/Datalets/Datalet.aspx?UseSearch=no&amp;mode=sales&amp;pin=0123407011","sales record")</f>
        <v>sales record</v>
      </c>
      <c r="AC672" t="s">
        <v>3</v>
      </c>
      <c r="AD672">
        <v>41.935289</v>
      </c>
      <c r="AE672">
        <v>-88.165193</v>
      </c>
      <c r="AF672" s="5" t="str">
        <f>HYPERLINK("https://www.google.com/maps/search/?api=1&amp;query=41.935289,-88.165193","map")</f>
        <v>map</v>
      </c>
    </row>
    <row r="673" spans="1:32">
      <c r="A673" t="s">
        <v>723</v>
      </c>
      <c r="B673" t="s">
        <v>8303</v>
      </c>
      <c r="C673" t="s">
        <v>15164</v>
      </c>
      <c r="D673" t="s">
        <v>16197</v>
      </c>
      <c r="E673" t="s">
        <v>16218</v>
      </c>
      <c r="F673" t="s">
        <v>16220</v>
      </c>
      <c r="G673" t="s">
        <v>16238</v>
      </c>
      <c r="H673" t="s">
        <v>16238</v>
      </c>
      <c r="I673" t="s">
        <v>16314</v>
      </c>
      <c r="J673" t="s">
        <v>16385</v>
      </c>
      <c r="K673">
        <v>0.185</v>
      </c>
      <c r="L673">
        <v>8053</v>
      </c>
      <c r="M673">
        <v>2737</v>
      </c>
      <c r="N673" t="s">
        <v>16393</v>
      </c>
      <c r="O673" s="4">
        <v>37045</v>
      </c>
      <c r="P673" s="4">
        <v>89545</v>
      </c>
      <c r="Q673" s="4">
        <v>126590</v>
      </c>
      <c r="R673" s="4">
        <v>379770</v>
      </c>
      <c r="S673" t="s">
        <v>17053</v>
      </c>
      <c r="T673" s="6">
        <v>44044</v>
      </c>
      <c r="U673" s="4">
        <v>307250</v>
      </c>
      <c r="V673" t="s">
        <v>23739</v>
      </c>
      <c r="W673" t="s">
        <v>17053</v>
      </c>
      <c r="X673" t="s">
        <v>3</v>
      </c>
      <c r="AA673" s="5" t="str">
        <f>HYPERLINK("https://www.zillow.com/homes/1185-SPRING-VALLEY-DR-CAROL-STREAM-IL-60188_rb/","check listing")</f>
        <v>check listing</v>
      </c>
      <c r="AB673" s="5" t="str">
        <f>HYPERLINK("https://propertylookup.dupagecounty.gov/Datalets/Datalet.aspx?UseSearch=no&amp;mode=sales&amp;pin=0123407017","sales record")</f>
        <v>sales record</v>
      </c>
      <c r="AC673" t="s">
        <v>3</v>
      </c>
      <c r="AD673">
        <v>41.934263</v>
      </c>
      <c r="AE673">
        <v>-88.165204</v>
      </c>
      <c r="AF673" s="5" t="str">
        <f>HYPERLINK("https://www.google.com/maps/search/?api=1&amp;query=41.934263,-88.165204","map")</f>
        <v>map</v>
      </c>
    </row>
    <row r="674" spans="1:32">
      <c r="A674" t="s">
        <v>724</v>
      </c>
      <c r="B674" t="s">
        <v>8304</v>
      </c>
      <c r="C674" t="s">
        <v>15164</v>
      </c>
      <c r="D674" t="s">
        <v>16197</v>
      </c>
      <c r="E674" t="s">
        <v>16218</v>
      </c>
      <c r="F674" t="s">
        <v>16220</v>
      </c>
      <c r="G674" t="s">
        <v>16238</v>
      </c>
      <c r="H674" t="s">
        <v>16238</v>
      </c>
      <c r="I674" t="s">
        <v>16314</v>
      </c>
      <c r="J674" t="s">
        <v>16385</v>
      </c>
      <c r="K674">
        <v>0.185</v>
      </c>
      <c r="L674">
        <v>8052</v>
      </c>
      <c r="M674">
        <v>1926</v>
      </c>
      <c r="N674" t="s">
        <v>16393</v>
      </c>
      <c r="O674" s="4">
        <v>37045</v>
      </c>
      <c r="P674" s="4">
        <v>101167</v>
      </c>
      <c r="Q674" s="4">
        <v>138212</v>
      </c>
      <c r="R674" s="4">
        <v>414636</v>
      </c>
      <c r="S674" t="s">
        <v>17054</v>
      </c>
      <c r="T674" s="6">
        <v>38292</v>
      </c>
      <c r="U674" s="4">
        <v>275000</v>
      </c>
      <c r="V674" t="s">
        <v>23739</v>
      </c>
      <c r="W674" t="s">
        <v>24062</v>
      </c>
      <c r="X674" t="s">
        <v>3</v>
      </c>
      <c r="AA674" s="5" t="str">
        <f>HYPERLINK("https://www.zillow.com/homes/1229-SPRING-VALLEY-DR-CAROL-STREAM-IL-60188_rb/","check listing")</f>
        <v>check listing</v>
      </c>
      <c r="AB674" s="5" t="str">
        <f>HYPERLINK("https://propertylookup.dupagecounty.gov/Datalets/Datalet.aspx?UseSearch=no&amp;mode=sales&amp;pin=0123407009","sales record")</f>
        <v>sales record</v>
      </c>
      <c r="AC674" t="s">
        <v>3</v>
      </c>
      <c r="AD674">
        <v>41.93558</v>
      </c>
      <c r="AE674">
        <v>-88.16519</v>
      </c>
      <c r="AF674" s="5" t="str">
        <f>HYPERLINK("https://www.google.com/maps/search/?api=1&amp;query=41.93558,-88.16519","map")</f>
        <v>map</v>
      </c>
    </row>
    <row r="675" spans="1:32">
      <c r="A675" t="s">
        <v>725</v>
      </c>
      <c r="B675" t="s">
        <v>8305</v>
      </c>
      <c r="C675" t="s">
        <v>15164</v>
      </c>
      <c r="D675" t="s">
        <v>16197</v>
      </c>
      <c r="E675" t="s">
        <v>16218</v>
      </c>
      <c r="F675" t="s">
        <v>16220</v>
      </c>
      <c r="G675" t="s">
        <v>16238</v>
      </c>
      <c r="H675" t="s">
        <v>16238</v>
      </c>
      <c r="I675" t="s">
        <v>16314</v>
      </c>
      <c r="J675" t="s">
        <v>16385</v>
      </c>
      <c r="K675">
        <v>0.185</v>
      </c>
      <c r="L675">
        <v>8052</v>
      </c>
      <c r="M675">
        <v>2128</v>
      </c>
      <c r="N675" t="s">
        <v>16393</v>
      </c>
      <c r="O675" s="4">
        <v>37045</v>
      </c>
      <c r="P675" s="4">
        <v>94912</v>
      </c>
      <c r="Q675" s="4">
        <v>131957</v>
      </c>
      <c r="R675" s="4">
        <v>395871</v>
      </c>
      <c r="S675" t="s">
        <v>17055</v>
      </c>
      <c r="T675" s="6">
        <v>35916</v>
      </c>
      <c r="U675" s="4">
        <v>168000</v>
      </c>
      <c r="X675" t="s">
        <v>3</v>
      </c>
      <c r="AA675" s="5" t="str">
        <f>HYPERLINK("https://www.zillow.com/homes/1209-SPRING-VALLEY-DR-CAROL-STREAM-IL-60188_rb/","check listing")</f>
        <v>check listing</v>
      </c>
      <c r="AB675" s="5" t="str">
        <f>HYPERLINK("https://propertylookup.dupagecounty.gov/Datalets/Datalet.aspx?UseSearch=no&amp;mode=sales&amp;pin=0123407013","sales record")</f>
        <v>sales record</v>
      </c>
      <c r="AC675" t="s">
        <v>3</v>
      </c>
      <c r="AD675">
        <v>41.934921</v>
      </c>
      <c r="AE675">
        <v>-88.16519700000001</v>
      </c>
      <c r="AF675" s="5" t="str">
        <f>HYPERLINK("https://www.google.com/maps/search/?api=1&amp;query=41.934921,-88.165197","map")</f>
        <v>map</v>
      </c>
    </row>
    <row r="676" spans="1:32">
      <c r="A676" t="s">
        <v>726</v>
      </c>
      <c r="B676" t="s">
        <v>8306</v>
      </c>
      <c r="C676" t="s">
        <v>15164</v>
      </c>
      <c r="D676" t="s">
        <v>16197</v>
      </c>
      <c r="E676" t="s">
        <v>16218</v>
      </c>
      <c r="F676" t="s">
        <v>16220</v>
      </c>
      <c r="G676" t="s">
        <v>16238</v>
      </c>
      <c r="H676" t="s">
        <v>16238</v>
      </c>
      <c r="I676" t="s">
        <v>16314</v>
      </c>
      <c r="J676" t="s">
        <v>16385</v>
      </c>
      <c r="K676">
        <v>0.185</v>
      </c>
      <c r="L676">
        <v>8052</v>
      </c>
      <c r="M676">
        <v>2142</v>
      </c>
      <c r="N676" t="s">
        <v>16393</v>
      </c>
      <c r="O676" s="4">
        <v>37045</v>
      </c>
      <c r="P676" s="4">
        <v>90229</v>
      </c>
      <c r="Q676" s="4">
        <v>127274</v>
      </c>
      <c r="R676" s="4">
        <v>381822</v>
      </c>
      <c r="S676" t="s">
        <v>17056</v>
      </c>
      <c r="T676" s="6">
        <v>34639</v>
      </c>
      <c r="U676" s="4">
        <v>161500</v>
      </c>
      <c r="X676" t="s">
        <v>3</v>
      </c>
      <c r="AA676" s="5" t="str">
        <f>HYPERLINK("https://www.zillow.com/homes/1199-SPRING-VALLEY-DR-CAROL-STREAM-IL-60188_rb/","check listing")</f>
        <v>check listing</v>
      </c>
      <c r="AB676" s="5" t="str">
        <f>HYPERLINK("https://propertylookup.dupagecounty.gov/Datalets/Datalet.aspx?UseSearch=no&amp;mode=sales&amp;pin=0123407015","sales record")</f>
        <v>sales record</v>
      </c>
      <c r="AC676" t="s">
        <v>3</v>
      </c>
      <c r="AD676">
        <v>41.934598</v>
      </c>
      <c r="AE676">
        <v>-88.1652</v>
      </c>
      <c r="AF676" s="5" t="str">
        <f>HYPERLINK("https://www.google.com/maps/search/?api=1&amp;query=41.934598,-88.1652","map")</f>
        <v>map</v>
      </c>
    </row>
    <row r="677" spans="1:32">
      <c r="A677" t="s">
        <v>727</v>
      </c>
      <c r="B677" t="s">
        <v>8307</v>
      </c>
      <c r="C677" t="s">
        <v>15164</v>
      </c>
      <c r="D677" t="s">
        <v>16197</v>
      </c>
      <c r="E677" t="s">
        <v>16218</v>
      </c>
      <c r="F677" t="s">
        <v>16220</v>
      </c>
      <c r="G677" t="s">
        <v>16238</v>
      </c>
      <c r="H677" t="s">
        <v>16238</v>
      </c>
      <c r="I677" t="s">
        <v>16314</v>
      </c>
      <c r="J677" t="s">
        <v>16385</v>
      </c>
      <c r="K677">
        <v>0.185</v>
      </c>
      <c r="L677">
        <v>8052</v>
      </c>
      <c r="M677">
        <v>1973</v>
      </c>
      <c r="N677" t="s">
        <v>16393</v>
      </c>
      <c r="O677" s="4">
        <v>37045</v>
      </c>
      <c r="P677" s="4">
        <v>91403</v>
      </c>
      <c r="Q677" s="4">
        <v>128448</v>
      </c>
      <c r="R677" s="4">
        <v>385344</v>
      </c>
      <c r="S677" t="s">
        <v>17057</v>
      </c>
      <c r="T677" s="6">
        <v>37803</v>
      </c>
      <c r="U677" s="4">
        <v>240000</v>
      </c>
      <c r="V677" t="s">
        <v>23739</v>
      </c>
      <c r="W677" t="s">
        <v>24063</v>
      </c>
      <c r="X677" t="s">
        <v>3</v>
      </c>
      <c r="AA677" s="5" t="str">
        <f>HYPERLINK("https://www.zillow.com/homes/1213-SPRING-VALLEY-DR-CAROL-STREAM-IL-60188_rb/","check listing")</f>
        <v>check listing</v>
      </c>
      <c r="AB677" s="5" t="str">
        <f>HYPERLINK("https://propertylookup.dupagecounty.gov/Datalets/Datalet.aspx?UseSearch=no&amp;mode=sales&amp;pin=0123407012","sales record")</f>
        <v>sales record</v>
      </c>
      <c r="AC677" t="s">
        <v>3</v>
      </c>
      <c r="AD677">
        <v>41.935102</v>
      </c>
      <c r="AE677">
        <v>-88.165195</v>
      </c>
      <c r="AF677" s="5" t="str">
        <f>HYPERLINK("https://www.google.com/maps/search/?api=1&amp;query=41.935102,-88.165195","map")</f>
        <v>map</v>
      </c>
    </row>
    <row r="678" spans="1:32">
      <c r="A678" t="s">
        <v>728</v>
      </c>
      <c r="B678" t="s">
        <v>8308</v>
      </c>
      <c r="C678" t="s">
        <v>15164</v>
      </c>
      <c r="D678" t="s">
        <v>16197</v>
      </c>
      <c r="E678" t="s">
        <v>16218</v>
      </c>
      <c r="F678" t="s">
        <v>16220</v>
      </c>
      <c r="G678" t="s">
        <v>16238</v>
      </c>
      <c r="H678" t="s">
        <v>16238</v>
      </c>
      <c r="I678" t="s">
        <v>16314</v>
      </c>
      <c r="J678" t="s">
        <v>16385</v>
      </c>
      <c r="K678">
        <v>0.185</v>
      </c>
      <c r="L678">
        <v>8052</v>
      </c>
      <c r="M678">
        <v>2126</v>
      </c>
      <c r="N678" t="s">
        <v>16393</v>
      </c>
      <c r="O678" s="4">
        <v>37045</v>
      </c>
      <c r="P678" s="4">
        <v>91403</v>
      </c>
      <c r="Q678" s="4">
        <v>128448</v>
      </c>
      <c r="R678" s="4">
        <v>385344</v>
      </c>
      <c r="S678" t="s">
        <v>17058</v>
      </c>
      <c r="T678" s="6">
        <v>29434</v>
      </c>
      <c r="U678" s="4">
        <v>81400</v>
      </c>
      <c r="X678" t="s">
        <v>3</v>
      </c>
      <c r="AA678" s="5" t="str">
        <f>HYPERLINK("https://www.zillow.com/homes/1169-SPRING-VALLEY-DR-CAROL-STREAM-IL-60188_rb/","check listing")</f>
        <v>check listing</v>
      </c>
      <c r="AB678" s="5" t="str">
        <f>HYPERLINK("https://propertylookup.dupagecounty.gov/Datalets/Datalet.aspx?UseSearch=no&amp;mode=sales&amp;pin=0123407020","sales record")</f>
        <v>sales record</v>
      </c>
      <c r="AC678" t="s">
        <v>3</v>
      </c>
      <c r="AD678">
        <v>41.93376</v>
      </c>
      <c r="AE678">
        <v>-88.165209</v>
      </c>
      <c r="AF678" s="5" t="str">
        <f>HYPERLINK("https://www.google.com/maps/search/?api=1&amp;query=41.93376,-88.165209","map")</f>
        <v>map</v>
      </c>
    </row>
    <row r="679" spans="1:32">
      <c r="A679" t="s">
        <v>729</v>
      </c>
      <c r="B679" t="s">
        <v>8309</v>
      </c>
      <c r="C679" t="s">
        <v>15164</v>
      </c>
      <c r="D679" t="s">
        <v>16197</v>
      </c>
      <c r="E679" t="s">
        <v>16218</v>
      </c>
      <c r="F679" t="s">
        <v>16220</v>
      </c>
      <c r="G679" t="s">
        <v>16238</v>
      </c>
      <c r="H679" t="s">
        <v>16238</v>
      </c>
      <c r="I679" t="s">
        <v>16314</v>
      </c>
      <c r="J679" t="s">
        <v>16385</v>
      </c>
      <c r="K679">
        <v>0.185</v>
      </c>
      <c r="L679">
        <v>8052</v>
      </c>
      <c r="M679">
        <v>2295</v>
      </c>
      <c r="N679" t="s">
        <v>16393</v>
      </c>
      <c r="O679" s="4">
        <v>37045</v>
      </c>
      <c r="P679" s="4">
        <v>96734</v>
      </c>
      <c r="Q679" s="4">
        <v>133779</v>
      </c>
      <c r="R679" s="4">
        <v>401337</v>
      </c>
      <c r="S679" t="s">
        <v>17059</v>
      </c>
      <c r="T679" s="6">
        <v>35551</v>
      </c>
      <c r="U679" s="4">
        <v>166000</v>
      </c>
      <c r="X679" t="s">
        <v>3</v>
      </c>
      <c r="AA679" s="5" t="str">
        <f>HYPERLINK("https://www.zillow.com/homes/1189-SPRING-VALLEY-DR-CAROL-STREAM-IL-60188_rb/","check listing")</f>
        <v>check listing</v>
      </c>
      <c r="AB679" s="5" t="str">
        <f>HYPERLINK("https://propertylookup.dupagecounty.gov/Datalets/Datalet.aspx?UseSearch=no&amp;mode=sales&amp;pin=0123407016","sales record")</f>
        <v>sales record</v>
      </c>
      <c r="AC679" t="s">
        <v>3</v>
      </c>
      <c r="AD679">
        <v>41.934431</v>
      </c>
      <c r="AE679">
        <v>-88.16520199999999</v>
      </c>
      <c r="AF679" s="5" t="str">
        <f>HYPERLINK("https://www.google.com/maps/search/?api=1&amp;query=41.934431,-88.165202","map")</f>
        <v>map</v>
      </c>
    </row>
    <row r="680" spans="1:32">
      <c r="A680" t="s">
        <v>730</v>
      </c>
      <c r="B680" t="s">
        <v>8310</v>
      </c>
      <c r="C680" t="s">
        <v>15164</v>
      </c>
      <c r="D680" t="s">
        <v>16197</v>
      </c>
      <c r="E680" t="s">
        <v>16218</v>
      </c>
      <c r="F680" t="s">
        <v>16220</v>
      </c>
      <c r="G680" t="s">
        <v>16238</v>
      </c>
      <c r="H680" t="s">
        <v>16238</v>
      </c>
      <c r="I680" t="s">
        <v>16314</v>
      </c>
      <c r="J680" t="s">
        <v>16385</v>
      </c>
      <c r="K680">
        <v>0.185</v>
      </c>
      <c r="L680">
        <v>8052</v>
      </c>
      <c r="M680">
        <v>1775</v>
      </c>
      <c r="N680" t="s">
        <v>16393</v>
      </c>
      <c r="O680" s="4">
        <v>37045</v>
      </c>
      <c r="P680" s="4">
        <v>96231</v>
      </c>
      <c r="Q680" s="4">
        <v>133276</v>
      </c>
      <c r="R680" s="4">
        <v>399828</v>
      </c>
      <c r="S680" t="s">
        <v>17060</v>
      </c>
      <c r="X680" t="s">
        <v>3</v>
      </c>
      <c r="AA680" s="5" t="str">
        <f>HYPERLINK("https://www.zillow.com/homes/1175-SPRING-VALLEY-DR-CAROL-STREAM-IL-60188_rb/","check listing")</f>
        <v>check listing</v>
      </c>
      <c r="AB680" s="5" t="str">
        <f>HYPERLINK("https://propertylookup.dupagecounty.gov/Datalets/Datalet.aspx?UseSearch=no&amp;mode=sales&amp;pin=0123407019","sales record")</f>
        <v>sales record</v>
      </c>
      <c r="AC680" t="s">
        <v>3</v>
      </c>
      <c r="AD680">
        <v>41.933927</v>
      </c>
      <c r="AE680">
        <v>-88.165207</v>
      </c>
      <c r="AF680" s="5" t="str">
        <f>HYPERLINK("https://www.google.com/maps/search/?api=1&amp;query=41.933927,-88.165207","map")</f>
        <v>map</v>
      </c>
    </row>
    <row r="681" spans="1:32">
      <c r="A681" t="s">
        <v>731</v>
      </c>
      <c r="B681" t="s">
        <v>8311</v>
      </c>
      <c r="C681" t="s">
        <v>15164</v>
      </c>
      <c r="D681" t="s">
        <v>16197</v>
      </c>
      <c r="E681" t="s">
        <v>16218</v>
      </c>
      <c r="F681" t="s">
        <v>16220</v>
      </c>
      <c r="G681" t="s">
        <v>16238</v>
      </c>
      <c r="H681" t="s">
        <v>16238</v>
      </c>
      <c r="I681" t="s">
        <v>16314</v>
      </c>
      <c r="J681" t="s">
        <v>16385</v>
      </c>
      <c r="K681">
        <v>0.183</v>
      </c>
      <c r="L681">
        <v>7958</v>
      </c>
      <c r="M681">
        <v>1967</v>
      </c>
      <c r="N681" t="s">
        <v>16393</v>
      </c>
      <c r="O681" s="4">
        <v>36878</v>
      </c>
      <c r="P681" s="4">
        <v>91522</v>
      </c>
      <c r="Q681" s="4">
        <v>128400</v>
      </c>
      <c r="R681" s="4">
        <v>385200</v>
      </c>
      <c r="S681" t="s">
        <v>17061</v>
      </c>
      <c r="T681" s="6">
        <v>41913</v>
      </c>
      <c r="U681" s="4">
        <v>195000</v>
      </c>
      <c r="V681" t="s">
        <v>16232</v>
      </c>
      <c r="W681" t="s">
        <v>24064</v>
      </c>
      <c r="X681" t="s">
        <v>3</v>
      </c>
      <c r="AA681" s="5" t="str">
        <f>HYPERLINK("https://www.zillow.com/homes/1332-BIGHORN-TR-CAROL-STREAM-IL-60188_rb/","check listing")</f>
        <v>check listing</v>
      </c>
      <c r="AB681" s="5" t="str">
        <f>HYPERLINK("https://propertylookup.dupagecounty.gov/Datalets/Datalet.aspx?UseSearch=no&amp;mode=sales&amp;pin=0123214029","sales record")</f>
        <v>sales record</v>
      </c>
      <c r="AC681" t="s">
        <v>3</v>
      </c>
      <c r="AD681">
        <v>41.93748</v>
      </c>
      <c r="AE681">
        <v>-88.16783700000001</v>
      </c>
      <c r="AF681" s="5" t="str">
        <f>HYPERLINK("https://www.google.com/maps/search/?api=1&amp;query=41.93748,-88.167837","map")</f>
        <v>map</v>
      </c>
    </row>
    <row r="682" spans="1:32">
      <c r="A682" t="s">
        <v>732</v>
      </c>
      <c r="B682" t="s">
        <v>8312</v>
      </c>
      <c r="C682" t="s">
        <v>15172</v>
      </c>
      <c r="D682" t="s">
        <v>16197</v>
      </c>
      <c r="E682" t="s">
        <v>16218</v>
      </c>
      <c r="F682" t="s">
        <v>16220</v>
      </c>
      <c r="G682" t="s">
        <v>16238</v>
      </c>
      <c r="H682" t="s">
        <v>16238</v>
      </c>
      <c r="I682" t="s">
        <v>16314</v>
      </c>
      <c r="J682" t="s">
        <v>16385</v>
      </c>
      <c r="K682">
        <v>0.181</v>
      </c>
      <c r="L682">
        <v>7884</v>
      </c>
      <c r="M682">
        <v>2308</v>
      </c>
      <c r="N682" t="s">
        <v>16393</v>
      </c>
      <c r="O682" s="4">
        <v>36878</v>
      </c>
      <c r="P682" s="4">
        <v>71251</v>
      </c>
      <c r="Q682" s="4">
        <v>108129</v>
      </c>
      <c r="R682" s="4">
        <v>324387</v>
      </c>
      <c r="S682" t="s">
        <v>17062</v>
      </c>
      <c r="T682" s="6">
        <v>43344</v>
      </c>
      <c r="U682" s="4">
        <v>250000</v>
      </c>
      <c r="V682" t="s">
        <v>23739</v>
      </c>
      <c r="W682" t="s">
        <v>24065</v>
      </c>
      <c r="X682" t="s">
        <v>3</v>
      </c>
      <c r="AA682" s="5" t="str">
        <f>HYPERLINK("https://www.zillow.com/homes/1380-BOA-TRL-CAROL-STREAM-IL-601889081_rb/","check listing")</f>
        <v>check listing</v>
      </c>
      <c r="AB682" s="5" t="str">
        <f>HYPERLINK("https://propertylookup.dupagecounty.gov/Datalets/Datalet.aspx?UseSearch=no&amp;mode=sales&amp;pin=0123404090","sales record")</f>
        <v>sales record</v>
      </c>
      <c r="AC682" t="s">
        <v>3</v>
      </c>
      <c r="AD682">
        <v>41.935973</v>
      </c>
      <c r="AE682">
        <v>-88.169403</v>
      </c>
      <c r="AF682" s="5" t="str">
        <f>HYPERLINK("https://www.google.com/maps/search/?api=1&amp;query=41.935973,-88.169403","map")</f>
        <v>map</v>
      </c>
    </row>
    <row r="683" spans="1:32">
      <c r="A683" t="s">
        <v>733</v>
      </c>
      <c r="B683" t="s">
        <v>8313</v>
      </c>
      <c r="C683" t="s">
        <v>15164</v>
      </c>
      <c r="D683" t="s">
        <v>16197</v>
      </c>
      <c r="E683" t="s">
        <v>16218</v>
      </c>
      <c r="F683" t="s">
        <v>16220</v>
      </c>
      <c r="G683" t="s">
        <v>16238</v>
      </c>
      <c r="H683" t="s">
        <v>16238</v>
      </c>
      <c r="I683" t="s">
        <v>16314</v>
      </c>
      <c r="J683" t="s">
        <v>16385</v>
      </c>
      <c r="K683">
        <v>0.181</v>
      </c>
      <c r="L683">
        <v>7863</v>
      </c>
      <c r="M683">
        <v>1348</v>
      </c>
      <c r="N683" t="s">
        <v>16393</v>
      </c>
      <c r="O683" s="4">
        <v>36878</v>
      </c>
      <c r="P683" s="4">
        <v>62445</v>
      </c>
      <c r="Q683" s="4">
        <v>99323</v>
      </c>
      <c r="R683" s="4">
        <v>297969</v>
      </c>
      <c r="S683" t="s">
        <v>17063</v>
      </c>
      <c r="T683" s="6">
        <v>37500</v>
      </c>
      <c r="U683" s="4">
        <v>178000</v>
      </c>
      <c r="V683" t="s">
        <v>23739</v>
      </c>
      <c r="W683" t="s">
        <v>17063</v>
      </c>
      <c r="X683" t="s">
        <v>3</v>
      </c>
      <c r="AA683" s="5" t="str">
        <f>HYPERLINK("https://www.zillow.com/homes/1344-BIG-HORN-TR-CAROL-STREAM-IL-60188_rb/","check listing")</f>
        <v>check listing</v>
      </c>
      <c r="AB683" s="5" t="str">
        <f>HYPERLINK("https://propertylookup.dupagecounty.gov/Datalets/Datalet.aspx?UseSearch=no&amp;mode=sales&amp;pin=0123210015","sales record")</f>
        <v>sales record</v>
      </c>
      <c r="AC683" t="s">
        <v>3</v>
      </c>
      <c r="AD683">
        <v>41.937128</v>
      </c>
      <c r="AE683">
        <v>-88.169267</v>
      </c>
      <c r="AF683" s="5" t="str">
        <f>HYPERLINK("https://www.google.com/maps/search/?api=1&amp;query=41.937128,-88.169267","map")</f>
        <v>map</v>
      </c>
    </row>
    <row r="684" spans="1:32">
      <c r="A684" t="s">
        <v>734</v>
      </c>
      <c r="B684" t="s">
        <v>8314</v>
      </c>
      <c r="C684" t="s">
        <v>15172</v>
      </c>
      <c r="D684" t="s">
        <v>16197</v>
      </c>
      <c r="E684" t="s">
        <v>16218</v>
      </c>
      <c r="F684" t="s">
        <v>16220</v>
      </c>
      <c r="G684" t="s">
        <v>16238</v>
      </c>
      <c r="H684" t="s">
        <v>16238</v>
      </c>
      <c r="I684" t="s">
        <v>16314</v>
      </c>
      <c r="J684" t="s">
        <v>16385</v>
      </c>
      <c r="K684">
        <v>0.178</v>
      </c>
      <c r="L684">
        <v>7757</v>
      </c>
      <c r="M684">
        <v>2290</v>
      </c>
      <c r="N684" t="s">
        <v>16393</v>
      </c>
      <c r="O684" s="4">
        <v>36878</v>
      </c>
      <c r="P684" s="4">
        <v>78019</v>
      </c>
      <c r="Q684" s="4">
        <v>114897</v>
      </c>
      <c r="R684" s="4">
        <v>344691</v>
      </c>
      <c r="S684" t="s">
        <v>17064</v>
      </c>
      <c r="T684" s="6">
        <v>43831</v>
      </c>
      <c r="U684" s="4">
        <v>240000</v>
      </c>
      <c r="V684" t="s">
        <v>23739</v>
      </c>
      <c r="W684" t="s">
        <v>17064</v>
      </c>
      <c r="X684" t="s">
        <v>3</v>
      </c>
      <c r="AA684" s="5" t="str">
        <f>HYPERLINK("https://www.zillow.com/homes/1326-BOA-TRL-CAROL-STREAM-IL-601889081_rb/","check listing")</f>
        <v>check listing</v>
      </c>
      <c r="AB684" s="5" t="str">
        <f>HYPERLINK("https://propertylookup.dupagecounty.gov/Datalets/Datalet.aspx?UseSearch=no&amp;mode=sales&amp;pin=0123404112","sales record")</f>
        <v>sales record</v>
      </c>
      <c r="AC684" t="s">
        <v>3</v>
      </c>
      <c r="AD684">
        <v>41.936749</v>
      </c>
      <c r="AE684">
        <v>-88.16718</v>
      </c>
      <c r="AF684" s="5" t="str">
        <f>HYPERLINK("https://www.google.com/maps/search/?api=1&amp;query=41.936749,-88.16718","map")</f>
        <v>map</v>
      </c>
    </row>
    <row r="685" spans="1:32">
      <c r="A685" t="s">
        <v>735</v>
      </c>
      <c r="B685" t="s">
        <v>8315</v>
      </c>
      <c r="C685" t="s">
        <v>15164</v>
      </c>
      <c r="D685" t="s">
        <v>16197</v>
      </c>
      <c r="E685" t="s">
        <v>16218</v>
      </c>
      <c r="F685" t="s">
        <v>16220</v>
      </c>
      <c r="G685" t="s">
        <v>16238</v>
      </c>
      <c r="H685" t="s">
        <v>16238</v>
      </c>
      <c r="I685" t="s">
        <v>16314</v>
      </c>
      <c r="J685" t="s">
        <v>16385</v>
      </c>
      <c r="K685">
        <v>0.178</v>
      </c>
      <c r="L685">
        <v>7751</v>
      </c>
      <c r="M685">
        <v>2145</v>
      </c>
      <c r="N685" t="s">
        <v>16393</v>
      </c>
      <c r="O685" s="4">
        <v>37045</v>
      </c>
      <c r="P685" s="4">
        <v>95033</v>
      </c>
      <c r="Q685" s="4">
        <v>132078</v>
      </c>
      <c r="R685" s="4">
        <v>396234</v>
      </c>
      <c r="S685" t="s">
        <v>17065</v>
      </c>
      <c r="T685" s="6">
        <v>36130</v>
      </c>
      <c r="U685" s="4">
        <v>175500</v>
      </c>
      <c r="X685" t="s">
        <v>3</v>
      </c>
      <c r="AA685" s="5" t="str">
        <f>HYPERLINK("https://www.zillow.com/homes/1236-SPRING-VALLEY-DR-CAROL-STREAM-IL-60188_rb/","check listing")</f>
        <v>check listing</v>
      </c>
      <c r="AB685" s="5" t="str">
        <f>HYPERLINK("https://propertylookup.dupagecounty.gov/Datalets/Datalet.aspx?UseSearch=no&amp;mode=sales&amp;pin=0123404021","sales record")</f>
        <v>sales record</v>
      </c>
      <c r="AC685" t="s">
        <v>3</v>
      </c>
      <c r="AD685">
        <v>41.935851</v>
      </c>
      <c r="AE685">
        <v>-88.165904</v>
      </c>
      <c r="AF685" s="5" t="str">
        <f>HYPERLINK("https://www.google.com/maps/search/?api=1&amp;query=41.935851,-88.165904","map")</f>
        <v>map</v>
      </c>
    </row>
    <row r="686" spans="1:32">
      <c r="A686" t="s">
        <v>736</v>
      </c>
      <c r="B686" t="s">
        <v>8316</v>
      </c>
      <c r="C686" t="s">
        <v>15164</v>
      </c>
      <c r="D686" t="s">
        <v>16197</v>
      </c>
      <c r="E686" t="s">
        <v>16218</v>
      </c>
      <c r="F686" t="s">
        <v>16220</v>
      </c>
      <c r="G686" t="s">
        <v>16238</v>
      </c>
      <c r="H686" t="s">
        <v>16238</v>
      </c>
      <c r="I686" t="s">
        <v>16314</v>
      </c>
      <c r="J686" t="s">
        <v>16385</v>
      </c>
      <c r="K686">
        <v>0.177</v>
      </c>
      <c r="L686">
        <v>7699</v>
      </c>
      <c r="M686">
        <v>2903</v>
      </c>
      <c r="N686" t="s">
        <v>16393</v>
      </c>
      <c r="O686" s="4">
        <v>36878</v>
      </c>
      <c r="P686" s="4">
        <v>71550</v>
      </c>
      <c r="Q686" s="4">
        <v>108428</v>
      </c>
      <c r="R686" s="4">
        <v>325284</v>
      </c>
      <c r="S686" t="s">
        <v>17066</v>
      </c>
      <c r="T686" s="6">
        <v>41365</v>
      </c>
      <c r="U686" s="4">
        <v>173000</v>
      </c>
      <c r="V686" t="s">
        <v>23740</v>
      </c>
      <c r="W686" t="s">
        <v>24066</v>
      </c>
      <c r="X686" t="s">
        <v>3</v>
      </c>
      <c r="AA686" s="5" t="str">
        <f>HYPERLINK("https://www.zillow.com/homes/1320-BOA-TRL-CAROL-STREAM-IL-60188_rb/","check listing")</f>
        <v>check listing</v>
      </c>
      <c r="AB686" s="5" t="str">
        <f>HYPERLINK("https://propertylookup.dupagecounty.gov/Datalets/Datalet.aspx?UseSearch=no&amp;mode=sales&amp;pin=0123215010","sales record")</f>
        <v>sales record</v>
      </c>
      <c r="AC686" t="s">
        <v>3</v>
      </c>
      <c r="AD686">
        <v>41.93701</v>
      </c>
      <c r="AE686">
        <v>-88.166752</v>
      </c>
      <c r="AF686" s="5" t="str">
        <f>HYPERLINK("https://www.google.com/maps/search/?api=1&amp;query=41.93701,-88.166752","map")</f>
        <v>map</v>
      </c>
    </row>
    <row r="687" spans="1:32">
      <c r="A687" t="s">
        <v>737</v>
      </c>
      <c r="B687" t="s">
        <v>8317</v>
      </c>
      <c r="C687" t="s">
        <v>15164</v>
      </c>
      <c r="D687" t="s">
        <v>16197</v>
      </c>
      <c r="E687" t="s">
        <v>16218</v>
      </c>
      <c r="F687" t="s">
        <v>16220</v>
      </c>
      <c r="G687" t="s">
        <v>16238</v>
      </c>
      <c r="H687" t="s">
        <v>16238</v>
      </c>
      <c r="I687" t="s">
        <v>16314</v>
      </c>
      <c r="J687" t="s">
        <v>16385</v>
      </c>
      <c r="K687">
        <v>0.176</v>
      </c>
      <c r="L687">
        <v>7667</v>
      </c>
      <c r="M687">
        <v>2143</v>
      </c>
      <c r="N687" t="s">
        <v>16393</v>
      </c>
      <c r="O687" s="4">
        <v>37980</v>
      </c>
      <c r="P687" s="4">
        <v>86982</v>
      </c>
      <c r="Q687" s="4">
        <v>124962</v>
      </c>
      <c r="R687" s="4">
        <v>374886</v>
      </c>
      <c r="S687" t="s">
        <v>17067</v>
      </c>
      <c r="T687" s="6">
        <v>37073</v>
      </c>
      <c r="U687" s="4">
        <v>229000</v>
      </c>
      <c r="V687" t="s">
        <v>23739</v>
      </c>
      <c r="W687" t="s">
        <v>24067</v>
      </c>
      <c r="X687" t="s">
        <v>3</v>
      </c>
      <c r="AA687" s="5" t="str">
        <f>HYPERLINK("https://www.zillow.com/homes/1337-BOA-TR-CAROL-STREAM-IL-60188_rb/","check listing")</f>
        <v>check listing</v>
      </c>
      <c r="AB687" s="5" t="str">
        <f>HYPERLINK("https://propertylookup.dupagecounty.gov/Datalets/Datalet.aspx?UseSearch=no&amp;mode=sales&amp;pin=0123409039","sales record")</f>
        <v>sales record</v>
      </c>
      <c r="AC687" t="s">
        <v>3</v>
      </c>
      <c r="AD687">
        <v>41.936715</v>
      </c>
      <c r="AE687">
        <v>-88.168322</v>
      </c>
      <c r="AF687" s="5" t="str">
        <f>HYPERLINK("https://www.google.com/maps/search/?api=1&amp;query=41.936715,-88.168322","map")</f>
        <v>map</v>
      </c>
    </row>
    <row r="688" spans="1:32">
      <c r="A688" t="s">
        <v>738</v>
      </c>
      <c r="B688" t="s">
        <v>8318</v>
      </c>
      <c r="C688" t="s">
        <v>15172</v>
      </c>
      <c r="D688" t="s">
        <v>16197</v>
      </c>
      <c r="E688" t="s">
        <v>16218</v>
      </c>
      <c r="F688" t="s">
        <v>16220</v>
      </c>
      <c r="G688" t="s">
        <v>16238</v>
      </c>
      <c r="H688" t="s">
        <v>16238</v>
      </c>
      <c r="I688" t="s">
        <v>16314</v>
      </c>
      <c r="J688" t="s">
        <v>16385</v>
      </c>
      <c r="K688">
        <v>0.176</v>
      </c>
      <c r="L688">
        <v>7645</v>
      </c>
      <c r="M688">
        <v>1971</v>
      </c>
      <c r="N688" t="s">
        <v>16393</v>
      </c>
      <c r="O688" s="4">
        <v>36878</v>
      </c>
      <c r="P688" s="4">
        <v>91522</v>
      </c>
      <c r="Q688" s="4">
        <v>128400</v>
      </c>
      <c r="R688" s="4">
        <v>385200</v>
      </c>
      <c r="S688" t="s">
        <v>17068</v>
      </c>
      <c r="T688" s="6">
        <v>44621</v>
      </c>
      <c r="U688" s="4">
        <v>390000</v>
      </c>
      <c r="V688" t="s">
        <v>23739</v>
      </c>
      <c r="W688" t="s">
        <v>17068</v>
      </c>
      <c r="X688" t="s">
        <v>3</v>
      </c>
      <c r="AA688" s="5" t="str">
        <f>HYPERLINK("https://www.zillow.com/homes/1324-BOA-TRL-CAROL-STREAM-IL-601889081_rb/","check listing")</f>
        <v>check listing</v>
      </c>
      <c r="AB688" s="5" t="str">
        <f>HYPERLINK("https://propertylookup.dupagecounty.gov/Datalets/Datalet.aspx?UseSearch=no&amp;mode=sales&amp;pin=0123404113","sales record")</f>
        <v>sales record</v>
      </c>
      <c r="AC688" t="s">
        <v>3</v>
      </c>
      <c r="AD688">
        <v>41.93684</v>
      </c>
      <c r="AE688">
        <v>-88.167042</v>
      </c>
      <c r="AF688" s="5" t="str">
        <f>HYPERLINK("https://www.google.com/maps/search/?api=1&amp;query=41.93684,-88.167042","map")</f>
        <v>map</v>
      </c>
    </row>
    <row r="689" spans="1:32">
      <c r="A689" t="s">
        <v>739</v>
      </c>
      <c r="B689" t="s">
        <v>8319</v>
      </c>
      <c r="C689" t="s">
        <v>15164</v>
      </c>
      <c r="D689" t="s">
        <v>16197</v>
      </c>
      <c r="E689" t="s">
        <v>16218</v>
      </c>
      <c r="F689" t="s">
        <v>16220</v>
      </c>
      <c r="G689" t="s">
        <v>16238</v>
      </c>
      <c r="H689" t="s">
        <v>16238</v>
      </c>
      <c r="I689" t="s">
        <v>16314</v>
      </c>
      <c r="J689" t="s">
        <v>16385</v>
      </c>
      <c r="K689">
        <v>0.175</v>
      </c>
      <c r="L689">
        <v>7628</v>
      </c>
      <c r="M689">
        <v>2176</v>
      </c>
      <c r="N689" t="s">
        <v>16393</v>
      </c>
      <c r="O689" s="4">
        <v>37045</v>
      </c>
      <c r="P689" s="4">
        <v>97069</v>
      </c>
      <c r="Q689" s="4">
        <v>134114</v>
      </c>
      <c r="R689" s="4">
        <v>402342</v>
      </c>
      <c r="S689" t="s">
        <v>17069</v>
      </c>
      <c r="T689" s="6">
        <v>42948</v>
      </c>
      <c r="U689" s="4">
        <v>286500</v>
      </c>
      <c r="V689" t="s">
        <v>23739</v>
      </c>
      <c r="W689" t="s">
        <v>24068</v>
      </c>
      <c r="X689" t="s">
        <v>3</v>
      </c>
      <c r="AA689" s="5" t="str">
        <f>HYPERLINK("https://www.zillow.com/homes/1226-SPRING-VALLEY-DR-CAROL-STREAM-IL-60188_rb/","check listing")</f>
        <v>check listing</v>
      </c>
      <c r="AB689" s="5" t="str">
        <f>HYPERLINK("https://propertylookup.dupagecounty.gov/Datalets/Datalet.aspx?UseSearch=no&amp;mode=sales&amp;pin=0123404023","sales record")</f>
        <v>sales record</v>
      </c>
      <c r="AC689" t="s">
        <v>3</v>
      </c>
      <c r="AD689">
        <v>41.935526</v>
      </c>
      <c r="AE689">
        <v>-88.165907</v>
      </c>
      <c r="AF689" s="5" t="str">
        <f>HYPERLINK("https://www.google.com/maps/search/?api=1&amp;query=41.935526,-88.165907","map")</f>
        <v>map</v>
      </c>
    </row>
    <row r="690" spans="1:32">
      <c r="A690" t="s">
        <v>740</v>
      </c>
      <c r="B690" t="s">
        <v>8320</v>
      </c>
      <c r="C690" t="s">
        <v>15164</v>
      </c>
      <c r="D690" t="s">
        <v>16197</v>
      </c>
      <c r="E690" t="s">
        <v>16218</v>
      </c>
      <c r="F690" t="s">
        <v>16220</v>
      </c>
      <c r="G690" t="s">
        <v>16238</v>
      </c>
      <c r="H690" t="s">
        <v>16238</v>
      </c>
      <c r="I690" t="s">
        <v>16314</v>
      </c>
      <c r="J690" t="s">
        <v>16385</v>
      </c>
      <c r="K690">
        <v>0.175</v>
      </c>
      <c r="L690">
        <v>7624</v>
      </c>
      <c r="M690">
        <v>1584</v>
      </c>
      <c r="N690" t="s">
        <v>16393</v>
      </c>
      <c r="O690" s="4">
        <v>37045</v>
      </c>
      <c r="P690" s="4">
        <v>79014</v>
      </c>
      <c r="Q690" s="4">
        <v>116059</v>
      </c>
      <c r="R690" s="4">
        <v>348177</v>
      </c>
      <c r="S690" t="s">
        <v>17070</v>
      </c>
      <c r="T690" s="6">
        <v>31809</v>
      </c>
      <c r="U690" s="4">
        <v>95000</v>
      </c>
      <c r="X690" t="s">
        <v>3</v>
      </c>
      <c r="AA690" s="5" t="str">
        <f>HYPERLINK("https://www.zillow.com/homes/1232-SPRING-VALLEY-DR-CAROL-STREAM-IL-60188_rb/","check listing")</f>
        <v>check listing</v>
      </c>
      <c r="AB690" s="5" t="str">
        <f>HYPERLINK("https://propertylookup.dupagecounty.gov/Datalets/Datalet.aspx?UseSearch=no&amp;mode=sales&amp;pin=0123404022","sales record")</f>
        <v>sales record</v>
      </c>
      <c r="AC690" t="s">
        <v>3</v>
      </c>
      <c r="AD690">
        <v>41.935692</v>
      </c>
      <c r="AE690">
        <v>-88.16590600000001</v>
      </c>
      <c r="AF690" s="5" t="str">
        <f>HYPERLINK("https://www.google.com/maps/search/?api=1&amp;query=41.935692,-88.165906","map")</f>
        <v>map</v>
      </c>
    </row>
    <row r="691" spans="1:32">
      <c r="A691" t="s">
        <v>741</v>
      </c>
      <c r="B691" t="s">
        <v>8321</v>
      </c>
      <c r="C691" t="s">
        <v>15164</v>
      </c>
      <c r="D691" t="s">
        <v>16197</v>
      </c>
      <c r="E691" t="s">
        <v>16218</v>
      </c>
      <c r="F691" t="s">
        <v>16220</v>
      </c>
      <c r="G691" t="s">
        <v>16238</v>
      </c>
      <c r="H691" t="s">
        <v>16238</v>
      </c>
      <c r="I691" t="s">
        <v>16314</v>
      </c>
      <c r="J691" t="s">
        <v>16385</v>
      </c>
      <c r="K691">
        <v>0.175</v>
      </c>
      <c r="L691">
        <v>7610</v>
      </c>
      <c r="M691">
        <v>1616</v>
      </c>
      <c r="N691" t="s">
        <v>16393</v>
      </c>
      <c r="O691" s="4">
        <v>36878</v>
      </c>
      <c r="P691" s="4">
        <v>62445</v>
      </c>
      <c r="Q691" s="4">
        <v>99323</v>
      </c>
      <c r="R691" s="4">
        <v>297969</v>
      </c>
      <c r="S691" t="s">
        <v>17071</v>
      </c>
      <c r="T691" s="6">
        <v>38078</v>
      </c>
      <c r="U691" s="4">
        <v>200000</v>
      </c>
      <c r="V691" t="s">
        <v>23739</v>
      </c>
      <c r="W691" t="s">
        <v>24069</v>
      </c>
      <c r="X691" t="s">
        <v>3</v>
      </c>
      <c r="AA691" s="5" t="str">
        <f>HYPERLINK("https://www.zillow.com/homes/1322-BOA-TR-CAROL-STREAM-IL-60188_rb/","check listing")</f>
        <v>check listing</v>
      </c>
      <c r="AB691" s="5" t="str">
        <f>HYPERLINK("https://propertylookup.dupagecounty.gov/Datalets/Datalet.aspx?UseSearch=no&amp;mode=sales&amp;pin=0123404114","sales record")</f>
        <v>sales record</v>
      </c>
      <c r="AC691" t="s">
        <v>3</v>
      </c>
      <c r="AD691">
        <v>41.936936</v>
      </c>
      <c r="AE691">
        <v>-88.16691</v>
      </c>
      <c r="AF691" s="5" t="str">
        <f>HYPERLINK("https://www.google.com/maps/search/?api=1&amp;query=41.936936,-88.16691","map")</f>
        <v>map</v>
      </c>
    </row>
    <row r="692" spans="1:32">
      <c r="A692" t="s">
        <v>742</v>
      </c>
      <c r="B692" t="s">
        <v>8322</v>
      </c>
      <c r="C692" t="s">
        <v>15164</v>
      </c>
      <c r="D692" t="s">
        <v>16197</v>
      </c>
      <c r="E692" t="s">
        <v>16218</v>
      </c>
      <c r="F692" t="s">
        <v>16220</v>
      </c>
      <c r="G692" t="s">
        <v>16238</v>
      </c>
      <c r="H692" t="s">
        <v>16238</v>
      </c>
      <c r="I692" t="s">
        <v>16314</v>
      </c>
      <c r="J692" t="s">
        <v>16385</v>
      </c>
      <c r="K692">
        <v>0.173</v>
      </c>
      <c r="L692">
        <v>7547</v>
      </c>
      <c r="M692">
        <v>2144</v>
      </c>
      <c r="N692" t="s">
        <v>16393</v>
      </c>
      <c r="O692" s="4">
        <v>37045</v>
      </c>
      <c r="P692" s="4">
        <v>91403</v>
      </c>
      <c r="Q692" s="4">
        <v>128448</v>
      </c>
      <c r="R692" s="4">
        <v>385344</v>
      </c>
      <c r="S692" t="s">
        <v>17072</v>
      </c>
      <c r="T692" s="6">
        <v>35156</v>
      </c>
      <c r="U692" s="4">
        <v>160000</v>
      </c>
      <c r="X692" t="s">
        <v>3</v>
      </c>
      <c r="AA692" s="5" t="str">
        <f>HYPERLINK("https://www.zillow.com/homes/1214-SPRING-VALLEY-DR-CAROL-STREAM-IL-60188_rb/","check listing")</f>
        <v>check listing</v>
      </c>
      <c r="AB692" s="5" t="str">
        <f>HYPERLINK("https://propertylookup.dupagecounty.gov/Datalets/Datalet.aspx?UseSearch=no&amp;mode=sales&amp;pin=0123404025","sales record")</f>
        <v>sales record</v>
      </c>
      <c r="AC692" t="s">
        <v>3</v>
      </c>
      <c r="AD692">
        <v>41.935222</v>
      </c>
      <c r="AE692">
        <v>-88.165905</v>
      </c>
      <c r="AF692" s="5" t="str">
        <f>HYPERLINK("https://www.google.com/maps/search/?api=1&amp;query=41.935222,-88.165905","map")</f>
        <v>map</v>
      </c>
    </row>
    <row r="693" spans="1:32">
      <c r="A693" t="s">
        <v>743</v>
      </c>
      <c r="B693" t="s">
        <v>8323</v>
      </c>
      <c r="C693" t="s">
        <v>15164</v>
      </c>
      <c r="D693" t="s">
        <v>16197</v>
      </c>
      <c r="E693" t="s">
        <v>16218</v>
      </c>
      <c r="F693" t="s">
        <v>16220</v>
      </c>
      <c r="G693" t="s">
        <v>16238</v>
      </c>
      <c r="H693" t="s">
        <v>16238</v>
      </c>
      <c r="I693" t="s">
        <v>16314</v>
      </c>
      <c r="J693" t="s">
        <v>16385</v>
      </c>
      <c r="K693">
        <v>0.173</v>
      </c>
      <c r="L693">
        <v>7535</v>
      </c>
      <c r="M693">
        <v>2575</v>
      </c>
      <c r="N693" t="s">
        <v>16393</v>
      </c>
      <c r="O693" s="4">
        <v>36878</v>
      </c>
      <c r="P693" s="4">
        <v>71251</v>
      </c>
      <c r="Q693" s="4">
        <v>108129</v>
      </c>
      <c r="R693" s="4">
        <v>324387</v>
      </c>
      <c r="S693" t="s">
        <v>17073</v>
      </c>
      <c r="T693" s="6">
        <v>42095</v>
      </c>
      <c r="U693" s="4">
        <v>187500</v>
      </c>
      <c r="V693" t="s">
        <v>23739</v>
      </c>
      <c r="W693" t="s">
        <v>24070</v>
      </c>
      <c r="X693" t="s">
        <v>3</v>
      </c>
      <c r="AA693" s="5" t="str">
        <f>HYPERLINK("https://www.zillow.com/homes/1318-BOA-TR-CAROL-STREAM-IL-60188_rb/","check listing")</f>
        <v>check listing</v>
      </c>
      <c r="AB693" s="5" t="str">
        <f>HYPERLINK("https://propertylookup.dupagecounty.gov/Datalets/Datalet.aspx?UseSearch=no&amp;mode=sales&amp;pin=0123215009","sales record")</f>
        <v>sales record</v>
      </c>
      <c r="AC693" t="s">
        <v>3</v>
      </c>
      <c r="AD693">
        <v>41.937182</v>
      </c>
      <c r="AE693">
        <v>-88.166712</v>
      </c>
      <c r="AF693" s="5" t="str">
        <f>HYPERLINK("https://www.google.com/maps/search/?api=1&amp;query=41.937182,-88.166712","map")</f>
        <v>map</v>
      </c>
    </row>
    <row r="694" spans="1:32">
      <c r="A694" t="s">
        <v>744</v>
      </c>
      <c r="B694" t="s">
        <v>8324</v>
      </c>
      <c r="C694" t="s">
        <v>15164</v>
      </c>
      <c r="D694" t="s">
        <v>16197</v>
      </c>
      <c r="E694" t="s">
        <v>16218</v>
      </c>
      <c r="F694" t="s">
        <v>16220</v>
      </c>
      <c r="G694" t="s">
        <v>16238</v>
      </c>
      <c r="H694" t="s">
        <v>16238</v>
      </c>
      <c r="I694" t="s">
        <v>16314</v>
      </c>
      <c r="J694" t="s">
        <v>16385</v>
      </c>
      <c r="K694">
        <v>0.173</v>
      </c>
      <c r="L694">
        <v>7527</v>
      </c>
      <c r="M694">
        <v>2145</v>
      </c>
      <c r="N694" t="s">
        <v>16393</v>
      </c>
      <c r="O694" s="4">
        <v>36878</v>
      </c>
      <c r="P694" s="4">
        <v>87569</v>
      </c>
      <c r="Q694" s="4">
        <v>124447</v>
      </c>
      <c r="R694" s="4">
        <v>373341</v>
      </c>
      <c r="S694" t="s">
        <v>17074</v>
      </c>
      <c r="T694" s="6">
        <v>37926</v>
      </c>
      <c r="U694" s="4">
        <v>234000</v>
      </c>
      <c r="V694" t="s">
        <v>23739</v>
      </c>
      <c r="W694" t="s">
        <v>24071</v>
      </c>
      <c r="X694" t="s">
        <v>3</v>
      </c>
      <c r="AA694" s="5" t="str">
        <f>HYPERLINK("https://www.zillow.com/homes/1320-SPRING-VALLEY-DR-CAROL-STREAM-IL-60188_rb/","check listing")</f>
        <v>check listing</v>
      </c>
      <c r="AB694" s="5" t="str">
        <f>HYPERLINK("https://propertylookup.dupagecounty.gov/Datalets/Datalet.aspx?UseSearch=no&amp;mode=sales&amp;pin=0123214033","sales record")</f>
        <v>sales record</v>
      </c>
      <c r="AC694" t="s">
        <v>3</v>
      </c>
      <c r="AD694">
        <v>41.938011</v>
      </c>
      <c r="AE694">
        <v>-88.167366</v>
      </c>
      <c r="AF694" s="5" t="str">
        <f>HYPERLINK("https://www.google.com/maps/search/?api=1&amp;query=41.938011,-88.167366","map")</f>
        <v>map</v>
      </c>
    </row>
    <row r="695" spans="1:32">
      <c r="A695" t="s">
        <v>745</v>
      </c>
      <c r="B695" t="s">
        <v>8325</v>
      </c>
      <c r="C695" t="s">
        <v>15164</v>
      </c>
      <c r="D695" t="s">
        <v>16197</v>
      </c>
      <c r="E695" t="s">
        <v>16218</v>
      </c>
      <c r="F695" t="s">
        <v>16220</v>
      </c>
      <c r="G695" t="s">
        <v>16238</v>
      </c>
      <c r="H695" t="s">
        <v>16238</v>
      </c>
      <c r="I695" t="s">
        <v>16314</v>
      </c>
      <c r="J695" t="s">
        <v>16385</v>
      </c>
      <c r="K695">
        <v>0.172</v>
      </c>
      <c r="L695">
        <v>7508</v>
      </c>
      <c r="M695">
        <v>2637</v>
      </c>
      <c r="N695" t="s">
        <v>16393</v>
      </c>
      <c r="O695" s="4">
        <v>36878</v>
      </c>
      <c r="P695" s="4">
        <v>94039</v>
      </c>
      <c r="Q695" s="4">
        <v>130917</v>
      </c>
      <c r="R695" s="4">
        <v>392751</v>
      </c>
      <c r="S695" t="s">
        <v>17075</v>
      </c>
      <c r="T695" s="6">
        <v>31107</v>
      </c>
      <c r="U695" s="4">
        <v>99985</v>
      </c>
      <c r="X695" t="s">
        <v>3</v>
      </c>
      <c r="AA695" s="5" t="str">
        <f>HYPERLINK("https://www.zillow.com/homes/1341-BOA-TR-CAROL-STREAM-IL-60188_rb/","check listing")</f>
        <v>check listing</v>
      </c>
      <c r="AB695" s="5" t="str">
        <f>HYPERLINK("https://propertylookup.dupagecounty.gov/Datalets/Datalet.aspx?UseSearch=no&amp;mode=sales&amp;pin=0123409037","sales record")</f>
        <v>sales record</v>
      </c>
      <c r="AC695" t="s">
        <v>3</v>
      </c>
      <c r="AD695">
        <v>41.936391</v>
      </c>
      <c r="AE695">
        <v>-88.168267</v>
      </c>
      <c r="AF695" s="5" t="str">
        <f>HYPERLINK("https://www.google.com/maps/search/?api=1&amp;query=41.936391,-88.168267","map")</f>
        <v>map</v>
      </c>
    </row>
    <row r="696" spans="1:32">
      <c r="A696" t="s">
        <v>746</v>
      </c>
      <c r="B696" t="s">
        <v>8326</v>
      </c>
      <c r="C696" t="s">
        <v>15164</v>
      </c>
      <c r="D696" t="s">
        <v>16197</v>
      </c>
      <c r="E696" t="s">
        <v>16218</v>
      </c>
      <c r="F696" t="s">
        <v>16220</v>
      </c>
      <c r="G696" t="s">
        <v>16238</v>
      </c>
      <c r="H696" t="s">
        <v>16238</v>
      </c>
      <c r="I696" t="s">
        <v>16314</v>
      </c>
      <c r="J696" t="s">
        <v>16385</v>
      </c>
      <c r="K696">
        <v>0.172</v>
      </c>
      <c r="L696">
        <v>7507</v>
      </c>
      <c r="M696">
        <v>1995</v>
      </c>
      <c r="N696" t="s">
        <v>16393</v>
      </c>
      <c r="O696" s="4">
        <v>37045</v>
      </c>
      <c r="P696" s="4">
        <v>89533</v>
      </c>
      <c r="Q696" s="4">
        <v>126578</v>
      </c>
      <c r="R696" s="4">
        <v>379734</v>
      </c>
      <c r="S696" t="s">
        <v>17076</v>
      </c>
      <c r="X696" t="s">
        <v>3</v>
      </c>
      <c r="AA696" s="5" t="str">
        <f>HYPERLINK("https://www.zillow.com/homes/1254-SPRING-VALLEY-DR-CAROL-STREAM-IL-60188_rb/","check listing")</f>
        <v>check listing</v>
      </c>
      <c r="AB696" s="5" t="str">
        <f>HYPERLINK("https://propertylookup.dupagecounty.gov/Datalets/Datalet.aspx?UseSearch=no&amp;mode=sales&amp;pin=0123404019","sales record")</f>
        <v>sales record</v>
      </c>
      <c r="AC696" t="s">
        <v>3</v>
      </c>
      <c r="AD696">
        <v>41.936232</v>
      </c>
      <c r="AE696">
        <v>-88.165905</v>
      </c>
      <c r="AF696" s="5" t="str">
        <f>HYPERLINK("https://www.google.com/maps/search/?api=1&amp;query=41.936232,-88.165905","map")</f>
        <v>map</v>
      </c>
    </row>
    <row r="697" spans="1:32">
      <c r="A697" t="s">
        <v>747</v>
      </c>
      <c r="B697" t="s">
        <v>8327</v>
      </c>
      <c r="C697" t="s">
        <v>15164</v>
      </c>
      <c r="D697" t="s">
        <v>16197</v>
      </c>
      <c r="E697" t="s">
        <v>16218</v>
      </c>
      <c r="F697" t="s">
        <v>16220</v>
      </c>
      <c r="G697" t="s">
        <v>16238</v>
      </c>
      <c r="H697" t="s">
        <v>16238</v>
      </c>
      <c r="I697" t="s">
        <v>16314</v>
      </c>
      <c r="J697" t="s">
        <v>16385</v>
      </c>
      <c r="K697">
        <v>0.171</v>
      </c>
      <c r="L697">
        <v>7453</v>
      </c>
      <c r="M697">
        <v>1971</v>
      </c>
      <c r="N697" t="s">
        <v>16393</v>
      </c>
      <c r="O697" s="4">
        <v>37045</v>
      </c>
      <c r="P697" s="4">
        <v>97572</v>
      </c>
      <c r="Q697" s="4">
        <v>134617</v>
      </c>
      <c r="R697" s="4">
        <v>403851</v>
      </c>
      <c r="S697" t="s">
        <v>17077</v>
      </c>
      <c r="T697" s="6">
        <v>37165</v>
      </c>
      <c r="U697" s="4">
        <v>226500</v>
      </c>
      <c r="V697" t="s">
        <v>23739</v>
      </c>
      <c r="W697" t="s">
        <v>17077</v>
      </c>
      <c r="X697" t="s">
        <v>3</v>
      </c>
      <c r="AA697" s="5" t="str">
        <f>HYPERLINK("https://www.zillow.com/homes/1222-SPRING-VALLEY-DR-CAROL-STREAM-IL-60188_rb/","check listing")</f>
        <v>check listing</v>
      </c>
      <c r="AB697" s="5" t="str">
        <f>HYPERLINK("https://propertylookup.dupagecounty.gov/Datalets/Datalet.aspx?UseSearch=no&amp;mode=sales&amp;pin=0123404024","sales record")</f>
        <v>sales record</v>
      </c>
      <c r="AC697" t="s">
        <v>3</v>
      </c>
      <c r="AD697">
        <v>41.93536</v>
      </c>
      <c r="AE697">
        <v>-88.165907</v>
      </c>
      <c r="AF697" s="5" t="str">
        <f>HYPERLINK("https://www.google.com/maps/search/?api=1&amp;query=41.93536,-88.165907","map")</f>
        <v>map</v>
      </c>
    </row>
    <row r="698" spans="1:32">
      <c r="A698" t="s">
        <v>748</v>
      </c>
      <c r="B698" t="s">
        <v>8328</v>
      </c>
      <c r="C698" t="s">
        <v>15164</v>
      </c>
      <c r="D698" t="s">
        <v>16197</v>
      </c>
      <c r="E698" t="s">
        <v>16218</v>
      </c>
      <c r="F698" t="s">
        <v>16220</v>
      </c>
      <c r="G698" t="s">
        <v>16238</v>
      </c>
      <c r="H698" t="s">
        <v>16238</v>
      </c>
      <c r="I698" t="s">
        <v>16314</v>
      </c>
      <c r="J698" t="s">
        <v>16385</v>
      </c>
      <c r="K698">
        <v>0.171</v>
      </c>
      <c r="L698">
        <v>7442</v>
      </c>
      <c r="M698">
        <v>1648</v>
      </c>
      <c r="N698" t="s">
        <v>16393</v>
      </c>
      <c r="O698" s="4">
        <v>36878</v>
      </c>
      <c r="P698" s="4">
        <v>72616</v>
      </c>
      <c r="Q698" s="4">
        <v>109494</v>
      </c>
      <c r="R698" s="4">
        <v>328482</v>
      </c>
      <c r="S698" t="s">
        <v>17078</v>
      </c>
      <c r="T698" s="6">
        <v>39173</v>
      </c>
      <c r="U698" s="4">
        <v>258000</v>
      </c>
      <c r="V698" t="s">
        <v>23739</v>
      </c>
      <c r="W698" t="s">
        <v>17078</v>
      </c>
      <c r="X698" t="s">
        <v>3</v>
      </c>
      <c r="AA698" s="5" t="str">
        <f>HYPERLINK("https://www.zillow.com/homes/1290-SPRING-VALLEY-DR-CAROL-STREAM-IL-60188_rb/","check listing")</f>
        <v>check listing</v>
      </c>
      <c r="AB698" s="5" t="str">
        <f>HYPERLINK("https://propertylookup.dupagecounty.gov/Datalets/Datalet.aspx?UseSearch=no&amp;mode=sales&amp;pin=0123215008","sales record")</f>
        <v>sales record</v>
      </c>
      <c r="AC698" t="s">
        <v>3</v>
      </c>
      <c r="AD698">
        <v>41.937211</v>
      </c>
      <c r="AE698">
        <v>-88.16624</v>
      </c>
      <c r="AF698" s="5" t="str">
        <f>HYPERLINK("https://www.google.com/maps/search/?api=1&amp;query=41.937211,-88.16624","map")</f>
        <v>map</v>
      </c>
    </row>
    <row r="699" spans="1:32">
      <c r="A699" t="s">
        <v>749</v>
      </c>
      <c r="B699" t="s">
        <v>8329</v>
      </c>
      <c r="C699" t="s">
        <v>15164</v>
      </c>
      <c r="D699" t="s">
        <v>16197</v>
      </c>
      <c r="E699" t="s">
        <v>16218</v>
      </c>
      <c r="F699" t="s">
        <v>16220</v>
      </c>
      <c r="G699" t="s">
        <v>16238</v>
      </c>
      <c r="H699" t="s">
        <v>16238</v>
      </c>
      <c r="I699" t="s">
        <v>16314</v>
      </c>
      <c r="J699" t="s">
        <v>16385</v>
      </c>
      <c r="K699">
        <v>0.17</v>
      </c>
      <c r="L699">
        <v>7385</v>
      </c>
      <c r="M699">
        <v>2035</v>
      </c>
      <c r="N699" t="s">
        <v>16393</v>
      </c>
      <c r="O699" s="4">
        <v>36878</v>
      </c>
      <c r="P699" s="4">
        <v>73706</v>
      </c>
      <c r="Q699" s="4">
        <v>110584</v>
      </c>
      <c r="R699" s="4">
        <v>331752</v>
      </c>
      <c r="S699" t="s">
        <v>17079</v>
      </c>
      <c r="T699" s="6">
        <v>43282</v>
      </c>
      <c r="U699" s="4">
        <v>242000</v>
      </c>
      <c r="V699" t="s">
        <v>23739</v>
      </c>
      <c r="W699" t="s">
        <v>24072</v>
      </c>
      <c r="X699" t="s">
        <v>3</v>
      </c>
      <c r="AA699" s="5" t="str">
        <f>HYPERLINK("https://www.zillow.com/homes/1363-BOA-TR-CAROL-STREAM-IL-60188_rb/","check listing")</f>
        <v>check listing</v>
      </c>
      <c r="AB699" s="5" t="str">
        <f>HYPERLINK("https://propertylookup.dupagecounty.gov/Datalets/Datalet.aspx?UseSearch=no&amp;mode=sales&amp;pin=0123409033","sales record")</f>
        <v>sales record</v>
      </c>
      <c r="AC699" t="s">
        <v>27873</v>
      </c>
      <c r="AD699">
        <v>41.935815</v>
      </c>
      <c r="AE699">
        <v>-88.168346</v>
      </c>
      <c r="AF699" s="5" t="str">
        <f>HYPERLINK("https://www.google.com/maps/search/?api=1&amp;query=41.935815,-88.168346","map")</f>
        <v>map</v>
      </c>
    </row>
    <row r="700" spans="1:32">
      <c r="A700" t="s">
        <v>750</v>
      </c>
      <c r="B700" t="s">
        <v>8330</v>
      </c>
      <c r="C700" t="s">
        <v>15186</v>
      </c>
      <c r="D700" t="s">
        <v>16197</v>
      </c>
      <c r="E700" t="s">
        <v>16218</v>
      </c>
      <c r="F700" t="s">
        <v>16220</v>
      </c>
      <c r="G700" t="s">
        <v>16238</v>
      </c>
      <c r="H700" t="s">
        <v>16238</v>
      </c>
      <c r="I700" t="s">
        <v>16314</v>
      </c>
      <c r="J700" t="s">
        <v>16385</v>
      </c>
      <c r="K700">
        <v>0.169</v>
      </c>
      <c r="L700">
        <v>7345</v>
      </c>
      <c r="M700">
        <v>1287</v>
      </c>
      <c r="N700" t="s">
        <v>16393</v>
      </c>
      <c r="O700" s="4">
        <v>35919</v>
      </c>
      <c r="P700" s="4">
        <v>90114</v>
      </c>
      <c r="Q700" s="4">
        <v>126033</v>
      </c>
      <c r="R700" s="4">
        <v>378099</v>
      </c>
      <c r="S700" t="s">
        <v>17080</v>
      </c>
      <c r="T700" s="6">
        <v>44621</v>
      </c>
      <c r="U700" s="4">
        <v>320000</v>
      </c>
      <c r="V700" t="s">
        <v>16232</v>
      </c>
      <c r="W700" t="s">
        <v>24073</v>
      </c>
      <c r="X700" t="s">
        <v>3</v>
      </c>
      <c r="AA700" s="5" t="str">
        <f>HYPERLINK("https://www.zillow.com/homes/135-CARRIAGE-DR-CAROL-STREAM-IL-601882003_rb/","check listing")</f>
        <v>check listing</v>
      </c>
      <c r="AB700" s="5" t="str">
        <f>HYPERLINK("https://propertylookup.dupagecounty.gov/Datalets/Datalet.aspx?UseSearch=no&amp;mode=sales&amp;pin=0232305014","sales record")</f>
        <v>sales record</v>
      </c>
      <c r="AC700" t="s">
        <v>3</v>
      </c>
      <c r="AD700">
        <v>41.906519</v>
      </c>
      <c r="AE700">
        <v>-88.123448</v>
      </c>
      <c r="AF700" s="5" t="str">
        <f>HYPERLINK("https://www.google.com/maps/search/?api=1&amp;query=41.906519,-88.123448","map")</f>
        <v>map</v>
      </c>
    </row>
    <row r="701" spans="1:32">
      <c r="A701" t="s">
        <v>751</v>
      </c>
      <c r="B701" t="s">
        <v>8331</v>
      </c>
      <c r="C701" t="s">
        <v>15187</v>
      </c>
      <c r="D701" t="s">
        <v>16197</v>
      </c>
      <c r="E701" t="s">
        <v>16218</v>
      </c>
      <c r="F701" t="s">
        <v>16220</v>
      </c>
      <c r="G701" t="s">
        <v>16238</v>
      </c>
      <c r="H701" t="s">
        <v>16238</v>
      </c>
      <c r="I701" t="s">
        <v>16314</v>
      </c>
      <c r="J701" t="s">
        <v>16385</v>
      </c>
      <c r="K701">
        <v>0.169</v>
      </c>
      <c r="L701">
        <v>7341</v>
      </c>
      <c r="M701">
        <v>2143</v>
      </c>
      <c r="N701" t="s">
        <v>16393</v>
      </c>
      <c r="O701" s="4">
        <v>35919</v>
      </c>
      <c r="P701" s="4">
        <v>92814</v>
      </c>
      <c r="Q701" s="4">
        <v>128733</v>
      </c>
      <c r="R701" s="4">
        <v>386199</v>
      </c>
      <c r="S701" t="s">
        <v>17081</v>
      </c>
      <c r="T701" s="6">
        <v>43647</v>
      </c>
      <c r="U701" s="4">
        <v>250000</v>
      </c>
      <c r="V701" t="s">
        <v>23739</v>
      </c>
      <c r="W701" t="s">
        <v>24074</v>
      </c>
      <c r="X701" t="s">
        <v>3</v>
      </c>
      <c r="AA701" s="5" t="str">
        <f>HYPERLINK("https://www.zillow.com/homes/172-PARK-HILL-TRL-CAROL-STREAM-IL-601882043_rb/","check listing")</f>
        <v>check listing</v>
      </c>
      <c r="AB701" s="5" t="str">
        <f>HYPERLINK("https://propertylookup.dupagecounty.gov/Datalets/Datalet.aspx?UseSearch=no&amp;mode=sales&amp;pin=0232305002","sales record")</f>
        <v>sales record</v>
      </c>
      <c r="AC701" t="s">
        <v>3</v>
      </c>
      <c r="AD701">
        <v>41.90761</v>
      </c>
      <c r="AE701">
        <v>-88.12331500000001</v>
      </c>
      <c r="AF701" s="5" t="str">
        <f>HYPERLINK("https://www.google.com/maps/search/?api=1&amp;query=41.90761,-88.123315","map")</f>
        <v>map</v>
      </c>
    </row>
    <row r="702" spans="1:32">
      <c r="A702" t="s">
        <v>752</v>
      </c>
      <c r="B702" t="s">
        <v>8332</v>
      </c>
      <c r="C702" t="s">
        <v>15164</v>
      </c>
      <c r="D702" t="s">
        <v>16197</v>
      </c>
      <c r="E702" t="s">
        <v>16218</v>
      </c>
      <c r="F702" t="s">
        <v>16220</v>
      </c>
      <c r="G702" t="s">
        <v>16238</v>
      </c>
      <c r="H702" t="s">
        <v>16238</v>
      </c>
      <c r="I702" t="s">
        <v>16314</v>
      </c>
      <c r="J702" t="s">
        <v>16385</v>
      </c>
      <c r="K702">
        <v>0.168</v>
      </c>
      <c r="L702">
        <v>7333</v>
      </c>
      <c r="M702">
        <v>2043</v>
      </c>
      <c r="N702" t="s">
        <v>16393</v>
      </c>
      <c r="O702" s="4">
        <v>36878</v>
      </c>
      <c r="P702" s="4">
        <v>73431</v>
      </c>
      <c r="Q702" s="4">
        <v>110309</v>
      </c>
      <c r="R702" s="4">
        <v>330927</v>
      </c>
      <c r="S702" t="s">
        <v>17082</v>
      </c>
      <c r="T702" s="6">
        <v>42583</v>
      </c>
      <c r="U702" s="4">
        <v>210000</v>
      </c>
      <c r="V702" t="s">
        <v>23740</v>
      </c>
      <c r="W702" t="s">
        <v>24075</v>
      </c>
      <c r="X702" t="s">
        <v>3</v>
      </c>
      <c r="AA702" s="5" t="str">
        <f>HYPERLINK("https://www.zillow.com/homes/1330-BIG-HORN-TR-CAROL-STREAM-IL-60188_rb/","check listing")</f>
        <v>check listing</v>
      </c>
      <c r="AB702" s="5" t="str">
        <f>HYPERLINK("https://propertylookup.dupagecounty.gov/Datalets/Datalet.aspx?UseSearch=no&amp;mode=sales&amp;pin=0123214030","sales record")</f>
        <v>sales record</v>
      </c>
      <c r="AC702" t="s">
        <v>3</v>
      </c>
      <c r="AD702">
        <v>41.93758</v>
      </c>
      <c r="AE702">
        <v>-88.16770200000001</v>
      </c>
      <c r="AF702" s="5" t="str">
        <f>HYPERLINK("https://www.google.com/maps/search/?api=1&amp;query=41.93758,-88.167702","map")</f>
        <v>map</v>
      </c>
    </row>
    <row r="703" spans="1:32">
      <c r="A703" t="s">
        <v>753</v>
      </c>
      <c r="B703" t="s">
        <v>8333</v>
      </c>
      <c r="C703" t="s">
        <v>15164</v>
      </c>
      <c r="D703" t="s">
        <v>16197</v>
      </c>
      <c r="E703" t="s">
        <v>16218</v>
      </c>
      <c r="F703" t="s">
        <v>16220</v>
      </c>
      <c r="G703" t="s">
        <v>16238</v>
      </c>
      <c r="H703" t="s">
        <v>16238</v>
      </c>
      <c r="I703" t="s">
        <v>16314</v>
      </c>
      <c r="J703" t="s">
        <v>16385</v>
      </c>
      <c r="K703">
        <v>0.166</v>
      </c>
      <c r="L703">
        <v>7252</v>
      </c>
      <c r="M703">
        <v>2351</v>
      </c>
      <c r="N703" t="s">
        <v>16393</v>
      </c>
      <c r="O703" s="4">
        <v>35919</v>
      </c>
      <c r="P703" s="4">
        <v>88273</v>
      </c>
      <c r="Q703" s="4">
        <v>124192</v>
      </c>
      <c r="R703" s="4">
        <v>372576</v>
      </c>
      <c r="S703" t="s">
        <v>17083</v>
      </c>
      <c r="T703" s="6">
        <v>42339</v>
      </c>
      <c r="U703" s="4">
        <v>135000</v>
      </c>
      <c r="V703" t="s">
        <v>23739</v>
      </c>
      <c r="W703" t="s">
        <v>24076</v>
      </c>
      <c r="X703" t="s">
        <v>3</v>
      </c>
      <c r="AA703" s="5" t="str">
        <f>HYPERLINK("https://www.zillow.com/homes/141-CARRIAGE-DR-CAROL-STREAM-IL-60188_rb/","check listing")</f>
        <v>check listing</v>
      </c>
      <c r="AB703" s="5" t="str">
        <f>HYPERLINK("https://propertylookup.dupagecounty.gov/Datalets/Datalet.aspx?UseSearch=no&amp;mode=sales&amp;pin=0232305013","sales record")</f>
        <v>sales record</v>
      </c>
      <c r="AC703" t="s">
        <v>3</v>
      </c>
      <c r="AD703">
        <v>41.906686</v>
      </c>
      <c r="AE703">
        <v>-88.12347</v>
      </c>
      <c r="AF703" s="5" t="str">
        <f>HYPERLINK("https://www.google.com/maps/search/?api=1&amp;query=41.906686,-88.12347","map")</f>
        <v>map</v>
      </c>
    </row>
    <row r="704" spans="1:32">
      <c r="A704" t="s">
        <v>754</v>
      </c>
      <c r="B704" t="s">
        <v>8334</v>
      </c>
      <c r="C704" t="s">
        <v>15164</v>
      </c>
      <c r="D704" t="s">
        <v>16197</v>
      </c>
      <c r="E704" t="s">
        <v>16218</v>
      </c>
      <c r="F704" t="s">
        <v>16220</v>
      </c>
      <c r="G704" t="s">
        <v>16238</v>
      </c>
      <c r="H704" t="s">
        <v>16238</v>
      </c>
      <c r="I704" t="s">
        <v>16314</v>
      </c>
      <c r="J704" t="s">
        <v>16385</v>
      </c>
      <c r="K704">
        <v>0.166</v>
      </c>
      <c r="L704">
        <v>7235</v>
      </c>
      <c r="M704">
        <v>2552</v>
      </c>
      <c r="N704" t="s">
        <v>16393</v>
      </c>
      <c r="O704" s="4">
        <v>35919</v>
      </c>
      <c r="P704" s="4">
        <v>122674</v>
      </c>
      <c r="Q704" s="4">
        <v>158593</v>
      </c>
      <c r="R704" s="4">
        <v>475779</v>
      </c>
      <c r="S704" t="s">
        <v>17084</v>
      </c>
      <c r="T704" s="6">
        <v>37773</v>
      </c>
      <c r="U704" s="4">
        <v>225000</v>
      </c>
      <c r="V704" t="s">
        <v>23739</v>
      </c>
      <c r="W704" t="s">
        <v>24077</v>
      </c>
      <c r="X704" t="s">
        <v>3</v>
      </c>
      <c r="AA704" s="5" t="str">
        <f>HYPERLINK("https://www.zillow.com/homes/159-CARRIAGE-DR-CAROL-STREAM-IL-60188_rb/","check listing")</f>
        <v>check listing</v>
      </c>
      <c r="AB704" s="5" t="str">
        <f>HYPERLINK("https://propertylookup.dupagecounty.gov/Datalets/Datalet.aspx?UseSearch=no&amp;mode=sales&amp;pin=0232305010","sales record")</f>
        <v>sales record</v>
      </c>
      <c r="AC704" t="s">
        <v>3</v>
      </c>
      <c r="AD704">
        <v>41.907183</v>
      </c>
      <c r="AE704">
        <v>-88.12347200000001</v>
      </c>
      <c r="AF704" s="5" t="str">
        <f>HYPERLINK("https://www.google.com/maps/search/?api=1&amp;query=41.907183,-88.123472","map")</f>
        <v>map</v>
      </c>
    </row>
    <row r="705" spans="1:32">
      <c r="A705" t="s">
        <v>755</v>
      </c>
      <c r="B705" t="s">
        <v>8335</v>
      </c>
      <c r="C705" t="s">
        <v>15164</v>
      </c>
      <c r="D705" t="s">
        <v>16197</v>
      </c>
      <c r="E705" t="s">
        <v>16218</v>
      </c>
      <c r="F705" t="s">
        <v>16220</v>
      </c>
      <c r="G705" t="s">
        <v>16238</v>
      </c>
      <c r="H705" t="s">
        <v>16238</v>
      </c>
      <c r="I705" t="s">
        <v>16314</v>
      </c>
      <c r="J705" t="s">
        <v>16385</v>
      </c>
      <c r="K705">
        <v>0.166</v>
      </c>
      <c r="L705">
        <v>7234</v>
      </c>
      <c r="M705">
        <v>2288</v>
      </c>
      <c r="N705" t="s">
        <v>16393</v>
      </c>
      <c r="O705" s="4">
        <v>35954</v>
      </c>
      <c r="P705" s="4">
        <v>78985</v>
      </c>
      <c r="Q705" s="4">
        <v>114939</v>
      </c>
      <c r="R705" s="4">
        <v>344817</v>
      </c>
      <c r="S705" t="s">
        <v>17085</v>
      </c>
      <c r="T705" s="6">
        <v>37347</v>
      </c>
      <c r="U705" s="4">
        <v>170000</v>
      </c>
      <c r="V705" t="s">
        <v>23739</v>
      </c>
      <c r="W705" t="s">
        <v>17085</v>
      </c>
      <c r="X705" t="s">
        <v>3</v>
      </c>
      <c r="AA705" s="5" t="str">
        <f>HYPERLINK("https://www.zillow.com/homes/153-CARRIAGE-DR-CAROL-STREAM-IL-60188_rb/","check listing")</f>
        <v>check listing</v>
      </c>
      <c r="AB705" s="5" t="str">
        <f>HYPERLINK("https://propertylookup.dupagecounty.gov/Datalets/Datalet.aspx?UseSearch=no&amp;mode=sales&amp;pin=0232305011","sales record")</f>
        <v>sales record</v>
      </c>
      <c r="AC705" t="s">
        <v>3</v>
      </c>
      <c r="AD705">
        <v>41.907017</v>
      </c>
      <c r="AE705">
        <v>-88.12347200000001</v>
      </c>
      <c r="AF705" s="5" t="str">
        <f>HYPERLINK("https://www.google.com/maps/search/?api=1&amp;query=41.907017,-88.123472","map")</f>
        <v>map</v>
      </c>
    </row>
    <row r="706" spans="1:32">
      <c r="A706" t="s">
        <v>756</v>
      </c>
      <c r="B706" t="s">
        <v>8336</v>
      </c>
      <c r="C706" t="s">
        <v>15164</v>
      </c>
      <c r="D706" t="s">
        <v>16197</v>
      </c>
      <c r="E706" t="s">
        <v>16218</v>
      </c>
      <c r="F706" t="s">
        <v>16220</v>
      </c>
      <c r="G706" t="s">
        <v>16238</v>
      </c>
      <c r="H706" t="s">
        <v>16238</v>
      </c>
      <c r="I706" t="s">
        <v>16314</v>
      </c>
      <c r="J706" t="s">
        <v>16385</v>
      </c>
      <c r="K706">
        <v>0.166</v>
      </c>
      <c r="L706">
        <v>7233</v>
      </c>
      <c r="M706">
        <v>1929</v>
      </c>
      <c r="N706" t="s">
        <v>16393</v>
      </c>
      <c r="O706" s="4">
        <v>35919</v>
      </c>
      <c r="P706" s="4">
        <v>104015</v>
      </c>
      <c r="Q706" s="4">
        <v>139934</v>
      </c>
      <c r="R706" s="4">
        <v>419802</v>
      </c>
      <c r="S706" t="s">
        <v>17086</v>
      </c>
      <c r="T706" s="6">
        <v>31625</v>
      </c>
      <c r="U706" s="4">
        <v>84000</v>
      </c>
      <c r="X706" t="s">
        <v>3</v>
      </c>
      <c r="AA706" s="5" t="str">
        <f>HYPERLINK("https://www.zillow.com/homes/149-CARRIAGE-LN-CAROL-STREAM-IL-60188_rb/","check listing")</f>
        <v>check listing</v>
      </c>
      <c r="AB706" s="5" t="str">
        <f>HYPERLINK("https://propertylookup.dupagecounty.gov/Datalets/Datalet.aspx?UseSearch=no&amp;mode=sales&amp;pin=0232305012","sales record")</f>
        <v>sales record</v>
      </c>
      <c r="AC706" t="s">
        <v>3</v>
      </c>
      <c r="AD706">
        <v>41.906852</v>
      </c>
      <c r="AE706">
        <v>-88.12347200000001</v>
      </c>
      <c r="AF706" s="5" t="str">
        <f>HYPERLINK("https://www.google.com/maps/search/?api=1&amp;query=41.906852,-88.123472","map")</f>
        <v>map</v>
      </c>
    </row>
    <row r="707" spans="1:32">
      <c r="A707" t="s">
        <v>757</v>
      </c>
      <c r="B707" t="s">
        <v>8337</v>
      </c>
      <c r="C707" t="s">
        <v>15164</v>
      </c>
      <c r="D707" t="s">
        <v>16197</v>
      </c>
      <c r="E707" t="s">
        <v>16218</v>
      </c>
      <c r="F707" t="s">
        <v>16220</v>
      </c>
      <c r="G707" t="s">
        <v>16238</v>
      </c>
      <c r="H707" t="s">
        <v>16238</v>
      </c>
      <c r="I707" t="s">
        <v>16314</v>
      </c>
      <c r="J707" t="s">
        <v>16385</v>
      </c>
      <c r="K707">
        <v>0.165</v>
      </c>
      <c r="L707">
        <v>7203</v>
      </c>
      <c r="M707">
        <v>2375</v>
      </c>
      <c r="N707" t="s">
        <v>16393</v>
      </c>
      <c r="O707" s="4">
        <v>35919</v>
      </c>
      <c r="P707" s="4">
        <v>120211</v>
      </c>
      <c r="Q707" s="4">
        <v>156130</v>
      </c>
      <c r="R707" s="4">
        <v>468390</v>
      </c>
      <c r="S707" t="s">
        <v>17087</v>
      </c>
      <c r="T707" s="6">
        <v>45506</v>
      </c>
      <c r="U707" s="4">
        <v>455000</v>
      </c>
      <c r="V707" t="s">
        <v>23741</v>
      </c>
      <c r="W707" t="s">
        <v>24078</v>
      </c>
      <c r="X707" t="s">
        <v>3</v>
      </c>
      <c r="AA707" s="5" t="str">
        <f>HYPERLINK("https://www.zillow.com/homes/162-SURREY-DR-CAROL-STREAM-IL-60188_rb/","check listing")</f>
        <v>check listing</v>
      </c>
      <c r="AB707" s="5" t="str">
        <f>HYPERLINK("https://propertylookup.dupagecounty.gov/Datalets/Datalet.aspx?UseSearch=no&amp;mode=sales&amp;pin=0232302008","sales record")</f>
        <v>sales record</v>
      </c>
      <c r="AC707" t="s">
        <v>3</v>
      </c>
      <c r="AD707">
        <v>41.907258</v>
      </c>
      <c r="AE707">
        <v>-88.12528</v>
      </c>
      <c r="AF707" s="5" t="str">
        <f>HYPERLINK("https://www.google.com/maps/search/?api=1&amp;query=41.907258,-88.12528","map")</f>
        <v>map</v>
      </c>
    </row>
    <row r="708" spans="1:32">
      <c r="A708" t="s">
        <v>758</v>
      </c>
      <c r="B708" t="s">
        <v>8338</v>
      </c>
      <c r="C708" t="s">
        <v>15188</v>
      </c>
      <c r="D708" t="s">
        <v>16197</v>
      </c>
      <c r="E708" t="s">
        <v>16218</v>
      </c>
      <c r="F708" t="s">
        <v>16220</v>
      </c>
      <c r="G708" t="s">
        <v>16238</v>
      </c>
      <c r="H708" t="s">
        <v>16238</v>
      </c>
      <c r="I708" t="s">
        <v>16314</v>
      </c>
      <c r="J708" t="s">
        <v>16385</v>
      </c>
      <c r="K708">
        <v>0.165</v>
      </c>
      <c r="L708">
        <v>7203</v>
      </c>
      <c r="M708">
        <v>2262</v>
      </c>
      <c r="N708" t="s">
        <v>16393</v>
      </c>
      <c r="O708" s="4">
        <v>35919</v>
      </c>
      <c r="P708" s="4">
        <v>89182</v>
      </c>
      <c r="Q708" s="4">
        <v>125101</v>
      </c>
      <c r="R708" s="4">
        <v>375303</v>
      </c>
      <c r="S708" t="s">
        <v>17088</v>
      </c>
      <c r="T708" s="6">
        <v>46085</v>
      </c>
      <c r="U708" s="4">
        <v>416000</v>
      </c>
      <c r="V708" t="s">
        <v>23739</v>
      </c>
      <c r="W708" t="s">
        <v>24079</v>
      </c>
      <c r="X708" t="s">
        <v>3</v>
      </c>
      <c r="AA708" s="5" t="str">
        <f>HYPERLINK("https://www.zillow.com/homes/192-SURREY-DR-CAROL-STREAM-IL-601882016_rb/","check listing")</f>
        <v>check listing</v>
      </c>
      <c r="AB708" s="5" t="str">
        <f>HYPERLINK("https://propertylookup.dupagecounty.gov/Datalets/Datalet.aspx?UseSearch=no&amp;mode=sales&amp;pin=0232302003","sales record")</f>
        <v>sales record</v>
      </c>
      <c r="AC708" t="s">
        <v>3</v>
      </c>
      <c r="AD708">
        <v>41.908081</v>
      </c>
      <c r="AE708">
        <v>-88.125281</v>
      </c>
      <c r="AF708" s="5" t="str">
        <f>HYPERLINK("https://www.google.com/maps/search/?api=1&amp;query=41.908081,-88.125281","map")</f>
        <v>map</v>
      </c>
    </row>
    <row r="709" spans="1:32">
      <c r="A709" t="s">
        <v>759</v>
      </c>
      <c r="B709" t="s">
        <v>8339</v>
      </c>
      <c r="C709" t="s">
        <v>15164</v>
      </c>
      <c r="D709" t="s">
        <v>16197</v>
      </c>
      <c r="E709" t="s">
        <v>16218</v>
      </c>
      <c r="F709" t="s">
        <v>16220</v>
      </c>
      <c r="G709" t="s">
        <v>16238</v>
      </c>
      <c r="H709" t="s">
        <v>16238</v>
      </c>
      <c r="I709" t="s">
        <v>16314</v>
      </c>
      <c r="J709" t="s">
        <v>16385</v>
      </c>
      <c r="K709">
        <v>0.165</v>
      </c>
      <c r="L709">
        <v>7203</v>
      </c>
      <c r="M709">
        <v>2376</v>
      </c>
      <c r="N709" t="s">
        <v>16393</v>
      </c>
      <c r="O709" s="4">
        <v>35919</v>
      </c>
      <c r="P709" s="4">
        <v>125543</v>
      </c>
      <c r="Q709" s="4">
        <v>161462</v>
      </c>
      <c r="R709" s="4">
        <v>484386</v>
      </c>
      <c r="S709" t="s">
        <v>17089</v>
      </c>
      <c r="T709" s="6">
        <v>45281</v>
      </c>
      <c r="U709" s="4">
        <v>380000</v>
      </c>
      <c r="V709" t="s">
        <v>23739</v>
      </c>
      <c r="W709" t="s">
        <v>24080</v>
      </c>
      <c r="X709" t="s">
        <v>3</v>
      </c>
      <c r="AA709" s="5" t="str">
        <f>HYPERLINK("https://www.zillow.com/homes/184-SURREY-DR-CAROL-STREAM-IL-60188_rb/","check listing")</f>
        <v>check listing</v>
      </c>
      <c r="AB709" s="5" t="str">
        <f>HYPERLINK("https://propertylookup.dupagecounty.gov/Datalets/Datalet.aspx?UseSearch=no&amp;mode=sales&amp;pin=0232302004","sales record")</f>
        <v>sales record</v>
      </c>
      <c r="AC709" t="s">
        <v>3</v>
      </c>
      <c r="AD709">
        <v>41.907917</v>
      </c>
      <c r="AE709">
        <v>-88.125281</v>
      </c>
      <c r="AF709" s="5" t="str">
        <f>HYPERLINK("https://www.google.com/maps/search/?api=1&amp;query=41.907917,-88.125281","map")</f>
        <v>map</v>
      </c>
    </row>
    <row r="710" spans="1:32">
      <c r="A710" t="s">
        <v>760</v>
      </c>
      <c r="B710" t="s">
        <v>8340</v>
      </c>
      <c r="C710" t="s">
        <v>15188</v>
      </c>
      <c r="D710" t="s">
        <v>16197</v>
      </c>
      <c r="E710" t="s">
        <v>16218</v>
      </c>
      <c r="F710" t="s">
        <v>16220</v>
      </c>
      <c r="G710" t="s">
        <v>16238</v>
      </c>
      <c r="H710" t="s">
        <v>16238</v>
      </c>
      <c r="I710" t="s">
        <v>16314</v>
      </c>
      <c r="J710" t="s">
        <v>16385</v>
      </c>
      <c r="K710">
        <v>0.165</v>
      </c>
      <c r="L710">
        <v>7203</v>
      </c>
      <c r="M710">
        <v>2355</v>
      </c>
      <c r="N710" t="s">
        <v>16393</v>
      </c>
      <c r="O710" s="4">
        <v>35954</v>
      </c>
      <c r="P710" s="4">
        <v>85631</v>
      </c>
      <c r="Q710" s="4">
        <v>121585</v>
      </c>
      <c r="R710" s="4">
        <v>364755</v>
      </c>
      <c r="S710" t="s">
        <v>17090</v>
      </c>
      <c r="T710" s="6">
        <v>44938</v>
      </c>
      <c r="U710" s="4">
        <v>320000</v>
      </c>
      <c r="V710" t="s">
        <v>23739</v>
      </c>
      <c r="W710" t="s">
        <v>24081</v>
      </c>
      <c r="X710" t="s">
        <v>3</v>
      </c>
      <c r="AA710" s="5" t="str">
        <f>HYPERLINK("https://www.zillow.com/homes/174-SURREY-DR-CAROL-STREAM-IL-601882016_rb/","check listing")</f>
        <v>check listing</v>
      </c>
      <c r="AB710" s="5" t="str">
        <f>HYPERLINK("https://propertylookup.dupagecounty.gov/Datalets/Datalet.aspx?UseSearch=no&amp;mode=sales&amp;pin=0232302006","sales record")</f>
        <v>sales record</v>
      </c>
      <c r="AC710" t="s">
        <v>3</v>
      </c>
      <c r="AD710">
        <v>41.907587</v>
      </c>
      <c r="AE710">
        <v>-88.12528</v>
      </c>
      <c r="AF710" s="5" t="str">
        <f>HYPERLINK("https://www.google.com/maps/search/?api=1&amp;query=41.907587,-88.12528","map")</f>
        <v>map</v>
      </c>
    </row>
    <row r="711" spans="1:32">
      <c r="A711" t="s">
        <v>761</v>
      </c>
      <c r="B711" t="s">
        <v>8341</v>
      </c>
      <c r="C711" t="s">
        <v>15183</v>
      </c>
      <c r="D711" t="s">
        <v>16197</v>
      </c>
      <c r="E711" t="s">
        <v>16218</v>
      </c>
      <c r="F711" t="s">
        <v>16220</v>
      </c>
      <c r="G711" t="s">
        <v>16238</v>
      </c>
      <c r="H711" t="s">
        <v>16238</v>
      </c>
      <c r="I711" t="s">
        <v>16314</v>
      </c>
      <c r="J711" t="s">
        <v>16385</v>
      </c>
      <c r="K711">
        <v>0.165</v>
      </c>
      <c r="L711">
        <v>7203</v>
      </c>
      <c r="M711">
        <v>1310</v>
      </c>
      <c r="N711" t="s">
        <v>16393</v>
      </c>
      <c r="O711" s="4">
        <v>36878</v>
      </c>
      <c r="P711" s="4">
        <v>62445</v>
      </c>
      <c r="Q711" s="4">
        <v>99323</v>
      </c>
      <c r="R711" s="4">
        <v>297969</v>
      </c>
      <c r="S711" t="s">
        <v>17091</v>
      </c>
      <c r="T711" s="6">
        <v>44682</v>
      </c>
      <c r="U711" s="4">
        <v>300000</v>
      </c>
      <c r="V711" t="s">
        <v>23739</v>
      </c>
      <c r="W711" t="s">
        <v>24082</v>
      </c>
      <c r="X711" t="s">
        <v>3</v>
      </c>
      <c r="AA711" s="5" t="str">
        <f>HYPERLINK("https://www.zillow.com/homes/1333-BOA-TRL-CAROL-STREAM-IL-601889082_rb/","check listing")</f>
        <v>check listing</v>
      </c>
      <c r="AB711" s="5" t="str">
        <f>HYPERLINK("https://propertylookup.dupagecounty.gov/Datalets/Datalet.aspx?UseSearch=no&amp;mode=sales&amp;pin=0123409041","sales record")</f>
        <v>sales record</v>
      </c>
      <c r="AC711" t="s">
        <v>3</v>
      </c>
      <c r="AD711">
        <v>41.936911</v>
      </c>
      <c r="AE711">
        <v>-88.168052</v>
      </c>
      <c r="AF711" s="5" t="str">
        <f>HYPERLINK("https://www.google.com/maps/search/?api=1&amp;query=41.936911,-88.168052","map")</f>
        <v>map</v>
      </c>
    </row>
    <row r="712" spans="1:32">
      <c r="A712" t="s">
        <v>762</v>
      </c>
      <c r="B712" t="s">
        <v>8342</v>
      </c>
      <c r="C712" t="s">
        <v>15164</v>
      </c>
      <c r="D712" t="s">
        <v>16197</v>
      </c>
      <c r="E712" t="s">
        <v>16218</v>
      </c>
      <c r="F712" t="s">
        <v>16220</v>
      </c>
      <c r="G712" t="s">
        <v>16238</v>
      </c>
      <c r="H712" t="s">
        <v>16238</v>
      </c>
      <c r="I712" t="s">
        <v>16314</v>
      </c>
      <c r="J712" t="s">
        <v>16385</v>
      </c>
      <c r="K712">
        <v>0.165</v>
      </c>
      <c r="L712">
        <v>7201</v>
      </c>
      <c r="M712">
        <v>1385</v>
      </c>
      <c r="N712" t="s">
        <v>16393</v>
      </c>
      <c r="O712" s="4">
        <v>35954</v>
      </c>
      <c r="P712" s="4">
        <v>86265</v>
      </c>
      <c r="Q712" s="4">
        <v>122219</v>
      </c>
      <c r="R712" s="4">
        <v>366657</v>
      </c>
      <c r="S712" t="s">
        <v>17092</v>
      </c>
      <c r="T712" s="6">
        <v>31959</v>
      </c>
      <c r="U712" s="4">
        <v>92000</v>
      </c>
      <c r="X712" t="s">
        <v>3</v>
      </c>
      <c r="AA712" s="5" t="str">
        <f>HYPERLINK("https://www.zillow.com/homes/146-PARK-HILL-TR-CAROL-STREAM-IL-60188_rb/","check listing")</f>
        <v>check listing</v>
      </c>
      <c r="AB712" s="5" t="str">
        <f>HYPERLINK("https://propertylookup.dupagecounty.gov/Datalets/Datalet.aspx?UseSearch=no&amp;mode=sales&amp;pin=0232305006","sales record")</f>
        <v>sales record</v>
      </c>
      <c r="AC712" t="s">
        <v>3</v>
      </c>
      <c r="AD712">
        <v>41.907597</v>
      </c>
      <c r="AE712">
        <v>-88.122422</v>
      </c>
      <c r="AF712" s="5" t="str">
        <f>HYPERLINK("https://www.google.com/maps/search/?api=1&amp;query=41.907597,-88.122422","map")</f>
        <v>map</v>
      </c>
    </row>
    <row r="713" spans="1:32">
      <c r="A713" t="s">
        <v>763</v>
      </c>
      <c r="B713" t="s">
        <v>8343</v>
      </c>
      <c r="C713" t="s">
        <v>15164</v>
      </c>
      <c r="D713" t="s">
        <v>16197</v>
      </c>
      <c r="E713" t="s">
        <v>16218</v>
      </c>
      <c r="F713" t="s">
        <v>16220</v>
      </c>
      <c r="G713" t="s">
        <v>16238</v>
      </c>
      <c r="H713" t="s">
        <v>16238</v>
      </c>
      <c r="I713" t="s">
        <v>16314</v>
      </c>
      <c r="J713" t="s">
        <v>16385</v>
      </c>
      <c r="K713">
        <v>0.165</v>
      </c>
      <c r="L713">
        <v>7201</v>
      </c>
      <c r="M713">
        <v>2504</v>
      </c>
      <c r="N713" t="s">
        <v>16393</v>
      </c>
      <c r="O713" s="4">
        <v>35954</v>
      </c>
      <c r="P713" s="4">
        <v>88871</v>
      </c>
      <c r="Q713" s="4">
        <v>124825</v>
      </c>
      <c r="R713" s="4">
        <v>374475</v>
      </c>
      <c r="S713" t="s">
        <v>17093</v>
      </c>
      <c r="T713" s="6">
        <v>36161</v>
      </c>
      <c r="U713" s="4">
        <v>148000</v>
      </c>
      <c r="X713" t="s">
        <v>3</v>
      </c>
      <c r="AA713" s="5" t="str">
        <f>HYPERLINK("https://www.zillow.com/homes/160-PARK-HILL-TR-CAROL-STREAM-IL-60188_rb/","check listing")</f>
        <v>check listing</v>
      </c>
      <c r="AB713" s="5" t="str">
        <f>HYPERLINK("https://propertylookup.dupagecounty.gov/Datalets/Datalet.aspx?UseSearch=no&amp;mode=sales&amp;pin=0232305004","sales record")</f>
        <v>sales record</v>
      </c>
      <c r="AC713" t="s">
        <v>3</v>
      </c>
      <c r="AD713">
        <v>41.907597</v>
      </c>
      <c r="AE713">
        <v>-88.122863</v>
      </c>
      <c r="AF713" s="5" t="str">
        <f>HYPERLINK("https://www.google.com/maps/search/?api=1&amp;query=41.907597,-88.122863","map")</f>
        <v>map</v>
      </c>
    </row>
    <row r="714" spans="1:32">
      <c r="A714" t="s">
        <v>764</v>
      </c>
      <c r="B714" t="s">
        <v>8344</v>
      </c>
      <c r="C714" t="s">
        <v>15164</v>
      </c>
      <c r="D714" t="s">
        <v>16197</v>
      </c>
      <c r="E714" t="s">
        <v>16218</v>
      </c>
      <c r="F714" t="s">
        <v>16220</v>
      </c>
      <c r="G714" t="s">
        <v>16238</v>
      </c>
      <c r="H714" t="s">
        <v>16238</v>
      </c>
      <c r="I714" t="s">
        <v>16314</v>
      </c>
      <c r="J714" t="s">
        <v>16385</v>
      </c>
      <c r="K714">
        <v>0.165</v>
      </c>
      <c r="L714">
        <v>7200</v>
      </c>
      <c r="M714">
        <v>1563</v>
      </c>
      <c r="N714" t="s">
        <v>16393</v>
      </c>
      <c r="O714" s="4">
        <v>36878</v>
      </c>
      <c r="P714" s="4">
        <v>54346</v>
      </c>
      <c r="Q714" s="4">
        <v>91224</v>
      </c>
      <c r="R714" s="4">
        <v>273672</v>
      </c>
      <c r="S714" t="s">
        <v>17094</v>
      </c>
      <c r="T714" s="6">
        <v>46101</v>
      </c>
      <c r="U714" s="4">
        <v>310000</v>
      </c>
      <c r="V714" t="s">
        <v>23738</v>
      </c>
      <c r="W714" t="s">
        <v>24083</v>
      </c>
      <c r="X714" t="s">
        <v>3</v>
      </c>
      <c r="AA714" s="5" t="str">
        <f>HYPERLINK("https://www.zillow.com/homes/1328-BIG-HORN-TRL-CAROL-STREAM-IL-60188_rb/","check listing")</f>
        <v>check listing</v>
      </c>
      <c r="AB714" s="5" t="str">
        <f>HYPERLINK("https://propertylookup.dupagecounty.gov/Datalets/Datalet.aspx?UseSearch=no&amp;mode=sales&amp;pin=0123214031","sales record")</f>
        <v>sales record</v>
      </c>
      <c r="AC714" t="s">
        <v>3</v>
      </c>
      <c r="AD714">
        <v>41.937682</v>
      </c>
      <c r="AE714">
        <v>-88.16757800000001</v>
      </c>
      <c r="AF714" s="5" t="str">
        <f>HYPERLINK("https://www.google.com/maps/search/?api=1&amp;query=41.937682,-88.167578","map")</f>
        <v>map</v>
      </c>
    </row>
    <row r="715" spans="1:32">
      <c r="A715" t="s">
        <v>765</v>
      </c>
      <c r="B715" t="s">
        <v>8345</v>
      </c>
      <c r="C715" t="s">
        <v>15164</v>
      </c>
      <c r="D715" t="s">
        <v>16197</v>
      </c>
      <c r="E715" t="s">
        <v>16218</v>
      </c>
      <c r="F715" t="s">
        <v>16220</v>
      </c>
      <c r="G715" t="s">
        <v>16238</v>
      </c>
      <c r="H715" t="s">
        <v>16238</v>
      </c>
      <c r="I715" t="s">
        <v>16314</v>
      </c>
      <c r="J715" t="s">
        <v>16385</v>
      </c>
      <c r="K715">
        <v>0.165</v>
      </c>
      <c r="L715">
        <v>7199</v>
      </c>
      <c r="M715">
        <v>1649</v>
      </c>
      <c r="N715" t="s">
        <v>16393</v>
      </c>
      <c r="O715" s="4">
        <v>35919</v>
      </c>
      <c r="P715" s="4">
        <v>112681</v>
      </c>
      <c r="Q715" s="4">
        <v>148600</v>
      </c>
      <c r="R715" s="4">
        <v>445800</v>
      </c>
      <c r="S715" t="s">
        <v>17095</v>
      </c>
      <c r="T715" s="6">
        <v>31564</v>
      </c>
      <c r="U715" s="4">
        <v>92500</v>
      </c>
      <c r="X715" t="s">
        <v>3</v>
      </c>
      <c r="AA715" s="5" t="str">
        <f>HYPERLINK("https://www.zillow.com/homes/156-SURREY-DR-CAROL-STREAM-IL-60188_rb/","check listing")</f>
        <v>check listing</v>
      </c>
      <c r="AB715" s="5" t="str">
        <f>HYPERLINK("https://propertylookup.dupagecounty.gov/Datalets/Datalet.aspx?UseSearch=no&amp;mode=sales&amp;pin=0232302009","sales record")</f>
        <v>sales record</v>
      </c>
      <c r="AC715" t="s">
        <v>3</v>
      </c>
      <c r="AD715">
        <v>41.907093</v>
      </c>
      <c r="AE715">
        <v>-88.12528</v>
      </c>
      <c r="AF715" s="5" t="str">
        <f>HYPERLINK("https://www.google.com/maps/search/?api=1&amp;query=41.907093,-88.12528","map")</f>
        <v>map</v>
      </c>
    </row>
    <row r="716" spans="1:32">
      <c r="A716" t="s">
        <v>766</v>
      </c>
      <c r="B716" t="s">
        <v>8346</v>
      </c>
      <c r="C716" t="s">
        <v>15187</v>
      </c>
      <c r="D716" t="s">
        <v>16197</v>
      </c>
      <c r="E716" t="s">
        <v>16218</v>
      </c>
      <c r="F716" t="s">
        <v>16220</v>
      </c>
      <c r="G716" t="s">
        <v>16238</v>
      </c>
      <c r="H716" t="s">
        <v>16238</v>
      </c>
      <c r="I716" t="s">
        <v>16314</v>
      </c>
      <c r="J716" t="s">
        <v>16385</v>
      </c>
      <c r="K716">
        <v>0.165</v>
      </c>
      <c r="L716">
        <v>7199</v>
      </c>
      <c r="M716">
        <v>1761</v>
      </c>
      <c r="N716" t="s">
        <v>16393</v>
      </c>
      <c r="O716" s="4">
        <v>35919</v>
      </c>
      <c r="P716" s="4">
        <v>85464</v>
      </c>
      <c r="Q716" s="4">
        <v>121383</v>
      </c>
      <c r="R716" s="4">
        <v>364149</v>
      </c>
      <c r="S716" t="s">
        <v>17096</v>
      </c>
      <c r="T716" s="6">
        <v>44790</v>
      </c>
      <c r="U716" s="4">
        <v>334000</v>
      </c>
      <c r="V716" t="s">
        <v>23739</v>
      </c>
      <c r="W716" t="s">
        <v>24084</v>
      </c>
      <c r="X716" t="s">
        <v>3</v>
      </c>
      <c r="AA716" s="5" t="str">
        <f>HYPERLINK("https://www.zillow.com/homes/142-PARK-HILL-TRL-CAROL-STREAM-IL-601882043_rb/","check listing")</f>
        <v>check listing</v>
      </c>
      <c r="AB716" s="5" t="str">
        <f>HYPERLINK("https://propertylookup.dupagecounty.gov/Datalets/Datalet.aspx?UseSearch=no&amp;mode=sales&amp;pin=0232305007","sales record")</f>
        <v>sales record</v>
      </c>
      <c r="AC716" t="s">
        <v>3</v>
      </c>
      <c r="AD716">
        <v>41.907598</v>
      </c>
      <c r="AE716">
        <v>-88.122201</v>
      </c>
      <c r="AF716" s="5" t="str">
        <f>HYPERLINK("https://www.google.com/maps/search/?api=1&amp;query=41.907598,-88.122201","map")</f>
        <v>map</v>
      </c>
    </row>
    <row r="717" spans="1:32">
      <c r="A717" t="s">
        <v>767</v>
      </c>
      <c r="B717" t="s">
        <v>8347</v>
      </c>
      <c r="C717" t="s">
        <v>15164</v>
      </c>
      <c r="D717" t="s">
        <v>16197</v>
      </c>
      <c r="E717" t="s">
        <v>16218</v>
      </c>
      <c r="F717" t="s">
        <v>16220</v>
      </c>
      <c r="G717" t="s">
        <v>16238</v>
      </c>
      <c r="H717" t="s">
        <v>16238</v>
      </c>
      <c r="I717" t="s">
        <v>16314</v>
      </c>
      <c r="J717" t="s">
        <v>16385</v>
      </c>
      <c r="K717">
        <v>0.165</v>
      </c>
      <c r="L717">
        <v>7199</v>
      </c>
      <c r="M717">
        <v>1996</v>
      </c>
      <c r="N717" t="s">
        <v>16393</v>
      </c>
      <c r="O717" s="4">
        <v>35954</v>
      </c>
      <c r="P717" s="4">
        <v>114809</v>
      </c>
      <c r="Q717" s="4">
        <v>150763</v>
      </c>
      <c r="R717" s="4">
        <v>452289</v>
      </c>
      <c r="S717" t="s">
        <v>17097</v>
      </c>
      <c r="T717" s="6">
        <v>40210</v>
      </c>
      <c r="U717" s="4">
        <v>260000</v>
      </c>
      <c r="V717" t="s">
        <v>23739</v>
      </c>
      <c r="W717" t="s">
        <v>17097</v>
      </c>
      <c r="X717" t="s">
        <v>3</v>
      </c>
      <c r="AA717" s="5" t="str">
        <f>HYPERLINK("https://www.zillow.com/homes/178-SURREY-DR-CAROL-STREAM-IL-60188_rb/","check listing")</f>
        <v>check listing</v>
      </c>
      <c r="AB717" s="5" t="str">
        <f>HYPERLINK("https://propertylookup.dupagecounty.gov/Datalets/Datalet.aspx?UseSearch=no&amp;mode=sales&amp;pin=0232302005","sales record")</f>
        <v>sales record</v>
      </c>
      <c r="AC717" t="s">
        <v>3</v>
      </c>
      <c r="AD717">
        <v>41.907752</v>
      </c>
      <c r="AE717">
        <v>-88.125281</v>
      </c>
      <c r="AF717" s="5" t="str">
        <f>HYPERLINK("https://www.google.com/maps/search/?api=1&amp;query=41.907752,-88.125281","map")</f>
        <v>map</v>
      </c>
    </row>
    <row r="718" spans="1:32">
      <c r="A718" t="s">
        <v>768</v>
      </c>
      <c r="B718" t="s">
        <v>8348</v>
      </c>
      <c r="C718" t="s">
        <v>15164</v>
      </c>
      <c r="D718" t="s">
        <v>16197</v>
      </c>
      <c r="E718" t="s">
        <v>16218</v>
      </c>
      <c r="F718" t="s">
        <v>16220</v>
      </c>
      <c r="G718" t="s">
        <v>16238</v>
      </c>
      <c r="H718" t="s">
        <v>16238</v>
      </c>
      <c r="I718" t="s">
        <v>16314</v>
      </c>
      <c r="J718" t="s">
        <v>16385</v>
      </c>
      <c r="K718">
        <v>0.165</v>
      </c>
      <c r="L718">
        <v>7199</v>
      </c>
      <c r="M718">
        <v>2306</v>
      </c>
      <c r="N718" t="s">
        <v>16393</v>
      </c>
      <c r="O718" s="4">
        <v>35919</v>
      </c>
      <c r="P718" s="4">
        <v>98493</v>
      </c>
      <c r="Q718" s="4">
        <v>134412</v>
      </c>
      <c r="R718" s="4">
        <v>403236</v>
      </c>
      <c r="S718" t="s">
        <v>17098</v>
      </c>
      <c r="T718" s="6">
        <v>28825</v>
      </c>
      <c r="U718" s="4">
        <v>67876</v>
      </c>
      <c r="X718" t="s">
        <v>3</v>
      </c>
      <c r="AA718" s="5" t="str">
        <f>HYPERLINK("https://www.zillow.com/homes/168-SURREY-DR-CAROL-STREAM-IL-60188_rb/","check listing")</f>
        <v>check listing</v>
      </c>
      <c r="AB718" s="5" t="str">
        <f>HYPERLINK("https://propertylookup.dupagecounty.gov/Datalets/Datalet.aspx?UseSearch=no&amp;mode=sales&amp;pin=0232302007","sales record")</f>
        <v>sales record</v>
      </c>
      <c r="AC718" t="s">
        <v>3</v>
      </c>
      <c r="AD718">
        <v>41.907422</v>
      </c>
      <c r="AE718">
        <v>-88.12528</v>
      </c>
      <c r="AF718" s="5" t="str">
        <f>HYPERLINK("https://www.google.com/maps/search/?api=1&amp;query=41.907422,-88.12528","map")</f>
        <v>map</v>
      </c>
    </row>
    <row r="719" spans="1:32">
      <c r="A719" t="s">
        <v>769</v>
      </c>
      <c r="B719" t="s">
        <v>8349</v>
      </c>
      <c r="C719" t="s">
        <v>15164</v>
      </c>
      <c r="D719" t="s">
        <v>16197</v>
      </c>
      <c r="E719" t="s">
        <v>16218</v>
      </c>
      <c r="F719" t="s">
        <v>16220</v>
      </c>
      <c r="G719" t="s">
        <v>16238</v>
      </c>
      <c r="H719" t="s">
        <v>16238</v>
      </c>
      <c r="I719" t="s">
        <v>16314</v>
      </c>
      <c r="J719" t="s">
        <v>16385</v>
      </c>
      <c r="K719">
        <v>0.165</v>
      </c>
      <c r="L719">
        <v>7199</v>
      </c>
      <c r="M719">
        <v>2358</v>
      </c>
      <c r="N719" t="s">
        <v>16393</v>
      </c>
      <c r="O719" s="4">
        <v>35954</v>
      </c>
      <c r="P719" s="4">
        <v>82966</v>
      </c>
      <c r="Q719" s="4">
        <v>118920</v>
      </c>
      <c r="R719" s="4">
        <v>356760</v>
      </c>
      <c r="S719" t="s">
        <v>17099</v>
      </c>
      <c r="T719" s="6">
        <v>40057</v>
      </c>
      <c r="U719" s="4">
        <v>190000</v>
      </c>
      <c r="V719" t="s">
        <v>23739</v>
      </c>
      <c r="W719" t="s">
        <v>17099</v>
      </c>
      <c r="X719" t="s">
        <v>3</v>
      </c>
      <c r="AA719" s="5" t="str">
        <f>HYPERLINK("https://www.zillow.com/homes/166-PARK-HILL-TR-CAROL-STREAM-IL-60188_rb/","check listing")</f>
        <v>check listing</v>
      </c>
      <c r="AB719" s="5" t="str">
        <f>HYPERLINK("https://propertylookup.dupagecounty.gov/Datalets/Datalet.aspx?UseSearch=no&amp;mode=sales&amp;pin=0232305003","sales record")</f>
        <v>sales record</v>
      </c>
      <c r="AC719" t="s">
        <v>3</v>
      </c>
      <c r="AD719">
        <v>41.907597</v>
      </c>
      <c r="AE719">
        <v>-88.12308299999999</v>
      </c>
      <c r="AF719" s="5" t="str">
        <f>HYPERLINK("https://www.google.com/maps/search/?api=1&amp;query=41.907597,-88.123083","map")</f>
        <v>map</v>
      </c>
    </row>
    <row r="720" spans="1:32">
      <c r="A720" t="s">
        <v>770</v>
      </c>
      <c r="B720" t="s">
        <v>8350</v>
      </c>
      <c r="C720" t="s">
        <v>15187</v>
      </c>
      <c r="D720" t="s">
        <v>16197</v>
      </c>
      <c r="E720" t="s">
        <v>16218</v>
      </c>
      <c r="F720" t="s">
        <v>16220</v>
      </c>
      <c r="G720" t="s">
        <v>16238</v>
      </c>
      <c r="H720" t="s">
        <v>16238</v>
      </c>
      <c r="I720" t="s">
        <v>16314</v>
      </c>
      <c r="J720" t="s">
        <v>16385</v>
      </c>
      <c r="K720">
        <v>0.165</v>
      </c>
      <c r="L720">
        <v>7199</v>
      </c>
      <c r="M720">
        <v>2317</v>
      </c>
      <c r="N720" t="s">
        <v>16393</v>
      </c>
      <c r="O720" s="4">
        <v>35954</v>
      </c>
      <c r="P720" s="4">
        <v>81627</v>
      </c>
      <c r="Q720" s="4">
        <v>117581</v>
      </c>
      <c r="R720" s="4">
        <v>352743</v>
      </c>
      <c r="S720" t="s">
        <v>17100</v>
      </c>
      <c r="T720" s="6">
        <v>42522</v>
      </c>
      <c r="U720" s="4">
        <v>162000</v>
      </c>
      <c r="V720" t="s">
        <v>23739</v>
      </c>
      <c r="W720" t="s">
        <v>17100</v>
      </c>
      <c r="X720" t="s">
        <v>3</v>
      </c>
      <c r="AA720" s="5" t="str">
        <f>HYPERLINK("https://www.zillow.com/homes/154-PARK-HILL-TRL-CAROL-STREAM-IL-601882043_rb/","check listing")</f>
        <v>check listing</v>
      </c>
      <c r="AB720" s="5" t="str">
        <f>HYPERLINK("https://propertylookup.dupagecounty.gov/Datalets/Datalet.aspx?UseSearch=no&amp;mode=sales&amp;pin=0232305005","sales record")</f>
        <v>sales record</v>
      </c>
      <c r="AC720" t="s">
        <v>3</v>
      </c>
      <c r="AD720">
        <v>41.907597</v>
      </c>
      <c r="AE720">
        <v>-88.122642</v>
      </c>
      <c r="AF720" s="5" t="str">
        <f>HYPERLINK("https://www.google.com/maps/search/?api=1&amp;query=41.907597,-88.122642","map")</f>
        <v>map</v>
      </c>
    </row>
    <row r="721" spans="1:32">
      <c r="A721" t="s">
        <v>771</v>
      </c>
      <c r="B721" t="s">
        <v>8351</v>
      </c>
      <c r="C721" t="s">
        <v>15164</v>
      </c>
      <c r="D721" t="s">
        <v>16197</v>
      </c>
      <c r="E721" t="s">
        <v>16218</v>
      </c>
      <c r="F721" t="s">
        <v>16220</v>
      </c>
      <c r="G721" t="s">
        <v>16238</v>
      </c>
      <c r="H721" t="s">
        <v>16238</v>
      </c>
      <c r="I721" t="s">
        <v>16314</v>
      </c>
      <c r="J721" t="s">
        <v>16385</v>
      </c>
      <c r="K721">
        <v>0.165</v>
      </c>
      <c r="L721">
        <v>7174</v>
      </c>
      <c r="M721">
        <v>2100</v>
      </c>
      <c r="N721" t="s">
        <v>16393</v>
      </c>
      <c r="O721" s="4">
        <v>35919</v>
      </c>
      <c r="P721" s="4">
        <v>88871</v>
      </c>
      <c r="Q721" s="4">
        <v>124790</v>
      </c>
      <c r="R721" s="4">
        <v>374370</v>
      </c>
      <c r="S721" t="s">
        <v>17101</v>
      </c>
      <c r="T721" s="6">
        <v>45174</v>
      </c>
      <c r="U721" s="4">
        <v>290000</v>
      </c>
      <c r="V721" t="s">
        <v>23739</v>
      </c>
      <c r="W721" t="s">
        <v>24085</v>
      </c>
      <c r="X721" t="s">
        <v>3</v>
      </c>
      <c r="AA721" s="5" t="str">
        <f>HYPERLINK("https://www.zillow.com/homes/165-CARRIAGE-DR-CAROL-STREAM-IL-60188_rb/","check listing")</f>
        <v>check listing</v>
      </c>
      <c r="AB721" s="5" t="str">
        <f>HYPERLINK("https://propertylookup.dupagecounty.gov/Datalets/Datalet.aspx?UseSearch=no&amp;mode=sales&amp;pin=0232305009","sales record")</f>
        <v>sales record</v>
      </c>
      <c r="AC721" t="s">
        <v>3</v>
      </c>
      <c r="AD721">
        <v>41.907348</v>
      </c>
      <c r="AE721">
        <v>-88.12347200000001</v>
      </c>
      <c r="AF721" s="5" t="str">
        <f>HYPERLINK("https://www.google.com/maps/search/?api=1&amp;query=41.907348,-88.123472","map")</f>
        <v>map</v>
      </c>
    </row>
    <row r="722" spans="1:32">
      <c r="A722" t="s">
        <v>772</v>
      </c>
      <c r="B722" t="s">
        <v>8352</v>
      </c>
      <c r="C722" t="s">
        <v>15164</v>
      </c>
      <c r="D722" t="s">
        <v>16197</v>
      </c>
      <c r="E722" t="s">
        <v>16218</v>
      </c>
      <c r="F722" t="s">
        <v>16220</v>
      </c>
      <c r="G722" t="s">
        <v>16238</v>
      </c>
      <c r="H722" t="s">
        <v>16238</v>
      </c>
      <c r="I722" t="s">
        <v>16314</v>
      </c>
      <c r="J722" t="s">
        <v>16385</v>
      </c>
      <c r="K722">
        <v>0.164</v>
      </c>
      <c r="L722">
        <v>7162</v>
      </c>
      <c r="M722">
        <v>2124</v>
      </c>
      <c r="N722" t="s">
        <v>16393</v>
      </c>
      <c r="O722" s="4">
        <v>36878</v>
      </c>
      <c r="P722" s="4">
        <v>70998</v>
      </c>
      <c r="Q722" s="4">
        <v>107876</v>
      </c>
      <c r="R722" s="4">
        <v>323628</v>
      </c>
      <c r="S722" t="s">
        <v>17102</v>
      </c>
      <c r="T722" s="6">
        <v>32994</v>
      </c>
      <c r="U722" s="4">
        <v>105000</v>
      </c>
      <c r="X722" t="s">
        <v>3</v>
      </c>
      <c r="AA722" s="5" t="str">
        <f>HYPERLINK("https://www.zillow.com/homes/1338-BIG-HORN-TR-CAROL-STREAM-IL-60188_rb/","check listing")</f>
        <v>check listing</v>
      </c>
      <c r="AB722" s="5" t="str">
        <f>HYPERLINK("https://propertylookup.dupagecounty.gov/Datalets/Datalet.aspx?UseSearch=no&amp;mode=sales&amp;pin=0123214026","sales record")</f>
        <v>sales record</v>
      </c>
      <c r="AC722" t="s">
        <v>3</v>
      </c>
      <c r="AD722">
        <v>41.937219</v>
      </c>
      <c r="AE722">
        <v>-88.16832100000001</v>
      </c>
      <c r="AF722" s="5" t="str">
        <f>HYPERLINK("https://www.google.com/maps/search/?api=1&amp;query=41.937219,-88.168321","map")</f>
        <v>map</v>
      </c>
    </row>
    <row r="723" spans="1:32">
      <c r="A723" t="s">
        <v>773</v>
      </c>
      <c r="B723" t="s">
        <v>8353</v>
      </c>
      <c r="C723" t="s">
        <v>15183</v>
      </c>
      <c r="D723" t="s">
        <v>16197</v>
      </c>
      <c r="E723" t="s">
        <v>16218</v>
      </c>
      <c r="F723" t="s">
        <v>16220</v>
      </c>
      <c r="G723" t="s">
        <v>16238</v>
      </c>
      <c r="H723" t="s">
        <v>16238</v>
      </c>
      <c r="I723" t="s">
        <v>16314</v>
      </c>
      <c r="J723" t="s">
        <v>16385</v>
      </c>
      <c r="K723">
        <v>0.164</v>
      </c>
      <c r="L723">
        <v>7147</v>
      </c>
      <c r="M723">
        <v>2052</v>
      </c>
      <c r="N723" t="s">
        <v>16393</v>
      </c>
      <c r="O723" s="4">
        <v>36878</v>
      </c>
      <c r="P723" s="4">
        <v>73706</v>
      </c>
      <c r="Q723" s="4">
        <v>110584</v>
      </c>
      <c r="R723" s="4">
        <v>331752</v>
      </c>
      <c r="S723" t="s">
        <v>17103</v>
      </c>
      <c r="T723" s="6">
        <v>43070</v>
      </c>
      <c r="U723" s="4">
        <v>220000</v>
      </c>
      <c r="V723" t="s">
        <v>23739</v>
      </c>
      <c r="W723" t="s">
        <v>17103</v>
      </c>
      <c r="X723" t="s">
        <v>3</v>
      </c>
      <c r="AA723" s="5" t="str">
        <f>HYPERLINK("https://www.zillow.com/homes/1365-BOA-TRL-CAROL-STREAM-IL-601889082_rb/","check listing")</f>
        <v>check listing</v>
      </c>
      <c r="AB723" s="5" t="str">
        <f>HYPERLINK("https://propertylookup.dupagecounty.gov/Datalets/Datalet.aspx?UseSearch=no&amp;mode=sales&amp;pin=0123409032","sales record")</f>
        <v>sales record</v>
      </c>
      <c r="AC723" t="s">
        <v>27873</v>
      </c>
      <c r="AD723">
        <v>41.935804</v>
      </c>
      <c r="AE723">
        <v>-88.16853</v>
      </c>
      <c r="AF723" s="5" t="str">
        <f>HYPERLINK("https://www.google.com/maps/search/?api=1&amp;query=41.935804,-88.16853","map")</f>
        <v>map</v>
      </c>
    </row>
    <row r="724" spans="1:32">
      <c r="A724" t="s">
        <v>774</v>
      </c>
      <c r="B724" t="s">
        <v>8354</v>
      </c>
      <c r="C724" t="s">
        <v>15179</v>
      </c>
      <c r="D724" t="s">
        <v>16197</v>
      </c>
      <c r="E724" t="s">
        <v>16218</v>
      </c>
      <c r="F724" t="s">
        <v>16220</v>
      </c>
      <c r="G724" t="s">
        <v>16238</v>
      </c>
      <c r="H724" t="s">
        <v>16238</v>
      </c>
      <c r="I724" t="s">
        <v>16314</v>
      </c>
      <c r="J724" t="s">
        <v>16385</v>
      </c>
      <c r="K724">
        <v>0.163</v>
      </c>
      <c r="L724">
        <v>7090</v>
      </c>
      <c r="M724">
        <v>1980</v>
      </c>
      <c r="N724" t="s">
        <v>16393</v>
      </c>
      <c r="O724" s="4">
        <v>35954</v>
      </c>
      <c r="P724" s="4">
        <v>124384</v>
      </c>
      <c r="Q724" s="4">
        <v>160338</v>
      </c>
      <c r="R724" s="4">
        <v>481014</v>
      </c>
      <c r="S724" t="s">
        <v>17104</v>
      </c>
      <c r="T724" s="6">
        <v>44562</v>
      </c>
      <c r="U724" s="4">
        <v>340000</v>
      </c>
      <c r="V724" t="s">
        <v>23739</v>
      </c>
      <c r="W724" t="s">
        <v>24086</v>
      </c>
      <c r="X724" t="s">
        <v>3</v>
      </c>
      <c r="AA724" s="5" t="str">
        <f>HYPERLINK("https://www.zillow.com/homes/178-COACHLITE-TRL-CAROL-STREAM-IL-601882008_rb/","check listing")</f>
        <v>check listing</v>
      </c>
      <c r="AB724" s="5" t="str">
        <f>HYPERLINK("https://propertylookup.dupagecounty.gov/Datalets/Datalet.aspx?UseSearch=no&amp;mode=sales&amp;pin=0232305015","sales record")</f>
        <v>sales record</v>
      </c>
      <c r="AC724" t="s">
        <v>3</v>
      </c>
      <c r="AD724">
        <v>41.906228</v>
      </c>
      <c r="AE724">
        <v>-88.123447</v>
      </c>
      <c r="AF724" s="5" t="str">
        <f>HYPERLINK("https://www.google.com/maps/search/?api=1&amp;query=41.906228,-88.123447","map")</f>
        <v>map</v>
      </c>
    </row>
    <row r="725" spans="1:32">
      <c r="A725" t="s">
        <v>775</v>
      </c>
      <c r="B725" t="s">
        <v>8355</v>
      </c>
      <c r="C725" t="s">
        <v>15164</v>
      </c>
      <c r="D725" t="s">
        <v>16197</v>
      </c>
      <c r="E725" t="s">
        <v>16218</v>
      </c>
      <c r="F725" t="s">
        <v>16220</v>
      </c>
      <c r="G725" t="s">
        <v>16238</v>
      </c>
      <c r="H725" t="s">
        <v>16238</v>
      </c>
      <c r="I725" t="s">
        <v>16314</v>
      </c>
      <c r="J725" t="s">
        <v>16385</v>
      </c>
      <c r="K725">
        <v>0.162</v>
      </c>
      <c r="L725">
        <v>7048</v>
      </c>
      <c r="M725">
        <v>2509</v>
      </c>
      <c r="N725" t="s">
        <v>16393</v>
      </c>
      <c r="O725" s="4">
        <v>36878</v>
      </c>
      <c r="P725" s="4">
        <v>83507</v>
      </c>
      <c r="Q725" s="4">
        <v>120385</v>
      </c>
      <c r="R725" s="4">
        <v>361155</v>
      </c>
      <c r="S725" t="s">
        <v>17105</v>
      </c>
      <c r="T725" s="6">
        <v>37012</v>
      </c>
      <c r="U725" s="4">
        <v>185000</v>
      </c>
      <c r="V725" t="s">
        <v>23739</v>
      </c>
      <c r="W725" t="s">
        <v>24087</v>
      </c>
      <c r="X725" t="s">
        <v>3</v>
      </c>
      <c r="AA725" s="5" t="str">
        <f>HYPERLINK("https://www.zillow.com/homes/1392-BOA-TRL-CAROL-STREAM-IL-60188_rb/","check listing")</f>
        <v>check listing</v>
      </c>
      <c r="AB725" s="5" t="str">
        <f>HYPERLINK("https://propertylookup.dupagecounty.gov/Datalets/Datalet.aspx?UseSearch=no&amp;mode=sales&amp;pin=0123404084","sales record")</f>
        <v>sales record</v>
      </c>
      <c r="AC725" t="s">
        <v>3</v>
      </c>
      <c r="AD725">
        <v>41.936853</v>
      </c>
      <c r="AE725">
        <v>-88.169411</v>
      </c>
      <c r="AF725" s="5" t="str">
        <f>HYPERLINK("https://www.google.com/maps/search/?api=1&amp;query=41.936853,-88.169411","map")</f>
        <v>map</v>
      </c>
    </row>
    <row r="726" spans="1:32">
      <c r="A726" t="s">
        <v>776</v>
      </c>
      <c r="B726" t="s">
        <v>8356</v>
      </c>
      <c r="C726" t="s">
        <v>15164</v>
      </c>
      <c r="D726" t="s">
        <v>16197</v>
      </c>
      <c r="E726" t="s">
        <v>16218</v>
      </c>
      <c r="F726" t="s">
        <v>16220</v>
      </c>
      <c r="G726" t="s">
        <v>16238</v>
      </c>
      <c r="H726" t="s">
        <v>16238</v>
      </c>
      <c r="I726" t="s">
        <v>16314</v>
      </c>
      <c r="J726" t="s">
        <v>16385</v>
      </c>
      <c r="K726">
        <v>0.162</v>
      </c>
      <c r="L726">
        <v>7046</v>
      </c>
      <c r="M726">
        <v>2079</v>
      </c>
      <c r="N726" t="s">
        <v>16393</v>
      </c>
      <c r="O726" s="4">
        <v>36878</v>
      </c>
      <c r="P726" s="4">
        <v>70998</v>
      </c>
      <c r="Q726" s="4">
        <v>107876</v>
      </c>
      <c r="R726" s="4">
        <v>323628</v>
      </c>
      <c r="S726" t="s">
        <v>17106</v>
      </c>
      <c r="T726" s="6">
        <v>35125</v>
      </c>
      <c r="U726" s="4">
        <v>136000</v>
      </c>
      <c r="X726" t="s">
        <v>3</v>
      </c>
      <c r="AA726" s="5" t="str">
        <f>HYPERLINK("https://www.zillow.com/homes/1344-BOA-TR-CAROL-STREAM-IL-60188_rb/","check listing")</f>
        <v>check listing</v>
      </c>
      <c r="AB726" s="5" t="str">
        <f>HYPERLINK("https://propertylookup.dupagecounty.gov/Datalets/Datalet.aspx?UseSearch=no&amp;mode=sales&amp;pin=0123404107","sales record")</f>
        <v>sales record</v>
      </c>
      <c r="AC726" t="s">
        <v>3</v>
      </c>
      <c r="AD726">
        <v>41.936151</v>
      </c>
      <c r="AE726">
        <v>-88.16764000000001</v>
      </c>
      <c r="AF726" s="5" t="str">
        <f>HYPERLINK("https://www.google.com/maps/search/?api=1&amp;query=41.936151,-88.16764","map")</f>
        <v>map</v>
      </c>
    </row>
    <row r="727" spans="1:32">
      <c r="A727" t="s">
        <v>777</v>
      </c>
      <c r="B727" t="s">
        <v>8357</v>
      </c>
      <c r="C727" t="s">
        <v>15189</v>
      </c>
      <c r="D727" t="s">
        <v>16197</v>
      </c>
      <c r="E727" t="s">
        <v>16218</v>
      </c>
      <c r="F727" t="s">
        <v>16220</v>
      </c>
      <c r="G727" t="s">
        <v>16238</v>
      </c>
      <c r="H727" t="s">
        <v>16238</v>
      </c>
      <c r="I727" t="s">
        <v>16314</v>
      </c>
      <c r="J727" t="s">
        <v>16385</v>
      </c>
      <c r="K727">
        <v>0.162</v>
      </c>
      <c r="L727">
        <v>7038</v>
      </c>
      <c r="M727">
        <v>1209</v>
      </c>
      <c r="N727" t="s">
        <v>16393</v>
      </c>
      <c r="O727" s="4">
        <v>33761</v>
      </c>
      <c r="P727" s="4">
        <v>63210</v>
      </c>
      <c r="Q727" s="4">
        <v>96971</v>
      </c>
      <c r="R727" s="4">
        <v>290913</v>
      </c>
      <c r="S727" t="s">
        <v>17107</v>
      </c>
      <c r="T727" s="6">
        <v>40452</v>
      </c>
      <c r="U727" s="4">
        <v>140450</v>
      </c>
      <c r="V727" t="s">
        <v>16232</v>
      </c>
      <c r="W727" t="s">
        <v>24088</v>
      </c>
      <c r="X727" t="s">
        <v>3</v>
      </c>
      <c r="AA727" s="5" t="str">
        <f>HYPERLINK("https://www.zillow.com/homes/1360-CARIBOU-TRL-CAROL-STREAM-IL-601889080_rb/","check listing")</f>
        <v>check listing</v>
      </c>
      <c r="AB727" s="5" t="str">
        <f>HYPERLINK("https://propertylookup.dupagecounty.gov/Datalets/Datalet.aspx?UseSearch=no&amp;mode=sales&amp;pin=0123405002","sales record")</f>
        <v>sales record</v>
      </c>
      <c r="AC727" t="s">
        <v>27873</v>
      </c>
      <c r="AD727">
        <v>41.934361</v>
      </c>
      <c r="AE727">
        <v>-88.169567</v>
      </c>
      <c r="AF727" s="5" t="str">
        <f>HYPERLINK("https://www.google.com/maps/search/?api=1&amp;query=41.934361,-88.169567","map")</f>
        <v>map</v>
      </c>
    </row>
    <row r="728" spans="1:32">
      <c r="A728" t="s">
        <v>778</v>
      </c>
      <c r="B728" t="s">
        <v>8358</v>
      </c>
      <c r="C728" t="s">
        <v>15183</v>
      </c>
      <c r="D728" t="s">
        <v>16197</v>
      </c>
      <c r="E728" t="s">
        <v>16218</v>
      </c>
      <c r="F728" t="s">
        <v>16220</v>
      </c>
      <c r="G728" t="s">
        <v>16238</v>
      </c>
      <c r="H728" t="s">
        <v>16238</v>
      </c>
      <c r="I728" t="s">
        <v>16314</v>
      </c>
      <c r="J728" t="s">
        <v>16385</v>
      </c>
      <c r="K728">
        <v>0.159</v>
      </c>
      <c r="L728">
        <v>6943</v>
      </c>
      <c r="M728">
        <v>2242</v>
      </c>
      <c r="N728" t="s">
        <v>16393</v>
      </c>
      <c r="O728" s="4">
        <v>36878</v>
      </c>
      <c r="P728" s="4">
        <v>71251</v>
      </c>
      <c r="Q728" s="4">
        <v>108129</v>
      </c>
      <c r="R728" s="4">
        <v>324387</v>
      </c>
      <c r="S728" t="s">
        <v>17108</v>
      </c>
      <c r="T728" s="6">
        <v>39692</v>
      </c>
      <c r="U728" s="4">
        <v>240000</v>
      </c>
      <c r="V728" t="s">
        <v>23739</v>
      </c>
      <c r="W728" t="s">
        <v>24089</v>
      </c>
      <c r="X728" t="s">
        <v>3</v>
      </c>
      <c r="AA728" s="5" t="str">
        <f>HYPERLINK("https://www.zillow.com/homes/1323-BOA-TRL-CAROL-STREAM-IL-601889082_rb/","check listing")</f>
        <v>check listing</v>
      </c>
      <c r="AB728" s="5" t="str">
        <f>HYPERLINK("https://propertylookup.dupagecounty.gov/Datalets/Datalet.aspx?UseSearch=no&amp;mode=sales&amp;pin=0123214039","sales record")</f>
        <v>sales record</v>
      </c>
      <c r="AC728" t="s">
        <v>3</v>
      </c>
      <c r="AD728">
        <v>41.937322</v>
      </c>
      <c r="AE728">
        <v>-88.167312</v>
      </c>
      <c r="AF728" s="5" t="str">
        <f>HYPERLINK("https://www.google.com/maps/search/?api=1&amp;query=41.937322,-88.167312","map")</f>
        <v>map</v>
      </c>
    </row>
    <row r="729" spans="1:32">
      <c r="A729" t="s">
        <v>779</v>
      </c>
      <c r="B729" t="s">
        <v>8359</v>
      </c>
      <c r="C729" t="s">
        <v>15164</v>
      </c>
      <c r="D729" t="s">
        <v>16197</v>
      </c>
      <c r="E729" t="s">
        <v>16218</v>
      </c>
      <c r="F729" t="s">
        <v>16220</v>
      </c>
      <c r="G729" t="s">
        <v>16238</v>
      </c>
      <c r="H729" t="s">
        <v>16238</v>
      </c>
      <c r="I729" t="s">
        <v>16314</v>
      </c>
      <c r="J729" t="s">
        <v>16385</v>
      </c>
      <c r="K729">
        <v>0.159</v>
      </c>
      <c r="L729">
        <v>6913</v>
      </c>
      <c r="M729">
        <v>2226</v>
      </c>
      <c r="N729" t="s">
        <v>16393</v>
      </c>
      <c r="O729" s="4">
        <v>36878</v>
      </c>
      <c r="P729" s="4">
        <v>80596</v>
      </c>
      <c r="Q729" s="4">
        <v>117474</v>
      </c>
      <c r="R729" s="4">
        <v>352422</v>
      </c>
      <c r="S729" t="s">
        <v>17109</v>
      </c>
      <c r="T729" s="6">
        <v>34151</v>
      </c>
      <c r="U729" s="4">
        <v>138700</v>
      </c>
      <c r="X729" t="s">
        <v>3</v>
      </c>
      <c r="AA729" s="5" t="str">
        <f>HYPERLINK("https://www.zillow.com/homes/1386-BOA-TR-CAROL-STREAM-IL-60188_rb/","check listing")</f>
        <v>check listing</v>
      </c>
      <c r="AB729" s="5" t="str">
        <f>HYPERLINK("https://propertylookup.dupagecounty.gov/Datalets/Datalet.aspx?UseSearch=no&amp;mode=sales&amp;pin=0123404087","sales record")</f>
        <v>sales record</v>
      </c>
      <c r="AC729" t="s">
        <v>3</v>
      </c>
      <c r="AD729">
        <v>41.936408</v>
      </c>
      <c r="AE729">
        <v>-88.169349</v>
      </c>
      <c r="AF729" s="5" t="str">
        <f>HYPERLINK("https://www.google.com/maps/search/?api=1&amp;query=41.936408,-88.169349","map")</f>
        <v>map</v>
      </c>
    </row>
    <row r="730" spans="1:32">
      <c r="A730" t="s">
        <v>780</v>
      </c>
      <c r="B730" t="s">
        <v>8360</v>
      </c>
      <c r="C730" t="s">
        <v>15164</v>
      </c>
      <c r="D730" t="s">
        <v>16197</v>
      </c>
      <c r="E730" t="s">
        <v>16218</v>
      </c>
      <c r="F730" t="s">
        <v>16220</v>
      </c>
      <c r="G730" t="s">
        <v>16238</v>
      </c>
      <c r="H730" t="s">
        <v>16238</v>
      </c>
      <c r="I730" t="s">
        <v>16314</v>
      </c>
      <c r="J730" t="s">
        <v>16385</v>
      </c>
      <c r="K730">
        <v>0.159</v>
      </c>
      <c r="L730">
        <v>6905</v>
      </c>
      <c r="M730">
        <v>2064</v>
      </c>
      <c r="N730" t="s">
        <v>16393</v>
      </c>
      <c r="O730" s="4">
        <v>36878</v>
      </c>
      <c r="P730" s="4">
        <v>73706</v>
      </c>
      <c r="Q730" s="4">
        <v>110584</v>
      </c>
      <c r="R730" s="4">
        <v>331752</v>
      </c>
      <c r="S730" t="s">
        <v>17110</v>
      </c>
      <c r="T730" s="6">
        <v>44531</v>
      </c>
      <c r="U730" s="4">
        <v>312000</v>
      </c>
      <c r="V730" t="s">
        <v>23739</v>
      </c>
      <c r="W730" t="s">
        <v>24090</v>
      </c>
      <c r="X730" t="s">
        <v>3</v>
      </c>
      <c r="AA730" s="5" t="str">
        <f>HYPERLINK("https://www.zillow.com/homes/1367-BOA-TR-CAROL-STREAM-IL-60188_rb/","check listing")</f>
        <v>check listing</v>
      </c>
      <c r="AB730" s="5" t="str">
        <f>HYPERLINK("https://propertylookup.dupagecounty.gov/Datalets/Datalet.aspx?UseSearch=no&amp;mode=sales&amp;pin=0123409031","sales record")</f>
        <v>sales record</v>
      </c>
      <c r="AC730" t="s">
        <v>27873</v>
      </c>
      <c r="AD730">
        <v>41.935793</v>
      </c>
      <c r="AE730">
        <v>-88.16871399999999</v>
      </c>
      <c r="AF730" s="5" t="str">
        <f>HYPERLINK("https://www.google.com/maps/search/?api=1&amp;query=41.935793,-88.168714","map")</f>
        <v>map</v>
      </c>
    </row>
    <row r="731" spans="1:32">
      <c r="A731" t="s">
        <v>781</v>
      </c>
      <c r="B731" t="s">
        <v>8361</v>
      </c>
      <c r="C731" t="s">
        <v>15164</v>
      </c>
      <c r="D731" t="s">
        <v>16197</v>
      </c>
      <c r="E731" t="s">
        <v>16218</v>
      </c>
      <c r="F731" t="s">
        <v>16220</v>
      </c>
      <c r="G731" t="s">
        <v>16238</v>
      </c>
      <c r="H731" t="s">
        <v>16238</v>
      </c>
      <c r="I731" t="s">
        <v>16314</v>
      </c>
      <c r="J731" t="s">
        <v>16385</v>
      </c>
      <c r="K731">
        <v>0.158</v>
      </c>
      <c r="L731">
        <v>6880</v>
      </c>
      <c r="M731">
        <v>1979</v>
      </c>
      <c r="N731" t="s">
        <v>16393</v>
      </c>
      <c r="O731" s="4">
        <v>36878</v>
      </c>
      <c r="P731" s="4">
        <v>89964</v>
      </c>
      <c r="Q731" s="4">
        <v>126842</v>
      </c>
      <c r="R731" s="4">
        <v>380526</v>
      </c>
      <c r="S731" t="s">
        <v>17111</v>
      </c>
      <c r="T731" s="6">
        <v>38018</v>
      </c>
      <c r="U731" s="4">
        <v>234800</v>
      </c>
      <c r="V731" t="s">
        <v>23739</v>
      </c>
      <c r="W731" t="s">
        <v>17111</v>
      </c>
      <c r="X731" t="s">
        <v>3</v>
      </c>
      <c r="AA731" s="5" t="str">
        <f>HYPERLINK("https://www.zillow.com/homes/1393-BOA-TR-CAROL-STREAM-IL-60188_rb/","check listing")</f>
        <v>check listing</v>
      </c>
      <c r="AB731" s="5" t="str">
        <f>HYPERLINK("https://propertylookup.dupagecounty.gov/Datalets/Datalet.aspx?UseSearch=no&amp;mode=sales&amp;pin=0123214023","sales record")</f>
        <v>sales record</v>
      </c>
      <c r="AC731" t="s">
        <v>3</v>
      </c>
      <c r="AD731">
        <v>41.936951</v>
      </c>
      <c r="AE731">
        <v>-88.168781</v>
      </c>
      <c r="AF731" s="5" t="str">
        <f>HYPERLINK("https://www.google.com/maps/search/?api=1&amp;query=41.936951,-88.168781","map")</f>
        <v>map</v>
      </c>
    </row>
    <row r="732" spans="1:32">
      <c r="A732" t="s">
        <v>782</v>
      </c>
      <c r="B732" t="s">
        <v>8362</v>
      </c>
      <c r="C732" t="s">
        <v>15164</v>
      </c>
      <c r="D732" t="s">
        <v>16197</v>
      </c>
      <c r="E732" t="s">
        <v>16218</v>
      </c>
      <c r="F732" t="s">
        <v>16220</v>
      </c>
      <c r="G732" t="s">
        <v>16238</v>
      </c>
      <c r="H732" t="s">
        <v>16238</v>
      </c>
      <c r="I732" t="s">
        <v>16314</v>
      </c>
      <c r="J732" t="s">
        <v>16385</v>
      </c>
      <c r="K732">
        <v>0.158</v>
      </c>
      <c r="L732">
        <v>6869</v>
      </c>
      <c r="M732">
        <v>2217</v>
      </c>
      <c r="N732" t="s">
        <v>16393</v>
      </c>
      <c r="O732" s="4">
        <v>36878</v>
      </c>
      <c r="P732" s="4">
        <v>80596</v>
      </c>
      <c r="Q732" s="4">
        <v>117474</v>
      </c>
      <c r="R732" s="4">
        <v>352422</v>
      </c>
      <c r="S732" t="s">
        <v>17112</v>
      </c>
      <c r="T732" s="6">
        <v>37196</v>
      </c>
      <c r="U732" s="4">
        <v>182000</v>
      </c>
      <c r="V732" t="s">
        <v>23739</v>
      </c>
      <c r="W732" t="s">
        <v>24091</v>
      </c>
      <c r="X732" t="s">
        <v>3</v>
      </c>
      <c r="AA732" s="5" t="str">
        <f>HYPERLINK("https://www.zillow.com/homes/1325-BOA-TR-CAROL-STREAM-IL-60188_rb/","check listing")</f>
        <v>check listing</v>
      </c>
      <c r="AB732" s="5" t="str">
        <f>HYPERLINK("https://propertylookup.dupagecounty.gov/Datalets/Datalet.aspx?UseSearch=no&amp;mode=sales&amp;pin=0123214040","sales record")</f>
        <v>sales record</v>
      </c>
      <c r="AC732" t="s">
        <v>3</v>
      </c>
      <c r="AD732">
        <v>41.937219</v>
      </c>
      <c r="AE732">
        <v>-88.167433</v>
      </c>
      <c r="AF732" s="5" t="str">
        <f>HYPERLINK("https://www.google.com/maps/search/?api=1&amp;query=41.937219,-88.167433","map")</f>
        <v>map</v>
      </c>
    </row>
    <row r="733" spans="1:32">
      <c r="A733" t="s">
        <v>783</v>
      </c>
      <c r="B733" t="s">
        <v>8363</v>
      </c>
      <c r="C733" t="s">
        <v>15164</v>
      </c>
      <c r="D733" t="s">
        <v>16197</v>
      </c>
      <c r="E733" t="s">
        <v>16218</v>
      </c>
      <c r="F733" t="s">
        <v>16220</v>
      </c>
      <c r="G733" t="s">
        <v>16238</v>
      </c>
      <c r="H733" t="s">
        <v>16238</v>
      </c>
      <c r="I733" t="s">
        <v>16314</v>
      </c>
      <c r="J733" t="s">
        <v>16385</v>
      </c>
      <c r="K733">
        <v>0.157</v>
      </c>
      <c r="L733">
        <v>6858</v>
      </c>
      <c r="M733">
        <v>2309</v>
      </c>
      <c r="N733" t="s">
        <v>16393</v>
      </c>
      <c r="O733" s="4">
        <v>36878</v>
      </c>
      <c r="P733" s="4">
        <v>74042</v>
      </c>
      <c r="Q733" s="4">
        <v>110920</v>
      </c>
      <c r="R733" s="4">
        <v>332760</v>
      </c>
      <c r="S733" t="s">
        <v>17113</v>
      </c>
      <c r="T733" s="6">
        <v>36039</v>
      </c>
      <c r="U733" s="4">
        <v>146000</v>
      </c>
      <c r="X733" t="s">
        <v>3</v>
      </c>
      <c r="AA733" s="5" t="str">
        <f>HYPERLINK("https://www.zillow.com/homes/1384-BOA-TRL-CAROL-STREAM-IL-60188_rb/","check listing")</f>
        <v>check listing</v>
      </c>
      <c r="AB733" s="5" t="str">
        <f>HYPERLINK("https://propertylookup.dupagecounty.gov/Datalets/Datalet.aspx?UseSearch=no&amp;mode=sales&amp;pin=0123404088","sales record")</f>
        <v>sales record</v>
      </c>
      <c r="AC733" t="s">
        <v>3</v>
      </c>
      <c r="AD733">
        <v>41.936328</v>
      </c>
      <c r="AE733">
        <v>-88.169354</v>
      </c>
      <c r="AF733" s="5" t="str">
        <f>HYPERLINK("https://www.google.com/maps/search/?api=1&amp;query=41.936328,-88.169354","map")</f>
        <v>map</v>
      </c>
    </row>
    <row r="734" spans="1:32">
      <c r="A734" t="s">
        <v>784</v>
      </c>
      <c r="B734" t="s">
        <v>8364</v>
      </c>
      <c r="C734" t="s">
        <v>15164</v>
      </c>
      <c r="D734" t="s">
        <v>16197</v>
      </c>
      <c r="E734" t="s">
        <v>16218</v>
      </c>
      <c r="F734" t="s">
        <v>16220</v>
      </c>
      <c r="G734" t="s">
        <v>16238</v>
      </c>
      <c r="H734" t="s">
        <v>16238</v>
      </c>
      <c r="I734" t="s">
        <v>16314</v>
      </c>
      <c r="J734" t="s">
        <v>16385</v>
      </c>
      <c r="K734">
        <v>0.157</v>
      </c>
      <c r="L734">
        <v>6835</v>
      </c>
      <c r="M734">
        <v>989</v>
      </c>
      <c r="N734" t="s">
        <v>16393</v>
      </c>
      <c r="O734" s="4">
        <v>36878</v>
      </c>
      <c r="P734" s="4">
        <v>58612</v>
      </c>
      <c r="Q734" s="4">
        <v>95490</v>
      </c>
      <c r="R734" s="4">
        <v>286470</v>
      </c>
      <c r="S734" t="s">
        <v>17114</v>
      </c>
      <c r="T734" s="6">
        <v>45814</v>
      </c>
      <c r="U734" s="4">
        <v>286500</v>
      </c>
      <c r="V734" t="s">
        <v>23739</v>
      </c>
      <c r="W734" t="s">
        <v>24092</v>
      </c>
      <c r="X734" t="s">
        <v>3</v>
      </c>
      <c r="AA734" s="5" t="str">
        <f>HYPERLINK("https://www.zillow.com/homes/1378-BOA-TRAIL-CAROL-STREAM-IL-60188_rb/","check listing")</f>
        <v>check listing</v>
      </c>
      <c r="AB734" s="5" t="str">
        <f>HYPERLINK("https://propertylookup.dupagecounty.gov/Datalets/Datalet.aspx?UseSearch=no&amp;mode=sales&amp;pin=0123404091","sales record")</f>
        <v>sales record</v>
      </c>
      <c r="AC734" t="s">
        <v>3</v>
      </c>
      <c r="AD734">
        <v>41.935796</v>
      </c>
      <c r="AE734">
        <v>-88.16941</v>
      </c>
      <c r="AF734" s="5" t="str">
        <f>HYPERLINK("https://www.google.com/maps/search/?api=1&amp;query=41.935796,-88.16941","map")</f>
        <v>map</v>
      </c>
    </row>
    <row r="735" spans="1:32">
      <c r="A735" t="s">
        <v>785</v>
      </c>
      <c r="B735" t="s">
        <v>8365</v>
      </c>
      <c r="C735" t="s">
        <v>15183</v>
      </c>
      <c r="D735" t="s">
        <v>16197</v>
      </c>
      <c r="E735" t="s">
        <v>16218</v>
      </c>
      <c r="F735" t="s">
        <v>16220</v>
      </c>
      <c r="G735" t="s">
        <v>16238</v>
      </c>
      <c r="H735" t="s">
        <v>16238</v>
      </c>
      <c r="I735" t="s">
        <v>16314</v>
      </c>
      <c r="J735" t="s">
        <v>16385</v>
      </c>
      <c r="K735">
        <v>0.157</v>
      </c>
      <c r="L735">
        <v>6822</v>
      </c>
      <c r="M735">
        <v>1229</v>
      </c>
      <c r="N735" t="s">
        <v>16393</v>
      </c>
      <c r="O735" s="4">
        <v>36878</v>
      </c>
      <c r="P735" s="4">
        <v>65344</v>
      </c>
      <c r="Q735" s="4">
        <v>102222</v>
      </c>
      <c r="R735" s="4">
        <v>306666</v>
      </c>
      <c r="S735" t="s">
        <v>17115</v>
      </c>
      <c r="T735" s="6">
        <v>44044</v>
      </c>
      <c r="U735" s="4">
        <v>249500</v>
      </c>
      <c r="V735" t="s">
        <v>23739</v>
      </c>
      <c r="W735" t="s">
        <v>17115</v>
      </c>
      <c r="X735" t="s">
        <v>3</v>
      </c>
      <c r="AA735" s="5" t="str">
        <f>HYPERLINK("https://www.zillow.com/homes/1321-BOA-TRL-CAROL-STREAM-IL-601889082_rb/","check listing")</f>
        <v>check listing</v>
      </c>
      <c r="AB735" s="5" t="str">
        <f>HYPERLINK("https://propertylookup.dupagecounty.gov/Datalets/Datalet.aspx?UseSearch=no&amp;mode=sales&amp;pin=0123214038","sales record")</f>
        <v>sales record</v>
      </c>
      <c r="AC735" t="s">
        <v>3</v>
      </c>
      <c r="AD735">
        <v>41.937429</v>
      </c>
      <c r="AE735">
        <v>-88.167196</v>
      </c>
      <c r="AF735" s="5" t="str">
        <f>HYPERLINK("https://www.google.com/maps/search/?api=1&amp;query=41.937429,-88.167196","map")</f>
        <v>map</v>
      </c>
    </row>
    <row r="736" spans="1:32">
      <c r="A736" t="s">
        <v>786</v>
      </c>
      <c r="B736" t="s">
        <v>8366</v>
      </c>
      <c r="C736" t="s">
        <v>15190</v>
      </c>
      <c r="D736" t="s">
        <v>16197</v>
      </c>
      <c r="E736" t="s">
        <v>16218</v>
      </c>
      <c r="F736" t="s">
        <v>16220</v>
      </c>
      <c r="G736" t="s">
        <v>16238</v>
      </c>
      <c r="H736" t="s">
        <v>16238</v>
      </c>
      <c r="I736" t="s">
        <v>16314</v>
      </c>
      <c r="J736" t="s">
        <v>16385</v>
      </c>
      <c r="K736">
        <v>0.155</v>
      </c>
      <c r="L736">
        <v>6771</v>
      </c>
      <c r="M736">
        <v>1349</v>
      </c>
      <c r="N736" t="s">
        <v>16393</v>
      </c>
      <c r="O736" s="4">
        <v>36878</v>
      </c>
      <c r="P736" s="4">
        <v>65344</v>
      </c>
      <c r="Q736" s="4">
        <v>102222</v>
      </c>
      <c r="R736" s="4">
        <v>306666</v>
      </c>
      <c r="S736" t="s">
        <v>17116</v>
      </c>
      <c r="T736" s="6">
        <v>43344</v>
      </c>
      <c r="U736" s="4">
        <v>199900</v>
      </c>
      <c r="V736" t="s">
        <v>23739</v>
      </c>
      <c r="W736" t="s">
        <v>17116</v>
      </c>
      <c r="X736" t="s">
        <v>3</v>
      </c>
      <c r="AA736" s="5" t="str">
        <f>HYPERLINK("https://www.zillow.com/homes/1340-BIG-HORN-TRL-CAROL-STREAM-IL-601889085_rb/","check listing")</f>
        <v>check listing</v>
      </c>
      <c r="AB736" s="5" t="str">
        <f>HYPERLINK("https://propertylookup.dupagecounty.gov/Datalets/Datalet.aspx?UseSearch=no&amp;mode=sales&amp;pin=0123214025","sales record")</f>
        <v>sales record</v>
      </c>
      <c r="AC736" t="s">
        <v>3</v>
      </c>
      <c r="AD736">
        <v>41.937179</v>
      </c>
      <c r="AE736">
        <v>-88.168515</v>
      </c>
      <c r="AF736" s="5" t="str">
        <f>HYPERLINK("https://www.google.com/maps/search/?api=1&amp;query=41.937179,-88.168515","map")</f>
        <v>map</v>
      </c>
    </row>
    <row r="737" spans="1:32">
      <c r="A737" t="s">
        <v>787</v>
      </c>
      <c r="B737" t="s">
        <v>8367</v>
      </c>
      <c r="C737" t="s">
        <v>15191</v>
      </c>
      <c r="D737" t="s">
        <v>16197</v>
      </c>
      <c r="E737" t="s">
        <v>16218</v>
      </c>
      <c r="F737" t="s">
        <v>16220</v>
      </c>
      <c r="G737" t="s">
        <v>16238</v>
      </c>
      <c r="H737" t="s">
        <v>16238</v>
      </c>
      <c r="I737" t="s">
        <v>16314</v>
      </c>
      <c r="J737" t="s">
        <v>16385</v>
      </c>
      <c r="K737">
        <v>0.154</v>
      </c>
      <c r="L737">
        <v>6713</v>
      </c>
      <c r="N737" t="s">
        <v>16393</v>
      </c>
      <c r="O737" s="4">
        <v>24121</v>
      </c>
      <c r="P737" s="4">
        <v>75269</v>
      </c>
      <c r="Q737" s="4">
        <v>99390</v>
      </c>
      <c r="R737" s="4">
        <v>298170</v>
      </c>
      <c r="S737" t="s">
        <v>17117</v>
      </c>
      <c r="T737" s="6">
        <v>43009</v>
      </c>
      <c r="U737" s="4">
        <v>209000</v>
      </c>
      <c r="V737" t="s">
        <v>23739</v>
      </c>
      <c r="W737" t="s">
        <v>17117</v>
      </c>
      <c r="X737" t="s">
        <v>3</v>
      </c>
      <c r="AA737" s="5" t="str">
        <f>HYPERLINK("https://www.zillow.com/homes/1140-BRADBURY-CIR-CAROL-STREAM-IL-601883904_rb/","check listing")</f>
        <v>check listing</v>
      </c>
      <c r="AB737" s="5" t="str">
        <f>HYPERLINK("https://propertylookup.dupagecounty.gov/Datalets/Datalet.aspx?UseSearch=no&amp;mode=sales&amp;pin=0219405025","sales record")</f>
        <v>sales record</v>
      </c>
      <c r="AC737" t="s">
        <v>27873</v>
      </c>
      <c r="AD737">
        <v>41.933643</v>
      </c>
      <c r="AE737">
        <v>-88.13119399999999</v>
      </c>
      <c r="AF737" s="5" t="str">
        <f>HYPERLINK("https://www.google.com/maps/search/?api=1&amp;query=41.933643,-88.131194","map")</f>
        <v>map</v>
      </c>
    </row>
    <row r="738" spans="1:32">
      <c r="A738" t="s">
        <v>788</v>
      </c>
      <c r="B738" t="s">
        <v>8368</v>
      </c>
      <c r="C738" t="s">
        <v>15164</v>
      </c>
      <c r="D738" t="s">
        <v>16197</v>
      </c>
      <c r="E738" t="s">
        <v>16218</v>
      </c>
      <c r="F738" t="s">
        <v>16220</v>
      </c>
      <c r="G738" t="s">
        <v>16238</v>
      </c>
      <c r="H738" t="s">
        <v>16238</v>
      </c>
      <c r="I738" t="s">
        <v>16314</v>
      </c>
      <c r="J738" t="s">
        <v>16385</v>
      </c>
      <c r="K738">
        <v>0.154</v>
      </c>
      <c r="L738">
        <v>6698</v>
      </c>
      <c r="M738">
        <v>1582</v>
      </c>
      <c r="N738" t="s">
        <v>16393</v>
      </c>
      <c r="O738" s="4">
        <v>36878</v>
      </c>
      <c r="P738" s="4">
        <v>78031</v>
      </c>
      <c r="Q738" s="4">
        <v>114909</v>
      </c>
      <c r="R738" s="4">
        <v>344727</v>
      </c>
      <c r="S738" t="s">
        <v>17118</v>
      </c>
      <c r="T738" s="6">
        <v>37834</v>
      </c>
      <c r="U738" s="4">
        <v>230000</v>
      </c>
      <c r="V738" t="s">
        <v>23739</v>
      </c>
      <c r="W738" t="s">
        <v>24093</v>
      </c>
      <c r="X738" t="s">
        <v>3</v>
      </c>
      <c r="AA738" s="5" t="str">
        <f>HYPERLINK("https://www.zillow.com/homes/1391-BOA-TRAIL-CAROL-STREAM-IL-60188_rb/","check listing")</f>
        <v>check listing</v>
      </c>
      <c r="AB738" s="5" t="str">
        <f>HYPERLINK("https://propertylookup.dupagecounty.gov/Datalets/Datalet.aspx?UseSearch=no&amp;mode=sales&amp;pin=0123409024","sales record")</f>
        <v>sales record</v>
      </c>
      <c r="AC738" t="s">
        <v>3</v>
      </c>
      <c r="AD738">
        <v>41.936764</v>
      </c>
      <c r="AE738">
        <v>-88.16878199999999</v>
      </c>
      <c r="AF738" s="5" t="str">
        <f>HYPERLINK("https://www.google.com/maps/search/?api=1&amp;query=41.936764,-88.168782","map")</f>
        <v>map</v>
      </c>
    </row>
    <row r="739" spans="1:32">
      <c r="A739" t="s">
        <v>789</v>
      </c>
      <c r="B739" t="s">
        <v>8369</v>
      </c>
      <c r="C739" t="s">
        <v>15164</v>
      </c>
      <c r="D739" t="s">
        <v>16197</v>
      </c>
      <c r="E739" t="s">
        <v>16218</v>
      </c>
      <c r="F739" t="s">
        <v>16220</v>
      </c>
      <c r="G739" t="s">
        <v>16238</v>
      </c>
      <c r="H739" t="s">
        <v>16238</v>
      </c>
      <c r="I739" t="s">
        <v>16314</v>
      </c>
      <c r="J739" t="s">
        <v>16385</v>
      </c>
      <c r="K739">
        <v>0.153</v>
      </c>
      <c r="L739">
        <v>6648</v>
      </c>
      <c r="M739">
        <v>2111</v>
      </c>
      <c r="N739" t="s">
        <v>16393</v>
      </c>
      <c r="O739" s="4">
        <v>36878</v>
      </c>
      <c r="P739" s="4">
        <v>70998</v>
      </c>
      <c r="Q739" s="4">
        <v>107876</v>
      </c>
      <c r="R739" s="4">
        <v>323628</v>
      </c>
      <c r="S739" t="s">
        <v>17119</v>
      </c>
      <c r="T739" s="6">
        <v>39630</v>
      </c>
      <c r="U739" s="4">
        <v>220000</v>
      </c>
      <c r="V739" t="s">
        <v>23739</v>
      </c>
      <c r="W739" t="s">
        <v>17119</v>
      </c>
      <c r="X739" t="s">
        <v>3</v>
      </c>
      <c r="AA739" s="5" t="str">
        <f>HYPERLINK("https://www.zillow.com/homes/1331-BOA-TR-CAROL-STREAM-IL-60188_rb/","check listing")</f>
        <v>check listing</v>
      </c>
      <c r="AB739" s="5" t="str">
        <f>HYPERLINK("https://propertylookup.dupagecounty.gov/Datalets/Datalet.aspx?UseSearch=no&amp;mode=sales&amp;pin=0123409042","sales record")</f>
        <v>sales record</v>
      </c>
      <c r="AC739" t="s">
        <v>3</v>
      </c>
      <c r="AD739">
        <v>41.936969</v>
      </c>
      <c r="AE739">
        <v>-88.167878</v>
      </c>
      <c r="AF739" s="5" t="str">
        <f>HYPERLINK("https://www.google.com/maps/search/?api=1&amp;query=41.936969,-88.167878","map")</f>
        <v>map</v>
      </c>
    </row>
    <row r="740" spans="1:32">
      <c r="A740" t="s">
        <v>790</v>
      </c>
      <c r="B740" t="s">
        <v>8370</v>
      </c>
      <c r="C740" t="s">
        <v>15164</v>
      </c>
      <c r="D740" t="s">
        <v>16197</v>
      </c>
      <c r="E740" t="s">
        <v>16218</v>
      </c>
      <c r="F740" t="s">
        <v>16220</v>
      </c>
      <c r="G740" t="s">
        <v>16238</v>
      </c>
      <c r="H740" t="s">
        <v>16238</v>
      </c>
      <c r="I740" t="s">
        <v>16314</v>
      </c>
      <c r="J740" t="s">
        <v>16385</v>
      </c>
      <c r="K740">
        <v>0.153</v>
      </c>
      <c r="L740">
        <v>6643</v>
      </c>
      <c r="M740">
        <v>2309</v>
      </c>
      <c r="N740" t="s">
        <v>16393</v>
      </c>
      <c r="O740" s="4">
        <v>36878</v>
      </c>
      <c r="P740" s="4">
        <v>73706</v>
      </c>
      <c r="Q740" s="4">
        <v>110584</v>
      </c>
      <c r="R740" s="4">
        <v>331752</v>
      </c>
      <c r="S740" t="s">
        <v>17120</v>
      </c>
      <c r="T740" s="6">
        <v>45472</v>
      </c>
      <c r="U740" s="4">
        <v>360000</v>
      </c>
      <c r="V740" t="s">
        <v>23739</v>
      </c>
      <c r="W740" t="s">
        <v>24094</v>
      </c>
      <c r="X740" t="s">
        <v>3</v>
      </c>
      <c r="AA740" s="5" t="str">
        <f>HYPERLINK("https://www.zillow.com/homes/1294-SPRING-VALLEY-DR-CAROL-STREAM-IL-60188_rb/","check listing")</f>
        <v>check listing</v>
      </c>
      <c r="AB740" s="5" t="str">
        <f>HYPERLINK("https://propertylookup.dupagecounty.gov/Datalets/Datalet.aspx?UseSearch=no&amp;mode=sales&amp;pin=0123215007","sales record")</f>
        <v>sales record</v>
      </c>
      <c r="AC740" t="s">
        <v>3</v>
      </c>
      <c r="AD740">
        <v>41.93729</v>
      </c>
      <c r="AE740">
        <v>-88.166426</v>
      </c>
      <c r="AF740" s="5" t="str">
        <f>HYPERLINK("https://www.google.com/maps/search/?api=1&amp;query=41.93729,-88.166426","map")</f>
        <v>map</v>
      </c>
    </row>
    <row r="741" spans="1:32">
      <c r="A741" t="s">
        <v>791</v>
      </c>
      <c r="B741" t="s">
        <v>8371</v>
      </c>
      <c r="C741" t="s">
        <v>15172</v>
      </c>
      <c r="D741" t="s">
        <v>16197</v>
      </c>
      <c r="E741" t="s">
        <v>16218</v>
      </c>
      <c r="F741" t="s">
        <v>16220</v>
      </c>
      <c r="G741" t="s">
        <v>16238</v>
      </c>
      <c r="H741" t="s">
        <v>16238</v>
      </c>
      <c r="I741" t="s">
        <v>16314</v>
      </c>
      <c r="J741" t="s">
        <v>16385</v>
      </c>
      <c r="K741">
        <v>0.152</v>
      </c>
      <c r="L741">
        <v>6621</v>
      </c>
      <c r="M741">
        <v>2310</v>
      </c>
      <c r="N741" t="s">
        <v>16393</v>
      </c>
      <c r="O741" s="4">
        <v>36878</v>
      </c>
      <c r="P741" s="4">
        <v>81444</v>
      </c>
      <c r="Q741" s="4">
        <v>118322</v>
      </c>
      <c r="R741" s="4">
        <v>354966</v>
      </c>
      <c r="S741" t="s">
        <v>17121</v>
      </c>
      <c r="T741" s="6">
        <v>45337</v>
      </c>
      <c r="U741" s="4">
        <v>355000</v>
      </c>
      <c r="V741" t="s">
        <v>23741</v>
      </c>
      <c r="W741" t="s">
        <v>24095</v>
      </c>
      <c r="X741" t="s">
        <v>3</v>
      </c>
      <c r="AA741" s="5" t="str">
        <f>HYPERLINK("https://www.zillow.com/homes/1390-BOA-TRL-CAROL-STREAM-IL-601889081_rb/","check listing")</f>
        <v>check listing</v>
      </c>
      <c r="AB741" s="5" t="str">
        <f>HYPERLINK("https://propertylookup.dupagecounty.gov/Datalets/Datalet.aspx?UseSearch=no&amp;mode=sales&amp;pin=0123404085","sales record")</f>
        <v>sales record</v>
      </c>
      <c r="AC741" t="s">
        <v>3</v>
      </c>
      <c r="AD741">
        <v>41.936718</v>
      </c>
      <c r="AE741">
        <v>-88.169364</v>
      </c>
      <c r="AF741" s="5" t="str">
        <f>HYPERLINK("https://www.google.com/maps/search/?api=1&amp;query=41.936718,-88.169364","map")</f>
        <v>map</v>
      </c>
    </row>
    <row r="742" spans="1:32">
      <c r="A742" t="s">
        <v>792</v>
      </c>
      <c r="B742" t="s">
        <v>8372</v>
      </c>
      <c r="C742" t="s">
        <v>15172</v>
      </c>
      <c r="D742" t="s">
        <v>16197</v>
      </c>
      <c r="E742" t="s">
        <v>16218</v>
      </c>
      <c r="F742" t="s">
        <v>16220</v>
      </c>
      <c r="G742" t="s">
        <v>16238</v>
      </c>
      <c r="H742" t="s">
        <v>16238</v>
      </c>
      <c r="I742" t="s">
        <v>16314</v>
      </c>
      <c r="J742" t="s">
        <v>16385</v>
      </c>
      <c r="K742">
        <v>0.151</v>
      </c>
      <c r="L742">
        <v>6596</v>
      </c>
      <c r="M742">
        <v>2473</v>
      </c>
      <c r="N742" t="s">
        <v>16393</v>
      </c>
      <c r="O742" s="4">
        <v>36878</v>
      </c>
      <c r="P742" s="4">
        <v>74042</v>
      </c>
      <c r="Q742" s="4">
        <v>110920</v>
      </c>
      <c r="R742" s="4">
        <v>332760</v>
      </c>
      <c r="S742" t="s">
        <v>17122</v>
      </c>
      <c r="T742" s="6">
        <v>40391</v>
      </c>
      <c r="U742" s="4">
        <v>220000</v>
      </c>
      <c r="V742" t="s">
        <v>23739</v>
      </c>
      <c r="W742" t="s">
        <v>24096</v>
      </c>
      <c r="X742" t="s">
        <v>3</v>
      </c>
      <c r="AA742" s="5" t="str">
        <f>HYPERLINK("https://www.zillow.com/homes/1388-BOA-TRL-CAROL-STREAM-IL-601889081_rb/","check listing")</f>
        <v>check listing</v>
      </c>
      <c r="AB742" s="5" t="str">
        <f>HYPERLINK("https://propertylookup.dupagecounty.gov/Datalets/Datalet.aspx?UseSearch=no&amp;mode=sales&amp;pin=0123404086","sales record")</f>
        <v>sales record</v>
      </c>
      <c r="AC742" t="s">
        <v>3</v>
      </c>
      <c r="AD742">
        <v>41.936603</v>
      </c>
      <c r="AE742">
        <v>-88.169349</v>
      </c>
      <c r="AF742" s="5" t="str">
        <f>HYPERLINK("https://www.google.com/maps/search/?api=1&amp;query=41.936603,-88.169349","map")</f>
        <v>map</v>
      </c>
    </row>
    <row r="743" spans="1:32">
      <c r="A743" t="s">
        <v>793</v>
      </c>
      <c r="B743" t="s">
        <v>8373</v>
      </c>
      <c r="C743" t="s">
        <v>15164</v>
      </c>
      <c r="D743" t="s">
        <v>16197</v>
      </c>
      <c r="E743" t="s">
        <v>16218</v>
      </c>
      <c r="F743" t="s">
        <v>16220</v>
      </c>
      <c r="G743" t="s">
        <v>16238</v>
      </c>
      <c r="H743" t="s">
        <v>16238</v>
      </c>
      <c r="I743" t="s">
        <v>16314</v>
      </c>
      <c r="J743" t="s">
        <v>16385</v>
      </c>
      <c r="K743">
        <v>0.151</v>
      </c>
      <c r="L743">
        <v>6590</v>
      </c>
      <c r="M743">
        <v>2247</v>
      </c>
      <c r="N743" t="s">
        <v>16393</v>
      </c>
      <c r="O743" s="4">
        <v>36878</v>
      </c>
      <c r="P743" s="4">
        <v>71251</v>
      </c>
      <c r="Q743" s="4">
        <v>108129</v>
      </c>
      <c r="R743" s="4">
        <v>324387</v>
      </c>
      <c r="S743" t="s">
        <v>17123</v>
      </c>
      <c r="T743" s="6">
        <v>34151</v>
      </c>
      <c r="U743" s="4">
        <v>130000</v>
      </c>
      <c r="X743" t="s">
        <v>3</v>
      </c>
      <c r="AA743" s="5" t="str">
        <f>HYPERLINK("https://www.zillow.com/homes/1327-BOA-TRAIL-CAROL-STREAM-IL-60188_rb/","check listing")</f>
        <v>check listing</v>
      </c>
      <c r="AB743" s="5" t="str">
        <f>HYPERLINK("https://propertylookup.dupagecounty.gov/Datalets/Datalet.aspx?UseSearch=no&amp;mode=sales&amp;pin=0123214041","sales record")</f>
        <v>sales record</v>
      </c>
      <c r="AC743" t="s">
        <v>3</v>
      </c>
      <c r="AD743">
        <v>41.937135</v>
      </c>
      <c r="AE743">
        <v>-88.167582</v>
      </c>
      <c r="AF743" s="5" t="str">
        <f>HYPERLINK("https://www.google.com/maps/search/?api=1&amp;query=41.937135,-88.167582","map")</f>
        <v>map</v>
      </c>
    </row>
    <row r="744" spans="1:32">
      <c r="A744" t="s">
        <v>794</v>
      </c>
      <c r="B744" t="s">
        <v>8374</v>
      </c>
      <c r="C744" t="s">
        <v>15164</v>
      </c>
      <c r="D744" t="s">
        <v>16197</v>
      </c>
      <c r="E744" t="s">
        <v>16218</v>
      </c>
      <c r="F744" t="s">
        <v>16220</v>
      </c>
      <c r="G744" t="s">
        <v>16238</v>
      </c>
      <c r="H744" t="s">
        <v>16238</v>
      </c>
      <c r="I744" t="s">
        <v>16314</v>
      </c>
      <c r="J744" t="s">
        <v>16385</v>
      </c>
      <c r="K744">
        <v>0.151</v>
      </c>
      <c r="L744">
        <v>6579</v>
      </c>
      <c r="M744">
        <v>1979</v>
      </c>
      <c r="N744" t="s">
        <v>16393</v>
      </c>
      <c r="O744" s="4">
        <v>36878</v>
      </c>
      <c r="P744" s="4">
        <v>94027</v>
      </c>
      <c r="Q744" s="4">
        <v>130905</v>
      </c>
      <c r="R744" s="4">
        <v>392715</v>
      </c>
      <c r="S744" t="s">
        <v>17124</v>
      </c>
      <c r="T744" s="6">
        <v>37561</v>
      </c>
      <c r="U744" s="4">
        <v>230000</v>
      </c>
      <c r="V744" t="s">
        <v>23739</v>
      </c>
      <c r="W744" t="s">
        <v>17124</v>
      </c>
      <c r="X744" t="s">
        <v>3</v>
      </c>
      <c r="AA744" s="5" t="str">
        <f>HYPERLINK("https://www.zillow.com/homes/1348-BOA-TRAIL-CAROL-STREAM-IL-60188_rb/","check listing")</f>
        <v>check listing</v>
      </c>
      <c r="AB744" s="5" t="str">
        <f>HYPERLINK("https://propertylookup.dupagecounty.gov/Datalets/Datalet.aspx?UseSearch=no&amp;mode=sales&amp;pin=0123404106","sales record")</f>
        <v>sales record</v>
      </c>
      <c r="AC744" t="s">
        <v>3</v>
      </c>
      <c r="AD744">
        <v>41.936014</v>
      </c>
      <c r="AE744">
        <v>-88.167655</v>
      </c>
      <c r="AF744" s="5" t="str">
        <f>HYPERLINK("https://www.google.com/maps/search/?api=1&amp;query=41.936014,-88.167655","map")</f>
        <v>map</v>
      </c>
    </row>
    <row r="745" spans="1:32">
      <c r="A745" t="s">
        <v>795</v>
      </c>
      <c r="B745" t="s">
        <v>8375</v>
      </c>
      <c r="C745" t="s">
        <v>15164</v>
      </c>
      <c r="D745" t="s">
        <v>16197</v>
      </c>
      <c r="E745" t="s">
        <v>16218</v>
      </c>
      <c r="F745" t="s">
        <v>16220</v>
      </c>
      <c r="G745" t="s">
        <v>16238</v>
      </c>
      <c r="H745" t="s">
        <v>16238</v>
      </c>
      <c r="I745" t="s">
        <v>16314</v>
      </c>
      <c r="J745" t="s">
        <v>16385</v>
      </c>
      <c r="K745">
        <v>0.15</v>
      </c>
      <c r="L745">
        <v>6552</v>
      </c>
      <c r="M745">
        <v>2303</v>
      </c>
      <c r="N745" t="s">
        <v>16393</v>
      </c>
      <c r="O745" s="4">
        <v>36878</v>
      </c>
      <c r="P745" s="4">
        <v>73706</v>
      </c>
      <c r="Q745" s="4">
        <v>110584</v>
      </c>
      <c r="R745" s="4">
        <v>331752</v>
      </c>
      <c r="S745" t="s">
        <v>17125</v>
      </c>
      <c r="T745" s="6">
        <v>38504</v>
      </c>
      <c r="U745" s="4">
        <v>242900</v>
      </c>
      <c r="V745" t="s">
        <v>23739</v>
      </c>
      <c r="W745" t="s">
        <v>17125</v>
      </c>
      <c r="X745" t="s">
        <v>3</v>
      </c>
      <c r="AA745" s="5" t="str">
        <f>HYPERLINK("https://www.zillow.com/homes/1364-BOA-TRL-CAROL-STREAM-IL-60188_rb/","check listing")</f>
        <v>check listing</v>
      </c>
      <c r="AB745" s="5" t="str">
        <f>HYPERLINK("https://propertylookup.dupagecounty.gov/Datalets/Datalet.aspx?UseSearch=no&amp;mode=sales&amp;pin=0123404098","sales record")</f>
        <v>sales record</v>
      </c>
      <c r="AC745" t="s">
        <v>27873</v>
      </c>
      <c r="AD745">
        <v>41.935351</v>
      </c>
      <c r="AE745">
        <v>-88.16846099999999</v>
      </c>
      <c r="AF745" s="5" t="str">
        <f>HYPERLINK("https://www.google.com/maps/search/?api=1&amp;query=41.935351,-88.168461","map")</f>
        <v>map</v>
      </c>
    </row>
    <row r="746" spans="1:32">
      <c r="A746" t="s">
        <v>796</v>
      </c>
      <c r="B746" t="s">
        <v>8376</v>
      </c>
      <c r="C746" t="s">
        <v>15164</v>
      </c>
      <c r="D746" t="s">
        <v>16197</v>
      </c>
      <c r="E746" t="s">
        <v>16218</v>
      </c>
      <c r="F746" t="s">
        <v>16220</v>
      </c>
      <c r="G746" t="s">
        <v>16238</v>
      </c>
      <c r="H746" t="s">
        <v>16238</v>
      </c>
      <c r="I746" t="s">
        <v>16314</v>
      </c>
      <c r="J746" t="s">
        <v>16385</v>
      </c>
      <c r="K746">
        <v>0.15</v>
      </c>
      <c r="L746">
        <v>6550</v>
      </c>
      <c r="M746">
        <v>1842</v>
      </c>
      <c r="N746" t="s">
        <v>16393</v>
      </c>
      <c r="O746" s="4">
        <v>36878</v>
      </c>
      <c r="P746" s="4">
        <v>80596</v>
      </c>
      <c r="Q746" s="4">
        <v>117474</v>
      </c>
      <c r="R746" s="4">
        <v>352422</v>
      </c>
      <c r="S746" t="s">
        <v>17126</v>
      </c>
      <c r="T746" s="6">
        <v>38261</v>
      </c>
      <c r="U746" s="4">
        <v>217000</v>
      </c>
      <c r="V746" t="s">
        <v>23739</v>
      </c>
      <c r="W746" t="s">
        <v>24097</v>
      </c>
      <c r="X746" t="s">
        <v>3</v>
      </c>
      <c r="AA746" s="5" t="str">
        <f>HYPERLINK("https://www.zillow.com/homes/1368-BOA-TRL-CAROL-STREAM-IL-60188_rb/","check listing")</f>
        <v>check listing</v>
      </c>
      <c r="AB746" s="5" t="str">
        <f>HYPERLINK("https://propertylookup.dupagecounty.gov/Datalets/Datalet.aspx?UseSearch=no&amp;mode=sales&amp;pin=0123404096","sales record")</f>
        <v>sales record</v>
      </c>
      <c r="AC746" t="s">
        <v>27873</v>
      </c>
      <c r="AD746">
        <v>41.935343</v>
      </c>
      <c r="AE746">
        <v>-88.168828</v>
      </c>
      <c r="AF746" s="5" t="str">
        <f>HYPERLINK("https://www.google.com/maps/search/?api=1&amp;query=41.935343,-88.168828","map")</f>
        <v>map</v>
      </c>
    </row>
    <row r="747" spans="1:32">
      <c r="A747" t="s">
        <v>797</v>
      </c>
      <c r="B747" t="s">
        <v>8377</v>
      </c>
      <c r="C747" t="s">
        <v>15172</v>
      </c>
      <c r="D747" t="s">
        <v>16197</v>
      </c>
      <c r="E747" t="s">
        <v>16218</v>
      </c>
      <c r="F747" t="s">
        <v>16220</v>
      </c>
      <c r="G747" t="s">
        <v>16238</v>
      </c>
      <c r="H747" t="s">
        <v>16238</v>
      </c>
      <c r="I747" t="s">
        <v>16314</v>
      </c>
      <c r="J747" t="s">
        <v>16385</v>
      </c>
      <c r="K747">
        <v>0.15</v>
      </c>
      <c r="L747">
        <v>6550</v>
      </c>
      <c r="M747">
        <v>1626</v>
      </c>
      <c r="N747" t="s">
        <v>16393</v>
      </c>
      <c r="O747" s="4">
        <v>36878</v>
      </c>
      <c r="P747" s="4">
        <v>75516</v>
      </c>
      <c r="Q747" s="4">
        <v>112394</v>
      </c>
      <c r="R747" s="4">
        <v>337182</v>
      </c>
      <c r="S747" t="s">
        <v>17127</v>
      </c>
      <c r="T747" s="6">
        <v>44742</v>
      </c>
      <c r="U747" s="4">
        <v>320000</v>
      </c>
      <c r="V747" t="s">
        <v>23739</v>
      </c>
      <c r="W747" t="s">
        <v>24098</v>
      </c>
      <c r="X747" t="s">
        <v>3</v>
      </c>
      <c r="AA747" s="5" t="str">
        <f>HYPERLINK("https://www.zillow.com/homes/1366-BOA-TRL-CAROL-STREAM-IL-601889081_rb/","check listing")</f>
        <v>check listing</v>
      </c>
      <c r="AB747" s="5" t="str">
        <f>HYPERLINK("https://propertylookup.dupagecounty.gov/Datalets/Datalet.aspx?UseSearch=no&amp;mode=sales&amp;pin=0123404097","sales record")</f>
        <v>sales record</v>
      </c>
      <c r="AC747" t="s">
        <v>27873</v>
      </c>
      <c r="AD747">
        <v>41.935347</v>
      </c>
      <c r="AE747">
        <v>-88.168645</v>
      </c>
      <c r="AF747" s="5" t="str">
        <f>HYPERLINK("https://www.google.com/maps/search/?api=1&amp;query=41.935347,-88.168645","map")</f>
        <v>map</v>
      </c>
    </row>
    <row r="748" spans="1:32">
      <c r="A748" t="s">
        <v>798</v>
      </c>
      <c r="B748" t="s">
        <v>8378</v>
      </c>
      <c r="C748" t="s">
        <v>15172</v>
      </c>
      <c r="D748" t="s">
        <v>16197</v>
      </c>
      <c r="E748" t="s">
        <v>16218</v>
      </c>
      <c r="F748" t="s">
        <v>16220</v>
      </c>
      <c r="G748" t="s">
        <v>16238</v>
      </c>
      <c r="H748" t="s">
        <v>16238</v>
      </c>
      <c r="I748" t="s">
        <v>16314</v>
      </c>
      <c r="J748" t="s">
        <v>16385</v>
      </c>
      <c r="K748">
        <v>0.15</v>
      </c>
      <c r="L748">
        <v>6550</v>
      </c>
      <c r="M748">
        <v>1219</v>
      </c>
      <c r="N748" t="s">
        <v>16393</v>
      </c>
      <c r="O748" s="4">
        <v>36878</v>
      </c>
      <c r="P748" s="4">
        <v>66961</v>
      </c>
      <c r="Q748" s="4">
        <v>103839</v>
      </c>
      <c r="R748" s="4">
        <v>311517</v>
      </c>
      <c r="S748" t="s">
        <v>17128</v>
      </c>
      <c r="T748" s="6">
        <v>30987</v>
      </c>
      <c r="U748" s="4">
        <v>77675</v>
      </c>
      <c r="X748" t="s">
        <v>3</v>
      </c>
      <c r="AA748" s="5" t="str">
        <f>HYPERLINK("https://www.zillow.com/homes/1362-BOA-TRL-CAROL-STREAM-IL-601889081_rb/","check listing")</f>
        <v>check listing</v>
      </c>
      <c r="AB748" s="5" t="str">
        <f>HYPERLINK("https://propertylookup.dupagecounty.gov/Datalets/Datalet.aspx?UseSearch=no&amp;mode=sales&amp;pin=0123404099","sales record")</f>
        <v>sales record</v>
      </c>
      <c r="AC748" t="s">
        <v>3</v>
      </c>
      <c r="AD748">
        <v>41.935355</v>
      </c>
      <c r="AE748">
        <v>-88.168277</v>
      </c>
      <c r="AF748" s="5" t="str">
        <f>HYPERLINK("https://www.google.com/maps/search/?api=1&amp;query=41.935355,-88.168277","map")</f>
        <v>map</v>
      </c>
    </row>
    <row r="749" spans="1:32">
      <c r="A749" t="s">
        <v>799</v>
      </c>
      <c r="B749" t="s">
        <v>8379</v>
      </c>
      <c r="C749" t="s">
        <v>15164</v>
      </c>
      <c r="D749" t="s">
        <v>16197</v>
      </c>
      <c r="E749" t="s">
        <v>16218</v>
      </c>
      <c r="F749" t="s">
        <v>16220</v>
      </c>
      <c r="G749" t="s">
        <v>16238</v>
      </c>
      <c r="H749" t="s">
        <v>16238</v>
      </c>
      <c r="I749" t="s">
        <v>16314</v>
      </c>
      <c r="J749" t="s">
        <v>16385</v>
      </c>
      <c r="K749">
        <v>0.15</v>
      </c>
      <c r="L749">
        <v>6549</v>
      </c>
      <c r="M749">
        <v>1319</v>
      </c>
      <c r="N749" t="s">
        <v>16393</v>
      </c>
      <c r="O749" s="4">
        <v>36878</v>
      </c>
      <c r="P749" s="4">
        <v>73455</v>
      </c>
      <c r="Q749" s="4">
        <v>110333</v>
      </c>
      <c r="R749" s="4">
        <v>330999</v>
      </c>
      <c r="S749" t="s">
        <v>17129</v>
      </c>
      <c r="T749" s="6">
        <v>36770</v>
      </c>
      <c r="U749" s="4">
        <v>155000</v>
      </c>
      <c r="V749" t="s">
        <v>23739</v>
      </c>
      <c r="W749" t="s">
        <v>24099</v>
      </c>
      <c r="X749" t="s">
        <v>3</v>
      </c>
      <c r="AA749" s="5" t="str">
        <f>HYPERLINK("https://www.zillow.com/homes/1350-BOA-TR-CAROL-STREAM-IL-60188_rb/","check listing")</f>
        <v>check listing</v>
      </c>
      <c r="AB749" s="5" t="str">
        <f>HYPERLINK("https://propertylookup.dupagecounty.gov/Datalets/Datalet.aspx?UseSearch=no&amp;mode=sales&amp;pin=0123404105","sales record")</f>
        <v>sales record</v>
      </c>
      <c r="AC749" t="s">
        <v>3</v>
      </c>
      <c r="AD749">
        <v>41.935895</v>
      </c>
      <c r="AE749">
        <v>-88.16765599999999</v>
      </c>
      <c r="AF749" s="5" t="str">
        <f>HYPERLINK("https://www.google.com/maps/search/?api=1&amp;query=41.935895,-88.167656","map")</f>
        <v>map</v>
      </c>
    </row>
    <row r="750" spans="1:32">
      <c r="A750" t="s">
        <v>800</v>
      </c>
      <c r="B750" t="s">
        <v>8380</v>
      </c>
      <c r="C750" t="s">
        <v>15164</v>
      </c>
      <c r="D750" t="s">
        <v>16197</v>
      </c>
      <c r="E750" t="s">
        <v>16218</v>
      </c>
      <c r="F750" t="s">
        <v>16220</v>
      </c>
      <c r="G750" t="s">
        <v>16238</v>
      </c>
      <c r="H750" t="s">
        <v>16238</v>
      </c>
      <c r="I750" t="s">
        <v>16314</v>
      </c>
      <c r="J750" t="s">
        <v>16385</v>
      </c>
      <c r="K750">
        <v>0.15</v>
      </c>
      <c r="L750">
        <v>6522</v>
      </c>
      <c r="M750">
        <v>1954</v>
      </c>
      <c r="N750" t="s">
        <v>16393</v>
      </c>
      <c r="O750" s="4">
        <v>33761</v>
      </c>
      <c r="P750" s="4">
        <v>81171</v>
      </c>
      <c r="Q750" s="4">
        <v>114932</v>
      </c>
      <c r="R750" s="4">
        <v>344796</v>
      </c>
      <c r="S750" t="s">
        <v>17130</v>
      </c>
      <c r="T750" s="6">
        <v>34912</v>
      </c>
      <c r="U750" s="4">
        <v>145000</v>
      </c>
      <c r="X750" t="s">
        <v>3</v>
      </c>
      <c r="AA750" s="5" t="str">
        <f>HYPERLINK("https://www.zillow.com/homes/1316-CARIBOU-TR-CAROL-STREAM-IL-60188_rb/","check listing")</f>
        <v>check listing</v>
      </c>
      <c r="AB750" s="5" t="str">
        <f>HYPERLINK("https://propertylookup.dupagecounty.gov/Datalets/Datalet.aspx?UseSearch=no&amp;mode=sales&amp;pin=0123406002","sales record")</f>
        <v>sales record</v>
      </c>
      <c r="AC750" t="s">
        <v>3</v>
      </c>
      <c r="AD750">
        <v>41.934414</v>
      </c>
      <c r="AE750">
        <v>-88.167885</v>
      </c>
      <c r="AF750" s="5" t="str">
        <f>HYPERLINK("https://www.google.com/maps/search/?api=1&amp;query=41.934414,-88.167885","map")</f>
        <v>map</v>
      </c>
    </row>
    <row r="751" spans="1:32">
      <c r="A751" t="s">
        <v>801</v>
      </c>
      <c r="B751" t="s">
        <v>8381</v>
      </c>
      <c r="C751" t="s">
        <v>15172</v>
      </c>
      <c r="D751" t="s">
        <v>16197</v>
      </c>
      <c r="E751" t="s">
        <v>16218</v>
      </c>
      <c r="F751" t="s">
        <v>16220</v>
      </c>
      <c r="G751" t="s">
        <v>16238</v>
      </c>
      <c r="H751" t="s">
        <v>16238</v>
      </c>
      <c r="I751" t="s">
        <v>16314</v>
      </c>
      <c r="J751" t="s">
        <v>16385</v>
      </c>
      <c r="K751">
        <v>0.149</v>
      </c>
      <c r="L751">
        <v>6512</v>
      </c>
      <c r="M751">
        <v>2309</v>
      </c>
      <c r="N751" t="s">
        <v>16393</v>
      </c>
      <c r="O751" s="4">
        <v>36878</v>
      </c>
      <c r="P751" s="4">
        <v>73706</v>
      </c>
      <c r="Q751" s="4">
        <v>110584</v>
      </c>
      <c r="R751" s="4">
        <v>331752</v>
      </c>
      <c r="S751" t="s">
        <v>17131</v>
      </c>
      <c r="T751" s="6">
        <v>40909</v>
      </c>
      <c r="U751" s="4">
        <v>175000</v>
      </c>
      <c r="V751" t="s">
        <v>23740</v>
      </c>
      <c r="W751" t="s">
        <v>24100</v>
      </c>
      <c r="X751" t="s">
        <v>3</v>
      </c>
      <c r="AA751" s="5" t="str">
        <f>HYPERLINK("https://www.zillow.com/homes/1352-BOA-TRL-CAROL-STREAM-IL-601889081_rb/","check listing")</f>
        <v>check listing</v>
      </c>
      <c r="AB751" s="5" t="str">
        <f>HYPERLINK("https://propertylookup.dupagecounty.gov/Datalets/Datalet.aspx?UseSearch=no&amp;mode=sales&amp;pin=0123404104","sales record")</f>
        <v>sales record</v>
      </c>
      <c r="AC751" t="s">
        <v>3</v>
      </c>
      <c r="AD751">
        <v>41.935752</v>
      </c>
      <c r="AE751">
        <v>-88.167658</v>
      </c>
      <c r="AF751" s="5" t="str">
        <f>HYPERLINK("https://www.google.com/maps/search/?api=1&amp;query=41.935752,-88.167658","map")</f>
        <v>map</v>
      </c>
    </row>
    <row r="752" spans="1:32">
      <c r="A752" t="s">
        <v>802</v>
      </c>
      <c r="B752" t="s">
        <v>8382</v>
      </c>
      <c r="C752" t="s">
        <v>15164</v>
      </c>
      <c r="D752" t="s">
        <v>16197</v>
      </c>
      <c r="E752" t="s">
        <v>16218</v>
      </c>
      <c r="F752" t="s">
        <v>16220</v>
      </c>
      <c r="G752" t="s">
        <v>16238</v>
      </c>
      <c r="H752" t="s">
        <v>16238</v>
      </c>
      <c r="I752" t="s">
        <v>16314</v>
      </c>
      <c r="J752" t="s">
        <v>16385</v>
      </c>
      <c r="K752">
        <v>0.149</v>
      </c>
      <c r="L752">
        <v>6503</v>
      </c>
      <c r="M752">
        <v>1781</v>
      </c>
      <c r="N752" t="s">
        <v>16393</v>
      </c>
      <c r="O752" s="4">
        <v>33761</v>
      </c>
      <c r="P752" s="4">
        <v>85606</v>
      </c>
      <c r="Q752" s="4">
        <v>119367</v>
      </c>
      <c r="R752" s="4">
        <v>358101</v>
      </c>
      <c r="S752" t="s">
        <v>17132</v>
      </c>
      <c r="T752" s="6">
        <v>45776</v>
      </c>
      <c r="U752" s="4">
        <v>380000</v>
      </c>
      <c r="V752" t="s">
        <v>23739</v>
      </c>
      <c r="W752" t="s">
        <v>24101</v>
      </c>
      <c r="X752" t="s">
        <v>3</v>
      </c>
      <c r="AA752" s="5" t="str">
        <f>HYPERLINK("https://www.zillow.com/homes/1312-CARIBOU-TRL-CAROL-STREAM-IL-60188_rb/","check listing")</f>
        <v>check listing</v>
      </c>
      <c r="AB752" s="5" t="str">
        <f>HYPERLINK("https://propertylookup.dupagecounty.gov/Datalets/Datalet.aspx?UseSearch=no&amp;mode=sales&amp;pin=0123406003","sales record")</f>
        <v>sales record</v>
      </c>
      <c r="AC752" t="s">
        <v>3</v>
      </c>
      <c r="AD752">
        <v>41.934444</v>
      </c>
      <c r="AE752">
        <v>-88.167717</v>
      </c>
      <c r="AF752" s="5" t="str">
        <f>HYPERLINK("https://www.google.com/maps/search/?api=1&amp;query=41.934444,-88.167717","map")</f>
        <v>map</v>
      </c>
    </row>
    <row r="753" spans="1:32">
      <c r="A753" t="s">
        <v>803</v>
      </c>
      <c r="B753" t="s">
        <v>8383</v>
      </c>
      <c r="C753" t="s">
        <v>15164</v>
      </c>
      <c r="D753" t="s">
        <v>16197</v>
      </c>
      <c r="E753" t="s">
        <v>16218</v>
      </c>
      <c r="F753" t="s">
        <v>16220</v>
      </c>
      <c r="G753" t="s">
        <v>16238</v>
      </c>
      <c r="H753" t="s">
        <v>16238</v>
      </c>
      <c r="I753" t="s">
        <v>16314</v>
      </c>
      <c r="J753" t="s">
        <v>16385</v>
      </c>
      <c r="K753">
        <v>0.149</v>
      </c>
      <c r="L753">
        <v>6494</v>
      </c>
      <c r="M753">
        <v>2075</v>
      </c>
      <c r="N753" t="s">
        <v>16393</v>
      </c>
      <c r="O753" s="4">
        <v>36878</v>
      </c>
      <c r="P753" s="4">
        <v>73706</v>
      </c>
      <c r="Q753" s="4">
        <v>110584</v>
      </c>
      <c r="R753" s="4">
        <v>331752</v>
      </c>
      <c r="S753" t="s">
        <v>17133</v>
      </c>
      <c r="T753" s="6">
        <v>36800</v>
      </c>
      <c r="U753" s="4">
        <v>160000</v>
      </c>
      <c r="V753" t="s">
        <v>23739</v>
      </c>
      <c r="W753" t="s">
        <v>17133</v>
      </c>
      <c r="X753" t="s">
        <v>3</v>
      </c>
      <c r="AA753" s="5" t="str">
        <f>HYPERLINK("https://www.zillow.com/homes/1319-BOA-TRAIL-CAROL-STREAM-IL-60188_rb/","check listing")</f>
        <v>check listing</v>
      </c>
      <c r="AB753" s="5" t="str">
        <f>HYPERLINK("https://propertylookup.dupagecounty.gov/Datalets/Datalet.aspx?UseSearch=no&amp;mode=sales&amp;pin=0123214037","sales record")</f>
        <v>sales record</v>
      </c>
      <c r="AC753" t="s">
        <v>3</v>
      </c>
      <c r="AD753">
        <v>41.93754</v>
      </c>
      <c r="AE753">
        <v>-88.167086</v>
      </c>
      <c r="AF753" s="5" t="str">
        <f>HYPERLINK("https://www.google.com/maps/search/?api=1&amp;query=41.93754,-88.167086","map")</f>
        <v>map</v>
      </c>
    </row>
    <row r="754" spans="1:32">
      <c r="A754" t="s">
        <v>804</v>
      </c>
      <c r="B754" t="s">
        <v>8384</v>
      </c>
      <c r="C754" t="s">
        <v>15164</v>
      </c>
      <c r="D754" t="s">
        <v>16197</v>
      </c>
      <c r="E754" t="s">
        <v>16218</v>
      </c>
      <c r="F754" t="s">
        <v>16220</v>
      </c>
      <c r="G754" t="s">
        <v>16238</v>
      </c>
      <c r="H754" t="s">
        <v>16238</v>
      </c>
      <c r="I754" t="s">
        <v>16314</v>
      </c>
      <c r="J754" t="s">
        <v>16385</v>
      </c>
      <c r="K754">
        <v>0.149</v>
      </c>
      <c r="L754">
        <v>6488</v>
      </c>
      <c r="M754">
        <v>2126</v>
      </c>
      <c r="N754" t="s">
        <v>16393</v>
      </c>
      <c r="O754" s="4">
        <v>36878</v>
      </c>
      <c r="P754" s="4">
        <v>89509</v>
      </c>
      <c r="Q754" s="4">
        <v>126387</v>
      </c>
      <c r="R754" s="4">
        <v>379161</v>
      </c>
      <c r="S754" t="s">
        <v>17134</v>
      </c>
      <c r="T754" s="6">
        <v>41456</v>
      </c>
      <c r="U754" s="4">
        <v>179678</v>
      </c>
      <c r="V754" t="s">
        <v>23739</v>
      </c>
      <c r="W754" t="s">
        <v>24102</v>
      </c>
      <c r="X754" t="s">
        <v>3</v>
      </c>
      <c r="AA754" s="5" t="str">
        <f>HYPERLINK("https://www.zillow.com/homes/1348-BIG-HORN-TR-CAROL-STREAM-IL-60188_rb/","check listing")</f>
        <v>check listing</v>
      </c>
      <c r="AB754" s="5" t="str">
        <f>HYPERLINK("https://propertylookup.dupagecounty.gov/Datalets/Datalet.aspx?UseSearch=no&amp;mode=sales&amp;pin=0123210013","sales record")</f>
        <v>sales record</v>
      </c>
      <c r="AC754" t="s">
        <v>27873</v>
      </c>
      <c r="AD754">
        <v>41.93713</v>
      </c>
      <c r="AE754">
        <v>-88.16968199999999</v>
      </c>
      <c r="AF754" s="5" t="str">
        <f>HYPERLINK("https://www.google.com/maps/search/?api=1&amp;query=41.93713,-88.169682","map")</f>
        <v>map</v>
      </c>
    </row>
    <row r="755" spans="1:32">
      <c r="A755" t="s">
        <v>805</v>
      </c>
      <c r="B755" t="s">
        <v>8385</v>
      </c>
      <c r="C755" t="s">
        <v>15180</v>
      </c>
      <c r="D755" t="s">
        <v>16197</v>
      </c>
      <c r="E755" t="s">
        <v>16218</v>
      </c>
      <c r="F755" t="s">
        <v>16220</v>
      </c>
      <c r="G755" t="s">
        <v>16238</v>
      </c>
      <c r="H755" t="s">
        <v>16238</v>
      </c>
      <c r="I755" t="s">
        <v>16314</v>
      </c>
      <c r="J755" t="s">
        <v>16385</v>
      </c>
      <c r="K755">
        <v>0.149</v>
      </c>
      <c r="L755">
        <v>6478</v>
      </c>
      <c r="M755">
        <v>1649</v>
      </c>
      <c r="N755" t="s">
        <v>16393</v>
      </c>
      <c r="O755" s="4">
        <v>33761</v>
      </c>
      <c r="P755" s="4">
        <v>81104</v>
      </c>
      <c r="Q755" s="4">
        <v>114865</v>
      </c>
      <c r="R755" s="4">
        <v>344595</v>
      </c>
      <c r="S755" t="s">
        <v>17135</v>
      </c>
      <c r="T755" s="6">
        <v>28976</v>
      </c>
      <c r="U755" s="4">
        <v>79912</v>
      </c>
      <c r="X755" t="s">
        <v>3</v>
      </c>
      <c r="AA755" s="5" t="str">
        <f>HYPERLINK("https://www.zillow.com/homes/1308-CARIBOU-TRL-CAROL-STREAM-IL-601889038_rb/","check listing")</f>
        <v>check listing</v>
      </c>
      <c r="AB755" s="5" t="str">
        <f>HYPERLINK("https://propertylookup.dupagecounty.gov/Datalets/Datalet.aspx?UseSearch=no&amp;mode=sales&amp;pin=0123406004","sales record")</f>
        <v>sales record</v>
      </c>
      <c r="AC755" t="s">
        <v>3</v>
      </c>
      <c r="AD755">
        <v>41.934475</v>
      </c>
      <c r="AE755">
        <v>-88.16754899999999</v>
      </c>
      <c r="AF755" s="5" t="str">
        <f>HYPERLINK("https://www.google.com/maps/search/?api=1&amp;query=41.934475,-88.167549","map")</f>
        <v>map</v>
      </c>
    </row>
    <row r="756" spans="1:32">
      <c r="A756" t="s">
        <v>806</v>
      </c>
      <c r="B756" t="s">
        <v>8386</v>
      </c>
      <c r="C756" t="s">
        <v>15164</v>
      </c>
      <c r="D756" t="s">
        <v>16197</v>
      </c>
      <c r="E756" t="s">
        <v>16218</v>
      </c>
      <c r="F756" t="s">
        <v>16220</v>
      </c>
      <c r="G756" t="s">
        <v>16238</v>
      </c>
      <c r="H756" t="s">
        <v>16238</v>
      </c>
      <c r="I756" t="s">
        <v>16314</v>
      </c>
      <c r="J756" t="s">
        <v>16385</v>
      </c>
      <c r="K756">
        <v>0.148</v>
      </c>
      <c r="L756">
        <v>6468</v>
      </c>
      <c r="M756">
        <v>1583</v>
      </c>
      <c r="N756" t="s">
        <v>16393</v>
      </c>
      <c r="O756" s="4">
        <v>36878</v>
      </c>
      <c r="P756" s="4">
        <v>79865</v>
      </c>
      <c r="Q756" s="4">
        <v>116743</v>
      </c>
      <c r="R756" s="4">
        <v>350229</v>
      </c>
      <c r="S756" t="s">
        <v>17136</v>
      </c>
      <c r="T756" s="6">
        <v>44409</v>
      </c>
      <c r="U756" s="4">
        <v>325000</v>
      </c>
      <c r="V756" t="s">
        <v>23739</v>
      </c>
      <c r="W756" t="s">
        <v>24103</v>
      </c>
      <c r="X756" t="s">
        <v>3</v>
      </c>
      <c r="AA756" s="5" t="str">
        <f>HYPERLINK("https://www.zillow.com/homes/1354-BOA-TR-CAROL-STREAM-IL-60188_rb/","check listing")</f>
        <v>check listing</v>
      </c>
      <c r="AB756" s="5" t="str">
        <f>HYPERLINK("https://propertylookup.dupagecounty.gov/Datalets/Datalet.aspx?UseSearch=no&amp;mode=sales&amp;pin=0123404103","sales record")</f>
        <v>sales record</v>
      </c>
      <c r="AC756" t="s">
        <v>3</v>
      </c>
      <c r="AD756">
        <v>41.935585</v>
      </c>
      <c r="AE756">
        <v>-88.16762</v>
      </c>
      <c r="AF756" s="5" t="str">
        <f>HYPERLINK("https://www.google.com/maps/search/?api=1&amp;query=41.935585,-88.16762","map")</f>
        <v>map</v>
      </c>
    </row>
    <row r="757" spans="1:32">
      <c r="A757" t="s">
        <v>807</v>
      </c>
      <c r="B757" t="s">
        <v>8387</v>
      </c>
      <c r="C757" t="s">
        <v>15164</v>
      </c>
      <c r="D757" t="s">
        <v>16197</v>
      </c>
      <c r="E757" t="s">
        <v>16218</v>
      </c>
      <c r="F757" t="s">
        <v>16220</v>
      </c>
      <c r="G757" t="s">
        <v>16238</v>
      </c>
      <c r="H757" t="s">
        <v>16238</v>
      </c>
      <c r="I757" t="s">
        <v>16314</v>
      </c>
      <c r="J757" t="s">
        <v>16385</v>
      </c>
      <c r="K757">
        <v>0.148</v>
      </c>
      <c r="L757">
        <v>6433</v>
      </c>
      <c r="M757">
        <v>989</v>
      </c>
      <c r="N757" t="s">
        <v>16393</v>
      </c>
      <c r="O757" s="4">
        <v>36878</v>
      </c>
      <c r="P757" s="4">
        <v>62445</v>
      </c>
      <c r="Q757" s="4">
        <v>99323</v>
      </c>
      <c r="R757" s="4">
        <v>297969</v>
      </c>
      <c r="S757" t="s">
        <v>17137</v>
      </c>
      <c r="T757" s="6">
        <v>31199</v>
      </c>
      <c r="U757" s="4">
        <v>77469</v>
      </c>
      <c r="X757" t="s">
        <v>3</v>
      </c>
      <c r="AA757" s="5" t="str">
        <f>HYPERLINK("https://www.zillow.com/homes/1339-BOA-TRAIL-CAROL-STREAM-IL-60188_rb/","check listing")</f>
        <v>check listing</v>
      </c>
      <c r="AB757" s="5" t="str">
        <f>HYPERLINK("https://propertylookup.dupagecounty.gov/Datalets/Datalet.aspx?UseSearch=no&amp;mode=sales&amp;pin=0123409038","sales record")</f>
        <v>sales record</v>
      </c>
      <c r="AC757" t="s">
        <v>3</v>
      </c>
      <c r="AD757">
        <v>41.936545</v>
      </c>
      <c r="AE757">
        <v>-88.168268</v>
      </c>
      <c r="AF757" s="5" t="str">
        <f>HYPERLINK("https://www.google.com/maps/search/?api=1&amp;query=41.936545,-88.168268","map")</f>
        <v>map</v>
      </c>
    </row>
    <row r="758" spans="1:32">
      <c r="A758" t="s">
        <v>808</v>
      </c>
      <c r="B758" t="s">
        <v>8388</v>
      </c>
      <c r="C758" t="s">
        <v>15164</v>
      </c>
      <c r="D758" t="s">
        <v>16197</v>
      </c>
      <c r="E758" t="s">
        <v>16218</v>
      </c>
      <c r="F758" t="s">
        <v>16220</v>
      </c>
      <c r="G758" t="s">
        <v>16238</v>
      </c>
      <c r="H758" t="s">
        <v>16238</v>
      </c>
      <c r="I758" t="s">
        <v>16314</v>
      </c>
      <c r="J758" t="s">
        <v>16385</v>
      </c>
      <c r="K758">
        <v>0.146</v>
      </c>
      <c r="L758">
        <v>6360</v>
      </c>
      <c r="M758">
        <v>2310</v>
      </c>
      <c r="N758" t="s">
        <v>16393</v>
      </c>
      <c r="O758" s="4">
        <v>36878</v>
      </c>
      <c r="P758" s="4">
        <v>71251</v>
      </c>
      <c r="Q758" s="4">
        <v>108129</v>
      </c>
      <c r="R758" s="4">
        <v>324387</v>
      </c>
      <c r="S758" t="s">
        <v>17138</v>
      </c>
      <c r="T758" s="6">
        <v>37408</v>
      </c>
      <c r="U758" s="4">
        <v>187500</v>
      </c>
      <c r="V758" t="s">
        <v>23739</v>
      </c>
      <c r="W758" t="s">
        <v>17138</v>
      </c>
      <c r="X758" t="s">
        <v>3</v>
      </c>
      <c r="AA758" s="5" t="str">
        <f>HYPERLINK("https://www.zillow.com/homes/1389-BOA-TR-CAROL-STREAM-IL-60188_rb/","check listing")</f>
        <v>check listing</v>
      </c>
      <c r="AB758" s="5" t="str">
        <f>HYPERLINK("https://propertylookup.dupagecounty.gov/Datalets/Datalet.aspx?UseSearch=no&amp;mode=sales&amp;pin=0123409025","sales record")</f>
        <v>sales record</v>
      </c>
      <c r="AC758" t="s">
        <v>3</v>
      </c>
      <c r="AD758">
        <v>41.93667</v>
      </c>
      <c r="AE758">
        <v>-88.168772</v>
      </c>
      <c r="AF758" s="5" t="str">
        <f>HYPERLINK("https://www.google.com/maps/search/?api=1&amp;query=41.93667,-88.168772","map")</f>
        <v>map</v>
      </c>
    </row>
    <row r="759" spans="1:32">
      <c r="A759" t="s">
        <v>809</v>
      </c>
      <c r="B759" t="s">
        <v>8389</v>
      </c>
      <c r="C759" t="s">
        <v>15183</v>
      </c>
      <c r="D759" t="s">
        <v>16197</v>
      </c>
      <c r="E759" t="s">
        <v>16218</v>
      </c>
      <c r="F759" t="s">
        <v>16220</v>
      </c>
      <c r="G759" t="s">
        <v>16238</v>
      </c>
      <c r="H759" t="s">
        <v>16238</v>
      </c>
      <c r="I759" t="s">
        <v>16314</v>
      </c>
      <c r="J759" t="s">
        <v>16385</v>
      </c>
      <c r="K759">
        <v>0.144</v>
      </c>
      <c r="L759">
        <v>6262</v>
      </c>
      <c r="M759">
        <v>1483</v>
      </c>
      <c r="N759" t="s">
        <v>16393</v>
      </c>
      <c r="O759" s="4">
        <v>36878</v>
      </c>
      <c r="P759" s="4">
        <v>62445</v>
      </c>
      <c r="Q759" s="4">
        <v>99323</v>
      </c>
      <c r="R759" s="4">
        <v>297969</v>
      </c>
      <c r="S759" t="s">
        <v>17139</v>
      </c>
      <c r="T759" s="6">
        <v>44166</v>
      </c>
      <c r="U759" s="4">
        <v>235000</v>
      </c>
      <c r="V759" t="s">
        <v>23739</v>
      </c>
      <c r="W759" t="s">
        <v>24104</v>
      </c>
      <c r="X759" t="s">
        <v>3</v>
      </c>
      <c r="AA759" s="5" t="str">
        <f>HYPERLINK("https://www.zillow.com/homes/1329-BOA-TRL-CAROL-STREAM-IL-601889082_rb/","check listing")</f>
        <v>check listing</v>
      </c>
      <c r="AB759" s="5" t="str">
        <f>HYPERLINK("https://propertylookup.dupagecounty.gov/Datalets/Datalet.aspx?UseSearch=no&amp;mode=sales&amp;pin=0123214042","sales record")</f>
        <v>sales record</v>
      </c>
      <c r="AC759" t="s">
        <v>3</v>
      </c>
      <c r="AD759">
        <v>41.937012</v>
      </c>
      <c r="AE759">
        <v>-88.16767400000001</v>
      </c>
      <c r="AF759" s="5" t="str">
        <f>HYPERLINK("https://www.google.com/maps/search/?api=1&amp;query=41.937012,-88.167674","map")</f>
        <v>map</v>
      </c>
    </row>
    <row r="760" spans="1:32">
      <c r="A760" t="s">
        <v>810</v>
      </c>
      <c r="B760" t="s">
        <v>8390</v>
      </c>
      <c r="C760" t="s">
        <v>15164</v>
      </c>
      <c r="D760" t="s">
        <v>16197</v>
      </c>
      <c r="E760" t="s">
        <v>16218</v>
      </c>
      <c r="F760" t="s">
        <v>16220</v>
      </c>
      <c r="G760" t="s">
        <v>16238</v>
      </c>
      <c r="H760" t="s">
        <v>16238</v>
      </c>
      <c r="I760" t="s">
        <v>16314</v>
      </c>
      <c r="J760" t="s">
        <v>16385</v>
      </c>
      <c r="K760">
        <v>0.144</v>
      </c>
      <c r="L760">
        <v>6256</v>
      </c>
      <c r="M760">
        <v>2118</v>
      </c>
      <c r="N760" t="s">
        <v>16393</v>
      </c>
      <c r="O760" s="4">
        <v>36878</v>
      </c>
      <c r="P760" s="4">
        <v>91858</v>
      </c>
      <c r="Q760" s="4">
        <v>128736</v>
      </c>
      <c r="R760" s="4">
        <v>386208</v>
      </c>
      <c r="S760" t="s">
        <v>17140</v>
      </c>
      <c r="T760" s="6">
        <v>38534</v>
      </c>
      <c r="U760" s="4">
        <v>293000</v>
      </c>
      <c r="V760" t="s">
        <v>23739</v>
      </c>
      <c r="W760" t="s">
        <v>24105</v>
      </c>
      <c r="X760" t="s">
        <v>3</v>
      </c>
      <c r="AA760" s="5" t="str">
        <f>HYPERLINK("https://www.zillow.com/homes/1312-SPRING-VALLEY-DR-CAROL-STREAM-IL-60188_rb/","check listing")</f>
        <v>check listing</v>
      </c>
      <c r="AB760" s="5" t="str">
        <f>HYPERLINK("https://propertylookup.dupagecounty.gov/Datalets/Datalet.aspx?UseSearch=no&amp;mode=sales&amp;pin=0123214035","sales record")</f>
        <v>sales record</v>
      </c>
      <c r="AC760" t="s">
        <v>3</v>
      </c>
      <c r="AD760">
        <v>41.937786</v>
      </c>
      <c r="AE760">
        <v>-88.167025</v>
      </c>
      <c r="AF760" s="5" t="str">
        <f>HYPERLINK("https://www.google.com/maps/search/?api=1&amp;query=41.937786,-88.167025","map")</f>
        <v>map</v>
      </c>
    </row>
    <row r="761" spans="1:32">
      <c r="A761" t="s">
        <v>811</v>
      </c>
      <c r="B761" t="s">
        <v>8391</v>
      </c>
      <c r="C761" t="s">
        <v>15192</v>
      </c>
      <c r="D761" t="s">
        <v>16197</v>
      </c>
      <c r="E761" t="s">
        <v>16218</v>
      </c>
      <c r="F761" t="s">
        <v>16220</v>
      </c>
      <c r="G761" t="s">
        <v>16238</v>
      </c>
      <c r="H761" t="s">
        <v>16238</v>
      </c>
      <c r="I761" t="s">
        <v>16314</v>
      </c>
      <c r="J761" t="s">
        <v>16385</v>
      </c>
      <c r="K761">
        <v>0.144</v>
      </c>
      <c r="L761">
        <v>6254</v>
      </c>
      <c r="M761">
        <v>1319</v>
      </c>
      <c r="N761" t="s">
        <v>16393</v>
      </c>
      <c r="O761" s="4">
        <v>36878</v>
      </c>
      <c r="P761" s="4">
        <v>65344</v>
      </c>
      <c r="Q761" s="4">
        <v>102222</v>
      </c>
      <c r="R761" s="4">
        <v>306666</v>
      </c>
      <c r="S761" t="s">
        <v>17141</v>
      </c>
      <c r="T761" s="6">
        <v>44317</v>
      </c>
      <c r="U761" s="4">
        <v>280000</v>
      </c>
      <c r="V761" t="s">
        <v>23739</v>
      </c>
      <c r="W761" t="s">
        <v>24106</v>
      </c>
      <c r="X761" t="s">
        <v>3</v>
      </c>
      <c r="AA761" s="5" t="str">
        <f>HYPERLINK("https://www.zillow.com/homes/1316-SPRING-VALLEY-DR-CAROL-STREAM-IL-601889026_rb/","check listing")</f>
        <v>check listing</v>
      </c>
      <c r="AB761" s="5" t="str">
        <f>HYPERLINK("https://propertylookup.dupagecounty.gov/Datalets/Datalet.aspx?UseSearch=no&amp;mode=sales&amp;pin=0123214034","sales record")</f>
        <v>sales record</v>
      </c>
      <c r="AC761" t="s">
        <v>3</v>
      </c>
      <c r="AD761">
        <v>41.937893</v>
      </c>
      <c r="AE761">
        <v>-88.167188</v>
      </c>
      <c r="AF761" s="5" t="str">
        <f>HYPERLINK("https://www.google.com/maps/search/?api=1&amp;query=41.937893,-88.167188","map")</f>
        <v>map</v>
      </c>
    </row>
    <row r="762" spans="1:32">
      <c r="A762" t="s">
        <v>812</v>
      </c>
      <c r="B762" t="s">
        <v>8392</v>
      </c>
      <c r="C762" t="s">
        <v>15164</v>
      </c>
      <c r="D762" t="s">
        <v>16197</v>
      </c>
      <c r="E762" t="s">
        <v>16218</v>
      </c>
      <c r="F762" t="s">
        <v>16220</v>
      </c>
      <c r="G762" t="s">
        <v>16238</v>
      </c>
      <c r="H762" t="s">
        <v>16238</v>
      </c>
      <c r="I762" t="s">
        <v>16314</v>
      </c>
      <c r="J762" t="s">
        <v>16385</v>
      </c>
      <c r="K762">
        <v>0.143</v>
      </c>
      <c r="L762">
        <v>6249</v>
      </c>
      <c r="M762">
        <v>2307</v>
      </c>
      <c r="N762" t="s">
        <v>16393</v>
      </c>
      <c r="O762" s="4">
        <v>33761</v>
      </c>
      <c r="P762" s="4">
        <v>63444</v>
      </c>
      <c r="Q762" s="4">
        <v>97205</v>
      </c>
      <c r="R762" s="4">
        <v>291615</v>
      </c>
      <c r="S762" t="s">
        <v>17142</v>
      </c>
      <c r="X762" t="s">
        <v>3</v>
      </c>
      <c r="AA762" s="5" t="str">
        <f>HYPERLINK("https://www.zillow.com/homes/1284-CARIBOU-TR-CAROL-STREAM-IL-60188_rb/","check listing")</f>
        <v>check listing</v>
      </c>
      <c r="AB762" s="5" t="str">
        <f>HYPERLINK("https://propertylookup.dupagecounty.gov/Datalets/Datalet.aspx?UseSearch=no&amp;mode=sales&amp;pin=0123406009","sales record")</f>
        <v>sales record</v>
      </c>
      <c r="AC762" t="s">
        <v>3</v>
      </c>
      <c r="AD762">
        <v>41.934487</v>
      </c>
      <c r="AE762">
        <v>-88.166703</v>
      </c>
      <c r="AF762" s="5" t="str">
        <f>HYPERLINK("https://www.google.com/maps/search/?api=1&amp;query=41.934487,-88.166703","map")</f>
        <v>map</v>
      </c>
    </row>
    <row r="763" spans="1:32">
      <c r="A763" t="s">
        <v>813</v>
      </c>
      <c r="B763" t="s">
        <v>8393</v>
      </c>
      <c r="C763" t="s">
        <v>15164</v>
      </c>
      <c r="D763" t="s">
        <v>16197</v>
      </c>
      <c r="E763" t="s">
        <v>16218</v>
      </c>
      <c r="F763" t="s">
        <v>16220</v>
      </c>
      <c r="G763" t="s">
        <v>16238</v>
      </c>
      <c r="H763" t="s">
        <v>16238</v>
      </c>
      <c r="I763" t="s">
        <v>16314</v>
      </c>
      <c r="J763" t="s">
        <v>16385</v>
      </c>
      <c r="K763">
        <v>0.143</v>
      </c>
      <c r="L763">
        <v>6234</v>
      </c>
      <c r="M763">
        <v>1979</v>
      </c>
      <c r="N763" t="s">
        <v>16393</v>
      </c>
      <c r="O763" s="4">
        <v>33761</v>
      </c>
      <c r="P763" s="4">
        <v>81171</v>
      </c>
      <c r="Q763" s="4">
        <v>114932</v>
      </c>
      <c r="R763" s="4">
        <v>344796</v>
      </c>
      <c r="S763" t="s">
        <v>17143</v>
      </c>
      <c r="T763" s="6">
        <v>35612</v>
      </c>
      <c r="U763" s="4">
        <v>146000</v>
      </c>
      <c r="X763" t="s">
        <v>3</v>
      </c>
      <c r="AA763" s="5" t="str">
        <f>HYPERLINK("https://www.zillow.com/homes/1280-CARIBOU-TR-CAROL-STREAM-IL-60188_rb/","check listing")</f>
        <v>check listing</v>
      </c>
      <c r="AB763" s="5" t="str">
        <f>HYPERLINK("https://propertylookup.dupagecounty.gov/Datalets/Datalet.aspx?UseSearch=no&amp;mode=sales&amp;pin=0123406010","sales record")</f>
        <v>sales record</v>
      </c>
      <c r="AC763" t="s">
        <v>3</v>
      </c>
      <c r="AD763">
        <v>41.934469</v>
      </c>
      <c r="AE763">
        <v>-88.166533</v>
      </c>
      <c r="AF763" s="5" t="str">
        <f>HYPERLINK("https://www.google.com/maps/search/?api=1&amp;query=41.934469,-88.166533","map")</f>
        <v>map</v>
      </c>
    </row>
    <row r="764" spans="1:32">
      <c r="A764" t="s">
        <v>814</v>
      </c>
      <c r="B764" t="s">
        <v>8394</v>
      </c>
      <c r="C764" t="s">
        <v>15164</v>
      </c>
      <c r="D764" t="s">
        <v>16197</v>
      </c>
      <c r="E764" t="s">
        <v>16218</v>
      </c>
      <c r="F764" t="s">
        <v>16220</v>
      </c>
      <c r="G764" t="s">
        <v>16238</v>
      </c>
      <c r="H764" t="s">
        <v>16238</v>
      </c>
      <c r="I764" t="s">
        <v>16314</v>
      </c>
      <c r="J764" t="s">
        <v>16385</v>
      </c>
      <c r="K764">
        <v>0.142</v>
      </c>
      <c r="L764">
        <v>6207</v>
      </c>
      <c r="N764" t="s">
        <v>16393</v>
      </c>
      <c r="O764" s="4">
        <v>20283</v>
      </c>
      <c r="P764" s="4">
        <v>85136</v>
      </c>
      <c r="Q764" s="4">
        <v>105419</v>
      </c>
      <c r="R764" s="4">
        <v>316257</v>
      </c>
      <c r="S764" t="s">
        <v>17144</v>
      </c>
      <c r="T764" s="6">
        <v>41883</v>
      </c>
      <c r="U764" s="4">
        <v>181500</v>
      </c>
      <c r="V764" t="s">
        <v>23739</v>
      </c>
      <c r="W764" t="s">
        <v>24107</v>
      </c>
      <c r="X764" t="s">
        <v>3</v>
      </c>
      <c r="AA764" s="5" t="str">
        <f>HYPERLINK("https://www.zillow.com/homes/887-FOREST-LN-CAROL-STREAM-IL-60188_rb/","check listing")</f>
        <v>check listing</v>
      </c>
      <c r="AB764" s="5" t="str">
        <f>HYPERLINK("https://propertylookup.dupagecounty.gov/Datalets/Datalet.aspx?UseSearch=no&amp;mode=sales&amp;pin=0124220041","sales record")</f>
        <v>sales record</v>
      </c>
      <c r="AC764" t="s">
        <v>27873</v>
      </c>
      <c r="AD764">
        <v>41.937843</v>
      </c>
      <c r="AE764">
        <v>-88.152305</v>
      </c>
      <c r="AF764" s="5" t="str">
        <f>HYPERLINK("https://www.google.com/maps/search/?api=1&amp;query=41.937843,-88.152305","map")</f>
        <v>map</v>
      </c>
    </row>
    <row r="765" spans="1:32">
      <c r="A765" t="s">
        <v>815</v>
      </c>
      <c r="B765" t="s">
        <v>8395</v>
      </c>
      <c r="C765" t="s">
        <v>15164</v>
      </c>
      <c r="D765" t="s">
        <v>16197</v>
      </c>
      <c r="E765" t="s">
        <v>16218</v>
      </c>
      <c r="F765" t="s">
        <v>16220</v>
      </c>
      <c r="G765" t="s">
        <v>16238</v>
      </c>
      <c r="H765" t="s">
        <v>16238</v>
      </c>
      <c r="I765" t="s">
        <v>16314</v>
      </c>
      <c r="J765" t="s">
        <v>16385</v>
      </c>
      <c r="K765">
        <v>0.142</v>
      </c>
      <c r="L765">
        <v>6175</v>
      </c>
      <c r="M765">
        <v>2126</v>
      </c>
      <c r="N765" t="s">
        <v>16393</v>
      </c>
      <c r="O765" s="4">
        <v>36878</v>
      </c>
      <c r="P765" s="4">
        <v>73706</v>
      </c>
      <c r="Q765" s="4">
        <v>110584</v>
      </c>
      <c r="R765" s="4">
        <v>331752</v>
      </c>
      <c r="S765" t="s">
        <v>17145</v>
      </c>
      <c r="T765" s="6">
        <v>36678</v>
      </c>
      <c r="U765" s="4">
        <v>145000</v>
      </c>
      <c r="V765" t="s">
        <v>16232</v>
      </c>
      <c r="W765" t="s">
        <v>17145</v>
      </c>
      <c r="X765" t="s">
        <v>3</v>
      </c>
      <c r="AA765" s="5" t="str">
        <f>HYPERLINK("https://www.zillow.com/homes/1370-BOA-TR-CAROL-STREAM-IL-60188_rb/","check listing")</f>
        <v>check listing</v>
      </c>
      <c r="AB765" s="5" t="str">
        <f>HYPERLINK("https://propertylookup.dupagecounty.gov/Datalets/Datalet.aspx?UseSearch=no&amp;mode=sales&amp;pin=0123404095","sales record")</f>
        <v>sales record</v>
      </c>
      <c r="AC765" t="s">
        <v>3</v>
      </c>
      <c r="AD765">
        <v>41.935324</v>
      </c>
      <c r="AE765">
        <v>-88.169011</v>
      </c>
      <c r="AF765" s="5" t="str">
        <f>HYPERLINK("https://www.google.com/maps/search/?api=1&amp;query=41.935324,-88.169011","map")</f>
        <v>map</v>
      </c>
    </row>
    <row r="766" spans="1:32">
      <c r="A766" t="s">
        <v>816</v>
      </c>
      <c r="B766" t="s">
        <v>8396</v>
      </c>
      <c r="C766" t="s">
        <v>15164</v>
      </c>
      <c r="D766" t="s">
        <v>16197</v>
      </c>
      <c r="E766" t="s">
        <v>16218</v>
      </c>
      <c r="F766" t="s">
        <v>16220</v>
      </c>
      <c r="G766" t="s">
        <v>16238</v>
      </c>
      <c r="H766" t="s">
        <v>16238</v>
      </c>
      <c r="I766" t="s">
        <v>16314</v>
      </c>
      <c r="J766" t="s">
        <v>16385</v>
      </c>
      <c r="K766">
        <v>0.141</v>
      </c>
      <c r="L766">
        <v>6154</v>
      </c>
      <c r="M766">
        <v>1626</v>
      </c>
      <c r="N766" t="s">
        <v>16393</v>
      </c>
      <c r="O766" s="4">
        <v>36878</v>
      </c>
      <c r="P766" s="4">
        <v>77265</v>
      </c>
      <c r="Q766" s="4">
        <v>114143</v>
      </c>
      <c r="R766" s="4">
        <v>342429</v>
      </c>
      <c r="S766" t="s">
        <v>17146</v>
      </c>
      <c r="T766" s="6">
        <v>41395</v>
      </c>
      <c r="U766" s="4">
        <v>198435</v>
      </c>
      <c r="V766" t="s">
        <v>23739</v>
      </c>
      <c r="W766" t="s">
        <v>24108</v>
      </c>
      <c r="X766" t="s">
        <v>3</v>
      </c>
      <c r="AA766" s="5" t="str">
        <f>HYPERLINK("https://www.zillow.com/homes/1360-BOA-TRAIL-CAROL-STREAM-IL-60188_rb/","check listing")</f>
        <v>check listing</v>
      </c>
      <c r="AB766" s="5" t="str">
        <f>HYPERLINK("https://propertylookup.dupagecounty.gov/Datalets/Datalet.aspx?UseSearch=no&amp;mode=sales&amp;pin=0123404100","sales record")</f>
        <v>sales record</v>
      </c>
      <c r="AC766" t="s">
        <v>3</v>
      </c>
      <c r="AD766">
        <v>41.935334</v>
      </c>
      <c r="AE766">
        <v>-88.168092</v>
      </c>
      <c r="AF766" s="5" t="str">
        <f>HYPERLINK("https://www.google.com/maps/search/?api=1&amp;query=41.935334,-88.168092","map")</f>
        <v>map</v>
      </c>
    </row>
    <row r="767" spans="1:32">
      <c r="A767" t="s">
        <v>817</v>
      </c>
      <c r="B767" t="s">
        <v>8397</v>
      </c>
      <c r="C767" t="s">
        <v>15164</v>
      </c>
      <c r="D767" t="s">
        <v>16197</v>
      </c>
      <c r="E767" t="s">
        <v>16218</v>
      </c>
      <c r="F767" t="s">
        <v>16220</v>
      </c>
      <c r="G767" t="s">
        <v>16238</v>
      </c>
      <c r="H767" t="s">
        <v>16238</v>
      </c>
      <c r="I767" t="s">
        <v>16314</v>
      </c>
      <c r="J767" t="s">
        <v>16385</v>
      </c>
      <c r="K767">
        <v>0.14</v>
      </c>
      <c r="L767">
        <v>6118</v>
      </c>
      <c r="M767">
        <v>2308</v>
      </c>
      <c r="N767" t="s">
        <v>16393</v>
      </c>
      <c r="O767" s="4">
        <v>36878</v>
      </c>
      <c r="P767" s="4">
        <v>73706</v>
      </c>
      <c r="Q767" s="4">
        <v>110584</v>
      </c>
      <c r="R767" s="4">
        <v>331752</v>
      </c>
      <c r="S767" t="s">
        <v>17147</v>
      </c>
      <c r="T767" s="6">
        <v>39142</v>
      </c>
      <c r="U767" s="4">
        <v>232000</v>
      </c>
      <c r="V767" t="s">
        <v>23739</v>
      </c>
      <c r="W767" t="s">
        <v>24109</v>
      </c>
      <c r="X767" t="s">
        <v>3</v>
      </c>
      <c r="AA767" s="5" t="str">
        <f>HYPERLINK("https://www.zillow.com/homes/1385-BOA-TR-CAROL-STREAM-IL-60188_rb/","check listing")</f>
        <v>check listing</v>
      </c>
      <c r="AB767" s="5" t="str">
        <f>HYPERLINK("https://propertylookup.dupagecounty.gov/Datalets/Datalet.aspx?UseSearch=no&amp;mode=sales&amp;pin=0123409027","sales record")</f>
        <v>sales record</v>
      </c>
      <c r="AC767" t="s">
        <v>3</v>
      </c>
      <c r="AD767">
        <v>41.93635</v>
      </c>
      <c r="AE767">
        <v>-88.168761</v>
      </c>
      <c r="AF767" s="5" t="str">
        <f>HYPERLINK("https://www.google.com/maps/search/?api=1&amp;query=41.93635,-88.168761","map")</f>
        <v>map</v>
      </c>
    </row>
    <row r="768" spans="1:32">
      <c r="A768" t="s">
        <v>818</v>
      </c>
      <c r="B768" t="s">
        <v>8398</v>
      </c>
      <c r="C768" t="s">
        <v>15183</v>
      </c>
      <c r="D768" t="s">
        <v>16197</v>
      </c>
      <c r="E768" t="s">
        <v>16218</v>
      </c>
      <c r="F768" t="s">
        <v>16220</v>
      </c>
      <c r="G768" t="s">
        <v>16238</v>
      </c>
      <c r="H768" t="s">
        <v>16238</v>
      </c>
      <c r="I768" t="s">
        <v>16314</v>
      </c>
      <c r="J768" t="s">
        <v>16385</v>
      </c>
      <c r="K768">
        <v>0.14</v>
      </c>
      <c r="L768">
        <v>6115</v>
      </c>
      <c r="M768">
        <v>1450</v>
      </c>
      <c r="N768" t="s">
        <v>16393</v>
      </c>
      <c r="O768" s="4">
        <v>36878</v>
      </c>
      <c r="P768" s="4">
        <v>52848</v>
      </c>
      <c r="Q768" s="4">
        <v>89726</v>
      </c>
      <c r="R768" s="4">
        <v>269178</v>
      </c>
      <c r="S768" t="s">
        <v>17148</v>
      </c>
      <c r="T768" s="6">
        <v>45447</v>
      </c>
      <c r="U768" s="4">
        <v>291000</v>
      </c>
      <c r="V768" t="s">
        <v>23739</v>
      </c>
      <c r="W768" t="s">
        <v>24110</v>
      </c>
      <c r="X768" t="s">
        <v>3</v>
      </c>
      <c r="AA768" s="5" t="str">
        <f>HYPERLINK("https://www.zillow.com/homes/1387-BOA-TRL-CAROL-STREAM-IL-601889082_rb/","check listing")</f>
        <v>check listing</v>
      </c>
      <c r="AB768" s="5" t="str">
        <f>HYPERLINK("https://propertylookup.dupagecounty.gov/Datalets/Datalet.aspx?UseSearch=no&amp;mode=sales&amp;pin=0123409026","sales record")</f>
        <v>sales record</v>
      </c>
      <c r="AC768" t="s">
        <v>3</v>
      </c>
      <c r="AD768">
        <v>41.936499</v>
      </c>
      <c r="AE768">
        <v>-88.16876000000001</v>
      </c>
      <c r="AF768" s="5" t="str">
        <f>HYPERLINK("https://www.google.com/maps/search/?api=1&amp;query=41.936499,-88.16876","map")</f>
        <v>map</v>
      </c>
    </row>
    <row r="769" spans="1:32">
      <c r="A769" t="s">
        <v>819</v>
      </c>
      <c r="B769" t="s">
        <v>8399</v>
      </c>
      <c r="C769" t="s">
        <v>15164</v>
      </c>
      <c r="D769" t="s">
        <v>16197</v>
      </c>
      <c r="E769" t="s">
        <v>16218</v>
      </c>
      <c r="F769" t="s">
        <v>16220</v>
      </c>
      <c r="G769" t="s">
        <v>16238</v>
      </c>
      <c r="H769" t="s">
        <v>16238</v>
      </c>
      <c r="I769" t="s">
        <v>16314</v>
      </c>
      <c r="J769" t="s">
        <v>16385</v>
      </c>
      <c r="K769">
        <v>0.14</v>
      </c>
      <c r="L769">
        <v>6077</v>
      </c>
      <c r="M769">
        <v>1171</v>
      </c>
      <c r="N769" t="s">
        <v>16393</v>
      </c>
      <c r="O769" s="4">
        <v>15934</v>
      </c>
      <c r="P769" s="4">
        <v>78475</v>
      </c>
      <c r="Q769" s="4">
        <v>94409</v>
      </c>
      <c r="R769" s="4">
        <v>283227</v>
      </c>
      <c r="S769" t="s">
        <v>17149</v>
      </c>
      <c r="T769" s="6">
        <v>37653</v>
      </c>
      <c r="U769" s="4">
        <v>141677</v>
      </c>
      <c r="V769" t="s">
        <v>23739</v>
      </c>
      <c r="W769" t="s">
        <v>24111</v>
      </c>
      <c r="X769" t="s">
        <v>3</v>
      </c>
      <c r="AA769" s="5" t="str">
        <f>HYPERLINK("https://www.zillow.com/homes/1420-ASH-CT-CAROL-STREAM-IL-60188_rb/","check listing")</f>
        <v>check listing</v>
      </c>
      <c r="AB769" s="5" t="str">
        <f>HYPERLINK("https://propertylookup.dupagecounty.gov/Datalets/Datalet.aspx?UseSearch=no&amp;mode=sales&amp;pin=0123212047","sales record")</f>
        <v>sales record</v>
      </c>
      <c r="AC769" t="s">
        <v>27873</v>
      </c>
      <c r="AD769">
        <v>41.937863</v>
      </c>
      <c r="AE769">
        <v>-88.17166</v>
      </c>
      <c r="AF769" s="5" t="str">
        <f>HYPERLINK("https://www.google.com/maps/search/?api=1&amp;query=41.937863,-88.17166","map")</f>
        <v>map</v>
      </c>
    </row>
    <row r="770" spans="1:32">
      <c r="A770" t="s">
        <v>820</v>
      </c>
      <c r="B770" t="s">
        <v>8400</v>
      </c>
      <c r="C770" t="s">
        <v>15172</v>
      </c>
      <c r="D770" t="s">
        <v>16197</v>
      </c>
      <c r="E770" t="s">
        <v>16218</v>
      </c>
      <c r="F770" t="s">
        <v>16220</v>
      </c>
      <c r="G770" t="s">
        <v>16238</v>
      </c>
      <c r="H770" t="s">
        <v>16238</v>
      </c>
      <c r="I770" t="s">
        <v>16314</v>
      </c>
      <c r="J770" t="s">
        <v>16385</v>
      </c>
      <c r="K770">
        <v>0.136</v>
      </c>
      <c r="L770">
        <v>5943</v>
      </c>
      <c r="M770">
        <v>1187</v>
      </c>
      <c r="N770" t="s">
        <v>16393</v>
      </c>
      <c r="O770" s="4">
        <v>36878</v>
      </c>
      <c r="P770" s="4">
        <v>62768</v>
      </c>
      <c r="Q770" s="4">
        <v>99646</v>
      </c>
      <c r="R770" s="4">
        <v>298938</v>
      </c>
      <c r="S770" t="s">
        <v>17150</v>
      </c>
      <c r="T770" s="6">
        <v>44378</v>
      </c>
      <c r="U770" s="4">
        <v>240000</v>
      </c>
      <c r="V770" t="s">
        <v>23739</v>
      </c>
      <c r="W770" t="s">
        <v>17150</v>
      </c>
      <c r="X770" t="s">
        <v>3</v>
      </c>
      <c r="AA770" s="5" t="str">
        <f>HYPERLINK("https://www.zillow.com/homes/1376-BOA-TRL-CAROL-STREAM-IL-601889081_rb/","check listing")</f>
        <v>check listing</v>
      </c>
      <c r="AB770" s="5" t="str">
        <f>HYPERLINK("https://propertylookup.dupagecounty.gov/Datalets/Datalet.aspx?UseSearch=no&amp;mode=sales&amp;pin=0123404092","sales record")</f>
        <v>sales record</v>
      </c>
      <c r="AC770" t="s">
        <v>3</v>
      </c>
      <c r="AD770">
        <v>41.935654</v>
      </c>
      <c r="AE770">
        <v>-88.16943000000001</v>
      </c>
      <c r="AF770" s="5" t="str">
        <f>HYPERLINK("https://www.google.com/maps/search/?api=1&amp;query=41.935654,-88.16943","map")</f>
        <v>map</v>
      </c>
    </row>
    <row r="771" spans="1:32">
      <c r="A771" t="s">
        <v>821</v>
      </c>
      <c r="B771" t="s">
        <v>8401</v>
      </c>
      <c r="C771" t="s">
        <v>15164</v>
      </c>
      <c r="D771" t="s">
        <v>16197</v>
      </c>
      <c r="E771" t="s">
        <v>16218</v>
      </c>
      <c r="F771" t="s">
        <v>16220</v>
      </c>
      <c r="G771" t="s">
        <v>16238</v>
      </c>
      <c r="H771" t="s">
        <v>16238</v>
      </c>
      <c r="I771" t="s">
        <v>16314</v>
      </c>
      <c r="J771" t="s">
        <v>16385</v>
      </c>
      <c r="K771">
        <v>0.134</v>
      </c>
      <c r="L771">
        <v>5842</v>
      </c>
      <c r="M771">
        <v>2073</v>
      </c>
      <c r="N771" t="s">
        <v>16393</v>
      </c>
      <c r="O771" s="4">
        <v>36878</v>
      </c>
      <c r="P771" s="4">
        <v>88012</v>
      </c>
      <c r="Q771" s="4">
        <v>124890</v>
      </c>
      <c r="R771" s="4">
        <v>374670</v>
      </c>
      <c r="S771" t="s">
        <v>17151</v>
      </c>
      <c r="T771" s="6">
        <v>42278</v>
      </c>
      <c r="U771" s="4">
        <v>175100</v>
      </c>
      <c r="V771" t="s">
        <v>16232</v>
      </c>
      <c r="W771" t="s">
        <v>24112</v>
      </c>
      <c r="X771" t="s">
        <v>3</v>
      </c>
      <c r="AA771" s="5" t="str">
        <f>HYPERLINK("https://www.zillow.com/homes/1350-BIG-HORN-TR-CAROL-STREAM-IL-60188_rb/","check listing")</f>
        <v>check listing</v>
      </c>
      <c r="AB771" s="5" t="str">
        <f>HYPERLINK("https://propertylookup.dupagecounty.gov/Datalets/Datalet.aspx?UseSearch=no&amp;mode=sales&amp;pin=0123210012","sales record")</f>
        <v>sales record</v>
      </c>
      <c r="AC771" t="s">
        <v>3</v>
      </c>
      <c r="AD771">
        <v>41.93714</v>
      </c>
      <c r="AE771">
        <v>-88.169876</v>
      </c>
      <c r="AF771" s="5" t="str">
        <f>HYPERLINK("https://www.google.com/maps/search/?api=1&amp;query=41.93714,-88.169876","map")</f>
        <v>map</v>
      </c>
    </row>
    <row r="772" spans="1:32">
      <c r="A772" t="s">
        <v>822</v>
      </c>
      <c r="B772" t="s">
        <v>8402</v>
      </c>
      <c r="C772" t="s">
        <v>15164</v>
      </c>
      <c r="D772" t="s">
        <v>16197</v>
      </c>
      <c r="E772" t="s">
        <v>16218</v>
      </c>
      <c r="F772" t="s">
        <v>16220</v>
      </c>
      <c r="G772" t="s">
        <v>16238</v>
      </c>
      <c r="H772" t="s">
        <v>16238</v>
      </c>
      <c r="I772" t="s">
        <v>16314</v>
      </c>
      <c r="J772" t="s">
        <v>16385</v>
      </c>
      <c r="K772">
        <v>0.134</v>
      </c>
      <c r="L772">
        <v>5824</v>
      </c>
      <c r="M772">
        <v>1197</v>
      </c>
      <c r="N772" t="s">
        <v>16393</v>
      </c>
      <c r="O772" s="4">
        <v>36878</v>
      </c>
      <c r="P772" s="4">
        <v>65344</v>
      </c>
      <c r="Q772" s="4">
        <v>102222</v>
      </c>
      <c r="R772" s="4">
        <v>306666</v>
      </c>
      <c r="S772" t="s">
        <v>17152</v>
      </c>
      <c r="T772" s="6">
        <v>41153</v>
      </c>
      <c r="U772" s="4">
        <v>142000</v>
      </c>
      <c r="V772" t="s">
        <v>16232</v>
      </c>
      <c r="W772" t="s">
        <v>24113</v>
      </c>
      <c r="X772" t="s">
        <v>3</v>
      </c>
      <c r="AA772" s="5" t="str">
        <f>HYPERLINK("https://www.zillow.com/homes/1346-BIG-HORN-TR-CAROL-STREAM-IL-60188_rb/","check listing")</f>
        <v>check listing</v>
      </c>
      <c r="AB772" s="5" t="str">
        <f>HYPERLINK("https://propertylookup.dupagecounty.gov/Datalets/Datalet.aspx?UseSearch=no&amp;mode=sales&amp;pin=0123210014","sales record")</f>
        <v>sales record</v>
      </c>
      <c r="AC772" t="s">
        <v>27873</v>
      </c>
      <c r="AD772">
        <v>41.937126</v>
      </c>
      <c r="AE772">
        <v>-88.16949200000001</v>
      </c>
      <c r="AF772" s="5" t="str">
        <f>HYPERLINK("https://www.google.com/maps/search/?api=1&amp;query=41.937126,-88.169492","map")</f>
        <v>map</v>
      </c>
    </row>
    <row r="773" spans="1:32">
      <c r="A773" t="s">
        <v>823</v>
      </c>
      <c r="B773" t="s">
        <v>8403</v>
      </c>
      <c r="C773" t="s">
        <v>15193</v>
      </c>
      <c r="D773" t="s">
        <v>16197</v>
      </c>
      <c r="E773" t="s">
        <v>16218</v>
      </c>
      <c r="F773" t="s">
        <v>16220</v>
      </c>
      <c r="G773" t="s">
        <v>16238</v>
      </c>
      <c r="H773" t="s">
        <v>16238</v>
      </c>
      <c r="I773" t="s">
        <v>16314</v>
      </c>
      <c r="J773" t="s">
        <v>16385</v>
      </c>
      <c r="K773">
        <v>0.133</v>
      </c>
      <c r="L773">
        <v>5809</v>
      </c>
      <c r="M773">
        <v>1732</v>
      </c>
      <c r="N773" t="s">
        <v>16393</v>
      </c>
      <c r="O773" s="4">
        <v>36878</v>
      </c>
      <c r="P773" s="4">
        <v>62445</v>
      </c>
      <c r="Q773" s="4">
        <v>99323</v>
      </c>
      <c r="R773" s="4">
        <v>297969</v>
      </c>
      <c r="S773" t="s">
        <v>17153</v>
      </c>
      <c r="T773" s="6">
        <v>43282</v>
      </c>
      <c r="U773" s="4">
        <v>230000</v>
      </c>
      <c r="V773" t="s">
        <v>23739</v>
      </c>
      <c r="W773" t="s">
        <v>24114</v>
      </c>
      <c r="X773" t="s">
        <v>3</v>
      </c>
      <c r="AA773" s="5" t="str">
        <f>HYPERLINK("https://www.zillow.com/homes/1352-BIG-HORN-TRL-CAROL-STREAM-IL-601889086_rb/","check listing")</f>
        <v>check listing</v>
      </c>
      <c r="AB773" s="5" t="str">
        <f>HYPERLINK("https://propertylookup.dupagecounty.gov/Datalets/Datalet.aspx?UseSearch=no&amp;mode=sales&amp;pin=0123210011","sales record")</f>
        <v>sales record</v>
      </c>
      <c r="AC773" t="s">
        <v>3</v>
      </c>
      <c r="AD773">
        <v>41.937179</v>
      </c>
      <c r="AE773">
        <v>-88.170062</v>
      </c>
      <c r="AF773" s="5" t="str">
        <f>HYPERLINK("https://www.google.com/maps/search/?api=1&amp;query=41.937179,-88.170062","map")</f>
        <v>map</v>
      </c>
    </row>
    <row r="774" spans="1:32">
      <c r="A774" t="s">
        <v>824</v>
      </c>
      <c r="B774" t="s">
        <v>8404</v>
      </c>
      <c r="C774" t="s">
        <v>15175</v>
      </c>
      <c r="D774" t="s">
        <v>16197</v>
      </c>
      <c r="E774" t="s">
        <v>16218</v>
      </c>
      <c r="F774" t="s">
        <v>16220</v>
      </c>
      <c r="G774" t="s">
        <v>16238</v>
      </c>
      <c r="H774" t="s">
        <v>16238</v>
      </c>
      <c r="I774" t="s">
        <v>16314</v>
      </c>
      <c r="J774" t="s">
        <v>16385</v>
      </c>
      <c r="K774">
        <v>0.124</v>
      </c>
      <c r="L774">
        <v>5396</v>
      </c>
      <c r="M774">
        <v>1231</v>
      </c>
      <c r="N774" t="s">
        <v>16393</v>
      </c>
      <c r="O774" s="4">
        <v>20283</v>
      </c>
      <c r="P774" s="4">
        <v>74701</v>
      </c>
      <c r="Q774" s="4">
        <v>94984</v>
      </c>
      <c r="R774" s="4">
        <v>284952</v>
      </c>
      <c r="S774" t="s">
        <v>17154</v>
      </c>
      <c r="T774" s="6">
        <v>34486</v>
      </c>
      <c r="U774" s="4">
        <v>122000</v>
      </c>
      <c r="X774" t="s">
        <v>3</v>
      </c>
      <c r="AA774" s="5" t="str">
        <f>HYPERLINK("https://www.zillow.com/homes/869-FOREST-LN-CAROL-STREAM-IL-601882938_rb/","check listing")</f>
        <v>check listing</v>
      </c>
      <c r="AB774" s="5" t="str">
        <f>HYPERLINK("https://propertylookup.dupagecounty.gov/Datalets/Datalet.aspx?UseSearch=no&amp;mode=sales&amp;pin=0124220038","sales record")</f>
        <v>sales record</v>
      </c>
      <c r="AC774" t="s">
        <v>3</v>
      </c>
      <c r="AD774">
        <v>41.937864</v>
      </c>
      <c r="AE774">
        <v>-88.151681</v>
      </c>
      <c r="AF774" s="5" t="str">
        <f>HYPERLINK("https://www.google.com/maps/search/?api=1&amp;query=41.937864,-88.151681","map")</f>
        <v>map</v>
      </c>
    </row>
    <row r="775" spans="1:32">
      <c r="A775" t="s">
        <v>825</v>
      </c>
      <c r="B775" t="s">
        <v>8405</v>
      </c>
      <c r="C775" t="s">
        <v>15164</v>
      </c>
      <c r="D775" t="s">
        <v>16197</v>
      </c>
      <c r="E775" t="s">
        <v>16218</v>
      </c>
      <c r="F775" t="s">
        <v>16220</v>
      </c>
      <c r="G775" t="s">
        <v>16238</v>
      </c>
      <c r="H775" t="s">
        <v>16238</v>
      </c>
      <c r="I775" t="s">
        <v>16314</v>
      </c>
      <c r="J775" t="s">
        <v>16385</v>
      </c>
      <c r="K775">
        <v>0.122</v>
      </c>
      <c r="L775">
        <v>5335</v>
      </c>
      <c r="M775">
        <v>1395</v>
      </c>
      <c r="N775" t="s">
        <v>16393</v>
      </c>
      <c r="O775" s="4">
        <v>36878</v>
      </c>
      <c r="P775" s="4">
        <v>79925</v>
      </c>
      <c r="Q775" s="4">
        <v>116803</v>
      </c>
      <c r="R775" s="4">
        <v>350409</v>
      </c>
      <c r="S775" t="s">
        <v>17155</v>
      </c>
      <c r="T775" s="6">
        <v>44531</v>
      </c>
      <c r="U775" s="4">
        <v>262000</v>
      </c>
      <c r="V775" t="s">
        <v>23739</v>
      </c>
      <c r="W775" t="s">
        <v>24115</v>
      </c>
      <c r="X775" t="s">
        <v>3</v>
      </c>
      <c r="AA775" s="5" t="str">
        <f>HYPERLINK("https://www.zillow.com/homes/1354-BIG-HORN-TR-CAROL-STREAM-IL-60188_rb/","check listing")</f>
        <v>check listing</v>
      </c>
      <c r="AB775" s="5" t="str">
        <f>HYPERLINK("https://propertylookup.dupagecounty.gov/Datalets/Datalet.aspx?UseSearch=no&amp;mode=sales&amp;pin=0123210010","sales record")</f>
        <v>sales record</v>
      </c>
      <c r="AC775" t="s">
        <v>27873</v>
      </c>
      <c r="AD775">
        <v>41.937236</v>
      </c>
      <c r="AE775">
        <v>-88.170231</v>
      </c>
      <c r="AF775" s="5" t="str">
        <f>HYPERLINK("https://www.google.com/maps/search/?api=1&amp;query=41.937236,-88.170231","map")</f>
        <v>map</v>
      </c>
    </row>
    <row r="776" spans="1:32">
      <c r="A776" t="s">
        <v>826</v>
      </c>
      <c r="B776" t="s">
        <v>8406</v>
      </c>
      <c r="C776" t="s">
        <v>15164</v>
      </c>
      <c r="D776" t="s">
        <v>16197</v>
      </c>
      <c r="E776" t="s">
        <v>16218</v>
      </c>
      <c r="F776" t="s">
        <v>16220</v>
      </c>
      <c r="G776" t="s">
        <v>16238</v>
      </c>
      <c r="H776" t="s">
        <v>16238</v>
      </c>
      <c r="I776" t="s">
        <v>16314</v>
      </c>
      <c r="J776" t="s">
        <v>16385</v>
      </c>
      <c r="K776">
        <v>0.12</v>
      </c>
      <c r="L776">
        <v>5218</v>
      </c>
      <c r="M776">
        <v>989</v>
      </c>
      <c r="N776" t="s">
        <v>16393</v>
      </c>
      <c r="O776" s="4">
        <v>15934</v>
      </c>
      <c r="P776" s="4">
        <v>76091</v>
      </c>
      <c r="Q776" s="4">
        <v>92025</v>
      </c>
      <c r="R776" s="4">
        <v>276075</v>
      </c>
      <c r="S776" t="s">
        <v>17156</v>
      </c>
      <c r="T776" s="6">
        <v>39203</v>
      </c>
      <c r="U776" s="4">
        <v>213000</v>
      </c>
      <c r="V776" t="s">
        <v>23739</v>
      </c>
      <c r="W776" t="s">
        <v>24116</v>
      </c>
      <c r="X776" t="s">
        <v>3</v>
      </c>
      <c r="AA776" s="5" t="str">
        <f>HYPERLINK("https://www.zillow.com/homes/1481-OXFORD-ST-CAROL-STREAM-IL-60188_rb/","check listing")</f>
        <v>check listing</v>
      </c>
      <c r="AB776" s="5" t="str">
        <f>HYPERLINK("https://propertylookup.dupagecounty.gov/Datalets/Datalet.aspx?UseSearch=no&amp;mode=sales&amp;pin=0123202012","sales record")</f>
        <v>sales record</v>
      </c>
      <c r="AC776" t="s">
        <v>3</v>
      </c>
      <c r="AD776">
        <v>41.941362</v>
      </c>
      <c r="AE776">
        <v>-88.17241300000001</v>
      </c>
      <c r="AF776" s="5" t="str">
        <f>HYPERLINK("https://www.google.com/maps/search/?api=1&amp;query=41.941362,-88.172413","map")</f>
        <v>map</v>
      </c>
    </row>
    <row r="777" spans="1:32">
      <c r="A777" t="s">
        <v>827</v>
      </c>
      <c r="B777" t="s">
        <v>8407</v>
      </c>
      <c r="C777" t="s">
        <v>15164</v>
      </c>
      <c r="D777" t="s">
        <v>16197</v>
      </c>
      <c r="E777" t="s">
        <v>16218</v>
      </c>
      <c r="F777" t="s">
        <v>16220</v>
      </c>
      <c r="G777" t="s">
        <v>16238</v>
      </c>
      <c r="H777" t="s">
        <v>16238</v>
      </c>
      <c r="I777" t="s">
        <v>16314</v>
      </c>
      <c r="J777" t="s">
        <v>16385</v>
      </c>
      <c r="K777">
        <v>0.112</v>
      </c>
      <c r="L777">
        <v>4869</v>
      </c>
      <c r="M777">
        <v>989</v>
      </c>
      <c r="N777" t="s">
        <v>16393</v>
      </c>
      <c r="O777" s="4">
        <v>15934</v>
      </c>
      <c r="P777" s="4">
        <v>74257</v>
      </c>
      <c r="Q777" s="4">
        <v>90191</v>
      </c>
      <c r="R777" s="4">
        <v>270573</v>
      </c>
      <c r="S777" t="s">
        <v>17157</v>
      </c>
      <c r="T777" s="6">
        <v>38504</v>
      </c>
      <c r="U777" s="4">
        <v>205000</v>
      </c>
      <c r="V777" t="s">
        <v>23739</v>
      </c>
      <c r="W777" t="s">
        <v>24117</v>
      </c>
      <c r="X777" t="s">
        <v>3</v>
      </c>
      <c r="AA777" s="5" t="str">
        <f>HYPERLINK("https://www.zillow.com/homes/1408-POTOMAC-CT-CAROL-STREAM-IL-60188_rb/","check listing")</f>
        <v>check listing</v>
      </c>
      <c r="AB777" s="5" t="str">
        <f>HYPERLINK("https://propertylookup.dupagecounty.gov/Datalets/Datalet.aspx?UseSearch=no&amp;mode=sales&amp;pin=0123209032","sales record")</f>
        <v>sales record</v>
      </c>
      <c r="AC777" t="s">
        <v>3</v>
      </c>
      <c r="AD777">
        <v>41.938727</v>
      </c>
      <c r="AE777">
        <v>-88.17110700000001</v>
      </c>
      <c r="AF777" s="5" t="str">
        <f>HYPERLINK("https://www.google.com/maps/search/?api=1&amp;query=41.938727,-88.171107","map")</f>
        <v>map</v>
      </c>
    </row>
    <row r="778" spans="1:32">
      <c r="A778" t="s">
        <v>828</v>
      </c>
      <c r="B778" t="s">
        <v>8408</v>
      </c>
      <c r="C778" t="s">
        <v>15164</v>
      </c>
      <c r="D778" t="s">
        <v>16197</v>
      </c>
      <c r="E778" t="s">
        <v>16218</v>
      </c>
      <c r="F778" t="s">
        <v>16220</v>
      </c>
      <c r="G778" t="s">
        <v>16238</v>
      </c>
      <c r="H778" t="s">
        <v>16238</v>
      </c>
      <c r="I778" t="s">
        <v>16314</v>
      </c>
      <c r="J778" t="s">
        <v>16385</v>
      </c>
      <c r="K778">
        <v>0.111</v>
      </c>
      <c r="L778">
        <v>4840</v>
      </c>
      <c r="M778">
        <v>989</v>
      </c>
      <c r="N778" t="s">
        <v>16393</v>
      </c>
      <c r="O778" s="4">
        <v>15934</v>
      </c>
      <c r="P778" s="4">
        <v>74305</v>
      </c>
      <c r="Q778" s="4">
        <v>90239</v>
      </c>
      <c r="R778" s="4">
        <v>270717</v>
      </c>
      <c r="S778" t="s">
        <v>17158</v>
      </c>
      <c r="T778" s="6">
        <v>45148</v>
      </c>
      <c r="U778" s="4">
        <v>290000</v>
      </c>
      <c r="V778" t="s">
        <v>23739</v>
      </c>
      <c r="W778" t="s">
        <v>24118</v>
      </c>
      <c r="X778" t="s">
        <v>3</v>
      </c>
      <c r="AA778" s="5" t="str">
        <f>HYPERLINK("https://www.zillow.com/homes/1350-PORTSMOUTH-CT-CAROL-STREAM-IL-60188_rb/","check listing")</f>
        <v>check listing</v>
      </c>
      <c r="AB778" s="5" t="str">
        <f>HYPERLINK("https://propertylookup.dupagecounty.gov/Datalets/Datalet.aspx?UseSearch=no&amp;mode=sales&amp;pin=0123209122","sales record")</f>
        <v>sales record</v>
      </c>
      <c r="AC778" t="s">
        <v>3</v>
      </c>
      <c r="AD778">
        <v>41.938501</v>
      </c>
      <c r="AE778">
        <v>-88.168857</v>
      </c>
      <c r="AF778" s="5" t="str">
        <f>HYPERLINK("https://www.google.com/maps/search/?api=1&amp;query=41.938501,-88.168857","map")</f>
        <v>map</v>
      </c>
    </row>
    <row r="779" spans="1:32">
      <c r="A779" t="s">
        <v>829</v>
      </c>
      <c r="B779" t="s">
        <v>8409</v>
      </c>
      <c r="C779" t="s">
        <v>15164</v>
      </c>
      <c r="D779" t="s">
        <v>16197</v>
      </c>
      <c r="E779" t="s">
        <v>16218</v>
      </c>
      <c r="F779" t="s">
        <v>16220</v>
      </c>
      <c r="G779" t="s">
        <v>16238</v>
      </c>
      <c r="H779" t="s">
        <v>16238</v>
      </c>
      <c r="I779" t="s">
        <v>16314</v>
      </c>
      <c r="J779" t="s">
        <v>16385</v>
      </c>
      <c r="K779">
        <v>0.102</v>
      </c>
      <c r="L779">
        <v>4422</v>
      </c>
      <c r="M779">
        <v>990</v>
      </c>
      <c r="N779" t="s">
        <v>16393</v>
      </c>
      <c r="O779" s="4">
        <v>15946</v>
      </c>
      <c r="P779" s="4">
        <v>71979</v>
      </c>
      <c r="Q779" s="4">
        <v>87925</v>
      </c>
      <c r="R779" s="4">
        <v>263775</v>
      </c>
      <c r="S779" t="s">
        <v>17159</v>
      </c>
      <c r="T779" s="6">
        <v>32417</v>
      </c>
      <c r="U779" s="4">
        <v>92330</v>
      </c>
      <c r="X779" t="s">
        <v>3</v>
      </c>
      <c r="AA779" s="5" t="str">
        <f>HYPERLINK("https://www.zillow.com/homes/1238-ROBIN-DR-CAROL-STREAM-IL-60188_rb/","check listing")</f>
        <v>check listing</v>
      </c>
      <c r="AB779" s="5" t="str">
        <f>HYPERLINK("https://propertylookup.dupagecounty.gov/Datalets/Datalet.aspx?UseSearch=no&amp;mode=sales&amp;pin=0123411027","sales record")</f>
        <v>sales record</v>
      </c>
      <c r="AC779" t="s">
        <v>3</v>
      </c>
      <c r="AD779">
        <v>41.931013</v>
      </c>
      <c r="AE779">
        <v>-88.165204</v>
      </c>
      <c r="AF779" s="5" t="str">
        <f>HYPERLINK("https://www.google.com/maps/search/?api=1&amp;query=41.931013,-88.165204","map")</f>
        <v>map</v>
      </c>
    </row>
    <row r="780" spans="1:32">
      <c r="A780" t="s">
        <v>830</v>
      </c>
      <c r="B780" t="s">
        <v>8410</v>
      </c>
      <c r="C780" t="s">
        <v>15164</v>
      </c>
      <c r="D780" t="s">
        <v>16197</v>
      </c>
      <c r="E780" t="s">
        <v>16218</v>
      </c>
      <c r="F780" t="s">
        <v>16220</v>
      </c>
      <c r="G780" t="s">
        <v>16238</v>
      </c>
      <c r="H780" t="s">
        <v>16238</v>
      </c>
      <c r="I780" t="s">
        <v>16314</v>
      </c>
      <c r="J780" t="s">
        <v>16385</v>
      </c>
      <c r="K780">
        <v>0.101</v>
      </c>
      <c r="L780">
        <v>4390</v>
      </c>
      <c r="M780">
        <v>990</v>
      </c>
      <c r="N780" t="s">
        <v>16393</v>
      </c>
      <c r="O780" s="4">
        <v>15946</v>
      </c>
      <c r="P780" s="4">
        <v>68108</v>
      </c>
      <c r="Q780" s="4">
        <v>84054</v>
      </c>
      <c r="R780" s="4">
        <v>252162</v>
      </c>
      <c r="S780" t="s">
        <v>17160</v>
      </c>
      <c r="T780" s="6">
        <v>37073</v>
      </c>
      <c r="U780" s="4">
        <v>149000</v>
      </c>
      <c r="V780" t="s">
        <v>23739</v>
      </c>
      <c r="W780" t="s">
        <v>24119</v>
      </c>
      <c r="X780" t="s">
        <v>3</v>
      </c>
      <c r="AA780" s="5" t="str">
        <f>HYPERLINK("https://www.zillow.com/homes/1230-ROBIN-DR-CAROL-STREAM-IL-60188_rb/","check listing")</f>
        <v>check listing</v>
      </c>
      <c r="AB780" s="5" t="str">
        <f>HYPERLINK("https://propertylookup.dupagecounty.gov/Datalets/Datalet.aspx?UseSearch=no&amp;mode=sales&amp;pin=0123411026","sales record")</f>
        <v>sales record</v>
      </c>
      <c r="AC780" t="s">
        <v>3</v>
      </c>
      <c r="AD780">
        <v>41.931125</v>
      </c>
      <c r="AE780">
        <v>-88.165201</v>
      </c>
      <c r="AF780" s="5" t="str">
        <f>HYPERLINK("https://www.google.com/maps/search/?api=1&amp;query=41.931125,-88.165201","map")</f>
        <v>map</v>
      </c>
    </row>
    <row r="781" spans="1:32">
      <c r="A781" t="s">
        <v>831</v>
      </c>
      <c r="B781" t="s">
        <v>8411</v>
      </c>
      <c r="C781" t="s">
        <v>15164</v>
      </c>
      <c r="D781" t="s">
        <v>16197</v>
      </c>
      <c r="E781" t="s">
        <v>16218</v>
      </c>
      <c r="F781" t="s">
        <v>16220</v>
      </c>
      <c r="G781" t="s">
        <v>16238</v>
      </c>
      <c r="H781" t="s">
        <v>16238</v>
      </c>
      <c r="I781" t="s">
        <v>16314</v>
      </c>
      <c r="J781" t="s">
        <v>16385</v>
      </c>
      <c r="K781">
        <v>0.095</v>
      </c>
      <c r="L781">
        <v>4123</v>
      </c>
      <c r="M781">
        <v>991</v>
      </c>
      <c r="N781" t="s">
        <v>16393</v>
      </c>
      <c r="O781" s="4">
        <v>15946</v>
      </c>
      <c r="P781" s="4">
        <v>68883</v>
      </c>
      <c r="Q781" s="4">
        <v>84829</v>
      </c>
      <c r="R781" s="4">
        <v>254487</v>
      </c>
      <c r="S781" t="s">
        <v>17161</v>
      </c>
      <c r="T781" s="6">
        <v>44044</v>
      </c>
      <c r="U781" s="4">
        <v>201000</v>
      </c>
      <c r="V781" t="s">
        <v>23739</v>
      </c>
      <c r="W781" t="s">
        <v>17161</v>
      </c>
      <c r="X781" t="s">
        <v>3</v>
      </c>
      <c r="AA781" s="5" t="str">
        <f>HYPERLINK("https://www.zillow.com/homes/1248-ROBIN-DR-CAROL-STREAM-IL-60188_rb/","check listing")</f>
        <v>check listing</v>
      </c>
      <c r="AB781" s="5" t="str">
        <f>HYPERLINK("https://propertylookup.dupagecounty.gov/Datalets/Datalet.aspx?UseSearch=no&amp;mode=sales&amp;pin=0123411032","sales record")</f>
        <v>sales record</v>
      </c>
      <c r="AC781" t="s">
        <v>3</v>
      </c>
      <c r="AD781">
        <v>41.930567</v>
      </c>
      <c r="AE781">
        <v>-88.165187</v>
      </c>
      <c r="AF781" s="5" t="str">
        <f>HYPERLINK("https://www.google.com/maps/search/?api=1&amp;query=41.930567,-88.165187","map")</f>
        <v>map</v>
      </c>
    </row>
    <row r="782" spans="1:32">
      <c r="A782" t="s">
        <v>832</v>
      </c>
      <c r="B782" t="s">
        <v>8412</v>
      </c>
      <c r="C782" t="s">
        <v>15194</v>
      </c>
      <c r="D782" t="s">
        <v>16197</v>
      </c>
      <c r="E782" t="s">
        <v>16218</v>
      </c>
      <c r="F782" t="s">
        <v>16220</v>
      </c>
      <c r="G782" t="s">
        <v>16238</v>
      </c>
      <c r="H782" t="s">
        <v>16238</v>
      </c>
      <c r="I782" t="s">
        <v>16314</v>
      </c>
      <c r="J782" t="s">
        <v>16385</v>
      </c>
      <c r="K782">
        <v>0.094</v>
      </c>
      <c r="L782">
        <v>4082</v>
      </c>
      <c r="M782">
        <v>988</v>
      </c>
      <c r="N782" t="s">
        <v>16393</v>
      </c>
      <c r="O782" s="4">
        <v>15934</v>
      </c>
      <c r="P782" s="4">
        <v>52764</v>
      </c>
      <c r="Q782" s="4">
        <v>68698</v>
      </c>
      <c r="R782" s="4">
        <v>206094</v>
      </c>
      <c r="S782" t="s">
        <v>17162</v>
      </c>
      <c r="T782" s="6">
        <v>37408</v>
      </c>
      <c r="U782" s="4">
        <v>140000</v>
      </c>
      <c r="V782" t="s">
        <v>23739</v>
      </c>
      <c r="W782" t="s">
        <v>17162</v>
      </c>
      <c r="X782" t="s">
        <v>3</v>
      </c>
      <c r="AA782" s="5" t="str">
        <f>HYPERLINK("https://www.zillow.com/homes/1460-OXFORD-ST-CAROL-STREAM-IL-601889095_rb/","check listing")</f>
        <v>check listing</v>
      </c>
      <c r="AB782" s="5" t="str">
        <f>HYPERLINK("https://propertylookup.dupagecounty.gov/Datalets/Datalet.aspx?UseSearch=no&amp;mode=sales&amp;pin=0123216013","sales record")</f>
        <v>sales record</v>
      </c>
      <c r="AC782" t="s">
        <v>3</v>
      </c>
      <c r="AD782">
        <v>41.940339</v>
      </c>
      <c r="AE782">
        <v>-88.17307700000001</v>
      </c>
      <c r="AF782" s="5" t="str">
        <f>HYPERLINK("https://www.google.com/maps/search/?api=1&amp;query=41.940339,-88.173077","map")</f>
        <v>map</v>
      </c>
    </row>
    <row r="783" spans="1:32">
      <c r="A783" t="s">
        <v>833</v>
      </c>
      <c r="B783" t="s">
        <v>8413</v>
      </c>
      <c r="C783" t="s">
        <v>15195</v>
      </c>
      <c r="D783" t="s">
        <v>16197</v>
      </c>
      <c r="E783" t="s">
        <v>16218</v>
      </c>
      <c r="F783" t="s">
        <v>16220</v>
      </c>
      <c r="G783" t="s">
        <v>16238</v>
      </c>
      <c r="H783" t="s">
        <v>16238</v>
      </c>
      <c r="I783" t="s">
        <v>16314</v>
      </c>
      <c r="J783" t="s">
        <v>16385</v>
      </c>
      <c r="K783">
        <v>0.08400000000000001</v>
      </c>
      <c r="L783">
        <v>3641</v>
      </c>
      <c r="M783">
        <v>1120</v>
      </c>
      <c r="N783" t="s">
        <v>16393</v>
      </c>
      <c r="O783" s="4">
        <v>15934</v>
      </c>
      <c r="P783" s="4">
        <v>86538</v>
      </c>
      <c r="Q783" s="4">
        <v>102472</v>
      </c>
      <c r="R783" s="4">
        <v>307416</v>
      </c>
      <c r="S783" t="s">
        <v>17163</v>
      </c>
      <c r="T783" s="6">
        <v>43497</v>
      </c>
      <c r="U783" s="4">
        <v>205000</v>
      </c>
      <c r="V783" t="s">
        <v>23739</v>
      </c>
      <c r="W783" t="s">
        <v>17163</v>
      </c>
      <c r="X783" t="s">
        <v>3</v>
      </c>
      <c r="AA783" s="5" t="str">
        <f>HYPERLINK("https://www.zillow.com/homes/1399-GEORGETOWN-DR-CAROL-STREAM-IL-601889017_rb/","check listing")</f>
        <v>check listing</v>
      </c>
      <c r="AB783" s="5" t="str">
        <f>HYPERLINK("https://propertylookup.dupagecounty.gov/Datalets/Datalet.aspx?UseSearch=no&amp;mode=sales&amp;pin=0123208007","sales record")</f>
        <v>sales record</v>
      </c>
      <c r="AC783" t="s">
        <v>27873</v>
      </c>
      <c r="AD783">
        <v>41.939086</v>
      </c>
      <c r="AE783">
        <v>-88.171815</v>
      </c>
      <c r="AF783" s="5" t="str">
        <f>HYPERLINK("https://www.google.com/maps/search/?api=1&amp;query=41.939086,-88.171815","map")</f>
        <v>map</v>
      </c>
    </row>
    <row r="784" spans="1:32">
      <c r="A784" t="s">
        <v>834</v>
      </c>
      <c r="B784" t="s">
        <v>8414</v>
      </c>
      <c r="C784" t="s">
        <v>15164</v>
      </c>
      <c r="D784" t="s">
        <v>16197</v>
      </c>
      <c r="E784" t="s">
        <v>16218</v>
      </c>
      <c r="F784" t="s">
        <v>16220</v>
      </c>
      <c r="G784" t="s">
        <v>16238</v>
      </c>
      <c r="H784" t="s">
        <v>16238</v>
      </c>
      <c r="I784" t="s">
        <v>16314</v>
      </c>
      <c r="J784" t="s">
        <v>16385</v>
      </c>
      <c r="K784">
        <v>0.08400000000000001</v>
      </c>
      <c r="L784">
        <v>3641</v>
      </c>
      <c r="M784">
        <v>1146</v>
      </c>
      <c r="N784" t="s">
        <v>16393</v>
      </c>
      <c r="O784" s="4">
        <v>15934</v>
      </c>
      <c r="P784" s="4">
        <v>76223</v>
      </c>
      <c r="Q784" s="4">
        <v>92157</v>
      </c>
      <c r="R784" s="4">
        <v>276471</v>
      </c>
      <c r="S784" t="s">
        <v>17164</v>
      </c>
      <c r="T784" s="6">
        <v>35551</v>
      </c>
      <c r="U784" s="4">
        <v>120000</v>
      </c>
      <c r="X784" t="s">
        <v>3</v>
      </c>
      <c r="AA784" s="5" t="str">
        <f>HYPERLINK("https://www.zillow.com/homes/1336-SPRING-VALLEY-DR-CAROL-STREAM-IL-60188_rb/","check listing")</f>
        <v>check listing</v>
      </c>
      <c r="AB784" s="5" t="str">
        <f>HYPERLINK("https://propertylookup.dupagecounty.gov/Datalets/Datalet.aspx?UseSearch=no&amp;mode=sales&amp;pin=0123209131","sales record")</f>
        <v>sales record</v>
      </c>
      <c r="AC784" t="s">
        <v>27873</v>
      </c>
      <c r="AD784">
        <v>41.938594</v>
      </c>
      <c r="AE784">
        <v>-88.168205</v>
      </c>
      <c r="AF784" s="5" t="str">
        <f>HYPERLINK("https://www.google.com/maps/search/?api=1&amp;query=41.938594,-88.168205","map")</f>
        <v>map</v>
      </c>
    </row>
    <row r="785" spans="1:32">
      <c r="A785" t="s">
        <v>835</v>
      </c>
      <c r="B785" t="s">
        <v>8415</v>
      </c>
      <c r="C785" t="s">
        <v>15164</v>
      </c>
      <c r="D785" t="s">
        <v>16197</v>
      </c>
      <c r="E785" t="s">
        <v>16218</v>
      </c>
      <c r="F785" t="s">
        <v>16220</v>
      </c>
      <c r="G785" t="s">
        <v>16238</v>
      </c>
      <c r="H785" t="s">
        <v>16238</v>
      </c>
      <c r="I785" t="s">
        <v>16314</v>
      </c>
      <c r="J785" t="s">
        <v>16385</v>
      </c>
      <c r="K785">
        <v>0.08400000000000001</v>
      </c>
      <c r="L785">
        <v>3641</v>
      </c>
      <c r="M785">
        <v>989</v>
      </c>
      <c r="N785" t="s">
        <v>16393</v>
      </c>
      <c r="O785" s="4">
        <v>15934</v>
      </c>
      <c r="P785" s="4">
        <v>76678</v>
      </c>
      <c r="Q785" s="4">
        <v>92612</v>
      </c>
      <c r="R785" s="4">
        <v>277836</v>
      </c>
      <c r="S785" t="s">
        <v>17165</v>
      </c>
      <c r="T785" s="6">
        <v>36373</v>
      </c>
      <c r="U785" s="4">
        <v>127000</v>
      </c>
      <c r="X785" t="s">
        <v>3</v>
      </c>
      <c r="AA785" s="5" t="str">
        <f>HYPERLINK("https://www.zillow.com/homes/1407-GEORGETOWNE-DR-CAROL-STREAM-IL-60188_rb/","check listing")</f>
        <v>check listing</v>
      </c>
      <c r="AB785" s="5" t="str">
        <f>HYPERLINK("https://propertylookup.dupagecounty.gov/Datalets/Datalet.aspx?UseSearch=no&amp;mode=sales&amp;pin=0123208011","sales record")</f>
        <v>sales record</v>
      </c>
      <c r="AC785" t="s">
        <v>3</v>
      </c>
      <c r="AD785">
        <v>41.938705</v>
      </c>
      <c r="AE785">
        <v>-88.17190100000001</v>
      </c>
      <c r="AF785" s="5" t="str">
        <f>HYPERLINK("https://www.google.com/maps/search/?api=1&amp;query=41.938705,-88.171901","map")</f>
        <v>map</v>
      </c>
    </row>
    <row r="786" spans="1:32">
      <c r="A786" t="s">
        <v>836</v>
      </c>
      <c r="B786" t="s">
        <v>8416</v>
      </c>
      <c r="C786" t="s">
        <v>15164</v>
      </c>
      <c r="D786" t="s">
        <v>16197</v>
      </c>
      <c r="E786" t="s">
        <v>16218</v>
      </c>
      <c r="F786" t="s">
        <v>16220</v>
      </c>
      <c r="G786" t="s">
        <v>16238</v>
      </c>
      <c r="H786" t="s">
        <v>16238</v>
      </c>
      <c r="I786" t="s">
        <v>16314</v>
      </c>
      <c r="J786" t="s">
        <v>16385</v>
      </c>
      <c r="K786">
        <v>0.083</v>
      </c>
      <c r="L786">
        <v>3633</v>
      </c>
      <c r="N786" t="s">
        <v>16393</v>
      </c>
      <c r="O786" s="4">
        <v>15946</v>
      </c>
      <c r="P786" s="4">
        <v>68097</v>
      </c>
      <c r="Q786" s="4">
        <v>84043</v>
      </c>
      <c r="R786" s="4">
        <v>252129</v>
      </c>
      <c r="S786" t="s">
        <v>17166</v>
      </c>
      <c r="T786" s="6">
        <v>33817</v>
      </c>
      <c r="U786" s="4">
        <v>104500</v>
      </c>
      <c r="X786" t="s">
        <v>3</v>
      </c>
      <c r="AA786" s="5" t="str">
        <f>HYPERLINK("https://www.zillow.com/homes/1288-ORIOLE-TR-CAROL-STREAM-IL-60188_rb/","check listing")</f>
        <v>check listing</v>
      </c>
      <c r="AB786" s="5" t="str">
        <f>HYPERLINK("https://propertylookup.dupagecounty.gov/Datalets/Datalet.aspx?UseSearch=no&amp;mode=sales&amp;pin=0123413012","sales record")</f>
        <v>sales record</v>
      </c>
      <c r="AC786" t="s">
        <v>3</v>
      </c>
      <c r="AD786">
        <v>41.930826</v>
      </c>
      <c r="AE786">
        <v>-88.166494</v>
      </c>
      <c r="AF786" s="5" t="str">
        <f>HYPERLINK("https://www.google.com/maps/search/?api=1&amp;query=41.930826,-88.166494","map")</f>
        <v>map</v>
      </c>
    </row>
    <row r="787" spans="1:32">
      <c r="A787" t="s">
        <v>837</v>
      </c>
      <c r="B787" t="s">
        <v>8417</v>
      </c>
      <c r="C787" t="s">
        <v>15196</v>
      </c>
      <c r="D787" t="s">
        <v>16197</v>
      </c>
      <c r="E787" t="s">
        <v>16218</v>
      </c>
      <c r="F787" t="s">
        <v>16220</v>
      </c>
      <c r="G787" t="s">
        <v>16238</v>
      </c>
      <c r="H787" t="s">
        <v>16238</v>
      </c>
      <c r="I787" t="s">
        <v>16314</v>
      </c>
      <c r="J787" t="s">
        <v>16385</v>
      </c>
      <c r="K787">
        <v>0.081</v>
      </c>
      <c r="L787">
        <v>3528</v>
      </c>
      <c r="N787" t="s">
        <v>16393</v>
      </c>
      <c r="O787" s="4">
        <v>15946</v>
      </c>
      <c r="P787" s="4">
        <v>71903</v>
      </c>
      <c r="Q787" s="4">
        <v>87849</v>
      </c>
      <c r="R787" s="4">
        <v>263547</v>
      </c>
      <c r="S787" t="s">
        <v>17167</v>
      </c>
      <c r="T787" s="6">
        <v>43252</v>
      </c>
      <c r="U787" s="4">
        <v>219500</v>
      </c>
      <c r="V787" t="s">
        <v>23739</v>
      </c>
      <c r="W787" t="s">
        <v>24120</v>
      </c>
      <c r="X787" t="s">
        <v>3</v>
      </c>
      <c r="AA787" s="5" t="str">
        <f>HYPERLINK("https://www.zillow.com/homes/1306-ORIOLE-TRL-CAROL-STREAM-IL-601886062_rb/","check listing")</f>
        <v>check listing</v>
      </c>
      <c r="AB787" s="5" t="str">
        <f>HYPERLINK("https://propertylookup.dupagecounty.gov/Datalets/Datalet.aspx?UseSearch=no&amp;mode=sales&amp;pin=0123413006","sales record")</f>
        <v>sales record</v>
      </c>
      <c r="AC787" t="s">
        <v>3</v>
      </c>
      <c r="AD787">
        <v>41.930772</v>
      </c>
      <c r="AE787">
        <v>-88.167226</v>
      </c>
      <c r="AF787" s="5" t="str">
        <f>HYPERLINK("https://www.google.com/maps/search/?api=1&amp;query=41.930772,-88.167226","map")</f>
        <v>map</v>
      </c>
    </row>
    <row r="788" spans="1:32">
      <c r="A788" t="s">
        <v>838</v>
      </c>
      <c r="B788" t="s">
        <v>8418</v>
      </c>
      <c r="C788" t="s">
        <v>15197</v>
      </c>
      <c r="D788" t="s">
        <v>16197</v>
      </c>
      <c r="E788" t="s">
        <v>16218</v>
      </c>
      <c r="F788" t="s">
        <v>16220</v>
      </c>
      <c r="G788" t="s">
        <v>16238</v>
      </c>
      <c r="H788" t="s">
        <v>16238</v>
      </c>
      <c r="I788" t="s">
        <v>16314</v>
      </c>
      <c r="J788" t="s">
        <v>16385</v>
      </c>
      <c r="K788">
        <v>0.075</v>
      </c>
      <c r="L788">
        <v>3262</v>
      </c>
      <c r="M788">
        <v>945</v>
      </c>
      <c r="N788" t="s">
        <v>16393</v>
      </c>
      <c r="O788" s="4">
        <v>15934</v>
      </c>
      <c r="P788" s="4">
        <v>76678</v>
      </c>
      <c r="Q788" s="4">
        <v>92612</v>
      </c>
      <c r="R788" s="4">
        <v>277836</v>
      </c>
      <c r="S788" t="s">
        <v>17168</v>
      </c>
      <c r="T788" s="6">
        <v>42430</v>
      </c>
      <c r="U788" s="4">
        <v>166000</v>
      </c>
      <c r="V788" t="s">
        <v>23739</v>
      </c>
      <c r="W788" t="s">
        <v>17168</v>
      </c>
      <c r="X788" t="s">
        <v>3</v>
      </c>
      <c r="AA788" s="5" t="str">
        <f>HYPERLINK("https://www.zillow.com/homes/1328-PETERSBURG-CT-CAROL-STREAM-IL-601889059_rb/","check listing")</f>
        <v>check listing</v>
      </c>
      <c r="AB788" s="5" t="str">
        <f>HYPERLINK("https://propertylookup.dupagecounty.gov/Datalets/Datalet.aspx?UseSearch=no&amp;mode=sales&amp;pin=0123209059","sales record")</f>
        <v>sales record</v>
      </c>
      <c r="AC788" t="s">
        <v>3</v>
      </c>
      <c r="AD788">
        <v>41.937833</v>
      </c>
      <c r="AE788">
        <v>-88.169872</v>
      </c>
      <c r="AF788" s="5" t="str">
        <f>HYPERLINK("https://www.google.com/maps/search/?api=1&amp;query=41.937833,-88.169872","map")</f>
        <v>map</v>
      </c>
    </row>
    <row r="789" spans="1:32">
      <c r="A789" t="s">
        <v>839</v>
      </c>
      <c r="B789" t="s">
        <v>8419</v>
      </c>
      <c r="C789" t="s">
        <v>15164</v>
      </c>
      <c r="D789" t="s">
        <v>16197</v>
      </c>
      <c r="E789" t="s">
        <v>16218</v>
      </c>
      <c r="F789" t="s">
        <v>16220</v>
      </c>
      <c r="G789" t="s">
        <v>16238</v>
      </c>
      <c r="H789" t="s">
        <v>16238</v>
      </c>
      <c r="I789" t="s">
        <v>16314</v>
      </c>
      <c r="J789" t="s">
        <v>16385</v>
      </c>
      <c r="K789">
        <v>0.074</v>
      </c>
      <c r="L789">
        <v>3208</v>
      </c>
      <c r="M789">
        <v>989</v>
      </c>
      <c r="N789" t="s">
        <v>16393</v>
      </c>
      <c r="O789" s="4">
        <v>15934</v>
      </c>
      <c r="P789" s="4">
        <v>76606</v>
      </c>
      <c r="Q789" s="4">
        <v>92540</v>
      </c>
      <c r="R789" s="4">
        <v>277620</v>
      </c>
      <c r="S789" t="s">
        <v>17169</v>
      </c>
      <c r="T789" s="6">
        <v>39264</v>
      </c>
      <c r="U789" s="4">
        <v>202000</v>
      </c>
      <c r="V789" t="s">
        <v>23739</v>
      </c>
      <c r="W789" t="s">
        <v>24121</v>
      </c>
      <c r="X789" t="s">
        <v>3</v>
      </c>
      <c r="AA789" s="5" t="str">
        <f>HYPERLINK("https://www.zillow.com/homes/1336-PETERSBURG-CT-CAROL-STREAM-IL-60188_rb/","check listing")</f>
        <v>check listing</v>
      </c>
      <c r="AB789" s="5" t="str">
        <f>HYPERLINK("https://propertylookup.dupagecounty.gov/Datalets/Datalet.aspx?UseSearch=no&amp;mode=sales&amp;pin=0123209063","sales record")</f>
        <v>sales record</v>
      </c>
      <c r="AC789" t="s">
        <v>3</v>
      </c>
      <c r="AD789">
        <v>41.938128</v>
      </c>
      <c r="AE789">
        <v>-88.169878</v>
      </c>
      <c r="AF789" s="5" t="str">
        <f>HYPERLINK("https://www.google.com/maps/search/?api=1&amp;query=41.938128,-88.169878","map")</f>
        <v>map</v>
      </c>
    </row>
    <row r="790" spans="1:32">
      <c r="A790" t="s">
        <v>840</v>
      </c>
      <c r="B790" t="s">
        <v>8420</v>
      </c>
      <c r="C790" t="s">
        <v>15164</v>
      </c>
      <c r="D790" t="s">
        <v>16197</v>
      </c>
      <c r="E790" t="s">
        <v>16217</v>
      </c>
      <c r="F790" t="s">
        <v>16220</v>
      </c>
      <c r="G790" t="s">
        <v>16238</v>
      </c>
      <c r="H790" t="s">
        <v>16238</v>
      </c>
      <c r="I790" t="s">
        <v>16314</v>
      </c>
      <c r="J790" t="s">
        <v>16385</v>
      </c>
      <c r="K790">
        <v>6.204</v>
      </c>
      <c r="L790">
        <v>270249</v>
      </c>
      <c r="N790" t="s">
        <v>16392</v>
      </c>
      <c r="O790" s="4">
        <v>609720</v>
      </c>
      <c r="P790" s="4">
        <v>0</v>
      </c>
      <c r="Q790" s="4">
        <v>609720</v>
      </c>
      <c r="R790" s="4">
        <v>1829160</v>
      </c>
      <c r="S790" t="s">
        <v>17170</v>
      </c>
      <c r="X790" t="s">
        <v>3</v>
      </c>
      <c r="AA790" s="5" t="str">
        <f>HYPERLINK("https://www.zillow.com/homes/ARMY-TRAIL-RD-CAROL-STREAM-IL-60188_rb/","check listing")</f>
        <v>check listing</v>
      </c>
      <c r="AB790" s="5" t="str">
        <f>HYPERLINK("https://propertylookup.dupagecounty.gov/Datalets/Datalet.aspx?UseSearch=no&amp;mode=sales&amp;pin=0124201064","sales record")</f>
        <v>sales record</v>
      </c>
      <c r="AC790" t="s">
        <v>27872</v>
      </c>
      <c r="AD790">
        <v>41.93985</v>
      </c>
      <c r="AE790">
        <v>-88.152</v>
      </c>
      <c r="AF790" s="5" t="str">
        <f>HYPERLINK("https://www.google.com/maps/search/?api=1&amp;query=41.93985,-88.152","map")</f>
        <v>map</v>
      </c>
    </row>
    <row r="791" spans="1:32">
      <c r="A791" t="s">
        <v>841</v>
      </c>
      <c r="B791" t="s">
        <v>8421</v>
      </c>
      <c r="C791" t="s">
        <v>15164</v>
      </c>
      <c r="D791" t="s">
        <v>16197</v>
      </c>
      <c r="E791" t="s">
        <v>16217</v>
      </c>
      <c r="F791" t="s">
        <v>16220</v>
      </c>
      <c r="G791" t="s">
        <v>16238</v>
      </c>
      <c r="H791" t="s">
        <v>16238</v>
      </c>
      <c r="I791" t="s">
        <v>16314</v>
      </c>
      <c r="J791" t="s">
        <v>16385</v>
      </c>
      <c r="K791">
        <v>2.841</v>
      </c>
      <c r="L791">
        <v>123749</v>
      </c>
      <c r="N791" t="s">
        <v>16392</v>
      </c>
      <c r="O791" s="4">
        <v>254950</v>
      </c>
      <c r="P791" s="4">
        <v>0</v>
      </c>
      <c r="Q791" s="4">
        <v>254950</v>
      </c>
      <c r="R791" s="4">
        <v>764850</v>
      </c>
      <c r="S791" t="s">
        <v>17171</v>
      </c>
      <c r="X791" t="s">
        <v>3</v>
      </c>
      <c r="AA791" s="5" t="str">
        <f>HYPERLINK("https://www.zillow.com/homes/2442-N-MAIN-ST-CAROL-STREAM-IL-60188_rb/","check listing")</f>
        <v>check listing</v>
      </c>
      <c r="AB791" s="5" t="str">
        <f>HYPERLINK("https://propertylookup.dupagecounty.gov/Datalets/Datalet.aspx?UseSearch=no&amp;mode=sales&amp;pin=0504304085","sales record")</f>
        <v>sales record</v>
      </c>
      <c r="AC791" t="s">
        <v>3</v>
      </c>
      <c r="AD791">
        <v>41.891585</v>
      </c>
      <c r="AE791">
        <v>-88.10791999999999</v>
      </c>
      <c r="AF791" s="5" t="str">
        <f>HYPERLINK("https://www.google.com/maps/search/?api=1&amp;query=41.891585,-88.10792","map")</f>
        <v>map</v>
      </c>
    </row>
    <row r="792" spans="1:32">
      <c r="A792" t="s">
        <v>842</v>
      </c>
      <c r="B792" t="s">
        <v>8422</v>
      </c>
      <c r="C792" t="s">
        <v>15164</v>
      </c>
      <c r="D792" t="s">
        <v>16197</v>
      </c>
      <c r="E792" t="s">
        <v>16217</v>
      </c>
      <c r="F792" t="s">
        <v>16220</v>
      </c>
      <c r="G792" t="s">
        <v>16238</v>
      </c>
      <c r="H792" t="s">
        <v>16238</v>
      </c>
      <c r="I792" t="s">
        <v>16314</v>
      </c>
      <c r="J792" t="s">
        <v>16385</v>
      </c>
      <c r="K792">
        <v>2.069</v>
      </c>
      <c r="L792">
        <v>90106</v>
      </c>
      <c r="N792" t="s">
        <v>16392</v>
      </c>
      <c r="O792" s="4">
        <v>148767</v>
      </c>
      <c r="P792" s="4">
        <v>0</v>
      </c>
      <c r="Q792" s="4">
        <v>148767</v>
      </c>
      <c r="R792" s="4">
        <v>446301</v>
      </c>
      <c r="S792" t="s">
        <v>17172</v>
      </c>
      <c r="X792" t="s">
        <v>3</v>
      </c>
      <c r="AA792" s="5" t="str">
        <f>HYPERLINK("https://www.zillow.com/homes/1271-N-COUNTY-FARM-RD-CAROL-STREAM-IL-60188_rb/","check listing")</f>
        <v>check listing</v>
      </c>
      <c r="AB792" s="5" t="str">
        <f>HYPERLINK("https://propertylookup.dupagecounty.gov/Datalets/Datalet.aspx?UseSearch=no&amp;mode=sales&amp;pin=0124217043","sales record")</f>
        <v>sales record</v>
      </c>
      <c r="AC792" t="s">
        <v>27872</v>
      </c>
      <c r="AD792">
        <v>41.93823</v>
      </c>
      <c r="AE792">
        <v>-88.14901500000001</v>
      </c>
      <c r="AF792" s="5" t="str">
        <f>HYPERLINK("https://www.google.com/maps/search/?api=1&amp;query=41.93823,-88.149015","map")</f>
        <v>map</v>
      </c>
    </row>
    <row r="793" spans="1:32">
      <c r="A793" t="s">
        <v>843</v>
      </c>
      <c r="B793" t="s">
        <v>8423</v>
      </c>
      <c r="C793" t="s">
        <v>15198</v>
      </c>
      <c r="D793" t="s">
        <v>16197</v>
      </c>
      <c r="E793" t="s">
        <v>16217</v>
      </c>
      <c r="F793" t="s">
        <v>16220</v>
      </c>
      <c r="G793" t="s">
        <v>16238</v>
      </c>
      <c r="H793" t="s">
        <v>16238</v>
      </c>
      <c r="I793" t="s">
        <v>16314</v>
      </c>
      <c r="J793" t="s">
        <v>16385</v>
      </c>
      <c r="K793">
        <v>1.003</v>
      </c>
      <c r="L793">
        <v>43676</v>
      </c>
      <c r="N793" t="s">
        <v>16392</v>
      </c>
      <c r="O793" s="4">
        <v>148767</v>
      </c>
      <c r="P793" s="4">
        <v>0</v>
      </c>
      <c r="Q793" s="4">
        <v>148767</v>
      </c>
      <c r="R793" s="4">
        <v>446301</v>
      </c>
      <c r="S793" t="s">
        <v>17172</v>
      </c>
      <c r="X793" t="s">
        <v>3</v>
      </c>
      <c r="AA793" s="5" t="str">
        <f>HYPERLINK("https://www.zillow.com/homes/1259-N-COUNTY-FARM-RD-CAROL-STREAM-IL-601884726_rb/","check listing")</f>
        <v>check listing</v>
      </c>
      <c r="AB793" s="5" t="str">
        <f>HYPERLINK("https://propertylookup.dupagecounty.gov/Datalets/Datalet.aspx?UseSearch=no&amp;mode=sales&amp;pin=0124217037","sales record")</f>
        <v>sales record</v>
      </c>
      <c r="AC793" t="s">
        <v>3</v>
      </c>
      <c r="AD793">
        <v>41.937563</v>
      </c>
      <c r="AE793">
        <v>-88.148589</v>
      </c>
      <c r="AF793" s="5" t="str">
        <f>HYPERLINK("https://www.google.com/maps/search/?api=1&amp;query=41.937563,-88.148589","map")</f>
        <v>map</v>
      </c>
    </row>
    <row r="794" spans="1:32">
      <c r="A794" t="s">
        <v>844</v>
      </c>
      <c r="B794" t="s">
        <v>8424</v>
      </c>
      <c r="C794" t="s">
        <v>15198</v>
      </c>
      <c r="D794" t="s">
        <v>16197</v>
      </c>
      <c r="E794" t="s">
        <v>16217</v>
      </c>
      <c r="F794" t="s">
        <v>16220</v>
      </c>
      <c r="G794" t="s">
        <v>16238</v>
      </c>
      <c r="H794" t="s">
        <v>16238</v>
      </c>
      <c r="I794" t="s">
        <v>16314</v>
      </c>
      <c r="J794" t="s">
        <v>16385</v>
      </c>
      <c r="K794">
        <v>0.944</v>
      </c>
      <c r="L794">
        <v>41132</v>
      </c>
      <c r="N794" t="s">
        <v>16392</v>
      </c>
      <c r="O794" s="4">
        <v>148767</v>
      </c>
      <c r="P794" s="4">
        <v>0</v>
      </c>
      <c r="Q794" s="4">
        <v>148767</v>
      </c>
      <c r="R794" s="4">
        <v>446301</v>
      </c>
      <c r="S794" t="s">
        <v>17172</v>
      </c>
      <c r="T794" s="6">
        <v>43405</v>
      </c>
      <c r="U794" s="4">
        <v>0</v>
      </c>
      <c r="V794" t="s">
        <v>16232</v>
      </c>
      <c r="W794" t="s">
        <v>24122</v>
      </c>
      <c r="X794" t="s">
        <v>3</v>
      </c>
      <c r="AA794" s="5" t="str">
        <f>HYPERLINK("https://www.zillow.com/homes/1255-N-COUNTY-FARM-RD-CAROL-STREAM-IL-601884726_rb/","check listing")</f>
        <v>check listing</v>
      </c>
      <c r="AB794" s="5" t="str">
        <f>HYPERLINK("https://propertylookup.dupagecounty.gov/Datalets/Datalet.aspx?UseSearch=no&amp;mode=sales&amp;pin=0124217036","sales record")</f>
        <v>sales record</v>
      </c>
      <c r="AC794" t="s">
        <v>3</v>
      </c>
      <c r="AD794">
        <v>41.937636</v>
      </c>
      <c r="AE794">
        <v>-88.149162</v>
      </c>
      <c r="AF794" s="5" t="str">
        <f>HYPERLINK("https://www.google.com/maps/search/?api=1&amp;query=41.937636,-88.149162","map")</f>
        <v>map</v>
      </c>
    </row>
    <row r="795" spans="1:32">
      <c r="A795" t="s">
        <v>845</v>
      </c>
      <c r="B795" t="s">
        <v>8425</v>
      </c>
      <c r="C795" t="s">
        <v>15198</v>
      </c>
      <c r="D795" t="s">
        <v>16197</v>
      </c>
      <c r="E795" t="s">
        <v>16217</v>
      </c>
      <c r="F795" t="s">
        <v>16220</v>
      </c>
      <c r="G795" t="s">
        <v>16238</v>
      </c>
      <c r="H795" t="s">
        <v>16238</v>
      </c>
      <c r="I795" t="s">
        <v>16314</v>
      </c>
      <c r="J795" t="s">
        <v>16385</v>
      </c>
      <c r="K795">
        <v>0.795</v>
      </c>
      <c r="L795">
        <v>34635</v>
      </c>
      <c r="N795" t="s">
        <v>16392</v>
      </c>
      <c r="O795" s="4">
        <v>33271</v>
      </c>
      <c r="P795" s="4">
        <v>0</v>
      </c>
      <c r="Q795" s="4">
        <v>33271</v>
      </c>
      <c r="R795" s="4">
        <v>99813</v>
      </c>
      <c r="S795" t="s">
        <v>17172</v>
      </c>
      <c r="X795" t="s">
        <v>3</v>
      </c>
      <c r="AA795" s="5" t="str">
        <f>HYPERLINK("https://www.zillow.com/homes/1263-N-COUNTY-FARM-RD-CAROL-STREAM-IL-601884726_rb/","check listing")</f>
        <v>check listing</v>
      </c>
      <c r="AB795" s="5" t="str">
        <f>HYPERLINK("https://propertylookup.dupagecounty.gov/Datalets/Datalet.aspx?UseSearch=no&amp;mode=sales&amp;pin=0124217038","sales record")</f>
        <v>sales record</v>
      </c>
      <c r="AC795" t="s">
        <v>3</v>
      </c>
      <c r="AD795">
        <v>41.937565</v>
      </c>
      <c r="AE795">
        <v>-88.148022</v>
      </c>
      <c r="AF795" s="5" t="str">
        <f>HYPERLINK("https://www.google.com/maps/search/?api=1&amp;query=41.937565,-88.148022","map")</f>
        <v>map</v>
      </c>
    </row>
    <row r="796" spans="1:32">
      <c r="A796" t="s">
        <v>846</v>
      </c>
      <c r="B796" t="s">
        <v>8426</v>
      </c>
      <c r="C796" t="s">
        <v>15164</v>
      </c>
      <c r="D796" t="s">
        <v>16197</v>
      </c>
      <c r="E796" t="s">
        <v>16217</v>
      </c>
      <c r="F796" t="s">
        <v>16220</v>
      </c>
      <c r="G796" t="s">
        <v>16238</v>
      </c>
      <c r="H796" t="s">
        <v>16238</v>
      </c>
      <c r="I796" t="s">
        <v>16314</v>
      </c>
      <c r="J796" t="s">
        <v>16385</v>
      </c>
      <c r="K796">
        <v>0.447</v>
      </c>
      <c r="L796">
        <v>19482</v>
      </c>
      <c r="N796" t="s">
        <v>16392</v>
      </c>
      <c r="O796" s="4">
        <v>67953</v>
      </c>
      <c r="P796" s="4">
        <v>0</v>
      </c>
      <c r="Q796" s="4">
        <v>67953</v>
      </c>
      <c r="R796" s="4">
        <v>203859</v>
      </c>
      <c r="S796" t="s">
        <v>17173</v>
      </c>
      <c r="X796" t="s">
        <v>3</v>
      </c>
      <c r="AA796" s="5" t="str">
        <f>HYPERLINK("https://www.zillow.com/homes/360-S-MAIN-PL-CAROL-STREAM-IL-60188_rb/","check listing")</f>
        <v>check listing</v>
      </c>
      <c r="AB796" s="5" t="str">
        <f>HYPERLINK("https://propertylookup.dupagecounty.gov/Datalets/Datalet.aspx?UseSearch=no&amp;mode=sales&amp;pin=0504302022","sales record")</f>
        <v>sales record</v>
      </c>
      <c r="AC796" t="s">
        <v>27872</v>
      </c>
      <c r="AD796">
        <v>41.893843</v>
      </c>
      <c r="AE796">
        <v>-88.10806700000001</v>
      </c>
      <c r="AF796" s="5" t="str">
        <f>HYPERLINK("https://www.google.com/maps/search/?api=1&amp;query=41.893843,-88.108067","map")</f>
        <v>map</v>
      </c>
    </row>
    <row r="797" spans="1:32">
      <c r="A797" t="s">
        <v>847</v>
      </c>
      <c r="B797" t="s">
        <v>8427</v>
      </c>
      <c r="C797" t="s">
        <v>15164</v>
      </c>
      <c r="D797" t="s">
        <v>16197</v>
      </c>
      <c r="E797" t="s">
        <v>16217</v>
      </c>
      <c r="F797" t="s">
        <v>16220</v>
      </c>
      <c r="G797" t="s">
        <v>16238</v>
      </c>
      <c r="H797" t="s">
        <v>16238</v>
      </c>
      <c r="I797" t="s">
        <v>16314</v>
      </c>
      <c r="J797" t="s">
        <v>16385</v>
      </c>
      <c r="K797">
        <v>0.409</v>
      </c>
      <c r="L797">
        <v>17830</v>
      </c>
      <c r="N797" t="s">
        <v>16394</v>
      </c>
      <c r="O797" s="4">
        <v>38165</v>
      </c>
      <c r="P797" s="4">
        <v>0</v>
      </c>
      <c r="Q797" s="4">
        <v>38165</v>
      </c>
      <c r="R797" s="4">
        <v>114495</v>
      </c>
      <c r="S797" t="s">
        <v>17174</v>
      </c>
      <c r="T797" s="6">
        <v>40787</v>
      </c>
      <c r="U797" s="4">
        <v>515000</v>
      </c>
      <c r="V797" t="s">
        <v>23739</v>
      </c>
      <c r="W797" t="s">
        <v>24123</v>
      </c>
      <c r="X797" t="s">
        <v>3</v>
      </c>
      <c r="AA797" s="5" t="str">
        <f>HYPERLINK("https://www.zillow.com/homes/380-S-MAIN-PL-CAROL-STREAM-IL-60188_rb/","check listing")</f>
        <v>check listing</v>
      </c>
      <c r="AB797" s="5" t="str">
        <f>HYPERLINK("https://propertylookup.dupagecounty.gov/Datalets/Datalet.aspx?UseSearch=no&amp;mode=sales&amp;pin=0504302017","sales record")</f>
        <v>sales record</v>
      </c>
      <c r="AC797" t="s">
        <v>27872</v>
      </c>
      <c r="AD797">
        <v>41.893058</v>
      </c>
      <c r="AE797">
        <v>-88.10777</v>
      </c>
      <c r="AF797" s="5" t="str">
        <f>HYPERLINK("https://www.google.com/maps/search/?api=1&amp;query=41.893058,-88.10777","map")</f>
        <v>map</v>
      </c>
    </row>
    <row r="798" spans="1:32">
      <c r="A798" t="s">
        <v>848</v>
      </c>
      <c r="B798" t="s">
        <v>8428</v>
      </c>
      <c r="C798" t="s">
        <v>15199</v>
      </c>
      <c r="D798" t="s">
        <v>26</v>
      </c>
      <c r="E798" t="s">
        <v>16218</v>
      </c>
      <c r="F798" t="s">
        <v>16222</v>
      </c>
      <c r="G798" t="s">
        <v>16239</v>
      </c>
      <c r="H798" t="s">
        <v>16302</v>
      </c>
      <c r="I798" t="s">
        <v>16315</v>
      </c>
      <c r="J798" t="s">
        <v>16387</v>
      </c>
      <c r="K798">
        <v>0.407</v>
      </c>
      <c r="L798">
        <v>17734</v>
      </c>
      <c r="M798">
        <v>751</v>
      </c>
      <c r="N798" t="s">
        <v>16393</v>
      </c>
      <c r="O798" s="4">
        <v>104157</v>
      </c>
      <c r="P798" s="4">
        <v>30212</v>
      </c>
      <c r="Q798" s="4">
        <v>134369</v>
      </c>
      <c r="R798" s="4">
        <v>403107</v>
      </c>
      <c r="S798" t="s">
        <v>17175</v>
      </c>
      <c r="X798" t="s">
        <v>3</v>
      </c>
      <c r="AA798" s="5" t="str">
        <f>HYPERLINK("https://www.zillow.com/homes/401-55TH-ST-CLARENDON-HILLS-IL-60514_rb/","check listing")</f>
        <v>check listing</v>
      </c>
      <c r="AB798" s="5" t="str">
        <f>HYPERLINK("https://propertylookup.dupagecounty.gov/Datalets/Datalet.aspx?UseSearch=no&amp;mode=sales&amp;pin=0915200007","sales record")</f>
        <v>sales record</v>
      </c>
      <c r="AC798" t="s">
        <v>3</v>
      </c>
      <c r="AD798">
        <v>41.787744</v>
      </c>
      <c r="AE798">
        <v>-87.963267</v>
      </c>
      <c r="AF798" s="5" t="str">
        <f>HYPERLINK("https://www.google.com/maps/search/?api=1&amp;query=41.787744,-87.963267","map")</f>
        <v>map</v>
      </c>
    </row>
    <row r="799" spans="1:32">
      <c r="A799" t="s">
        <v>849</v>
      </c>
      <c r="B799" t="s">
        <v>8429</v>
      </c>
      <c r="C799" t="s">
        <v>15199</v>
      </c>
      <c r="D799" t="s">
        <v>26</v>
      </c>
      <c r="E799" t="s">
        <v>16217</v>
      </c>
      <c r="F799" t="s">
        <v>16222</v>
      </c>
      <c r="G799" t="s">
        <v>16239</v>
      </c>
      <c r="H799" t="s">
        <v>16302</v>
      </c>
      <c r="I799" t="s">
        <v>16315</v>
      </c>
      <c r="J799" t="s">
        <v>16387</v>
      </c>
      <c r="K799">
        <v>2.306</v>
      </c>
      <c r="L799">
        <v>100448</v>
      </c>
      <c r="M799">
        <v>32680</v>
      </c>
      <c r="N799" t="s">
        <v>16392</v>
      </c>
      <c r="O799" s="4">
        <v>774173</v>
      </c>
      <c r="P799" s="4">
        <v>0</v>
      </c>
      <c r="Q799" s="4">
        <v>774173</v>
      </c>
      <c r="R799" s="4">
        <v>2322519</v>
      </c>
      <c r="S799" t="s">
        <v>17176</v>
      </c>
      <c r="X799" t="s">
        <v>3</v>
      </c>
      <c r="AA799" s="5" t="str">
        <f>HYPERLINK("https://www.zillow.com/homes/419-OGDEN-AVE-CLARENDON-HILLS-IL-60514_rb/","check listing")</f>
        <v>check listing</v>
      </c>
      <c r="AB799" s="5" t="str">
        <f>HYPERLINK("https://propertylookup.dupagecounty.gov/Datalets/Datalet.aspx?UseSearch=no&amp;mode=sales&amp;pin=0903403031","sales record")</f>
        <v>sales record</v>
      </c>
      <c r="AC799" t="s">
        <v>27871</v>
      </c>
      <c r="AD799">
        <v>41.809615</v>
      </c>
      <c r="AE799">
        <v>-87.962417</v>
      </c>
      <c r="AF799" s="5" t="str">
        <f>HYPERLINK("https://www.google.com/maps/search/?api=1&amp;query=41.809615,-87.962417","map")</f>
        <v>map</v>
      </c>
    </row>
    <row r="800" spans="1:32">
      <c r="A800" t="s">
        <v>850</v>
      </c>
      <c r="B800" t="s">
        <v>8430</v>
      </c>
      <c r="C800" t="s">
        <v>15199</v>
      </c>
      <c r="D800" t="s">
        <v>26</v>
      </c>
      <c r="E800" t="s">
        <v>16217</v>
      </c>
      <c r="F800" t="s">
        <v>16222</v>
      </c>
      <c r="G800" t="s">
        <v>16239</v>
      </c>
      <c r="H800" t="s">
        <v>16302</v>
      </c>
      <c r="I800" t="s">
        <v>16315</v>
      </c>
      <c r="J800" t="s">
        <v>16387</v>
      </c>
      <c r="K800">
        <v>0.899</v>
      </c>
      <c r="L800">
        <v>39163</v>
      </c>
      <c r="N800" t="s">
        <v>16392</v>
      </c>
      <c r="O800" s="4">
        <v>144956</v>
      </c>
      <c r="P800" s="4">
        <v>0</v>
      </c>
      <c r="Q800" s="4">
        <v>144956</v>
      </c>
      <c r="R800" s="4">
        <v>434868</v>
      </c>
      <c r="S800" t="s">
        <v>17177</v>
      </c>
      <c r="X800" t="s">
        <v>3</v>
      </c>
      <c r="AA800" s="5" t="str">
        <f>HYPERLINK("https://www.zillow.com/homes/215-55TH-ST-CLARENDON-HILLS-IL-60514_rb/","check listing")</f>
        <v>check listing</v>
      </c>
      <c r="AB800" s="5" t="str">
        <f>HYPERLINK("https://propertylookup.dupagecounty.gov/Datalets/Datalet.aspx?UseSearch=no&amp;mode=sales&amp;pin=0914100059","sales record")</f>
        <v>sales record</v>
      </c>
      <c r="AC800" t="s">
        <v>27872</v>
      </c>
      <c r="AD800">
        <v>41.787181</v>
      </c>
      <c r="AE800">
        <v>-87.95333599999999</v>
      </c>
      <c r="AF800" s="5" t="str">
        <f>HYPERLINK("https://www.google.com/maps/search/?api=1&amp;query=41.787181,-87.953336","map")</f>
        <v>map</v>
      </c>
    </row>
    <row r="801" spans="1:32">
      <c r="A801" t="s">
        <v>851</v>
      </c>
      <c r="B801" t="s">
        <v>8428</v>
      </c>
      <c r="C801" t="s">
        <v>15199</v>
      </c>
      <c r="D801" t="s">
        <v>26</v>
      </c>
      <c r="E801" t="s">
        <v>16217</v>
      </c>
      <c r="F801" t="s">
        <v>16222</v>
      </c>
      <c r="G801" t="s">
        <v>16239</v>
      </c>
      <c r="H801" t="s">
        <v>16302</v>
      </c>
      <c r="I801" t="s">
        <v>16315</v>
      </c>
      <c r="J801" t="s">
        <v>16387</v>
      </c>
      <c r="K801">
        <v>0.82</v>
      </c>
      <c r="L801">
        <v>35708</v>
      </c>
      <c r="N801" t="s">
        <v>16392</v>
      </c>
      <c r="O801" s="4">
        <v>171823</v>
      </c>
      <c r="P801" s="4">
        <v>0</v>
      </c>
      <c r="Q801" s="4">
        <v>171823</v>
      </c>
      <c r="R801" s="4">
        <v>515469</v>
      </c>
      <c r="S801" t="s">
        <v>17175</v>
      </c>
      <c r="T801" s="6">
        <v>41640</v>
      </c>
      <c r="U801" s="4">
        <v>775000</v>
      </c>
      <c r="V801" t="s">
        <v>23742</v>
      </c>
      <c r="W801" t="s">
        <v>24124</v>
      </c>
      <c r="X801" t="s">
        <v>3</v>
      </c>
      <c r="AA801" s="5" t="str">
        <f>HYPERLINK("https://www.zillow.com/homes/401-55TH-ST-CLARENDON-HILLS-IL-60514_rb/","check listing")</f>
        <v>check listing</v>
      </c>
      <c r="AB801" s="5" t="str">
        <f>HYPERLINK("https://propertylookup.dupagecounty.gov/Datalets/Datalet.aspx?UseSearch=no&amp;mode=sales&amp;pin=0915200005","sales record")</f>
        <v>sales record</v>
      </c>
      <c r="AC801" t="s">
        <v>27872</v>
      </c>
      <c r="AD801">
        <v>41.78774</v>
      </c>
      <c r="AE801">
        <v>-87.963706</v>
      </c>
      <c r="AF801" s="5" t="str">
        <f>HYPERLINK("https://www.google.com/maps/search/?api=1&amp;query=41.78774,-87.963706","map")</f>
        <v>map</v>
      </c>
    </row>
    <row r="802" spans="1:32">
      <c r="A802" t="s">
        <v>852</v>
      </c>
      <c r="B802" t="s">
        <v>8431</v>
      </c>
      <c r="C802" t="s">
        <v>15199</v>
      </c>
      <c r="D802" t="s">
        <v>26</v>
      </c>
      <c r="E802" t="s">
        <v>16217</v>
      </c>
      <c r="F802" t="s">
        <v>16222</v>
      </c>
      <c r="G802" t="s">
        <v>16239</v>
      </c>
      <c r="H802" t="s">
        <v>16302</v>
      </c>
      <c r="I802" t="s">
        <v>16315</v>
      </c>
      <c r="J802" t="s">
        <v>16387</v>
      </c>
      <c r="K802">
        <v>0.5580000000000001</v>
      </c>
      <c r="L802">
        <v>24301</v>
      </c>
      <c r="N802" t="s">
        <v>16392</v>
      </c>
      <c r="O802" s="4">
        <v>111563</v>
      </c>
      <c r="P802" s="4">
        <v>0</v>
      </c>
      <c r="Q802" s="4">
        <v>111563</v>
      </c>
      <c r="R802" s="4">
        <v>334689</v>
      </c>
      <c r="S802" t="s">
        <v>17178</v>
      </c>
      <c r="X802" t="s">
        <v>3</v>
      </c>
      <c r="AA802" s="5" t="str">
        <f>HYPERLINK("https://www.zillow.com/homes/241-W-55TH-ST-CLARENDON-HILLS-IL-60514_rb/","check listing")</f>
        <v>check listing</v>
      </c>
      <c r="AB802" s="5" t="str">
        <f>HYPERLINK("https://propertylookup.dupagecounty.gov/Datalets/Datalet.aspx?UseSearch=no&amp;mode=sales&amp;pin=0914100020","sales record")</f>
        <v>sales record</v>
      </c>
      <c r="AC802" t="s">
        <v>27872</v>
      </c>
      <c r="AD802">
        <v>41.788001</v>
      </c>
      <c r="AE802">
        <v>-87.95504200000001</v>
      </c>
      <c r="AF802" s="5" t="str">
        <f>HYPERLINK("https://www.google.com/maps/search/?api=1&amp;query=41.788001,-87.955042","map")</f>
        <v>map</v>
      </c>
    </row>
    <row r="803" spans="1:32">
      <c r="A803" t="s">
        <v>853</v>
      </c>
      <c r="B803" t="s">
        <v>8428</v>
      </c>
      <c r="C803" t="s">
        <v>15199</v>
      </c>
      <c r="D803" t="s">
        <v>26</v>
      </c>
      <c r="E803" t="s">
        <v>16217</v>
      </c>
      <c r="F803" t="s">
        <v>16222</v>
      </c>
      <c r="G803" t="s">
        <v>16239</v>
      </c>
      <c r="H803" t="s">
        <v>16302</v>
      </c>
      <c r="I803" t="s">
        <v>16315</v>
      </c>
      <c r="J803" t="s">
        <v>16387</v>
      </c>
      <c r="K803">
        <v>0.413</v>
      </c>
      <c r="L803">
        <v>17974</v>
      </c>
      <c r="M803">
        <v>2023</v>
      </c>
      <c r="N803" t="s">
        <v>16392</v>
      </c>
      <c r="O803" s="4">
        <v>86505</v>
      </c>
      <c r="P803" s="4">
        <v>0</v>
      </c>
      <c r="Q803" s="4">
        <v>86505</v>
      </c>
      <c r="R803" s="4">
        <v>259515</v>
      </c>
      <c r="S803" t="s">
        <v>17175</v>
      </c>
      <c r="T803" s="6">
        <v>31413</v>
      </c>
      <c r="U803" s="4">
        <v>440000</v>
      </c>
      <c r="X803" t="s">
        <v>3</v>
      </c>
      <c r="AA803" s="5" t="str">
        <f>HYPERLINK("https://www.zillow.com/homes/401-55TH-ST-CLARENDON-HILLS-IL-60514_rb/","check listing")</f>
        <v>check listing</v>
      </c>
      <c r="AB803" s="5" t="str">
        <f>HYPERLINK("https://propertylookup.dupagecounty.gov/Datalets/Datalet.aspx?UseSearch=no&amp;mode=sales&amp;pin=0915200006","sales record")</f>
        <v>sales record</v>
      </c>
      <c r="AC803" t="s">
        <v>27871</v>
      </c>
      <c r="AD803">
        <v>41.788152</v>
      </c>
      <c r="AE803">
        <v>-87.96328099999999</v>
      </c>
      <c r="AF803" s="5" t="str">
        <f>HYPERLINK("https://www.google.com/maps/search/?api=1&amp;query=41.788152,-87.963281","map")</f>
        <v>map</v>
      </c>
    </row>
    <row r="804" spans="1:32">
      <c r="A804" t="s">
        <v>854</v>
      </c>
      <c r="B804" t="s">
        <v>8432</v>
      </c>
      <c r="C804" t="s">
        <v>15199</v>
      </c>
      <c r="D804" t="s">
        <v>26</v>
      </c>
      <c r="E804" t="s">
        <v>16217</v>
      </c>
      <c r="F804" t="s">
        <v>16222</v>
      </c>
      <c r="G804" t="s">
        <v>16239</v>
      </c>
      <c r="H804" t="s">
        <v>16302</v>
      </c>
      <c r="I804" t="s">
        <v>16315</v>
      </c>
      <c r="J804" t="s">
        <v>16387</v>
      </c>
      <c r="K804">
        <v>0.301</v>
      </c>
      <c r="L804">
        <v>13094</v>
      </c>
      <c r="N804" t="s">
        <v>16392</v>
      </c>
      <c r="O804" s="4">
        <v>119263</v>
      </c>
      <c r="P804" s="4">
        <v>0</v>
      </c>
      <c r="Q804" s="4">
        <v>119263</v>
      </c>
      <c r="R804" s="4">
        <v>357789</v>
      </c>
      <c r="S804" t="s">
        <v>17179</v>
      </c>
      <c r="T804" s="6">
        <v>42614</v>
      </c>
      <c r="U804" s="4">
        <v>725000</v>
      </c>
      <c r="V804" t="s">
        <v>16232</v>
      </c>
      <c r="W804" t="s">
        <v>17179</v>
      </c>
      <c r="X804" t="s">
        <v>3</v>
      </c>
      <c r="AA804" s="5" t="str">
        <f>HYPERLINK("https://www.zillow.com/homes/200-PARK-AVE-CLARENDON-HILLS-IL-60514_rb/","check listing")</f>
        <v>check listing</v>
      </c>
      <c r="AB804" s="5" t="str">
        <f>HYPERLINK("https://propertylookup.dupagecounty.gov/Datalets/Datalet.aspx?UseSearch=no&amp;mode=sales&amp;pin=0911302001","sales record")</f>
        <v>sales record</v>
      </c>
      <c r="AC804" t="s">
        <v>27872</v>
      </c>
      <c r="AD804">
        <v>41.795272</v>
      </c>
      <c r="AE804">
        <v>-87.955012</v>
      </c>
      <c r="AF804" s="5" t="str">
        <f>HYPERLINK("https://www.google.com/maps/search/?api=1&amp;query=41.795272,-87.955012","map")</f>
        <v>map</v>
      </c>
    </row>
    <row r="805" spans="1:32">
      <c r="A805" t="s">
        <v>855</v>
      </c>
      <c r="B805" t="s">
        <v>8433</v>
      </c>
      <c r="C805" t="s">
        <v>15199</v>
      </c>
      <c r="D805" t="s">
        <v>26</v>
      </c>
      <c r="E805" t="s">
        <v>16217</v>
      </c>
      <c r="F805" t="s">
        <v>16222</v>
      </c>
      <c r="G805" t="s">
        <v>16239</v>
      </c>
      <c r="H805" t="s">
        <v>16302</v>
      </c>
      <c r="I805" t="s">
        <v>16315</v>
      </c>
      <c r="J805" t="s">
        <v>16387</v>
      </c>
      <c r="K805">
        <v>0.108</v>
      </c>
      <c r="L805">
        <v>4722</v>
      </c>
      <c r="N805" t="s">
        <v>16392</v>
      </c>
      <c r="O805" s="4">
        <v>82749</v>
      </c>
      <c r="P805" s="4">
        <v>0</v>
      </c>
      <c r="Q805" s="4">
        <v>82749</v>
      </c>
      <c r="R805" s="4">
        <v>248247</v>
      </c>
      <c r="S805" t="s">
        <v>17180</v>
      </c>
      <c r="T805" s="6">
        <v>40452</v>
      </c>
      <c r="U805" s="4">
        <v>2502000</v>
      </c>
      <c r="V805" t="s">
        <v>23740</v>
      </c>
      <c r="W805" t="s">
        <v>24125</v>
      </c>
      <c r="X805" t="s">
        <v>3</v>
      </c>
      <c r="AA805" s="5" t="str">
        <f>HYPERLINK("https://www.zillow.com/homes/4-WALKER-AVE-CLARENDON-HILLS-IL-60514_rb/","check listing")</f>
        <v>check listing</v>
      </c>
      <c r="AB805" s="5" t="str">
        <f>HYPERLINK("https://propertylookup.dupagecounty.gov/Datalets/Datalet.aspx?UseSearch=no&amp;mode=sales&amp;pin=0910226006","sales record")</f>
        <v>sales record</v>
      </c>
      <c r="AC805" t="s">
        <v>27872</v>
      </c>
      <c r="AD805">
        <v>41.796209</v>
      </c>
      <c r="AE805">
        <v>-87.956616</v>
      </c>
      <c r="AF805" s="5" t="str">
        <f>HYPERLINK("https://www.google.com/maps/search/?api=1&amp;query=41.796209,-87.956616","map")</f>
        <v>map</v>
      </c>
    </row>
    <row r="806" spans="1:32">
      <c r="A806" t="s">
        <v>856</v>
      </c>
      <c r="B806" t="s">
        <v>8434</v>
      </c>
      <c r="C806" t="s">
        <v>15199</v>
      </c>
      <c r="D806" t="s">
        <v>26</v>
      </c>
      <c r="E806" t="s">
        <v>16217</v>
      </c>
      <c r="F806" t="s">
        <v>16222</v>
      </c>
      <c r="G806" t="s">
        <v>16239</v>
      </c>
      <c r="H806" t="s">
        <v>16302</v>
      </c>
      <c r="I806" t="s">
        <v>16315</v>
      </c>
      <c r="J806" t="s">
        <v>16387</v>
      </c>
      <c r="K806">
        <v>0.063</v>
      </c>
      <c r="L806">
        <v>2727</v>
      </c>
      <c r="N806" t="s">
        <v>16392</v>
      </c>
      <c r="O806" s="4">
        <v>40342</v>
      </c>
      <c r="P806" s="4">
        <v>0</v>
      </c>
      <c r="Q806" s="4">
        <v>40342</v>
      </c>
      <c r="R806" s="4">
        <v>121026</v>
      </c>
      <c r="S806" t="s">
        <v>17181</v>
      </c>
      <c r="X806" t="s">
        <v>3</v>
      </c>
      <c r="AA806" s="5" t="str">
        <f>HYPERLINK("https://www.zillow.com/homes/99-PARK-AVE-CLARENDON-HILLS-IL-60514_rb/","check listing")</f>
        <v>check listing</v>
      </c>
      <c r="AB806" s="5" t="str">
        <f>HYPERLINK("https://propertylookup.dupagecounty.gov/Datalets/Datalet.aspx?UseSearch=no&amp;mode=sales&amp;pin=0911109010","sales record")</f>
        <v>sales record</v>
      </c>
      <c r="AC806" t="s">
        <v>3</v>
      </c>
      <c r="AD806">
        <v>41.796088</v>
      </c>
      <c r="AE806">
        <v>-87.953586</v>
      </c>
      <c r="AF806" s="5" t="str">
        <f>HYPERLINK("https://www.google.com/maps/search/?api=1&amp;query=41.796088,-87.953586","map")</f>
        <v>map</v>
      </c>
    </row>
    <row r="807" spans="1:32">
      <c r="A807" t="s">
        <v>857</v>
      </c>
      <c r="B807" t="s">
        <v>8435</v>
      </c>
      <c r="C807" t="s">
        <v>15200</v>
      </c>
      <c r="D807" t="s">
        <v>26</v>
      </c>
      <c r="E807" t="s">
        <v>16218</v>
      </c>
      <c r="F807" t="s">
        <v>16220</v>
      </c>
      <c r="G807" t="s">
        <v>16240</v>
      </c>
      <c r="H807" t="s">
        <v>16303</v>
      </c>
      <c r="I807" t="s">
        <v>16316</v>
      </c>
      <c r="J807" t="s">
        <v>16385</v>
      </c>
      <c r="K807">
        <v>0.076</v>
      </c>
      <c r="L807">
        <v>3301</v>
      </c>
      <c r="M807">
        <v>1471</v>
      </c>
      <c r="N807" t="s">
        <v>16393</v>
      </c>
      <c r="O807" s="4">
        <v>42173</v>
      </c>
      <c r="P807" s="4">
        <v>166987</v>
      </c>
      <c r="Q807" s="4">
        <v>209160</v>
      </c>
      <c r="R807" s="4">
        <v>627480</v>
      </c>
      <c r="S807" t="s">
        <v>17182</v>
      </c>
      <c r="T807" s="6">
        <v>43525</v>
      </c>
      <c r="U807" s="4">
        <v>506000</v>
      </c>
      <c r="V807" t="s">
        <v>23740</v>
      </c>
      <c r="W807" t="s">
        <v>24126</v>
      </c>
      <c r="X807" t="s">
        <v>3</v>
      </c>
      <c r="AA807" s="5" t="str">
        <f>HYPERLINK("https://www.zillow.com/homes/401-COMMONS-CIR-CLARENDON-HILLS-IL-605142723_rb/","check listing")</f>
        <v>check listing</v>
      </c>
      <c r="AB807" s="5" t="str">
        <f>HYPERLINK("https://propertylookup.dupagecounty.gov/Datalets/Datalet.aspx?UseSearch=no&amp;mode=sales&amp;pin=0910414023","sales record")</f>
        <v>sales record</v>
      </c>
      <c r="AC807" t="s">
        <v>27873</v>
      </c>
      <c r="AD807">
        <v>41.795174</v>
      </c>
      <c r="AE807">
        <v>-87.962738</v>
      </c>
      <c r="AF807" s="5" t="str">
        <f>HYPERLINK("https://www.google.com/maps/search/?api=1&amp;query=41.795174,-87.962738","map")</f>
        <v>map</v>
      </c>
    </row>
    <row r="808" spans="1:32">
      <c r="A808" t="s">
        <v>858</v>
      </c>
      <c r="B808" t="s">
        <v>8436</v>
      </c>
      <c r="C808" t="s">
        <v>15201</v>
      </c>
      <c r="D808" t="s">
        <v>16198</v>
      </c>
      <c r="E808" t="s">
        <v>16218</v>
      </c>
      <c r="F808" t="s">
        <v>16221</v>
      </c>
      <c r="G808" t="s">
        <v>16241</v>
      </c>
      <c r="H808" t="s">
        <v>16241</v>
      </c>
      <c r="I808" t="s">
        <v>16317</v>
      </c>
      <c r="J808" t="s">
        <v>16385</v>
      </c>
      <c r="K808">
        <v>1.276</v>
      </c>
      <c r="L808">
        <v>55575</v>
      </c>
      <c r="M808">
        <v>1621</v>
      </c>
      <c r="N808" t="s">
        <v>16393</v>
      </c>
      <c r="O808" s="4">
        <v>86657</v>
      </c>
      <c r="P808" s="4">
        <v>33710</v>
      </c>
      <c r="Q808" s="4">
        <v>120367</v>
      </c>
      <c r="R808" s="4">
        <v>361101</v>
      </c>
      <c r="S808" t="s">
        <v>17183</v>
      </c>
      <c r="X808" t="s">
        <v>3</v>
      </c>
      <c r="AA808" s="5" t="str">
        <f>HYPERLINK("https://www.zillow.com/homes/7706-S-CASS-AVE-DARIEN-IL-60561_rb/","check listing")</f>
        <v>check listing</v>
      </c>
      <c r="AB808" s="5" t="str">
        <f>HYPERLINK("https://propertylookup.dupagecounty.gov/Datalets/Datalet.aspx?UseSearch=no&amp;mode=sales&amp;pin=0928410044","sales record")</f>
        <v>sales record</v>
      </c>
      <c r="AC808" t="s">
        <v>3</v>
      </c>
      <c r="AD808">
        <v>41.748559</v>
      </c>
      <c r="AE808">
        <v>-87.975095</v>
      </c>
      <c r="AF808" s="5" t="str">
        <f>HYPERLINK("https://www.google.com/maps/search/?api=1&amp;query=41.748559,-87.975095","map")</f>
        <v>map</v>
      </c>
    </row>
    <row r="809" spans="1:32">
      <c r="A809" t="s">
        <v>859</v>
      </c>
      <c r="B809" t="s">
        <v>8437</v>
      </c>
      <c r="C809" t="s">
        <v>15201</v>
      </c>
      <c r="D809" t="s">
        <v>16198</v>
      </c>
      <c r="E809" t="s">
        <v>16218</v>
      </c>
      <c r="F809" t="s">
        <v>16221</v>
      </c>
      <c r="G809" t="s">
        <v>16241</v>
      </c>
      <c r="H809" t="s">
        <v>16241</v>
      </c>
      <c r="I809" t="s">
        <v>16317</v>
      </c>
      <c r="J809" t="s">
        <v>16385</v>
      </c>
      <c r="K809">
        <v>0.652</v>
      </c>
      <c r="L809">
        <v>28414</v>
      </c>
      <c r="M809">
        <v>3489</v>
      </c>
      <c r="N809" t="s">
        <v>16393</v>
      </c>
      <c r="O809" s="4">
        <v>95319</v>
      </c>
      <c r="P809" s="4">
        <v>132562</v>
      </c>
      <c r="Q809" s="4">
        <v>227881</v>
      </c>
      <c r="R809" s="4">
        <v>683643</v>
      </c>
      <c r="S809" t="s">
        <v>17184</v>
      </c>
      <c r="T809" s="6">
        <v>38930</v>
      </c>
      <c r="U809" s="4">
        <v>510000</v>
      </c>
      <c r="V809" t="s">
        <v>23739</v>
      </c>
      <c r="W809" t="s">
        <v>17184</v>
      </c>
      <c r="X809" t="s">
        <v>3</v>
      </c>
      <c r="AA809" s="5" t="str">
        <f>HYPERLINK("https://www.zillow.com/homes/1601-LAKEVIEW-DR-DARIEN-IL-60561_rb/","check listing")</f>
        <v>check listing</v>
      </c>
      <c r="AB809" s="5" t="str">
        <f>HYPERLINK("https://propertylookup.dupagecounty.gov/Datalets/Datalet.aspx?UseSearch=no&amp;mode=sales&amp;pin=0933112048","sales record")</f>
        <v>sales record</v>
      </c>
      <c r="AC809" t="s">
        <v>3</v>
      </c>
      <c r="AD809">
        <v>41.738518</v>
      </c>
      <c r="AE809">
        <v>-87.983767</v>
      </c>
      <c r="AF809" s="5" t="str">
        <f>HYPERLINK("https://www.google.com/maps/search/?api=1&amp;query=41.738518,-87.983767","map")</f>
        <v>map</v>
      </c>
    </row>
    <row r="810" spans="1:32">
      <c r="A810" t="s">
        <v>860</v>
      </c>
      <c r="B810" t="s">
        <v>8438</v>
      </c>
      <c r="C810" t="s">
        <v>15201</v>
      </c>
      <c r="D810" t="s">
        <v>16198</v>
      </c>
      <c r="E810" t="s">
        <v>16218</v>
      </c>
      <c r="F810" t="s">
        <v>16221</v>
      </c>
      <c r="G810" t="s">
        <v>16241</v>
      </c>
      <c r="H810" t="s">
        <v>16241</v>
      </c>
      <c r="I810" t="s">
        <v>16317</v>
      </c>
      <c r="J810" t="s">
        <v>16385</v>
      </c>
      <c r="K810">
        <v>0.634</v>
      </c>
      <c r="L810">
        <v>27629</v>
      </c>
      <c r="M810">
        <v>5033</v>
      </c>
      <c r="N810" t="s">
        <v>16393</v>
      </c>
      <c r="O810" s="4">
        <v>92080</v>
      </c>
      <c r="P810" s="4">
        <v>266391</v>
      </c>
      <c r="Q810" s="4">
        <v>358471</v>
      </c>
      <c r="R810" s="4">
        <v>1075413</v>
      </c>
      <c r="S810" t="s">
        <v>17185</v>
      </c>
      <c r="T810" s="6">
        <v>32629</v>
      </c>
      <c r="U810" s="4">
        <v>155000</v>
      </c>
      <c r="X810" t="s">
        <v>3</v>
      </c>
      <c r="AA810" s="5" t="str">
        <f>HYPERLINK("https://www.zillow.com/homes/1501-ROYAL-OAK-DR-DARIEN-IL-60561_rb/","check listing")</f>
        <v>check listing</v>
      </c>
      <c r="AB810" s="5" t="str">
        <f>HYPERLINK("https://propertylookup.dupagecounty.gov/Datalets/Datalet.aspx?UseSearch=no&amp;mode=sales&amp;pin=0933304009","sales record")</f>
        <v>sales record</v>
      </c>
      <c r="AC810" t="s">
        <v>3</v>
      </c>
      <c r="AD810">
        <v>41.729921</v>
      </c>
      <c r="AE810">
        <v>-87.98399000000001</v>
      </c>
      <c r="AF810" s="5" t="str">
        <f>HYPERLINK("https://www.google.com/maps/search/?api=1&amp;query=41.729921,-87.98399","map")</f>
        <v>map</v>
      </c>
    </row>
    <row r="811" spans="1:32">
      <c r="A811" t="s">
        <v>861</v>
      </c>
      <c r="B811" t="s">
        <v>8439</v>
      </c>
      <c r="C811" t="s">
        <v>15201</v>
      </c>
      <c r="D811" t="s">
        <v>16198</v>
      </c>
      <c r="E811" t="s">
        <v>16218</v>
      </c>
      <c r="F811" t="s">
        <v>16221</v>
      </c>
      <c r="G811" t="s">
        <v>16241</v>
      </c>
      <c r="H811" t="s">
        <v>16241</v>
      </c>
      <c r="I811" t="s">
        <v>16317</v>
      </c>
      <c r="J811" t="s">
        <v>16385</v>
      </c>
      <c r="K811">
        <v>0.634</v>
      </c>
      <c r="L811">
        <v>27604</v>
      </c>
      <c r="M811">
        <v>1936</v>
      </c>
      <c r="N811" t="s">
        <v>16393</v>
      </c>
      <c r="O811" s="4">
        <v>87103</v>
      </c>
      <c r="P811" s="4">
        <v>138043</v>
      </c>
      <c r="Q811" s="4">
        <v>225146</v>
      </c>
      <c r="R811" s="4">
        <v>675438</v>
      </c>
      <c r="S811" t="s">
        <v>17186</v>
      </c>
      <c r="X811" t="s">
        <v>3</v>
      </c>
      <c r="AA811" s="5" t="str">
        <f>HYPERLINK("https://www.zillow.com/homes/8113-OAKLEY-DR-DARIEN-IL-60561_rb/","check listing")</f>
        <v>check listing</v>
      </c>
      <c r="AB811" s="5" t="str">
        <f>HYPERLINK("https://propertylookup.dupagecounty.gov/Datalets/Datalet.aspx?UseSearch=no&amp;mode=sales&amp;pin=0933112051","sales record")</f>
        <v>sales record</v>
      </c>
      <c r="AC811" t="s">
        <v>3</v>
      </c>
      <c r="AD811">
        <v>41.737866</v>
      </c>
      <c r="AE811">
        <v>-87.983796</v>
      </c>
      <c r="AF811" s="5" t="str">
        <f>HYPERLINK("https://www.google.com/maps/search/?api=1&amp;query=41.737866,-87.983796","map")</f>
        <v>map</v>
      </c>
    </row>
    <row r="812" spans="1:32">
      <c r="A812" t="s">
        <v>862</v>
      </c>
      <c r="B812" t="s">
        <v>8440</v>
      </c>
      <c r="C812" t="s">
        <v>15201</v>
      </c>
      <c r="D812" t="s">
        <v>16198</v>
      </c>
      <c r="E812" t="s">
        <v>16218</v>
      </c>
      <c r="F812" t="s">
        <v>16221</v>
      </c>
      <c r="G812" t="s">
        <v>16241</v>
      </c>
      <c r="H812" t="s">
        <v>16241</v>
      </c>
      <c r="I812" t="s">
        <v>16317</v>
      </c>
      <c r="J812" t="s">
        <v>16385</v>
      </c>
      <c r="K812">
        <v>0.616</v>
      </c>
      <c r="L812">
        <v>26828</v>
      </c>
      <c r="M812">
        <v>2666</v>
      </c>
      <c r="N812" t="s">
        <v>16393</v>
      </c>
      <c r="O812" s="4">
        <v>105505</v>
      </c>
      <c r="P812" s="4">
        <v>16460</v>
      </c>
      <c r="Q812" s="4">
        <v>121965</v>
      </c>
      <c r="R812" s="4">
        <v>365895</v>
      </c>
      <c r="S812" t="s">
        <v>17187</v>
      </c>
      <c r="T812" s="6">
        <v>36739</v>
      </c>
      <c r="U812" s="4">
        <v>405000</v>
      </c>
      <c r="V812" t="s">
        <v>23739</v>
      </c>
      <c r="W812" t="s">
        <v>24127</v>
      </c>
      <c r="X812" t="s">
        <v>3</v>
      </c>
      <c r="AA812" s="5" t="str">
        <f>HYPERLINK("https://www.zillow.com/homes/8738-CARLISLE-CT-DARIEN-IL-60561_rb/","check listing")</f>
        <v>check listing</v>
      </c>
      <c r="AB812" s="5" t="str">
        <f>HYPERLINK("https://propertylookup.dupagecounty.gov/Datalets/Datalet.aspx?UseSearch=no&amp;mode=sales&amp;pin=1004112011","sales record")</f>
        <v>sales record</v>
      </c>
      <c r="AC812" t="s">
        <v>3</v>
      </c>
      <c r="AD812">
        <v>41.728123</v>
      </c>
      <c r="AE812">
        <v>-87.990624</v>
      </c>
      <c r="AF812" s="5" t="str">
        <f>HYPERLINK("https://www.google.com/maps/search/?api=1&amp;query=41.728123,-87.990624","map")</f>
        <v>map</v>
      </c>
    </row>
    <row r="813" spans="1:32">
      <c r="A813" t="s">
        <v>863</v>
      </c>
      <c r="B813" t="s">
        <v>8441</v>
      </c>
      <c r="C813" t="s">
        <v>15201</v>
      </c>
      <c r="D813" t="s">
        <v>16198</v>
      </c>
      <c r="E813" t="s">
        <v>16218</v>
      </c>
      <c r="F813" t="s">
        <v>16221</v>
      </c>
      <c r="G813" t="s">
        <v>16241</v>
      </c>
      <c r="H813" t="s">
        <v>16241</v>
      </c>
      <c r="I813" t="s">
        <v>16317</v>
      </c>
      <c r="J813" t="s">
        <v>16385</v>
      </c>
      <c r="K813">
        <v>0.61</v>
      </c>
      <c r="L813">
        <v>26564</v>
      </c>
      <c r="M813">
        <v>2494</v>
      </c>
      <c r="N813" t="s">
        <v>16393</v>
      </c>
      <c r="O813" s="4">
        <v>89274</v>
      </c>
      <c r="P813" s="4">
        <v>150531</v>
      </c>
      <c r="Q813" s="4">
        <v>239805</v>
      </c>
      <c r="R813" s="4">
        <v>719415</v>
      </c>
      <c r="S813" t="s">
        <v>17188</v>
      </c>
      <c r="X813" t="s">
        <v>3</v>
      </c>
      <c r="AA813" s="5" t="str">
        <f>HYPERLINK("https://www.zillow.com/homes/8109-OAKLEY-DR-DARIEN-IL-60561_rb/","check listing")</f>
        <v>check listing</v>
      </c>
      <c r="AB813" s="5" t="str">
        <f>HYPERLINK("https://propertylookup.dupagecounty.gov/Datalets/Datalet.aspx?UseSearch=no&amp;mode=sales&amp;pin=0933112050","sales record")</f>
        <v>sales record</v>
      </c>
      <c r="AC813" t="s">
        <v>3</v>
      </c>
      <c r="AD813">
        <v>41.738065</v>
      </c>
      <c r="AE813">
        <v>-87.983799</v>
      </c>
      <c r="AF813" s="5" t="str">
        <f>HYPERLINK("https://www.google.com/maps/search/?api=1&amp;query=41.738065,-87.983799","map")</f>
        <v>map</v>
      </c>
    </row>
    <row r="814" spans="1:32">
      <c r="A814" t="s">
        <v>864</v>
      </c>
      <c r="B814" t="s">
        <v>8442</v>
      </c>
      <c r="C814" t="s">
        <v>15202</v>
      </c>
      <c r="D814" t="s">
        <v>16198</v>
      </c>
      <c r="E814" t="s">
        <v>16218</v>
      </c>
      <c r="F814" t="s">
        <v>16221</v>
      </c>
      <c r="G814" t="s">
        <v>16241</v>
      </c>
      <c r="H814" t="s">
        <v>16241</v>
      </c>
      <c r="I814" t="s">
        <v>16317</v>
      </c>
      <c r="J814" t="s">
        <v>16385</v>
      </c>
      <c r="K814">
        <v>0.608</v>
      </c>
      <c r="L814">
        <v>26466</v>
      </c>
      <c r="M814">
        <v>2514</v>
      </c>
      <c r="N814" t="s">
        <v>16393</v>
      </c>
      <c r="O814" s="4">
        <v>95213</v>
      </c>
      <c r="P814" s="4">
        <v>144722</v>
      </c>
      <c r="Q814" s="4">
        <v>239935</v>
      </c>
      <c r="R814" s="4">
        <v>719805</v>
      </c>
      <c r="S814" t="s">
        <v>17189</v>
      </c>
      <c r="T814" s="6">
        <v>44197</v>
      </c>
      <c r="U814" s="4">
        <v>565000</v>
      </c>
      <c r="V814" t="s">
        <v>23740</v>
      </c>
      <c r="W814" t="s">
        <v>24128</v>
      </c>
      <c r="X814" t="s">
        <v>3</v>
      </c>
      <c r="AA814" s="5" t="str">
        <f>HYPERLINK("https://www.zillow.com/homes/8117-OAKLEY-DR-DARIEN-IL-605614913_rb/","check listing")</f>
        <v>check listing</v>
      </c>
      <c r="AB814" s="5" t="str">
        <f>HYPERLINK("https://propertylookup.dupagecounty.gov/Datalets/Datalet.aspx?UseSearch=no&amp;mode=sales&amp;pin=0933112052","sales record")</f>
        <v>sales record</v>
      </c>
      <c r="AC814" t="s">
        <v>3</v>
      </c>
      <c r="AD814">
        <v>41.737699</v>
      </c>
      <c r="AE814">
        <v>-87.983763</v>
      </c>
      <c r="AF814" s="5" t="str">
        <f>HYPERLINK("https://www.google.com/maps/search/?api=1&amp;query=41.737699,-87.983763","map")</f>
        <v>map</v>
      </c>
    </row>
    <row r="815" spans="1:32">
      <c r="A815" t="s">
        <v>865</v>
      </c>
      <c r="B815" t="s">
        <v>8443</v>
      </c>
      <c r="C815" t="s">
        <v>15203</v>
      </c>
      <c r="D815" t="s">
        <v>16198</v>
      </c>
      <c r="E815" t="s">
        <v>16218</v>
      </c>
      <c r="F815" t="s">
        <v>16221</v>
      </c>
      <c r="G815" t="s">
        <v>16241</v>
      </c>
      <c r="H815" t="s">
        <v>16241</v>
      </c>
      <c r="I815" t="s">
        <v>16317</v>
      </c>
      <c r="J815" t="s">
        <v>16385</v>
      </c>
      <c r="K815">
        <v>0.594</v>
      </c>
      <c r="L815">
        <v>25859</v>
      </c>
      <c r="M815">
        <v>3059</v>
      </c>
      <c r="N815" t="s">
        <v>16393</v>
      </c>
      <c r="O815" s="4">
        <v>89615</v>
      </c>
      <c r="P815" s="4">
        <v>102725</v>
      </c>
      <c r="Q815" s="4">
        <v>192340</v>
      </c>
      <c r="R815" s="4">
        <v>577020</v>
      </c>
      <c r="S815" t="s">
        <v>17190</v>
      </c>
      <c r="T815" s="6">
        <v>44348</v>
      </c>
      <c r="U815" s="4">
        <v>539000</v>
      </c>
      <c r="V815" t="s">
        <v>23739</v>
      </c>
      <c r="W815" t="s">
        <v>24129</v>
      </c>
      <c r="X815" t="s">
        <v>3</v>
      </c>
      <c r="AA815" s="5" t="str">
        <f>HYPERLINK("https://www.zillow.com/homes/1617-FOXHILL-PL-DARIEN-IL-605615320_rb/","check listing")</f>
        <v>check listing</v>
      </c>
      <c r="AB815" s="5" t="str">
        <f>HYPERLINK("https://propertylookup.dupagecounty.gov/Datalets/Datalet.aspx?UseSearch=no&amp;mode=sales&amp;pin=0933302008","sales record")</f>
        <v>sales record</v>
      </c>
      <c r="AC815" t="s">
        <v>3</v>
      </c>
      <c r="AD815">
        <v>41.734045</v>
      </c>
      <c r="AE815">
        <v>-87.985354</v>
      </c>
      <c r="AF815" s="5" t="str">
        <f>HYPERLINK("https://www.google.com/maps/search/?api=1&amp;query=41.734045,-87.985354","map")</f>
        <v>map</v>
      </c>
    </row>
    <row r="816" spans="1:32">
      <c r="A816" t="s">
        <v>866</v>
      </c>
      <c r="B816" t="s">
        <v>8444</v>
      </c>
      <c r="C816" t="s">
        <v>15204</v>
      </c>
      <c r="D816" t="s">
        <v>16198</v>
      </c>
      <c r="E816" t="s">
        <v>16218</v>
      </c>
      <c r="F816" t="s">
        <v>16221</v>
      </c>
      <c r="G816" t="s">
        <v>16241</v>
      </c>
      <c r="H816" t="s">
        <v>16241</v>
      </c>
      <c r="I816" t="s">
        <v>16317</v>
      </c>
      <c r="J816" t="s">
        <v>16385</v>
      </c>
      <c r="K816">
        <v>0.577</v>
      </c>
      <c r="L816">
        <v>25137</v>
      </c>
      <c r="M816">
        <v>2474</v>
      </c>
      <c r="N816" t="s">
        <v>16393</v>
      </c>
      <c r="O816" s="4">
        <v>101551</v>
      </c>
      <c r="P816" s="4">
        <v>154792</v>
      </c>
      <c r="Q816" s="4">
        <v>256343</v>
      </c>
      <c r="R816" s="4">
        <v>769029</v>
      </c>
      <c r="S816" t="s">
        <v>17191</v>
      </c>
      <c r="T816" s="6">
        <v>31444</v>
      </c>
      <c r="U816" s="4">
        <v>55250</v>
      </c>
      <c r="X816" t="s">
        <v>3</v>
      </c>
      <c r="AA816" s="5" t="str">
        <f>HYPERLINK("https://www.zillow.com/homes/8742-CARLISLE-CT-DARIEN-IL-605615372_rb/","check listing")</f>
        <v>check listing</v>
      </c>
      <c r="AB816" s="5" t="str">
        <f>HYPERLINK("https://propertylookup.dupagecounty.gov/Datalets/Datalet.aspx?UseSearch=no&amp;mode=sales&amp;pin=1004112010","sales record")</f>
        <v>sales record</v>
      </c>
      <c r="AC816" t="s">
        <v>3</v>
      </c>
      <c r="AD816">
        <v>41.727816</v>
      </c>
      <c r="AE816">
        <v>-87.990736</v>
      </c>
      <c r="AF816" s="5" t="str">
        <f>HYPERLINK("https://www.google.com/maps/search/?api=1&amp;query=41.727816,-87.990736","map")</f>
        <v>map</v>
      </c>
    </row>
    <row r="817" spans="1:32">
      <c r="A817" t="s">
        <v>867</v>
      </c>
      <c r="B817" t="s">
        <v>8445</v>
      </c>
      <c r="C817" t="s">
        <v>15205</v>
      </c>
      <c r="D817" t="s">
        <v>16198</v>
      </c>
      <c r="E817" t="s">
        <v>16218</v>
      </c>
      <c r="F817" t="s">
        <v>16221</v>
      </c>
      <c r="G817" t="s">
        <v>16241</v>
      </c>
      <c r="H817" t="s">
        <v>16241</v>
      </c>
      <c r="I817" t="s">
        <v>16317</v>
      </c>
      <c r="J817" t="s">
        <v>16385</v>
      </c>
      <c r="K817">
        <v>0.577</v>
      </c>
      <c r="L817">
        <v>25118</v>
      </c>
      <c r="M817">
        <v>1019</v>
      </c>
      <c r="N817" t="s">
        <v>16393</v>
      </c>
      <c r="O817" s="4">
        <v>78757</v>
      </c>
      <c r="P817" s="4">
        <v>80670</v>
      </c>
      <c r="Q817" s="4">
        <v>159427</v>
      </c>
      <c r="R817" s="4">
        <v>478281</v>
      </c>
      <c r="S817" t="s">
        <v>17192</v>
      </c>
      <c r="X817" t="s">
        <v>3</v>
      </c>
      <c r="AA817" s="5" t="str">
        <f>HYPERLINK("https://www.zillow.com/homes/1934-MANNING-RD-DARIEN-IL-605614310_rb/","check listing")</f>
        <v>check listing</v>
      </c>
      <c r="AB817" s="5" t="str">
        <f>HYPERLINK("https://propertylookup.dupagecounty.gov/Datalets/Datalet.aspx?UseSearch=no&amp;mode=sales&amp;pin=0928315054","sales record")</f>
        <v>sales record</v>
      </c>
      <c r="AC817" t="s">
        <v>3</v>
      </c>
      <c r="AD817">
        <v>41.745688</v>
      </c>
      <c r="AE817">
        <v>-87.99177</v>
      </c>
      <c r="AF817" s="5" t="str">
        <f>HYPERLINK("https://www.google.com/maps/search/?api=1&amp;query=41.745688,-87.99177","map")</f>
        <v>map</v>
      </c>
    </row>
    <row r="818" spans="1:32">
      <c r="A818" t="s">
        <v>868</v>
      </c>
      <c r="B818" t="s">
        <v>8446</v>
      </c>
      <c r="C818" t="s">
        <v>15206</v>
      </c>
      <c r="D818" t="s">
        <v>16198</v>
      </c>
      <c r="E818" t="s">
        <v>16218</v>
      </c>
      <c r="F818" t="s">
        <v>16221</v>
      </c>
      <c r="G818" t="s">
        <v>16241</v>
      </c>
      <c r="H818" t="s">
        <v>16241</v>
      </c>
      <c r="I818" t="s">
        <v>16317</v>
      </c>
      <c r="J818" t="s">
        <v>16385</v>
      </c>
      <c r="K818">
        <v>0.5620000000000001</v>
      </c>
      <c r="L818">
        <v>24483</v>
      </c>
      <c r="M818">
        <v>2672</v>
      </c>
      <c r="N818" t="s">
        <v>16393</v>
      </c>
      <c r="O818" s="4">
        <v>81774</v>
      </c>
      <c r="P818" s="4">
        <v>149522</v>
      </c>
      <c r="Q818" s="4">
        <v>231296</v>
      </c>
      <c r="R818" s="4">
        <v>693888</v>
      </c>
      <c r="S818" t="s">
        <v>17193</v>
      </c>
      <c r="T818" s="6">
        <v>44317</v>
      </c>
      <c r="U818" s="4">
        <v>552500</v>
      </c>
      <c r="V818" t="s">
        <v>23740</v>
      </c>
      <c r="W818" t="s">
        <v>24130</v>
      </c>
      <c r="X818" t="s">
        <v>3</v>
      </c>
      <c r="AA818" s="5" t="str">
        <f>HYPERLINK("https://www.zillow.com/homes/8818-CARLISLE-CT-DARIEN-IL-605615374_rb/","check listing")</f>
        <v>check listing</v>
      </c>
      <c r="AB818" s="5" t="str">
        <f>HYPERLINK("https://propertylookup.dupagecounty.gov/Datalets/Datalet.aspx?UseSearch=no&amp;mode=sales&amp;pin=1004111014","sales record")</f>
        <v>sales record</v>
      </c>
      <c r="AC818" t="s">
        <v>3</v>
      </c>
      <c r="AD818">
        <v>41.726105</v>
      </c>
      <c r="AE818">
        <v>-87.992294</v>
      </c>
      <c r="AF818" s="5" t="str">
        <f>HYPERLINK("https://www.google.com/maps/search/?api=1&amp;query=41.726105,-87.992294","map")</f>
        <v>map</v>
      </c>
    </row>
    <row r="819" spans="1:32">
      <c r="A819" t="s">
        <v>869</v>
      </c>
      <c r="B819" t="s">
        <v>8447</v>
      </c>
      <c r="C819" t="s">
        <v>15201</v>
      </c>
      <c r="D819" t="s">
        <v>16198</v>
      </c>
      <c r="E819" t="s">
        <v>16218</v>
      </c>
      <c r="F819" t="s">
        <v>16221</v>
      </c>
      <c r="G819" t="s">
        <v>16241</v>
      </c>
      <c r="H819" t="s">
        <v>16241</v>
      </c>
      <c r="I819" t="s">
        <v>16317</v>
      </c>
      <c r="J819" t="s">
        <v>16385</v>
      </c>
      <c r="K819">
        <v>0.5610000000000001</v>
      </c>
      <c r="L819">
        <v>24448</v>
      </c>
      <c r="M819">
        <v>2955</v>
      </c>
      <c r="N819" t="s">
        <v>16393</v>
      </c>
      <c r="O819" s="4">
        <v>94017</v>
      </c>
      <c r="P819" s="4">
        <v>164323</v>
      </c>
      <c r="Q819" s="4">
        <v>258340</v>
      </c>
      <c r="R819" s="4">
        <v>775020</v>
      </c>
      <c r="S819" t="s">
        <v>17194</v>
      </c>
      <c r="T819" s="6">
        <v>38899</v>
      </c>
      <c r="U819" s="4">
        <v>785000</v>
      </c>
      <c r="V819" t="s">
        <v>23740</v>
      </c>
      <c r="W819" t="s">
        <v>24131</v>
      </c>
      <c r="X819" t="s">
        <v>3</v>
      </c>
      <c r="AA819" s="5" t="str">
        <f>HYPERLINK("https://www.zillow.com/homes/1614-FOXHILL-PL-DARIEN-IL-60561_rb/","check listing")</f>
        <v>check listing</v>
      </c>
      <c r="AB819" s="5" t="str">
        <f>HYPERLINK("https://propertylookup.dupagecounty.gov/Datalets/Datalet.aspx?UseSearch=no&amp;mode=sales&amp;pin=0933302006","sales record")</f>
        <v>sales record</v>
      </c>
      <c r="AC819" t="s">
        <v>3</v>
      </c>
      <c r="AD819">
        <v>41.734834</v>
      </c>
      <c r="AE819">
        <v>-87.985545</v>
      </c>
      <c r="AF819" s="5" t="str">
        <f>HYPERLINK("https://www.google.com/maps/search/?api=1&amp;query=41.734834,-87.985545","map")</f>
        <v>map</v>
      </c>
    </row>
    <row r="820" spans="1:32">
      <c r="A820" t="s">
        <v>870</v>
      </c>
      <c r="B820" t="s">
        <v>8448</v>
      </c>
      <c r="C820" t="s">
        <v>15201</v>
      </c>
      <c r="D820" t="s">
        <v>16198</v>
      </c>
      <c r="E820" t="s">
        <v>16218</v>
      </c>
      <c r="F820" t="s">
        <v>16221</v>
      </c>
      <c r="G820" t="s">
        <v>16241</v>
      </c>
      <c r="H820" t="s">
        <v>16241</v>
      </c>
      <c r="I820" t="s">
        <v>16317</v>
      </c>
      <c r="J820" t="s">
        <v>16385</v>
      </c>
      <c r="K820">
        <v>0.552</v>
      </c>
      <c r="L820">
        <v>24056</v>
      </c>
      <c r="M820">
        <v>1971</v>
      </c>
      <c r="N820" t="s">
        <v>16393</v>
      </c>
      <c r="O820" s="4">
        <v>92573</v>
      </c>
      <c r="P820" s="4">
        <v>123888</v>
      </c>
      <c r="Q820" s="4">
        <v>216461</v>
      </c>
      <c r="R820" s="4">
        <v>649383</v>
      </c>
      <c r="S820" t="s">
        <v>17195</v>
      </c>
      <c r="T820" s="6">
        <v>36800</v>
      </c>
      <c r="U820" s="4">
        <v>352000</v>
      </c>
      <c r="V820" t="s">
        <v>23739</v>
      </c>
      <c r="W820" t="s">
        <v>24132</v>
      </c>
      <c r="X820" t="s">
        <v>3</v>
      </c>
      <c r="AA820" s="5" t="str">
        <f>HYPERLINK("https://www.zillow.com/homes/1610-LAUREL-LN-DARIEN-IL-60561_rb/","check listing")</f>
        <v>check listing</v>
      </c>
      <c r="AB820" s="5" t="str">
        <f>HYPERLINK("https://propertylookup.dupagecounty.gov/Datalets/Datalet.aspx?UseSearch=no&amp;mode=sales&amp;pin=0933302017","sales record")</f>
        <v>sales record</v>
      </c>
      <c r="AC820" t="s">
        <v>3</v>
      </c>
      <c r="AD820">
        <v>41.733604</v>
      </c>
      <c r="AE820">
        <v>-87.98540199999999</v>
      </c>
      <c r="AF820" s="5" t="str">
        <f>HYPERLINK("https://www.google.com/maps/search/?api=1&amp;query=41.733604,-87.985402","map")</f>
        <v>map</v>
      </c>
    </row>
    <row r="821" spans="1:32">
      <c r="A821" t="s">
        <v>871</v>
      </c>
      <c r="B821" t="s">
        <v>8449</v>
      </c>
      <c r="C821" t="s">
        <v>15207</v>
      </c>
      <c r="D821" t="s">
        <v>16198</v>
      </c>
      <c r="E821" t="s">
        <v>16218</v>
      </c>
      <c r="F821" t="s">
        <v>16221</v>
      </c>
      <c r="G821" t="s">
        <v>16241</v>
      </c>
      <c r="H821" t="s">
        <v>16241</v>
      </c>
      <c r="I821" t="s">
        <v>16317</v>
      </c>
      <c r="J821" t="s">
        <v>16385</v>
      </c>
      <c r="K821">
        <v>0.542</v>
      </c>
      <c r="L821">
        <v>23613</v>
      </c>
      <c r="M821">
        <v>4997</v>
      </c>
      <c r="N821" t="s">
        <v>16393</v>
      </c>
      <c r="O821" s="4">
        <v>116247</v>
      </c>
      <c r="P821" s="4">
        <v>166448</v>
      </c>
      <c r="Q821" s="4">
        <v>282695</v>
      </c>
      <c r="R821" s="4">
        <v>848085</v>
      </c>
      <c r="S821" t="s">
        <v>17196</v>
      </c>
      <c r="T821" s="6">
        <v>33786</v>
      </c>
      <c r="U821" s="4">
        <v>375000</v>
      </c>
      <c r="X821" t="s">
        <v>3</v>
      </c>
      <c r="AA821" s="5" t="str">
        <f>HYPERLINK("https://www.zillow.com/homes/8409-GLENEYRE-RD-DARIEN-IL-605615321_rb/","check listing")</f>
        <v>check listing</v>
      </c>
      <c r="AB821" s="5" t="str">
        <f>HYPERLINK("https://propertylookup.dupagecounty.gov/Datalets/Datalet.aspx?UseSearch=no&amp;mode=sales&amp;pin=0933306003","sales record")</f>
        <v>sales record</v>
      </c>
      <c r="AC821" t="s">
        <v>3</v>
      </c>
      <c r="AD821">
        <v>41.735101</v>
      </c>
      <c r="AE821">
        <v>-87.98412399999999</v>
      </c>
      <c r="AF821" s="5" t="str">
        <f>HYPERLINK("https://www.google.com/maps/search/?api=1&amp;query=41.735101,-87.984124","map")</f>
        <v>map</v>
      </c>
    </row>
    <row r="822" spans="1:32">
      <c r="A822" t="s">
        <v>872</v>
      </c>
      <c r="B822" t="s">
        <v>8450</v>
      </c>
      <c r="C822" t="s">
        <v>15201</v>
      </c>
      <c r="D822" t="s">
        <v>16198</v>
      </c>
      <c r="E822" t="s">
        <v>16218</v>
      </c>
      <c r="F822" t="s">
        <v>16221</v>
      </c>
      <c r="G822" t="s">
        <v>16241</v>
      </c>
      <c r="H822" t="s">
        <v>16241</v>
      </c>
      <c r="I822" t="s">
        <v>16317</v>
      </c>
      <c r="J822" t="s">
        <v>16385</v>
      </c>
      <c r="K822">
        <v>0.537</v>
      </c>
      <c r="L822">
        <v>23396</v>
      </c>
      <c r="M822">
        <v>2918</v>
      </c>
      <c r="N822" t="s">
        <v>16393</v>
      </c>
      <c r="O822" s="4">
        <v>80472</v>
      </c>
      <c r="P822" s="4">
        <v>154275</v>
      </c>
      <c r="Q822" s="4">
        <v>234747</v>
      </c>
      <c r="R822" s="4">
        <v>704241</v>
      </c>
      <c r="S822" t="s">
        <v>17197</v>
      </c>
      <c r="T822" s="6">
        <v>45878</v>
      </c>
      <c r="U822" s="4">
        <v>767100</v>
      </c>
      <c r="V822" t="s">
        <v>23739</v>
      </c>
      <c r="W822" t="s">
        <v>24133</v>
      </c>
      <c r="X822" t="s">
        <v>3</v>
      </c>
      <c r="AA822" s="5" t="str">
        <f>HYPERLINK("https://www.zillow.com/homes/1925-KENTWOOD-CT-DARIEN-IL-60561_rb/","check listing")</f>
        <v>check listing</v>
      </c>
      <c r="AB822" s="5" t="str">
        <f>HYPERLINK("https://propertylookup.dupagecounty.gov/Datalets/Datalet.aspx?UseSearch=no&amp;mode=sales&amp;pin=1004111009","sales record")</f>
        <v>sales record</v>
      </c>
      <c r="AC822" t="s">
        <v>3</v>
      </c>
      <c r="AD822">
        <v>41.726547</v>
      </c>
      <c r="AE822">
        <v>-87.99222399999999</v>
      </c>
      <c r="AF822" s="5" t="str">
        <f>HYPERLINK("https://www.google.com/maps/search/?api=1&amp;query=41.726547,-87.992224","map")</f>
        <v>map</v>
      </c>
    </row>
    <row r="823" spans="1:32">
      <c r="A823" t="s">
        <v>873</v>
      </c>
      <c r="B823" t="s">
        <v>8451</v>
      </c>
      <c r="C823" t="s">
        <v>15208</v>
      </c>
      <c r="D823" t="s">
        <v>16198</v>
      </c>
      <c r="E823" t="s">
        <v>16218</v>
      </c>
      <c r="F823" t="s">
        <v>16221</v>
      </c>
      <c r="G823" t="s">
        <v>16241</v>
      </c>
      <c r="H823" t="s">
        <v>16241</v>
      </c>
      <c r="I823" t="s">
        <v>16317</v>
      </c>
      <c r="J823" t="s">
        <v>16385</v>
      </c>
      <c r="K823">
        <v>0.525</v>
      </c>
      <c r="L823">
        <v>22860</v>
      </c>
      <c r="M823">
        <v>4155</v>
      </c>
      <c r="N823" t="s">
        <v>16393</v>
      </c>
      <c r="O823" s="4">
        <v>92092</v>
      </c>
      <c r="P823" s="4">
        <v>229653</v>
      </c>
      <c r="Q823" s="4">
        <v>321745</v>
      </c>
      <c r="R823" s="4">
        <v>965235</v>
      </c>
      <c r="S823" t="s">
        <v>17198</v>
      </c>
      <c r="T823" s="6">
        <v>44075</v>
      </c>
      <c r="U823" s="4">
        <v>600000</v>
      </c>
      <c r="V823" t="s">
        <v>23740</v>
      </c>
      <c r="W823" t="s">
        <v>24134</v>
      </c>
      <c r="X823" t="s">
        <v>3</v>
      </c>
      <c r="AA823" s="5" t="str">
        <f>HYPERLINK("https://www.zillow.com/homes/8723-CARLISLE-CT-DARIEN-IL-605615373_rb/","check listing")</f>
        <v>check listing</v>
      </c>
      <c r="AB823" s="5" t="str">
        <f>HYPERLINK("https://propertylookup.dupagecounty.gov/Datalets/Datalet.aspx?UseSearch=no&amp;mode=sales&amp;pin=1004100005","sales record")</f>
        <v>sales record</v>
      </c>
      <c r="AC823" t="s">
        <v>3</v>
      </c>
      <c r="AD823">
        <v>41.729334</v>
      </c>
      <c r="AE823">
        <v>-87.991201</v>
      </c>
      <c r="AF823" s="5" t="str">
        <f>HYPERLINK("https://www.google.com/maps/search/?api=1&amp;query=41.729334,-87.991201","map")</f>
        <v>map</v>
      </c>
    </row>
    <row r="824" spans="1:32">
      <c r="A824" t="s">
        <v>874</v>
      </c>
      <c r="B824" t="s">
        <v>8452</v>
      </c>
      <c r="C824" t="s">
        <v>15209</v>
      </c>
      <c r="D824" t="s">
        <v>16198</v>
      </c>
      <c r="E824" t="s">
        <v>16218</v>
      </c>
      <c r="F824" t="s">
        <v>16221</v>
      </c>
      <c r="G824" t="s">
        <v>16241</v>
      </c>
      <c r="H824" t="s">
        <v>16241</v>
      </c>
      <c r="I824" t="s">
        <v>16317</v>
      </c>
      <c r="J824" t="s">
        <v>16385</v>
      </c>
      <c r="K824">
        <v>0.523</v>
      </c>
      <c r="L824">
        <v>22769</v>
      </c>
      <c r="M824">
        <v>2579</v>
      </c>
      <c r="N824" t="s">
        <v>16393</v>
      </c>
      <c r="O824" s="4">
        <v>105026</v>
      </c>
      <c r="P824" s="4">
        <v>149429</v>
      </c>
      <c r="Q824" s="4">
        <v>254455</v>
      </c>
      <c r="R824" s="4">
        <v>763365</v>
      </c>
      <c r="S824" t="s">
        <v>17199</v>
      </c>
      <c r="T824" s="6">
        <v>44621</v>
      </c>
      <c r="U824" s="4">
        <v>639900</v>
      </c>
      <c r="V824" t="s">
        <v>23739</v>
      </c>
      <c r="W824" t="s">
        <v>24135</v>
      </c>
      <c r="X824" t="s">
        <v>3</v>
      </c>
      <c r="AA824" s="5" t="str">
        <f>HYPERLINK("https://www.zillow.com/homes/1500-WILLOW-CREEK-LN-DARIEN-IL-605615394_rb/","check listing")</f>
        <v>check listing</v>
      </c>
      <c r="AB824" s="5" t="str">
        <f>HYPERLINK("https://propertylookup.dupagecounty.gov/Datalets/Datalet.aspx?UseSearch=no&amp;mode=sales&amp;pin=0933405017","sales record")</f>
        <v>sales record</v>
      </c>
      <c r="AC824" t="s">
        <v>3</v>
      </c>
      <c r="AD824">
        <v>41.733825</v>
      </c>
      <c r="AE824">
        <v>-87.978127</v>
      </c>
      <c r="AF824" s="5" t="str">
        <f>HYPERLINK("https://www.google.com/maps/search/?api=1&amp;query=41.733825,-87.978127","map")</f>
        <v>map</v>
      </c>
    </row>
    <row r="825" spans="1:32">
      <c r="A825" t="s">
        <v>875</v>
      </c>
      <c r="B825" t="s">
        <v>8453</v>
      </c>
      <c r="C825" t="s">
        <v>15201</v>
      </c>
      <c r="D825" t="s">
        <v>16198</v>
      </c>
      <c r="E825" t="s">
        <v>16218</v>
      </c>
      <c r="F825" t="s">
        <v>16221</v>
      </c>
      <c r="G825" t="s">
        <v>16241</v>
      </c>
      <c r="H825" t="s">
        <v>16241</v>
      </c>
      <c r="I825" t="s">
        <v>16317</v>
      </c>
      <c r="J825" t="s">
        <v>16385</v>
      </c>
      <c r="K825">
        <v>0.507</v>
      </c>
      <c r="L825">
        <v>22079</v>
      </c>
      <c r="M825">
        <v>3582</v>
      </c>
      <c r="N825" t="s">
        <v>16393</v>
      </c>
      <c r="O825" s="4">
        <v>82667</v>
      </c>
      <c r="P825" s="4">
        <v>193737</v>
      </c>
      <c r="Q825" s="4">
        <v>276404</v>
      </c>
      <c r="R825" s="4">
        <v>829212</v>
      </c>
      <c r="S825" t="s">
        <v>17200</v>
      </c>
      <c r="T825" s="6">
        <v>33725</v>
      </c>
      <c r="U825" s="4">
        <v>160000</v>
      </c>
      <c r="X825" t="s">
        <v>3</v>
      </c>
      <c r="AA825" s="5" t="str">
        <f>HYPERLINK("https://www.zillow.com/homes/1504-OLD-OAK-PL-DARIEN-IL-60561_rb/","check listing")</f>
        <v>check listing</v>
      </c>
      <c r="AB825" s="5" t="str">
        <f>HYPERLINK("https://propertylookup.dupagecounty.gov/Datalets/Datalet.aspx?UseSearch=no&amp;mode=sales&amp;pin=1004103009","sales record")</f>
        <v>sales record</v>
      </c>
      <c r="AC825" t="s">
        <v>3</v>
      </c>
      <c r="AD825">
        <v>41.729591</v>
      </c>
      <c r="AE825">
        <v>-87.98371299999999</v>
      </c>
      <c r="AF825" s="5" t="str">
        <f>HYPERLINK("https://www.google.com/maps/search/?api=1&amp;query=41.729591,-87.983713","map")</f>
        <v>map</v>
      </c>
    </row>
    <row r="826" spans="1:32">
      <c r="A826" t="s">
        <v>876</v>
      </c>
      <c r="B826" t="s">
        <v>8454</v>
      </c>
      <c r="C826" t="s">
        <v>15201</v>
      </c>
      <c r="D826" t="s">
        <v>16198</v>
      </c>
      <c r="E826" t="s">
        <v>16218</v>
      </c>
      <c r="F826" t="s">
        <v>16221</v>
      </c>
      <c r="G826" t="s">
        <v>16241</v>
      </c>
      <c r="H826" t="s">
        <v>16241</v>
      </c>
      <c r="I826" t="s">
        <v>16317</v>
      </c>
      <c r="J826" t="s">
        <v>16385</v>
      </c>
      <c r="K826">
        <v>0.506</v>
      </c>
      <c r="L826">
        <v>22031</v>
      </c>
      <c r="M826">
        <v>1268</v>
      </c>
      <c r="N826" t="s">
        <v>16393</v>
      </c>
      <c r="O826" s="4">
        <v>78406</v>
      </c>
      <c r="P826" s="4">
        <v>115285</v>
      </c>
      <c r="Q826" s="4">
        <v>193691</v>
      </c>
      <c r="R826" s="4">
        <v>581073</v>
      </c>
      <c r="S826" t="s">
        <v>17201</v>
      </c>
      <c r="T826" s="6">
        <v>41214</v>
      </c>
      <c r="U826" s="4">
        <v>272500</v>
      </c>
      <c r="V826" t="s">
        <v>23739</v>
      </c>
      <c r="W826" t="s">
        <v>24136</v>
      </c>
      <c r="X826" t="s">
        <v>3</v>
      </c>
      <c r="AA826" s="5" t="str">
        <f>HYPERLINK("https://www.zillow.com/homes/8830-CARLISLE-CT-DARIEN-IL-60561_rb/","check listing")</f>
        <v>check listing</v>
      </c>
      <c r="AB826" s="5" t="str">
        <f>HYPERLINK("https://propertylookup.dupagecounty.gov/Datalets/Datalet.aspx?UseSearch=no&amp;mode=sales&amp;pin=1004111018","sales record")</f>
        <v>sales record</v>
      </c>
      <c r="AC826" t="s">
        <v>3</v>
      </c>
      <c r="AD826">
        <v>41.724876</v>
      </c>
      <c r="AE826">
        <v>-87.992311</v>
      </c>
      <c r="AF826" s="5" t="str">
        <f>HYPERLINK("https://www.google.com/maps/search/?api=1&amp;query=41.724876,-87.992311","map")</f>
        <v>map</v>
      </c>
    </row>
    <row r="827" spans="1:32">
      <c r="A827" t="s">
        <v>877</v>
      </c>
      <c r="B827" t="s">
        <v>8455</v>
      </c>
      <c r="C827" t="s">
        <v>15201</v>
      </c>
      <c r="D827" t="s">
        <v>16198</v>
      </c>
      <c r="E827" t="s">
        <v>16218</v>
      </c>
      <c r="F827" t="s">
        <v>16221</v>
      </c>
      <c r="G827" t="s">
        <v>16241</v>
      </c>
      <c r="H827" t="s">
        <v>16241</v>
      </c>
      <c r="I827" t="s">
        <v>16317</v>
      </c>
      <c r="J827" t="s">
        <v>16385</v>
      </c>
      <c r="K827">
        <v>0.493</v>
      </c>
      <c r="L827">
        <v>21473</v>
      </c>
      <c r="M827">
        <v>3421</v>
      </c>
      <c r="N827" t="s">
        <v>16393</v>
      </c>
      <c r="O827" s="4">
        <v>112374</v>
      </c>
      <c r="P827" s="4">
        <v>247565</v>
      </c>
      <c r="Q827" s="4">
        <v>359939</v>
      </c>
      <c r="R827" s="4">
        <v>1079817</v>
      </c>
      <c r="S827" t="s">
        <v>17202</v>
      </c>
      <c r="T827" s="6">
        <v>42675</v>
      </c>
      <c r="U827" s="4">
        <v>705000</v>
      </c>
      <c r="V827" t="s">
        <v>23740</v>
      </c>
      <c r="W827" t="s">
        <v>17202</v>
      </c>
      <c r="X827" t="s">
        <v>3</v>
      </c>
      <c r="AA827" s="5" t="str">
        <f>HYPERLINK("https://www.zillow.com/homes/8420-EVERGREEN-LN-DARIEN-IL-60561_rb/","check listing")</f>
        <v>check listing</v>
      </c>
      <c r="AB827" s="5" t="str">
        <f>HYPERLINK("https://propertylookup.dupagecounty.gov/Datalets/Datalet.aspx?UseSearch=no&amp;mode=sales&amp;pin=0933406012","sales record")</f>
        <v>sales record</v>
      </c>
      <c r="AC827" t="s">
        <v>3</v>
      </c>
      <c r="AD827">
        <v>41.733663</v>
      </c>
      <c r="AE827">
        <v>-87.981746</v>
      </c>
      <c r="AF827" s="5" t="str">
        <f>HYPERLINK("https://www.google.com/maps/search/?api=1&amp;query=41.733663,-87.981746","map")</f>
        <v>map</v>
      </c>
    </row>
    <row r="828" spans="1:32">
      <c r="A828" t="s">
        <v>878</v>
      </c>
      <c r="B828" t="s">
        <v>8456</v>
      </c>
      <c r="C828" t="s">
        <v>15201</v>
      </c>
      <c r="D828" t="s">
        <v>16198</v>
      </c>
      <c r="E828" t="s">
        <v>16218</v>
      </c>
      <c r="F828" t="s">
        <v>16221</v>
      </c>
      <c r="G828" t="s">
        <v>16241</v>
      </c>
      <c r="H828" t="s">
        <v>16241</v>
      </c>
      <c r="I828" t="s">
        <v>16317</v>
      </c>
      <c r="J828" t="s">
        <v>16385</v>
      </c>
      <c r="K828">
        <v>0.478</v>
      </c>
      <c r="L828">
        <v>20823</v>
      </c>
      <c r="M828">
        <v>1609</v>
      </c>
      <c r="N828" t="s">
        <v>16393</v>
      </c>
      <c r="O828" s="4">
        <v>83793</v>
      </c>
      <c r="P828" s="4">
        <v>95097</v>
      </c>
      <c r="Q828" s="4">
        <v>178890</v>
      </c>
      <c r="R828" s="4">
        <v>536670</v>
      </c>
      <c r="S828" t="s">
        <v>17203</v>
      </c>
      <c r="T828" s="6">
        <v>38869</v>
      </c>
      <c r="U828" s="4">
        <v>399000</v>
      </c>
      <c r="V828" t="s">
        <v>23739</v>
      </c>
      <c r="W828" t="s">
        <v>24137</v>
      </c>
      <c r="X828" t="s">
        <v>3</v>
      </c>
      <c r="AA828" s="5" t="str">
        <f>HYPERLINK("https://www.zillow.com/homes/8116-WITTINGTON-CT-DARIEN-IL-60561_rb/","check listing")</f>
        <v>check listing</v>
      </c>
      <c r="AB828" s="5" t="str">
        <f>HYPERLINK("https://propertylookup.dupagecounty.gov/Datalets/Datalet.aspx?UseSearch=no&amp;mode=sales&amp;pin=0934210017","sales record")</f>
        <v>sales record</v>
      </c>
      <c r="AC828" t="s">
        <v>3</v>
      </c>
      <c r="AD828">
        <v>41.739246</v>
      </c>
      <c r="AE828">
        <v>-87.963455</v>
      </c>
      <c r="AF828" s="5" t="str">
        <f>HYPERLINK("https://www.google.com/maps/search/?api=1&amp;query=41.739246,-87.963455","map")</f>
        <v>map</v>
      </c>
    </row>
    <row r="829" spans="1:32">
      <c r="A829" t="s">
        <v>879</v>
      </c>
      <c r="B829" t="s">
        <v>8457</v>
      </c>
      <c r="C829" t="s">
        <v>15201</v>
      </c>
      <c r="D829" t="s">
        <v>16198</v>
      </c>
      <c r="E829" t="s">
        <v>16218</v>
      </c>
      <c r="F829" t="s">
        <v>16221</v>
      </c>
      <c r="G829" t="s">
        <v>16241</v>
      </c>
      <c r="H829" t="s">
        <v>16241</v>
      </c>
      <c r="I829" t="s">
        <v>16317</v>
      </c>
      <c r="J829" t="s">
        <v>16385</v>
      </c>
      <c r="K829">
        <v>0.476</v>
      </c>
      <c r="L829">
        <v>20730</v>
      </c>
      <c r="M829">
        <v>2910</v>
      </c>
      <c r="N829" t="s">
        <v>16393</v>
      </c>
      <c r="O829" s="4">
        <v>89028</v>
      </c>
      <c r="P829" s="4">
        <v>171389</v>
      </c>
      <c r="Q829" s="4">
        <v>260417</v>
      </c>
      <c r="R829" s="4">
        <v>781251</v>
      </c>
      <c r="S829" t="s">
        <v>17204</v>
      </c>
      <c r="T829" s="6">
        <v>43344</v>
      </c>
      <c r="U829" s="4">
        <v>575000</v>
      </c>
      <c r="V829" t="s">
        <v>23739</v>
      </c>
      <c r="W829" t="s">
        <v>24138</v>
      </c>
      <c r="X829" t="s">
        <v>3</v>
      </c>
      <c r="AA829" s="5" t="str">
        <f>HYPERLINK("https://www.zillow.com/homes/1521-EVERGREEN-LN-DARIEN-IL-60561_rb/","check listing")</f>
        <v>check listing</v>
      </c>
      <c r="AB829" s="5" t="str">
        <f>HYPERLINK("https://propertylookup.dupagecounty.gov/Datalets/Datalet.aspx?UseSearch=no&amp;mode=sales&amp;pin=0933404003","sales record")</f>
        <v>sales record</v>
      </c>
      <c r="AC829" t="s">
        <v>3</v>
      </c>
      <c r="AD829">
        <v>41.735156</v>
      </c>
      <c r="AE829">
        <v>-87.979568</v>
      </c>
      <c r="AF829" s="5" t="str">
        <f>HYPERLINK("https://www.google.com/maps/search/?api=1&amp;query=41.735156,-87.979568","map")</f>
        <v>map</v>
      </c>
    </row>
    <row r="830" spans="1:32">
      <c r="A830" t="s">
        <v>880</v>
      </c>
      <c r="B830" t="s">
        <v>8458</v>
      </c>
      <c r="C830" t="s">
        <v>15201</v>
      </c>
      <c r="D830" t="s">
        <v>16198</v>
      </c>
      <c r="E830" t="s">
        <v>16218</v>
      </c>
      <c r="F830" t="s">
        <v>16221</v>
      </c>
      <c r="G830" t="s">
        <v>16241</v>
      </c>
      <c r="H830" t="s">
        <v>16241</v>
      </c>
      <c r="I830" t="s">
        <v>16317</v>
      </c>
      <c r="J830" t="s">
        <v>16385</v>
      </c>
      <c r="K830">
        <v>0.474</v>
      </c>
      <c r="L830">
        <v>20660</v>
      </c>
      <c r="M830">
        <v>2413</v>
      </c>
      <c r="N830" t="s">
        <v>16393</v>
      </c>
      <c r="O830" s="4">
        <v>78476</v>
      </c>
      <c r="P830" s="4">
        <v>159029</v>
      </c>
      <c r="Q830" s="4">
        <v>237505</v>
      </c>
      <c r="R830" s="4">
        <v>712515</v>
      </c>
      <c r="S830" t="s">
        <v>17205</v>
      </c>
      <c r="T830" s="6">
        <v>38626</v>
      </c>
      <c r="U830" s="4">
        <v>535000</v>
      </c>
      <c r="V830" t="s">
        <v>23739</v>
      </c>
      <c r="W830" t="s">
        <v>24139</v>
      </c>
      <c r="X830" t="s">
        <v>3</v>
      </c>
      <c r="AA830" s="5" t="str">
        <f>HYPERLINK("https://www.zillow.com/homes/1500-PINE-VIEW-CT-DARIEN-IL-60561_rb/","check listing")</f>
        <v>check listing</v>
      </c>
      <c r="AB830" s="5" t="str">
        <f>HYPERLINK("https://propertylookup.dupagecounty.gov/Datalets/Datalet.aspx?UseSearch=no&amp;mode=sales&amp;pin=0933207007","sales record")</f>
        <v>sales record</v>
      </c>
      <c r="AC830" t="s">
        <v>3</v>
      </c>
      <c r="AD830">
        <v>41.739278</v>
      </c>
      <c r="AE830">
        <v>-87.980712</v>
      </c>
      <c r="AF830" s="5" t="str">
        <f>HYPERLINK("https://www.google.com/maps/search/?api=1&amp;query=41.739278,-87.980712","map")</f>
        <v>map</v>
      </c>
    </row>
    <row r="831" spans="1:32">
      <c r="A831" t="s">
        <v>881</v>
      </c>
      <c r="B831" t="s">
        <v>8459</v>
      </c>
      <c r="C831" t="s">
        <v>15210</v>
      </c>
      <c r="D831" t="s">
        <v>16198</v>
      </c>
      <c r="E831" t="s">
        <v>16218</v>
      </c>
      <c r="F831" t="s">
        <v>16221</v>
      </c>
      <c r="G831" t="s">
        <v>16241</v>
      </c>
      <c r="H831" t="s">
        <v>16241</v>
      </c>
      <c r="I831" t="s">
        <v>16317</v>
      </c>
      <c r="J831" t="s">
        <v>16385</v>
      </c>
      <c r="K831">
        <v>0.474</v>
      </c>
      <c r="L831">
        <v>20643</v>
      </c>
      <c r="M831">
        <v>3641</v>
      </c>
      <c r="N831" t="s">
        <v>16393</v>
      </c>
      <c r="O831" s="4">
        <v>106282</v>
      </c>
      <c r="P831" s="4">
        <v>210991</v>
      </c>
      <c r="Q831" s="4">
        <v>317273</v>
      </c>
      <c r="R831" s="4">
        <v>951819</v>
      </c>
      <c r="S831" t="s">
        <v>17206</v>
      </c>
      <c r="T831" s="6">
        <v>32021</v>
      </c>
      <c r="U831" s="4">
        <v>105000</v>
      </c>
      <c r="X831" t="s">
        <v>3</v>
      </c>
      <c r="AA831" s="5" t="str">
        <f>HYPERLINK("https://www.zillow.com/homes/8424-EVERGREEN-LN-DARIEN-IL-605618400_rb/","check listing")</f>
        <v>check listing</v>
      </c>
      <c r="AB831" s="5" t="str">
        <f>HYPERLINK("https://propertylookup.dupagecounty.gov/Datalets/Datalet.aspx?UseSearch=no&amp;mode=sales&amp;pin=0933406013","sales record")</f>
        <v>sales record</v>
      </c>
      <c r="AC831" t="s">
        <v>3</v>
      </c>
      <c r="AD831">
        <v>41.733407</v>
      </c>
      <c r="AE831">
        <v>-87.981814</v>
      </c>
      <c r="AF831" s="5" t="str">
        <f>HYPERLINK("https://www.google.com/maps/search/?api=1&amp;query=41.733407,-87.981814","map")</f>
        <v>map</v>
      </c>
    </row>
    <row r="832" spans="1:32">
      <c r="A832" t="s">
        <v>882</v>
      </c>
      <c r="B832" t="s">
        <v>8460</v>
      </c>
      <c r="C832" t="s">
        <v>15211</v>
      </c>
      <c r="D832" t="s">
        <v>16198</v>
      </c>
      <c r="E832" t="s">
        <v>16218</v>
      </c>
      <c r="F832" t="s">
        <v>16221</v>
      </c>
      <c r="G832" t="s">
        <v>16241</v>
      </c>
      <c r="H832" t="s">
        <v>16241</v>
      </c>
      <c r="I832" t="s">
        <v>16317</v>
      </c>
      <c r="J832" t="s">
        <v>16385</v>
      </c>
      <c r="K832">
        <v>0.465</v>
      </c>
      <c r="L832">
        <v>20250</v>
      </c>
      <c r="M832">
        <v>4038</v>
      </c>
      <c r="N832" t="s">
        <v>16393</v>
      </c>
      <c r="O832" s="4">
        <v>80260</v>
      </c>
      <c r="P832" s="4">
        <v>143736</v>
      </c>
      <c r="Q832" s="4">
        <v>223996</v>
      </c>
      <c r="R832" s="4">
        <v>671988</v>
      </c>
      <c r="S832" t="s">
        <v>17207</v>
      </c>
      <c r="T832" s="6">
        <v>43252</v>
      </c>
      <c r="U832" s="4">
        <v>575000</v>
      </c>
      <c r="V832" t="s">
        <v>23739</v>
      </c>
      <c r="W832" t="s">
        <v>24140</v>
      </c>
      <c r="X832" t="s">
        <v>3</v>
      </c>
      <c r="AA832" s="5" t="str">
        <f>HYPERLINK("https://www.zillow.com/homes/1613-LAUREL-LN-DARIEN-IL-605615327_rb/","check listing")</f>
        <v>check listing</v>
      </c>
      <c r="AB832" s="5" t="str">
        <f>HYPERLINK("https://propertylookup.dupagecounty.gov/Datalets/Datalet.aspx?UseSearch=no&amp;mode=sales&amp;pin=0933302019","sales record")</f>
        <v>sales record</v>
      </c>
      <c r="AC832" t="s">
        <v>3</v>
      </c>
      <c r="AD832">
        <v>41.73306</v>
      </c>
      <c r="AE832">
        <v>-87.98512700000001</v>
      </c>
      <c r="AF832" s="5" t="str">
        <f>HYPERLINK("https://www.google.com/maps/search/?api=1&amp;query=41.73306,-87.985127","map")</f>
        <v>map</v>
      </c>
    </row>
    <row r="833" spans="1:32">
      <c r="A833" t="s">
        <v>883</v>
      </c>
      <c r="B833" t="s">
        <v>8461</v>
      </c>
      <c r="C833" t="s">
        <v>15201</v>
      </c>
      <c r="D833" t="s">
        <v>16198</v>
      </c>
      <c r="E833" t="s">
        <v>16218</v>
      </c>
      <c r="F833" t="s">
        <v>16221</v>
      </c>
      <c r="G833" t="s">
        <v>16241</v>
      </c>
      <c r="H833" t="s">
        <v>16241</v>
      </c>
      <c r="I833" t="s">
        <v>16317</v>
      </c>
      <c r="J833" t="s">
        <v>16385</v>
      </c>
      <c r="K833">
        <v>0.459</v>
      </c>
      <c r="L833">
        <v>19975</v>
      </c>
      <c r="M833">
        <v>2919</v>
      </c>
      <c r="N833" t="s">
        <v>16393</v>
      </c>
      <c r="O833" s="4">
        <v>101188</v>
      </c>
      <c r="P833" s="4">
        <v>158572</v>
      </c>
      <c r="Q833" s="4">
        <v>259760</v>
      </c>
      <c r="R833" s="4">
        <v>779280</v>
      </c>
      <c r="S833" t="s">
        <v>17208</v>
      </c>
      <c r="T833" s="6">
        <v>31107</v>
      </c>
      <c r="U833" s="4">
        <v>55000</v>
      </c>
      <c r="X833" t="s">
        <v>3</v>
      </c>
      <c r="AA833" s="5" t="str">
        <f>HYPERLINK("https://www.zillow.com/homes/1917-KENTWOOD-CT-DARIEN-IL-60561_rb/","check listing")</f>
        <v>check listing</v>
      </c>
      <c r="AB833" s="5" t="str">
        <f>HYPERLINK("https://propertylookup.dupagecounty.gov/Datalets/Datalet.aspx?UseSearch=no&amp;mode=sales&amp;pin=1004111011","sales record")</f>
        <v>sales record</v>
      </c>
      <c r="AC833" t="s">
        <v>3</v>
      </c>
      <c r="AD833">
        <v>41.726602</v>
      </c>
      <c r="AE833">
        <v>-87.991304</v>
      </c>
      <c r="AF833" s="5" t="str">
        <f>HYPERLINK("https://www.google.com/maps/search/?api=1&amp;query=41.726602,-87.991304","map")</f>
        <v>map</v>
      </c>
    </row>
    <row r="834" spans="1:32">
      <c r="A834" t="s">
        <v>884</v>
      </c>
      <c r="B834" t="s">
        <v>8462</v>
      </c>
      <c r="C834" t="s">
        <v>15212</v>
      </c>
      <c r="D834" t="s">
        <v>16198</v>
      </c>
      <c r="E834" t="s">
        <v>16218</v>
      </c>
      <c r="F834" t="s">
        <v>16221</v>
      </c>
      <c r="G834" t="s">
        <v>16241</v>
      </c>
      <c r="H834" t="s">
        <v>16241</v>
      </c>
      <c r="I834" t="s">
        <v>16317</v>
      </c>
      <c r="J834" t="s">
        <v>16385</v>
      </c>
      <c r="K834">
        <v>0.452</v>
      </c>
      <c r="L834">
        <v>19669</v>
      </c>
      <c r="M834">
        <v>3526</v>
      </c>
      <c r="N834" t="s">
        <v>16393</v>
      </c>
      <c r="O834" s="4">
        <v>85342</v>
      </c>
      <c r="P834" s="4">
        <v>183361</v>
      </c>
      <c r="Q834" s="4">
        <v>268703</v>
      </c>
      <c r="R834" s="4">
        <v>806109</v>
      </c>
      <c r="S834" t="s">
        <v>17209</v>
      </c>
      <c r="T834" s="6">
        <v>43282</v>
      </c>
      <c r="U834" s="4">
        <v>750000</v>
      </c>
      <c r="V834" t="s">
        <v>16232</v>
      </c>
      <c r="W834" t="s">
        <v>24141</v>
      </c>
      <c r="X834" t="s">
        <v>3</v>
      </c>
      <c r="AA834" s="5" t="str">
        <f>HYPERLINK("https://www.zillow.com/homes/1512-ROYAL-OAK-RD-DARIEN-IL-605618473_rb/","check listing")</f>
        <v>check listing</v>
      </c>
      <c r="AB834" s="5" t="str">
        <f>HYPERLINK("https://propertylookup.dupagecounty.gov/Datalets/Datalet.aspx?UseSearch=no&amp;mode=sales&amp;pin=0933304005","sales record")</f>
        <v>sales record</v>
      </c>
      <c r="AC834" t="s">
        <v>3</v>
      </c>
      <c r="AD834">
        <v>41.730309</v>
      </c>
      <c r="AE834">
        <v>-87.98528399999999</v>
      </c>
      <c r="AF834" s="5" t="str">
        <f>HYPERLINK("https://www.google.com/maps/search/?api=1&amp;query=41.730309,-87.985284","map")</f>
        <v>map</v>
      </c>
    </row>
    <row r="835" spans="1:32">
      <c r="A835" t="s">
        <v>885</v>
      </c>
      <c r="B835" t="s">
        <v>8463</v>
      </c>
      <c r="C835" t="s">
        <v>15201</v>
      </c>
      <c r="D835" t="s">
        <v>16198</v>
      </c>
      <c r="E835" t="s">
        <v>16218</v>
      </c>
      <c r="F835" t="s">
        <v>16221</v>
      </c>
      <c r="G835" t="s">
        <v>16241</v>
      </c>
      <c r="H835" t="s">
        <v>16241</v>
      </c>
      <c r="I835" t="s">
        <v>16317</v>
      </c>
      <c r="J835" t="s">
        <v>16385</v>
      </c>
      <c r="K835">
        <v>0.45</v>
      </c>
      <c r="L835">
        <v>19619</v>
      </c>
      <c r="M835">
        <v>2142</v>
      </c>
      <c r="N835" t="s">
        <v>16393</v>
      </c>
      <c r="O835" s="4">
        <v>91892</v>
      </c>
      <c r="P835" s="4">
        <v>132162</v>
      </c>
      <c r="Q835" s="4">
        <v>224054</v>
      </c>
      <c r="R835" s="4">
        <v>672162</v>
      </c>
      <c r="S835" t="s">
        <v>17210</v>
      </c>
      <c r="T835" s="6">
        <v>41671</v>
      </c>
      <c r="U835" s="4">
        <v>427500</v>
      </c>
      <c r="V835" t="s">
        <v>23739</v>
      </c>
      <c r="W835" t="s">
        <v>24142</v>
      </c>
      <c r="X835" t="s">
        <v>3</v>
      </c>
      <c r="AA835" s="5" t="str">
        <f>HYPERLINK("https://www.zillow.com/homes/1505-EVERGREEN-CT-DARIEN-IL-60561_rb/","check listing")</f>
        <v>check listing</v>
      </c>
      <c r="AB835" s="5" t="str">
        <f>HYPERLINK("https://propertylookup.dupagecounty.gov/Datalets/Datalet.aspx?UseSearch=no&amp;mode=sales&amp;pin=0933404007","sales record")</f>
        <v>sales record</v>
      </c>
      <c r="AC835" t="s">
        <v>3</v>
      </c>
      <c r="AD835">
        <v>41.735238</v>
      </c>
      <c r="AE835">
        <v>-87.97840600000001</v>
      </c>
      <c r="AF835" s="5" t="str">
        <f>HYPERLINK("https://www.google.com/maps/search/?api=1&amp;query=41.735238,-87.978406","map")</f>
        <v>map</v>
      </c>
    </row>
    <row r="836" spans="1:32">
      <c r="A836" t="s">
        <v>886</v>
      </c>
      <c r="B836" t="s">
        <v>8464</v>
      </c>
      <c r="C836" t="s">
        <v>15201</v>
      </c>
      <c r="D836" t="s">
        <v>16198</v>
      </c>
      <c r="E836" t="s">
        <v>16218</v>
      </c>
      <c r="F836" t="s">
        <v>16221</v>
      </c>
      <c r="G836" t="s">
        <v>16241</v>
      </c>
      <c r="H836" t="s">
        <v>16241</v>
      </c>
      <c r="I836" t="s">
        <v>16317</v>
      </c>
      <c r="J836" t="s">
        <v>16385</v>
      </c>
      <c r="K836">
        <v>0.449</v>
      </c>
      <c r="L836">
        <v>19552</v>
      </c>
      <c r="M836">
        <v>2461</v>
      </c>
      <c r="N836" t="s">
        <v>16393</v>
      </c>
      <c r="O836" s="4">
        <v>89756</v>
      </c>
      <c r="P836" s="4">
        <v>170755</v>
      </c>
      <c r="Q836" s="4">
        <v>260511</v>
      </c>
      <c r="R836" s="4">
        <v>781533</v>
      </c>
      <c r="S836" t="s">
        <v>17211</v>
      </c>
      <c r="T836" s="6">
        <v>36678</v>
      </c>
      <c r="U836" s="4">
        <v>407500</v>
      </c>
      <c r="V836" t="s">
        <v>23740</v>
      </c>
      <c r="W836" t="s">
        <v>24143</v>
      </c>
      <c r="X836" t="s">
        <v>3</v>
      </c>
      <c r="AA836" s="5" t="str">
        <f>HYPERLINK("https://www.zillow.com/homes/8735-KENTWOOD-CT-DARIEN-IL-60561_rb/","check listing")</f>
        <v>check listing</v>
      </c>
      <c r="AB836" s="5" t="str">
        <f>HYPERLINK("https://propertylookup.dupagecounty.gov/Datalets/Datalet.aspx?UseSearch=no&amp;mode=sales&amp;pin=1004112003","sales record")</f>
        <v>sales record</v>
      </c>
      <c r="AC836" t="s">
        <v>3</v>
      </c>
      <c r="AD836">
        <v>41.728254</v>
      </c>
      <c r="AE836">
        <v>-87.991416</v>
      </c>
      <c r="AF836" s="5" t="str">
        <f>HYPERLINK("https://www.google.com/maps/search/?api=1&amp;query=41.728254,-87.991416","map")</f>
        <v>map</v>
      </c>
    </row>
    <row r="837" spans="1:32">
      <c r="A837" t="s">
        <v>887</v>
      </c>
      <c r="B837" t="s">
        <v>8465</v>
      </c>
      <c r="C837" t="s">
        <v>15204</v>
      </c>
      <c r="D837" t="s">
        <v>16198</v>
      </c>
      <c r="E837" t="s">
        <v>16218</v>
      </c>
      <c r="F837" t="s">
        <v>16221</v>
      </c>
      <c r="G837" t="s">
        <v>16241</v>
      </c>
      <c r="H837" t="s">
        <v>16241</v>
      </c>
      <c r="I837" t="s">
        <v>16317</v>
      </c>
      <c r="J837" t="s">
        <v>16385</v>
      </c>
      <c r="K837">
        <v>0.449</v>
      </c>
      <c r="L837">
        <v>19539</v>
      </c>
      <c r="M837">
        <v>2841</v>
      </c>
      <c r="N837" t="s">
        <v>16393</v>
      </c>
      <c r="O837" s="4">
        <v>112737</v>
      </c>
      <c r="P837" s="4">
        <v>131763</v>
      </c>
      <c r="Q837" s="4">
        <v>244500</v>
      </c>
      <c r="R837" s="4">
        <v>733500</v>
      </c>
      <c r="S837" t="s">
        <v>17212</v>
      </c>
      <c r="T837" s="6">
        <v>45512</v>
      </c>
      <c r="U837" s="4">
        <v>749000</v>
      </c>
      <c r="V837" t="s">
        <v>23739</v>
      </c>
      <c r="W837" t="s">
        <v>24144</v>
      </c>
      <c r="X837" t="s">
        <v>3</v>
      </c>
      <c r="AA837" s="5" t="str">
        <f>HYPERLINK("https://www.zillow.com/homes/8734-CARLISLE-CT-DARIEN-IL-605615372_rb/","check listing")</f>
        <v>check listing</v>
      </c>
      <c r="AB837" s="5" t="str">
        <f>HYPERLINK("https://propertylookup.dupagecounty.gov/Datalets/Datalet.aspx?UseSearch=no&amp;mode=sales&amp;pin=1004112012","sales record")</f>
        <v>sales record</v>
      </c>
      <c r="AC837" t="s">
        <v>3</v>
      </c>
      <c r="AD837">
        <v>41.728541</v>
      </c>
      <c r="AE837">
        <v>-87.99092</v>
      </c>
      <c r="AF837" s="5" t="str">
        <f>HYPERLINK("https://www.google.com/maps/search/?api=1&amp;query=41.728541,-87.99092","map")</f>
        <v>map</v>
      </c>
    </row>
    <row r="838" spans="1:32">
      <c r="A838" t="s">
        <v>888</v>
      </c>
      <c r="B838" t="s">
        <v>8466</v>
      </c>
      <c r="C838" t="s">
        <v>15213</v>
      </c>
      <c r="D838" t="s">
        <v>16198</v>
      </c>
      <c r="E838" t="s">
        <v>16218</v>
      </c>
      <c r="F838" t="s">
        <v>16221</v>
      </c>
      <c r="G838" t="s">
        <v>16241</v>
      </c>
      <c r="H838" t="s">
        <v>16241</v>
      </c>
      <c r="I838" t="s">
        <v>16317</v>
      </c>
      <c r="J838" t="s">
        <v>16385</v>
      </c>
      <c r="K838">
        <v>0.448</v>
      </c>
      <c r="L838">
        <v>19515</v>
      </c>
      <c r="M838">
        <v>3066</v>
      </c>
      <c r="N838" t="s">
        <v>16393</v>
      </c>
      <c r="O838" s="4">
        <v>76199</v>
      </c>
      <c r="P838" s="4">
        <v>160415</v>
      </c>
      <c r="Q838" s="4">
        <v>236614</v>
      </c>
      <c r="R838" s="4">
        <v>709842</v>
      </c>
      <c r="S838" t="s">
        <v>17213</v>
      </c>
      <c r="T838" s="6">
        <v>43009</v>
      </c>
      <c r="U838" s="4">
        <v>450000</v>
      </c>
      <c r="V838" t="s">
        <v>23739</v>
      </c>
      <c r="W838" t="s">
        <v>24145</v>
      </c>
      <c r="X838" t="s">
        <v>3</v>
      </c>
      <c r="AA838" s="5" t="str">
        <f>HYPERLINK("https://www.zillow.com/homes/1600-HEATHER-LN-DARIEN-IL-605615326_rb/","check listing")</f>
        <v>check listing</v>
      </c>
      <c r="AB838" s="5" t="str">
        <f>HYPERLINK("https://propertylookup.dupagecounty.gov/Datalets/Datalet.aspx?UseSearch=no&amp;mode=sales&amp;pin=0933305010","sales record")</f>
        <v>sales record</v>
      </c>
      <c r="AC838" t="s">
        <v>3</v>
      </c>
      <c r="AD838">
        <v>41.735841</v>
      </c>
      <c r="AE838">
        <v>-87.98432</v>
      </c>
      <c r="AF838" s="5" t="str">
        <f>HYPERLINK("https://www.google.com/maps/search/?api=1&amp;query=41.735841,-87.98432","map")</f>
        <v>map</v>
      </c>
    </row>
    <row r="839" spans="1:32">
      <c r="A839" t="s">
        <v>889</v>
      </c>
      <c r="B839" t="s">
        <v>8467</v>
      </c>
      <c r="C839" t="s">
        <v>15201</v>
      </c>
      <c r="D839" t="s">
        <v>16198</v>
      </c>
      <c r="E839" t="s">
        <v>16218</v>
      </c>
      <c r="F839" t="s">
        <v>16221</v>
      </c>
      <c r="G839" t="s">
        <v>16241</v>
      </c>
      <c r="H839" t="s">
        <v>16241</v>
      </c>
      <c r="I839" t="s">
        <v>16317</v>
      </c>
      <c r="J839" t="s">
        <v>16385</v>
      </c>
      <c r="K839">
        <v>0.445</v>
      </c>
      <c r="L839">
        <v>19377</v>
      </c>
      <c r="M839">
        <v>2704</v>
      </c>
      <c r="N839" t="s">
        <v>16393</v>
      </c>
      <c r="O839" s="4">
        <v>85812</v>
      </c>
      <c r="P839" s="4">
        <v>158584</v>
      </c>
      <c r="Q839" s="4">
        <v>244396</v>
      </c>
      <c r="R839" s="4">
        <v>733188</v>
      </c>
      <c r="S839" t="s">
        <v>17214</v>
      </c>
      <c r="T839" s="6">
        <v>45848</v>
      </c>
      <c r="U839" s="4">
        <v>875000</v>
      </c>
      <c r="V839" t="s">
        <v>23739</v>
      </c>
      <c r="W839" t="s">
        <v>24146</v>
      </c>
      <c r="X839" t="s">
        <v>3</v>
      </c>
      <c r="AA839" s="5" t="str">
        <f>HYPERLINK("https://www.zillow.com/homes/1916-KIMBERLY-CT-DARIEN-IL-60561_rb/","check listing")</f>
        <v>check listing</v>
      </c>
      <c r="AB839" s="5" t="str">
        <f>HYPERLINK("https://propertylookup.dupagecounty.gov/Datalets/Datalet.aspx?UseSearch=no&amp;mode=sales&amp;pin=1004100027","sales record")</f>
        <v>sales record</v>
      </c>
      <c r="AC839" t="s">
        <v>3</v>
      </c>
      <c r="AD839">
        <v>41.729416</v>
      </c>
      <c r="AE839">
        <v>-87.99162800000001</v>
      </c>
      <c r="AF839" s="5" t="str">
        <f>HYPERLINK("https://www.google.com/maps/search/?api=1&amp;query=41.729416,-87.991628","map")</f>
        <v>map</v>
      </c>
    </row>
    <row r="840" spans="1:32">
      <c r="A840" t="s">
        <v>890</v>
      </c>
      <c r="B840" t="s">
        <v>8468</v>
      </c>
      <c r="C840" t="s">
        <v>15201</v>
      </c>
      <c r="D840" t="s">
        <v>16198</v>
      </c>
      <c r="E840" t="s">
        <v>16218</v>
      </c>
      <c r="F840" t="s">
        <v>16221</v>
      </c>
      <c r="G840" t="s">
        <v>16241</v>
      </c>
      <c r="H840" t="s">
        <v>16241</v>
      </c>
      <c r="I840" t="s">
        <v>16317</v>
      </c>
      <c r="J840" t="s">
        <v>16385</v>
      </c>
      <c r="K840">
        <v>0.442</v>
      </c>
      <c r="L840">
        <v>19258</v>
      </c>
      <c r="M840">
        <v>4095</v>
      </c>
      <c r="N840" t="s">
        <v>16393</v>
      </c>
      <c r="O840" s="4">
        <v>98416</v>
      </c>
      <c r="P840" s="4">
        <v>219689</v>
      </c>
      <c r="Q840" s="4">
        <v>318105</v>
      </c>
      <c r="R840" s="4">
        <v>954315</v>
      </c>
      <c r="S840" t="s">
        <v>17215</v>
      </c>
      <c r="T840" s="6">
        <v>35886</v>
      </c>
      <c r="U840" s="4">
        <v>580000</v>
      </c>
      <c r="X840" t="s">
        <v>3</v>
      </c>
      <c r="AA840" s="5" t="str">
        <f>HYPERLINK("https://www.zillow.com/homes/8416-EVERGREEN-LN-DARIEN-IL-60561_rb/","check listing")</f>
        <v>check listing</v>
      </c>
      <c r="AB840" s="5" t="str">
        <f>HYPERLINK("https://propertylookup.dupagecounty.gov/Datalets/Datalet.aspx?UseSearch=no&amp;mode=sales&amp;pin=0933406011","sales record")</f>
        <v>sales record</v>
      </c>
      <c r="AC840" t="s">
        <v>3</v>
      </c>
      <c r="AD840">
        <v>41.733939</v>
      </c>
      <c r="AE840">
        <v>-87.981606</v>
      </c>
      <c r="AF840" s="5" t="str">
        <f>HYPERLINK("https://www.google.com/maps/search/?api=1&amp;query=41.733939,-87.981606","map")</f>
        <v>map</v>
      </c>
    </row>
    <row r="841" spans="1:32">
      <c r="A841" t="s">
        <v>891</v>
      </c>
      <c r="B841" t="s">
        <v>8469</v>
      </c>
      <c r="C841" t="s">
        <v>15201</v>
      </c>
      <c r="D841" t="s">
        <v>16198</v>
      </c>
      <c r="E841" t="s">
        <v>16218</v>
      </c>
      <c r="F841" t="s">
        <v>16221</v>
      </c>
      <c r="G841" t="s">
        <v>16241</v>
      </c>
      <c r="H841" t="s">
        <v>16241</v>
      </c>
      <c r="I841" t="s">
        <v>16317</v>
      </c>
      <c r="J841" t="s">
        <v>16385</v>
      </c>
      <c r="K841">
        <v>0.441</v>
      </c>
      <c r="L841">
        <v>19204</v>
      </c>
      <c r="M841">
        <v>2622</v>
      </c>
      <c r="N841" t="s">
        <v>16393</v>
      </c>
      <c r="O841" s="4">
        <v>89756</v>
      </c>
      <c r="P841" s="4">
        <v>162422</v>
      </c>
      <c r="Q841" s="4">
        <v>252178</v>
      </c>
      <c r="R841" s="4">
        <v>756534</v>
      </c>
      <c r="S841" t="s">
        <v>17216</v>
      </c>
      <c r="T841" s="6">
        <v>36373</v>
      </c>
      <c r="U841" s="4">
        <v>390000</v>
      </c>
      <c r="X841" t="s">
        <v>3</v>
      </c>
      <c r="AA841" s="5" t="str">
        <f>HYPERLINK("https://www.zillow.com/homes/8739-KENTWOOD-CT-DARIEN-IL-60561_rb/","check listing")</f>
        <v>check listing</v>
      </c>
      <c r="AB841" s="5" t="str">
        <f>HYPERLINK("https://propertylookup.dupagecounty.gov/Datalets/Datalet.aspx?UseSearch=no&amp;mode=sales&amp;pin=1004112004","sales record")</f>
        <v>sales record</v>
      </c>
      <c r="AC841" t="s">
        <v>3</v>
      </c>
      <c r="AD841">
        <v>41.727938</v>
      </c>
      <c r="AE841">
        <v>-87.99141400000001</v>
      </c>
      <c r="AF841" s="5" t="str">
        <f>HYPERLINK("https://www.google.com/maps/search/?api=1&amp;query=41.727938,-87.991414","map")</f>
        <v>map</v>
      </c>
    </row>
    <row r="842" spans="1:32">
      <c r="A842" t="s">
        <v>892</v>
      </c>
      <c r="B842" t="s">
        <v>3</v>
      </c>
      <c r="C842" t="s">
        <v>15201</v>
      </c>
      <c r="D842" t="s">
        <v>16198</v>
      </c>
      <c r="E842" t="s">
        <v>16218</v>
      </c>
      <c r="F842" t="s">
        <v>16221</v>
      </c>
      <c r="G842" t="s">
        <v>16241</v>
      </c>
      <c r="H842" t="s">
        <v>16241</v>
      </c>
      <c r="I842" t="s">
        <v>16317</v>
      </c>
      <c r="J842" t="s">
        <v>16385</v>
      </c>
      <c r="K842">
        <v>0.441</v>
      </c>
      <c r="L842">
        <v>19201</v>
      </c>
      <c r="M842">
        <v>2383</v>
      </c>
      <c r="N842" t="s">
        <v>16393</v>
      </c>
      <c r="O842" s="4">
        <v>90976</v>
      </c>
      <c r="P842" s="4">
        <v>189277</v>
      </c>
      <c r="Q842" s="4">
        <v>280253</v>
      </c>
      <c r="R842" s="4">
        <v>840759</v>
      </c>
      <c r="S842" t="s">
        <v>17217</v>
      </c>
      <c r="T842" s="6">
        <v>31929</v>
      </c>
      <c r="U842" s="4">
        <v>65000</v>
      </c>
      <c r="X842" t="s">
        <v>3</v>
      </c>
      <c r="AB842" s="5" t="str">
        <f>HYPERLINK("https://propertylookup.dupagecounty.gov/Datalets/Datalet.aspx?UseSearch=no&amp;mode=sales&amp;pin=1004111003","sales record")</f>
        <v>sales record</v>
      </c>
      <c r="AC842" t="s">
        <v>3</v>
      </c>
      <c r="AD842">
        <v>41.728274</v>
      </c>
      <c r="AE842">
        <v>-87.99226299999999</v>
      </c>
      <c r="AF842" s="5" t="str">
        <f>HYPERLINK("https://www.google.com/maps/search/?api=1&amp;query=41.728274,-87.992263","map")</f>
        <v>map</v>
      </c>
    </row>
    <row r="843" spans="1:32">
      <c r="A843" t="s">
        <v>893</v>
      </c>
      <c r="B843" t="s">
        <v>8470</v>
      </c>
      <c r="C843" t="s">
        <v>15207</v>
      </c>
      <c r="D843" t="s">
        <v>16198</v>
      </c>
      <c r="E843" t="s">
        <v>16218</v>
      </c>
      <c r="F843" t="s">
        <v>16221</v>
      </c>
      <c r="G843" t="s">
        <v>16241</v>
      </c>
      <c r="H843" t="s">
        <v>16241</v>
      </c>
      <c r="I843" t="s">
        <v>16317</v>
      </c>
      <c r="J843" t="s">
        <v>16385</v>
      </c>
      <c r="K843">
        <v>0.44</v>
      </c>
      <c r="L843">
        <v>19182</v>
      </c>
      <c r="M843">
        <v>4606</v>
      </c>
      <c r="N843" t="s">
        <v>16393</v>
      </c>
      <c r="O843" s="4">
        <v>65436</v>
      </c>
      <c r="P843" s="4">
        <v>162480</v>
      </c>
      <c r="Q843" s="4">
        <v>227916</v>
      </c>
      <c r="R843" s="4">
        <v>683748</v>
      </c>
      <c r="S843" t="s">
        <v>17218</v>
      </c>
      <c r="X843" t="s">
        <v>3</v>
      </c>
      <c r="AA843" s="5" t="str">
        <f>HYPERLINK("https://www.zillow.com/homes/8405-GLENEYRE-RD-DARIEN-IL-605615321_rb/","check listing")</f>
        <v>check listing</v>
      </c>
      <c r="AB843" s="5" t="str">
        <f>HYPERLINK("https://propertylookup.dupagecounty.gov/Datalets/Datalet.aspx?UseSearch=no&amp;mode=sales&amp;pin=0933306002","sales record")</f>
        <v>sales record</v>
      </c>
      <c r="AC843" t="s">
        <v>3</v>
      </c>
      <c r="AD843">
        <v>41.735385</v>
      </c>
      <c r="AE843">
        <v>-87.984139</v>
      </c>
      <c r="AF843" s="5" t="str">
        <f>HYPERLINK("https://www.google.com/maps/search/?api=1&amp;query=41.735385,-87.984139","map")</f>
        <v>map</v>
      </c>
    </row>
    <row r="844" spans="1:32">
      <c r="A844" t="s">
        <v>894</v>
      </c>
      <c r="B844" t="s">
        <v>8471</v>
      </c>
      <c r="C844" t="s">
        <v>15201</v>
      </c>
      <c r="D844" t="s">
        <v>16198</v>
      </c>
      <c r="E844" t="s">
        <v>16218</v>
      </c>
      <c r="F844" t="s">
        <v>16221</v>
      </c>
      <c r="G844" t="s">
        <v>16241</v>
      </c>
      <c r="H844" t="s">
        <v>16241</v>
      </c>
      <c r="I844" t="s">
        <v>16317</v>
      </c>
      <c r="J844" t="s">
        <v>16385</v>
      </c>
      <c r="K844">
        <v>0.437</v>
      </c>
      <c r="L844">
        <v>19020</v>
      </c>
      <c r="M844">
        <v>2979</v>
      </c>
      <c r="N844" t="s">
        <v>16393</v>
      </c>
      <c r="O844" s="4">
        <v>77807</v>
      </c>
      <c r="P844" s="4">
        <v>215921</v>
      </c>
      <c r="Q844" s="4">
        <v>293728</v>
      </c>
      <c r="R844" s="4">
        <v>881184</v>
      </c>
      <c r="S844" t="s">
        <v>17219</v>
      </c>
      <c r="T844" s="6">
        <v>32905</v>
      </c>
      <c r="U844" s="4">
        <v>115000</v>
      </c>
      <c r="X844" t="s">
        <v>3</v>
      </c>
      <c r="AA844" s="5" t="str">
        <f>HYPERLINK("https://www.zillow.com/homes/8814-CARLISLE-CT-DARIEN-IL-60561_rb/","check listing")</f>
        <v>check listing</v>
      </c>
      <c r="AB844" s="5" t="str">
        <f>HYPERLINK("https://propertylookup.dupagecounty.gov/Datalets/Datalet.aspx?UseSearch=no&amp;mode=sales&amp;pin=1004111013","sales record")</f>
        <v>sales record</v>
      </c>
      <c r="AC844" t="s">
        <v>3</v>
      </c>
      <c r="AD844">
        <v>41.726206</v>
      </c>
      <c r="AE844">
        <v>-87.991955</v>
      </c>
      <c r="AF844" s="5" t="str">
        <f>HYPERLINK("https://www.google.com/maps/search/?api=1&amp;query=41.726206,-87.991955","map")</f>
        <v>map</v>
      </c>
    </row>
    <row r="845" spans="1:32">
      <c r="A845" t="s">
        <v>895</v>
      </c>
      <c r="B845" t="s">
        <v>8472</v>
      </c>
      <c r="C845" t="s">
        <v>15201</v>
      </c>
      <c r="D845" t="s">
        <v>16198</v>
      </c>
      <c r="E845" t="s">
        <v>16218</v>
      </c>
      <c r="F845" t="s">
        <v>16221</v>
      </c>
      <c r="G845" t="s">
        <v>16241</v>
      </c>
      <c r="H845" t="s">
        <v>16241</v>
      </c>
      <c r="I845" t="s">
        <v>16317</v>
      </c>
      <c r="J845" t="s">
        <v>16385</v>
      </c>
      <c r="K845">
        <v>0.435</v>
      </c>
      <c r="L845">
        <v>18927</v>
      </c>
      <c r="M845">
        <v>3609</v>
      </c>
      <c r="N845" t="s">
        <v>16393</v>
      </c>
      <c r="O845" s="4">
        <v>98406</v>
      </c>
      <c r="P845" s="4">
        <v>222529</v>
      </c>
      <c r="Q845" s="4">
        <v>320935</v>
      </c>
      <c r="R845" s="4">
        <v>962805</v>
      </c>
      <c r="S845" t="s">
        <v>17220</v>
      </c>
      <c r="T845" s="6">
        <v>41061</v>
      </c>
      <c r="U845" s="4">
        <v>668000</v>
      </c>
      <c r="V845" t="s">
        <v>23739</v>
      </c>
      <c r="W845" t="s">
        <v>17220</v>
      </c>
      <c r="X845" t="s">
        <v>3</v>
      </c>
      <c r="AA845" s="5" t="str">
        <f>HYPERLINK("https://www.zillow.com/homes/8412-EVERGREEN-LN-DARIEN-IL-60561_rb/","check listing")</f>
        <v>check listing</v>
      </c>
      <c r="AB845" s="5" t="str">
        <f>HYPERLINK("https://propertylookup.dupagecounty.gov/Datalets/Datalet.aspx?UseSearch=no&amp;mode=sales&amp;pin=0933406010","sales record")</f>
        <v>sales record</v>
      </c>
      <c r="AC845" t="s">
        <v>3</v>
      </c>
      <c r="AD845">
        <v>41.734195</v>
      </c>
      <c r="AE845">
        <v>-87.981475</v>
      </c>
      <c r="AF845" s="5" t="str">
        <f>HYPERLINK("https://www.google.com/maps/search/?api=1&amp;query=41.734195,-87.981475","map")</f>
        <v>map</v>
      </c>
    </row>
    <row r="846" spans="1:32">
      <c r="A846" t="s">
        <v>896</v>
      </c>
      <c r="B846" t="s">
        <v>8473</v>
      </c>
      <c r="C846" t="s">
        <v>15201</v>
      </c>
      <c r="D846" t="s">
        <v>16198</v>
      </c>
      <c r="E846" t="s">
        <v>16218</v>
      </c>
      <c r="F846" t="s">
        <v>16221</v>
      </c>
      <c r="G846" t="s">
        <v>16241</v>
      </c>
      <c r="H846" t="s">
        <v>16241</v>
      </c>
      <c r="I846" t="s">
        <v>16317</v>
      </c>
      <c r="J846" t="s">
        <v>16385</v>
      </c>
      <c r="K846">
        <v>0.434</v>
      </c>
      <c r="L846">
        <v>18919</v>
      </c>
      <c r="M846">
        <v>2806</v>
      </c>
      <c r="N846" t="s">
        <v>16393</v>
      </c>
      <c r="O846" s="4">
        <v>93735</v>
      </c>
      <c r="P846" s="4">
        <v>190544</v>
      </c>
      <c r="Q846" s="4">
        <v>284279</v>
      </c>
      <c r="R846" s="4">
        <v>852837</v>
      </c>
      <c r="S846" t="s">
        <v>17221</v>
      </c>
      <c r="X846" t="s">
        <v>3</v>
      </c>
      <c r="AA846" s="5" t="str">
        <f>HYPERLINK("https://www.zillow.com/homes/8726-CARLISLE-CT-DARIEN-IL-60561_rb/","check listing")</f>
        <v>check listing</v>
      </c>
      <c r="AB846" s="5" t="str">
        <f>HYPERLINK("https://propertylookup.dupagecounty.gov/Datalets/Datalet.aspx?UseSearch=no&amp;mode=sales&amp;pin=1004112013","sales record")</f>
        <v>sales record</v>
      </c>
      <c r="AC846" t="s">
        <v>3</v>
      </c>
      <c r="AD846">
        <v>41.728876</v>
      </c>
      <c r="AE846">
        <v>-87.991484</v>
      </c>
      <c r="AF846" s="5" t="str">
        <f>HYPERLINK("https://www.google.com/maps/search/?api=1&amp;query=41.728876,-87.991484","map")</f>
        <v>map</v>
      </c>
    </row>
    <row r="847" spans="1:32">
      <c r="A847" t="s">
        <v>897</v>
      </c>
      <c r="B847" t="s">
        <v>8474</v>
      </c>
      <c r="C847" t="s">
        <v>15201</v>
      </c>
      <c r="D847" t="s">
        <v>16198</v>
      </c>
      <c r="E847" t="s">
        <v>16218</v>
      </c>
      <c r="F847" t="s">
        <v>16221</v>
      </c>
      <c r="G847" t="s">
        <v>16241</v>
      </c>
      <c r="H847" t="s">
        <v>16241</v>
      </c>
      <c r="I847" t="s">
        <v>16317</v>
      </c>
      <c r="J847" t="s">
        <v>16385</v>
      </c>
      <c r="K847">
        <v>0.43</v>
      </c>
      <c r="L847">
        <v>18736</v>
      </c>
      <c r="M847">
        <v>2806</v>
      </c>
      <c r="N847" t="s">
        <v>16393</v>
      </c>
      <c r="O847" s="4">
        <v>94791</v>
      </c>
      <c r="P847" s="4">
        <v>113641</v>
      </c>
      <c r="Q847" s="4">
        <v>208432</v>
      </c>
      <c r="R847" s="4">
        <v>625296</v>
      </c>
      <c r="S847" t="s">
        <v>17222</v>
      </c>
      <c r="T847" s="6">
        <v>40603</v>
      </c>
      <c r="U847" s="4">
        <v>325000</v>
      </c>
      <c r="V847" t="s">
        <v>23740</v>
      </c>
      <c r="W847" t="s">
        <v>24147</v>
      </c>
      <c r="X847" t="s">
        <v>3</v>
      </c>
      <c r="AA847" s="5" t="str">
        <f>HYPERLINK("https://www.zillow.com/homes/8422-CARRIAGE-GREEN-DARIEN-IL-60561_rb/","check listing")</f>
        <v>check listing</v>
      </c>
      <c r="AB847" s="5" t="str">
        <f>HYPERLINK("https://propertylookup.dupagecounty.gov/Datalets/Datalet.aspx?UseSearch=no&amp;mode=sales&amp;pin=0933301003","sales record")</f>
        <v>sales record</v>
      </c>
      <c r="AC847" t="s">
        <v>3</v>
      </c>
      <c r="AD847">
        <v>41.734069</v>
      </c>
      <c r="AE847">
        <v>-87.988202</v>
      </c>
      <c r="AF847" s="5" t="str">
        <f>HYPERLINK("https://www.google.com/maps/search/?api=1&amp;query=41.734069,-87.988202","map")</f>
        <v>map</v>
      </c>
    </row>
    <row r="848" spans="1:32">
      <c r="A848" t="s">
        <v>898</v>
      </c>
      <c r="B848" t="s">
        <v>8475</v>
      </c>
      <c r="C848" t="s">
        <v>15201</v>
      </c>
      <c r="D848" t="s">
        <v>16198</v>
      </c>
      <c r="E848" t="s">
        <v>16218</v>
      </c>
      <c r="F848" t="s">
        <v>16221</v>
      </c>
      <c r="G848" t="s">
        <v>16241</v>
      </c>
      <c r="H848" t="s">
        <v>16241</v>
      </c>
      <c r="I848" t="s">
        <v>16317</v>
      </c>
      <c r="J848" t="s">
        <v>16385</v>
      </c>
      <c r="K848">
        <v>0.43</v>
      </c>
      <c r="L848">
        <v>18723</v>
      </c>
      <c r="M848">
        <v>2908</v>
      </c>
      <c r="N848" t="s">
        <v>16393</v>
      </c>
      <c r="O848" s="4">
        <v>86493</v>
      </c>
      <c r="P848" s="4">
        <v>182047</v>
      </c>
      <c r="Q848" s="4">
        <v>268540</v>
      </c>
      <c r="R848" s="4">
        <v>805620</v>
      </c>
      <c r="S848" t="s">
        <v>17223</v>
      </c>
      <c r="T848" s="6">
        <v>41518</v>
      </c>
      <c r="U848" s="4">
        <v>610000</v>
      </c>
      <c r="V848" t="s">
        <v>23739</v>
      </c>
      <c r="W848" t="s">
        <v>24148</v>
      </c>
      <c r="X848" t="s">
        <v>3</v>
      </c>
      <c r="AA848" s="5" t="str">
        <f>HYPERLINK("https://www.zillow.com/homes/1525-WINTERBERRY-LN-DARIEN-IL-60561_rb/","check listing")</f>
        <v>check listing</v>
      </c>
      <c r="AB848" s="5" t="str">
        <f>HYPERLINK("https://propertylookup.dupagecounty.gov/Datalets/Datalet.aspx?UseSearch=no&amp;mode=sales&amp;pin=0933405002","sales record")</f>
        <v>sales record</v>
      </c>
      <c r="AC848" t="s">
        <v>3</v>
      </c>
      <c r="AD848">
        <v>41.73408</v>
      </c>
      <c r="AE848">
        <v>-87.980311</v>
      </c>
      <c r="AF848" s="5" t="str">
        <f>HYPERLINK("https://www.google.com/maps/search/?api=1&amp;query=41.73408,-87.980311","map")</f>
        <v>map</v>
      </c>
    </row>
    <row r="849" spans="1:32">
      <c r="A849" t="s">
        <v>899</v>
      </c>
      <c r="B849" t="s">
        <v>8476</v>
      </c>
      <c r="C849" t="s">
        <v>15201</v>
      </c>
      <c r="D849" t="s">
        <v>16198</v>
      </c>
      <c r="E849" t="s">
        <v>16218</v>
      </c>
      <c r="F849" t="s">
        <v>16221</v>
      </c>
      <c r="G849" t="s">
        <v>16241</v>
      </c>
      <c r="H849" t="s">
        <v>16241</v>
      </c>
      <c r="I849" t="s">
        <v>16317</v>
      </c>
      <c r="J849" t="s">
        <v>16385</v>
      </c>
      <c r="K849">
        <v>0.427</v>
      </c>
      <c r="L849">
        <v>18596</v>
      </c>
      <c r="M849">
        <v>2458</v>
      </c>
      <c r="N849" t="s">
        <v>16393</v>
      </c>
      <c r="O849" s="4">
        <v>98406</v>
      </c>
      <c r="P849" s="4">
        <v>151400</v>
      </c>
      <c r="Q849" s="4">
        <v>249806</v>
      </c>
      <c r="R849" s="4">
        <v>749418</v>
      </c>
      <c r="S849" t="s">
        <v>17224</v>
      </c>
      <c r="T849" s="6">
        <v>32325</v>
      </c>
      <c r="U849" s="4">
        <v>305000</v>
      </c>
      <c r="X849" t="s">
        <v>3</v>
      </c>
      <c r="AA849" s="5" t="str">
        <f>HYPERLINK("https://www.zillow.com/homes/8408-EVERGREEN-LN-DARIEN-IL-60561_rb/","check listing")</f>
        <v>check listing</v>
      </c>
      <c r="AB849" s="5" t="str">
        <f>HYPERLINK("https://propertylookup.dupagecounty.gov/Datalets/Datalet.aspx?UseSearch=no&amp;mode=sales&amp;pin=0933406009","sales record")</f>
        <v>sales record</v>
      </c>
      <c r="AC849" t="s">
        <v>3</v>
      </c>
      <c r="AD849">
        <v>41.734452</v>
      </c>
      <c r="AE849">
        <v>-87.981345</v>
      </c>
      <c r="AF849" s="5" t="str">
        <f>HYPERLINK("https://www.google.com/maps/search/?api=1&amp;query=41.734452,-87.981345","map")</f>
        <v>map</v>
      </c>
    </row>
    <row r="850" spans="1:32">
      <c r="A850" t="s">
        <v>900</v>
      </c>
      <c r="B850" t="s">
        <v>8477</v>
      </c>
      <c r="C850" t="s">
        <v>15214</v>
      </c>
      <c r="D850" t="s">
        <v>16198</v>
      </c>
      <c r="E850" t="s">
        <v>16218</v>
      </c>
      <c r="F850" t="s">
        <v>16221</v>
      </c>
      <c r="G850" t="s">
        <v>16241</v>
      </c>
      <c r="H850" t="s">
        <v>16241</v>
      </c>
      <c r="I850" t="s">
        <v>16317</v>
      </c>
      <c r="J850" t="s">
        <v>16385</v>
      </c>
      <c r="K850">
        <v>0.422</v>
      </c>
      <c r="L850">
        <v>18402</v>
      </c>
      <c r="M850">
        <v>2485</v>
      </c>
      <c r="N850" t="s">
        <v>16393</v>
      </c>
      <c r="O850" s="4">
        <v>87185</v>
      </c>
      <c r="P850" s="4">
        <v>150860</v>
      </c>
      <c r="Q850" s="4">
        <v>238045</v>
      </c>
      <c r="R850" s="4">
        <v>714135</v>
      </c>
      <c r="S850" t="s">
        <v>17225</v>
      </c>
      <c r="T850" s="6">
        <v>43891</v>
      </c>
      <c r="U850" s="4">
        <v>450000</v>
      </c>
      <c r="V850" t="s">
        <v>23739</v>
      </c>
      <c r="W850" t="s">
        <v>24149</v>
      </c>
      <c r="X850" t="s">
        <v>3</v>
      </c>
      <c r="AA850" s="5" t="str">
        <f>HYPERLINK("https://www.zillow.com/homes/8738-KENTWOOD-CT-DARIEN-IL-605615367_rb/","check listing")</f>
        <v>check listing</v>
      </c>
      <c r="AB850" s="5" t="str">
        <f>HYPERLINK("https://propertylookup.dupagecounty.gov/Datalets/Datalet.aspx?UseSearch=no&amp;mode=sales&amp;pin=1004111004","sales record")</f>
        <v>sales record</v>
      </c>
      <c r="AC850" t="s">
        <v>3</v>
      </c>
      <c r="AD850">
        <v>41.727981</v>
      </c>
      <c r="AE850">
        <v>-87.992255</v>
      </c>
      <c r="AF850" s="5" t="str">
        <f>HYPERLINK("https://www.google.com/maps/search/?api=1&amp;query=41.727981,-87.992255","map")</f>
        <v>map</v>
      </c>
    </row>
    <row r="851" spans="1:32">
      <c r="A851" t="s">
        <v>901</v>
      </c>
      <c r="B851" t="s">
        <v>8478</v>
      </c>
      <c r="C851" t="s">
        <v>15201</v>
      </c>
      <c r="D851" t="s">
        <v>16198</v>
      </c>
      <c r="E851" t="s">
        <v>16218</v>
      </c>
      <c r="F851" t="s">
        <v>16221</v>
      </c>
      <c r="G851" t="s">
        <v>16241</v>
      </c>
      <c r="H851" t="s">
        <v>16241</v>
      </c>
      <c r="I851" t="s">
        <v>16317</v>
      </c>
      <c r="J851" t="s">
        <v>16385</v>
      </c>
      <c r="K851">
        <v>0.422</v>
      </c>
      <c r="L851">
        <v>18402</v>
      </c>
      <c r="M851">
        <v>2986</v>
      </c>
      <c r="N851" t="s">
        <v>16393</v>
      </c>
      <c r="O851" s="4">
        <v>87185</v>
      </c>
      <c r="P851" s="4">
        <v>182105</v>
      </c>
      <c r="Q851" s="4">
        <v>269290</v>
      </c>
      <c r="R851" s="4">
        <v>807870</v>
      </c>
      <c r="S851" t="s">
        <v>17226</v>
      </c>
      <c r="T851" s="6">
        <v>45618</v>
      </c>
      <c r="U851" s="4">
        <v>650000</v>
      </c>
      <c r="V851" t="s">
        <v>23741</v>
      </c>
      <c r="W851" t="s">
        <v>24150</v>
      </c>
      <c r="X851" t="s">
        <v>3</v>
      </c>
      <c r="AA851" s="5" t="str">
        <f>HYPERLINK("https://www.zillow.com/homes/8755-CARLISLE-CT-DARIEN-IL-60561_rb/","check listing")</f>
        <v>check listing</v>
      </c>
      <c r="AB851" s="5" t="str">
        <f>HYPERLINK("https://propertylookup.dupagecounty.gov/Datalets/Datalet.aspx?UseSearch=no&amp;mode=sales&amp;pin=1004100013","sales record")</f>
        <v>sales record</v>
      </c>
      <c r="AC851" t="s">
        <v>3</v>
      </c>
      <c r="AD851">
        <v>41.727548</v>
      </c>
      <c r="AE851">
        <v>-87.989931</v>
      </c>
      <c r="AF851" s="5" t="str">
        <f>HYPERLINK("https://www.google.com/maps/search/?api=1&amp;query=41.727548,-87.989931","map")</f>
        <v>map</v>
      </c>
    </row>
    <row r="852" spans="1:32">
      <c r="A852" t="s">
        <v>902</v>
      </c>
      <c r="B852" t="s">
        <v>8479</v>
      </c>
      <c r="C852" t="s">
        <v>15215</v>
      </c>
      <c r="D852" t="s">
        <v>16198</v>
      </c>
      <c r="E852" t="s">
        <v>16218</v>
      </c>
      <c r="F852" t="s">
        <v>16221</v>
      </c>
      <c r="G852" t="s">
        <v>16241</v>
      </c>
      <c r="H852" t="s">
        <v>16241</v>
      </c>
      <c r="I852" t="s">
        <v>16317</v>
      </c>
      <c r="J852" t="s">
        <v>16385</v>
      </c>
      <c r="K852">
        <v>0.422</v>
      </c>
      <c r="L852">
        <v>18380</v>
      </c>
      <c r="M852">
        <v>2575</v>
      </c>
      <c r="N852" t="s">
        <v>16393</v>
      </c>
      <c r="O852" s="4">
        <v>104251</v>
      </c>
      <c r="P852" s="4">
        <v>152140</v>
      </c>
      <c r="Q852" s="4">
        <v>256391</v>
      </c>
      <c r="R852" s="4">
        <v>769173</v>
      </c>
      <c r="S852" t="s">
        <v>17227</v>
      </c>
      <c r="T852" s="6">
        <v>36434</v>
      </c>
      <c r="U852" s="4">
        <v>560000</v>
      </c>
      <c r="X852" t="s">
        <v>3</v>
      </c>
      <c r="AA852" s="5" t="str">
        <f>HYPERLINK("https://www.zillow.com/homes/8721-CARRIAGE-GREEN-DARIEN-IL-605618468_rb/","check listing")</f>
        <v>check listing</v>
      </c>
      <c r="AB852" s="5" t="str">
        <f>HYPERLINK("https://propertylookup.dupagecounty.gov/Datalets/Datalet.aspx?UseSearch=no&amp;mode=sales&amp;pin=0933304004","sales record")</f>
        <v>sales record</v>
      </c>
      <c r="AC852" t="s">
        <v>3</v>
      </c>
      <c r="AD852">
        <v>41.729967</v>
      </c>
      <c r="AE852">
        <v>-87.985545</v>
      </c>
      <c r="AF852" s="5" t="str">
        <f>HYPERLINK("https://www.google.com/maps/search/?api=1&amp;query=41.729967,-87.985545","map")</f>
        <v>map</v>
      </c>
    </row>
    <row r="853" spans="1:32">
      <c r="A853" t="s">
        <v>903</v>
      </c>
      <c r="B853" t="s">
        <v>8480</v>
      </c>
      <c r="C853" t="s">
        <v>15201</v>
      </c>
      <c r="D853" t="s">
        <v>16198</v>
      </c>
      <c r="E853" t="s">
        <v>16218</v>
      </c>
      <c r="F853" t="s">
        <v>16221</v>
      </c>
      <c r="G853" t="s">
        <v>16241</v>
      </c>
      <c r="H853" t="s">
        <v>16241</v>
      </c>
      <c r="I853" t="s">
        <v>16317</v>
      </c>
      <c r="J853" t="s">
        <v>16385</v>
      </c>
      <c r="K853">
        <v>0.421</v>
      </c>
      <c r="L853">
        <v>18354</v>
      </c>
      <c r="M853">
        <v>2976</v>
      </c>
      <c r="N853" t="s">
        <v>16393</v>
      </c>
      <c r="O853" s="4">
        <v>92220</v>
      </c>
      <c r="P853" s="4">
        <v>131165</v>
      </c>
      <c r="Q853" s="4">
        <v>223385</v>
      </c>
      <c r="R853" s="4">
        <v>670155</v>
      </c>
      <c r="S853" t="s">
        <v>17228</v>
      </c>
      <c r="T853" s="6">
        <v>37012</v>
      </c>
      <c r="U853" s="4">
        <v>525000</v>
      </c>
      <c r="V853" t="s">
        <v>23739</v>
      </c>
      <c r="W853" t="s">
        <v>24151</v>
      </c>
      <c r="X853" t="s">
        <v>3</v>
      </c>
      <c r="AA853" s="5" t="str">
        <f>HYPERLINK("https://www.zillow.com/homes/8434-CARRIAGE-GREEN-DARIEN-IL-60561_rb/","check listing")</f>
        <v>check listing</v>
      </c>
      <c r="AB853" s="5" t="str">
        <f>HYPERLINK("https://propertylookup.dupagecounty.gov/Datalets/Datalet.aspx?UseSearch=no&amp;mode=sales&amp;pin=0933301006","sales record")</f>
        <v>sales record</v>
      </c>
      <c r="AC853" t="s">
        <v>3</v>
      </c>
      <c r="AD853">
        <v>41.733465</v>
      </c>
      <c r="AE853">
        <v>-87.98775500000001</v>
      </c>
      <c r="AF853" s="5" t="str">
        <f>HYPERLINK("https://www.google.com/maps/search/?api=1&amp;query=41.733465,-87.987755","map")</f>
        <v>map</v>
      </c>
    </row>
    <row r="854" spans="1:32">
      <c r="A854" t="s">
        <v>904</v>
      </c>
      <c r="B854" t="s">
        <v>8481</v>
      </c>
      <c r="C854" t="s">
        <v>15201</v>
      </c>
      <c r="D854" t="s">
        <v>16198</v>
      </c>
      <c r="E854" t="s">
        <v>16218</v>
      </c>
      <c r="F854" t="s">
        <v>16221</v>
      </c>
      <c r="G854" t="s">
        <v>16241</v>
      </c>
      <c r="H854" t="s">
        <v>16241</v>
      </c>
      <c r="I854" t="s">
        <v>16317</v>
      </c>
      <c r="J854" t="s">
        <v>16385</v>
      </c>
      <c r="K854">
        <v>0.42</v>
      </c>
      <c r="L854">
        <v>18293</v>
      </c>
      <c r="M854">
        <v>2540</v>
      </c>
      <c r="N854" t="s">
        <v>16393</v>
      </c>
      <c r="O854" s="4">
        <v>92948</v>
      </c>
      <c r="P854" s="4">
        <v>132526</v>
      </c>
      <c r="Q854" s="4">
        <v>225474</v>
      </c>
      <c r="R854" s="4">
        <v>676422</v>
      </c>
      <c r="S854" t="s">
        <v>17229</v>
      </c>
      <c r="T854" s="6">
        <v>36647</v>
      </c>
      <c r="U854" s="4">
        <v>484400</v>
      </c>
      <c r="V854" t="s">
        <v>23739</v>
      </c>
      <c r="W854" t="s">
        <v>17229</v>
      </c>
      <c r="X854" t="s">
        <v>3</v>
      </c>
      <c r="AA854" s="5" t="str">
        <f>HYPERLINK("https://www.zillow.com/homes/8713-CARRIAGE-GREENS-DARIEN-IL-60561_rb/","check listing")</f>
        <v>check listing</v>
      </c>
      <c r="AB854" s="5" t="str">
        <f>HYPERLINK("https://propertylookup.dupagecounty.gov/Datalets/Datalet.aspx?UseSearch=no&amp;mode=sales&amp;pin=0933304002","sales record")</f>
        <v>sales record</v>
      </c>
      <c r="AC854" t="s">
        <v>3</v>
      </c>
      <c r="AD854">
        <v>41.730288</v>
      </c>
      <c r="AE854">
        <v>-87.986081</v>
      </c>
      <c r="AF854" s="5" t="str">
        <f>HYPERLINK("https://www.google.com/maps/search/?api=1&amp;query=41.730288,-87.986081","map")</f>
        <v>map</v>
      </c>
    </row>
    <row r="855" spans="1:32">
      <c r="A855" t="s">
        <v>905</v>
      </c>
      <c r="B855" t="s">
        <v>8482</v>
      </c>
      <c r="C855" t="s">
        <v>15213</v>
      </c>
      <c r="D855" t="s">
        <v>16198</v>
      </c>
      <c r="E855" t="s">
        <v>16218</v>
      </c>
      <c r="F855" t="s">
        <v>16221</v>
      </c>
      <c r="G855" t="s">
        <v>16241</v>
      </c>
      <c r="H855" t="s">
        <v>16241</v>
      </c>
      <c r="I855" t="s">
        <v>16317</v>
      </c>
      <c r="J855" t="s">
        <v>16385</v>
      </c>
      <c r="K855">
        <v>0.419</v>
      </c>
      <c r="L855">
        <v>18243</v>
      </c>
      <c r="M855">
        <v>3367</v>
      </c>
      <c r="N855" t="s">
        <v>16393</v>
      </c>
      <c r="O855" s="4">
        <v>99768</v>
      </c>
      <c r="P855" s="4">
        <v>162997</v>
      </c>
      <c r="Q855" s="4">
        <v>262765</v>
      </c>
      <c r="R855" s="4">
        <v>788295</v>
      </c>
      <c r="S855" t="s">
        <v>17230</v>
      </c>
      <c r="T855" s="6">
        <v>43344</v>
      </c>
      <c r="U855" s="4">
        <v>625000</v>
      </c>
      <c r="V855" t="s">
        <v>23740</v>
      </c>
      <c r="W855" t="s">
        <v>24152</v>
      </c>
      <c r="X855" t="s">
        <v>3</v>
      </c>
      <c r="AA855" s="5" t="str">
        <f>HYPERLINK("https://www.zillow.com/homes/1622-HEATHER-LN-DARIEN-IL-605615326_rb/","check listing")</f>
        <v>check listing</v>
      </c>
      <c r="AB855" s="5" t="str">
        <f>HYPERLINK("https://propertylookup.dupagecounty.gov/Datalets/Datalet.aspx?UseSearch=no&amp;mode=sales&amp;pin=0933305005","sales record")</f>
        <v>sales record</v>
      </c>
      <c r="AC855" t="s">
        <v>3</v>
      </c>
      <c r="AD855">
        <v>41.735736</v>
      </c>
      <c r="AE855">
        <v>-87.986288</v>
      </c>
      <c r="AF855" s="5" t="str">
        <f>HYPERLINK("https://www.google.com/maps/search/?api=1&amp;query=41.735736,-87.986288","map")</f>
        <v>map</v>
      </c>
    </row>
    <row r="856" spans="1:32">
      <c r="A856" t="s">
        <v>906</v>
      </c>
      <c r="B856" t="s">
        <v>8483</v>
      </c>
      <c r="C856" t="s">
        <v>15216</v>
      </c>
      <c r="D856" t="s">
        <v>16198</v>
      </c>
      <c r="E856" t="s">
        <v>16218</v>
      </c>
      <c r="F856" t="s">
        <v>16221</v>
      </c>
      <c r="G856" t="s">
        <v>16241</v>
      </c>
      <c r="H856" t="s">
        <v>16241</v>
      </c>
      <c r="I856" t="s">
        <v>16317</v>
      </c>
      <c r="J856" t="s">
        <v>16385</v>
      </c>
      <c r="K856">
        <v>0.418</v>
      </c>
      <c r="L856">
        <v>18228</v>
      </c>
      <c r="M856">
        <v>5272</v>
      </c>
      <c r="N856" t="s">
        <v>16393</v>
      </c>
      <c r="O856" s="4">
        <v>93617</v>
      </c>
      <c r="P856" s="4">
        <v>249114</v>
      </c>
      <c r="Q856" s="4">
        <v>342731</v>
      </c>
      <c r="R856" s="4">
        <v>1028193</v>
      </c>
      <c r="S856" t="s">
        <v>17231</v>
      </c>
      <c r="T856" s="6">
        <v>45392</v>
      </c>
      <c r="U856" s="4">
        <v>920000</v>
      </c>
      <c r="V856" t="s">
        <v>23739</v>
      </c>
      <c r="W856" t="s">
        <v>17231</v>
      </c>
      <c r="X856" t="s">
        <v>3</v>
      </c>
      <c r="AA856" s="5" t="str">
        <f>HYPERLINK("https://www.zillow.com/homes/8400-GLENEYRE-RD-DARIEN-IL-605615322_rb/","check listing")</f>
        <v>check listing</v>
      </c>
      <c r="AB856" s="5" t="str">
        <f>HYPERLINK("https://propertylookup.dupagecounty.gov/Datalets/Datalet.aspx?UseSearch=no&amp;mode=sales&amp;pin=0933302032","sales record")</f>
        <v>sales record</v>
      </c>
      <c r="AC856" t="s">
        <v>3</v>
      </c>
      <c r="AD856">
        <v>41.73525</v>
      </c>
      <c r="AE856">
        <v>-87.985029</v>
      </c>
      <c r="AF856" s="5" t="str">
        <f>HYPERLINK("https://www.google.com/maps/search/?api=1&amp;query=41.73525,-87.985029","map")</f>
        <v>map</v>
      </c>
    </row>
    <row r="857" spans="1:32">
      <c r="A857" t="s">
        <v>907</v>
      </c>
      <c r="B857" t="s">
        <v>8484</v>
      </c>
      <c r="C857" t="s">
        <v>15201</v>
      </c>
      <c r="D857" t="s">
        <v>16198</v>
      </c>
      <c r="E857" t="s">
        <v>16218</v>
      </c>
      <c r="F857" t="s">
        <v>16221</v>
      </c>
      <c r="G857" t="s">
        <v>16241</v>
      </c>
      <c r="H857" t="s">
        <v>16241</v>
      </c>
      <c r="I857" t="s">
        <v>16317</v>
      </c>
      <c r="J857" t="s">
        <v>16385</v>
      </c>
      <c r="K857">
        <v>0.417</v>
      </c>
      <c r="L857">
        <v>18171</v>
      </c>
      <c r="M857">
        <v>3339</v>
      </c>
      <c r="N857" t="s">
        <v>16393</v>
      </c>
      <c r="O857" s="4">
        <v>100495</v>
      </c>
      <c r="P857" s="4">
        <v>166330</v>
      </c>
      <c r="Q857" s="4">
        <v>266825</v>
      </c>
      <c r="R857" s="4">
        <v>800475</v>
      </c>
      <c r="S857" t="s">
        <v>17232</v>
      </c>
      <c r="T857" s="6">
        <v>38534</v>
      </c>
      <c r="U857" s="4">
        <v>650000</v>
      </c>
      <c r="V857" t="s">
        <v>23739</v>
      </c>
      <c r="W857" t="s">
        <v>17232</v>
      </c>
      <c r="X857" t="s">
        <v>3</v>
      </c>
      <c r="AA857" s="5" t="str">
        <f>HYPERLINK("https://www.zillow.com/homes/1513-ROYAL-OAK-RD-DARIEN-IL-60561_rb/","check listing")</f>
        <v>check listing</v>
      </c>
      <c r="AB857" s="5" t="str">
        <f>HYPERLINK("https://propertylookup.dupagecounty.gov/Datalets/Datalet.aspx?UseSearch=no&amp;mode=sales&amp;pin=1004103005","sales record")</f>
        <v>sales record</v>
      </c>
      <c r="AC857" t="s">
        <v>3</v>
      </c>
      <c r="AD857">
        <v>41.729571</v>
      </c>
      <c r="AE857">
        <v>-87.985063</v>
      </c>
      <c r="AF857" s="5" t="str">
        <f>HYPERLINK("https://www.google.com/maps/search/?api=1&amp;query=41.729571,-87.985063","map")</f>
        <v>map</v>
      </c>
    </row>
    <row r="858" spans="1:32">
      <c r="A858" t="s">
        <v>908</v>
      </c>
      <c r="B858" t="s">
        <v>8485</v>
      </c>
      <c r="C858" t="s">
        <v>15201</v>
      </c>
      <c r="D858" t="s">
        <v>16198</v>
      </c>
      <c r="E858" t="s">
        <v>16218</v>
      </c>
      <c r="F858" t="s">
        <v>16221</v>
      </c>
      <c r="G858" t="s">
        <v>16241</v>
      </c>
      <c r="H858" t="s">
        <v>16241</v>
      </c>
      <c r="I858" t="s">
        <v>16317</v>
      </c>
      <c r="J858" t="s">
        <v>16385</v>
      </c>
      <c r="K858">
        <v>0.416</v>
      </c>
      <c r="L858">
        <v>18131</v>
      </c>
      <c r="M858">
        <v>4688</v>
      </c>
      <c r="N858" t="s">
        <v>16393</v>
      </c>
      <c r="O858" s="4">
        <v>71141</v>
      </c>
      <c r="P858" s="4">
        <v>232717</v>
      </c>
      <c r="Q858" s="4">
        <v>303858</v>
      </c>
      <c r="R858" s="4">
        <v>911574</v>
      </c>
      <c r="S858" t="s">
        <v>17233</v>
      </c>
      <c r="T858" s="6">
        <v>38838</v>
      </c>
      <c r="U858" s="4">
        <v>775000</v>
      </c>
      <c r="V858" t="s">
        <v>23739</v>
      </c>
      <c r="W858" t="s">
        <v>24153</v>
      </c>
      <c r="X858" t="s">
        <v>3</v>
      </c>
      <c r="AA858" s="5" t="str">
        <f>HYPERLINK("https://www.zillow.com/homes/8743-CARLISLE-CT-DARIEN-IL-60561_rb/","check listing")</f>
        <v>check listing</v>
      </c>
      <c r="AB858" s="5" t="str">
        <f>HYPERLINK("https://propertylookup.dupagecounty.gov/Datalets/Datalet.aspx?UseSearch=no&amp;mode=sales&amp;pin=1004100010","sales record")</f>
        <v>sales record</v>
      </c>
      <c r="AC858" t="s">
        <v>3</v>
      </c>
      <c r="AD858">
        <v>41.728511</v>
      </c>
      <c r="AE858">
        <v>-87.989704</v>
      </c>
      <c r="AF858" s="5" t="str">
        <f>HYPERLINK("https://www.google.com/maps/search/?api=1&amp;query=41.728511,-87.989704","map")</f>
        <v>map</v>
      </c>
    </row>
    <row r="859" spans="1:32">
      <c r="A859" t="s">
        <v>909</v>
      </c>
      <c r="B859" t="s">
        <v>8486</v>
      </c>
      <c r="C859" t="s">
        <v>15201</v>
      </c>
      <c r="D859" t="s">
        <v>16198</v>
      </c>
      <c r="E859" t="s">
        <v>16218</v>
      </c>
      <c r="F859" t="s">
        <v>16221</v>
      </c>
      <c r="G859" t="s">
        <v>16241</v>
      </c>
      <c r="H859" t="s">
        <v>16241</v>
      </c>
      <c r="I859" t="s">
        <v>16317</v>
      </c>
      <c r="J859" t="s">
        <v>16385</v>
      </c>
      <c r="K859">
        <v>0.415</v>
      </c>
      <c r="L859">
        <v>18077</v>
      </c>
      <c r="M859">
        <v>2268</v>
      </c>
      <c r="N859" t="s">
        <v>16393</v>
      </c>
      <c r="O859" s="4">
        <v>83054</v>
      </c>
      <c r="P859" s="4">
        <v>132128</v>
      </c>
      <c r="Q859" s="4">
        <v>215182</v>
      </c>
      <c r="R859" s="4">
        <v>645546</v>
      </c>
      <c r="S859" t="s">
        <v>17234</v>
      </c>
      <c r="T859" s="6">
        <v>37712</v>
      </c>
      <c r="U859" s="4">
        <v>505000</v>
      </c>
      <c r="V859" t="s">
        <v>23739</v>
      </c>
      <c r="W859" t="s">
        <v>24154</v>
      </c>
      <c r="X859" t="s">
        <v>3</v>
      </c>
      <c r="AA859" s="5" t="str">
        <f>HYPERLINK("https://www.zillow.com/homes/8751-CARLISLE-CT-DARIEN-IL-60561_rb/","check listing")</f>
        <v>check listing</v>
      </c>
      <c r="AB859" s="5" t="str">
        <f>HYPERLINK("https://propertylookup.dupagecounty.gov/Datalets/Datalet.aspx?UseSearch=no&amp;mode=sales&amp;pin=1004100012","sales record")</f>
        <v>sales record</v>
      </c>
      <c r="AC859" t="s">
        <v>3</v>
      </c>
      <c r="AD859">
        <v>41.727843</v>
      </c>
      <c r="AE859">
        <v>-87.989757</v>
      </c>
      <c r="AF859" s="5" t="str">
        <f>HYPERLINK("https://www.google.com/maps/search/?api=1&amp;query=41.727843,-87.989757","map")</f>
        <v>map</v>
      </c>
    </row>
    <row r="860" spans="1:32">
      <c r="A860" t="s">
        <v>910</v>
      </c>
      <c r="B860" t="s">
        <v>8487</v>
      </c>
      <c r="C860" t="s">
        <v>15201</v>
      </c>
      <c r="D860" t="s">
        <v>16198</v>
      </c>
      <c r="E860" t="s">
        <v>16218</v>
      </c>
      <c r="F860" t="s">
        <v>16221</v>
      </c>
      <c r="G860" t="s">
        <v>16241</v>
      </c>
      <c r="H860" t="s">
        <v>16241</v>
      </c>
      <c r="I860" t="s">
        <v>16317</v>
      </c>
      <c r="J860" t="s">
        <v>16385</v>
      </c>
      <c r="K860">
        <v>0.414</v>
      </c>
      <c r="L860">
        <v>18037</v>
      </c>
      <c r="M860">
        <v>2631</v>
      </c>
      <c r="N860" t="s">
        <v>16393</v>
      </c>
      <c r="O860" s="4">
        <v>91774</v>
      </c>
      <c r="P860" s="4">
        <v>122374</v>
      </c>
      <c r="Q860" s="4">
        <v>214148</v>
      </c>
      <c r="R860" s="4">
        <v>642444</v>
      </c>
      <c r="S860" t="s">
        <v>17235</v>
      </c>
      <c r="T860" s="6">
        <v>44013</v>
      </c>
      <c r="U860" s="4">
        <v>530000</v>
      </c>
      <c r="V860" t="s">
        <v>23739</v>
      </c>
      <c r="W860" t="s">
        <v>24155</v>
      </c>
      <c r="X860" t="s">
        <v>3</v>
      </c>
      <c r="AA860" s="5" t="str">
        <f>HYPERLINK("https://www.zillow.com/homes/1606-HEATHER-LN-DARIEN-IL-60561_rb/","check listing")</f>
        <v>check listing</v>
      </c>
      <c r="AB860" s="5" t="str">
        <f>HYPERLINK("https://propertylookup.dupagecounty.gov/Datalets/Datalet.aspx?UseSearch=no&amp;mode=sales&amp;pin=0933305009","sales record")</f>
        <v>sales record</v>
      </c>
      <c r="AC860" t="s">
        <v>3</v>
      </c>
      <c r="AD860">
        <v>41.735935</v>
      </c>
      <c r="AE860">
        <v>-87.984725</v>
      </c>
      <c r="AF860" s="5" t="str">
        <f>HYPERLINK("https://www.google.com/maps/search/?api=1&amp;query=41.735935,-87.984725","map")</f>
        <v>map</v>
      </c>
    </row>
    <row r="861" spans="1:32">
      <c r="A861" t="s">
        <v>911</v>
      </c>
      <c r="B861" t="s">
        <v>8488</v>
      </c>
      <c r="C861" t="s">
        <v>15201</v>
      </c>
      <c r="D861" t="s">
        <v>16198</v>
      </c>
      <c r="E861" t="s">
        <v>16218</v>
      </c>
      <c r="F861" t="s">
        <v>16221</v>
      </c>
      <c r="G861" t="s">
        <v>16241</v>
      </c>
      <c r="H861" t="s">
        <v>16241</v>
      </c>
      <c r="I861" t="s">
        <v>16317</v>
      </c>
      <c r="J861" t="s">
        <v>16385</v>
      </c>
      <c r="K861">
        <v>0.413</v>
      </c>
      <c r="L861">
        <v>18002</v>
      </c>
      <c r="M861">
        <v>3156</v>
      </c>
      <c r="N861" t="s">
        <v>16393</v>
      </c>
      <c r="O861" s="4">
        <v>98078</v>
      </c>
      <c r="P861" s="4">
        <v>195004</v>
      </c>
      <c r="Q861" s="4">
        <v>293082</v>
      </c>
      <c r="R861" s="4">
        <v>879246</v>
      </c>
      <c r="S861" t="s">
        <v>17236</v>
      </c>
      <c r="X861" t="s">
        <v>3</v>
      </c>
      <c r="AA861" s="5" t="str">
        <f>HYPERLINK("https://www.zillow.com/homes/8428-EVERGREEN-LN-DARIEN-IL-60561_rb/","check listing")</f>
        <v>check listing</v>
      </c>
      <c r="AB861" s="5" t="str">
        <f>HYPERLINK("https://propertylookup.dupagecounty.gov/Datalets/Datalet.aspx?UseSearch=no&amp;mode=sales&amp;pin=0933406014","sales record")</f>
        <v>sales record</v>
      </c>
      <c r="AC861" t="s">
        <v>3</v>
      </c>
      <c r="AD861">
        <v>41.73304</v>
      </c>
      <c r="AE861">
        <v>-87.98183899999999</v>
      </c>
      <c r="AF861" s="5" t="str">
        <f>HYPERLINK("https://www.google.com/maps/search/?api=1&amp;query=41.73304,-87.981839","map")</f>
        <v>map</v>
      </c>
    </row>
    <row r="862" spans="1:32">
      <c r="A862" t="s">
        <v>912</v>
      </c>
      <c r="B862" t="s">
        <v>8489</v>
      </c>
      <c r="C862" t="s">
        <v>15203</v>
      </c>
      <c r="D862" t="s">
        <v>16198</v>
      </c>
      <c r="E862" t="s">
        <v>16218</v>
      </c>
      <c r="F862" t="s">
        <v>16221</v>
      </c>
      <c r="G862" t="s">
        <v>16241</v>
      </c>
      <c r="H862" t="s">
        <v>16241</v>
      </c>
      <c r="I862" t="s">
        <v>16317</v>
      </c>
      <c r="J862" t="s">
        <v>16385</v>
      </c>
      <c r="K862">
        <v>0.413</v>
      </c>
      <c r="L862">
        <v>17977</v>
      </c>
      <c r="M862">
        <v>3120</v>
      </c>
      <c r="N862" t="s">
        <v>16393</v>
      </c>
      <c r="O862" s="4">
        <v>86880</v>
      </c>
      <c r="P862" s="4">
        <v>119838</v>
      </c>
      <c r="Q862" s="4">
        <v>206718</v>
      </c>
      <c r="R862" s="4">
        <v>620154</v>
      </c>
      <c r="S862" t="s">
        <v>17237</v>
      </c>
      <c r="T862" s="6">
        <v>45217</v>
      </c>
      <c r="U862" s="4">
        <v>610000</v>
      </c>
      <c r="V862" t="s">
        <v>23739</v>
      </c>
      <c r="W862" t="s">
        <v>24156</v>
      </c>
      <c r="X862" t="s">
        <v>3</v>
      </c>
      <c r="AA862" s="5" t="str">
        <f>HYPERLINK("https://www.zillow.com/homes/1613-FOXHILL-PL-DARIEN-IL-605615320_rb/","check listing")</f>
        <v>check listing</v>
      </c>
      <c r="AB862" s="5" t="str">
        <f>HYPERLINK("https://propertylookup.dupagecounty.gov/Datalets/Datalet.aspx?UseSearch=no&amp;mode=sales&amp;pin=0933302007","sales record")</f>
        <v>sales record</v>
      </c>
      <c r="AC862" t="s">
        <v>3</v>
      </c>
      <c r="AD862">
        <v>41.734577</v>
      </c>
      <c r="AE862">
        <v>-87.985384</v>
      </c>
      <c r="AF862" s="5" t="str">
        <f>HYPERLINK("https://www.google.com/maps/search/?api=1&amp;query=41.734577,-87.985384","map")</f>
        <v>map</v>
      </c>
    </row>
    <row r="863" spans="1:32">
      <c r="A863" t="s">
        <v>913</v>
      </c>
      <c r="B863" t="s">
        <v>8490</v>
      </c>
      <c r="C863" t="s">
        <v>15201</v>
      </c>
      <c r="D863" t="s">
        <v>16198</v>
      </c>
      <c r="E863" t="s">
        <v>16218</v>
      </c>
      <c r="F863" t="s">
        <v>16221</v>
      </c>
      <c r="G863" t="s">
        <v>16241</v>
      </c>
      <c r="H863" t="s">
        <v>16241</v>
      </c>
      <c r="I863" t="s">
        <v>16317</v>
      </c>
      <c r="J863" t="s">
        <v>16385</v>
      </c>
      <c r="K863">
        <v>0.412</v>
      </c>
      <c r="L863">
        <v>17960</v>
      </c>
      <c r="M863">
        <v>3074</v>
      </c>
      <c r="N863" t="s">
        <v>16393</v>
      </c>
      <c r="O863" s="4">
        <v>111447</v>
      </c>
      <c r="P863" s="4">
        <v>168748</v>
      </c>
      <c r="Q863" s="4">
        <v>280195</v>
      </c>
      <c r="R863" s="4">
        <v>840585</v>
      </c>
      <c r="S863" t="s">
        <v>17238</v>
      </c>
      <c r="T863" s="6">
        <v>39114</v>
      </c>
      <c r="U863" s="4">
        <v>629000</v>
      </c>
      <c r="V863" t="s">
        <v>23739</v>
      </c>
      <c r="W863" t="s">
        <v>17238</v>
      </c>
      <c r="X863" t="s">
        <v>3</v>
      </c>
      <c r="AA863" s="5" t="str">
        <f>HYPERLINK("https://www.zillow.com/homes/1524-WINTERBERRY-LN-DARIEN-IL-60561_rb/","check listing")</f>
        <v>check listing</v>
      </c>
      <c r="AB863" s="5" t="str">
        <f>HYPERLINK("https://propertylookup.dupagecounty.gov/Datalets/Datalet.aspx?UseSearch=no&amp;mode=sales&amp;pin=0933404009","sales record")</f>
        <v>sales record</v>
      </c>
      <c r="AC863" t="s">
        <v>3</v>
      </c>
      <c r="AD863">
        <v>41.734701</v>
      </c>
      <c r="AE863">
        <v>-87.980389</v>
      </c>
      <c r="AF863" s="5" t="str">
        <f>HYPERLINK("https://www.google.com/maps/search/?api=1&amp;query=41.734701,-87.980389","map")</f>
        <v>map</v>
      </c>
    </row>
    <row r="864" spans="1:32">
      <c r="A864" t="s">
        <v>914</v>
      </c>
      <c r="B864" t="s">
        <v>8491</v>
      </c>
      <c r="C864" t="s">
        <v>15201</v>
      </c>
      <c r="D864" t="s">
        <v>16198</v>
      </c>
      <c r="E864" t="s">
        <v>16218</v>
      </c>
      <c r="F864" t="s">
        <v>16221</v>
      </c>
      <c r="G864" t="s">
        <v>16241</v>
      </c>
      <c r="H864" t="s">
        <v>16241</v>
      </c>
      <c r="I864" t="s">
        <v>16317</v>
      </c>
      <c r="J864" t="s">
        <v>16385</v>
      </c>
      <c r="K864">
        <v>0.411</v>
      </c>
      <c r="L864">
        <v>17882</v>
      </c>
      <c r="M864">
        <v>2172</v>
      </c>
      <c r="N864" t="s">
        <v>16393</v>
      </c>
      <c r="O864" s="4">
        <v>104756</v>
      </c>
      <c r="P864" s="4">
        <v>138830</v>
      </c>
      <c r="Q864" s="4">
        <v>243586</v>
      </c>
      <c r="R864" s="4">
        <v>730758</v>
      </c>
      <c r="S864" t="s">
        <v>17239</v>
      </c>
      <c r="T864" s="6">
        <v>32021</v>
      </c>
      <c r="U864" s="4">
        <v>239590</v>
      </c>
      <c r="X864" t="s">
        <v>3</v>
      </c>
      <c r="AA864" s="5" t="str">
        <f>HYPERLINK("https://www.zillow.com/homes/1517-EVERGREEN-CT-DARIEN-IL-60561_rb/","check listing")</f>
        <v>check listing</v>
      </c>
      <c r="AB864" s="5" t="str">
        <f>HYPERLINK("https://propertylookup.dupagecounty.gov/Datalets/Datalet.aspx?UseSearch=no&amp;mode=sales&amp;pin=0933404004","sales record")</f>
        <v>sales record</v>
      </c>
      <c r="AC864" t="s">
        <v>3</v>
      </c>
      <c r="AD864">
        <v>41.735556</v>
      </c>
      <c r="AE864">
        <v>-87.979418</v>
      </c>
      <c r="AF864" s="5" t="str">
        <f>HYPERLINK("https://www.google.com/maps/search/?api=1&amp;query=41.735556,-87.979418","map")</f>
        <v>map</v>
      </c>
    </row>
    <row r="865" spans="1:32">
      <c r="A865" t="s">
        <v>915</v>
      </c>
      <c r="B865" t="s">
        <v>8492</v>
      </c>
      <c r="C865" t="s">
        <v>15201</v>
      </c>
      <c r="D865" t="s">
        <v>16198</v>
      </c>
      <c r="E865" t="s">
        <v>16218</v>
      </c>
      <c r="F865" t="s">
        <v>16221</v>
      </c>
      <c r="G865" t="s">
        <v>16241</v>
      </c>
      <c r="H865" t="s">
        <v>16241</v>
      </c>
      <c r="I865" t="s">
        <v>16317</v>
      </c>
      <c r="J865" t="s">
        <v>16385</v>
      </c>
      <c r="K865">
        <v>0.408</v>
      </c>
      <c r="L865">
        <v>17753</v>
      </c>
      <c r="M865">
        <v>2819</v>
      </c>
      <c r="N865" t="s">
        <v>16393</v>
      </c>
      <c r="O865" s="4">
        <v>92220</v>
      </c>
      <c r="P865" s="4">
        <v>135990</v>
      </c>
      <c r="Q865" s="4">
        <v>228210</v>
      </c>
      <c r="R865" s="4">
        <v>684630</v>
      </c>
      <c r="S865" t="s">
        <v>17240</v>
      </c>
      <c r="T865" s="6">
        <v>31503</v>
      </c>
      <c r="U865" s="4">
        <v>245000</v>
      </c>
      <c r="X865" t="s">
        <v>3</v>
      </c>
      <c r="AA865" s="5" t="str">
        <f>HYPERLINK("https://www.zillow.com/homes/1634-HEATHER-LN-DARIEN-IL-60561_rb/","check listing")</f>
        <v>check listing</v>
      </c>
      <c r="AB865" s="5" t="str">
        <f>HYPERLINK("https://propertylookup.dupagecounty.gov/Datalets/Datalet.aspx?UseSearch=no&amp;mode=sales&amp;pin=0933305002","sales record")</f>
        <v>sales record</v>
      </c>
      <c r="AC865" t="s">
        <v>3</v>
      </c>
      <c r="AD865">
        <v>41.735563</v>
      </c>
      <c r="AE865">
        <v>-87.98742900000001</v>
      </c>
      <c r="AF865" s="5" t="str">
        <f>HYPERLINK("https://www.google.com/maps/search/?api=1&amp;query=41.735563,-87.987429","map")</f>
        <v>map</v>
      </c>
    </row>
    <row r="866" spans="1:32">
      <c r="A866" t="s">
        <v>916</v>
      </c>
      <c r="B866" t="s">
        <v>8493</v>
      </c>
      <c r="C866" t="s">
        <v>15217</v>
      </c>
      <c r="D866" t="s">
        <v>16198</v>
      </c>
      <c r="E866" t="s">
        <v>16218</v>
      </c>
      <c r="F866" t="s">
        <v>16221</v>
      </c>
      <c r="G866" t="s">
        <v>16241</v>
      </c>
      <c r="H866" t="s">
        <v>16241</v>
      </c>
      <c r="I866" t="s">
        <v>16317</v>
      </c>
      <c r="J866" t="s">
        <v>16385</v>
      </c>
      <c r="K866">
        <v>0.407</v>
      </c>
      <c r="L866">
        <v>17719</v>
      </c>
      <c r="M866">
        <v>2695</v>
      </c>
      <c r="N866" t="s">
        <v>16393</v>
      </c>
      <c r="O866" s="4">
        <v>106047</v>
      </c>
      <c r="P866" s="4">
        <v>103981</v>
      </c>
      <c r="Q866" s="4">
        <v>210028</v>
      </c>
      <c r="R866" s="4">
        <v>630084</v>
      </c>
      <c r="S866" t="s">
        <v>17241</v>
      </c>
      <c r="T866" s="6">
        <v>44409</v>
      </c>
      <c r="U866" s="4">
        <v>460000</v>
      </c>
      <c r="V866" t="s">
        <v>23739</v>
      </c>
      <c r="W866" t="s">
        <v>24157</v>
      </c>
      <c r="X866" t="s">
        <v>3</v>
      </c>
      <c r="AA866" s="5" t="str">
        <f>HYPERLINK("https://www.zillow.com/homes/1622-OLD-OAK-PL-DARIEN-IL-605615329_rb/","check listing")</f>
        <v>check listing</v>
      </c>
      <c r="AB866" s="5" t="str">
        <f>HYPERLINK("https://propertylookup.dupagecounty.gov/Datalets/Datalet.aspx?UseSearch=no&amp;mode=sales&amp;pin=1004102007","sales record")</f>
        <v>sales record</v>
      </c>
      <c r="AC866" t="s">
        <v>3</v>
      </c>
      <c r="AD866">
        <v>41.728044</v>
      </c>
      <c r="AE866">
        <v>-87.986485</v>
      </c>
      <c r="AF866" s="5" t="str">
        <f>HYPERLINK("https://www.google.com/maps/search/?api=1&amp;query=41.728044,-87.986485","map")</f>
        <v>map</v>
      </c>
    </row>
    <row r="867" spans="1:32">
      <c r="A867" t="s">
        <v>917</v>
      </c>
      <c r="B867" t="s">
        <v>8494</v>
      </c>
      <c r="C867" t="s">
        <v>15218</v>
      </c>
      <c r="D867" t="s">
        <v>16198</v>
      </c>
      <c r="E867" t="s">
        <v>16218</v>
      </c>
      <c r="F867" t="s">
        <v>16221</v>
      </c>
      <c r="G867" t="s">
        <v>16241</v>
      </c>
      <c r="H867" t="s">
        <v>16241</v>
      </c>
      <c r="I867" t="s">
        <v>16317</v>
      </c>
      <c r="J867" t="s">
        <v>16385</v>
      </c>
      <c r="K867">
        <v>0.405</v>
      </c>
      <c r="L867">
        <v>17628</v>
      </c>
      <c r="M867">
        <v>3002</v>
      </c>
      <c r="N867" t="s">
        <v>16393</v>
      </c>
      <c r="O867" s="4">
        <v>97256</v>
      </c>
      <c r="P867" s="4">
        <v>128524</v>
      </c>
      <c r="Q867" s="4">
        <v>225780</v>
      </c>
      <c r="R867" s="4">
        <v>677340</v>
      </c>
      <c r="S867" t="s">
        <v>17242</v>
      </c>
      <c r="T867" s="6">
        <v>43922</v>
      </c>
      <c r="U867" s="4">
        <v>530000</v>
      </c>
      <c r="V867" t="s">
        <v>23740</v>
      </c>
      <c r="W867" t="s">
        <v>17242</v>
      </c>
      <c r="X867" t="s">
        <v>3</v>
      </c>
      <c r="AA867" s="5" t="str">
        <f>HYPERLINK("https://www.zillow.com/homes/8726-CARRIAGE-GREEN-DARIEN-IL-605615338_rb/","check listing")</f>
        <v>check listing</v>
      </c>
      <c r="AB867" s="5" t="str">
        <f>HYPERLINK("https://propertylookup.dupagecounty.gov/Datalets/Datalet.aspx?UseSearch=no&amp;mode=sales&amp;pin=1004102005","sales record")</f>
        <v>sales record</v>
      </c>
      <c r="AC867" t="s">
        <v>3</v>
      </c>
      <c r="AD867">
        <v>41.729204</v>
      </c>
      <c r="AE867">
        <v>-87.985405</v>
      </c>
      <c r="AF867" s="5" t="str">
        <f>HYPERLINK("https://www.google.com/maps/search/?api=1&amp;query=41.729204,-87.985405","map")</f>
        <v>map</v>
      </c>
    </row>
    <row r="868" spans="1:32">
      <c r="A868" t="s">
        <v>918</v>
      </c>
      <c r="B868" t="s">
        <v>8495</v>
      </c>
      <c r="C868" t="s">
        <v>15208</v>
      </c>
      <c r="D868" t="s">
        <v>16198</v>
      </c>
      <c r="E868" t="s">
        <v>16218</v>
      </c>
      <c r="F868" t="s">
        <v>16221</v>
      </c>
      <c r="G868" t="s">
        <v>16241</v>
      </c>
      <c r="H868" t="s">
        <v>16241</v>
      </c>
      <c r="I868" t="s">
        <v>16317</v>
      </c>
      <c r="J868" t="s">
        <v>16385</v>
      </c>
      <c r="K868">
        <v>0.404</v>
      </c>
      <c r="L868">
        <v>17602</v>
      </c>
      <c r="M868">
        <v>3803</v>
      </c>
      <c r="N868" t="s">
        <v>16393</v>
      </c>
      <c r="O868" s="4">
        <v>81880</v>
      </c>
      <c r="P868" s="4">
        <v>184969</v>
      </c>
      <c r="Q868" s="4">
        <v>266849</v>
      </c>
      <c r="R868" s="4">
        <v>800547</v>
      </c>
      <c r="S868" t="s">
        <v>17243</v>
      </c>
      <c r="T868" s="6">
        <v>43282</v>
      </c>
      <c r="U868" s="4">
        <v>565000</v>
      </c>
      <c r="V868" t="s">
        <v>23739</v>
      </c>
      <c r="W868" t="s">
        <v>24158</v>
      </c>
      <c r="X868" t="s">
        <v>3</v>
      </c>
      <c r="AA868" s="5" t="str">
        <f>HYPERLINK("https://www.zillow.com/homes/8727-CARLISLE-CT-DARIEN-IL-605615373_rb/","check listing")</f>
        <v>check listing</v>
      </c>
      <c r="AB868" s="5" t="str">
        <f>HYPERLINK("https://propertylookup.dupagecounty.gov/Datalets/Datalet.aspx?UseSearch=no&amp;mode=sales&amp;pin=1004100006","sales record")</f>
        <v>sales record</v>
      </c>
      <c r="AC868" t="s">
        <v>3</v>
      </c>
      <c r="AD868">
        <v>41.72917</v>
      </c>
      <c r="AE868">
        <v>-87.99086200000001</v>
      </c>
      <c r="AF868" s="5" t="str">
        <f>HYPERLINK("https://www.google.com/maps/search/?api=1&amp;query=41.72917,-87.990862","map")</f>
        <v>map</v>
      </c>
    </row>
    <row r="869" spans="1:32">
      <c r="A869" t="s">
        <v>919</v>
      </c>
      <c r="B869" t="s">
        <v>8496</v>
      </c>
      <c r="C869" t="s">
        <v>15201</v>
      </c>
      <c r="D869" t="s">
        <v>16198</v>
      </c>
      <c r="E869" t="s">
        <v>16218</v>
      </c>
      <c r="F869" t="s">
        <v>16221</v>
      </c>
      <c r="G869" t="s">
        <v>16241</v>
      </c>
      <c r="H869" t="s">
        <v>16241</v>
      </c>
      <c r="I869" t="s">
        <v>16317</v>
      </c>
      <c r="J869" t="s">
        <v>16385</v>
      </c>
      <c r="K869">
        <v>0.404</v>
      </c>
      <c r="L869">
        <v>17601</v>
      </c>
      <c r="M869">
        <v>3433</v>
      </c>
      <c r="N869" t="s">
        <v>16393</v>
      </c>
      <c r="O869" s="4">
        <v>96610</v>
      </c>
      <c r="P869" s="4">
        <v>132585</v>
      </c>
      <c r="Q869" s="4">
        <v>229195</v>
      </c>
      <c r="R869" s="4">
        <v>687585</v>
      </c>
      <c r="S869" t="s">
        <v>17244</v>
      </c>
      <c r="T869" s="6">
        <v>45714</v>
      </c>
      <c r="U869" s="4">
        <v>625000</v>
      </c>
      <c r="V869" t="s">
        <v>23739</v>
      </c>
      <c r="W869" t="s">
        <v>24159</v>
      </c>
      <c r="X869" t="s">
        <v>3</v>
      </c>
      <c r="AA869" s="5" t="str">
        <f>HYPERLINK("https://www.zillow.com/homes/1626-HEATHER-LN-DARIEN-IL-60561_rb/","check listing")</f>
        <v>check listing</v>
      </c>
      <c r="AB869" s="5" t="str">
        <f>HYPERLINK("https://propertylookup.dupagecounty.gov/Datalets/Datalet.aspx?UseSearch=no&amp;mode=sales&amp;pin=0933305004","sales record")</f>
        <v>sales record</v>
      </c>
      <c r="AC869" t="s">
        <v>3</v>
      </c>
      <c r="AD869">
        <v>41.735679</v>
      </c>
      <c r="AE869">
        <v>-87.98669200000001</v>
      </c>
      <c r="AF869" s="5" t="str">
        <f>HYPERLINK("https://www.google.com/maps/search/?api=1&amp;query=41.735679,-87.986692","map")</f>
        <v>map</v>
      </c>
    </row>
    <row r="870" spans="1:32">
      <c r="A870" t="s">
        <v>920</v>
      </c>
      <c r="B870" t="s">
        <v>8497</v>
      </c>
      <c r="C870" t="s">
        <v>15201</v>
      </c>
      <c r="D870" t="s">
        <v>16198</v>
      </c>
      <c r="E870" t="s">
        <v>16218</v>
      </c>
      <c r="F870" t="s">
        <v>16221</v>
      </c>
      <c r="G870" t="s">
        <v>16241</v>
      </c>
      <c r="H870" t="s">
        <v>16241</v>
      </c>
      <c r="I870" t="s">
        <v>16317</v>
      </c>
      <c r="J870" t="s">
        <v>16385</v>
      </c>
      <c r="K870">
        <v>0.404</v>
      </c>
      <c r="L870">
        <v>17597</v>
      </c>
      <c r="M870">
        <v>2554</v>
      </c>
      <c r="N870" t="s">
        <v>16393</v>
      </c>
      <c r="O870" s="4">
        <v>80494</v>
      </c>
      <c r="P870" s="4">
        <v>172504</v>
      </c>
      <c r="Q870" s="4">
        <v>252998</v>
      </c>
      <c r="R870" s="4">
        <v>758994</v>
      </c>
      <c r="S870" t="s">
        <v>17245</v>
      </c>
      <c r="T870" s="6">
        <v>34608</v>
      </c>
      <c r="U870" s="4">
        <v>465000</v>
      </c>
      <c r="X870" t="s">
        <v>3</v>
      </c>
      <c r="AA870" s="5" t="str">
        <f>HYPERLINK("https://www.zillow.com/homes/1504-ROYAL-OAK-RD-DARIEN-IL-60561_rb/","check listing")</f>
        <v>check listing</v>
      </c>
      <c r="AB870" s="5" t="str">
        <f>HYPERLINK("https://propertylookup.dupagecounty.gov/Datalets/Datalet.aspx?UseSearch=no&amp;mode=sales&amp;pin=0933304007","sales record")</f>
        <v>sales record</v>
      </c>
      <c r="AC870" t="s">
        <v>3</v>
      </c>
      <c r="AD870">
        <v>41.730448</v>
      </c>
      <c r="AE870">
        <v>-87.98460900000001</v>
      </c>
      <c r="AF870" s="5" t="str">
        <f>HYPERLINK("https://www.google.com/maps/search/?api=1&amp;query=41.730448,-87.984609","map")</f>
        <v>map</v>
      </c>
    </row>
    <row r="871" spans="1:32">
      <c r="A871" t="s">
        <v>921</v>
      </c>
      <c r="B871" t="s">
        <v>8498</v>
      </c>
      <c r="C871" t="s">
        <v>15201</v>
      </c>
      <c r="D871" t="s">
        <v>16198</v>
      </c>
      <c r="E871" t="s">
        <v>16218</v>
      </c>
      <c r="F871" t="s">
        <v>16221</v>
      </c>
      <c r="G871" t="s">
        <v>16241</v>
      </c>
      <c r="H871" t="s">
        <v>16241</v>
      </c>
      <c r="I871" t="s">
        <v>16317</v>
      </c>
      <c r="J871" t="s">
        <v>16385</v>
      </c>
      <c r="K871">
        <v>0.403</v>
      </c>
      <c r="L871">
        <v>17564</v>
      </c>
      <c r="M871">
        <v>2771</v>
      </c>
      <c r="N871" t="s">
        <v>16393</v>
      </c>
      <c r="O871" s="4">
        <v>101082</v>
      </c>
      <c r="P871" s="4">
        <v>126951</v>
      </c>
      <c r="Q871" s="4">
        <v>228033</v>
      </c>
      <c r="R871" s="4">
        <v>684099</v>
      </c>
      <c r="S871" t="s">
        <v>17246</v>
      </c>
      <c r="T871" s="6">
        <v>45296</v>
      </c>
      <c r="U871" s="4">
        <v>640000</v>
      </c>
      <c r="V871" t="s">
        <v>23739</v>
      </c>
      <c r="W871" t="s">
        <v>24160</v>
      </c>
      <c r="X871" t="s">
        <v>3</v>
      </c>
      <c r="AA871" s="5" t="str">
        <f>HYPERLINK("https://www.zillow.com/homes/8411-CARRIAGE-GREEN-DR-DARIEN-IL-60561_rb/","check listing")</f>
        <v>check listing</v>
      </c>
      <c r="AB871" s="5" t="str">
        <f>HYPERLINK("https://propertylookup.dupagecounty.gov/Datalets/Datalet.aspx?UseSearch=no&amp;mode=sales&amp;pin=0933302001","sales record")</f>
        <v>sales record</v>
      </c>
      <c r="AC871" t="s">
        <v>3</v>
      </c>
      <c r="AD871">
        <v>41.734389</v>
      </c>
      <c r="AE871">
        <v>-87.987437</v>
      </c>
      <c r="AF871" s="5" t="str">
        <f>HYPERLINK("https://www.google.com/maps/search/?api=1&amp;query=41.734389,-87.987437","map")</f>
        <v>map</v>
      </c>
    </row>
    <row r="872" spans="1:32">
      <c r="A872" t="s">
        <v>922</v>
      </c>
      <c r="B872" t="s">
        <v>8499</v>
      </c>
      <c r="C872" t="s">
        <v>15211</v>
      </c>
      <c r="D872" t="s">
        <v>16198</v>
      </c>
      <c r="E872" t="s">
        <v>16218</v>
      </c>
      <c r="F872" t="s">
        <v>16221</v>
      </c>
      <c r="G872" t="s">
        <v>16241</v>
      </c>
      <c r="H872" t="s">
        <v>16241</v>
      </c>
      <c r="I872" t="s">
        <v>16317</v>
      </c>
      <c r="J872" t="s">
        <v>16385</v>
      </c>
      <c r="K872">
        <v>0.403</v>
      </c>
      <c r="L872">
        <v>17562</v>
      </c>
      <c r="M872">
        <v>3146</v>
      </c>
      <c r="N872" t="s">
        <v>16393</v>
      </c>
      <c r="O872" s="4">
        <v>85213</v>
      </c>
      <c r="P872" s="4">
        <v>96281</v>
      </c>
      <c r="Q872" s="4">
        <v>181494</v>
      </c>
      <c r="R872" s="4">
        <v>544482</v>
      </c>
      <c r="S872" t="s">
        <v>17247</v>
      </c>
      <c r="T872" s="6">
        <v>44287</v>
      </c>
      <c r="U872" s="4">
        <v>450000</v>
      </c>
      <c r="V872" t="s">
        <v>23740</v>
      </c>
      <c r="W872" t="s">
        <v>17247</v>
      </c>
      <c r="X872" t="s">
        <v>3</v>
      </c>
      <c r="AA872" s="5" t="str">
        <f>HYPERLINK("https://www.zillow.com/homes/1609-LAUREL-LN-DARIEN-IL-605615327_rb/","check listing")</f>
        <v>check listing</v>
      </c>
      <c r="AB872" s="5" t="str">
        <f>HYPERLINK("https://propertylookup.dupagecounty.gov/Datalets/Datalet.aspx?UseSearch=no&amp;mode=sales&amp;pin=0933302018","sales record")</f>
        <v>sales record</v>
      </c>
      <c r="AC872" t="s">
        <v>3</v>
      </c>
      <c r="AD872">
        <v>41.73353</v>
      </c>
      <c r="AE872">
        <v>-87.98509799999999</v>
      </c>
      <c r="AF872" s="5" t="str">
        <f>HYPERLINK("https://www.google.com/maps/search/?api=1&amp;query=41.73353,-87.985098","map")</f>
        <v>map</v>
      </c>
    </row>
    <row r="873" spans="1:32">
      <c r="A873" t="s">
        <v>923</v>
      </c>
      <c r="B873" t="s">
        <v>8500</v>
      </c>
      <c r="C873" t="s">
        <v>15201</v>
      </c>
      <c r="D873" t="s">
        <v>16198</v>
      </c>
      <c r="E873" t="s">
        <v>16218</v>
      </c>
      <c r="F873" t="s">
        <v>16221</v>
      </c>
      <c r="G873" t="s">
        <v>16241</v>
      </c>
      <c r="H873" t="s">
        <v>16241</v>
      </c>
      <c r="I873" t="s">
        <v>16317</v>
      </c>
      <c r="J873" t="s">
        <v>16385</v>
      </c>
      <c r="K873">
        <v>0.403</v>
      </c>
      <c r="L873">
        <v>17548</v>
      </c>
      <c r="M873">
        <v>2068</v>
      </c>
      <c r="N873" t="s">
        <v>16393</v>
      </c>
      <c r="O873" s="4">
        <v>93805</v>
      </c>
      <c r="P873" s="4">
        <v>83653</v>
      </c>
      <c r="Q873" s="4">
        <v>177458</v>
      </c>
      <c r="R873" s="4">
        <v>532374</v>
      </c>
      <c r="S873" t="s">
        <v>17248</v>
      </c>
      <c r="T873" s="6">
        <v>40057</v>
      </c>
      <c r="U873" s="4">
        <v>245000</v>
      </c>
      <c r="V873" t="s">
        <v>23742</v>
      </c>
      <c r="W873" t="s">
        <v>17248</v>
      </c>
      <c r="X873" t="s">
        <v>3</v>
      </c>
      <c r="AA873" s="5" t="str">
        <f>HYPERLINK("https://www.zillow.com/homes/1623-LAUREL-LN-DARIEN-IL-60561_rb/","check listing")</f>
        <v>check listing</v>
      </c>
      <c r="AB873" s="5" t="str">
        <f>HYPERLINK("https://propertylookup.dupagecounty.gov/Datalets/Datalet.aspx?UseSearch=no&amp;mode=sales&amp;pin=0933302021","sales record")</f>
        <v>sales record</v>
      </c>
      <c r="AC873" t="s">
        <v>3</v>
      </c>
      <c r="AD873">
        <v>41.733089</v>
      </c>
      <c r="AE873">
        <v>-87.986102</v>
      </c>
      <c r="AF873" s="5" t="str">
        <f>HYPERLINK("https://www.google.com/maps/search/?api=1&amp;query=41.733089,-87.986102","map")</f>
        <v>map</v>
      </c>
    </row>
    <row r="874" spans="1:32">
      <c r="A874" t="s">
        <v>924</v>
      </c>
      <c r="B874" t="s">
        <v>8501</v>
      </c>
      <c r="C874" t="s">
        <v>15201</v>
      </c>
      <c r="D874" t="s">
        <v>16198</v>
      </c>
      <c r="E874" t="s">
        <v>16218</v>
      </c>
      <c r="F874" t="s">
        <v>16221</v>
      </c>
      <c r="G874" t="s">
        <v>16241</v>
      </c>
      <c r="H874" t="s">
        <v>16241</v>
      </c>
      <c r="I874" t="s">
        <v>16317</v>
      </c>
      <c r="J874" t="s">
        <v>16385</v>
      </c>
      <c r="K874">
        <v>0.401</v>
      </c>
      <c r="L874">
        <v>17484</v>
      </c>
      <c r="M874">
        <v>2831</v>
      </c>
      <c r="N874" t="s">
        <v>16393</v>
      </c>
      <c r="O874" s="4">
        <v>80706</v>
      </c>
      <c r="P874" s="4">
        <v>160192</v>
      </c>
      <c r="Q874" s="4">
        <v>240898</v>
      </c>
      <c r="R874" s="4">
        <v>722694</v>
      </c>
      <c r="S874" t="s">
        <v>17249</v>
      </c>
      <c r="T874" s="6">
        <v>39083</v>
      </c>
      <c r="U874" s="4">
        <v>810000</v>
      </c>
      <c r="V874" t="s">
        <v>23739</v>
      </c>
      <c r="W874" t="s">
        <v>24161</v>
      </c>
      <c r="X874" t="s">
        <v>3</v>
      </c>
      <c r="AA874" s="5" t="str">
        <f>HYPERLINK("https://www.zillow.com/homes/1500-ROYAL-OAK-DR-DARIEN-IL-60561_rb/","check listing")</f>
        <v>check listing</v>
      </c>
      <c r="AB874" s="5" t="str">
        <f>HYPERLINK("https://propertylookup.dupagecounty.gov/Datalets/Datalet.aspx?UseSearch=no&amp;mode=sales&amp;pin=0933304008","sales record")</f>
        <v>sales record</v>
      </c>
      <c r="AC874" t="s">
        <v>3</v>
      </c>
      <c r="AD874">
        <v>41.730462</v>
      </c>
      <c r="AE874">
        <v>-87.98424</v>
      </c>
      <c r="AF874" s="5" t="str">
        <f>HYPERLINK("https://www.google.com/maps/search/?api=1&amp;query=41.730462,-87.98424","map")</f>
        <v>map</v>
      </c>
    </row>
    <row r="875" spans="1:32">
      <c r="A875" t="s">
        <v>925</v>
      </c>
      <c r="B875" t="s">
        <v>8502</v>
      </c>
      <c r="C875" t="s">
        <v>15201</v>
      </c>
      <c r="D875" t="s">
        <v>16198</v>
      </c>
      <c r="E875" t="s">
        <v>16218</v>
      </c>
      <c r="F875" t="s">
        <v>16221</v>
      </c>
      <c r="G875" t="s">
        <v>16241</v>
      </c>
      <c r="H875" t="s">
        <v>16241</v>
      </c>
      <c r="I875" t="s">
        <v>16317</v>
      </c>
      <c r="J875" t="s">
        <v>16385</v>
      </c>
      <c r="K875">
        <v>0.401</v>
      </c>
      <c r="L875">
        <v>17468</v>
      </c>
      <c r="M875">
        <v>3371</v>
      </c>
      <c r="N875" t="s">
        <v>16393</v>
      </c>
      <c r="O875" s="4">
        <v>84134</v>
      </c>
      <c r="P875" s="4">
        <v>177129</v>
      </c>
      <c r="Q875" s="4">
        <v>261263</v>
      </c>
      <c r="R875" s="4">
        <v>783789</v>
      </c>
      <c r="S875" t="s">
        <v>17250</v>
      </c>
      <c r="T875" s="6">
        <v>34516</v>
      </c>
      <c r="U875" s="4">
        <v>92000</v>
      </c>
      <c r="X875" t="s">
        <v>3</v>
      </c>
      <c r="AA875" s="5" t="str">
        <f>HYPERLINK("https://www.zillow.com/homes/8717-CARRIAGE-GREEN-DARIEN-IL-60561_rb/","check listing")</f>
        <v>check listing</v>
      </c>
      <c r="AB875" s="5" t="str">
        <f>HYPERLINK("https://propertylookup.dupagecounty.gov/Datalets/Datalet.aspx?UseSearch=no&amp;mode=sales&amp;pin=0933304003","sales record")</f>
        <v>sales record</v>
      </c>
      <c r="AC875" t="s">
        <v>3</v>
      </c>
      <c r="AD875">
        <v>41.730154</v>
      </c>
      <c r="AE875">
        <v>-87.98578500000001</v>
      </c>
      <c r="AF875" s="5" t="str">
        <f>HYPERLINK("https://www.google.com/maps/search/?api=1&amp;query=41.730154,-87.985785","map")</f>
        <v>map</v>
      </c>
    </row>
    <row r="876" spans="1:32">
      <c r="A876" t="s">
        <v>926</v>
      </c>
      <c r="B876" t="s">
        <v>8503</v>
      </c>
      <c r="C876" t="s">
        <v>15201</v>
      </c>
      <c r="D876" t="s">
        <v>16198</v>
      </c>
      <c r="E876" t="s">
        <v>16218</v>
      </c>
      <c r="F876" t="s">
        <v>16221</v>
      </c>
      <c r="G876" t="s">
        <v>16241</v>
      </c>
      <c r="H876" t="s">
        <v>16241</v>
      </c>
      <c r="I876" t="s">
        <v>16317</v>
      </c>
      <c r="J876" t="s">
        <v>16385</v>
      </c>
      <c r="K876">
        <v>0.4</v>
      </c>
      <c r="L876">
        <v>17444</v>
      </c>
      <c r="M876">
        <v>3248</v>
      </c>
      <c r="N876" t="s">
        <v>16393</v>
      </c>
      <c r="O876" s="4">
        <v>73230</v>
      </c>
      <c r="P876" s="4">
        <v>138418</v>
      </c>
      <c r="Q876" s="4">
        <v>211648</v>
      </c>
      <c r="R876" s="4">
        <v>634944</v>
      </c>
      <c r="S876" t="s">
        <v>17251</v>
      </c>
      <c r="T876" s="6">
        <v>45756</v>
      </c>
      <c r="U876" s="4">
        <v>860000</v>
      </c>
      <c r="V876" t="s">
        <v>23741</v>
      </c>
      <c r="W876" t="s">
        <v>24162</v>
      </c>
      <c r="X876" t="s">
        <v>3</v>
      </c>
      <c r="AA876" s="5" t="str">
        <f>HYPERLINK("https://www.zillow.com/homes/8401-GLENERYE-RD-DARIEN-IL-60561_rb/","check listing")</f>
        <v>check listing</v>
      </c>
      <c r="AB876" s="5" t="str">
        <f>HYPERLINK("https://propertylookup.dupagecounty.gov/Datalets/Datalet.aspx?UseSearch=no&amp;mode=sales&amp;pin=0933306001","sales record")</f>
        <v>sales record</v>
      </c>
      <c r="AC876" t="s">
        <v>3</v>
      </c>
      <c r="AD876">
        <v>41.735836</v>
      </c>
      <c r="AE876">
        <v>-87.98395600000001</v>
      </c>
      <c r="AF876" s="5" t="str">
        <f>HYPERLINK("https://www.google.com/maps/search/?api=1&amp;query=41.735836,-87.983956","map")</f>
        <v>map</v>
      </c>
    </row>
    <row r="877" spans="1:32">
      <c r="A877" t="s">
        <v>927</v>
      </c>
      <c r="B877" t="s">
        <v>8504</v>
      </c>
      <c r="C877" t="s">
        <v>15201</v>
      </c>
      <c r="D877" t="s">
        <v>16198</v>
      </c>
      <c r="E877" t="s">
        <v>16218</v>
      </c>
      <c r="F877" t="s">
        <v>16221</v>
      </c>
      <c r="G877" t="s">
        <v>16241</v>
      </c>
      <c r="H877" t="s">
        <v>16241</v>
      </c>
      <c r="I877" t="s">
        <v>16317</v>
      </c>
      <c r="J877" t="s">
        <v>16385</v>
      </c>
      <c r="K877">
        <v>0.4</v>
      </c>
      <c r="L877">
        <v>17409</v>
      </c>
      <c r="M877">
        <v>2912</v>
      </c>
      <c r="N877" t="s">
        <v>16393</v>
      </c>
      <c r="O877" s="4">
        <v>88711</v>
      </c>
      <c r="P877" s="4">
        <v>144663</v>
      </c>
      <c r="Q877" s="4">
        <v>233374</v>
      </c>
      <c r="R877" s="4">
        <v>700122</v>
      </c>
      <c r="S877" t="s">
        <v>17252</v>
      </c>
      <c r="X877" t="s">
        <v>3</v>
      </c>
      <c r="AA877" s="5" t="str">
        <f>HYPERLINK("https://www.zillow.com/homes/1610-HEATHER-LN-DARIEN-IL-60561_rb/","check listing")</f>
        <v>check listing</v>
      </c>
      <c r="AB877" s="5" t="str">
        <f>HYPERLINK("https://propertylookup.dupagecounty.gov/Datalets/Datalet.aspx?UseSearch=no&amp;mode=sales&amp;pin=0933305008","sales record")</f>
        <v>sales record</v>
      </c>
      <c r="AC877" t="s">
        <v>3</v>
      </c>
      <c r="AD877">
        <v>41.735883</v>
      </c>
      <c r="AE877">
        <v>-87.985113</v>
      </c>
      <c r="AF877" s="5" t="str">
        <f>HYPERLINK("https://www.google.com/maps/search/?api=1&amp;query=41.735883,-87.985113","map")</f>
        <v>map</v>
      </c>
    </row>
    <row r="878" spans="1:32">
      <c r="A878" t="s">
        <v>928</v>
      </c>
      <c r="B878" t="s">
        <v>8505</v>
      </c>
      <c r="C878" t="s">
        <v>15201</v>
      </c>
      <c r="D878" t="s">
        <v>16198</v>
      </c>
      <c r="E878" t="s">
        <v>16218</v>
      </c>
      <c r="F878" t="s">
        <v>16221</v>
      </c>
      <c r="G878" t="s">
        <v>16241</v>
      </c>
      <c r="H878" t="s">
        <v>16241</v>
      </c>
      <c r="I878" t="s">
        <v>16317</v>
      </c>
      <c r="J878" t="s">
        <v>16385</v>
      </c>
      <c r="K878">
        <v>0.399</v>
      </c>
      <c r="L878">
        <v>17359</v>
      </c>
      <c r="M878">
        <v>2952</v>
      </c>
      <c r="N878" t="s">
        <v>16393</v>
      </c>
      <c r="O878" s="4">
        <v>94767</v>
      </c>
      <c r="P878" s="4">
        <v>121517</v>
      </c>
      <c r="Q878" s="4">
        <v>216284</v>
      </c>
      <c r="R878" s="4">
        <v>648852</v>
      </c>
      <c r="S878" t="s">
        <v>17253</v>
      </c>
      <c r="T878" s="6">
        <v>37895</v>
      </c>
      <c r="U878" s="4">
        <v>564000</v>
      </c>
      <c r="V878" t="s">
        <v>23739</v>
      </c>
      <c r="W878" t="s">
        <v>24163</v>
      </c>
      <c r="X878" t="s">
        <v>3</v>
      </c>
      <c r="AA878" s="5" t="str">
        <f>HYPERLINK("https://www.zillow.com/homes/1614-HEATHER-LN-DARIEN-IL-60561_rb/","check listing")</f>
        <v>check listing</v>
      </c>
      <c r="AB878" s="5" t="str">
        <f>HYPERLINK("https://propertylookup.dupagecounty.gov/Datalets/Datalet.aspx?UseSearch=no&amp;mode=sales&amp;pin=0933305007","sales record")</f>
        <v>sales record</v>
      </c>
      <c r="AC878" t="s">
        <v>3</v>
      </c>
      <c r="AD878">
        <v>41.735847</v>
      </c>
      <c r="AE878">
        <v>-87.985501</v>
      </c>
      <c r="AF878" s="5" t="str">
        <f>HYPERLINK("https://www.google.com/maps/search/?api=1&amp;query=41.735847,-87.985501","map")</f>
        <v>map</v>
      </c>
    </row>
    <row r="879" spans="1:32">
      <c r="A879" t="s">
        <v>929</v>
      </c>
      <c r="B879" t="s">
        <v>8506</v>
      </c>
      <c r="C879" t="s">
        <v>15201</v>
      </c>
      <c r="D879" t="s">
        <v>16198</v>
      </c>
      <c r="E879" t="s">
        <v>16218</v>
      </c>
      <c r="F879" t="s">
        <v>16221</v>
      </c>
      <c r="G879" t="s">
        <v>16241</v>
      </c>
      <c r="H879" t="s">
        <v>16241</v>
      </c>
      <c r="I879" t="s">
        <v>16317</v>
      </c>
      <c r="J879" t="s">
        <v>16385</v>
      </c>
      <c r="K879">
        <v>0.395</v>
      </c>
      <c r="L879">
        <v>17207</v>
      </c>
      <c r="M879">
        <v>2631</v>
      </c>
      <c r="N879" t="s">
        <v>16393</v>
      </c>
      <c r="O879" s="4">
        <v>80143</v>
      </c>
      <c r="P879" s="4">
        <v>126459</v>
      </c>
      <c r="Q879" s="4">
        <v>206602</v>
      </c>
      <c r="R879" s="4">
        <v>619806</v>
      </c>
      <c r="S879" t="s">
        <v>17254</v>
      </c>
      <c r="T879" s="6">
        <v>34639</v>
      </c>
      <c r="U879" s="4">
        <v>121000</v>
      </c>
      <c r="X879" t="s">
        <v>3</v>
      </c>
      <c r="AA879" s="5" t="str">
        <f>HYPERLINK("https://www.zillow.com/homes/1508-OLD-OAK-PL-DARIEN-IL-60561_rb/","check listing")</f>
        <v>check listing</v>
      </c>
      <c r="AB879" s="5" t="str">
        <f>HYPERLINK("https://propertylookup.dupagecounty.gov/Datalets/Datalet.aspx?UseSearch=no&amp;mode=sales&amp;pin=1004103008","sales record")</f>
        <v>sales record</v>
      </c>
      <c r="AC879" t="s">
        <v>3</v>
      </c>
      <c r="AD879">
        <v>41.729423</v>
      </c>
      <c r="AE879">
        <v>-87.984161</v>
      </c>
      <c r="AF879" s="5" t="str">
        <f>HYPERLINK("https://www.google.com/maps/search/?api=1&amp;query=41.729423,-87.984161","map")</f>
        <v>map</v>
      </c>
    </row>
    <row r="880" spans="1:32">
      <c r="A880" t="s">
        <v>930</v>
      </c>
      <c r="B880" t="s">
        <v>8507</v>
      </c>
      <c r="C880" t="s">
        <v>15213</v>
      </c>
      <c r="D880" t="s">
        <v>16198</v>
      </c>
      <c r="E880" t="s">
        <v>16218</v>
      </c>
      <c r="F880" t="s">
        <v>16221</v>
      </c>
      <c r="G880" t="s">
        <v>16241</v>
      </c>
      <c r="H880" t="s">
        <v>16241</v>
      </c>
      <c r="I880" t="s">
        <v>16317</v>
      </c>
      <c r="J880" t="s">
        <v>16385</v>
      </c>
      <c r="K880">
        <v>0.395</v>
      </c>
      <c r="L880">
        <v>17204</v>
      </c>
      <c r="M880">
        <v>3563</v>
      </c>
      <c r="N880" t="s">
        <v>16393</v>
      </c>
      <c r="O880" s="4">
        <v>93535</v>
      </c>
      <c r="P880" s="4">
        <v>73723</v>
      </c>
      <c r="Q880" s="4">
        <v>167258</v>
      </c>
      <c r="R880" s="4">
        <v>501774</v>
      </c>
      <c r="S880" t="s">
        <v>17255</v>
      </c>
      <c r="T880" s="6">
        <v>43770</v>
      </c>
      <c r="U880" s="4">
        <v>385000</v>
      </c>
      <c r="V880" t="s">
        <v>23740</v>
      </c>
      <c r="W880" t="s">
        <v>17255</v>
      </c>
      <c r="X880" t="s">
        <v>3</v>
      </c>
      <c r="AA880" s="5" t="str">
        <f>HYPERLINK("https://www.zillow.com/homes/1618-HEATHER-LN-DARIEN-IL-605615326_rb/","check listing")</f>
        <v>check listing</v>
      </c>
      <c r="AB880" s="5" t="str">
        <f>HYPERLINK("https://propertylookup.dupagecounty.gov/Datalets/Datalet.aspx?UseSearch=no&amp;mode=sales&amp;pin=0933305006","sales record")</f>
        <v>sales record</v>
      </c>
      <c r="AC880" t="s">
        <v>3</v>
      </c>
      <c r="AD880">
        <v>41.735792</v>
      </c>
      <c r="AE880">
        <v>-87.98589</v>
      </c>
      <c r="AF880" s="5" t="str">
        <f>HYPERLINK("https://www.google.com/maps/search/?api=1&amp;query=41.735792,-87.98589","map")</f>
        <v>map</v>
      </c>
    </row>
    <row r="881" spans="1:32">
      <c r="A881" t="s">
        <v>931</v>
      </c>
      <c r="B881" t="s">
        <v>8508</v>
      </c>
      <c r="C881" t="s">
        <v>15201</v>
      </c>
      <c r="D881" t="s">
        <v>16198</v>
      </c>
      <c r="E881" t="s">
        <v>16218</v>
      </c>
      <c r="F881" t="s">
        <v>16221</v>
      </c>
      <c r="G881" t="s">
        <v>16241</v>
      </c>
      <c r="H881" t="s">
        <v>16241</v>
      </c>
      <c r="I881" t="s">
        <v>16317</v>
      </c>
      <c r="J881" t="s">
        <v>16385</v>
      </c>
      <c r="K881">
        <v>0.394</v>
      </c>
      <c r="L881">
        <v>17148</v>
      </c>
      <c r="M881">
        <v>3455</v>
      </c>
      <c r="N881" t="s">
        <v>16393</v>
      </c>
      <c r="O881" s="4">
        <v>87760</v>
      </c>
      <c r="P881" s="4">
        <v>99592</v>
      </c>
      <c r="Q881" s="4">
        <v>187352</v>
      </c>
      <c r="R881" s="4">
        <v>562056</v>
      </c>
      <c r="S881" t="s">
        <v>17256</v>
      </c>
      <c r="T881" s="6">
        <v>29983</v>
      </c>
      <c r="U881" s="4">
        <v>162000</v>
      </c>
      <c r="X881" t="s">
        <v>3</v>
      </c>
      <c r="AA881" s="5" t="str">
        <f>HYPERLINK("https://www.zillow.com/homes/1618-LAUREL-LN-DARIEN-IL-60561_rb/","check listing")</f>
        <v>check listing</v>
      </c>
      <c r="AB881" s="5" t="str">
        <f>HYPERLINK("https://propertylookup.dupagecounty.gov/Datalets/Datalet.aspx?UseSearch=no&amp;mode=sales&amp;pin=0933302015","sales record")</f>
        <v>sales record</v>
      </c>
      <c r="AC881" t="s">
        <v>3</v>
      </c>
      <c r="AD881">
        <v>41.733639</v>
      </c>
      <c r="AE881">
        <v>-87.98618</v>
      </c>
      <c r="AF881" s="5" t="str">
        <f>HYPERLINK("https://www.google.com/maps/search/?api=1&amp;query=41.733639,-87.98618","map")</f>
        <v>map</v>
      </c>
    </row>
    <row r="882" spans="1:32">
      <c r="A882" t="s">
        <v>932</v>
      </c>
      <c r="B882" t="s">
        <v>8509</v>
      </c>
      <c r="C882" t="s">
        <v>15201</v>
      </c>
      <c r="D882" t="s">
        <v>16198</v>
      </c>
      <c r="E882" t="s">
        <v>16218</v>
      </c>
      <c r="F882" t="s">
        <v>16221</v>
      </c>
      <c r="G882" t="s">
        <v>16241</v>
      </c>
      <c r="H882" t="s">
        <v>16241</v>
      </c>
      <c r="I882" t="s">
        <v>16317</v>
      </c>
      <c r="J882" t="s">
        <v>16385</v>
      </c>
      <c r="K882">
        <v>0.394</v>
      </c>
      <c r="L882">
        <v>17147</v>
      </c>
      <c r="M882">
        <v>2315</v>
      </c>
      <c r="N882" t="s">
        <v>16393</v>
      </c>
      <c r="O882" s="4">
        <v>107150</v>
      </c>
      <c r="P882" s="4">
        <v>157926</v>
      </c>
      <c r="Q882" s="4">
        <v>265076</v>
      </c>
      <c r="R882" s="4">
        <v>795228</v>
      </c>
      <c r="S882" t="s">
        <v>17257</v>
      </c>
      <c r="T882" s="6">
        <v>38139</v>
      </c>
      <c r="U882" s="4">
        <v>500000</v>
      </c>
      <c r="V882" t="s">
        <v>23740</v>
      </c>
      <c r="W882" t="s">
        <v>24164</v>
      </c>
      <c r="X882" t="s">
        <v>3</v>
      </c>
      <c r="AA882" s="5" t="str">
        <f>HYPERLINK("https://www.zillow.com/homes/1501-EVERGREEN-CT-DARIEN-IL-60561_rb/","check listing")</f>
        <v>check listing</v>
      </c>
      <c r="AB882" s="5" t="str">
        <f>HYPERLINK("https://propertylookup.dupagecounty.gov/Datalets/Datalet.aspx?UseSearch=no&amp;mode=sales&amp;pin=0933404008","sales record")</f>
        <v>sales record</v>
      </c>
      <c r="AC882" t="s">
        <v>3</v>
      </c>
      <c r="AD882">
        <v>41.73572</v>
      </c>
      <c r="AE882">
        <v>-87.978568</v>
      </c>
      <c r="AF882" s="5" t="str">
        <f>HYPERLINK("https://www.google.com/maps/search/?api=1&amp;query=41.73572,-87.978568","map")</f>
        <v>map</v>
      </c>
    </row>
    <row r="883" spans="1:32">
      <c r="A883" t="s">
        <v>933</v>
      </c>
      <c r="B883" t="s">
        <v>8510</v>
      </c>
      <c r="C883" t="s">
        <v>15201</v>
      </c>
      <c r="D883" t="s">
        <v>16198</v>
      </c>
      <c r="E883" t="s">
        <v>16218</v>
      </c>
      <c r="F883" t="s">
        <v>16221</v>
      </c>
      <c r="G883" t="s">
        <v>16241</v>
      </c>
      <c r="H883" t="s">
        <v>16241</v>
      </c>
      <c r="I883" t="s">
        <v>16317</v>
      </c>
      <c r="J883" t="s">
        <v>16385</v>
      </c>
      <c r="K883">
        <v>0.393</v>
      </c>
      <c r="L883">
        <v>17128</v>
      </c>
      <c r="M883">
        <v>3124</v>
      </c>
      <c r="N883" t="s">
        <v>16393</v>
      </c>
      <c r="O883" s="4">
        <v>83805</v>
      </c>
      <c r="P883" s="4">
        <v>149241</v>
      </c>
      <c r="Q883" s="4">
        <v>233046</v>
      </c>
      <c r="R883" s="4">
        <v>699138</v>
      </c>
      <c r="S883" t="s">
        <v>17258</v>
      </c>
      <c r="T883" s="6">
        <v>45922</v>
      </c>
      <c r="U883" s="4">
        <v>434500</v>
      </c>
      <c r="V883" t="s">
        <v>23742</v>
      </c>
      <c r="W883" t="s">
        <v>24165</v>
      </c>
      <c r="X883" t="s">
        <v>3</v>
      </c>
      <c r="AA883" s="5" t="str">
        <f>HYPERLINK("https://www.zillow.com/homes/1509-ROYAL-OAK-RD-DARIEN-IL-60561_rb/","check listing")</f>
        <v>check listing</v>
      </c>
      <c r="AB883" s="5" t="str">
        <f>HYPERLINK("https://propertylookup.dupagecounty.gov/Datalets/Datalet.aspx?UseSearch=no&amp;mode=sales&amp;pin=1004103004","sales record")</f>
        <v>sales record</v>
      </c>
      <c r="AC883" t="s">
        <v>3</v>
      </c>
      <c r="AD883">
        <v>41.729661</v>
      </c>
      <c r="AE883">
        <v>-87.984683</v>
      </c>
      <c r="AF883" s="5" t="str">
        <f>HYPERLINK("https://www.google.com/maps/search/?api=1&amp;query=41.729661,-87.984683","map")</f>
        <v>map</v>
      </c>
    </row>
    <row r="884" spans="1:32">
      <c r="A884" t="s">
        <v>934</v>
      </c>
      <c r="B884" t="s">
        <v>8511</v>
      </c>
      <c r="C884" t="s">
        <v>15201</v>
      </c>
      <c r="D884" t="s">
        <v>16198</v>
      </c>
      <c r="E884" t="s">
        <v>16218</v>
      </c>
      <c r="F884" t="s">
        <v>16221</v>
      </c>
      <c r="G884" t="s">
        <v>16241</v>
      </c>
      <c r="H884" t="s">
        <v>16241</v>
      </c>
      <c r="I884" t="s">
        <v>16317</v>
      </c>
      <c r="J884" t="s">
        <v>16385</v>
      </c>
      <c r="K884">
        <v>0.392</v>
      </c>
      <c r="L884">
        <v>17071</v>
      </c>
      <c r="M884">
        <v>3969</v>
      </c>
      <c r="N884" t="s">
        <v>16393</v>
      </c>
      <c r="O884" s="4">
        <v>84626</v>
      </c>
      <c r="P884" s="4">
        <v>131905</v>
      </c>
      <c r="Q884" s="4">
        <v>216531</v>
      </c>
      <c r="R884" s="4">
        <v>649593</v>
      </c>
      <c r="S884" t="s">
        <v>17259</v>
      </c>
      <c r="T884" s="6">
        <v>42491</v>
      </c>
      <c r="U884" s="4">
        <v>480000</v>
      </c>
      <c r="V884" t="s">
        <v>23739</v>
      </c>
      <c r="W884" t="s">
        <v>24166</v>
      </c>
      <c r="X884" t="s">
        <v>3</v>
      </c>
      <c r="AA884" s="5" t="str">
        <f>HYPERLINK("https://www.zillow.com/homes/1614-COACHMANS-RD-DARIEN-IL-60561_rb/","check listing")</f>
        <v>check listing</v>
      </c>
      <c r="AB884" s="5" t="str">
        <f>HYPERLINK("https://propertylookup.dupagecounty.gov/Datalets/Datalet.aspx?UseSearch=no&amp;mode=sales&amp;pin=0933302044","sales record")</f>
        <v>sales record</v>
      </c>
      <c r="AC884" t="s">
        <v>3</v>
      </c>
      <c r="AD884">
        <v>41.732611</v>
      </c>
      <c r="AE884">
        <v>-87.985032</v>
      </c>
      <c r="AF884" s="5" t="str">
        <f>HYPERLINK("https://www.google.com/maps/search/?api=1&amp;query=41.732611,-87.985032","map")</f>
        <v>map</v>
      </c>
    </row>
    <row r="885" spans="1:32">
      <c r="A885" t="s">
        <v>935</v>
      </c>
      <c r="B885" t="s">
        <v>8512</v>
      </c>
      <c r="C885" t="s">
        <v>15201</v>
      </c>
      <c r="D885" t="s">
        <v>16198</v>
      </c>
      <c r="E885" t="s">
        <v>16218</v>
      </c>
      <c r="F885" t="s">
        <v>16221</v>
      </c>
      <c r="G885" t="s">
        <v>16241</v>
      </c>
      <c r="H885" t="s">
        <v>16241</v>
      </c>
      <c r="I885" t="s">
        <v>16317</v>
      </c>
      <c r="J885" t="s">
        <v>16385</v>
      </c>
      <c r="K885">
        <v>0.392</v>
      </c>
      <c r="L885">
        <v>17061</v>
      </c>
      <c r="M885">
        <v>2480</v>
      </c>
      <c r="N885" t="s">
        <v>16393</v>
      </c>
      <c r="O885" s="4">
        <v>72271</v>
      </c>
      <c r="P885" s="4">
        <v>118379</v>
      </c>
      <c r="Q885" s="4">
        <v>190650</v>
      </c>
      <c r="R885" s="4">
        <v>571950</v>
      </c>
      <c r="S885" t="s">
        <v>17260</v>
      </c>
      <c r="T885" s="6">
        <v>44758</v>
      </c>
      <c r="U885" s="4">
        <v>445000</v>
      </c>
      <c r="V885" t="s">
        <v>23739</v>
      </c>
      <c r="W885" t="s">
        <v>24167</v>
      </c>
      <c r="X885" t="s">
        <v>3</v>
      </c>
      <c r="AA885" s="5" t="str">
        <f>HYPERLINK("https://www.zillow.com/homes/1910-CENTER-CIR-DARIEN-IL-60561_rb/","check listing")</f>
        <v>check listing</v>
      </c>
      <c r="AB885" s="5" t="str">
        <f>HYPERLINK("https://propertylookup.dupagecounty.gov/Datalets/Datalet.aspx?UseSearch=no&amp;mode=sales&amp;pin=0928315047","sales record")</f>
        <v>sales record</v>
      </c>
      <c r="AC885" t="s">
        <v>3</v>
      </c>
      <c r="AD885">
        <v>41.746605</v>
      </c>
      <c r="AE885">
        <v>-87.9911</v>
      </c>
      <c r="AF885" s="5" t="str">
        <f>HYPERLINK("https://www.google.com/maps/search/?api=1&amp;query=41.746605,-87.9911","map")</f>
        <v>map</v>
      </c>
    </row>
    <row r="886" spans="1:32">
      <c r="A886" t="s">
        <v>936</v>
      </c>
      <c r="B886" t="s">
        <v>8513</v>
      </c>
      <c r="C886" t="s">
        <v>15201</v>
      </c>
      <c r="D886" t="s">
        <v>16198</v>
      </c>
      <c r="E886" t="s">
        <v>16218</v>
      </c>
      <c r="F886" t="s">
        <v>16221</v>
      </c>
      <c r="G886" t="s">
        <v>16241</v>
      </c>
      <c r="H886" t="s">
        <v>16241</v>
      </c>
      <c r="I886" t="s">
        <v>16317</v>
      </c>
      <c r="J886" t="s">
        <v>16385</v>
      </c>
      <c r="K886">
        <v>0.39</v>
      </c>
      <c r="L886">
        <v>16968</v>
      </c>
      <c r="M886">
        <v>1617</v>
      </c>
      <c r="N886" t="s">
        <v>16393</v>
      </c>
      <c r="O886" s="4">
        <v>72231</v>
      </c>
      <c r="P886" s="4">
        <v>93911</v>
      </c>
      <c r="Q886" s="4">
        <v>166142</v>
      </c>
      <c r="R886" s="4">
        <v>498426</v>
      </c>
      <c r="S886" t="s">
        <v>17261</v>
      </c>
      <c r="T886" s="6">
        <v>36192</v>
      </c>
      <c r="U886" s="4">
        <v>215000</v>
      </c>
      <c r="X886" t="s">
        <v>3</v>
      </c>
      <c r="AA886" s="5" t="str">
        <f>HYPERLINK("https://www.zillow.com/homes/1909-CENTER-CIR-DARIEN-IL-60561_rb/","check listing")</f>
        <v>check listing</v>
      </c>
      <c r="AB886" s="5" t="str">
        <f>HYPERLINK("https://propertylookup.dupagecounty.gov/Datalets/Datalet.aspx?UseSearch=no&amp;mode=sales&amp;pin=0928315049","sales record")</f>
        <v>sales record</v>
      </c>
      <c r="AC886" t="s">
        <v>3</v>
      </c>
      <c r="AD886">
        <v>41.745892</v>
      </c>
      <c r="AE886">
        <v>-87.99109300000001</v>
      </c>
      <c r="AF886" s="5" t="str">
        <f>HYPERLINK("https://www.google.com/maps/search/?api=1&amp;query=41.745892,-87.991093","map")</f>
        <v>map</v>
      </c>
    </row>
    <row r="887" spans="1:32">
      <c r="A887" t="s">
        <v>937</v>
      </c>
      <c r="B887" t="s">
        <v>8514</v>
      </c>
      <c r="C887" t="s">
        <v>15207</v>
      </c>
      <c r="D887" t="s">
        <v>16198</v>
      </c>
      <c r="E887" t="s">
        <v>16218</v>
      </c>
      <c r="F887" t="s">
        <v>16221</v>
      </c>
      <c r="G887" t="s">
        <v>16241</v>
      </c>
      <c r="H887" t="s">
        <v>16241</v>
      </c>
      <c r="I887" t="s">
        <v>16317</v>
      </c>
      <c r="J887" t="s">
        <v>16385</v>
      </c>
      <c r="K887">
        <v>0.389</v>
      </c>
      <c r="L887">
        <v>16958</v>
      </c>
      <c r="M887">
        <v>4437</v>
      </c>
      <c r="N887" t="s">
        <v>16393</v>
      </c>
      <c r="O887" s="4">
        <v>96610</v>
      </c>
      <c r="P887" s="4">
        <v>147468</v>
      </c>
      <c r="Q887" s="4">
        <v>244078</v>
      </c>
      <c r="R887" s="4">
        <v>732234</v>
      </c>
      <c r="S887" t="s">
        <v>17262</v>
      </c>
      <c r="T887" s="6">
        <v>44981</v>
      </c>
      <c r="U887" s="4">
        <v>470000</v>
      </c>
      <c r="V887" t="s">
        <v>23739</v>
      </c>
      <c r="W887" t="s">
        <v>17262</v>
      </c>
      <c r="X887" t="s">
        <v>3</v>
      </c>
      <c r="AA887" s="5" t="str">
        <f>HYPERLINK("https://www.zillow.com/homes/8413-GLENEYRE-RD-DARIEN-IL-605615321_rb/","check listing")</f>
        <v>check listing</v>
      </c>
      <c r="AB887" s="5" t="str">
        <f>HYPERLINK("https://propertylookup.dupagecounty.gov/Datalets/Datalet.aspx?UseSearch=no&amp;mode=sales&amp;pin=0933306004","sales record")</f>
        <v>sales record</v>
      </c>
      <c r="AC887" t="s">
        <v>3</v>
      </c>
      <c r="AD887">
        <v>41.734738</v>
      </c>
      <c r="AE887">
        <v>-87.9841</v>
      </c>
      <c r="AF887" s="5" t="str">
        <f>HYPERLINK("https://www.google.com/maps/search/?api=1&amp;query=41.734738,-87.9841","map")</f>
        <v>map</v>
      </c>
    </row>
    <row r="888" spans="1:32">
      <c r="A888" t="s">
        <v>938</v>
      </c>
      <c r="B888" t="s">
        <v>8515</v>
      </c>
      <c r="C888" t="s">
        <v>15219</v>
      </c>
      <c r="D888" t="s">
        <v>16198</v>
      </c>
      <c r="E888" t="s">
        <v>16218</v>
      </c>
      <c r="F888" t="s">
        <v>16221</v>
      </c>
      <c r="G888" t="s">
        <v>16241</v>
      </c>
      <c r="H888" t="s">
        <v>16241</v>
      </c>
      <c r="I888" t="s">
        <v>16317</v>
      </c>
      <c r="J888" t="s">
        <v>16385</v>
      </c>
      <c r="K888">
        <v>0.388</v>
      </c>
      <c r="L888">
        <v>16919</v>
      </c>
      <c r="N888" t="s">
        <v>16393</v>
      </c>
      <c r="O888" s="4">
        <v>106834</v>
      </c>
      <c r="P888" s="4">
        <v>154299</v>
      </c>
      <c r="Q888" s="4">
        <v>261133</v>
      </c>
      <c r="R888" s="4">
        <v>783399</v>
      </c>
      <c r="S888" t="s">
        <v>17263</v>
      </c>
      <c r="T888" s="6">
        <v>43739</v>
      </c>
      <c r="U888" s="4">
        <v>185850</v>
      </c>
      <c r="V888" t="s">
        <v>23740</v>
      </c>
      <c r="W888" t="s">
        <v>24168</v>
      </c>
      <c r="X888" t="s">
        <v>3</v>
      </c>
      <c r="AA888" s="5" t="str">
        <f>HYPERLINK("https://www.zillow.com/homes/1528-EVERGREEN-LN-DARIEN-IL-605615395_rb/","check listing")</f>
        <v>check listing</v>
      </c>
      <c r="AB888" s="5" t="str">
        <f>HYPERLINK("https://propertylookup.dupagecounty.gov/Datalets/Datalet.aspx?UseSearch=no&amp;mode=sales&amp;pin=0933400013","sales record")</f>
        <v>sales record</v>
      </c>
      <c r="AC888" t="s">
        <v>3</v>
      </c>
      <c r="AD888">
        <v>41.735709</v>
      </c>
      <c r="AE888">
        <v>-87.980491</v>
      </c>
      <c r="AF888" s="5" t="str">
        <f>HYPERLINK("https://www.google.com/maps/search/?api=1&amp;query=41.735709,-87.980491","map")</f>
        <v>map</v>
      </c>
    </row>
    <row r="889" spans="1:32">
      <c r="A889" t="s">
        <v>939</v>
      </c>
      <c r="B889" t="s">
        <v>8516</v>
      </c>
      <c r="C889" t="s">
        <v>15219</v>
      </c>
      <c r="D889" t="s">
        <v>16198</v>
      </c>
      <c r="E889" t="s">
        <v>16218</v>
      </c>
      <c r="F889" t="s">
        <v>16221</v>
      </c>
      <c r="G889" t="s">
        <v>16241</v>
      </c>
      <c r="H889" t="s">
        <v>16241</v>
      </c>
      <c r="I889" t="s">
        <v>16317</v>
      </c>
      <c r="J889" t="s">
        <v>16385</v>
      </c>
      <c r="K889">
        <v>0.388</v>
      </c>
      <c r="L889">
        <v>16918</v>
      </c>
      <c r="N889" t="s">
        <v>16393</v>
      </c>
      <c r="O889" s="4">
        <v>106834</v>
      </c>
      <c r="P889" s="4">
        <v>151459</v>
      </c>
      <c r="Q889" s="4">
        <v>258293</v>
      </c>
      <c r="R889" s="4">
        <v>774879</v>
      </c>
      <c r="S889" t="s">
        <v>17264</v>
      </c>
      <c r="T889" s="6">
        <v>44136</v>
      </c>
      <c r="U889" s="4">
        <v>901755</v>
      </c>
      <c r="V889" t="s">
        <v>23739</v>
      </c>
      <c r="W889" t="s">
        <v>24169</v>
      </c>
      <c r="X889" t="s">
        <v>3</v>
      </c>
      <c r="AA889" s="5" t="str">
        <f>HYPERLINK("https://www.zillow.com/homes/1532-EVERGREEN-LN-DARIEN-IL-605615395_rb/","check listing")</f>
        <v>check listing</v>
      </c>
      <c r="AB889" s="5" t="str">
        <f>HYPERLINK("https://propertylookup.dupagecounty.gov/Datalets/Datalet.aspx?UseSearch=no&amp;mode=sales&amp;pin=0933400014","sales record")</f>
        <v>sales record</v>
      </c>
      <c r="AC889" t="s">
        <v>3</v>
      </c>
      <c r="AD889">
        <v>41.7353</v>
      </c>
      <c r="AE889">
        <v>-87.980767</v>
      </c>
      <c r="AF889" s="5" t="str">
        <f>HYPERLINK("https://www.google.com/maps/search/?api=1&amp;query=41.7353,-87.980767","map")</f>
        <v>map</v>
      </c>
    </row>
    <row r="890" spans="1:32">
      <c r="A890" t="s">
        <v>940</v>
      </c>
      <c r="B890" t="s">
        <v>8517</v>
      </c>
      <c r="C890" t="s">
        <v>15210</v>
      </c>
      <c r="D890" t="s">
        <v>16198</v>
      </c>
      <c r="E890" t="s">
        <v>16218</v>
      </c>
      <c r="F890" t="s">
        <v>16221</v>
      </c>
      <c r="G890" t="s">
        <v>16241</v>
      </c>
      <c r="H890" t="s">
        <v>16241</v>
      </c>
      <c r="I890" t="s">
        <v>16317</v>
      </c>
      <c r="J890" t="s">
        <v>16385</v>
      </c>
      <c r="K890">
        <v>0.388</v>
      </c>
      <c r="L890">
        <v>16891</v>
      </c>
      <c r="M890">
        <v>3154</v>
      </c>
      <c r="N890" t="s">
        <v>16393</v>
      </c>
      <c r="O890" s="4">
        <v>92948</v>
      </c>
      <c r="P890" s="4">
        <v>196296</v>
      </c>
      <c r="Q890" s="4">
        <v>289244</v>
      </c>
      <c r="R890" s="4">
        <v>867732</v>
      </c>
      <c r="S890" t="s">
        <v>17265</v>
      </c>
      <c r="T890" s="6">
        <v>43313</v>
      </c>
      <c r="U890" s="4">
        <v>730000</v>
      </c>
      <c r="V890" t="s">
        <v>23739</v>
      </c>
      <c r="W890" t="s">
        <v>24170</v>
      </c>
      <c r="X890" t="s">
        <v>3</v>
      </c>
      <c r="AA890" s="5" t="str">
        <f>HYPERLINK("https://www.zillow.com/homes/8404-EVERGREEN-LN-DARIEN-IL-605618400_rb/","check listing")</f>
        <v>check listing</v>
      </c>
      <c r="AB890" s="5" t="str">
        <f>HYPERLINK("https://propertylookup.dupagecounty.gov/Datalets/Datalet.aspx?UseSearch=no&amp;mode=sales&amp;pin=0933406008","sales record")</f>
        <v>sales record</v>
      </c>
      <c r="AC890" t="s">
        <v>3</v>
      </c>
      <c r="AD890">
        <v>41.734679</v>
      </c>
      <c r="AE890">
        <v>-87.981229</v>
      </c>
      <c r="AF890" s="5" t="str">
        <f>HYPERLINK("https://www.google.com/maps/search/?api=1&amp;query=41.734679,-87.981229","map")</f>
        <v>map</v>
      </c>
    </row>
    <row r="891" spans="1:32">
      <c r="A891" t="s">
        <v>941</v>
      </c>
      <c r="B891" t="s">
        <v>8518</v>
      </c>
      <c r="C891" t="s">
        <v>15220</v>
      </c>
      <c r="D891" t="s">
        <v>16198</v>
      </c>
      <c r="E891" t="s">
        <v>16218</v>
      </c>
      <c r="F891" t="s">
        <v>16221</v>
      </c>
      <c r="G891" t="s">
        <v>16241</v>
      </c>
      <c r="H891" t="s">
        <v>16241</v>
      </c>
      <c r="I891" t="s">
        <v>16317</v>
      </c>
      <c r="J891" t="s">
        <v>16385</v>
      </c>
      <c r="K891">
        <v>0.387</v>
      </c>
      <c r="L891">
        <v>16871</v>
      </c>
      <c r="M891">
        <v>2216</v>
      </c>
      <c r="N891" t="s">
        <v>16393</v>
      </c>
      <c r="O891" s="4">
        <v>98723</v>
      </c>
      <c r="P891" s="4">
        <v>100788</v>
      </c>
      <c r="Q891" s="4">
        <v>199511</v>
      </c>
      <c r="R891" s="4">
        <v>598533</v>
      </c>
      <c r="S891" t="s">
        <v>17266</v>
      </c>
      <c r="T891" s="6">
        <v>42583</v>
      </c>
      <c r="U891" s="4">
        <v>429000</v>
      </c>
      <c r="V891" t="s">
        <v>23739</v>
      </c>
      <c r="W891" t="s">
        <v>24171</v>
      </c>
      <c r="X891" t="s">
        <v>3</v>
      </c>
      <c r="AA891" s="5" t="str">
        <f>HYPERLINK("https://www.zillow.com/homes/1602-ROYAL-OAK-RD-DARIEN-IL-605615331_rb/","check listing")</f>
        <v>check listing</v>
      </c>
      <c r="AB891" s="5" t="str">
        <f>HYPERLINK("https://propertylookup.dupagecounty.gov/Datalets/Datalet.aspx?UseSearch=no&amp;mode=sales&amp;pin=1004101001","sales record")</f>
        <v>sales record</v>
      </c>
      <c r="AC891" t="s">
        <v>3</v>
      </c>
      <c r="AD891">
        <v>41.729514</v>
      </c>
      <c r="AE891">
        <v>-87.98599400000001</v>
      </c>
      <c r="AF891" s="5" t="str">
        <f>HYPERLINK("https://www.google.com/maps/search/?api=1&amp;query=41.729514,-87.985994","map")</f>
        <v>map</v>
      </c>
    </row>
    <row r="892" spans="1:32">
      <c r="A892" t="s">
        <v>942</v>
      </c>
      <c r="B892" t="s">
        <v>8519</v>
      </c>
      <c r="C892" t="s">
        <v>15201</v>
      </c>
      <c r="D892" t="s">
        <v>16198</v>
      </c>
      <c r="E892" t="s">
        <v>16218</v>
      </c>
      <c r="F892" t="s">
        <v>16221</v>
      </c>
      <c r="G892" t="s">
        <v>16241</v>
      </c>
      <c r="H892" t="s">
        <v>16241</v>
      </c>
      <c r="I892" t="s">
        <v>16317</v>
      </c>
      <c r="J892" t="s">
        <v>16385</v>
      </c>
      <c r="K892">
        <v>0.387</v>
      </c>
      <c r="L892">
        <v>16858</v>
      </c>
      <c r="M892">
        <v>3682</v>
      </c>
      <c r="N892" t="s">
        <v>16393</v>
      </c>
      <c r="O892" s="4">
        <v>94298</v>
      </c>
      <c r="P892" s="4">
        <v>117797</v>
      </c>
      <c r="Q892" s="4">
        <v>212095</v>
      </c>
      <c r="R892" s="4">
        <v>636285</v>
      </c>
      <c r="S892" t="s">
        <v>17267</v>
      </c>
      <c r="T892" s="6">
        <v>45527</v>
      </c>
      <c r="U892" s="4">
        <v>535000</v>
      </c>
      <c r="V892" t="s">
        <v>23741</v>
      </c>
      <c r="W892" t="s">
        <v>17267</v>
      </c>
      <c r="X892" t="s">
        <v>3</v>
      </c>
      <c r="AA892" s="5" t="str">
        <f>HYPERLINK("https://www.zillow.com/homes/8502-CARRIAGE-GREEN-DR-DARIEN-IL-60561_rb/","check listing")</f>
        <v>check listing</v>
      </c>
      <c r="AB892" s="5" t="str">
        <f>HYPERLINK("https://propertylookup.dupagecounty.gov/Datalets/Datalet.aspx?UseSearch=no&amp;mode=sales&amp;pin=0933301007","sales record")</f>
        <v>sales record</v>
      </c>
      <c r="AC892" t="s">
        <v>3</v>
      </c>
      <c r="AD892">
        <v>41.733332</v>
      </c>
      <c r="AE892">
        <v>-87.98742900000001</v>
      </c>
      <c r="AF892" s="5" t="str">
        <f>HYPERLINK("https://www.google.com/maps/search/?api=1&amp;query=41.733332,-87.987429","map")</f>
        <v>map</v>
      </c>
    </row>
    <row r="893" spans="1:32">
      <c r="A893" t="s">
        <v>943</v>
      </c>
      <c r="B893" t="s">
        <v>8520</v>
      </c>
      <c r="C893" t="s">
        <v>15219</v>
      </c>
      <c r="D893" t="s">
        <v>16198</v>
      </c>
      <c r="E893" t="s">
        <v>16218</v>
      </c>
      <c r="F893" t="s">
        <v>16221</v>
      </c>
      <c r="G893" t="s">
        <v>16241</v>
      </c>
      <c r="H893" t="s">
        <v>16241</v>
      </c>
      <c r="I893" t="s">
        <v>16317</v>
      </c>
      <c r="J893" t="s">
        <v>16385</v>
      </c>
      <c r="K893">
        <v>0.386</v>
      </c>
      <c r="L893">
        <v>16821</v>
      </c>
      <c r="M893">
        <v>3172</v>
      </c>
      <c r="N893" t="s">
        <v>16393</v>
      </c>
      <c r="O893" s="4">
        <v>90578</v>
      </c>
      <c r="P893" s="4">
        <v>154241</v>
      </c>
      <c r="Q893" s="4">
        <v>244819</v>
      </c>
      <c r="R893" s="4">
        <v>734457</v>
      </c>
      <c r="S893" t="s">
        <v>17268</v>
      </c>
      <c r="T893" s="6">
        <v>44105</v>
      </c>
      <c r="U893" s="4">
        <v>565000</v>
      </c>
      <c r="V893" t="s">
        <v>23739</v>
      </c>
      <c r="W893" t="s">
        <v>24172</v>
      </c>
      <c r="X893" t="s">
        <v>3</v>
      </c>
      <c r="AA893" s="5" t="str">
        <f>HYPERLINK("https://www.zillow.com/homes/1500-EVERGREEN-LN-DARIEN-IL-605615395_rb/","check listing")</f>
        <v>check listing</v>
      </c>
      <c r="AB893" s="5" t="str">
        <f>HYPERLINK("https://propertylookup.dupagecounty.gov/Datalets/Datalet.aspx?UseSearch=no&amp;mode=sales&amp;pin=0933406001","sales record")</f>
        <v>sales record</v>
      </c>
      <c r="AC893" t="s">
        <v>3</v>
      </c>
      <c r="AD893">
        <v>41.736267</v>
      </c>
      <c r="AE893">
        <v>-87.97857399999999</v>
      </c>
      <c r="AF893" s="5" t="str">
        <f>HYPERLINK("https://www.google.com/maps/search/?api=1&amp;query=41.736267,-87.978574","map")</f>
        <v>map</v>
      </c>
    </row>
    <row r="894" spans="1:32">
      <c r="A894" t="s">
        <v>944</v>
      </c>
      <c r="B894" t="s">
        <v>8521</v>
      </c>
      <c r="C894" t="s">
        <v>15201</v>
      </c>
      <c r="D894" t="s">
        <v>16198</v>
      </c>
      <c r="E894" t="s">
        <v>16218</v>
      </c>
      <c r="F894" t="s">
        <v>16221</v>
      </c>
      <c r="G894" t="s">
        <v>16241</v>
      </c>
      <c r="H894" t="s">
        <v>16241</v>
      </c>
      <c r="I894" t="s">
        <v>16317</v>
      </c>
      <c r="J894" t="s">
        <v>16385</v>
      </c>
      <c r="K894">
        <v>0.385</v>
      </c>
      <c r="L894">
        <v>16781</v>
      </c>
      <c r="M894">
        <v>2585</v>
      </c>
      <c r="N894" t="s">
        <v>16393</v>
      </c>
      <c r="O894" s="4">
        <v>80143</v>
      </c>
      <c r="P894" s="4">
        <v>181436</v>
      </c>
      <c r="Q894" s="4">
        <v>261579</v>
      </c>
      <c r="R894" s="4">
        <v>784737</v>
      </c>
      <c r="S894" t="s">
        <v>17269</v>
      </c>
      <c r="T894" s="6">
        <v>44736</v>
      </c>
      <c r="U894" s="4">
        <v>650000</v>
      </c>
      <c r="V894" t="s">
        <v>23739</v>
      </c>
      <c r="W894" t="s">
        <v>24173</v>
      </c>
      <c r="X894" t="s">
        <v>3</v>
      </c>
      <c r="AA894" s="5" t="str">
        <f>HYPERLINK("https://www.zillow.com/homes/8810-CARLISLE-CT-DARIEN-IL-60561_rb/","check listing")</f>
        <v>check listing</v>
      </c>
      <c r="AB894" s="5" t="str">
        <f>HYPERLINK("https://propertylookup.dupagecounty.gov/Datalets/Datalet.aspx?UseSearch=no&amp;mode=sales&amp;pin=1004111012","sales record")</f>
        <v>sales record</v>
      </c>
      <c r="AC894" t="s">
        <v>3</v>
      </c>
      <c r="AD894">
        <v>41.726267</v>
      </c>
      <c r="AE894">
        <v>-87.991522</v>
      </c>
      <c r="AF894" s="5" t="str">
        <f>HYPERLINK("https://www.google.com/maps/search/?api=1&amp;query=41.726267,-87.991522","map")</f>
        <v>map</v>
      </c>
    </row>
    <row r="895" spans="1:32">
      <c r="A895" t="s">
        <v>945</v>
      </c>
      <c r="B895" t="s">
        <v>8522</v>
      </c>
      <c r="C895" t="s">
        <v>15201</v>
      </c>
      <c r="D895" t="s">
        <v>16198</v>
      </c>
      <c r="E895" t="s">
        <v>16218</v>
      </c>
      <c r="F895" t="s">
        <v>16221</v>
      </c>
      <c r="G895" t="s">
        <v>16241</v>
      </c>
      <c r="H895" t="s">
        <v>16241</v>
      </c>
      <c r="I895" t="s">
        <v>16317</v>
      </c>
      <c r="J895" t="s">
        <v>16385</v>
      </c>
      <c r="K895">
        <v>0.385</v>
      </c>
      <c r="L895">
        <v>16776</v>
      </c>
      <c r="M895">
        <v>3014</v>
      </c>
      <c r="N895" t="s">
        <v>16393</v>
      </c>
      <c r="O895" s="4">
        <v>77255</v>
      </c>
      <c r="P895" s="4">
        <v>159593</v>
      </c>
      <c r="Q895" s="4">
        <v>236848</v>
      </c>
      <c r="R895" s="4">
        <v>710544</v>
      </c>
      <c r="S895" t="s">
        <v>17270</v>
      </c>
      <c r="T895" s="6">
        <v>34608</v>
      </c>
      <c r="U895" s="4">
        <v>260000</v>
      </c>
      <c r="X895" t="s">
        <v>3</v>
      </c>
      <c r="AA895" s="5" t="str">
        <f>HYPERLINK("https://www.zillow.com/homes/8754-KENTWOOD-CT-DARIEN-IL-60561_rb/","check listing")</f>
        <v>check listing</v>
      </c>
      <c r="AB895" s="5" t="str">
        <f>HYPERLINK("https://propertylookup.dupagecounty.gov/Datalets/Datalet.aspx?UseSearch=no&amp;mode=sales&amp;pin=1004111008","sales record")</f>
        <v>sales record</v>
      </c>
      <c r="AC895" t="s">
        <v>3</v>
      </c>
      <c r="AD895">
        <v>41.72692</v>
      </c>
      <c r="AE895">
        <v>-87.992277</v>
      </c>
      <c r="AF895" s="5" t="str">
        <f>HYPERLINK("https://www.google.com/maps/search/?api=1&amp;query=41.72692,-87.992277","map")</f>
        <v>map</v>
      </c>
    </row>
    <row r="896" spans="1:32">
      <c r="A896" t="s">
        <v>946</v>
      </c>
      <c r="B896" t="s">
        <v>8523</v>
      </c>
      <c r="C896" t="s">
        <v>15208</v>
      </c>
      <c r="D896" t="s">
        <v>16198</v>
      </c>
      <c r="E896" t="s">
        <v>16218</v>
      </c>
      <c r="F896" t="s">
        <v>16221</v>
      </c>
      <c r="G896" t="s">
        <v>16241</v>
      </c>
      <c r="H896" t="s">
        <v>16241</v>
      </c>
      <c r="I896" t="s">
        <v>16317</v>
      </c>
      <c r="J896" t="s">
        <v>16385</v>
      </c>
      <c r="K896">
        <v>0.384</v>
      </c>
      <c r="L896">
        <v>16718</v>
      </c>
      <c r="M896">
        <v>3129</v>
      </c>
      <c r="N896" t="s">
        <v>16393</v>
      </c>
      <c r="O896" s="4">
        <v>63781</v>
      </c>
      <c r="P896" s="4">
        <v>201484</v>
      </c>
      <c r="Q896" s="4">
        <v>265265</v>
      </c>
      <c r="R896" s="4">
        <v>795795</v>
      </c>
      <c r="S896" t="s">
        <v>17271</v>
      </c>
      <c r="T896" s="6">
        <v>42826</v>
      </c>
      <c r="U896" s="4">
        <v>636000</v>
      </c>
      <c r="V896" t="s">
        <v>23739</v>
      </c>
      <c r="W896" t="s">
        <v>24174</v>
      </c>
      <c r="X896" t="s">
        <v>3</v>
      </c>
      <c r="AA896" s="5" t="str">
        <f>HYPERLINK("https://www.zillow.com/homes/8747-CARLISLE-CT-DARIEN-IL-605615373_rb/","check listing")</f>
        <v>check listing</v>
      </c>
      <c r="AB896" s="5" t="str">
        <f>HYPERLINK("https://propertylookup.dupagecounty.gov/Datalets/Datalet.aspx?UseSearch=no&amp;mode=sales&amp;pin=1004100011","sales record")</f>
        <v>sales record</v>
      </c>
      <c r="AC896" t="s">
        <v>3</v>
      </c>
      <c r="AD896">
        <v>41.728103</v>
      </c>
      <c r="AE896">
        <v>-87.98965800000001</v>
      </c>
      <c r="AF896" s="5" t="str">
        <f>HYPERLINK("https://www.google.com/maps/search/?api=1&amp;query=41.728103,-87.989658","map")</f>
        <v>map</v>
      </c>
    </row>
    <row r="897" spans="1:32">
      <c r="A897" t="s">
        <v>947</v>
      </c>
      <c r="B897" t="s">
        <v>8524</v>
      </c>
      <c r="C897" t="s">
        <v>15221</v>
      </c>
      <c r="D897" t="s">
        <v>16198</v>
      </c>
      <c r="E897" t="s">
        <v>16218</v>
      </c>
      <c r="F897" t="s">
        <v>16221</v>
      </c>
      <c r="G897" t="s">
        <v>16241</v>
      </c>
      <c r="H897" t="s">
        <v>16241</v>
      </c>
      <c r="I897" t="s">
        <v>16317</v>
      </c>
      <c r="J897" t="s">
        <v>16385</v>
      </c>
      <c r="K897">
        <v>0.383</v>
      </c>
      <c r="L897">
        <v>16703</v>
      </c>
      <c r="M897">
        <v>2479</v>
      </c>
      <c r="N897" t="s">
        <v>16393</v>
      </c>
      <c r="O897" s="4">
        <v>81081</v>
      </c>
      <c r="P897" s="4">
        <v>135743</v>
      </c>
      <c r="Q897" s="4">
        <v>216824</v>
      </c>
      <c r="R897" s="4">
        <v>650472</v>
      </c>
      <c r="S897" t="s">
        <v>17272</v>
      </c>
      <c r="T897" s="6">
        <v>37803</v>
      </c>
      <c r="U897" s="4">
        <v>500000</v>
      </c>
      <c r="V897" t="s">
        <v>16232</v>
      </c>
      <c r="W897" t="s">
        <v>24175</v>
      </c>
      <c r="X897" t="s">
        <v>3</v>
      </c>
      <c r="AA897" s="5" t="str">
        <f>HYPERLINK("https://www.zillow.com/homes/1610-COACHMANS-RD-DARIEN-IL-605615377_rb/","check listing")</f>
        <v>check listing</v>
      </c>
      <c r="AB897" s="5" t="str">
        <f>HYPERLINK("https://propertylookup.dupagecounty.gov/Datalets/Datalet.aspx?UseSearch=no&amp;mode=sales&amp;pin=0933302045","sales record")</f>
        <v>sales record</v>
      </c>
      <c r="AC897" t="s">
        <v>3</v>
      </c>
      <c r="AD897">
        <v>41.732707</v>
      </c>
      <c r="AE897">
        <v>-87.984729</v>
      </c>
      <c r="AF897" s="5" t="str">
        <f>HYPERLINK("https://www.google.com/maps/search/?api=1&amp;query=41.732707,-87.984729","map")</f>
        <v>map</v>
      </c>
    </row>
    <row r="898" spans="1:32">
      <c r="A898" t="s">
        <v>948</v>
      </c>
      <c r="B898" t="s">
        <v>8525</v>
      </c>
      <c r="C898" t="s">
        <v>15201</v>
      </c>
      <c r="D898" t="s">
        <v>16198</v>
      </c>
      <c r="E898" t="s">
        <v>16218</v>
      </c>
      <c r="F898" t="s">
        <v>16221</v>
      </c>
      <c r="G898" t="s">
        <v>16241</v>
      </c>
      <c r="H898" t="s">
        <v>16241</v>
      </c>
      <c r="I898" t="s">
        <v>16317</v>
      </c>
      <c r="J898" t="s">
        <v>16385</v>
      </c>
      <c r="K898">
        <v>0.383</v>
      </c>
      <c r="L898">
        <v>16698</v>
      </c>
      <c r="M898">
        <v>2690</v>
      </c>
      <c r="N898" t="s">
        <v>16393</v>
      </c>
      <c r="O898" s="4">
        <v>87972</v>
      </c>
      <c r="P898" s="4">
        <v>140848</v>
      </c>
      <c r="Q898" s="4">
        <v>228820</v>
      </c>
      <c r="R898" s="4">
        <v>686460</v>
      </c>
      <c r="S898" t="s">
        <v>17273</v>
      </c>
      <c r="T898" s="6">
        <v>36373</v>
      </c>
      <c r="U898" s="4">
        <v>497000</v>
      </c>
      <c r="X898" t="s">
        <v>3</v>
      </c>
      <c r="AA898" s="5" t="str">
        <f>HYPERLINK("https://www.zillow.com/homes/1505-ROYAL-OAK-RD-DARIEN-IL-60561_rb/","check listing")</f>
        <v>check listing</v>
      </c>
      <c r="AB898" s="5" t="str">
        <f>HYPERLINK("https://propertylookup.dupagecounty.gov/Datalets/Datalet.aspx?UseSearch=no&amp;mode=sales&amp;pin=0933304010","sales record")</f>
        <v>sales record</v>
      </c>
      <c r="AC898" t="s">
        <v>3</v>
      </c>
      <c r="AD898">
        <v>41.729876</v>
      </c>
      <c r="AE898">
        <v>-87.984467</v>
      </c>
      <c r="AF898" s="5" t="str">
        <f>HYPERLINK("https://www.google.com/maps/search/?api=1&amp;query=41.729876,-87.984467","map")</f>
        <v>map</v>
      </c>
    </row>
    <row r="899" spans="1:32">
      <c r="A899" t="s">
        <v>949</v>
      </c>
      <c r="B899" t="s">
        <v>8526</v>
      </c>
      <c r="C899" t="s">
        <v>15205</v>
      </c>
      <c r="D899" t="s">
        <v>16198</v>
      </c>
      <c r="E899" t="s">
        <v>16218</v>
      </c>
      <c r="F899" t="s">
        <v>16221</v>
      </c>
      <c r="G899" t="s">
        <v>16241</v>
      </c>
      <c r="H899" t="s">
        <v>16241</v>
      </c>
      <c r="I899" t="s">
        <v>16317</v>
      </c>
      <c r="J899" t="s">
        <v>16385</v>
      </c>
      <c r="K899">
        <v>0.382</v>
      </c>
      <c r="L899">
        <v>16636</v>
      </c>
      <c r="M899">
        <v>3312</v>
      </c>
      <c r="N899" t="s">
        <v>16393</v>
      </c>
      <c r="O899" s="4">
        <v>63405</v>
      </c>
      <c r="P899" s="4">
        <v>136142</v>
      </c>
      <c r="Q899" s="4">
        <v>199547</v>
      </c>
      <c r="R899" s="4">
        <v>598641</v>
      </c>
      <c r="S899" t="s">
        <v>17192</v>
      </c>
      <c r="X899" t="s">
        <v>3</v>
      </c>
      <c r="AA899" s="5" t="str">
        <f>HYPERLINK("https://www.zillow.com/homes/1938-MANNING-RD-DARIEN-IL-605614310_rb/","check listing")</f>
        <v>check listing</v>
      </c>
      <c r="AB899" s="5" t="str">
        <f>HYPERLINK("https://propertylookup.dupagecounty.gov/Datalets/Datalet.aspx?UseSearch=no&amp;mode=sales&amp;pin=0928315053","sales record")</f>
        <v>sales record</v>
      </c>
      <c r="AC899" t="s">
        <v>3</v>
      </c>
      <c r="AD899">
        <v>41.745766</v>
      </c>
      <c r="AE899">
        <v>-87.99207199999999</v>
      </c>
      <c r="AF899" s="5" t="str">
        <f>HYPERLINK("https://www.google.com/maps/search/?api=1&amp;query=41.745766,-87.992072","map")</f>
        <v>map</v>
      </c>
    </row>
    <row r="900" spans="1:32">
      <c r="A900" t="s">
        <v>950</v>
      </c>
      <c r="B900" t="s">
        <v>8527</v>
      </c>
      <c r="C900" t="s">
        <v>15213</v>
      </c>
      <c r="D900" t="s">
        <v>16198</v>
      </c>
      <c r="E900" t="s">
        <v>16218</v>
      </c>
      <c r="F900" t="s">
        <v>16221</v>
      </c>
      <c r="G900" t="s">
        <v>16241</v>
      </c>
      <c r="H900" t="s">
        <v>16241</v>
      </c>
      <c r="I900" t="s">
        <v>16317</v>
      </c>
      <c r="J900" t="s">
        <v>16385</v>
      </c>
      <c r="K900">
        <v>0.381</v>
      </c>
      <c r="L900">
        <v>16593</v>
      </c>
      <c r="M900">
        <v>4424</v>
      </c>
      <c r="N900" t="s">
        <v>16393</v>
      </c>
      <c r="O900" s="4">
        <v>77361</v>
      </c>
      <c r="P900" s="4">
        <v>176072</v>
      </c>
      <c r="Q900" s="4">
        <v>253433</v>
      </c>
      <c r="R900" s="4">
        <v>760299</v>
      </c>
      <c r="S900" t="s">
        <v>17274</v>
      </c>
      <c r="T900" s="6">
        <v>43862</v>
      </c>
      <c r="U900" s="4">
        <v>570000</v>
      </c>
      <c r="V900" t="s">
        <v>23739</v>
      </c>
      <c r="W900" t="s">
        <v>24176</v>
      </c>
      <c r="X900" t="s">
        <v>3</v>
      </c>
      <c r="AA900" s="5" t="str">
        <f>HYPERLINK("https://www.zillow.com/homes/1638-HEATHER-LN-DARIEN-IL-605615326_rb/","check listing")</f>
        <v>check listing</v>
      </c>
      <c r="AB900" s="5" t="str">
        <f>HYPERLINK("https://propertylookup.dupagecounty.gov/Datalets/Datalet.aspx?UseSearch=no&amp;mode=sales&amp;pin=0933305001","sales record")</f>
        <v>sales record</v>
      </c>
      <c r="AC900" t="s">
        <v>3</v>
      </c>
      <c r="AD900">
        <v>41.735461</v>
      </c>
      <c r="AE900">
        <v>-87.987791</v>
      </c>
      <c r="AF900" s="5" t="str">
        <f>HYPERLINK("https://www.google.com/maps/search/?api=1&amp;query=41.735461,-87.987791","map")</f>
        <v>map</v>
      </c>
    </row>
    <row r="901" spans="1:32">
      <c r="A901" t="s">
        <v>951</v>
      </c>
      <c r="B901" t="s">
        <v>8528</v>
      </c>
      <c r="C901" t="s">
        <v>15222</v>
      </c>
      <c r="D901" t="s">
        <v>16198</v>
      </c>
      <c r="E901" t="s">
        <v>16218</v>
      </c>
      <c r="F901" t="s">
        <v>16221</v>
      </c>
      <c r="G901" t="s">
        <v>16241</v>
      </c>
      <c r="H901" t="s">
        <v>16241</v>
      </c>
      <c r="I901" t="s">
        <v>16317</v>
      </c>
      <c r="J901" t="s">
        <v>16385</v>
      </c>
      <c r="K901">
        <v>0.38</v>
      </c>
      <c r="L901">
        <v>16539</v>
      </c>
      <c r="M901">
        <v>2337</v>
      </c>
      <c r="N901" t="s">
        <v>16393</v>
      </c>
      <c r="O901" s="4">
        <v>70600</v>
      </c>
      <c r="P901" s="4">
        <v>114157</v>
      </c>
      <c r="Q901" s="4">
        <v>184757</v>
      </c>
      <c r="R901" s="4">
        <v>554271</v>
      </c>
      <c r="S901" t="s">
        <v>17275</v>
      </c>
      <c r="T901" s="6">
        <v>41122</v>
      </c>
      <c r="U901" s="4">
        <v>300000</v>
      </c>
      <c r="V901" t="s">
        <v>23739</v>
      </c>
      <c r="W901" t="s">
        <v>24177</v>
      </c>
      <c r="X901" t="s">
        <v>3</v>
      </c>
      <c r="AA901" s="5" t="str">
        <f>HYPERLINK("https://www.zillow.com/homes/1910-GORDON-CT-DARIEN-IL-605614306_rb/","check listing")</f>
        <v>check listing</v>
      </c>
      <c r="AB901" s="5" t="str">
        <f>HYPERLINK("https://propertylookup.dupagecounty.gov/Datalets/Datalet.aspx?UseSearch=no&amp;mode=sales&amp;pin=0928315038","sales record")</f>
        <v>sales record</v>
      </c>
      <c r="AC901" t="s">
        <v>3</v>
      </c>
      <c r="AD901">
        <v>41.747603</v>
      </c>
      <c r="AE901">
        <v>-87.99112599999999</v>
      </c>
      <c r="AF901" s="5" t="str">
        <f>HYPERLINK("https://www.google.com/maps/search/?api=1&amp;query=41.747603,-87.991126","map")</f>
        <v>map</v>
      </c>
    </row>
    <row r="902" spans="1:32">
      <c r="A902" t="s">
        <v>952</v>
      </c>
      <c r="B902" t="s">
        <v>8529</v>
      </c>
      <c r="C902" t="s">
        <v>15201</v>
      </c>
      <c r="D902" t="s">
        <v>16198</v>
      </c>
      <c r="E902" t="s">
        <v>16218</v>
      </c>
      <c r="F902" t="s">
        <v>16221</v>
      </c>
      <c r="G902" t="s">
        <v>16241</v>
      </c>
      <c r="H902" t="s">
        <v>16241</v>
      </c>
      <c r="I902" t="s">
        <v>16317</v>
      </c>
      <c r="J902" t="s">
        <v>16385</v>
      </c>
      <c r="K902">
        <v>0.38</v>
      </c>
      <c r="L902">
        <v>16532</v>
      </c>
      <c r="M902">
        <v>2621</v>
      </c>
      <c r="N902" t="s">
        <v>16393</v>
      </c>
      <c r="O902" s="4">
        <v>72056</v>
      </c>
      <c r="P902" s="4">
        <v>151342</v>
      </c>
      <c r="Q902" s="4">
        <v>223398</v>
      </c>
      <c r="R902" s="4">
        <v>670194</v>
      </c>
      <c r="S902" t="s">
        <v>17276</v>
      </c>
      <c r="T902" s="6">
        <v>31321</v>
      </c>
      <c r="U902" s="4">
        <v>60000</v>
      </c>
      <c r="X902" t="s">
        <v>3</v>
      </c>
      <c r="AA902" s="5" t="str">
        <f>HYPERLINK("https://www.zillow.com/homes/8731-CARLISLE-CT-DARIEN-IL-60561_rb/","check listing")</f>
        <v>check listing</v>
      </c>
      <c r="AB902" s="5" t="str">
        <f>HYPERLINK("https://propertylookup.dupagecounty.gov/Datalets/Datalet.aspx?UseSearch=no&amp;mode=sales&amp;pin=1004100007","sales record")</f>
        <v>sales record</v>
      </c>
      <c r="AC902" t="s">
        <v>3</v>
      </c>
      <c r="AD902">
        <v>41.728955</v>
      </c>
      <c r="AE902">
        <v>-87.990565</v>
      </c>
      <c r="AF902" s="5" t="str">
        <f>HYPERLINK("https://www.google.com/maps/search/?api=1&amp;query=41.728955,-87.990565","map")</f>
        <v>map</v>
      </c>
    </row>
    <row r="903" spans="1:32">
      <c r="A903" t="s">
        <v>953</v>
      </c>
      <c r="B903" t="s">
        <v>8530</v>
      </c>
      <c r="C903" t="s">
        <v>15203</v>
      </c>
      <c r="D903" t="s">
        <v>16198</v>
      </c>
      <c r="E903" t="s">
        <v>16218</v>
      </c>
      <c r="F903" t="s">
        <v>16221</v>
      </c>
      <c r="G903" t="s">
        <v>16241</v>
      </c>
      <c r="H903" t="s">
        <v>16241</v>
      </c>
      <c r="I903" t="s">
        <v>16317</v>
      </c>
      <c r="J903" t="s">
        <v>16385</v>
      </c>
      <c r="K903">
        <v>0.379</v>
      </c>
      <c r="L903">
        <v>16528</v>
      </c>
      <c r="M903">
        <v>3387</v>
      </c>
      <c r="N903" t="s">
        <v>16393</v>
      </c>
      <c r="O903" s="4">
        <v>84720</v>
      </c>
      <c r="P903" s="4">
        <v>88664</v>
      </c>
      <c r="Q903" s="4">
        <v>173384</v>
      </c>
      <c r="R903" s="4">
        <v>520152</v>
      </c>
      <c r="S903" t="s">
        <v>17277</v>
      </c>
      <c r="T903" s="6">
        <v>43891</v>
      </c>
      <c r="U903" s="4">
        <v>332500</v>
      </c>
      <c r="V903" t="s">
        <v>16232</v>
      </c>
      <c r="W903" t="s">
        <v>24178</v>
      </c>
      <c r="X903" t="s">
        <v>3</v>
      </c>
      <c r="AA903" s="5" t="str">
        <f>HYPERLINK("https://www.zillow.com/homes/1621-FOXHILL-PL-DARIEN-IL-605615320_rb/","check listing")</f>
        <v>check listing</v>
      </c>
      <c r="AB903" s="5" t="str">
        <f>HYPERLINK("https://propertylookup.dupagecounty.gov/Datalets/Datalet.aspx?UseSearch=no&amp;mode=sales&amp;pin=0933302009","sales record")</f>
        <v>sales record</v>
      </c>
      <c r="AC903" t="s">
        <v>3</v>
      </c>
      <c r="AD903">
        <v>41.734083</v>
      </c>
      <c r="AE903">
        <v>-87.985891</v>
      </c>
      <c r="AF903" s="5" t="str">
        <f>HYPERLINK("https://www.google.com/maps/search/?api=1&amp;query=41.734083,-87.985891","map")</f>
        <v>map</v>
      </c>
    </row>
    <row r="904" spans="1:32">
      <c r="A904" t="s">
        <v>954</v>
      </c>
      <c r="B904" t="s">
        <v>8531</v>
      </c>
      <c r="C904" t="s">
        <v>15201</v>
      </c>
      <c r="D904" t="s">
        <v>16198</v>
      </c>
      <c r="E904" t="s">
        <v>16218</v>
      </c>
      <c r="F904" t="s">
        <v>16221</v>
      </c>
      <c r="G904" t="s">
        <v>16241</v>
      </c>
      <c r="H904" t="s">
        <v>16241</v>
      </c>
      <c r="I904" t="s">
        <v>16317</v>
      </c>
      <c r="J904" t="s">
        <v>16385</v>
      </c>
      <c r="K904">
        <v>0.377</v>
      </c>
      <c r="L904">
        <v>16419</v>
      </c>
      <c r="M904">
        <v>2334</v>
      </c>
      <c r="N904" t="s">
        <v>16393</v>
      </c>
      <c r="O904" s="4">
        <v>76574</v>
      </c>
      <c r="P904" s="4">
        <v>155415</v>
      </c>
      <c r="Q904" s="4">
        <v>231989</v>
      </c>
      <c r="R904" s="4">
        <v>695967</v>
      </c>
      <c r="S904" t="s">
        <v>17278</v>
      </c>
      <c r="T904" s="6">
        <v>38899</v>
      </c>
      <c r="U904" s="4">
        <v>654000</v>
      </c>
      <c r="V904" t="s">
        <v>23739</v>
      </c>
      <c r="W904" t="s">
        <v>24179</v>
      </c>
      <c r="X904" t="s">
        <v>3</v>
      </c>
      <c r="AA904" s="5" t="str">
        <f>HYPERLINK("https://www.zillow.com/homes/1920-KIMBERLY-CT-DARIEN-IL-60561_rb/","check listing")</f>
        <v>check listing</v>
      </c>
      <c r="AB904" s="5" t="str">
        <f>HYPERLINK("https://propertylookup.dupagecounty.gov/Datalets/Datalet.aspx?UseSearch=no&amp;mode=sales&amp;pin=1004100026","sales record")</f>
        <v>sales record</v>
      </c>
      <c r="AC904" t="s">
        <v>3</v>
      </c>
      <c r="AD904">
        <v>41.72941</v>
      </c>
      <c r="AE904">
        <v>-87.99203</v>
      </c>
      <c r="AF904" s="5" t="str">
        <f>HYPERLINK("https://www.google.com/maps/search/?api=1&amp;query=41.72941,-87.99203","map")</f>
        <v>map</v>
      </c>
    </row>
    <row r="905" spans="1:32">
      <c r="A905" t="s">
        <v>955</v>
      </c>
      <c r="B905" t="s">
        <v>8532</v>
      </c>
      <c r="C905" t="s">
        <v>15201</v>
      </c>
      <c r="D905" t="s">
        <v>16198</v>
      </c>
      <c r="E905" t="s">
        <v>16218</v>
      </c>
      <c r="F905" t="s">
        <v>16221</v>
      </c>
      <c r="G905" t="s">
        <v>16241</v>
      </c>
      <c r="H905" t="s">
        <v>16241</v>
      </c>
      <c r="I905" t="s">
        <v>16317</v>
      </c>
      <c r="J905" t="s">
        <v>16385</v>
      </c>
      <c r="K905">
        <v>0.377</v>
      </c>
      <c r="L905">
        <v>16404</v>
      </c>
      <c r="M905">
        <v>2429</v>
      </c>
      <c r="N905" t="s">
        <v>16393</v>
      </c>
      <c r="O905" s="4">
        <v>70542</v>
      </c>
      <c r="P905" s="4">
        <v>93441</v>
      </c>
      <c r="Q905" s="4">
        <v>163983</v>
      </c>
      <c r="R905" s="4">
        <v>491949</v>
      </c>
      <c r="S905" t="s">
        <v>17279</v>
      </c>
      <c r="X905" t="s">
        <v>3</v>
      </c>
      <c r="AA905" s="5" t="str">
        <f>HYPERLINK("https://www.zillow.com/homes/1909-GORDON-CT-DARIEN-IL-60561_rb/","check listing")</f>
        <v>check listing</v>
      </c>
      <c r="AB905" s="5" t="str">
        <f>HYPERLINK("https://propertylookup.dupagecounty.gov/Datalets/Datalet.aspx?UseSearch=no&amp;mode=sales&amp;pin=0928315042","sales record")</f>
        <v>sales record</v>
      </c>
      <c r="AC905" t="s">
        <v>3</v>
      </c>
      <c r="AD905">
        <v>41.746935</v>
      </c>
      <c r="AE905">
        <v>-87.991111</v>
      </c>
      <c r="AF905" s="5" t="str">
        <f>HYPERLINK("https://www.google.com/maps/search/?api=1&amp;query=41.746935,-87.991111","map")</f>
        <v>map</v>
      </c>
    </row>
    <row r="906" spans="1:32">
      <c r="A906" t="s">
        <v>956</v>
      </c>
      <c r="B906" t="s">
        <v>8533</v>
      </c>
      <c r="C906" t="s">
        <v>15209</v>
      </c>
      <c r="D906" t="s">
        <v>16198</v>
      </c>
      <c r="E906" t="s">
        <v>16218</v>
      </c>
      <c r="F906" t="s">
        <v>16221</v>
      </c>
      <c r="G906" t="s">
        <v>16241</v>
      </c>
      <c r="H906" t="s">
        <v>16241</v>
      </c>
      <c r="I906" t="s">
        <v>16317</v>
      </c>
      <c r="J906" t="s">
        <v>16385</v>
      </c>
      <c r="K906">
        <v>0.375</v>
      </c>
      <c r="L906">
        <v>16336</v>
      </c>
      <c r="M906">
        <v>3210</v>
      </c>
      <c r="N906" t="s">
        <v>16393</v>
      </c>
      <c r="O906" s="4">
        <v>94979</v>
      </c>
      <c r="P906" s="4">
        <v>170837</v>
      </c>
      <c r="Q906" s="4">
        <v>265816</v>
      </c>
      <c r="R906" s="4">
        <v>797448</v>
      </c>
      <c r="S906" t="s">
        <v>17280</v>
      </c>
      <c r="T906" s="6">
        <v>40544</v>
      </c>
      <c r="U906" s="4">
        <v>655000</v>
      </c>
      <c r="V906" t="s">
        <v>23740</v>
      </c>
      <c r="W906" t="s">
        <v>24180</v>
      </c>
      <c r="X906" t="s">
        <v>3</v>
      </c>
      <c r="AA906" s="5" t="str">
        <f>HYPERLINK("https://www.zillow.com/homes/1528-WILLOW-CREEK-LN-DARIEN-IL-605615394_rb/","check listing")</f>
        <v>check listing</v>
      </c>
      <c r="AB906" s="5" t="str">
        <f>HYPERLINK("https://propertylookup.dupagecounty.gov/Datalets/Datalet.aspx?UseSearch=no&amp;mode=sales&amp;pin=0933405010","sales record")</f>
        <v>sales record</v>
      </c>
      <c r="AC906" t="s">
        <v>3</v>
      </c>
      <c r="AD906">
        <v>41.733639</v>
      </c>
      <c r="AE906">
        <v>-87.98052800000001</v>
      </c>
      <c r="AF906" s="5" t="str">
        <f>HYPERLINK("https://www.google.com/maps/search/?api=1&amp;query=41.733639,-87.980528","map")</f>
        <v>map</v>
      </c>
    </row>
    <row r="907" spans="1:32">
      <c r="A907" t="s">
        <v>957</v>
      </c>
      <c r="B907" t="s">
        <v>8534</v>
      </c>
      <c r="C907" t="s">
        <v>15201</v>
      </c>
      <c r="D907" t="s">
        <v>16198</v>
      </c>
      <c r="E907" t="s">
        <v>16218</v>
      </c>
      <c r="F907" t="s">
        <v>16221</v>
      </c>
      <c r="G907" t="s">
        <v>16241</v>
      </c>
      <c r="H907" t="s">
        <v>16241</v>
      </c>
      <c r="I907" t="s">
        <v>16317</v>
      </c>
      <c r="J907" t="s">
        <v>16385</v>
      </c>
      <c r="K907">
        <v>0.375</v>
      </c>
      <c r="L907">
        <v>16335</v>
      </c>
      <c r="M907">
        <v>2992</v>
      </c>
      <c r="N907" t="s">
        <v>16393</v>
      </c>
      <c r="O907" s="4">
        <v>90413</v>
      </c>
      <c r="P907" s="4">
        <v>122068</v>
      </c>
      <c r="Q907" s="4">
        <v>212481</v>
      </c>
      <c r="R907" s="4">
        <v>637443</v>
      </c>
      <c r="S907" t="s">
        <v>17281</v>
      </c>
      <c r="T907" s="6">
        <v>45847</v>
      </c>
      <c r="U907" s="4">
        <v>675000</v>
      </c>
      <c r="V907" t="s">
        <v>23741</v>
      </c>
      <c r="W907" t="s">
        <v>24181</v>
      </c>
      <c r="X907" t="s">
        <v>3</v>
      </c>
      <c r="AA907" s="5" t="str">
        <f>HYPERLINK("https://www.zillow.com/homes/8417-GLENEYRE-RD-DARIEN-IL-60561_rb/","check listing")</f>
        <v>check listing</v>
      </c>
      <c r="AB907" s="5" t="str">
        <f>HYPERLINK("https://propertylookup.dupagecounty.gov/Datalets/Datalet.aspx?UseSearch=no&amp;mode=sales&amp;pin=0933306005","sales record")</f>
        <v>sales record</v>
      </c>
      <c r="AC907" t="s">
        <v>3</v>
      </c>
      <c r="AD907">
        <v>41.734499</v>
      </c>
      <c r="AE907">
        <v>-87.98404600000001</v>
      </c>
      <c r="AF907" s="5" t="str">
        <f>HYPERLINK("https://www.google.com/maps/search/?api=1&amp;query=41.734499,-87.984046","map")</f>
        <v>map</v>
      </c>
    </row>
    <row r="908" spans="1:32">
      <c r="A908" t="s">
        <v>958</v>
      </c>
      <c r="B908" t="s">
        <v>8535</v>
      </c>
      <c r="C908" t="s">
        <v>15201</v>
      </c>
      <c r="D908" t="s">
        <v>16198</v>
      </c>
      <c r="E908" t="s">
        <v>16218</v>
      </c>
      <c r="F908" t="s">
        <v>16221</v>
      </c>
      <c r="G908" t="s">
        <v>16241</v>
      </c>
      <c r="H908" t="s">
        <v>16241</v>
      </c>
      <c r="I908" t="s">
        <v>16317</v>
      </c>
      <c r="J908" t="s">
        <v>16385</v>
      </c>
      <c r="K908">
        <v>0.375</v>
      </c>
      <c r="L908">
        <v>16335</v>
      </c>
      <c r="M908">
        <v>2525</v>
      </c>
      <c r="N908" t="s">
        <v>16393</v>
      </c>
      <c r="O908" s="4">
        <v>83464</v>
      </c>
      <c r="P908" s="4">
        <v>103183</v>
      </c>
      <c r="Q908" s="4">
        <v>186647</v>
      </c>
      <c r="R908" s="4">
        <v>559941</v>
      </c>
      <c r="S908" t="s">
        <v>17282</v>
      </c>
      <c r="T908" s="6">
        <v>35521</v>
      </c>
      <c r="U908" s="4">
        <v>277000</v>
      </c>
      <c r="X908" t="s">
        <v>3</v>
      </c>
      <c r="AA908" s="5" t="str">
        <f>HYPERLINK("https://www.zillow.com/homes/8602-CARRIAGE-GREENS-DARIEN-IL-60561_rb/","check listing")</f>
        <v>check listing</v>
      </c>
      <c r="AB908" s="5" t="str">
        <f>HYPERLINK("https://propertylookup.dupagecounty.gov/Datalets/Datalet.aspx?UseSearch=no&amp;mode=sales&amp;pin=0933301013","sales record")</f>
        <v>sales record</v>
      </c>
      <c r="AC908" t="s">
        <v>3</v>
      </c>
      <c r="AD908">
        <v>41.73206</v>
      </c>
      <c r="AE908">
        <v>-87.98692699999999</v>
      </c>
      <c r="AF908" s="5" t="str">
        <f>HYPERLINK("https://www.google.com/maps/search/?api=1&amp;query=41.73206,-87.986927","map")</f>
        <v>map</v>
      </c>
    </row>
    <row r="909" spans="1:32">
      <c r="A909" t="s">
        <v>959</v>
      </c>
      <c r="B909" t="s">
        <v>8536</v>
      </c>
      <c r="C909" t="s">
        <v>15201</v>
      </c>
      <c r="D909" t="s">
        <v>16198</v>
      </c>
      <c r="E909" t="s">
        <v>16218</v>
      </c>
      <c r="F909" t="s">
        <v>16221</v>
      </c>
      <c r="G909" t="s">
        <v>16241</v>
      </c>
      <c r="H909" t="s">
        <v>16241</v>
      </c>
      <c r="I909" t="s">
        <v>16317</v>
      </c>
      <c r="J909" t="s">
        <v>16385</v>
      </c>
      <c r="K909">
        <v>0.375</v>
      </c>
      <c r="L909">
        <v>16321</v>
      </c>
      <c r="M909">
        <v>3334</v>
      </c>
      <c r="N909" t="s">
        <v>16393</v>
      </c>
      <c r="O909" s="4">
        <v>57936</v>
      </c>
      <c r="P909" s="4">
        <v>141224</v>
      </c>
      <c r="Q909" s="4">
        <v>199160</v>
      </c>
      <c r="R909" s="4">
        <v>597480</v>
      </c>
      <c r="S909" t="s">
        <v>17283</v>
      </c>
      <c r="T909" s="6">
        <v>42186</v>
      </c>
      <c r="U909" s="4">
        <v>505000</v>
      </c>
      <c r="V909" t="s">
        <v>23739</v>
      </c>
      <c r="W909" t="s">
        <v>24182</v>
      </c>
      <c r="X909" t="s">
        <v>3</v>
      </c>
      <c r="AA909" s="5" t="str">
        <f>HYPERLINK("https://www.zillow.com/homes/8515-CARRIAGE-GREEN-DARIEN-IL-60561_rb/","check listing")</f>
        <v>check listing</v>
      </c>
      <c r="AB909" s="5" t="str">
        <f>HYPERLINK("https://propertylookup.dupagecounty.gov/Datalets/Datalet.aspx?UseSearch=no&amp;mode=sales&amp;pin=0933302022","sales record")</f>
        <v>sales record</v>
      </c>
      <c r="AC909" t="s">
        <v>3</v>
      </c>
      <c r="AD909">
        <v>41.732751</v>
      </c>
      <c r="AE909">
        <v>-87.986</v>
      </c>
      <c r="AF909" s="5" t="str">
        <f>HYPERLINK("https://www.google.com/maps/search/?api=1&amp;query=41.732751,-87.986","map")</f>
        <v>map</v>
      </c>
    </row>
    <row r="910" spans="1:32">
      <c r="A910" t="s">
        <v>960</v>
      </c>
      <c r="B910" t="s">
        <v>8537</v>
      </c>
      <c r="C910" t="s">
        <v>15223</v>
      </c>
      <c r="D910" t="s">
        <v>16198</v>
      </c>
      <c r="E910" t="s">
        <v>16218</v>
      </c>
      <c r="F910" t="s">
        <v>16221</v>
      </c>
      <c r="G910" t="s">
        <v>16241</v>
      </c>
      <c r="H910" t="s">
        <v>16241</v>
      </c>
      <c r="I910" t="s">
        <v>16317</v>
      </c>
      <c r="J910" t="s">
        <v>16385</v>
      </c>
      <c r="K910">
        <v>0.374</v>
      </c>
      <c r="L910">
        <v>16311</v>
      </c>
      <c r="M910">
        <v>2334</v>
      </c>
      <c r="N910" t="s">
        <v>16393</v>
      </c>
      <c r="O910" s="4">
        <v>91563</v>
      </c>
      <c r="P910" s="4">
        <v>99955</v>
      </c>
      <c r="Q910" s="4">
        <v>191518</v>
      </c>
      <c r="R910" s="4">
        <v>574554</v>
      </c>
      <c r="S910" t="s">
        <v>17284</v>
      </c>
      <c r="X910" t="s">
        <v>3</v>
      </c>
      <c r="AA910" s="5" t="str">
        <f>HYPERLINK("https://www.zillow.com/homes/8523-CARRIAGE-GREEN-DARIEN-IL-605615337_rb/","check listing")</f>
        <v>check listing</v>
      </c>
      <c r="AB910" s="5" t="str">
        <f>HYPERLINK("https://propertylookup.dupagecounty.gov/Datalets/Datalet.aspx?UseSearch=no&amp;mode=sales&amp;pin=0933302024","sales record")</f>
        <v>sales record</v>
      </c>
      <c r="AC910" t="s">
        <v>3</v>
      </c>
      <c r="AD910">
        <v>41.73226</v>
      </c>
      <c r="AE910">
        <v>-87.986048</v>
      </c>
      <c r="AF910" s="5" t="str">
        <f>HYPERLINK("https://www.google.com/maps/search/?api=1&amp;query=41.73226,-87.986048","map")</f>
        <v>map</v>
      </c>
    </row>
    <row r="911" spans="1:32">
      <c r="A911" t="s">
        <v>961</v>
      </c>
      <c r="B911" t="s">
        <v>8538</v>
      </c>
      <c r="C911" t="s">
        <v>15201</v>
      </c>
      <c r="D911" t="s">
        <v>16198</v>
      </c>
      <c r="E911" t="s">
        <v>16218</v>
      </c>
      <c r="F911" t="s">
        <v>16221</v>
      </c>
      <c r="G911" t="s">
        <v>16241</v>
      </c>
      <c r="H911" t="s">
        <v>16241</v>
      </c>
      <c r="I911" t="s">
        <v>16317</v>
      </c>
      <c r="J911" t="s">
        <v>16385</v>
      </c>
      <c r="K911">
        <v>0.374</v>
      </c>
      <c r="L911">
        <v>16308</v>
      </c>
      <c r="M911">
        <v>2172</v>
      </c>
      <c r="N911" t="s">
        <v>16393</v>
      </c>
      <c r="O911" s="4">
        <v>76574</v>
      </c>
      <c r="P911" s="4">
        <v>144381</v>
      </c>
      <c r="Q911" s="4">
        <v>220955</v>
      </c>
      <c r="R911" s="4">
        <v>662865</v>
      </c>
      <c r="S911" t="s">
        <v>17285</v>
      </c>
      <c r="T911" s="6">
        <v>43983</v>
      </c>
      <c r="U911" s="4">
        <v>450000</v>
      </c>
      <c r="V911" t="s">
        <v>23739</v>
      </c>
      <c r="W911" t="s">
        <v>24183</v>
      </c>
      <c r="X911" t="s">
        <v>3</v>
      </c>
      <c r="AA911" s="5" t="str">
        <f>HYPERLINK("https://www.zillow.com/homes/1924-KIMBERLY-CT-DARIEN-IL-60561_rb/","check listing")</f>
        <v>check listing</v>
      </c>
      <c r="AB911" s="5" t="str">
        <f>HYPERLINK("https://propertylookup.dupagecounty.gov/Datalets/Datalet.aspx?UseSearch=no&amp;mode=sales&amp;pin=1004100025","sales record")</f>
        <v>sales record</v>
      </c>
      <c r="AC911" t="s">
        <v>3</v>
      </c>
      <c r="AD911">
        <v>41.729404</v>
      </c>
      <c r="AE911">
        <v>-87.9924</v>
      </c>
      <c r="AF911" s="5" t="str">
        <f>HYPERLINK("https://www.google.com/maps/search/?api=1&amp;query=41.729404,-87.9924","map")</f>
        <v>map</v>
      </c>
    </row>
    <row r="912" spans="1:32">
      <c r="A912" t="s">
        <v>962</v>
      </c>
      <c r="B912" t="s">
        <v>8539</v>
      </c>
      <c r="C912" t="s">
        <v>15201</v>
      </c>
      <c r="D912" t="s">
        <v>16198</v>
      </c>
      <c r="E912" t="s">
        <v>16218</v>
      </c>
      <c r="F912" t="s">
        <v>16221</v>
      </c>
      <c r="G912" t="s">
        <v>16241</v>
      </c>
      <c r="H912" t="s">
        <v>16241</v>
      </c>
      <c r="I912" t="s">
        <v>16317</v>
      </c>
      <c r="J912" t="s">
        <v>16385</v>
      </c>
      <c r="K912">
        <v>0.374</v>
      </c>
      <c r="L912">
        <v>16306</v>
      </c>
      <c r="M912">
        <v>4622</v>
      </c>
      <c r="N912" t="s">
        <v>16393</v>
      </c>
      <c r="O912" s="4">
        <v>75870</v>
      </c>
      <c r="P912" s="4">
        <v>188854</v>
      </c>
      <c r="Q912" s="4">
        <v>264724</v>
      </c>
      <c r="R912" s="4">
        <v>794172</v>
      </c>
      <c r="S912" t="s">
        <v>17286</v>
      </c>
      <c r="T912" s="6">
        <v>43891</v>
      </c>
      <c r="U912" s="4">
        <v>525000</v>
      </c>
      <c r="V912" t="s">
        <v>23739</v>
      </c>
      <c r="W912" t="s">
        <v>24184</v>
      </c>
      <c r="X912" t="s">
        <v>3</v>
      </c>
      <c r="AA912" s="5" t="str">
        <f>HYPERLINK("https://www.zillow.com/homes/1622-COACHMANS-RD-DARIEN-IL-60561_rb/","check listing")</f>
        <v>check listing</v>
      </c>
      <c r="AB912" s="5" t="str">
        <f>HYPERLINK("https://propertylookup.dupagecounty.gov/Datalets/Datalet.aspx?UseSearch=no&amp;mode=sales&amp;pin=0933302042","sales record")</f>
        <v>sales record</v>
      </c>
      <c r="AC912" t="s">
        <v>3</v>
      </c>
      <c r="AD912">
        <v>41.732513</v>
      </c>
      <c r="AE912">
        <v>-87.985648</v>
      </c>
      <c r="AF912" s="5" t="str">
        <f>HYPERLINK("https://www.google.com/maps/search/?api=1&amp;query=41.732513,-87.985648","map")</f>
        <v>map</v>
      </c>
    </row>
    <row r="913" spans="1:32">
      <c r="A913" t="s">
        <v>963</v>
      </c>
      <c r="B913" t="s">
        <v>8540</v>
      </c>
      <c r="C913" t="s">
        <v>15211</v>
      </c>
      <c r="D913" t="s">
        <v>16198</v>
      </c>
      <c r="E913" t="s">
        <v>16218</v>
      </c>
      <c r="F913" t="s">
        <v>16221</v>
      </c>
      <c r="G913" t="s">
        <v>16241</v>
      </c>
      <c r="H913" t="s">
        <v>16241</v>
      </c>
      <c r="I913" t="s">
        <v>16317</v>
      </c>
      <c r="J913" t="s">
        <v>16385</v>
      </c>
      <c r="K913">
        <v>0.374</v>
      </c>
      <c r="L913">
        <v>16304</v>
      </c>
      <c r="M913">
        <v>1980</v>
      </c>
      <c r="N913" t="s">
        <v>16393</v>
      </c>
      <c r="O913" s="4">
        <v>89169</v>
      </c>
      <c r="P913" s="4">
        <v>135884</v>
      </c>
      <c r="Q913" s="4">
        <v>225053</v>
      </c>
      <c r="R913" s="4">
        <v>675159</v>
      </c>
      <c r="S913" t="s">
        <v>17287</v>
      </c>
      <c r="T913" s="6">
        <v>42979</v>
      </c>
      <c r="U913" s="4">
        <v>394000</v>
      </c>
      <c r="V913" t="s">
        <v>16232</v>
      </c>
      <c r="W913" t="s">
        <v>24185</v>
      </c>
      <c r="X913" t="s">
        <v>3</v>
      </c>
      <c r="AA913" s="5" t="str">
        <f>HYPERLINK("https://www.zillow.com/homes/1622-LAUREL-LN-DARIEN-IL-605615327_rb/","check listing")</f>
        <v>check listing</v>
      </c>
      <c r="AB913" s="5" t="str">
        <f>HYPERLINK("https://propertylookup.dupagecounty.gov/Datalets/Datalet.aspx?UseSearch=no&amp;mode=sales&amp;pin=0933302014","sales record")</f>
        <v>sales record</v>
      </c>
      <c r="AC913" t="s">
        <v>3</v>
      </c>
      <c r="AD913">
        <v>41.733687</v>
      </c>
      <c r="AE913">
        <v>-87.986537</v>
      </c>
      <c r="AF913" s="5" t="str">
        <f>HYPERLINK("https://www.google.com/maps/search/?api=1&amp;query=41.733687,-87.986537","map")</f>
        <v>map</v>
      </c>
    </row>
    <row r="914" spans="1:32">
      <c r="A914" t="s">
        <v>964</v>
      </c>
      <c r="B914" t="s">
        <v>8541</v>
      </c>
      <c r="C914" t="s">
        <v>15207</v>
      </c>
      <c r="D914" t="s">
        <v>16198</v>
      </c>
      <c r="E914" t="s">
        <v>16218</v>
      </c>
      <c r="F914" t="s">
        <v>16221</v>
      </c>
      <c r="G914" t="s">
        <v>16241</v>
      </c>
      <c r="H914" t="s">
        <v>16241</v>
      </c>
      <c r="I914" t="s">
        <v>16317</v>
      </c>
      <c r="J914" t="s">
        <v>16385</v>
      </c>
      <c r="K914">
        <v>0.374</v>
      </c>
      <c r="L914">
        <v>16300</v>
      </c>
      <c r="M914">
        <v>2971</v>
      </c>
      <c r="N914" t="s">
        <v>16393</v>
      </c>
      <c r="O914" s="4">
        <v>89544</v>
      </c>
      <c r="P914" s="4">
        <v>142350</v>
      </c>
      <c r="Q914" s="4">
        <v>231894</v>
      </c>
      <c r="R914" s="4">
        <v>695682</v>
      </c>
      <c r="S914" t="s">
        <v>17288</v>
      </c>
      <c r="T914" s="6">
        <v>32295</v>
      </c>
      <c r="U914" s="4">
        <v>328000</v>
      </c>
      <c r="X914" t="s">
        <v>3</v>
      </c>
      <c r="AA914" s="5" t="str">
        <f>HYPERLINK("https://www.zillow.com/homes/8421-GLENEYRE-RD-DARIEN-IL-605615321_rb/","check listing")</f>
        <v>check listing</v>
      </c>
      <c r="AB914" s="5" t="str">
        <f>HYPERLINK("https://propertylookup.dupagecounty.gov/Datalets/Datalet.aspx?UseSearch=no&amp;mode=sales&amp;pin=0933306006","sales record")</f>
        <v>sales record</v>
      </c>
      <c r="AC914" t="s">
        <v>3</v>
      </c>
      <c r="AD914">
        <v>41.734216</v>
      </c>
      <c r="AE914">
        <v>-87.98398299999999</v>
      </c>
      <c r="AF914" s="5" t="str">
        <f>HYPERLINK("https://www.google.com/maps/search/?api=1&amp;query=41.734216,-87.983983","map")</f>
        <v>map</v>
      </c>
    </row>
    <row r="915" spans="1:32">
      <c r="A915" t="s">
        <v>965</v>
      </c>
      <c r="B915" t="s">
        <v>8542</v>
      </c>
      <c r="C915" t="s">
        <v>15201</v>
      </c>
      <c r="D915" t="s">
        <v>16198</v>
      </c>
      <c r="E915" t="s">
        <v>16218</v>
      </c>
      <c r="F915" t="s">
        <v>16221</v>
      </c>
      <c r="G915" t="s">
        <v>16241</v>
      </c>
      <c r="H915" t="s">
        <v>16241</v>
      </c>
      <c r="I915" t="s">
        <v>16317</v>
      </c>
      <c r="J915" t="s">
        <v>16385</v>
      </c>
      <c r="K915">
        <v>0.374</v>
      </c>
      <c r="L915">
        <v>16288</v>
      </c>
      <c r="M915">
        <v>3199</v>
      </c>
      <c r="N915" t="s">
        <v>16393</v>
      </c>
      <c r="O915" s="4">
        <v>81575</v>
      </c>
      <c r="P915" s="4">
        <v>112409</v>
      </c>
      <c r="Q915" s="4">
        <v>193984</v>
      </c>
      <c r="R915" s="4">
        <v>581952</v>
      </c>
      <c r="S915" t="s">
        <v>17289</v>
      </c>
      <c r="X915" t="s">
        <v>3</v>
      </c>
      <c r="AA915" s="5" t="str">
        <f>HYPERLINK("https://www.zillow.com/homes/1629-COACHMANS-RD-DARIEN-IL-60561_rb/","check listing")</f>
        <v>check listing</v>
      </c>
      <c r="AB915" s="5" t="str">
        <f>HYPERLINK("https://propertylookup.dupagecounty.gov/Datalets/Datalet.aspx?UseSearch=no&amp;mode=sales&amp;pin=0933303003","sales record")</f>
        <v>sales record</v>
      </c>
      <c r="AC915" t="s">
        <v>3</v>
      </c>
      <c r="AD915">
        <v>41.731781</v>
      </c>
      <c r="AE915">
        <v>-87.985744</v>
      </c>
      <c r="AF915" s="5" t="str">
        <f>HYPERLINK("https://www.google.com/maps/search/?api=1&amp;query=41.731781,-87.985744","map")</f>
        <v>map</v>
      </c>
    </row>
    <row r="916" spans="1:32">
      <c r="A916" t="s">
        <v>966</v>
      </c>
      <c r="B916" t="s">
        <v>8543</v>
      </c>
      <c r="C916" t="s">
        <v>15201</v>
      </c>
      <c r="D916" t="s">
        <v>16198</v>
      </c>
      <c r="E916" t="s">
        <v>16218</v>
      </c>
      <c r="F916" t="s">
        <v>16221</v>
      </c>
      <c r="G916" t="s">
        <v>16241</v>
      </c>
      <c r="H916" t="s">
        <v>16241</v>
      </c>
      <c r="I916" t="s">
        <v>16317</v>
      </c>
      <c r="J916" t="s">
        <v>16385</v>
      </c>
      <c r="K916">
        <v>0.373</v>
      </c>
      <c r="L916">
        <v>16265</v>
      </c>
      <c r="M916">
        <v>2940</v>
      </c>
      <c r="N916" t="s">
        <v>16393</v>
      </c>
      <c r="O916" s="4">
        <v>88687</v>
      </c>
      <c r="P916" s="4">
        <v>151072</v>
      </c>
      <c r="Q916" s="4">
        <v>239759</v>
      </c>
      <c r="R916" s="4">
        <v>719277</v>
      </c>
      <c r="S916" t="s">
        <v>17290</v>
      </c>
      <c r="T916" s="6">
        <v>40360</v>
      </c>
      <c r="U916" s="4">
        <v>660000</v>
      </c>
      <c r="V916" t="s">
        <v>23739</v>
      </c>
      <c r="W916" t="s">
        <v>24186</v>
      </c>
      <c r="X916" t="s">
        <v>3</v>
      </c>
      <c r="AA916" s="5" t="str">
        <f>HYPERLINK("https://www.zillow.com/homes/8425-GLENEYRE-RD-DARIEN-IL-60561_rb/","check listing")</f>
        <v>check listing</v>
      </c>
      <c r="AB916" s="5" t="str">
        <f>HYPERLINK("https://propertylookup.dupagecounty.gov/Datalets/Datalet.aspx?UseSearch=no&amp;mode=sales&amp;pin=0933306007","sales record")</f>
        <v>sales record</v>
      </c>
      <c r="AC916" t="s">
        <v>3</v>
      </c>
      <c r="AD916">
        <v>41.733937</v>
      </c>
      <c r="AE916">
        <v>-87.98392</v>
      </c>
      <c r="AF916" s="5" t="str">
        <f>HYPERLINK("https://www.google.com/maps/search/?api=1&amp;query=41.733937,-87.98392","map")</f>
        <v>map</v>
      </c>
    </row>
    <row r="917" spans="1:32">
      <c r="A917" t="s">
        <v>967</v>
      </c>
      <c r="B917" t="s">
        <v>8544</v>
      </c>
      <c r="C917" t="s">
        <v>15203</v>
      </c>
      <c r="D917" t="s">
        <v>16198</v>
      </c>
      <c r="E917" t="s">
        <v>16218</v>
      </c>
      <c r="F917" t="s">
        <v>16221</v>
      </c>
      <c r="G917" t="s">
        <v>16241</v>
      </c>
      <c r="H917" t="s">
        <v>16241</v>
      </c>
      <c r="I917" t="s">
        <v>16317</v>
      </c>
      <c r="J917" t="s">
        <v>16385</v>
      </c>
      <c r="K917">
        <v>0.373</v>
      </c>
      <c r="L917">
        <v>16251</v>
      </c>
      <c r="M917">
        <v>3822</v>
      </c>
      <c r="N917" t="s">
        <v>16393</v>
      </c>
      <c r="O917" s="4">
        <v>92232</v>
      </c>
      <c r="P917" s="4">
        <v>154780</v>
      </c>
      <c r="Q917" s="4">
        <v>247012</v>
      </c>
      <c r="R917" s="4">
        <v>741036</v>
      </c>
      <c r="S917" t="s">
        <v>17291</v>
      </c>
      <c r="T917" s="6">
        <v>35674</v>
      </c>
      <c r="U917" s="4">
        <v>320000</v>
      </c>
      <c r="X917" t="s">
        <v>3</v>
      </c>
      <c r="AA917" s="5" t="str">
        <f>HYPERLINK("https://www.zillow.com/homes/1633-FOXHILL-PL-DARIEN-IL-605615320_rb/","check listing")</f>
        <v>check listing</v>
      </c>
      <c r="AB917" s="5" t="str">
        <f>HYPERLINK("https://propertylookup.dupagecounty.gov/Datalets/Datalet.aspx?UseSearch=no&amp;mode=sales&amp;pin=0933302012","sales record")</f>
        <v>sales record</v>
      </c>
      <c r="AC917" t="s">
        <v>3</v>
      </c>
      <c r="AD917">
        <v>41.733994</v>
      </c>
      <c r="AE917">
        <v>-87.987082</v>
      </c>
      <c r="AF917" s="5" t="str">
        <f>HYPERLINK("https://www.google.com/maps/search/?api=1&amp;query=41.733994,-87.987082","map")</f>
        <v>map</v>
      </c>
    </row>
    <row r="918" spans="1:32">
      <c r="A918" t="s">
        <v>968</v>
      </c>
      <c r="B918" t="s">
        <v>8545</v>
      </c>
      <c r="C918" t="s">
        <v>15213</v>
      </c>
      <c r="D918" t="s">
        <v>16198</v>
      </c>
      <c r="E918" t="s">
        <v>16218</v>
      </c>
      <c r="F918" t="s">
        <v>16221</v>
      </c>
      <c r="G918" t="s">
        <v>16241</v>
      </c>
      <c r="H918" t="s">
        <v>16241</v>
      </c>
      <c r="I918" t="s">
        <v>16317</v>
      </c>
      <c r="J918" t="s">
        <v>16385</v>
      </c>
      <c r="K918">
        <v>0.373</v>
      </c>
      <c r="L918">
        <v>16243</v>
      </c>
      <c r="M918">
        <v>2338</v>
      </c>
      <c r="N918" t="s">
        <v>16393</v>
      </c>
      <c r="O918" s="4">
        <v>87831</v>
      </c>
      <c r="P918" s="4">
        <v>124616</v>
      </c>
      <c r="Q918" s="4">
        <v>212447</v>
      </c>
      <c r="R918" s="4">
        <v>637341</v>
      </c>
      <c r="S918" t="s">
        <v>17292</v>
      </c>
      <c r="T918" s="6">
        <v>42522</v>
      </c>
      <c r="U918" s="4">
        <v>526750</v>
      </c>
      <c r="V918" t="s">
        <v>23740</v>
      </c>
      <c r="W918" t="s">
        <v>24187</v>
      </c>
      <c r="X918" t="s">
        <v>3</v>
      </c>
      <c r="AA918" s="5" t="str">
        <f>HYPERLINK("https://www.zillow.com/homes/1630-HEATHER-LN-DARIEN-IL-605615326_rb/","check listing")</f>
        <v>check listing</v>
      </c>
      <c r="AB918" s="5" t="str">
        <f>HYPERLINK("https://propertylookup.dupagecounty.gov/Datalets/Datalet.aspx?UseSearch=no&amp;mode=sales&amp;pin=0933305003","sales record")</f>
        <v>sales record</v>
      </c>
      <c r="AC918" t="s">
        <v>3</v>
      </c>
      <c r="AD918">
        <v>41.735626</v>
      </c>
      <c r="AE918">
        <v>-87.98707</v>
      </c>
      <c r="AF918" s="5" t="str">
        <f>HYPERLINK("https://www.google.com/maps/search/?api=1&amp;query=41.735626,-87.98707","map")</f>
        <v>map</v>
      </c>
    </row>
    <row r="919" spans="1:32">
      <c r="A919" t="s">
        <v>969</v>
      </c>
      <c r="B919" t="s">
        <v>8546</v>
      </c>
      <c r="C919" t="s">
        <v>15224</v>
      </c>
      <c r="D919" t="s">
        <v>16198</v>
      </c>
      <c r="E919" t="s">
        <v>16218</v>
      </c>
      <c r="F919" t="s">
        <v>16221</v>
      </c>
      <c r="G919" t="s">
        <v>16241</v>
      </c>
      <c r="H919" t="s">
        <v>16241</v>
      </c>
      <c r="I919" t="s">
        <v>16317</v>
      </c>
      <c r="J919" t="s">
        <v>16385</v>
      </c>
      <c r="K919">
        <v>0.373</v>
      </c>
      <c r="L919">
        <v>16227</v>
      </c>
      <c r="M919">
        <v>2920</v>
      </c>
      <c r="N919" t="s">
        <v>16393</v>
      </c>
      <c r="O919" s="4">
        <v>87831</v>
      </c>
      <c r="P919" s="4">
        <v>139792</v>
      </c>
      <c r="Q919" s="4">
        <v>227623</v>
      </c>
      <c r="R919" s="4">
        <v>682869</v>
      </c>
      <c r="S919" t="s">
        <v>17293</v>
      </c>
      <c r="T919" s="6">
        <v>31321</v>
      </c>
      <c r="U919" s="4">
        <v>220000</v>
      </c>
      <c r="X919" t="s">
        <v>3</v>
      </c>
      <c r="AA919" s="5" t="str">
        <f>HYPERLINK("https://www.zillow.com/homes/8501-GLENEYRE-RD-DARIEN-IL-605615323_rb/","check listing")</f>
        <v>check listing</v>
      </c>
      <c r="AB919" s="5" t="str">
        <f>HYPERLINK("https://propertylookup.dupagecounty.gov/Datalets/Datalet.aspx?UseSearch=no&amp;mode=sales&amp;pin=0933306008","sales record")</f>
        <v>sales record</v>
      </c>
      <c r="AC919" t="s">
        <v>3</v>
      </c>
      <c r="AD919">
        <v>41.73366</v>
      </c>
      <c r="AE919">
        <v>-87.983858</v>
      </c>
      <c r="AF919" s="5" t="str">
        <f>HYPERLINK("https://www.google.com/maps/search/?api=1&amp;query=41.73366,-87.983858","map")</f>
        <v>map</v>
      </c>
    </row>
    <row r="920" spans="1:32">
      <c r="A920" t="s">
        <v>970</v>
      </c>
      <c r="B920" t="s">
        <v>8547</v>
      </c>
      <c r="C920" t="s">
        <v>15201</v>
      </c>
      <c r="D920" t="s">
        <v>16198</v>
      </c>
      <c r="E920" t="s">
        <v>16218</v>
      </c>
      <c r="F920" t="s">
        <v>16221</v>
      </c>
      <c r="G920" t="s">
        <v>16241</v>
      </c>
      <c r="H920" t="s">
        <v>16241</v>
      </c>
      <c r="I920" t="s">
        <v>16317</v>
      </c>
      <c r="J920" t="s">
        <v>16385</v>
      </c>
      <c r="K920">
        <v>0.372</v>
      </c>
      <c r="L920">
        <v>16223</v>
      </c>
      <c r="M920">
        <v>3463</v>
      </c>
      <c r="N920" t="s">
        <v>16393</v>
      </c>
      <c r="O920" s="4">
        <v>90085</v>
      </c>
      <c r="P920" s="4">
        <v>123876</v>
      </c>
      <c r="Q920" s="4">
        <v>213961</v>
      </c>
      <c r="R920" s="4">
        <v>641883</v>
      </c>
      <c r="S920" t="s">
        <v>17294</v>
      </c>
      <c r="T920" s="6">
        <v>39295</v>
      </c>
      <c r="U920" s="4">
        <v>757000</v>
      </c>
      <c r="V920" t="s">
        <v>23740</v>
      </c>
      <c r="W920" t="s">
        <v>17294</v>
      </c>
      <c r="X920" t="s">
        <v>3</v>
      </c>
      <c r="AA920" s="5" t="str">
        <f>HYPERLINK("https://www.zillow.com/homes/1617-LAUREL-LN-DARIEN-IL-60561_rb/","check listing")</f>
        <v>check listing</v>
      </c>
      <c r="AB920" s="5" t="str">
        <f>HYPERLINK("https://propertylookup.dupagecounty.gov/Datalets/Datalet.aspx?UseSearch=no&amp;mode=sales&amp;pin=0933302020","sales record")</f>
        <v>sales record</v>
      </c>
      <c r="AC920" t="s">
        <v>3</v>
      </c>
      <c r="AD920">
        <v>41.733043</v>
      </c>
      <c r="AE920">
        <v>-87.98560999999999</v>
      </c>
      <c r="AF920" s="5" t="str">
        <f>HYPERLINK("https://www.google.com/maps/search/?api=1&amp;query=41.733043,-87.98561","map")</f>
        <v>map</v>
      </c>
    </row>
    <row r="921" spans="1:32">
      <c r="A921" t="s">
        <v>971</v>
      </c>
      <c r="B921" t="s">
        <v>8548</v>
      </c>
      <c r="C921" t="s">
        <v>15220</v>
      </c>
      <c r="D921" t="s">
        <v>16198</v>
      </c>
      <c r="E921" t="s">
        <v>16218</v>
      </c>
      <c r="F921" t="s">
        <v>16221</v>
      </c>
      <c r="G921" t="s">
        <v>16241</v>
      </c>
      <c r="H921" t="s">
        <v>16241</v>
      </c>
      <c r="I921" t="s">
        <v>16317</v>
      </c>
      <c r="J921" t="s">
        <v>16385</v>
      </c>
      <c r="K921">
        <v>0.372</v>
      </c>
      <c r="L921">
        <v>16208</v>
      </c>
      <c r="M921">
        <v>3795</v>
      </c>
      <c r="N921" t="s">
        <v>16393</v>
      </c>
      <c r="O921" s="4">
        <v>89486</v>
      </c>
      <c r="P921" s="4">
        <v>111211</v>
      </c>
      <c r="Q921" s="4">
        <v>200697</v>
      </c>
      <c r="R921" s="4">
        <v>602091</v>
      </c>
      <c r="S921" t="s">
        <v>17295</v>
      </c>
      <c r="T921" s="6">
        <v>44044</v>
      </c>
      <c r="U921" s="4">
        <v>428000</v>
      </c>
      <c r="V921" t="s">
        <v>23739</v>
      </c>
      <c r="W921" t="s">
        <v>17295</v>
      </c>
      <c r="X921" t="s">
        <v>3</v>
      </c>
      <c r="AA921" s="5" t="str">
        <f>HYPERLINK("https://www.zillow.com/homes/1634-ROYAL-OAK-RD-DARIEN-IL-605615331_rb/","check listing")</f>
        <v>check listing</v>
      </c>
      <c r="AB921" s="5" t="str">
        <f>HYPERLINK("https://propertylookup.dupagecounty.gov/Datalets/Datalet.aspx?UseSearch=no&amp;mode=sales&amp;pin=1004101009","sales record")</f>
        <v>sales record</v>
      </c>
      <c r="AC921" t="s">
        <v>3</v>
      </c>
      <c r="AD921">
        <v>41.727884</v>
      </c>
      <c r="AE921">
        <v>-87.987318</v>
      </c>
      <c r="AF921" s="5" t="str">
        <f>HYPERLINK("https://www.google.com/maps/search/?api=1&amp;query=41.727884,-87.987318","map")</f>
        <v>map</v>
      </c>
    </row>
    <row r="922" spans="1:32">
      <c r="A922" t="s">
        <v>972</v>
      </c>
      <c r="B922" t="s">
        <v>8549</v>
      </c>
      <c r="C922" t="s">
        <v>15201</v>
      </c>
      <c r="D922" t="s">
        <v>16198</v>
      </c>
      <c r="E922" t="s">
        <v>16218</v>
      </c>
      <c r="F922" t="s">
        <v>16221</v>
      </c>
      <c r="G922" t="s">
        <v>16241</v>
      </c>
      <c r="H922" t="s">
        <v>16241</v>
      </c>
      <c r="I922" t="s">
        <v>16317</v>
      </c>
      <c r="J922" t="s">
        <v>16385</v>
      </c>
      <c r="K922">
        <v>0.372</v>
      </c>
      <c r="L922">
        <v>16203</v>
      </c>
      <c r="M922">
        <v>4817</v>
      </c>
      <c r="N922" t="s">
        <v>16393</v>
      </c>
      <c r="O922" s="4">
        <v>83429</v>
      </c>
      <c r="P922" s="4">
        <v>117244</v>
      </c>
      <c r="Q922" s="4">
        <v>200673</v>
      </c>
      <c r="R922" s="4">
        <v>602019</v>
      </c>
      <c r="S922" t="s">
        <v>17296</v>
      </c>
      <c r="T922" s="6">
        <v>36039</v>
      </c>
      <c r="U922" s="4">
        <v>325000</v>
      </c>
      <c r="X922" t="s">
        <v>3</v>
      </c>
      <c r="AA922" s="5" t="str">
        <f>HYPERLINK("https://www.zillow.com/homes/8609-CARRIAGE-GREEN-DARIEN-IL-60561_rb/","check listing")</f>
        <v>check listing</v>
      </c>
      <c r="AB922" s="5" t="str">
        <f>HYPERLINK("https://propertylookup.dupagecounty.gov/Datalets/Datalet.aspx?UseSearch=no&amp;mode=sales&amp;pin=0933303002","sales record")</f>
        <v>sales record</v>
      </c>
      <c r="AC922" t="s">
        <v>3</v>
      </c>
      <c r="AD922">
        <v>41.731507</v>
      </c>
      <c r="AE922">
        <v>-87.986194</v>
      </c>
      <c r="AF922" s="5" t="str">
        <f>HYPERLINK("https://www.google.com/maps/search/?api=1&amp;query=41.731507,-87.986194","map")</f>
        <v>map</v>
      </c>
    </row>
    <row r="923" spans="1:32">
      <c r="A923" t="s">
        <v>973</v>
      </c>
      <c r="B923" t="s">
        <v>8550</v>
      </c>
      <c r="C923" t="s">
        <v>15224</v>
      </c>
      <c r="D923" t="s">
        <v>16198</v>
      </c>
      <c r="E923" t="s">
        <v>16218</v>
      </c>
      <c r="F923" t="s">
        <v>16221</v>
      </c>
      <c r="G923" t="s">
        <v>16241</v>
      </c>
      <c r="H923" t="s">
        <v>16241</v>
      </c>
      <c r="I923" t="s">
        <v>16317</v>
      </c>
      <c r="J923" t="s">
        <v>16385</v>
      </c>
      <c r="K923">
        <v>0.372</v>
      </c>
      <c r="L923">
        <v>16194</v>
      </c>
      <c r="M923">
        <v>3184</v>
      </c>
      <c r="N923" t="s">
        <v>16393</v>
      </c>
      <c r="O923" s="4">
        <v>87831</v>
      </c>
      <c r="P923" s="4">
        <v>158055</v>
      </c>
      <c r="Q923" s="4">
        <v>245886</v>
      </c>
      <c r="R923" s="4">
        <v>737658</v>
      </c>
      <c r="S923" t="s">
        <v>17297</v>
      </c>
      <c r="T923" s="6">
        <v>40603</v>
      </c>
      <c r="U923" s="4">
        <v>470000</v>
      </c>
      <c r="V923" t="s">
        <v>23739</v>
      </c>
      <c r="W923" t="s">
        <v>17297</v>
      </c>
      <c r="X923" t="s">
        <v>3</v>
      </c>
      <c r="AA923" s="5" t="str">
        <f>HYPERLINK("https://www.zillow.com/homes/8511-GLENEYRE-RD-DARIEN-IL-605615323_rb/","check listing")</f>
        <v>check listing</v>
      </c>
      <c r="AB923" s="5" t="str">
        <f>HYPERLINK("https://propertylookup.dupagecounty.gov/Datalets/Datalet.aspx?UseSearch=no&amp;mode=sales&amp;pin=0933306011","sales record")</f>
        <v>sales record</v>
      </c>
      <c r="AC923" t="s">
        <v>3</v>
      </c>
      <c r="AD923">
        <v>41.732895</v>
      </c>
      <c r="AE923">
        <v>-87.983682</v>
      </c>
      <c r="AF923" s="5" t="str">
        <f>HYPERLINK("https://www.google.com/maps/search/?api=1&amp;query=41.732895,-87.983682","map")</f>
        <v>map</v>
      </c>
    </row>
    <row r="924" spans="1:32">
      <c r="A924" t="s">
        <v>974</v>
      </c>
      <c r="B924" t="s">
        <v>8551</v>
      </c>
      <c r="C924" t="s">
        <v>15201</v>
      </c>
      <c r="D924" t="s">
        <v>16198</v>
      </c>
      <c r="E924" t="s">
        <v>16218</v>
      </c>
      <c r="F924" t="s">
        <v>16221</v>
      </c>
      <c r="G924" t="s">
        <v>16241</v>
      </c>
      <c r="H924" t="s">
        <v>16241</v>
      </c>
      <c r="I924" t="s">
        <v>16317</v>
      </c>
      <c r="J924" t="s">
        <v>16385</v>
      </c>
      <c r="K924">
        <v>0.372</v>
      </c>
      <c r="L924">
        <v>16184</v>
      </c>
      <c r="M924">
        <v>1881</v>
      </c>
      <c r="N924" t="s">
        <v>16393</v>
      </c>
      <c r="O924" s="4">
        <v>87397</v>
      </c>
      <c r="P924" s="4">
        <v>99498</v>
      </c>
      <c r="Q924" s="4">
        <v>186895</v>
      </c>
      <c r="R924" s="4">
        <v>560685</v>
      </c>
      <c r="S924" t="s">
        <v>17298</v>
      </c>
      <c r="X924" t="s">
        <v>3</v>
      </c>
      <c r="AA924" s="5" t="str">
        <f>HYPERLINK("https://www.zillow.com/homes/WITTINGTONCT-DARIEN-IL-60561_rb/","check listing")</f>
        <v>check listing</v>
      </c>
      <c r="AB924" s="5" t="str">
        <f>HYPERLINK("https://propertylookup.dupagecounty.gov/Datalets/Datalet.aspx?UseSearch=no&amp;mode=sales&amp;pin=0934210013","sales record")</f>
        <v>sales record</v>
      </c>
      <c r="AC924" t="s">
        <v>3</v>
      </c>
      <c r="AD924">
        <v>41.740287</v>
      </c>
      <c r="AE924">
        <v>-87.963487</v>
      </c>
      <c r="AF924" s="5" t="str">
        <f>HYPERLINK("https://www.google.com/maps/search/?api=1&amp;query=41.740287,-87.963487","map")</f>
        <v>map</v>
      </c>
    </row>
    <row r="925" spans="1:32">
      <c r="A925" t="s">
        <v>975</v>
      </c>
      <c r="B925" t="s">
        <v>8552</v>
      </c>
      <c r="C925" t="s">
        <v>15203</v>
      </c>
      <c r="D925" t="s">
        <v>16198</v>
      </c>
      <c r="E925" t="s">
        <v>16218</v>
      </c>
      <c r="F925" t="s">
        <v>16221</v>
      </c>
      <c r="G925" t="s">
        <v>16241</v>
      </c>
      <c r="H925" t="s">
        <v>16241</v>
      </c>
      <c r="I925" t="s">
        <v>16317</v>
      </c>
      <c r="J925" t="s">
        <v>16385</v>
      </c>
      <c r="K925">
        <v>0.37</v>
      </c>
      <c r="L925">
        <v>16133</v>
      </c>
      <c r="M925">
        <v>2662</v>
      </c>
      <c r="N925" t="s">
        <v>16393</v>
      </c>
      <c r="O925" s="4">
        <v>90578</v>
      </c>
      <c r="P925" s="4">
        <v>97607</v>
      </c>
      <c r="Q925" s="4">
        <v>188185</v>
      </c>
      <c r="R925" s="4">
        <v>564555</v>
      </c>
      <c r="S925" t="s">
        <v>17299</v>
      </c>
      <c r="T925" s="6">
        <v>44378</v>
      </c>
      <c r="U925" s="4">
        <v>587000</v>
      </c>
      <c r="V925" t="s">
        <v>23739</v>
      </c>
      <c r="W925" t="s">
        <v>24188</v>
      </c>
      <c r="X925" t="s">
        <v>3</v>
      </c>
      <c r="AA925" s="5" t="str">
        <f>HYPERLINK("https://www.zillow.com/homes/1625-FOXHILL-PL-DARIEN-IL-605615320_rb/","check listing")</f>
        <v>check listing</v>
      </c>
      <c r="AB925" s="5" t="str">
        <f>HYPERLINK("https://propertylookup.dupagecounty.gov/Datalets/Datalet.aspx?UseSearch=no&amp;mode=sales&amp;pin=0933302010","sales record")</f>
        <v>sales record</v>
      </c>
      <c r="AC925" t="s">
        <v>3</v>
      </c>
      <c r="AD925">
        <v>41.734105</v>
      </c>
      <c r="AE925">
        <v>-87.98626899999999</v>
      </c>
      <c r="AF925" s="5" t="str">
        <f>HYPERLINK("https://www.google.com/maps/search/?api=1&amp;query=41.734105,-87.986269","map")</f>
        <v>map</v>
      </c>
    </row>
    <row r="926" spans="1:32">
      <c r="A926" t="s">
        <v>976</v>
      </c>
      <c r="B926" t="s">
        <v>8553</v>
      </c>
      <c r="C926" t="s">
        <v>15220</v>
      </c>
      <c r="D926" t="s">
        <v>16198</v>
      </c>
      <c r="E926" t="s">
        <v>16218</v>
      </c>
      <c r="F926" t="s">
        <v>16221</v>
      </c>
      <c r="G926" t="s">
        <v>16241</v>
      </c>
      <c r="H926" t="s">
        <v>16241</v>
      </c>
      <c r="I926" t="s">
        <v>16317</v>
      </c>
      <c r="J926" t="s">
        <v>16385</v>
      </c>
      <c r="K926">
        <v>0.369</v>
      </c>
      <c r="L926">
        <v>16094</v>
      </c>
      <c r="M926">
        <v>2776</v>
      </c>
      <c r="N926" t="s">
        <v>16393</v>
      </c>
      <c r="O926" s="4">
        <v>82232</v>
      </c>
      <c r="P926" s="4">
        <v>118418</v>
      </c>
      <c r="Q926" s="4">
        <v>200650</v>
      </c>
      <c r="R926" s="4">
        <v>601950</v>
      </c>
      <c r="S926" t="s">
        <v>17300</v>
      </c>
      <c r="T926" s="6">
        <v>44197</v>
      </c>
      <c r="U926" s="4">
        <v>515000</v>
      </c>
      <c r="V926" t="s">
        <v>23739</v>
      </c>
      <c r="W926" t="s">
        <v>24189</v>
      </c>
      <c r="X926" t="s">
        <v>3</v>
      </c>
      <c r="AA926" s="5" t="str">
        <f>HYPERLINK("https://www.zillow.com/homes/1618-ROYAL-OAK-RD-DARIEN-IL-605615331_rb/","check listing")</f>
        <v>check listing</v>
      </c>
      <c r="AB926" s="5" t="str">
        <f>HYPERLINK("https://propertylookup.dupagecounty.gov/Datalets/Datalet.aspx?UseSearch=no&amp;mode=sales&amp;pin=1004101005","sales record")</f>
        <v>sales record</v>
      </c>
      <c r="AC926" t="s">
        <v>3</v>
      </c>
      <c r="AD926">
        <v>41.72901</v>
      </c>
      <c r="AE926">
        <v>-87.98724199999999</v>
      </c>
      <c r="AF926" s="5" t="str">
        <f>HYPERLINK("https://www.google.com/maps/search/?api=1&amp;query=41.72901,-87.987242","map")</f>
        <v>map</v>
      </c>
    </row>
    <row r="927" spans="1:32">
      <c r="A927" t="s">
        <v>977</v>
      </c>
      <c r="B927" t="s">
        <v>8554</v>
      </c>
      <c r="C927" t="s">
        <v>15224</v>
      </c>
      <c r="D927" t="s">
        <v>16198</v>
      </c>
      <c r="E927" t="s">
        <v>16218</v>
      </c>
      <c r="F927" t="s">
        <v>16221</v>
      </c>
      <c r="G927" t="s">
        <v>16241</v>
      </c>
      <c r="H927" t="s">
        <v>16241</v>
      </c>
      <c r="I927" t="s">
        <v>16317</v>
      </c>
      <c r="J927" t="s">
        <v>16385</v>
      </c>
      <c r="K927">
        <v>0.368</v>
      </c>
      <c r="L927">
        <v>16028</v>
      </c>
      <c r="M927">
        <v>5284</v>
      </c>
      <c r="N927" t="s">
        <v>16393</v>
      </c>
      <c r="O927" s="4">
        <v>87831</v>
      </c>
      <c r="P927" s="4">
        <v>144522</v>
      </c>
      <c r="Q927" s="4">
        <v>232353</v>
      </c>
      <c r="R927" s="4">
        <v>697059</v>
      </c>
      <c r="S927" t="s">
        <v>17301</v>
      </c>
      <c r="T927" s="6">
        <v>36161</v>
      </c>
      <c r="U927" s="4">
        <v>391000</v>
      </c>
      <c r="X927" t="s">
        <v>3</v>
      </c>
      <c r="AA927" s="5" t="str">
        <f>HYPERLINK("https://www.zillow.com/homes/8505-GLENEYRE-RD-DARIEN-IL-605615323_rb/","check listing")</f>
        <v>check listing</v>
      </c>
      <c r="AB927" s="5" t="str">
        <f>HYPERLINK("https://propertylookup.dupagecounty.gov/Datalets/Datalet.aspx?UseSearch=no&amp;mode=sales&amp;pin=0933306009","sales record")</f>
        <v>sales record</v>
      </c>
      <c r="AC927" t="s">
        <v>3</v>
      </c>
      <c r="AD927">
        <v>41.733387</v>
      </c>
      <c r="AE927">
        <v>-87.983797</v>
      </c>
      <c r="AF927" s="5" t="str">
        <f>HYPERLINK("https://www.google.com/maps/search/?api=1&amp;query=41.733387,-87.983797","map")</f>
        <v>map</v>
      </c>
    </row>
    <row r="928" spans="1:32">
      <c r="A928" t="s">
        <v>978</v>
      </c>
      <c r="B928" t="s">
        <v>8555</v>
      </c>
      <c r="C928" t="s">
        <v>15221</v>
      </c>
      <c r="D928" t="s">
        <v>16198</v>
      </c>
      <c r="E928" t="s">
        <v>16218</v>
      </c>
      <c r="F928" t="s">
        <v>16221</v>
      </c>
      <c r="G928" t="s">
        <v>16241</v>
      </c>
      <c r="H928" t="s">
        <v>16241</v>
      </c>
      <c r="I928" t="s">
        <v>16317</v>
      </c>
      <c r="J928" t="s">
        <v>16385</v>
      </c>
      <c r="K928">
        <v>0.368</v>
      </c>
      <c r="L928">
        <v>16014</v>
      </c>
      <c r="M928">
        <v>3563</v>
      </c>
      <c r="N928" t="s">
        <v>16393</v>
      </c>
      <c r="O928" s="4">
        <v>84380</v>
      </c>
      <c r="P928" s="4">
        <v>167550</v>
      </c>
      <c r="Q928" s="4">
        <v>251930</v>
      </c>
      <c r="R928" s="4">
        <v>755790</v>
      </c>
      <c r="S928" t="s">
        <v>17302</v>
      </c>
      <c r="T928" s="6">
        <v>44799</v>
      </c>
      <c r="U928" s="4">
        <v>690000</v>
      </c>
      <c r="V928" t="s">
        <v>23741</v>
      </c>
      <c r="W928" t="s">
        <v>24190</v>
      </c>
      <c r="X928" t="s">
        <v>3</v>
      </c>
      <c r="AA928" s="5" t="str">
        <f>HYPERLINK("https://www.zillow.com/homes/1606-COACHMANS-RD-DARIEN-IL-605615377_rb/","check listing")</f>
        <v>check listing</v>
      </c>
      <c r="AB928" s="5" t="str">
        <f>HYPERLINK("https://propertylookup.dupagecounty.gov/Datalets/Datalet.aspx?UseSearch=no&amp;mode=sales&amp;pin=0933302046","sales record")</f>
        <v>sales record</v>
      </c>
      <c r="AC928" t="s">
        <v>3</v>
      </c>
      <c r="AD928">
        <v>41.732797</v>
      </c>
      <c r="AE928">
        <v>-87.984399</v>
      </c>
      <c r="AF928" s="5" t="str">
        <f>HYPERLINK("https://www.google.com/maps/search/?api=1&amp;query=41.732797,-87.984399","map")</f>
        <v>map</v>
      </c>
    </row>
    <row r="929" spans="1:32">
      <c r="A929" t="s">
        <v>979</v>
      </c>
      <c r="B929" t="s">
        <v>8556</v>
      </c>
      <c r="C929" t="s">
        <v>15201</v>
      </c>
      <c r="D929" t="s">
        <v>16198</v>
      </c>
      <c r="E929" t="s">
        <v>16218</v>
      </c>
      <c r="F929" t="s">
        <v>16221</v>
      </c>
      <c r="G929" t="s">
        <v>16241</v>
      </c>
      <c r="H929" t="s">
        <v>16241</v>
      </c>
      <c r="I929" t="s">
        <v>16317</v>
      </c>
      <c r="J929" t="s">
        <v>16385</v>
      </c>
      <c r="K929">
        <v>0.367</v>
      </c>
      <c r="L929">
        <v>16002</v>
      </c>
      <c r="M929">
        <v>2244</v>
      </c>
      <c r="N929" t="s">
        <v>16393</v>
      </c>
      <c r="O929" s="4">
        <v>75812</v>
      </c>
      <c r="P929" s="4">
        <v>151999</v>
      </c>
      <c r="Q929" s="4">
        <v>227811</v>
      </c>
      <c r="R929" s="4">
        <v>683433</v>
      </c>
      <c r="S929" t="s">
        <v>17303</v>
      </c>
      <c r="T929" s="6">
        <v>46027</v>
      </c>
      <c r="U929" s="4">
        <v>673500</v>
      </c>
      <c r="V929" t="s">
        <v>23739</v>
      </c>
      <c r="W929" t="s">
        <v>24191</v>
      </c>
      <c r="X929" t="s">
        <v>3</v>
      </c>
      <c r="AA929" s="5" t="str">
        <f>HYPERLINK("https://www.zillow.com/homes/8826-CARLISLE-CT-DARIEN-IL-60561_rb/","check listing")</f>
        <v>check listing</v>
      </c>
      <c r="AB929" s="5" t="str">
        <f>HYPERLINK("https://propertylookup.dupagecounty.gov/Datalets/Datalet.aspx?UseSearch=no&amp;mode=sales&amp;pin=1004111016","sales record")</f>
        <v>sales record</v>
      </c>
      <c r="AC929" t="s">
        <v>3</v>
      </c>
      <c r="AD929">
        <v>41.725349</v>
      </c>
      <c r="AE929">
        <v>-87.992188</v>
      </c>
      <c r="AF929" s="5" t="str">
        <f>HYPERLINK("https://www.google.com/maps/search/?api=1&amp;query=41.725349,-87.992188","map")</f>
        <v>map</v>
      </c>
    </row>
    <row r="930" spans="1:32">
      <c r="A930" t="s">
        <v>980</v>
      </c>
      <c r="B930" t="s">
        <v>8557</v>
      </c>
      <c r="C930" t="s">
        <v>15208</v>
      </c>
      <c r="D930" t="s">
        <v>16198</v>
      </c>
      <c r="E930" t="s">
        <v>16218</v>
      </c>
      <c r="F930" t="s">
        <v>16221</v>
      </c>
      <c r="G930" t="s">
        <v>16241</v>
      </c>
      <c r="H930" t="s">
        <v>16241</v>
      </c>
      <c r="I930" t="s">
        <v>16317</v>
      </c>
      <c r="J930" t="s">
        <v>16385</v>
      </c>
      <c r="K930">
        <v>0.367</v>
      </c>
      <c r="L930">
        <v>16001</v>
      </c>
      <c r="M930">
        <v>2142</v>
      </c>
      <c r="N930" t="s">
        <v>16393</v>
      </c>
      <c r="O930" s="4">
        <v>75812</v>
      </c>
      <c r="P930" s="4">
        <v>169393</v>
      </c>
      <c r="Q930" s="4">
        <v>245205</v>
      </c>
      <c r="R930" s="4">
        <v>735615</v>
      </c>
      <c r="S930" t="s">
        <v>17304</v>
      </c>
      <c r="T930" s="6">
        <v>44501</v>
      </c>
      <c r="U930" s="4">
        <v>706500</v>
      </c>
      <c r="V930" t="s">
        <v>23739</v>
      </c>
      <c r="W930" t="s">
        <v>24192</v>
      </c>
      <c r="X930" t="s">
        <v>3</v>
      </c>
      <c r="AA930" s="5" t="str">
        <f>HYPERLINK("https://www.zillow.com/homes/8739-CARLISLE-CT-DARIEN-IL-605615373_rb/","check listing")</f>
        <v>check listing</v>
      </c>
      <c r="AB930" s="5" t="str">
        <f>HYPERLINK("https://propertylookup.dupagecounty.gov/Datalets/Datalet.aspx?UseSearch=no&amp;mode=sales&amp;pin=1004100009","sales record")</f>
        <v>sales record</v>
      </c>
      <c r="AC930" t="s">
        <v>3</v>
      </c>
      <c r="AD930">
        <v>41.728604</v>
      </c>
      <c r="AE930">
        <v>-87.990022</v>
      </c>
      <c r="AF930" s="5" t="str">
        <f>HYPERLINK("https://www.google.com/maps/search/?api=1&amp;query=41.728604,-87.990022","map")</f>
        <v>map</v>
      </c>
    </row>
    <row r="931" spans="1:32">
      <c r="A931" t="s">
        <v>981</v>
      </c>
      <c r="B931" t="s">
        <v>8558</v>
      </c>
      <c r="C931" t="s">
        <v>15201</v>
      </c>
      <c r="D931" t="s">
        <v>16198</v>
      </c>
      <c r="E931" t="s">
        <v>16218</v>
      </c>
      <c r="F931" t="s">
        <v>16221</v>
      </c>
      <c r="G931" t="s">
        <v>16241</v>
      </c>
      <c r="H931" t="s">
        <v>16241</v>
      </c>
      <c r="I931" t="s">
        <v>16317</v>
      </c>
      <c r="J931" t="s">
        <v>16385</v>
      </c>
      <c r="K931">
        <v>0.367</v>
      </c>
      <c r="L931">
        <v>16001</v>
      </c>
      <c r="M931">
        <v>4125</v>
      </c>
      <c r="N931" t="s">
        <v>16393</v>
      </c>
      <c r="O931" s="4">
        <v>75812</v>
      </c>
      <c r="P931" s="4">
        <v>186659</v>
      </c>
      <c r="Q931" s="4">
        <v>262471</v>
      </c>
      <c r="R931" s="4">
        <v>787413</v>
      </c>
      <c r="S931" t="s">
        <v>17305</v>
      </c>
      <c r="T931" s="6">
        <v>42552</v>
      </c>
      <c r="U931" s="4">
        <v>449000</v>
      </c>
      <c r="V931" t="s">
        <v>23739</v>
      </c>
      <c r="W931" t="s">
        <v>24193</v>
      </c>
      <c r="X931" t="s">
        <v>3</v>
      </c>
      <c r="AA931" s="5" t="str">
        <f>HYPERLINK("https://www.zillow.com/homes/8735-CARLISLE-CT-DARIEN-IL-60561_rb/","check listing")</f>
        <v>check listing</v>
      </c>
      <c r="AB931" s="5" t="str">
        <f>HYPERLINK("https://propertylookup.dupagecounty.gov/Datalets/Datalet.aspx?UseSearch=no&amp;mode=sales&amp;pin=1004100008","sales record")</f>
        <v>sales record</v>
      </c>
      <c r="AC931" t="s">
        <v>3</v>
      </c>
      <c r="AD931">
        <v>41.728787</v>
      </c>
      <c r="AE931">
        <v>-87.990295</v>
      </c>
      <c r="AF931" s="5" t="str">
        <f>HYPERLINK("https://www.google.com/maps/search/?api=1&amp;query=41.728787,-87.990295","map")</f>
        <v>map</v>
      </c>
    </row>
    <row r="932" spans="1:32">
      <c r="A932" t="s">
        <v>982</v>
      </c>
      <c r="B932" t="s">
        <v>8559</v>
      </c>
      <c r="C932" t="s">
        <v>15201</v>
      </c>
      <c r="D932" t="s">
        <v>16198</v>
      </c>
      <c r="E932" t="s">
        <v>16218</v>
      </c>
      <c r="F932" t="s">
        <v>16221</v>
      </c>
      <c r="G932" t="s">
        <v>16241</v>
      </c>
      <c r="H932" t="s">
        <v>16241</v>
      </c>
      <c r="I932" t="s">
        <v>16317</v>
      </c>
      <c r="J932" t="s">
        <v>16385</v>
      </c>
      <c r="K932">
        <v>0.366</v>
      </c>
      <c r="L932">
        <v>15949</v>
      </c>
      <c r="M932">
        <v>3203</v>
      </c>
      <c r="N932" t="s">
        <v>16393</v>
      </c>
      <c r="O932" s="4">
        <v>81058</v>
      </c>
      <c r="P932" s="4">
        <v>115601</v>
      </c>
      <c r="Q932" s="4">
        <v>196659</v>
      </c>
      <c r="R932" s="4">
        <v>589977</v>
      </c>
      <c r="S932" t="s">
        <v>17306</v>
      </c>
      <c r="T932" s="6">
        <v>42491</v>
      </c>
      <c r="U932" s="4">
        <v>505000</v>
      </c>
      <c r="V932" t="s">
        <v>23740</v>
      </c>
      <c r="W932" t="s">
        <v>24194</v>
      </c>
      <c r="X932" t="s">
        <v>3</v>
      </c>
      <c r="AA932" s="5" t="str">
        <f>HYPERLINK("https://www.zillow.com/homes/1614-ROYAL-OAK-RD-DARIEN-IL-60561_rb/","check listing")</f>
        <v>check listing</v>
      </c>
      <c r="AB932" s="5" t="str">
        <f>HYPERLINK("https://propertylookup.dupagecounty.gov/Datalets/Datalet.aspx?UseSearch=no&amp;mode=sales&amp;pin=1004101004","sales record")</f>
        <v>sales record</v>
      </c>
      <c r="AC932" t="s">
        <v>3</v>
      </c>
      <c r="AD932">
        <v>41.72907</v>
      </c>
      <c r="AE932">
        <v>-87.98691700000001</v>
      </c>
      <c r="AF932" s="5" t="str">
        <f>HYPERLINK("https://www.google.com/maps/search/?api=1&amp;query=41.72907,-87.986917","map")</f>
        <v>map</v>
      </c>
    </row>
    <row r="933" spans="1:32">
      <c r="A933" t="s">
        <v>983</v>
      </c>
      <c r="B933" t="s">
        <v>8560</v>
      </c>
      <c r="C933" t="s">
        <v>15203</v>
      </c>
      <c r="D933" t="s">
        <v>16198</v>
      </c>
      <c r="E933" t="s">
        <v>16218</v>
      </c>
      <c r="F933" t="s">
        <v>16221</v>
      </c>
      <c r="G933" t="s">
        <v>16241</v>
      </c>
      <c r="H933" t="s">
        <v>16241</v>
      </c>
      <c r="I933" t="s">
        <v>16317</v>
      </c>
      <c r="J933" t="s">
        <v>16385</v>
      </c>
      <c r="K933">
        <v>0.366</v>
      </c>
      <c r="L933">
        <v>15927</v>
      </c>
      <c r="M933">
        <v>3007</v>
      </c>
      <c r="N933" t="s">
        <v>16393</v>
      </c>
      <c r="O933" s="4">
        <v>80670</v>
      </c>
      <c r="P933" s="4">
        <v>119556</v>
      </c>
      <c r="Q933" s="4">
        <v>200226</v>
      </c>
      <c r="R933" s="4">
        <v>600678</v>
      </c>
      <c r="S933" t="s">
        <v>17307</v>
      </c>
      <c r="T933" s="6">
        <v>45649</v>
      </c>
      <c r="U933" s="4">
        <v>755000</v>
      </c>
      <c r="V933" t="s">
        <v>23739</v>
      </c>
      <c r="W933" t="s">
        <v>24195</v>
      </c>
      <c r="X933" t="s">
        <v>3</v>
      </c>
      <c r="AA933" s="5" t="str">
        <f>HYPERLINK("https://www.zillow.com/homes/1629-FOXHILL-PL-DARIEN-IL-605615320_rb/","check listing")</f>
        <v>check listing</v>
      </c>
      <c r="AB933" s="5" t="str">
        <f>HYPERLINK("https://propertylookup.dupagecounty.gov/Datalets/Datalet.aspx?UseSearch=no&amp;mode=sales&amp;pin=0933302011","sales record")</f>
        <v>sales record</v>
      </c>
      <c r="AC933" t="s">
        <v>3</v>
      </c>
      <c r="AD933">
        <v>41.734092</v>
      </c>
      <c r="AE933">
        <v>-87.986644</v>
      </c>
      <c r="AF933" s="5" t="str">
        <f>HYPERLINK("https://www.google.com/maps/search/?api=1&amp;query=41.734092,-87.986644","map")</f>
        <v>map</v>
      </c>
    </row>
    <row r="934" spans="1:32">
      <c r="A934" t="s">
        <v>984</v>
      </c>
      <c r="B934" t="s">
        <v>8561</v>
      </c>
      <c r="C934" t="s">
        <v>15201</v>
      </c>
      <c r="D934" t="s">
        <v>16198</v>
      </c>
      <c r="E934" t="s">
        <v>16218</v>
      </c>
      <c r="F934" t="s">
        <v>16221</v>
      </c>
      <c r="G934" t="s">
        <v>16241</v>
      </c>
      <c r="H934" t="s">
        <v>16241</v>
      </c>
      <c r="I934" t="s">
        <v>16317</v>
      </c>
      <c r="J934" t="s">
        <v>16385</v>
      </c>
      <c r="K934">
        <v>0.364</v>
      </c>
      <c r="L934">
        <v>15836</v>
      </c>
      <c r="M934">
        <v>2965</v>
      </c>
      <c r="N934" t="s">
        <v>16393</v>
      </c>
      <c r="O934" s="4">
        <v>79979</v>
      </c>
      <c r="P934" s="4">
        <v>125790</v>
      </c>
      <c r="Q934" s="4">
        <v>205769</v>
      </c>
      <c r="R934" s="4">
        <v>617307</v>
      </c>
      <c r="S934" t="s">
        <v>17308</v>
      </c>
      <c r="T934" s="6">
        <v>29434</v>
      </c>
      <c r="U934" s="4">
        <v>211604</v>
      </c>
      <c r="X934" t="s">
        <v>3</v>
      </c>
      <c r="AA934" s="5" t="str">
        <f>HYPERLINK("https://www.zillow.com/homes/1618-COACHMANS-RD-DARIEN-IL-60561_rb/","check listing")</f>
        <v>check listing</v>
      </c>
      <c r="AB934" s="5" t="str">
        <f>HYPERLINK("https://propertylookup.dupagecounty.gov/Datalets/Datalet.aspx?UseSearch=no&amp;mode=sales&amp;pin=0933302043","sales record")</f>
        <v>sales record</v>
      </c>
      <c r="AC934" t="s">
        <v>3</v>
      </c>
      <c r="AD934">
        <v>41.732517</v>
      </c>
      <c r="AE934">
        <v>-87.98532899999999</v>
      </c>
      <c r="AF934" s="5" t="str">
        <f>HYPERLINK("https://www.google.com/maps/search/?api=1&amp;query=41.732517,-87.985329","map")</f>
        <v>map</v>
      </c>
    </row>
    <row r="935" spans="1:32">
      <c r="A935" t="s">
        <v>985</v>
      </c>
      <c r="B935" t="s">
        <v>8562</v>
      </c>
      <c r="C935" t="s">
        <v>15201</v>
      </c>
      <c r="D935" t="s">
        <v>16198</v>
      </c>
      <c r="E935" t="s">
        <v>16218</v>
      </c>
      <c r="F935" t="s">
        <v>16221</v>
      </c>
      <c r="G935" t="s">
        <v>16241</v>
      </c>
      <c r="H935" t="s">
        <v>16241</v>
      </c>
      <c r="I935" t="s">
        <v>16317</v>
      </c>
      <c r="J935" t="s">
        <v>16385</v>
      </c>
      <c r="K935">
        <v>0.363</v>
      </c>
      <c r="L935">
        <v>15822</v>
      </c>
      <c r="M935">
        <v>2937</v>
      </c>
      <c r="N935" t="s">
        <v>16393</v>
      </c>
      <c r="O935" s="4">
        <v>98194</v>
      </c>
      <c r="P935" s="4">
        <v>183197</v>
      </c>
      <c r="Q935" s="4">
        <v>281391</v>
      </c>
      <c r="R935" s="4">
        <v>844173</v>
      </c>
      <c r="S935" t="s">
        <v>17309</v>
      </c>
      <c r="T935" s="6">
        <v>32752</v>
      </c>
      <c r="U935" s="4">
        <v>425000</v>
      </c>
      <c r="X935" t="s">
        <v>3</v>
      </c>
      <c r="AA935" s="5" t="str">
        <f>HYPERLINK("https://www.zillow.com/homes/1524-WILLOW-CREEK-LN-DARIEN-IL-60561_rb/","check listing")</f>
        <v>check listing</v>
      </c>
      <c r="AB935" s="5" t="str">
        <f>HYPERLINK("https://propertylookup.dupagecounty.gov/Datalets/Datalet.aspx?UseSearch=no&amp;mode=sales&amp;pin=0933405011","sales record")</f>
        <v>sales record</v>
      </c>
      <c r="AC935" t="s">
        <v>3</v>
      </c>
      <c r="AD935">
        <v>41.733585</v>
      </c>
      <c r="AE935">
        <v>-87.980178</v>
      </c>
      <c r="AF935" s="5" t="str">
        <f>HYPERLINK("https://www.google.com/maps/search/?api=1&amp;query=41.733585,-87.980178","map")</f>
        <v>map</v>
      </c>
    </row>
    <row r="936" spans="1:32">
      <c r="A936" t="s">
        <v>986</v>
      </c>
      <c r="B936" t="s">
        <v>8563</v>
      </c>
      <c r="C936" t="s">
        <v>15225</v>
      </c>
      <c r="D936" t="s">
        <v>16198</v>
      </c>
      <c r="E936" t="s">
        <v>16218</v>
      </c>
      <c r="F936" t="s">
        <v>16221</v>
      </c>
      <c r="G936" t="s">
        <v>16241</v>
      </c>
      <c r="H936" t="s">
        <v>16241</v>
      </c>
      <c r="I936" t="s">
        <v>16317</v>
      </c>
      <c r="J936" t="s">
        <v>16385</v>
      </c>
      <c r="K936">
        <v>0.363</v>
      </c>
      <c r="L936">
        <v>15804</v>
      </c>
      <c r="M936">
        <v>2786</v>
      </c>
      <c r="N936" t="s">
        <v>16393</v>
      </c>
      <c r="O936" s="4">
        <v>88664</v>
      </c>
      <c r="P936" s="4">
        <v>149816</v>
      </c>
      <c r="Q936" s="4">
        <v>238480</v>
      </c>
      <c r="R936" s="4">
        <v>715440</v>
      </c>
      <c r="S936" t="s">
        <v>17310</v>
      </c>
      <c r="T936" s="6">
        <v>42125</v>
      </c>
      <c r="U936" s="4">
        <v>500000</v>
      </c>
      <c r="V936" t="s">
        <v>23740</v>
      </c>
      <c r="W936" t="s">
        <v>24196</v>
      </c>
      <c r="X936" t="s">
        <v>3</v>
      </c>
      <c r="AA936" s="5" t="str">
        <f>HYPERLINK("https://www.zillow.com/homes/1525-EVERGREEN-LN-DARIEN-IL-605615396_rb/","check listing")</f>
        <v>check listing</v>
      </c>
      <c r="AB936" s="5" t="str">
        <f>HYPERLINK("https://propertylookup.dupagecounty.gov/Datalets/Datalet.aspx?UseSearch=no&amp;mode=sales&amp;pin=0933404002","sales record")</f>
        <v>sales record</v>
      </c>
      <c r="AC936" t="s">
        <v>3</v>
      </c>
      <c r="AD936">
        <v>41.735083</v>
      </c>
      <c r="AE936">
        <v>-87.979859</v>
      </c>
      <c r="AF936" s="5" t="str">
        <f>HYPERLINK("https://www.google.com/maps/search/?api=1&amp;query=41.735083,-87.979859","map")</f>
        <v>map</v>
      </c>
    </row>
    <row r="937" spans="1:32">
      <c r="A937" t="s">
        <v>987</v>
      </c>
      <c r="B937" t="s">
        <v>8564</v>
      </c>
      <c r="C937" t="s">
        <v>15201</v>
      </c>
      <c r="D937" t="s">
        <v>16198</v>
      </c>
      <c r="E937" t="s">
        <v>16218</v>
      </c>
      <c r="F937" t="s">
        <v>16221</v>
      </c>
      <c r="G937" t="s">
        <v>16241</v>
      </c>
      <c r="H937" t="s">
        <v>16241</v>
      </c>
      <c r="I937" t="s">
        <v>16317</v>
      </c>
      <c r="J937" t="s">
        <v>16385</v>
      </c>
      <c r="K937">
        <v>0.362</v>
      </c>
      <c r="L937">
        <v>15790</v>
      </c>
      <c r="M937">
        <v>3129</v>
      </c>
      <c r="N937" t="s">
        <v>16393</v>
      </c>
      <c r="O937" s="4">
        <v>92878</v>
      </c>
      <c r="P937" s="4">
        <v>161541</v>
      </c>
      <c r="Q937" s="4">
        <v>254419</v>
      </c>
      <c r="R937" s="4">
        <v>763257</v>
      </c>
      <c r="S937" t="s">
        <v>17311</v>
      </c>
      <c r="T937" s="6">
        <v>34547</v>
      </c>
      <c r="U937" s="4">
        <v>329500</v>
      </c>
      <c r="X937" t="s">
        <v>3</v>
      </c>
      <c r="AA937" s="5" t="str">
        <f>HYPERLINK("https://www.zillow.com/homes/6804-WHITE-PINE-TR-DARIEN-IL-60561_rb/","check listing")</f>
        <v>check listing</v>
      </c>
      <c r="AB937" s="5" t="str">
        <f>HYPERLINK("https://propertylookup.dupagecounty.gov/Datalets/Datalet.aspx?UseSearch=no&amp;mode=sales&amp;pin=0922301032","sales record")</f>
        <v>sales record</v>
      </c>
      <c r="AC937" t="s">
        <v>3</v>
      </c>
      <c r="AD937">
        <v>41.763474</v>
      </c>
      <c r="AE937">
        <v>-87.972585</v>
      </c>
      <c r="AF937" s="5" t="str">
        <f>HYPERLINK("https://www.google.com/maps/search/?api=1&amp;query=41.763474,-87.972585","map")</f>
        <v>map</v>
      </c>
    </row>
    <row r="938" spans="1:32">
      <c r="A938" t="s">
        <v>988</v>
      </c>
      <c r="B938" t="s">
        <v>8565</v>
      </c>
      <c r="C938" t="s">
        <v>15201</v>
      </c>
      <c r="D938" t="s">
        <v>16198</v>
      </c>
      <c r="E938" t="s">
        <v>16218</v>
      </c>
      <c r="F938" t="s">
        <v>16221</v>
      </c>
      <c r="G938" t="s">
        <v>16241</v>
      </c>
      <c r="H938" t="s">
        <v>16241</v>
      </c>
      <c r="I938" t="s">
        <v>16317</v>
      </c>
      <c r="J938" t="s">
        <v>16385</v>
      </c>
      <c r="K938">
        <v>0.362</v>
      </c>
      <c r="L938">
        <v>15778</v>
      </c>
      <c r="M938">
        <v>4308</v>
      </c>
      <c r="N938" t="s">
        <v>16393</v>
      </c>
      <c r="O938" s="4">
        <v>86153</v>
      </c>
      <c r="P938" s="4">
        <v>206261</v>
      </c>
      <c r="Q938" s="4">
        <v>292414</v>
      </c>
      <c r="R938" s="4">
        <v>877242</v>
      </c>
      <c r="S938" t="s">
        <v>17312</v>
      </c>
      <c r="T938" s="6">
        <v>45450</v>
      </c>
      <c r="U938" s="4">
        <v>982500</v>
      </c>
      <c r="V938" t="s">
        <v>23739</v>
      </c>
      <c r="W938" t="s">
        <v>24197</v>
      </c>
      <c r="X938" t="s">
        <v>3</v>
      </c>
      <c r="AA938" s="5" t="str">
        <f>HYPERLINK("https://www.zillow.com/homes/8606-CARRIAGE-GREEN-DR-DARIEN-IL-60561_rb/","check listing")</f>
        <v>check listing</v>
      </c>
      <c r="AB938" s="5" t="str">
        <f>HYPERLINK("https://propertylookup.dupagecounty.gov/Datalets/Datalet.aspx?UseSearch=no&amp;mode=sales&amp;pin=0933301014","sales record")</f>
        <v>sales record</v>
      </c>
      <c r="AC938" t="s">
        <v>3</v>
      </c>
      <c r="AD938">
        <v>41.731801</v>
      </c>
      <c r="AE938">
        <v>-87.986969</v>
      </c>
      <c r="AF938" s="5" t="str">
        <f>HYPERLINK("https://www.google.com/maps/search/?api=1&amp;query=41.731801,-87.986969","map")</f>
        <v>map</v>
      </c>
    </row>
    <row r="939" spans="1:32">
      <c r="A939" t="s">
        <v>989</v>
      </c>
      <c r="B939" t="s">
        <v>8566</v>
      </c>
      <c r="C939" t="s">
        <v>15226</v>
      </c>
      <c r="D939" t="s">
        <v>16198</v>
      </c>
      <c r="E939" t="s">
        <v>16218</v>
      </c>
      <c r="F939" t="s">
        <v>16221</v>
      </c>
      <c r="G939" t="s">
        <v>16241</v>
      </c>
      <c r="H939" t="s">
        <v>16241</v>
      </c>
      <c r="I939" t="s">
        <v>16317</v>
      </c>
      <c r="J939" t="s">
        <v>16385</v>
      </c>
      <c r="K939">
        <v>0.361</v>
      </c>
      <c r="L939">
        <v>15738</v>
      </c>
      <c r="M939">
        <v>4600</v>
      </c>
      <c r="N939" t="s">
        <v>16393</v>
      </c>
      <c r="O939" s="4">
        <v>76141</v>
      </c>
      <c r="P939" s="4">
        <v>133454</v>
      </c>
      <c r="Q939" s="4">
        <v>209595</v>
      </c>
      <c r="R939" s="4">
        <v>628785</v>
      </c>
      <c r="S939" t="s">
        <v>17313</v>
      </c>
      <c r="X939" t="s">
        <v>3</v>
      </c>
      <c r="AA939" s="5" t="str">
        <f>HYPERLINK("https://www.zillow.com/homes/8426-CARRIAGE-GREEN-DARIEN-IL-605615308_rb/","check listing")</f>
        <v>check listing</v>
      </c>
      <c r="AB939" s="5" t="str">
        <f>HYPERLINK("https://propertylookup.dupagecounty.gov/Datalets/Datalet.aspx?UseSearch=no&amp;mode=sales&amp;pin=0933301004","sales record")</f>
        <v>sales record</v>
      </c>
      <c r="AC939" t="s">
        <v>3</v>
      </c>
      <c r="AD939">
        <v>41.733639</v>
      </c>
      <c r="AE939">
        <v>-87.98840800000001</v>
      </c>
      <c r="AF939" s="5" t="str">
        <f>HYPERLINK("https://www.google.com/maps/search/?api=1&amp;query=41.733639,-87.988408","map")</f>
        <v>map</v>
      </c>
    </row>
    <row r="940" spans="1:32">
      <c r="A940" t="s">
        <v>990</v>
      </c>
      <c r="B940" t="s">
        <v>8567</v>
      </c>
      <c r="C940" t="s">
        <v>15201</v>
      </c>
      <c r="D940" t="s">
        <v>16198</v>
      </c>
      <c r="E940" t="s">
        <v>16218</v>
      </c>
      <c r="F940" t="s">
        <v>16221</v>
      </c>
      <c r="G940" t="s">
        <v>16241</v>
      </c>
      <c r="H940" t="s">
        <v>16241</v>
      </c>
      <c r="I940" t="s">
        <v>16317</v>
      </c>
      <c r="J940" t="s">
        <v>16385</v>
      </c>
      <c r="K940">
        <v>0.361</v>
      </c>
      <c r="L940">
        <v>15720</v>
      </c>
      <c r="M940">
        <v>3430</v>
      </c>
      <c r="N940" t="s">
        <v>16393</v>
      </c>
      <c r="O940" s="4">
        <v>74332</v>
      </c>
      <c r="P940" s="4">
        <v>158584</v>
      </c>
      <c r="Q940" s="4">
        <v>232916</v>
      </c>
      <c r="R940" s="4">
        <v>698748</v>
      </c>
      <c r="S940" t="s">
        <v>17314</v>
      </c>
      <c r="T940" s="6">
        <v>31747</v>
      </c>
      <c r="U940" s="4">
        <v>60000</v>
      </c>
      <c r="X940" t="s">
        <v>3</v>
      </c>
      <c r="AA940" s="5" t="str">
        <f>HYPERLINK("https://www.zillow.com/homes/8746-CARLISLE-CT-DARIEN-IL-60561_rb/","check listing")</f>
        <v>check listing</v>
      </c>
      <c r="AB940" s="5" t="str">
        <f>HYPERLINK("https://propertylookup.dupagecounty.gov/Datalets/Datalet.aspx?UseSearch=no&amp;mode=sales&amp;pin=1004112009","sales record")</f>
        <v>sales record</v>
      </c>
      <c r="AC940" t="s">
        <v>3</v>
      </c>
      <c r="AD940">
        <v>41.727487</v>
      </c>
      <c r="AE940">
        <v>-87.99084000000001</v>
      </c>
      <c r="AF940" s="5" t="str">
        <f>HYPERLINK("https://www.google.com/maps/search/?api=1&amp;query=41.727487,-87.99084","map")</f>
        <v>map</v>
      </c>
    </row>
    <row r="941" spans="1:32">
      <c r="A941" t="s">
        <v>991</v>
      </c>
      <c r="B941" t="s">
        <v>8568</v>
      </c>
      <c r="C941" t="s">
        <v>15226</v>
      </c>
      <c r="D941" t="s">
        <v>16198</v>
      </c>
      <c r="E941" t="s">
        <v>16218</v>
      </c>
      <c r="F941" t="s">
        <v>16221</v>
      </c>
      <c r="G941" t="s">
        <v>16241</v>
      </c>
      <c r="H941" t="s">
        <v>16241</v>
      </c>
      <c r="I941" t="s">
        <v>16317</v>
      </c>
      <c r="J941" t="s">
        <v>16385</v>
      </c>
      <c r="K941">
        <v>0.36</v>
      </c>
      <c r="L941">
        <v>15695</v>
      </c>
      <c r="M941">
        <v>3532</v>
      </c>
      <c r="N941" t="s">
        <v>16393</v>
      </c>
      <c r="O941" s="4">
        <v>84767</v>
      </c>
      <c r="P941" s="4">
        <v>124991</v>
      </c>
      <c r="Q941" s="4">
        <v>209758</v>
      </c>
      <c r="R941" s="4">
        <v>629274</v>
      </c>
      <c r="S941" t="s">
        <v>17315</v>
      </c>
      <c r="X941" t="s">
        <v>3</v>
      </c>
      <c r="AA941" s="5" t="str">
        <f>HYPERLINK("https://www.zillow.com/homes/8418-CARRIAGE-GREEN-DR-DARIEN-IL-605615308_rb/","check listing")</f>
        <v>check listing</v>
      </c>
      <c r="AB941" s="5" t="str">
        <f>HYPERLINK("https://propertylookup.dupagecounty.gov/Datalets/Datalet.aspx?UseSearch=no&amp;mode=sales&amp;pin=0933301002","sales record")</f>
        <v>sales record</v>
      </c>
      <c r="AC941" t="s">
        <v>3</v>
      </c>
      <c r="AD941">
        <v>41.734292</v>
      </c>
      <c r="AE941">
        <v>-87.988229</v>
      </c>
      <c r="AF941" s="5" t="str">
        <f>HYPERLINK("https://www.google.com/maps/search/?api=1&amp;query=41.734292,-87.988229","map")</f>
        <v>map</v>
      </c>
    </row>
    <row r="942" spans="1:32">
      <c r="A942" t="s">
        <v>992</v>
      </c>
      <c r="B942" t="s">
        <v>8569</v>
      </c>
      <c r="C942" t="s">
        <v>15201</v>
      </c>
      <c r="D942" t="s">
        <v>16198</v>
      </c>
      <c r="E942" t="s">
        <v>16218</v>
      </c>
      <c r="F942" t="s">
        <v>16221</v>
      </c>
      <c r="G942" t="s">
        <v>16241</v>
      </c>
      <c r="H942" t="s">
        <v>16241</v>
      </c>
      <c r="I942" t="s">
        <v>16317</v>
      </c>
      <c r="J942" t="s">
        <v>16385</v>
      </c>
      <c r="K942">
        <v>0.359</v>
      </c>
      <c r="L942">
        <v>15651</v>
      </c>
      <c r="M942">
        <v>3705</v>
      </c>
      <c r="N942" t="s">
        <v>16393</v>
      </c>
      <c r="O942" s="4">
        <v>77972</v>
      </c>
      <c r="P942" s="4">
        <v>155591</v>
      </c>
      <c r="Q942" s="4">
        <v>233563</v>
      </c>
      <c r="R942" s="4">
        <v>700689</v>
      </c>
      <c r="S942" t="s">
        <v>17316</v>
      </c>
      <c r="T942" s="6">
        <v>36617</v>
      </c>
      <c r="U942" s="4">
        <v>430000</v>
      </c>
      <c r="V942" t="s">
        <v>23740</v>
      </c>
      <c r="W942" t="s">
        <v>24198</v>
      </c>
      <c r="X942" t="s">
        <v>3</v>
      </c>
      <c r="AA942" s="5" t="str">
        <f>HYPERLINK("https://www.zillow.com/homes/8405-CARRIAGE-GREEN-DARIEN-IL-60561_rb/","check listing")</f>
        <v>check listing</v>
      </c>
      <c r="AB942" s="5" t="str">
        <f>HYPERLINK("https://propertylookup.dupagecounty.gov/Datalets/Datalet.aspx?UseSearch=no&amp;mode=sales&amp;pin=0933302025","sales record")</f>
        <v>sales record</v>
      </c>
      <c r="AC942" t="s">
        <v>3</v>
      </c>
      <c r="AD942">
        <v>41.734795</v>
      </c>
      <c r="AE942">
        <v>-87.98736100000001</v>
      </c>
      <c r="AF942" s="5" t="str">
        <f>HYPERLINK("https://www.google.com/maps/search/?api=1&amp;query=41.734795,-87.987361","map")</f>
        <v>map</v>
      </c>
    </row>
    <row r="943" spans="1:32">
      <c r="A943" t="s">
        <v>993</v>
      </c>
      <c r="B943" t="s">
        <v>8570</v>
      </c>
      <c r="C943" t="s">
        <v>15201</v>
      </c>
      <c r="D943" t="s">
        <v>16198</v>
      </c>
      <c r="E943" t="s">
        <v>16218</v>
      </c>
      <c r="F943" t="s">
        <v>16221</v>
      </c>
      <c r="G943" t="s">
        <v>16241</v>
      </c>
      <c r="H943" t="s">
        <v>16241</v>
      </c>
      <c r="I943" t="s">
        <v>16317</v>
      </c>
      <c r="J943" t="s">
        <v>16385</v>
      </c>
      <c r="K943">
        <v>0.358</v>
      </c>
      <c r="L943">
        <v>15589</v>
      </c>
      <c r="M943">
        <v>2675</v>
      </c>
      <c r="N943" t="s">
        <v>16393</v>
      </c>
      <c r="O943" s="4">
        <v>71563</v>
      </c>
      <c r="P943" s="4">
        <v>190063</v>
      </c>
      <c r="Q943" s="4">
        <v>261626</v>
      </c>
      <c r="R943" s="4">
        <v>784878</v>
      </c>
      <c r="S943" t="s">
        <v>17317</v>
      </c>
      <c r="T943" s="6">
        <v>41487</v>
      </c>
      <c r="U943" s="4">
        <v>475000</v>
      </c>
      <c r="V943" t="s">
        <v>23739</v>
      </c>
      <c r="W943" t="s">
        <v>17317</v>
      </c>
      <c r="X943" t="s">
        <v>3</v>
      </c>
      <c r="AA943" s="5" t="str">
        <f>HYPERLINK("https://www.zillow.com/homes/8731-KENTWOOD-CT-DARIEN-IL-60561_rb/","check listing")</f>
        <v>check listing</v>
      </c>
      <c r="AB943" s="5" t="str">
        <f>HYPERLINK("https://propertylookup.dupagecounty.gov/Datalets/Datalet.aspx?UseSearch=no&amp;mode=sales&amp;pin=1004112014","sales record")</f>
        <v>sales record</v>
      </c>
      <c r="AC943" t="s">
        <v>3</v>
      </c>
      <c r="AD943">
        <v>41.728537</v>
      </c>
      <c r="AE943">
        <v>-87.991423</v>
      </c>
      <c r="AF943" s="5" t="str">
        <f>HYPERLINK("https://www.google.com/maps/search/?api=1&amp;query=41.728537,-87.991423","map")</f>
        <v>map</v>
      </c>
    </row>
    <row r="944" spans="1:32">
      <c r="A944" t="s">
        <v>994</v>
      </c>
      <c r="B944" t="s">
        <v>8571</v>
      </c>
      <c r="C944" t="s">
        <v>15201</v>
      </c>
      <c r="D944" t="s">
        <v>16198</v>
      </c>
      <c r="E944" t="s">
        <v>16218</v>
      </c>
      <c r="F944" t="s">
        <v>16221</v>
      </c>
      <c r="G944" t="s">
        <v>16241</v>
      </c>
      <c r="H944" t="s">
        <v>16241</v>
      </c>
      <c r="I944" t="s">
        <v>16317</v>
      </c>
      <c r="J944" t="s">
        <v>16385</v>
      </c>
      <c r="K944">
        <v>0.358</v>
      </c>
      <c r="L944">
        <v>15577</v>
      </c>
      <c r="M944">
        <v>3216</v>
      </c>
      <c r="N944" t="s">
        <v>16393</v>
      </c>
      <c r="O944" s="4">
        <v>79720</v>
      </c>
      <c r="P944" s="4">
        <v>116799</v>
      </c>
      <c r="Q944" s="4">
        <v>196519</v>
      </c>
      <c r="R944" s="4">
        <v>589557</v>
      </c>
      <c r="S944" t="s">
        <v>17318</v>
      </c>
      <c r="T944" s="6">
        <v>42156</v>
      </c>
      <c r="U944" s="4">
        <v>532000</v>
      </c>
      <c r="V944" t="s">
        <v>23740</v>
      </c>
      <c r="W944" t="s">
        <v>24199</v>
      </c>
      <c r="X944" t="s">
        <v>3</v>
      </c>
      <c r="AA944" s="5" t="str">
        <f>HYPERLINK("https://www.zillow.com/homes/1622-ROYAL-OAK-RD-DARIEN-IL-60561_rb/","check listing")</f>
        <v>check listing</v>
      </c>
      <c r="AB944" s="5" t="str">
        <f>HYPERLINK("https://propertylookup.dupagecounty.gov/Datalets/Datalet.aspx?UseSearch=no&amp;mode=sales&amp;pin=1004101006","sales record")</f>
        <v>sales record</v>
      </c>
      <c r="AC944" t="s">
        <v>3</v>
      </c>
      <c r="AD944">
        <v>41.728684</v>
      </c>
      <c r="AE944">
        <v>-87.98732699999999</v>
      </c>
      <c r="AF944" s="5" t="str">
        <f>HYPERLINK("https://www.google.com/maps/search/?api=1&amp;query=41.728684,-87.987327","map")</f>
        <v>map</v>
      </c>
    </row>
    <row r="945" spans="1:32">
      <c r="A945" t="s">
        <v>995</v>
      </c>
      <c r="B945" t="s">
        <v>8572</v>
      </c>
      <c r="C945" t="s">
        <v>15201</v>
      </c>
      <c r="D945" t="s">
        <v>16198</v>
      </c>
      <c r="E945" t="s">
        <v>16218</v>
      </c>
      <c r="F945" t="s">
        <v>16221</v>
      </c>
      <c r="G945" t="s">
        <v>16241</v>
      </c>
      <c r="H945" t="s">
        <v>16241</v>
      </c>
      <c r="I945" t="s">
        <v>16317</v>
      </c>
      <c r="J945" t="s">
        <v>16385</v>
      </c>
      <c r="K945">
        <v>0.357</v>
      </c>
      <c r="L945">
        <v>15567</v>
      </c>
      <c r="M945">
        <v>2902</v>
      </c>
      <c r="N945" t="s">
        <v>16393</v>
      </c>
      <c r="O945" s="4">
        <v>81399</v>
      </c>
      <c r="P945" s="4">
        <v>100390</v>
      </c>
      <c r="Q945" s="4">
        <v>181789</v>
      </c>
      <c r="R945" s="4">
        <v>545367</v>
      </c>
      <c r="S945" t="s">
        <v>17319</v>
      </c>
      <c r="X945" t="s">
        <v>3</v>
      </c>
      <c r="AA945" s="5" t="str">
        <f>HYPERLINK("https://www.zillow.com/homes/8522-CARRIAGE-GREEN-DARIEN-IL-60561_rb/","check listing")</f>
        <v>check listing</v>
      </c>
      <c r="AB945" s="5" t="str">
        <f>HYPERLINK("https://propertylookup.dupagecounty.gov/Datalets/Datalet.aspx?UseSearch=no&amp;mode=sales&amp;pin=0933301012","sales record")</f>
        <v>sales record</v>
      </c>
      <c r="AC945" t="s">
        <v>3</v>
      </c>
      <c r="AD945">
        <v>41.732319</v>
      </c>
      <c r="AE945">
        <v>-87.98687200000001</v>
      </c>
      <c r="AF945" s="5" t="str">
        <f>HYPERLINK("https://www.google.com/maps/search/?api=1&amp;query=41.732319,-87.986872","map")</f>
        <v>map</v>
      </c>
    </row>
    <row r="946" spans="1:32">
      <c r="A946" t="s">
        <v>996</v>
      </c>
      <c r="B946" t="s">
        <v>8573</v>
      </c>
      <c r="C946" t="s">
        <v>15206</v>
      </c>
      <c r="D946" t="s">
        <v>16198</v>
      </c>
      <c r="E946" t="s">
        <v>16218</v>
      </c>
      <c r="F946" t="s">
        <v>16221</v>
      </c>
      <c r="G946" t="s">
        <v>16241</v>
      </c>
      <c r="H946" t="s">
        <v>16241</v>
      </c>
      <c r="I946" t="s">
        <v>16317</v>
      </c>
      <c r="J946" t="s">
        <v>16385</v>
      </c>
      <c r="K946">
        <v>0.357</v>
      </c>
      <c r="L946">
        <v>15545</v>
      </c>
      <c r="M946">
        <v>1518</v>
      </c>
      <c r="N946" t="s">
        <v>16393</v>
      </c>
      <c r="O946" s="4">
        <v>80248</v>
      </c>
      <c r="P946" s="4">
        <v>140649</v>
      </c>
      <c r="Q946" s="4">
        <v>220897</v>
      </c>
      <c r="R946" s="4">
        <v>662691</v>
      </c>
      <c r="S946" t="s">
        <v>17320</v>
      </c>
      <c r="T946" s="6">
        <v>44136</v>
      </c>
      <c r="U946" s="4">
        <v>507500</v>
      </c>
      <c r="V946" t="s">
        <v>23739</v>
      </c>
      <c r="W946" t="s">
        <v>24200</v>
      </c>
      <c r="X946" t="s">
        <v>3</v>
      </c>
      <c r="AA946" s="5" t="str">
        <f>HYPERLINK("https://www.zillow.com/homes/8822-CARLISLE-CT-DARIEN-IL-605615374_rb/","check listing")</f>
        <v>check listing</v>
      </c>
      <c r="AB946" s="5" t="str">
        <f>HYPERLINK("https://propertylookup.dupagecounty.gov/Datalets/Datalet.aspx?UseSearch=no&amp;mode=sales&amp;pin=1004111015","sales record")</f>
        <v>sales record</v>
      </c>
      <c r="AC946" t="s">
        <v>3</v>
      </c>
      <c r="AD946">
        <v>41.725634</v>
      </c>
      <c r="AE946">
        <v>-87.992232</v>
      </c>
      <c r="AF946" s="5" t="str">
        <f>HYPERLINK("https://www.google.com/maps/search/?api=1&amp;query=41.725634,-87.992232","map")</f>
        <v>map</v>
      </c>
    </row>
    <row r="947" spans="1:32">
      <c r="A947" t="s">
        <v>997</v>
      </c>
      <c r="B947" t="s">
        <v>8574</v>
      </c>
      <c r="C947" t="s">
        <v>15201</v>
      </c>
      <c r="D947" t="s">
        <v>16198</v>
      </c>
      <c r="E947" t="s">
        <v>16218</v>
      </c>
      <c r="F947" t="s">
        <v>16221</v>
      </c>
      <c r="G947" t="s">
        <v>16241</v>
      </c>
      <c r="H947" t="s">
        <v>16241</v>
      </c>
      <c r="I947" t="s">
        <v>16317</v>
      </c>
      <c r="J947" t="s">
        <v>16385</v>
      </c>
      <c r="K947">
        <v>0.355</v>
      </c>
      <c r="L947">
        <v>15481</v>
      </c>
      <c r="M947">
        <v>4451</v>
      </c>
      <c r="N947" t="s">
        <v>16393</v>
      </c>
      <c r="O947" s="4">
        <v>78781</v>
      </c>
      <c r="P947" s="4">
        <v>229794</v>
      </c>
      <c r="Q947" s="4">
        <v>308575</v>
      </c>
      <c r="R947" s="4">
        <v>925725</v>
      </c>
      <c r="S947" t="s">
        <v>17321</v>
      </c>
      <c r="T947" s="6">
        <v>33635</v>
      </c>
      <c r="U947" s="4">
        <v>157000</v>
      </c>
      <c r="X947" t="s">
        <v>3</v>
      </c>
      <c r="AA947" s="5" t="str">
        <f>HYPERLINK("https://www.zillow.com/homes/1508-ROYAL-OAK-RD-DARIEN-IL-60561_rb/","check listing")</f>
        <v>check listing</v>
      </c>
      <c r="AB947" s="5" t="str">
        <f>HYPERLINK("https://propertylookup.dupagecounty.gov/Datalets/Datalet.aspx?UseSearch=no&amp;mode=sales&amp;pin=0933304006","sales record")</f>
        <v>sales record</v>
      </c>
      <c r="AC947" t="s">
        <v>3</v>
      </c>
      <c r="AD947">
        <v>41.730436</v>
      </c>
      <c r="AE947">
        <v>-87.985005</v>
      </c>
      <c r="AF947" s="5" t="str">
        <f>HYPERLINK("https://www.google.com/maps/search/?api=1&amp;query=41.730436,-87.985005","map")</f>
        <v>map</v>
      </c>
    </row>
    <row r="948" spans="1:32">
      <c r="A948" t="s">
        <v>998</v>
      </c>
      <c r="B948" t="s">
        <v>8575</v>
      </c>
      <c r="C948" t="s">
        <v>15224</v>
      </c>
      <c r="D948" t="s">
        <v>16198</v>
      </c>
      <c r="E948" t="s">
        <v>16218</v>
      </c>
      <c r="F948" t="s">
        <v>16221</v>
      </c>
      <c r="G948" t="s">
        <v>16241</v>
      </c>
      <c r="H948" t="s">
        <v>16241</v>
      </c>
      <c r="I948" t="s">
        <v>16317</v>
      </c>
      <c r="J948" t="s">
        <v>16385</v>
      </c>
      <c r="K948">
        <v>0.355</v>
      </c>
      <c r="L948">
        <v>15453</v>
      </c>
      <c r="M948">
        <v>2939</v>
      </c>
      <c r="N948" t="s">
        <v>16393</v>
      </c>
      <c r="O948" s="4">
        <v>87831</v>
      </c>
      <c r="P948" s="4">
        <v>112409</v>
      </c>
      <c r="Q948" s="4">
        <v>200240</v>
      </c>
      <c r="R948" s="4">
        <v>600720</v>
      </c>
      <c r="S948" t="s">
        <v>17322</v>
      </c>
      <c r="T948" s="6">
        <v>29495</v>
      </c>
      <c r="U948" s="4">
        <v>186000</v>
      </c>
      <c r="X948" t="s">
        <v>3</v>
      </c>
      <c r="AA948" s="5" t="str">
        <f>HYPERLINK("https://www.zillow.com/homes/8509-GLENEYRE-RD-DARIEN-IL-605615323_rb/","check listing")</f>
        <v>check listing</v>
      </c>
      <c r="AB948" s="5" t="str">
        <f>HYPERLINK("https://propertylookup.dupagecounty.gov/Datalets/Datalet.aspx?UseSearch=no&amp;mode=sales&amp;pin=0933306010","sales record")</f>
        <v>sales record</v>
      </c>
      <c r="AC948" t="s">
        <v>3</v>
      </c>
      <c r="AD948">
        <v>41.733128</v>
      </c>
      <c r="AE948">
        <v>-87.983739</v>
      </c>
      <c r="AF948" s="5" t="str">
        <f>HYPERLINK("https://www.google.com/maps/search/?api=1&amp;query=41.733128,-87.983739","map")</f>
        <v>map</v>
      </c>
    </row>
    <row r="949" spans="1:32">
      <c r="A949" t="s">
        <v>999</v>
      </c>
      <c r="B949" t="s">
        <v>8576</v>
      </c>
      <c r="C949" t="s">
        <v>15201</v>
      </c>
      <c r="D949" t="s">
        <v>16198</v>
      </c>
      <c r="E949" t="s">
        <v>16218</v>
      </c>
      <c r="F949" t="s">
        <v>16221</v>
      </c>
      <c r="G949" t="s">
        <v>16241</v>
      </c>
      <c r="H949" t="s">
        <v>16241</v>
      </c>
      <c r="I949" t="s">
        <v>16317</v>
      </c>
      <c r="J949" t="s">
        <v>16385</v>
      </c>
      <c r="K949">
        <v>0.355</v>
      </c>
      <c r="L949">
        <v>15452</v>
      </c>
      <c r="M949">
        <v>4571</v>
      </c>
      <c r="N949" t="s">
        <v>16393</v>
      </c>
      <c r="O949" s="4">
        <v>80295</v>
      </c>
      <c r="P949" s="4">
        <v>199852</v>
      </c>
      <c r="Q949" s="4">
        <v>280147</v>
      </c>
      <c r="R949" s="4">
        <v>840441</v>
      </c>
      <c r="S949" t="s">
        <v>17323</v>
      </c>
      <c r="T949" s="6">
        <v>31168</v>
      </c>
      <c r="U949" s="4">
        <v>265000</v>
      </c>
      <c r="X949" t="s">
        <v>3</v>
      </c>
      <c r="AA949" s="5" t="str">
        <f>HYPERLINK("https://www.zillow.com/homes/1630-ROYAL-OAK-RD-DARIEN-IL-60561_rb/","check listing")</f>
        <v>check listing</v>
      </c>
      <c r="AB949" s="5" t="str">
        <f>HYPERLINK("https://propertylookup.dupagecounty.gov/Datalets/Datalet.aspx?UseSearch=no&amp;mode=sales&amp;pin=1004101008","sales record")</f>
        <v>sales record</v>
      </c>
      <c r="AC949" t="s">
        <v>3</v>
      </c>
      <c r="AD949">
        <v>41.728171</v>
      </c>
      <c r="AE949">
        <v>-87.987374</v>
      </c>
      <c r="AF949" s="5" t="str">
        <f>HYPERLINK("https://www.google.com/maps/search/?api=1&amp;query=41.728171,-87.987374","map")</f>
        <v>map</v>
      </c>
    </row>
    <row r="950" spans="1:32">
      <c r="A950" t="s">
        <v>1000</v>
      </c>
      <c r="B950" t="s">
        <v>8577</v>
      </c>
      <c r="C950" t="s">
        <v>15227</v>
      </c>
      <c r="D950" t="s">
        <v>16198</v>
      </c>
      <c r="E950" t="s">
        <v>16218</v>
      </c>
      <c r="F950" t="s">
        <v>16221</v>
      </c>
      <c r="G950" t="s">
        <v>16241</v>
      </c>
      <c r="H950" t="s">
        <v>16241</v>
      </c>
      <c r="I950" t="s">
        <v>16317</v>
      </c>
      <c r="J950" t="s">
        <v>16385</v>
      </c>
      <c r="K950">
        <v>0.353</v>
      </c>
      <c r="L950">
        <v>15372</v>
      </c>
      <c r="M950">
        <v>2813</v>
      </c>
      <c r="N950" t="s">
        <v>16393</v>
      </c>
      <c r="O950" s="4">
        <v>70494</v>
      </c>
      <c r="P950" s="4">
        <v>135203</v>
      </c>
      <c r="Q950" s="4">
        <v>205697</v>
      </c>
      <c r="R950" s="4">
        <v>617091</v>
      </c>
      <c r="S950" t="s">
        <v>17324</v>
      </c>
      <c r="T950" s="6">
        <v>33878</v>
      </c>
      <c r="U950" s="4">
        <v>370000</v>
      </c>
      <c r="X950" t="s">
        <v>3</v>
      </c>
      <c r="AA950" s="5" t="str">
        <f>HYPERLINK("https://www.zillow.com/homes/1501-OLD-OAK-PL-DARIEN-IL-605618469_rb/","check listing")</f>
        <v>check listing</v>
      </c>
      <c r="AB950" s="5" t="str">
        <f>HYPERLINK("https://propertylookup.dupagecounty.gov/Datalets/Datalet.aspx?UseSearch=no&amp;mode=sales&amp;pin=1004103011","sales record")</f>
        <v>sales record</v>
      </c>
      <c r="AC950" t="s">
        <v>3</v>
      </c>
      <c r="AD950">
        <v>41.728911</v>
      </c>
      <c r="AE950">
        <v>-87.983419</v>
      </c>
      <c r="AF950" s="5" t="str">
        <f>HYPERLINK("https://www.google.com/maps/search/?api=1&amp;query=41.728911,-87.983419","map")</f>
        <v>map</v>
      </c>
    </row>
    <row r="951" spans="1:32">
      <c r="A951" t="s">
        <v>1001</v>
      </c>
      <c r="B951" t="s">
        <v>8578</v>
      </c>
      <c r="C951" t="s">
        <v>15228</v>
      </c>
      <c r="D951" t="s">
        <v>16198</v>
      </c>
      <c r="E951" t="s">
        <v>16218</v>
      </c>
      <c r="F951" t="s">
        <v>16221</v>
      </c>
      <c r="G951" t="s">
        <v>16241</v>
      </c>
      <c r="H951" t="s">
        <v>16241</v>
      </c>
      <c r="I951" t="s">
        <v>16317</v>
      </c>
      <c r="J951" t="s">
        <v>16385</v>
      </c>
      <c r="K951">
        <v>0.353</v>
      </c>
      <c r="L951">
        <v>15369</v>
      </c>
      <c r="M951">
        <v>3115</v>
      </c>
      <c r="N951" t="s">
        <v>16393</v>
      </c>
      <c r="O951" s="4">
        <v>78276</v>
      </c>
      <c r="P951" s="4">
        <v>197293</v>
      </c>
      <c r="Q951" s="4">
        <v>275569</v>
      </c>
      <c r="R951" s="4">
        <v>826707</v>
      </c>
      <c r="S951" t="s">
        <v>17325</v>
      </c>
      <c r="T951" s="6">
        <v>42186</v>
      </c>
      <c r="U951" s="4">
        <v>672500</v>
      </c>
      <c r="V951" t="s">
        <v>23740</v>
      </c>
      <c r="W951" t="s">
        <v>24201</v>
      </c>
      <c r="X951" t="s">
        <v>3</v>
      </c>
      <c r="AA951" s="5" t="str">
        <f>HYPERLINK("https://www.zillow.com/homes/1501-PINEHURST-DR-DARIEN-IL-605615925_rb/","check listing")</f>
        <v>check listing</v>
      </c>
      <c r="AB951" s="5" t="str">
        <f>HYPERLINK("https://propertylookup.dupagecounty.gov/Datalets/Datalet.aspx?UseSearch=no&amp;mode=sales&amp;pin=0933208015","sales record")</f>
        <v>sales record</v>
      </c>
      <c r="AC951" t="s">
        <v>3</v>
      </c>
      <c r="AD951">
        <v>41.737384</v>
      </c>
      <c r="AE951">
        <v>-87.980513</v>
      </c>
      <c r="AF951" s="5" t="str">
        <f>HYPERLINK("https://www.google.com/maps/search/?api=1&amp;query=41.737384,-87.980513","map")</f>
        <v>map</v>
      </c>
    </row>
    <row r="952" spans="1:32">
      <c r="A952" t="s">
        <v>1002</v>
      </c>
      <c r="B952" t="s">
        <v>8579</v>
      </c>
      <c r="C952" t="s">
        <v>15201</v>
      </c>
      <c r="D952" t="s">
        <v>16198</v>
      </c>
      <c r="E952" t="s">
        <v>16218</v>
      </c>
      <c r="F952" t="s">
        <v>16221</v>
      </c>
      <c r="G952" t="s">
        <v>16241</v>
      </c>
      <c r="H952" t="s">
        <v>16241</v>
      </c>
      <c r="I952" t="s">
        <v>16317</v>
      </c>
      <c r="J952" t="s">
        <v>16385</v>
      </c>
      <c r="K952">
        <v>0.353</v>
      </c>
      <c r="L952">
        <v>15360</v>
      </c>
      <c r="M952">
        <v>4009</v>
      </c>
      <c r="N952" t="s">
        <v>16393</v>
      </c>
      <c r="O952" s="4">
        <v>97514</v>
      </c>
      <c r="P952" s="4">
        <v>249032</v>
      </c>
      <c r="Q952" s="4">
        <v>346546</v>
      </c>
      <c r="R952" s="4">
        <v>1039638</v>
      </c>
      <c r="S952" t="s">
        <v>17326</v>
      </c>
      <c r="T952" s="6">
        <v>45635</v>
      </c>
      <c r="U952" s="4">
        <v>1750000</v>
      </c>
      <c r="V952" t="s">
        <v>23739</v>
      </c>
      <c r="W952" t="s">
        <v>24202</v>
      </c>
      <c r="X952" t="s">
        <v>3</v>
      </c>
      <c r="AA952" s="5" t="str">
        <f>HYPERLINK("https://www.zillow.com/homes/8400-EVERGREEN-LN-DARIEN-IL-60561_rb/","check listing")</f>
        <v>check listing</v>
      </c>
      <c r="AB952" s="5" t="str">
        <f>HYPERLINK("https://propertylookup.dupagecounty.gov/Datalets/Datalet.aspx?UseSearch=no&amp;mode=sales&amp;pin=0933406007","sales record")</f>
        <v>sales record</v>
      </c>
      <c r="AC952" t="s">
        <v>3</v>
      </c>
      <c r="AD952">
        <v>41.734971</v>
      </c>
      <c r="AE952">
        <v>-87.980992</v>
      </c>
      <c r="AF952" s="5" t="str">
        <f>HYPERLINK("https://www.google.com/maps/search/?api=1&amp;query=41.734971,-87.980992","map")</f>
        <v>map</v>
      </c>
    </row>
    <row r="953" spans="1:32">
      <c r="A953" t="s">
        <v>1003</v>
      </c>
      <c r="B953" t="s">
        <v>8580</v>
      </c>
      <c r="C953" t="s">
        <v>15201</v>
      </c>
      <c r="D953" t="s">
        <v>16198</v>
      </c>
      <c r="E953" t="s">
        <v>16218</v>
      </c>
      <c r="F953" t="s">
        <v>16221</v>
      </c>
      <c r="G953" t="s">
        <v>16241</v>
      </c>
      <c r="H953" t="s">
        <v>16241</v>
      </c>
      <c r="I953" t="s">
        <v>16317</v>
      </c>
      <c r="J953" t="s">
        <v>16385</v>
      </c>
      <c r="K953">
        <v>0.352</v>
      </c>
      <c r="L953">
        <v>15353</v>
      </c>
      <c r="M953">
        <v>3843</v>
      </c>
      <c r="N953" t="s">
        <v>16393</v>
      </c>
      <c r="O953" s="4">
        <v>91117</v>
      </c>
      <c r="P953" s="4">
        <v>153524</v>
      </c>
      <c r="Q953" s="4">
        <v>244641</v>
      </c>
      <c r="R953" s="4">
        <v>733923</v>
      </c>
      <c r="S953" t="s">
        <v>17327</v>
      </c>
      <c r="T953" s="6">
        <v>37012</v>
      </c>
      <c r="U953" s="4">
        <v>370000</v>
      </c>
      <c r="V953" t="s">
        <v>23739</v>
      </c>
      <c r="W953" t="s">
        <v>24203</v>
      </c>
      <c r="X953" t="s">
        <v>3</v>
      </c>
      <c r="AA953" s="5" t="str">
        <f>HYPERLINK("https://www.zillow.com/homes/1532-WILLOW-CREEK-LN-DARIEN-IL-60561_rb/","check listing")</f>
        <v>check listing</v>
      </c>
      <c r="AB953" s="5" t="str">
        <f>HYPERLINK("https://propertylookup.dupagecounty.gov/Datalets/Datalet.aspx?UseSearch=no&amp;mode=sales&amp;pin=0933405009","sales record")</f>
        <v>sales record</v>
      </c>
      <c r="AC953" t="s">
        <v>3</v>
      </c>
      <c r="AD953">
        <v>41.733743</v>
      </c>
      <c r="AE953">
        <v>-87.98087099999999</v>
      </c>
      <c r="AF953" s="5" t="str">
        <f>HYPERLINK("https://www.google.com/maps/search/?api=1&amp;query=41.733743,-87.980871","map")</f>
        <v>map</v>
      </c>
    </row>
    <row r="954" spans="1:32">
      <c r="A954" t="s">
        <v>1004</v>
      </c>
      <c r="B954" t="s">
        <v>8581</v>
      </c>
      <c r="C954" t="s">
        <v>15219</v>
      </c>
      <c r="D954" t="s">
        <v>16198</v>
      </c>
      <c r="E954" t="s">
        <v>16218</v>
      </c>
      <c r="F954" t="s">
        <v>16221</v>
      </c>
      <c r="G954" t="s">
        <v>16241</v>
      </c>
      <c r="H954" t="s">
        <v>16241</v>
      </c>
      <c r="I954" t="s">
        <v>16317</v>
      </c>
      <c r="J954" t="s">
        <v>16385</v>
      </c>
      <c r="K954">
        <v>0.352</v>
      </c>
      <c r="L954">
        <v>15312</v>
      </c>
      <c r="M954">
        <v>3335</v>
      </c>
      <c r="N954" t="s">
        <v>16393</v>
      </c>
      <c r="O954" s="4">
        <v>86105</v>
      </c>
      <c r="P954" s="4">
        <v>186190</v>
      </c>
      <c r="Q954" s="4">
        <v>272295</v>
      </c>
      <c r="R954" s="4">
        <v>816885</v>
      </c>
      <c r="S954" t="s">
        <v>17328</v>
      </c>
      <c r="T954" s="6">
        <v>42583</v>
      </c>
      <c r="U954" s="4">
        <v>535000</v>
      </c>
      <c r="V954" t="s">
        <v>23740</v>
      </c>
      <c r="W954" t="s">
        <v>24204</v>
      </c>
      <c r="X954" t="s">
        <v>3</v>
      </c>
      <c r="AA954" s="5" t="str">
        <f>HYPERLINK("https://www.zillow.com/homes/1504-EVERGREEN-LN-DARIEN-IL-605615395_rb/","check listing")</f>
        <v>check listing</v>
      </c>
      <c r="AB954" s="5" t="str">
        <f>HYPERLINK("https://propertylookup.dupagecounty.gov/Datalets/Datalet.aspx?UseSearch=no&amp;mode=sales&amp;pin=0933406002","sales record")</f>
        <v>sales record</v>
      </c>
      <c r="AC954" t="s">
        <v>3</v>
      </c>
      <c r="AD954">
        <v>41.736209</v>
      </c>
      <c r="AE954">
        <v>-87.978898</v>
      </c>
      <c r="AF954" s="5" t="str">
        <f>HYPERLINK("https://www.google.com/maps/search/?api=1&amp;query=41.736209,-87.978898","map")</f>
        <v>map</v>
      </c>
    </row>
    <row r="955" spans="1:32">
      <c r="A955" t="s">
        <v>1005</v>
      </c>
      <c r="B955" t="s">
        <v>8582</v>
      </c>
      <c r="C955" t="s">
        <v>15229</v>
      </c>
      <c r="D955" t="s">
        <v>16198</v>
      </c>
      <c r="E955" t="s">
        <v>16218</v>
      </c>
      <c r="F955" t="s">
        <v>16221</v>
      </c>
      <c r="G955" t="s">
        <v>16241</v>
      </c>
      <c r="H955" t="s">
        <v>16241</v>
      </c>
      <c r="I955" t="s">
        <v>16317</v>
      </c>
      <c r="J955" t="s">
        <v>16385</v>
      </c>
      <c r="K955">
        <v>0.351</v>
      </c>
      <c r="L955">
        <v>15305</v>
      </c>
      <c r="M955">
        <v>2392</v>
      </c>
      <c r="N955" t="s">
        <v>16393</v>
      </c>
      <c r="O955" s="4">
        <v>72689</v>
      </c>
      <c r="P955" s="4">
        <v>142222</v>
      </c>
      <c r="Q955" s="4">
        <v>214911</v>
      </c>
      <c r="R955" s="4">
        <v>644733</v>
      </c>
      <c r="S955" t="s">
        <v>17329</v>
      </c>
      <c r="T955" s="6">
        <v>43282</v>
      </c>
      <c r="U955" s="4">
        <v>465000</v>
      </c>
      <c r="V955" t="s">
        <v>23739</v>
      </c>
      <c r="W955" t="s">
        <v>24205</v>
      </c>
      <c r="X955" t="s">
        <v>3</v>
      </c>
      <c r="AA955" s="5" t="str">
        <f>HYPERLINK("https://www.zillow.com/homes/8204-PINE-BLUFF-CT-DARIEN-IL-605614900_rb/","check listing")</f>
        <v>check listing</v>
      </c>
      <c r="AB955" s="5" t="str">
        <f>HYPERLINK("https://propertylookup.dupagecounty.gov/Datalets/Datalet.aspx?UseSearch=no&amp;mode=sales&amp;pin=0933207029","sales record")</f>
        <v>sales record</v>
      </c>
      <c r="AC955" t="s">
        <v>3</v>
      </c>
      <c r="AD955">
        <v>41.739617</v>
      </c>
      <c r="AE955">
        <v>-87.98025699999999</v>
      </c>
      <c r="AF955" s="5" t="str">
        <f>HYPERLINK("https://www.google.com/maps/search/?api=1&amp;query=41.739617,-87.980257","map")</f>
        <v>map</v>
      </c>
    </row>
    <row r="956" spans="1:32">
      <c r="A956" t="s">
        <v>1006</v>
      </c>
      <c r="B956" t="s">
        <v>8583</v>
      </c>
      <c r="C956" t="s">
        <v>15201</v>
      </c>
      <c r="D956" t="s">
        <v>16198</v>
      </c>
      <c r="E956" t="s">
        <v>16218</v>
      </c>
      <c r="F956" t="s">
        <v>16221</v>
      </c>
      <c r="G956" t="s">
        <v>16241</v>
      </c>
      <c r="H956" t="s">
        <v>16241</v>
      </c>
      <c r="I956" t="s">
        <v>16317</v>
      </c>
      <c r="J956" t="s">
        <v>16385</v>
      </c>
      <c r="K956">
        <v>0.351</v>
      </c>
      <c r="L956">
        <v>15302</v>
      </c>
      <c r="M956">
        <v>2893</v>
      </c>
      <c r="N956" t="s">
        <v>16393</v>
      </c>
      <c r="O956" s="4">
        <v>86716</v>
      </c>
      <c r="P956" s="4">
        <v>216167</v>
      </c>
      <c r="Q956" s="4">
        <v>302883</v>
      </c>
      <c r="R956" s="4">
        <v>908649</v>
      </c>
      <c r="S956" t="s">
        <v>17330</v>
      </c>
      <c r="T956" s="6">
        <v>42186</v>
      </c>
      <c r="U956" s="4">
        <v>785000</v>
      </c>
      <c r="V956" t="s">
        <v>23740</v>
      </c>
      <c r="W956" t="s">
        <v>24206</v>
      </c>
      <c r="X956" t="s">
        <v>3</v>
      </c>
      <c r="AA956" s="5" t="str">
        <f>HYPERLINK("https://www.zillow.com/homes/1516-EVERGREEN-LN-DARIEN-IL-60561_rb/","check listing")</f>
        <v>check listing</v>
      </c>
      <c r="AB956" s="5" t="str">
        <f>HYPERLINK("https://propertylookup.dupagecounty.gov/Datalets/Datalet.aspx?UseSearch=no&amp;mode=sales&amp;pin=0933406004","sales record")</f>
        <v>sales record</v>
      </c>
      <c r="AC956" t="s">
        <v>3</v>
      </c>
      <c r="AD956">
        <v>41.736074</v>
      </c>
      <c r="AE956">
        <v>-87.97958199999999</v>
      </c>
      <c r="AF956" s="5" t="str">
        <f>HYPERLINK("https://www.google.com/maps/search/?api=1&amp;query=41.736074,-87.979582","map")</f>
        <v>map</v>
      </c>
    </row>
    <row r="957" spans="1:32">
      <c r="A957" t="s">
        <v>1007</v>
      </c>
      <c r="B957" t="s">
        <v>8584</v>
      </c>
      <c r="C957" t="s">
        <v>15201</v>
      </c>
      <c r="D957" t="s">
        <v>16198</v>
      </c>
      <c r="E957" t="s">
        <v>16218</v>
      </c>
      <c r="F957" t="s">
        <v>16221</v>
      </c>
      <c r="G957" t="s">
        <v>16241</v>
      </c>
      <c r="H957" t="s">
        <v>16241</v>
      </c>
      <c r="I957" t="s">
        <v>16317</v>
      </c>
      <c r="J957" t="s">
        <v>16385</v>
      </c>
      <c r="K957">
        <v>0.351</v>
      </c>
      <c r="L957">
        <v>15289</v>
      </c>
      <c r="M957">
        <v>2957</v>
      </c>
      <c r="N957" t="s">
        <v>16393</v>
      </c>
      <c r="O957" s="4">
        <v>85882</v>
      </c>
      <c r="P957" s="4">
        <v>170709</v>
      </c>
      <c r="Q957" s="4">
        <v>256591</v>
      </c>
      <c r="R957" s="4">
        <v>769773</v>
      </c>
      <c r="S957" t="s">
        <v>17331</v>
      </c>
      <c r="T957" s="6">
        <v>36434</v>
      </c>
      <c r="U957" s="4">
        <v>545000</v>
      </c>
      <c r="X957" t="s">
        <v>3</v>
      </c>
      <c r="AA957" s="5" t="str">
        <f>HYPERLINK("https://www.zillow.com/homes/1512-EVERGREEN-LN-DARIEN-IL-60561_rb/","check listing")</f>
        <v>check listing</v>
      </c>
      <c r="AB957" s="5" t="str">
        <f>HYPERLINK("https://propertylookup.dupagecounty.gov/Datalets/Datalet.aspx?UseSearch=no&amp;mode=sales&amp;pin=0933406003","sales record")</f>
        <v>sales record</v>
      </c>
      <c r="AC957" t="s">
        <v>3</v>
      </c>
      <c r="AD957">
        <v>41.736145</v>
      </c>
      <c r="AE957">
        <v>-87.97923299999999</v>
      </c>
      <c r="AF957" s="5" t="str">
        <f>HYPERLINK("https://www.google.com/maps/search/?api=1&amp;query=41.736145,-87.979233","map")</f>
        <v>map</v>
      </c>
    </row>
    <row r="958" spans="1:32">
      <c r="A958" t="s">
        <v>1008</v>
      </c>
      <c r="B958" t="s">
        <v>8585</v>
      </c>
      <c r="C958" t="s">
        <v>15201</v>
      </c>
      <c r="D958" t="s">
        <v>16198</v>
      </c>
      <c r="E958" t="s">
        <v>16218</v>
      </c>
      <c r="F958" t="s">
        <v>16221</v>
      </c>
      <c r="G958" t="s">
        <v>16241</v>
      </c>
      <c r="H958" t="s">
        <v>16241</v>
      </c>
      <c r="I958" t="s">
        <v>16317</v>
      </c>
      <c r="J958" t="s">
        <v>16385</v>
      </c>
      <c r="K958">
        <v>0.351</v>
      </c>
      <c r="L958">
        <v>15280</v>
      </c>
      <c r="M958">
        <v>4121</v>
      </c>
      <c r="N958" t="s">
        <v>16393</v>
      </c>
      <c r="O958" s="4">
        <v>76539</v>
      </c>
      <c r="P958" s="4">
        <v>110507</v>
      </c>
      <c r="Q958" s="4">
        <v>187046</v>
      </c>
      <c r="R958" s="4">
        <v>561138</v>
      </c>
      <c r="S958" t="s">
        <v>17332</v>
      </c>
      <c r="X958" t="s">
        <v>3</v>
      </c>
      <c r="AA958" s="5" t="str">
        <f>HYPERLINK("https://www.zillow.com/homes/1614-LAUREL-LN-DARIEN-IL-60561_rb/","check listing")</f>
        <v>check listing</v>
      </c>
      <c r="AB958" s="5" t="str">
        <f>HYPERLINK("https://propertylookup.dupagecounty.gov/Datalets/Datalet.aspx?UseSearch=no&amp;mode=sales&amp;pin=0933302016","sales record")</f>
        <v>sales record</v>
      </c>
      <c r="AC958" t="s">
        <v>3</v>
      </c>
      <c r="AD958">
        <v>41.733672</v>
      </c>
      <c r="AE958">
        <v>-87.985812</v>
      </c>
      <c r="AF958" s="5" t="str">
        <f>HYPERLINK("https://www.google.com/maps/search/?api=1&amp;query=41.733672,-87.985812","map")</f>
        <v>map</v>
      </c>
    </row>
    <row r="959" spans="1:32">
      <c r="A959" t="s">
        <v>1009</v>
      </c>
      <c r="B959" t="s">
        <v>8586</v>
      </c>
      <c r="C959" t="s">
        <v>15201</v>
      </c>
      <c r="D959" t="s">
        <v>16198</v>
      </c>
      <c r="E959" t="s">
        <v>16218</v>
      </c>
      <c r="F959" t="s">
        <v>16221</v>
      </c>
      <c r="G959" t="s">
        <v>16241</v>
      </c>
      <c r="H959" t="s">
        <v>16241</v>
      </c>
      <c r="I959" t="s">
        <v>16317</v>
      </c>
      <c r="J959" t="s">
        <v>16385</v>
      </c>
      <c r="K959">
        <v>0.349</v>
      </c>
      <c r="L959">
        <v>15213</v>
      </c>
      <c r="M959">
        <v>4154</v>
      </c>
      <c r="N959" t="s">
        <v>16393</v>
      </c>
      <c r="O959" s="4">
        <v>86774</v>
      </c>
      <c r="P959" s="4">
        <v>216566</v>
      </c>
      <c r="Q959" s="4">
        <v>303340</v>
      </c>
      <c r="R959" s="4">
        <v>910020</v>
      </c>
      <c r="S959" t="s">
        <v>17333</v>
      </c>
      <c r="X959" t="s">
        <v>3</v>
      </c>
      <c r="AA959" s="5" t="str">
        <f>HYPERLINK("https://www.zillow.com/homes/1524-EVERGREEN-LN-DARIEN-IL-60561_rb/","check listing")</f>
        <v>check listing</v>
      </c>
      <c r="AB959" s="5" t="str">
        <f>HYPERLINK("https://propertylookup.dupagecounty.gov/Datalets/Datalet.aspx?UseSearch=no&amp;mode=sales&amp;pin=0933406006","sales record")</f>
        <v>sales record</v>
      </c>
      <c r="AC959" t="s">
        <v>3</v>
      </c>
      <c r="AD959">
        <v>41.735782</v>
      </c>
      <c r="AE959">
        <v>-87.980194</v>
      </c>
      <c r="AF959" s="5" t="str">
        <f>HYPERLINK("https://www.google.com/maps/search/?api=1&amp;query=41.735782,-87.980194","map")</f>
        <v>map</v>
      </c>
    </row>
    <row r="960" spans="1:32">
      <c r="A960" t="s">
        <v>1010</v>
      </c>
      <c r="B960" t="s">
        <v>8587</v>
      </c>
      <c r="C960" t="s">
        <v>15230</v>
      </c>
      <c r="D960" t="s">
        <v>16198</v>
      </c>
      <c r="E960" t="s">
        <v>16218</v>
      </c>
      <c r="F960" t="s">
        <v>16221</v>
      </c>
      <c r="G960" t="s">
        <v>16241</v>
      </c>
      <c r="H960" t="s">
        <v>16241</v>
      </c>
      <c r="I960" t="s">
        <v>16317</v>
      </c>
      <c r="J960" t="s">
        <v>16385</v>
      </c>
      <c r="K960">
        <v>0.349</v>
      </c>
      <c r="L960">
        <v>15202</v>
      </c>
      <c r="M960">
        <v>3299</v>
      </c>
      <c r="N960" t="s">
        <v>16393</v>
      </c>
      <c r="O960" s="4">
        <v>72020</v>
      </c>
      <c r="P960" s="4">
        <v>224993</v>
      </c>
      <c r="Q960" s="4">
        <v>297013</v>
      </c>
      <c r="R960" s="4">
        <v>891039</v>
      </c>
      <c r="S960" t="s">
        <v>17334</v>
      </c>
      <c r="T960" s="6">
        <v>44256</v>
      </c>
      <c r="U960" s="4">
        <v>655000</v>
      </c>
      <c r="V960" t="s">
        <v>23739</v>
      </c>
      <c r="W960" t="s">
        <v>24207</v>
      </c>
      <c r="X960" t="s">
        <v>3</v>
      </c>
      <c r="AA960" s="5" t="str">
        <f>HYPERLINK("https://www.zillow.com/homes/8805-CARLISLE-CT-DARIEN-IL-605615375_rb/","check listing")</f>
        <v>check listing</v>
      </c>
      <c r="AB960" s="5" t="str">
        <f>HYPERLINK("https://propertylookup.dupagecounty.gov/Datalets/Datalet.aspx?UseSearch=no&amp;mode=sales&amp;pin=1004100017","sales record")</f>
        <v>sales record</v>
      </c>
      <c r="AC960" t="s">
        <v>3</v>
      </c>
      <c r="AD960">
        <v>41.726569</v>
      </c>
      <c r="AE960">
        <v>-87.990509</v>
      </c>
      <c r="AF960" s="5" t="str">
        <f>HYPERLINK("https://www.google.com/maps/search/?api=1&amp;query=41.726569,-87.990509","map")</f>
        <v>map</v>
      </c>
    </row>
    <row r="961" spans="1:32">
      <c r="A961" t="s">
        <v>1011</v>
      </c>
      <c r="B961" t="s">
        <v>8588</v>
      </c>
      <c r="C961" t="s">
        <v>15201</v>
      </c>
      <c r="D961" t="s">
        <v>16198</v>
      </c>
      <c r="E961" t="s">
        <v>16218</v>
      </c>
      <c r="F961" t="s">
        <v>16221</v>
      </c>
      <c r="G961" t="s">
        <v>16241</v>
      </c>
      <c r="H961" t="s">
        <v>16241</v>
      </c>
      <c r="I961" t="s">
        <v>16317</v>
      </c>
      <c r="J961" t="s">
        <v>16385</v>
      </c>
      <c r="K961">
        <v>0.349</v>
      </c>
      <c r="L961">
        <v>15200</v>
      </c>
      <c r="M961">
        <v>2327</v>
      </c>
      <c r="N961" t="s">
        <v>16393</v>
      </c>
      <c r="O961" s="4">
        <v>72020</v>
      </c>
      <c r="P961" s="4">
        <v>141188</v>
      </c>
      <c r="Q961" s="4">
        <v>213208</v>
      </c>
      <c r="R961" s="4">
        <v>639624</v>
      </c>
      <c r="S961" t="s">
        <v>17335</v>
      </c>
      <c r="T961" s="6">
        <v>36982</v>
      </c>
      <c r="U961" s="4">
        <v>422000</v>
      </c>
      <c r="V961" t="s">
        <v>23739</v>
      </c>
      <c r="W961" t="s">
        <v>24208</v>
      </c>
      <c r="X961" t="s">
        <v>3</v>
      </c>
      <c r="AA961" s="5" t="str">
        <f>HYPERLINK("https://www.zillow.com/homes/8759-CARLISLE-CT-DARIEN-IL-60561_rb/","check listing")</f>
        <v>check listing</v>
      </c>
      <c r="AB961" s="5" t="str">
        <f>HYPERLINK("https://propertylookup.dupagecounty.gov/Datalets/Datalet.aspx?UseSearch=no&amp;mode=sales&amp;pin=1004100014","sales record")</f>
        <v>sales record</v>
      </c>
      <c r="AC961" t="s">
        <v>3</v>
      </c>
      <c r="AD961">
        <v>41.727285</v>
      </c>
      <c r="AE961">
        <v>-87.99008600000001</v>
      </c>
      <c r="AF961" s="5" t="str">
        <f>HYPERLINK("https://www.google.com/maps/search/?api=1&amp;query=41.727285,-87.990086","map")</f>
        <v>map</v>
      </c>
    </row>
    <row r="962" spans="1:32">
      <c r="A962" t="s">
        <v>1012</v>
      </c>
      <c r="B962" t="s">
        <v>8589</v>
      </c>
      <c r="C962" t="s">
        <v>15230</v>
      </c>
      <c r="D962" t="s">
        <v>16198</v>
      </c>
      <c r="E962" t="s">
        <v>16218</v>
      </c>
      <c r="F962" t="s">
        <v>16221</v>
      </c>
      <c r="G962" t="s">
        <v>16241</v>
      </c>
      <c r="H962" t="s">
        <v>16241</v>
      </c>
      <c r="I962" t="s">
        <v>16317</v>
      </c>
      <c r="J962" t="s">
        <v>16385</v>
      </c>
      <c r="K962">
        <v>0.349</v>
      </c>
      <c r="L962">
        <v>15200</v>
      </c>
      <c r="M962">
        <v>3505</v>
      </c>
      <c r="N962" t="s">
        <v>16393</v>
      </c>
      <c r="O962" s="4">
        <v>72020</v>
      </c>
      <c r="P962" s="4">
        <v>194300</v>
      </c>
      <c r="Q962" s="4">
        <v>266320</v>
      </c>
      <c r="R962" s="4">
        <v>798960</v>
      </c>
      <c r="S962" t="s">
        <v>17336</v>
      </c>
      <c r="T962" s="6">
        <v>32051</v>
      </c>
      <c r="U962" s="4">
        <v>80000</v>
      </c>
      <c r="X962" t="s">
        <v>3</v>
      </c>
      <c r="AA962" s="5" t="str">
        <f>HYPERLINK("https://www.zillow.com/homes/8801-CARLISLE-CT-DARIEN-IL-605615375_rb/","check listing")</f>
        <v>check listing</v>
      </c>
      <c r="AB962" s="5" t="str">
        <f>HYPERLINK("https://propertylookup.dupagecounty.gov/Datalets/Datalet.aspx?UseSearch=no&amp;mode=sales&amp;pin=1004100016","sales record")</f>
        <v>sales record</v>
      </c>
      <c r="AC962" t="s">
        <v>3</v>
      </c>
      <c r="AD962">
        <v>41.726808</v>
      </c>
      <c r="AE962">
        <v>-87.990368</v>
      </c>
      <c r="AF962" s="5" t="str">
        <f>HYPERLINK("https://www.google.com/maps/search/?api=1&amp;query=41.726808,-87.990368","map")</f>
        <v>map</v>
      </c>
    </row>
    <row r="963" spans="1:32">
      <c r="A963" t="s">
        <v>1013</v>
      </c>
      <c r="B963" t="s">
        <v>8590</v>
      </c>
      <c r="C963" t="s">
        <v>15230</v>
      </c>
      <c r="D963" t="s">
        <v>16198</v>
      </c>
      <c r="E963" t="s">
        <v>16218</v>
      </c>
      <c r="F963" t="s">
        <v>16221</v>
      </c>
      <c r="G963" t="s">
        <v>16241</v>
      </c>
      <c r="H963" t="s">
        <v>16241</v>
      </c>
      <c r="I963" t="s">
        <v>16317</v>
      </c>
      <c r="J963" t="s">
        <v>16385</v>
      </c>
      <c r="K963">
        <v>0.349</v>
      </c>
      <c r="L963">
        <v>15200</v>
      </c>
      <c r="M963">
        <v>2291</v>
      </c>
      <c r="N963" t="s">
        <v>16393</v>
      </c>
      <c r="O963" s="4">
        <v>72020</v>
      </c>
      <c r="P963" s="4">
        <v>181589</v>
      </c>
      <c r="Q963" s="4">
        <v>253609</v>
      </c>
      <c r="R963" s="4">
        <v>760827</v>
      </c>
      <c r="S963" t="s">
        <v>17337</v>
      </c>
      <c r="T963" s="6">
        <v>44256</v>
      </c>
      <c r="U963" s="4">
        <v>630000</v>
      </c>
      <c r="V963" t="s">
        <v>23739</v>
      </c>
      <c r="W963" t="s">
        <v>17337</v>
      </c>
      <c r="X963" t="s">
        <v>3</v>
      </c>
      <c r="AA963" s="5" t="str">
        <f>HYPERLINK("https://www.zillow.com/homes/8809-CARLISLE-CT-DARIEN-IL-605615375_rb/","check listing")</f>
        <v>check listing</v>
      </c>
      <c r="AB963" s="5" t="str">
        <f>HYPERLINK("https://propertylookup.dupagecounty.gov/Datalets/Datalet.aspx?UseSearch=no&amp;mode=sales&amp;pin=1004100018","sales record")</f>
        <v>sales record</v>
      </c>
      <c r="AC963" t="s">
        <v>3</v>
      </c>
      <c r="AD963">
        <v>41.726331</v>
      </c>
      <c r="AE963">
        <v>-87.990649</v>
      </c>
      <c r="AF963" s="5" t="str">
        <f>HYPERLINK("https://www.google.com/maps/search/?api=1&amp;query=41.726331,-87.990649","map")</f>
        <v>map</v>
      </c>
    </row>
    <row r="964" spans="1:32">
      <c r="A964" t="s">
        <v>1014</v>
      </c>
      <c r="B964" t="s">
        <v>8591</v>
      </c>
      <c r="C964" t="s">
        <v>15208</v>
      </c>
      <c r="D964" t="s">
        <v>16198</v>
      </c>
      <c r="E964" t="s">
        <v>16218</v>
      </c>
      <c r="F964" t="s">
        <v>16221</v>
      </c>
      <c r="G964" t="s">
        <v>16241</v>
      </c>
      <c r="H964" t="s">
        <v>16241</v>
      </c>
      <c r="I964" t="s">
        <v>16317</v>
      </c>
      <c r="J964" t="s">
        <v>16385</v>
      </c>
      <c r="K964">
        <v>0.349</v>
      </c>
      <c r="L964">
        <v>15200</v>
      </c>
      <c r="M964">
        <v>2156</v>
      </c>
      <c r="N964" t="s">
        <v>16393</v>
      </c>
      <c r="O964" s="4">
        <v>72020</v>
      </c>
      <c r="P964" s="4">
        <v>172622</v>
      </c>
      <c r="Q964" s="4">
        <v>244642</v>
      </c>
      <c r="R964" s="4">
        <v>733926</v>
      </c>
      <c r="S964" t="s">
        <v>17338</v>
      </c>
      <c r="T964" s="6">
        <v>44317</v>
      </c>
      <c r="U964" s="4">
        <v>525000</v>
      </c>
      <c r="V964" t="s">
        <v>23740</v>
      </c>
      <c r="W964" t="s">
        <v>24209</v>
      </c>
      <c r="X964" t="s">
        <v>3</v>
      </c>
      <c r="AA964" s="5" t="str">
        <f>HYPERLINK("https://www.zillow.com/homes/8763-CARLISLE-CT-DARIEN-IL-605615373_rb/","check listing")</f>
        <v>check listing</v>
      </c>
      <c r="AB964" s="5" t="str">
        <f>HYPERLINK("https://propertylookup.dupagecounty.gov/Datalets/Datalet.aspx?UseSearch=no&amp;mode=sales&amp;pin=1004100015","sales record")</f>
        <v>sales record</v>
      </c>
      <c r="AC964" t="s">
        <v>3</v>
      </c>
      <c r="AD964">
        <v>41.727046</v>
      </c>
      <c r="AE964">
        <v>-87.990227</v>
      </c>
      <c r="AF964" s="5" t="str">
        <f>HYPERLINK("https://www.google.com/maps/search/?api=1&amp;query=41.727046,-87.990227","map")</f>
        <v>map</v>
      </c>
    </row>
    <row r="965" spans="1:32">
      <c r="A965" t="s">
        <v>1015</v>
      </c>
      <c r="B965" t="s">
        <v>8592</v>
      </c>
      <c r="C965" t="s">
        <v>15201</v>
      </c>
      <c r="D965" t="s">
        <v>16198</v>
      </c>
      <c r="E965" t="s">
        <v>16218</v>
      </c>
      <c r="F965" t="s">
        <v>16221</v>
      </c>
      <c r="G965" t="s">
        <v>16241</v>
      </c>
      <c r="H965" t="s">
        <v>16241</v>
      </c>
      <c r="I965" t="s">
        <v>16317</v>
      </c>
      <c r="J965" t="s">
        <v>16385</v>
      </c>
      <c r="K965">
        <v>0.348</v>
      </c>
      <c r="L965">
        <v>15154</v>
      </c>
      <c r="M965">
        <v>2568</v>
      </c>
      <c r="N965" t="s">
        <v>16393</v>
      </c>
      <c r="O965" s="4">
        <v>71399</v>
      </c>
      <c r="P965" s="4">
        <v>128090</v>
      </c>
      <c r="Q965" s="4">
        <v>199489</v>
      </c>
      <c r="R965" s="4">
        <v>598467</v>
      </c>
      <c r="S965" t="s">
        <v>17339</v>
      </c>
      <c r="T965" s="6">
        <v>37408</v>
      </c>
      <c r="U965" s="4">
        <v>377000</v>
      </c>
      <c r="V965" t="s">
        <v>23739</v>
      </c>
      <c r="W965" t="s">
        <v>24210</v>
      </c>
      <c r="X965" t="s">
        <v>3</v>
      </c>
      <c r="AA965" s="5" t="str">
        <f>HYPERLINK("https://www.zillow.com/homes/1921-KENTWOOD-CT-DARIEN-IL-60561_rb/","check listing")</f>
        <v>check listing</v>
      </c>
      <c r="AB965" s="5" t="str">
        <f>HYPERLINK("https://propertylookup.dupagecounty.gov/Datalets/Datalet.aspx?UseSearch=no&amp;mode=sales&amp;pin=1004111010","sales record")</f>
        <v>sales record</v>
      </c>
      <c r="AC965" t="s">
        <v>3</v>
      </c>
      <c r="AD965">
        <v>41.726598</v>
      </c>
      <c r="AE965">
        <v>-87.991727</v>
      </c>
      <c r="AF965" s="5" t="str">
        <f>HYPERLINK("https://www.google.com/maps/search/?api=1&amp;query=41.726598,-87.991727","map")</f>
        <v>map</v>
      </c>
    </row>
    <row r="966" spans="1:32">
      <c r="A966" t="s">
        <v>1016</v>
      </c>
      <c r="B966" t="s">
        <v>8593</v>
      </c>
      <c r="C966" t="s">
        <v>15201</v>
      </c>
      <c r="D966" t="s">
        <v>16198</v>
      </c>
      <c r="E966" t="s">
        <v>16218</v>
      </c>
      <c r="F966" t="s">
        <v>16221</v>
      </c>
      <c r="G966" t="s">
        <v>16241</v>
      </c>
      <c r="H966" t="s">
        <v>16241</v>
      </c>
      <c r="I966" t="s">
        <v>16317</v>
      </c>
      <c r="J966" t="s">
        <v>16385</v>
      </c>
      <c r="K966">
        <v>0.348</v>
      </c>
      <c r="L966">
        <v>15138</v>
      </c>
      <c r="M966">
        <v>2942</v>
      </c>
      <c r="N966" t="s">
        <v>16393</v>
      </c>
      <c r="O966" s="4">
        <v>73382</v>
      </c>
      <c r="P966" s="4">
        <v>109087</v>
      </c>
      <c r="Q966" s="4">
        <v>182469</v>
      </c>
      <c r="R966" s="4">
        <v>547407</v>
      </c>
      <c r="S966" t="s">
        <v>17340</v>
      </c>
      <c r="T966" s="6">
        <v>45762</v>
      </c>
      <c r="U966" s="4">
        <v>673000</v>
      </c>
      <c r="V966" t="s">
        <v>23739</v>
      </c>
      <c r="W966" t="s">
        <v>24211</v>
      </c>
      <c r="X966" t="s">
        <v>3</v>
      </c>
      <c r="AA966" s="5" t="str">
        <f>HYPERLINK("https://www.zillow.com/homes/1626-ROYAL-OAK-RD-DARIEN-IL-60561_rb/","check listing")</f>
        <v>check listing</v>
      </c>
      <c r="AB966" s="5" t="str">
        <f>HYPERLINK("https://propertylookup.dupagecounty.gov/Datalets/Datalet.aspx?UseSearch=no&amp;mode=sales&amp;pin=1004101007","sales record")</f>
        <v>sales record</v>
      </c>
      <c r="AC966" t="s">
        <v>3</v>
      </c>
      <c r="AD966">
        <v>41.728355</v>
      </c>
      <c r="AE966">
        <v>-87.987385</v>
      </c>
      <c r="AF966" s="5" t="str">
        <f>HYPERLINK("https://www.google.com/maps/search/?api=1&amp;query=41.728355,-87.987385","map")</f>
        <v>map</v>
      </c>
    </row>
    <row r="967" spans="1:32">
      <c r="A967" t="s">
        <v>1017</v>
      </c>
      <c r="B967" t="s">
        <v>8594</v>
      </c>
      <c r="C967" t="s">
        <v>15231</v>
      </c>
      <c r="D967" t="s">
        <v>16198</v>
      </c>
      <c r="E967" t="s">
        <v>16218</v>
      </c>
      <c r="F967" t="s">
        <v>16221</v>
      </c>
      <c r="G967" t="s">
        <v>16241</v>
      </c>
      <c r="H967" t="s">
        <v>16241</v>
      </c>
      <c r="I967" t="s">
        <v>16317</v>
      </c>
      <c r="J967" t="s">
        <v>16385</v>
      </c>
      <c r="K967">
        <v>0.346</v>
      </c>
      <c r="L967">
        <v>15065</v>
      </c>
      <c r="M967">
        <v>2838</v>
      </c>
      <c r="N967" t="s">
        <v>16393</v>
      </c>
      <c r="O967" s="4">
        <v>91117</v>
      </c>
      <c r="P967" s="4">
        <v>159804</v>
      </c>
      <c r="Q967" s="4">
        <v>250921</v>
      </c>
      <c r="R967" s="4">
        <v>752763</v>
      </c>
      <c r="S967" t="s">
        <v>17341</v>
      </c>
      <c r="T967" s="6">
        <v>32082</v>
      </c>
      <c r="U967" s="4">
        <v>289334</v>
      </c>
      <c r="X967" t="s">
        <v>3</v>
      </c>
      <c r="AA967" s="5" t="str">
        <f>HYPERLINK("https://www.zillow.com/homes/1529-WINTERBERRY-LN-DARIEN-IL-605615393_rb/","check listing")</f>
        <v>check listing</v>
      </c>
      <c r="AB967" s="5" t="str">
        <f>HYPERLINK("https://propertylookup.dupagecounty.gov/Datalets/Datalet.aspx?UseSearch=no&amp;mode=sales&amp;pin=0933405001","sales record")</f>
        <v>sales record</v>
      </c>
      <c r="AC967" t="s">
        <v>3</v>
      </c>
      <c r="AD967">
        <v>41.734134</v>
      </c>
      <c r="AE967">
        <v>-87.980682</v>
      </c>
      <c r="AF967" s="5" t="str">
        <f>HYPERLINK("https://www.google.com/maps/search/?api=1&amp;query=41.734134,-87.980682","map")</f>
        <v>map</v>
      </c>
    </row>
    <row r="968" spans="1:32">
      <c r="A968" t="s">
        <v>1018</v>
      </c>
      <c r="B968" t="s">
        <v>8595</v>
      </c>
      <c r="C968" t="s">
        <v>15201</v>
      </c>
      <c r="D968" t="s">
        <v>16198</v>
      </c>
      <c r="E968" t="s">
        <v>16218</v>
      </c>
      <c r="F968" t="s">
        <v>16221</v>
      </c>
      <c r="G968" t="s">
        <v>16241</v>
      </c>
      <c r="H968" t="s">
        <v>16241</v>
      </c>
      <c r="I968" t="s">
        <v>16317</v>
      </c>
      <c r="J968" t="s">
        <v>16385</v>
      </c>
      <c r="K968">
        <v>0.345</v>
      </c>
      <c r="L968">
        <v>15042</v>
      </c>
      <c r="M968">
        <v>3281</v>
      </c>
      <c r="N968" t="s">
        <v>16393</v>
      </c>
      <c r="O968" s="4">
        <v>86645</v>
      </c>
      <c r="P968" s="4">
        <v>210909</v>
      </c>
      <c r="Q968" s="4">
        <v>297554</v>
      </c>
      <c r="R968" s="4">
        <v>892662</v>
      </c>
      <c r="S968" t="s">
        <v>17342</v>
      </c>
      <c r="T968" s="6">
        <v>43586</v>
      </c>
      <c r="U968" s="4">
        <v>635000</v>
      </c>
      <c r="V968" t="s">
        <v>23739</v>
      </c>
      <c r="W968" t="s">
        <v>24212</v>
      </c>
      <c r="X968" t="s">
        <v>3</v>
      </c>
      <c r="AA968" s="5" t="str">
        <f>HYPERLINK("https://www.zillow.com/homes/1520-EVERGREEN-LN-DARIEN-IL-60561_rb/","check listing")</f>
        <v>check listing</v>
      </c>
      <c r="AB968" s="5" t="str">
        <f>HYPERLINK("https://propertylookup.dupagecounty.gov/Datalets/Datalet.aspx?UseSearch=no&amp;mode=sales&amp;pin=0933406005","sales record")</f>
        <v>sales record</v>
      </c>
      <c r="AC968" t="s">
        <v>3</v>
      </c>
      <c r="AD968">
        <v>41.735951</v>
      </c>
      <c r="AE968">
        <v>-87.97991</v>
      </c>
      <c r="AF968" s="5" t="str">
        <f>HYPERLINK("https://www.google.com/maps/search/?api=1&amp;query=41.735951,-87.97991","map")</f>
        <v>map</v>
      </c>
    </row>
    <row r="969" spans="1:32">
      <c r="A969" t="s">
        <v>1019</v>
      </c>
      <c r="B969" t="s">
        <v>8596</v>
      </c>
      <c r="C969" t="s">
        <v>15201</v>
      </c>
      <c r="D969" t="s">
        <v>16198</v>
      </c>
      <c r="E969" t="s">
        <v>16218</v>
      </c>
      <c r="F969" t="s">
        <v>16221</v>
      </c>
      <c r="G969" t="s">
        <v>16241</v>
      </c>
      <c r="H969" t="s">
        <v>16241</v>
      </c>
      <c r="I969" t="s">
        <v>16317</v>
      </c>
      <c r="J969" t="s">
        <v>16385</v>
      </c>
      <c r="K969">
        <v>0.344</v>
      </c>
      <c r="L969">
        <v>15003</v>
      </c>
      <c r="M969">
        <v>2821</v>
      </c>
      <c r="N969" t="s">
        <v>16393</v>
      </c>
      <c r="O969" s="4">
        <v>86105</v>
      </c>
      <c r="P969" s="4">
        <v>128600</v>
      </c>
      <c r="Q969" s="4">
        <v>214705</v>
      </c>
      <c r="R969" s="4">
        <v>644115</v>
      </c>
      <c r="S969" t="s">
        <v>17343</v>
      </c>
      <c r="T969" s="6">
        <v>34516</v>
      </c>
      <c r="U969" s="4">
        <v>320000</v>
      </c>
      <c r="X969" t="s">
        <v>3</v>
      </c>
      <c r="AA969" s="5" t="str">
        <f>HYPERLINK("https://www.zillow.com/homes/1509-OLD-OAK-PL-DARIEN-IL-60561_rb/","check listing")</f>
        <v>check listing</v>
      </c>
      <c r="AB969" s="5" t="str">
        <f>HYPERLINK("https://propertylookup.dupagecounty.gov/Datalets/Datalet.aspx?UseSearch=no&amp;mode=sales&amp;pin=1004103013","sales record")</f>
        <v>sales record</v>
      </c>
      <c r="AC969" t="s">
        <v>3</v>
      </c>
      <c r="AD969">
        <v>41.728633</v>
      </c>
      <c r="AE969">
        <v>-87.984064</v>
      </c>
      <c r="AF969" s="5" t="str">
        <f>HYPERLINK("https://www.google.com/maps/search/?api=1&amp;query=41.728633,-87.984064","map")</f>
        <v>map</v>
      </c>
    </row>
    <row r="970" spans="1:32">
      <c r="A970" t="s">
        <v>1020</v>
      </c>
      <c r="B970" t="s">
        <v>8597</v>
      </c>
      <c r="C970" t="s">
        <v>15201</v>
      </c>
      <c r="D970" t="s">
        <v>16198</v>
      </c>
      <c r="E970" t="s">
        <v>16218</v>
      </c>
      <c r="F970" t="s">
        <v>16221</v>
      </c>
      <c r="G970" t="s">
        <v>16241</v>
      </c>
      <c r="H970" t="s">
        <v>16241</v>
      </c>
      <c r="I970" t="s">
        <v>16317</v>
      </c>
      <c r="J970" t="s">
        <v>16385</v>
      </c>
      <c r="K970">
        <v>0.344</v>
      </c>
      <c r="L970">
        <v>15000</v>
      </c>
      <c r="M970">
        <v>2694</v>
      </c>
      <c r="N970" t="s">
        <v>16393</v>
      </c>
      <c r="O970" s="4">
        <v>74028</v>
      </c>
      <c r="P970" s="4">
        <v>162035</v>
      </c>
      <c r="Q970" s="4">
        <v>236063</v>
      </c>
      <c r="R970" s="4">
        <v>708189</v>
      </c>
      <c r="S970" t="s">
        <v>17344</v>
      </c>
      <c r="T970" s="6">
        <v>37591</v>
      </c>
      <c r="U970" s="4">
        <v>540000</v>
      </c>
      <c r="V970" t="s">
        <v>23740</v>
      </c>
      <c r="W970" t="s">
        <v>24213</v>
      </c>
      <c r="X970" t="s">
        <v>3</v>
      </c>
      <c r="AA970" s="5" t="str">
        <f>HYPERLINK("https://www.zillow.com/homes/8813-CARLISLE-CT-DARIEN-IL-60561_rb/","check listing")</f>
        <v>check listing</v>
      </c>
      <c r="AB970" s="5" t="str">
        <f>HYPERLINK("https://propertylookup.dupagecounty.gov/Datalets/Datalet.aspx?UseSearch=no&amp;mode=sales&amp;pin=1004100019","sales record")</f>
        <v>sales record</v>
      </c>
      <c r="AC970" t="s">
        <v>3</v>
      </c>
      <c r="AD970">
        <v>41.726096</v>
      </c>
      <c r="AE970">
        <v>-87.990747</v>
      </c>
      <c r="AF970" s="5" t="str">
        <f>HYPERLINK("https://www.google.com/maps/search/?api=1&amp;query=41.726096,-87.990747","map")</f>
        <v>map</v>
      </c>
    </row>
    <row r="971" spans="1:32">
      <c r="A971" t="s">
        <v>1021</v>
      </c>
      <c r="B971" t="s">
        <v>8598</v>
      </c>
      <c r="C971" t="s">
        <v>15201</v>
      </c>
      <c r="D971" t="s">
        <v>16198</v>
      </c>
      <c r="E971" t="s">
        <v>16218</v>
      </c>
      <c r="F971" t="s">
        <v>16221</v>
      </c>
      <c r="G971" t="s">
        <v>16241</v>
      </c>
      <c r="H971" t="s">
        <v>16241</v>
      </c>
      <c r="I971" t="s">
        <v>16317</v>
      </c>
      <c r="J971" t="s">
        <v>16385</v>
      </c>
      <c r="K971">
        <v>0.343</v>
      </c>
      <c r="L971">
        <v>14938</v>
      </c>
      <c r="M971">
        <v>2782</v>
      </c>
      <c r="N971" t="s">
        <v>16393</v>
      </c>
      <c r="O971" s="4">
        <v>85906</v>
      </c>
      <c r="P971" s="4">
        <v>164946</v>
      </c>
      <c r="Q971" s="4">
        <v>250852</v>
      </c>
      <c r="R971" s="4">
        <v>752556</v>
      </c>
      <c r="S971" t="s">
        <v>17345</v>
      </c>
      <c r="T971" s="6">
        <v>42522</v>
      </c>
      <c r="U971" s="4">
        <v>388500</v>
      </c>
      <c r="V971" t="s">
        <v>16232</v>
      </c>
      <c r="W971" t="s">
        <v>17345</v>
      </c>
      <c r="X971" t="s">
        <v>3</v>
      </c>
      <c r="AA971" s="5" t="str">
        <f>HYPERLINK("https://www.zillow.com/homes/8737-CARRIAGE-GREEN-DARIEN-IL-60561_rb/","check listing")</f>
        <v>check listing</v>
      </c>
      <c r="AB971" s="5" t="str">
        <f>HYPERLINK("https://propertylookup.dupagecounty.gov/Datalets/Datalet.aspx?UseSearch=no&amp;mode=sales&amp;pin=1004103007","sales record")</f>
        <v>sales record</v>
      </c>
      <c r="AC971" t="s">
        <v>3</v>
      </c>
      <c r="AD971">
        <v>41.729094</v>
      </c>
      <c r="AE971">
        <v>-87.98441699999999</v>
      </c>
      <c r="AF971" s="5" t="str">
        <f>HYPERLINK("https://www.google.com/maps/search/?api=1&amp;query=41.729094,-87.984417","map")</f>
        <v>map</v>
      </c>
    </row>
    <row r="972" spans="1:32">
      <c r="A972" t="s">
        <v>1022</v>
      </c>
      <c r="B972" t="s">
        <v>8599</v>
      </c>
      <c r="C972" t="s">
        <v>15201</v>
      </c>
      <c r="D972" t="s">
        <v>16198</v>
      </c>
      <c r="E972" t="s">
        <v>16218</v>
      </c>
      <c r="F972" t="s">
        <v>16221</v>
      </c>
      <c r="G972" t="s">
        <v>16241</v>
      </c>
      <c r="H972" t="s">
        <v>16241</v>
      </c>
      <c r="I972" t="s">
        <v>16317</v>
      </c>
      <c r="J972" t="s">
        <v>16385</v>
      </c>
      <c r="K972">
        <v>0.343</v>
      </c>
      <c r="L972">
        <v>14930</v>
      </c>
      <c r="M972">
        <v>4331</v>
      </c>
      <c r="N972" t="s">
        <v>16393</v>
      </c>
      <c r="O972" s="4">
        <v>78746</v>
      </c>
      <c r="P972" s="4">
        <v>170215</v>
      </c>
      <c r="Q972" s="4">
        <v>248961</v>
      </c>
      <c r="R972" s="4">
        <v>746883</v>
      </c>
      <c r="S972" t="s">
        <v>17346</v>
      </c>
      <c r="T972" s="6">
        <v>39965</v>
      </c>
      <c r="U972" s="4">
        <v>450000</v>
      </c>
      <c r="V972" t="s">
        <v>16232</v>
      </c>
      <c r="W972" t="s">
        <v>24214</v>
      </c>
      <c r="X972" t="s">
        <v>3</v>
      </c>
      <c r="AA972" s="5" t="str">
        <f>HYPERLINK("https://www.zillow.com/homes/8406-CARRIAGE-GREEN-DARIEN-IL-60561_rb/","check listing")</f>
        <v>check listing</v>
      </c>
      <c r="AB972" s="5" t="str">
        <f>HYPERLINK("https://propertylookup.dupagecounty.gov/Datalets/Datalet.aspx?UseSearch=no&amp;mode=sales&amp;pin=0933301016","sales record")</f>
        <v>sales record</v>
      </c>
      <c r="AC972" t="s">
        <v>3</v>
      </c>
      <c r="AD972">
        <v>41.735043</v>
      </c>
      <c r="AE972">
        <v>-87.988062</v>
      </c>
      <c r="AF972" s="5" t="str">
        <f>HYPERLINK("https://www.google.com/maps/search/?api=1&amp;query=41.735043,-87.988062","map")</f>
        <v>map</v>
      </c>
    </row>
    <row r="973" spans="1:32">
      <c r="A973" t="s">
        <v>1023</v>
      </c>
      <c r="B973" t="s">
        <v>8600</v>
      </c>
      <c r="C973" t="s">
        <v>15232</v>
      </c>
      <c r="D973" t="s">
        <v>16198</v>
      </c>
      <c r="E973" t="s">
        <v>16218</v>
      </c>
      <c r="F973" t="s">
        <v>16221</v>
      </c>
      <c r="G973" t="s">
        <v>16241</v>
      </c>
      <c r="H973" t="s">
        <v>16241</v>
      </c>
      <c r="I973" t="s">
        <v>16317</v>
      </c>
      <c r="J973" t="s">
        <v>16385</v>
      </c>
      <c r="K973">
        <v>0.343</v>
      </c>
      <c r="L973">
        <v>14923</v>
      </c>
      <c r="M973">
        <v>4044</v>
      </c>
      <c r="N973" t="s">
        <v>16393</v>
      </c>
      <c r="O973" s="4">
        <v>94216</v>
      </c>
      <c r="P973" s="4">
        <v>142644</v>
      </c>
      <c r="Q973" s="4">
        <v>236860</v>
      </c>
      <c r="R973" s="4">
        <v>710580</v>
      </c>
      <c r="S973" t="s">
        <v>17347</v>
      </c>
      <c r="T973" s="6">
        <v>45600</v>
      </c>
      <c r="U973" s="4">
        <v>655000</v>
      </c>
      <c r="V973" t="s">
        <v>23741</v>
      </c>
      <c r="W973" t="s">
        <v>24215</v>
      </c>
      <c r="X973" t="s">
        <v>3</v>
      </c>
      <c r="AA973" s="5" t="str">
        <f>HYPERLINK("https://www.zillow.com/homes/1601-COACHMANS-RD-DARIEN-IL-605615318_rb/","check listing")</f>
        <v>check listing</v>
      </c>
      <c r="AB973" s="5" t="str">
        <f>HYPERLINK("https://propertylookup.dupagecounty.gov/Datalets/Datalet.aspx?UseSearch=no&amp;mode=sales&amp;pin=0933303010","sales record")</f>
        <v>sales record</v>
      </c>
      <c r="AC973" t="s">
        <v>3</v>
      </c>
      <c r="AD973">
        <v>41.732434</v>
      </c>
      <c r="AE973">
        <v>-87.98349899999999</v>
      </c>
      <c r="AF973" s="5" t="str">
        <f>HYPERLINK("https://www.google.com/maps/search/?api=1&amp;query=41.732434,-87.983499","map")</f>
        <v>map</v>
      </c>
    </row>
    <row r="974" spans="1:32">
      <c r="A974" t="s">
        <v>1024</v>
      </c>
      <c r="B974" t="s">
        <v>8601</v>
      </c>
      <c r="C974" t="s">
        <v>15201</v>
      </c>
      <c r="D974" t="s">
        <v>16198</v>
      </c>
      <c r="E974" t="s">
        <v>16218</v>
      </c>
      <c r="F974" t="s">
        <v>16221</v>
      </c>
      <c r="G974" t="s">
        <v>16241</v>
      </c>
      <c r="H974" t="s">
        <v>16241</v>
      </c>
      <c r="I974" t="s">
        <v>16317</v>
      </c>
      <c r="J974" t="s">
        <v>16385</v>
      </c>
      <c r="K974">
        <v>0.342</v>
      </c>
      <c r="L974">
        <v>14900</v>
      </c>
      <c r="M974">
        <v>1586</v>
      </c>
      <c r="N974" t="s">
        <v>16393</v>
      </c>
      <c r="O974" s="4">
        <v>76844</v>
      </c>
      <c r="P974" s="4">
        <v>118606</v>
      </c>
      <c r="Q974" s="4">
        <v>195450</v>
      </c>
      <c r="R974" s="4">
        <v>586350</v>
      </c>
      <c r="S974" t="s">
        <v>17348</v>
      </c>
      <c r="T974" s="6">
        <v>46101</v>
      </c>
      <c r="U974" s="4">
        <v>690000</v>
      </c>
      <c r="V974" t="s">
        <v>23741</v>
      </c>
      <c r="W974" t="s">
        <v>24216</v>
      </c>
      <c r="X974" t="s">
        <v>3</v>
      </c>
      <c r="AA974" s="5" t="str">
        <f>HYPERLINK("https://www.zillow.com/homes/1518-PINE-VIEW-CT-DARIEN-IL-60561_rb/","check listing")</f>
        <v>check listing</v>
      </c>
      <c r="AB974" s="5" t="str">
        <f>HYPERLINK("https://propertylookup.dupagecounty.gov/Datalets/Datalet.aspx?UseSearch=no&amp;mode=sales&amp;pin=0933207003","sales record")</f>
        <v>sales record</v>
      </c>
      <c r="AC974" t="s">
        <v>3</v>
      </c>
      <c r="AD974">
        <v>41.738855</v>
      </c>
      <c r="AE974">
        <v>-87.981697</v>
      </c>
      <c r="AF974" s="5" t="str">
        <f>HYPERLINK("https://www.google.com/maps/search/?api=1&amp;query=41.738855,-87.981697","map")</f>
        <v>map</v>
      </c>
    </row>
    <row r="975" spans="1:32">
      <c r="A975" t="s">
        <v>1025</v>
      </c>
      <c r="B975" t="s">
        <v>8602</v>
      </c>
      <c r="C975" t="s">
        <v>15220</v>
      </c>
      <c r="D975" t="s">
        <v>16198</v>
      </c>
      <c r="E975" t="s">
        <v>16218</v>
      </c>
      <c r="F975" t="s">
        <v>16221</v>
      </c>
      <c r="G975" t="s">
        <v>16241</v>
      </c>
      <c r="H975" t="s">
        <v>16241</v>
      </c>
      <c r="I975" t="s">
        <v>16317</v>
      </c>
      <c r="J975" t="s">
        <v>16385</v>
      </c>
      <c r="K975">
        <v>0.342</v>
      </c>
      <c r="L975">
        <v>14897</v>
      </c>
      <c r="M975">
        <v>4182</v>
      </c>
      <c r="N975" t="s">
        <v>16393</v>
      </c>
      <c r="O975" s="4">
        <v>77491</v>
      </c>
      <c r="P975" s="4">
        <v>123653</v>
      </c>
      <c r="Q975" s="4">
        <v>201144</v>
      </c>
      <c r="R975" s="4">
        <v>603432</v>
      </c>
      <c r="S975" t="s">
        <v>17349</v>
      </c>
      <c r="T975" s="6">
        <v>42917</v>
      </c>
      <c r="U975" s="4">
        <v>520000</v>
      </c>
      <c r="V975" t="s">
        <v>23739</v>
      </c>
      <c r="W975" t="s">
        <v>24217</v>
      </c>
      <c r="X975" t="s">
        <v>3</v>
      </c>
      <c r="AA975" s="5" t="str">
        <f>HYPERLINK("https://www.zillow.com/homes/1606-ROYAL-OAK-RD-DARIEN-IL-605615331_rb/","check listing")</f>
        <v>check listing</v>
      </c>
      <c r="AB975" s="5" t="str">
        <f>HYPERLINK("https://propertylookup.dupagecounty.gov/Datalets/Datalet.aspx?UseSearch=no&amp;mode=sales&amp;pin=1004101002","sales record")</f>
        <v>sales record</v>
      </c>
      <c r="AC975" t="s">
        <v>3</v>
      </c>
      <c r="AD975">
        <v>41.729381</v>
      </c>
      <c r="AE975">
        <v>-87.98634</v>
      </c>
      <c r="AF975" s="5" t="str">
        <f>HYPERLINK("https://www.google.com/maps/search/?api=1&amp;query=41.729381,-87.98634","map")</f>
        <v>map</v>
      </c>
    </row>
    <row r="976" spans="1:32">
      <c r="A976" t="s">
        <v>1026</v>
      </c>
      <c r="B976" t="s">
        <v>8603</v>
      </c>
      <c r="C976" t="s">
        <v>15231</v>
      </c>
      <c r="D976" t="s">
        <v>16198</v>
      </c>
      <c r="E976" t="s">
        <v>16218</v>
      </c>
      <c r="F976" t="s">
        <v>16221</v>
      </c>
      <c r="G976" t="s">
        <v>16241</v>
      </c>
      <c r="H976" t="s">
        <v>16241</v>
      </c>
      <c r="I976" t="s">
        <v>16317</v>
      </c>
      <c r="J976" t="s">
        <v>16385</v>
      </c>
      <c r="K976">
        <v>0.342</v>
      </c>
      <c r="L976">
        <v>14878</v>
      </c>
      <c r="M976">
        <v>2748</v>
      </c>
      <c r="N976" t="s">
        <v>16393</v>
      </c>
      <c r="O976" s="4">
        <v>88570</v>
      </c>
      <c r="P976" s="4">
        <v>165978</v>
      </c>
      <c r="Q976" s="4">
        <v>254548</v>
      </c>
      <c r="R976" s="4">
        <v>763644</v>
      </c>
      <c r="S976" t="s">
        <v>17350</v>
      </c>
      <c r="T976" s="6">
        <v>45048</v>
      </c>
      <c r="U976" s="4">
        <v>832500</v>
      </c>
      <c r="V976" t="s">
        <v>23739</v>
      </c>
      <c r="W976" t="s">
        <v>24218</v>
      </c>
      <c r="X976" t="s">
        <v>3</v>
      </c>
      <c r="AA976" s="5" t="str">
        <f>HYPERLINK("https://www.zillow.com/homes/1521-WINTERBERRY-LN-DARIEN-IL-605615393_rb/","check listing")</f>
        <v>check listing</v>
      </c>
      <c r="AB976" s="5" t="str">
        <f>HYPERLINK("https://propertylookup.dupagecounty.gov/Datalets/Datalet.aspx?UseSearch=no&amp;mode=sales&amp;pin=0933405003","sales record")</f>
        <v>sales record</v>
      </c>
      <c r="AC976" t="s">
        <v>3</v>
      </c>
      <c r="AD976">
        <v>41.734065</v>
      </c>
      <c r="AE976">
        <v>-87.979939</v>
      </c>
      <c r="AF976" s="5" t="str">
        <f>HYPERLINK("https://www.google.com/maps/search/?api=1&amp;query=41.734065,-87.979939","map")</f>
        <v>map</v>
      </c>
    </row>
    <row r="977" spans="1:32">
      <c r="A977" t="s">
        <v>1027</v>
      </c>
      <c r="B977" t="s">
        <v>8604</v>
      </c>
      <c r="C977" t="s">
        <v>15209</v>
      </c>
      <c r="D977" t="s">
        <v>16198</v>
      </c>
      <c r="E977" t="s">
        <v>16218</v>
      </c>
      <c r="F977" t="s">
        <v>16221</v>
      </c>
      <c r="G977" t="s">
        <v>16241</v>
      </c>
      <c r="H977" t="s">
        <v>16241</v>
      </c>
      <c r="I977" t="s">
        <v>16317</v>
      </c>
      <c r="J977" t="s">
        <v>16385</v>
      </c>
      <c r="K977">
        <v>0.341</v>
      </c>
      <c r="L977">
        <v>14852</v>
      </c>
      <c r="M977">
        <v>2469</v>
      </c>
      <c r="N977" t="s">
        <v>16393</v>
      </c>
      <c r="O977" s="4">
        <v>83653</v>
      </c>
      <c r="P977" s="4">
        <v>149287</v>
      </c>
      <c r="Q977" s="4">
        <v>232940</v>
      </c>
      <c r="R977" s="4">
        <v>698820</v>
      </c>
      <c r="S977" t="s">
        <v>17351</v>
      </c>
      <c r="T977" s="6">
        <v>44348</v>
      </c>
      <c r="U977" s="4">
        <v>669000</v>
      </c>
      <c r="V977" t="s">
        <v>23739</v>
      </c>
      <c r="W977" t="s">
        <v>24219</v>
      </c>
      <c r="X977" t="s">
        <v>3</v>
      </c>
      <c r="AA977" s="5" t="str">
        <f>HYPERLINK("https://www.zillow.com/homes/1516-WILLOW-CREEK-LN-DARIEN-IL-605615394_rb/","check listing")</f>
        <v>check listing</v>
      </c>
      <c r="AB977" s="5" t="str">
        <f>HYPERLINK("https://propertylookup.dupagecounty.gov/Datalets/Datalet.aspx?UseSearch=no&amp;mode=sales&amp;pin=0933405013","sales record")</f>
        <v>sales record</v>
      </c>
      <c r="AC977" t="s">
        <v>3</v>
      </c>
      <c r="AD977">
        <v>41.733655</v>
      </c>
      <c r="AE977">
        <v>-87.97951500000001</v>
      </c>
      <c r="AF977" s="5" t="str">
        <f>HYPERLINK("https://www.google.com/maps/search/?api=1&amp;query=41.733655,-87.979515","map")</f>
        <v>map</v>
      </c>
    </row>
    <row r="978" spans="1:32">
      <c r="A978" t="s">
        <v>1028</v>
      </c>
      <c r="B978" t="s">
        <v>8605</v>
      </c>
      <c r="C978" t="s">
        <v>15231</v>
      </c>
      <c r="D978" t="s">
        <v>16198</v>
      </c>
      <c r="E978" t="s">
        <v>16218</v>
      </c>
      <c r="F978" t="s">
        <v>16221</v>
      </c>
      <c r="G978" t="s">
        <v>16241</v>
      </c>
      <c r="H978" t="s">
        <v>16241</v>
      </c>
      <c r="I978" t="s">
        <v>16317</v>
      </c>
      <c r="J978" t="s">
        <v>16385</v>
      </c>
      <c r="K978">
        <v>0.341</v>
      </c>
      <c r="L978">
        <v>14852</v>
      </c>
      <c r="M978">
        <v>2580</v>
      </c>
      <c r="N978" t="s">
        <v>16393</v>
      </c>
      <c r="O978" s="4">
        <v>83644</v>
      </c>
      <c r="P978" s="4">
        <v>194217</v>
      </c>
      <c r="Q978" s="4">
        <v>277861</v>
      </c>
      <c r="R978" s="4">
        <v>833583</v>
      </c>
      <c r="S978" t="s">
        <v>17352</v>
      </c>
      <c r="T978" s="6">
        <v>42917</v>
      </c>
      <c r="U978" s="4">
        <v>650000</v>
      </c>
      <c r="V978" t="s">
        <v>23739</v>
      </c>
      <c r="W978" t="s">
        <v>24220</v>
      </c>
      <c r="X978" t="s">
        <v>3</v>
      </c>
      <c r="AA978" s="5" t="str">
        <f>HYPERLINK("https://www.zillow.com/homes/1509-WINTERBERRY-LN-DARIEN-IL-605615393_rb/","check listing")</f>
        <v>check listing</v>
      </c>
      <c r="AB978" s="5" t="str">
        <f>HYPERLINK("https://propertylookup.dupagecounty.gov/Datalets/Datalet.aspx?UseSearch=no&amp;mode=sales&amp;pin=0933405006","sales record")</f>
        <v>sales record</v>
      </c>
      <c r="AC978" t="s">
        <v>27873</v>
      </c>
      <c r="AD978">
        <v>41.734182</v>
      </c>
      <c r="AE978">
        <v>-87.978962</v>
      </c>
      <c r="AF978" s="5" t="str">
        <f>HYPERLINK("https://www.google.com/maps/search/?api=1&amp;query=41.734182,-87.978962","map")</f>
        <v>map</v>
      </c>
    </row>
    <row r="979" spans="1:32">
      <c r="A979" t="s">
        <v>1029</v>
      </c>
      <c r="B979" t="s">
        <v>8606</v>
      </c>
      <c r="C979" t="s">
        <v>15201</v>
      </c>
      <c r="D979" t="s">
        <v>16198</v>
      </c>
      <c r="E979" t="s">
        <v>16218</v>
      </c>
      <c r="F979" t="s">
        <v>16221</v>
      </c>
      <c r="G979" t="s">
        <v>16241</v>
      </c>
      <c r="H979" t="s">
        <v>16241</v>
      </c>
      <c r="I979" t="s">
        <v>16317</v>
      </c>
      <c r="J979" t="s">
        <v>16385</v>
      </c>
      <c r="K979">
        <v>0.341</v>
      </c>
      <c r="L979">
        <v>14852</v>
      </c>
      <c r="M979">
        <v>2758</v>
      </c>
      <c r="N979" t="s">
        <v>16393</v>
      </c>
      <c r="O979" s="4">
        <v>83653</v>
      </c>
      <c r="P979" s="4">
        <v>170180</v>
      </c>
      <c r="Q979" s="4">
        <v>253833</v>
      </c>
      <c r="R979" s="4">
        <v>761499</v>
      </c>
      <c r="S979" t="s">
        <v>17353</v>
      </c>
      <c r="T979" s="6">
        <v>45121</v>
      </c>
      <c r="U979" s="4">
        <v>940000</v>
      </c>
      <c r="V979" t="s">
        <v>23739</v>
      </c>
      <c r="W979" t="s">
        <v>24221</v>
      </c>
      <c r="X979" t="s">
        <v>3</v>
      </c>
      <c r="AA979" s="5" t="str">
        <f>HYPERLINK("https://www.zillow.com/homes/1508-WILLOW-CREEK-LN-DARIEN-IL-60561_rb/","check listing")</f>
        <v>check listing</v>
      </c>
      <c r="AB979" s="5" t="str">
        <f>HYPERLINK("https://propertylookup.dupagecounty.gov/Datalets/Datalet.aspx?UseSearch=no&amp;mode=sales&amp;pin=0933405015","sales record")</f>
        <v>sales record</v>
      </c>
      <c r="AC979" t="s">
        <v>3</v>
      </c>
      <c r="AD979">
        <v>41.733735</v>
      </c>
      <c r="AE979">
        <v>-87.978864</v>
      </c>
      <c r="AF979" s="5" t="str">
        <f>HYPERLINK("https://www.google.com/maps/search/?api=1&amp;query=41.733735,-87.978864","map")</f>
        <v>map</v>
      </c>
    </row>
    <row r="980" spans="1:32">
      <c r="A980" t="s">
        <v>1030</v>
      </c>
      <c r="B980" t="s">
        <v>8607</v>
      </c>
      <c r="C980" t="s">
        <v>15226</v>
      </c>
      <c r="D980" t="s">
        <v>16198</v>
      </c>
      <c r="E980" t="s">
        <v>16218</v>
      </c>
      <c r="F980" t="s">
        <v>16221</v>
      </c>
      <c r="G980" t="s">
        <v>16241</v>
      </c>
      <c r="H980" t="s">
        <v>16241</v>
      </c>
      <c r="I980" t="s">
        <v>16317</v>
      </c>
      <c r="J980" t="s">
        <v>16385</v>
      </c>
      <c r="K980">
        <v>0.341</v>
      </c>
      <c r="L980">
        <v>14851</v>
      </c>
      <c r="M980">
        <v>4486</v>
      </c>
      <c r="N980" t="s">
        <v>16393</v>
      </c>
      <c r="O980" s="4">
        <v>77068</v>
      </c>
      <c r="P980" s="4">
        <v>149675</v>
      </c>
      <c r="Q980" s="4">
        <v>226743</v>
      </c>
      <c r="R980" s="4">
        <v>680229</v>
      </c>
      <c r="S980" t="s">
        <v>17354</v>
      </c>
      <c r="T980" s="6">
        <v>38565</v>
      </c>
      <c r="U980" s="4">
        <v>675000</v>
      </c>
      <c r="V980" t="s">
        <v>23739</v>
      </c>
      <c r="W980" t="s">
        <v>24222</v>
      </c>
      <c r="X980" t="s">
        <v>3</v>
      </c>
      <c r="AA980" s="5" t="str">
        <f>HYPERLINK("https://www.zillow.com/homes/8410-CARRIAGE-GREEN-DARIEN-IL-605615308_rb/","check listing")</f>
        <v>check listing</v>
      </c>
      <c r="AB980" s="5" t="str">
        <f>HYPERLINK("https://propertylookup.dupagecounty.gov/Datalets/Datalet.aspx?UseSearch=no&amp;mode=sales&amp;pin=0933301017","sales record")</f>
        <v>sales record</v>
      </c>
      <c r="AC980" t="s">
        <v>3</v>
      </c>
      <c r="AD980">
        <v>41.734798</v>
      </c>
      <c r="AE980">
        <v>-87.98815399999999</v>
      </c>
      <c r="AF980" s="5" t="str">
        <f>HYPERLINK("https://www.google.com/maps/search/?api=1&amp;query=41.734798,-87.988154","map")</f>
        <v>map</v>
      </c>
    </row>
    <row r="981" spans="1:32">
      <c r="A981" t="s">
        <v>1031</v>
      </c>
      <c r="B981" t="s">
        <v>8608</v>
      </c>
      <c r="C981" t="s">
        <v>15201</v>
      </c>
      <c r="D981" t="s">
        <v>16198</v>
      </c>
      <c r="E981" t="s">
        <v>16218</v>
      </c>
      <c r="F981" t="s">
        <v>16221</v>
      </c>
      <c r="G981" t="s">
        <v>16241</v>
      </c>
      <c r="H981" t="s">
        <v>16241</v>
      </c>
      <c r="I981" t="s">
        <v>16317</v>
      </c>
      <c r="J981" t="s">
        <v>16385</v>
      </c>
      <c r="K981">
        <v>0.341</v>
      </c>
      <c r="L981">
        <v>14851</v>
      </c>
      <c r="M981">
        <v>2804</v>
      </c>
      <c r="N981" t="s">
        <v>16393</v>
      </c>
      <c r="O981" s="4">
        <v>83653</v>
      </c>
      <c r="P981" s="4">
        <v>183361</v>
      </c>
      <c r="Q981" s="4">
        <v>267014</v>
      </c>
      <c r="R981" s="4">
        <v>801042</v>
      </c>
      <c r="S981" t="s">
        <v>17355</v>
      </c>
      <c r="T981" s="6">
        <v>37135</v>
      </c>
      <c r="U981" s="4">
        <v>650000</v>
      </c>
      <c r="V981" t="s">
        <v>23739</v>
      </c>
      <c r="W981" t="s">
        <v>24223</v>
      </c>
      <c r="X981" t="s">
        <v>3</v>
      </c>
      <c r="AA981" s="5" t="str">
        <f>HYPERLINK("https://www.zillow.com/homes/1512-WILLOW-CREEK-LN-DARIEN-IL-60561_rb/","check listing")</f>
        <v>check listing</v>
      </c>
      <c r="AB981" s="5" t="str">
        <f>HYPERLINK("https://propertylookup.dupagecounty.gov/Datalets/Datalet.aspx?UseSearch=no&amp;mode=sales&amp;pin=0933405014","sales record")</f>
        <v>sales record</v>
      </c>
      <c r="AC981" t="s">
        <v>3</v>
      </c>
      <c r="AD981">
        <v>41.733695</v>
      </c>
      <c r="AE981">
        <v>-87.97919</v>
      </c>
      <c r="AF981" s="5" t="str">
        <f>HYPERLINK("https://www.google.com/maps/search/?api=1&amp;query=41.733695,-87.97919","map")</f>
        <v>map</v>
      </c>
    </row>
    <row r="982" spans="1:32">
      <c r="A982" t="s">
        <v>1032</v>
      </c>
      <c r="B982" t="s">
        <v>8609</v>
      </c>
      <c r="C982" t="s">
        <v>15201</v>
      </c>
      <c r="D982" t="s">
        <v>16198</v>
      </c>
      <c r="E982" t="s">
        <v>16218</v>
      </c>
      <c r="F982" t="s">
        <v>16221</v>
      </c>
      <c r="G982" t="s">
        <v>16241</v>
      </c>
      <c r="H982" t="s">
        <v>16241</v>
      </c>
      <c r="I982" t="s">
        <v>16317</v>
      </c>
      <c r="J982" t="s">
        <v>16385</v>
      </c>
      <c r="K982">
        <v>0.341</v>
      </c>
      <c r="L982">
        <v>14851</v>
      </c>
      <c r="M982">
        <v>2584</v>
      </c>
      <c r="N982" t="s">
        <v>16393</v>
      </c>
      <c r="O982" s="4">
        <v>83653</v>
      </c>
      <c r="P982" s="4">
        <v>149850</v>
      </c>
      <c r="Q982" s="4">
        <v>233503</v>
      </c>
      <c r="R982" s="4">
        <v>700509</v>
      </c>
      <c r="S982" t="s">
        <v>17356</v>
      </c>
      <c r="T982" s="6">
        <v>32660</v>
      </c>
      <c r="U982" s="4">
        <v>287599</v>
      </c>
      <c r="X982" t="s">
        <v>3</v>
      </c>
      <c r="AA982" s="5" t="str">
        <f>HYPERLINK("https://www.zillow.com/homes/1505-WINTERBERRY-LN-DARIEN-IL-60561_rb/","check listing")</f>
        <v>check listing</v>
      </c>
      <c r="AB982" s="5" t="str">
        <f>HYPERLINK("https://propertylookup.dupagecounty.gov/Datalets/Datalet.aspx?UseSearch=no&amp;mode=sales&amp;pin=0933405007","sales record")</f>
        <v>sales record</v>
      </c>
      <c r="AC982" t="s">
        <v>27873</v>
      </c>
      <c r="AD982">
        <v>41.734222</v>
      </c>
      <c r="AE982">
        <v>-87.97863599999999</v>
      </c>
      <c r="AF982" s="5" t="str">
        <f>HYPERLINK("https://www.google.com/maps/search/?api=1&amp;query=41.734222,-87.978636","map")</f>
        <v>map</v>
      </c>
    </row>
    <row r="983" spans="1:32">
      <c r="A983" t="s">
        <v>1033</v>
      </c>
      <c r="B983" t="s">
        <v>8610</v>
      </c>
      <c r="C983" t="s">
        <v>15209</v>
      </c>
      <c r="D983" t="s">
        <v>16198</v>
      </c>
      <c r="E983" t="s">
        <v>16218</v>
      </c>
      <c r="F983" t="s">
        <v>16221</v>
      </c>
      <c r="G983" t="s">
        <v>16241</v>
      </c>
      <c r="H983" t="s">
        <v>16241</v>
      </c>
      <c r="I983" t="s">
        <v>16317</v>
      </c>
      <c r="J983" t="s">
        <v>16385</v>
      </c>
      <c r="K983">
        <v>0.341</v>
      </c>
      <c r="L983">
        <v>14850</v>
      </c>
      <c r="M983">
        <v>2258</v>
      </c>
      <c r="N983" t="s">
        <v>16393</v>
      </c>
      <c r="O983" s="4">
        <v>83653</v>
      </c>
      <c r="P983" s="4">
        <v>162762</v>
      </c>
      <c r="Q983" s="4">
        <v>246415</v>
      </c>
      <c r="R983" s="4">
        <v>739245</v>
      </c>
      <c r="S983" t="s">
        <v>17357</v>
      </c>
      <c r="T983" s="6">
        <v>43739</v>
      </c>
      <c r="U983" s="4">
        <v>555000</v>
      </c>
      <c r="V983" t="s">
        <v>23740</v>
      </c>
      <c r="W983" t="s">
        <v>24224</v>
      </c>
      <c r="X983" t="s">
        <v>3</v>
      </c>
      <c r="AA983" s="5" t="str">
        <f>HYPERLINK("https://www.zillow.com/homes/1520-WILLOW-CREEK-LN-DARIEN-IL-605615394_rb/","check listing")</f>
        <v>check listing</v>
      </c>
      <c r="AB983" s="5" t="str">
        <f>HYPERLINK("https://propertylookup.dupagecounty.gov/Datalets/Datalet.aspx?UseSearch=no&amp;mode=sales&amp;pin=0933405012","sales record")</f>
        <v>sales record</v>
      </c>
      <c r="AC983" t="s">
        <v>3</v>
      </c>
      <c r="AD983">
        <v>41.733615</v>
      </c>
      <c r="AE983">
        <v>-87.97984099999999</v>
      </c>
      <c r="AF983" s="5" t="str">
        <f>HYPERLINK("https://www.google.com/maps/search/?api=1&amp;query=41.733615,-87.979841","map")</f>
        <v>map</v>
      </c>
    </row>
    <row r="984" spans="1:32">
      <c r="A984" t="s">
        <v>1034</v>
      </c>
      <c r="B984" t="s">
        <v>8611</v>
      </c>
      <c r="C984" t="s">
        <v>15201</v>
      </c>
      <c r="D984" t="s">
        <v>16198</v>
      </c>
      <c r="E984" t="s">
        <v>16218</v>
      </c>
      <c r="F984" t="s">
        <v>16221</v>
      </c>
      <c r="G984" t="s">
        <v>16241</v>
      </c>
      <c r="H984" t="s">
        <v>16241</v>
      </c>
      <c r="I984" t="s">
        <v>16317</v>
      </c>
      <c r="J984" t="s">
        <v>16385</v>
      </c>
      <c r="K984">
        <v>0.341</v>
      </c>
      <c r="L984">
        <v>14850</v>
      </c>
      <c r="M984">
        <v>2567</v>
      </c>
      <c r="N984" t="s">
        <v>16393</v>
      </c>
      <c r="O984" s="4">
        <v>83653</v>
      </c>
      <c r="P984" s="4">
        <v>178960</v>
      </c>
      <c r="Q984" s="4">
        <v>262613</v>
      </c>
      <c r="R984" s="4">
        <v>787839</v>
      </c>
      <c r="S984" t="s">
        <v>17358</v>
      </c>
      <c r="T984" s="6">
        <v>33359</v>
      </c>
      <c r="U984" s="4">
        <v>430000</v>
      </c>
      <c r="X984" t="s">
        <v>3</v>
      </c>
      <c r="AA984" s="5" t="str">
        <f>HYPERLINK("https://www.zillow.com/homes/1513-WINTERBERRY-LN-DARIEN-IL-60561_rb/","check listing")</f>
        <v>check listing</v>
      </c>
      <c r="AB984" s="5" t="str">
        <f>HYPERLINK("https://propertylookup.dupagecounty.gov/Datalets/Datalet.aspx?UseSearch=no&amp;mode=sales&amp;pin=0933405005","sales record")</f>
        <v>sales record</v>
      </c>
      <c r="AC984" t="s">
        <v>3</v>
      </c>
      <c r="AD984">
        <v>41.734142</v>
      </c>
      <c r="AE984">
        <v>-87.979287</v>
      </c>
      <c r="AF984" s="5" t="str">
        <f>HYPERLINK("https://www.google.com/maps/search/?api=1&amp;query=41.734142,-87.979287","map")</f>
        <v>map</v>
      </c>
    </row>
    <row r="985" spans="1:32">
      <c r="A985" t="s">
        <v>1035</v>
      </c>
      <c r="B985" t="s">
        <v>8612</v>
      </c>
      <c r="C985" t="s">
        <v>15201</v>
      </c>
      <c r="D985" t="s">
        <v>16198</v>
      </c>
      <c r="E985" t="s">
        <v>16218</v>
      </c>
      <c r="F985" t="s">
        <v>16221</v>
      </c>
      <c r="G985" t="s">
        <v>16241</v>
      </c>
      <c r="H985" t="s">
        <v>16241</v>
      </c>
      <c r="I985" t="s">
        <v>16317</v>
      </c>
      <c r="J985" t="s">
        <v>16385</v>
      </c>
      <c r="K985">
        <v>0.341</v>
      </c>
      <c r="L985">
        <v>14850</v>
      </c>
      <c r="M985">
        <v>3403</v>
      </c>
      <c r="N985" t="s">
        <v>16393</v>
      </c>
      <c r="O985" s="4">
        <v>83653</v>
      </c>
      <c r="P985" s="4">
        <v>174417</v>
      </c>
      <c r="Q985" s="4">
        <v>258070</v>
      </c>
      <c r="R985" s="4">
        <v>774210</v>
      </c>
      <c r="S985" t="s">
        <v>17359</v>
      </c>
      <c r="T985" s="6">
        <v>42826</v>
      </c>
      <c r="U985" s="4">
        <v>535500</v>
      </c>
      <c r="V985" t="s">
        <v>23739</v>
      </c>
      <c r="W985" t="s">
        <v>24225</v>
      </c>
      <c r="X985" t="s">
        <v>3</v>
      </c>
      <c r="AA985" s="5" t="str">
        <f>HYPERLINK("https://www.zillow.com/homes/1504-WILLOW-CREEK-LN-DARIEN-IL-60561_rb/","check listing")</f>
        <v>check listing</v>
      </c>
      <c r="AB985" s="5" t="str">
        <f>HYPERLINK("https://propertylookup.dupagecounty.gov/Datalets/Datalet.aspx?UseSearch=no&amp;mode=sales&amp;pin=0933405016","sales record")</f>
        <v>sales record</v>
      </c>
      <c r="AC985" t="s">
        <v>3</v>
      </c>
      <c r="AD985">
        <v>41.733775</v>
      </c>
      <c r="AE985">
        <v>-87.978539</v>
      </c>
      <c r="AF985" s="5" t="str">
        <f>HYPERLINK("https://www.google.com/maps/search/?api=1&amp;query=41.733775,-87.978539","map")</f>
        <v>map</v>
      </c>
    </row>
    <row r="986" spans="1:32">
      <c r="A986" t="s">
        <v>1036</v>
      </c>
      <c r="B986" t="s">
        <v>8613</v>
      </c>
      <c r="C986" t="s">
        <v>15201</v>
      </c>
      <c r="D986" t="s">
        <v>16198</v>
      </c>
      <c r="E986" t="s">
        <v>16218</v>
      </c>
      <c r="F986" t="s">
        <v>16221</v>
      </c>
      <c r="G986" t="s">
        <v>16241</v>
      </c>
      <c r="H986" t="s">
        <v>16241</v>
      </c>
      <c r="I986" t="s">
        <v>16317</v>
      </c>
      <c r="J986" t="s">
        <v>16385</v>
      </c>
      <c r="K986">
        <v>0.341</v>
      </c>
      <c r="L986">
        <v>14849</v>
      </c>
      <c r="M986">
        <v>2847</v>
      </c>
      <c r="N986" t="s">
        <v>16393</v>
      </c>
      <c r="O986" s="4">
        <v>83653</v>
      </c>
      <c r="P986" s="4">
        <v>210392</v>
      </c>
      <c r="Q986" s="4">
        <v>294045</v>
      </c>
      <c r="R986" s="4">
        <v>882135</v>
      </c>
      <c r="S986" t="s">
        <v>17360</v>
      </c>
      <c r="T986" s="6">
        <v>41671</v>
      </c>
      <c r="U986" s="4">
        <v>699000</v>
      </c>
      <c r="V986" t="s">
        <v>23740</v>
      </c>
      <c r="W986" t="s">
        <v>24226</v>
      </c>
      <c r="X986" t="s">
        <v>3</v>
      </c>
      <c r="AA986" s="5" t="str">
        <f>HYPERLINK("https://www.zillow.com/homes/1517-WINTERBERRY-LN-DARIEN-IL-60561_rb/","check listing")</f>
        <v>check listing</v>
      </c>
      <c r="AB986" s="5" t="str">
        <f>HYPERLINK("https://propertylookup.dupagecounty.gov/Datalets/Datalet.aspx?UseSearch=no&amp;mode=sales&amp;pin=0933405004","sales record")</f>
        <v>sales record</v>
      </c>
      <c r="AC986" t="s">
        <v>3</v>
      </c>
      <c r="AD986">
        <v>41.734102</v>
      </c>
      <c r="AE986">
        <v>-87.979613</v>
      </c>
      <c r="AF986" s="5" t="str">
        <f>HYPERLINK("https://www.google.com/maps/search/?api=1&amp;query=41.734102,-87.979613","map")</f>
        <v>map</v>
      </c>
    </row>
    <row r="987" spans="1:32">
      <c r="A987" t="s">
        <v>1037</v>
      </c>
      <c r="B987" t="s">
        <v>8614</v>
      </c>
      <c r="C987" t="s">
        <v>15201</v>
      </c>
      <c r="D987" t="s">
        <v>16198</v>
      </c>
      <c r="E987" t="s">
        <v>16218</v>
      </c>
      <c r="F987" t="s">
        <v>16221</v>
      </c>
      <c r="G987" t="s">
        <v>16241</v>
      </c>
      <c r="H987" t="s">
        <v>16241</v>
      </c>
      <c r="I987" t="s">
        <v>16317</v>
      </c>
      <c r="J987" t="s">
        <v>16385</v>
      </c>
      <c r="K987">
        <v>0.341</v>
      </c>
      <c r="L987">
        <v>14847</v>
      </c>
      <c r="M987">
        <v>2485</v>
      </c>
      <c r="N987" t="s">
        <v>16393</v>
      </c>
      <c r="O987" s="4">
        <v>90213</v>
      </c>
      <c r="P987" s="4">
        <v>174581</v>
      </c>
      <c r="Q987" s="4">
        <v>264794</v>
      </c>
      <c r="R987" s="4">
        <v>794382</v>
      </c>
      <c r="S987" t="s">
        <v>17361</v>
      </c>
      <c r="T987" s="6">
        <v>32417</v>
      </c>
      <c r="U987" s="4">
        <v>95000</v>
      </c>
      <c r="X987" t="s">
        <v>3</v>
      </c>
      <c r="AA987" s="5" t="str">
        <f>HYPERLINK("https://www.zillow.com/homes/1500-WINTERBERRY-LN-DARIEN-IL-60561_rb/","check listing")</f>
        <v>check listing</v>
      </c>
      <c r="AB987" s="5" t="str">
        <f>HYPERLINK("https://propertylookup.dupagecounty.gov/Datalets/Datalet.aspx?UseSearch=no&amp;mode=sales&amp;pin=0933404015","sales record")</f>
        <v>sales record</v>
      </c>
      <c r="AC987" t="s">
        <v>3</v>
      </c>
      <c r="AD987">
        <v>41.734886</v>
      </c>
      <c r="AE987">
        <v>-87.978286</v>
      </c>
      <c r="AF987" s="5" t="str">
        <f>HYPERLINK("https://www.google.com/maps/search/?api=1&amp;query=41.734886,-87.978286","map")</f>
        <v>map</v>
      </c>
    </row>
    <row r="988" spans="1:32">
      <c r="A988" t="s">
        <v>1038</v>
      </c>
      <c r="B988" t="s">
        <v>8615</v>
      </c>
      <c r="C988" t="s">
        <v>15204</v>
      </c>
      <c r="D988" t="s">
        <v>16198</v>
      </c>
      <c r="E988" t="s">
        <v>16218</v>
      </c>
      <c r="F988" t="s">
        <v>16221</v>
      </c>
      <c r="G988" t="s">
        <v>16241</v>
      </c>
      <c r="H988" t="s">
        <v>16241</v>
      </c>
      <c r="I988" t="s">
        <v>16317</v>
      </c>
      <c r="J988" t="s">
        <v>16385</v>
      </c>
      <c r="K988">
        <v>0.34</v>
      </c>
      <c r="L988">
        <v>14831</v>
      </c>
      <c r="M988">
        <v>3496</v>
      </c>
      <c r="N988" t="s">
        <v>16393</v>
      </c>
      <c r="O988" s="4">
        <v>70494</v>
      </c>
      <c r="P988" s="4">
        <v>197762</v>
      </c>
      <c r="Q988" s="4">
        <v>268256</v>
      </c>
      <c r="R988" s="4">
        <v>804768</v>
      </c>
      <c r="S988" t="s">
        <v>17362</v>
      </c>
      <c r="T988" s="6">
        <v>31503</v>
      </c>
      <c r="U988" s="4">
        <v>59500</v>
      </c>
      <c r="X988" t="s">
        <v>3</v>
      </c>
      <c r="AA988" s="5" t="str">
        <f>HYPERLINK("https://www.zillow.com/homes/8750-CARLISLE-CT-DARIEN-IL-605615372_rb/","check listing")</f>
        <v>check listing</v>
      </c>
      <c r="AB988" s="5" t="str">
        <f>HYPERLINK("https://propertylookup.dupagecounty.gov/Datalets/Datalet.aspx?UseSearch=no&amp;mode=sales&amp;pin=1004112008","sales record")</f>
        <v>sales record</v>
      </c>
      <c r="AC988" t="s">
        <v>3</v>
      </c>
      <c r="AD988">
        <v>41.727161</v>
      </c>
      <c r="AE988">
        <v>-87.990943</v>
      </c>
      <c r="AF988" s="5" t="str">
        <f>HYPERLINK("https://www.google.com/maps/search/?api=1&amp;query=41.727161,-87.990943","map")</f>
        <v>map</v>
      </c>
    </row>
    <row r="989" spans="1:32">
      <c r="A989" t="s">
        <v>1039</v>
      </c>
      <c r="B989" t="s">
        <v>8616</v>
      </c>
      <c r="C989" t="s">
        <v>15201</v>
      </c>
      <c r="D989" t="s">
        <v>16198</v>
      </c>
      <c r="E989" t="s">
        <v>16218</v>
      </c>
      <c r="F989" t="s">
        <v>16221</v>
      </c>
      <c r="G989" t="s">
        <v>16241</v>
      </c>
      <c r="H989" t="s">
        <v>16241</v>
      </c>
      <c r="I989" t="s">
        <v>16317</v>
      </c>
      <c r="J989" t="s">
        <v>16385</v>
      </c>
      <c r="K989">
        <v>0.34</v>
      </c>
      <c r="L989">
        <v>14790</v>
      </c>
      <c r="M989">
        <v>2894</v>
      </c>
      <c r="N989" t="s">
        <v>16393</v>
      </c>
      <c r="O989" s="4">
        <v>94756</v>
      </c>
      <c r="P989" s="4">
        <v>170615</v>
      </c>
      <c r="Q989" s="4">
        <v>265371</v>
      </c>
      <c r="R989" s="4">
        <v>796113</v>
      </c>
      <c r="S989" t="s">
        <v>17363</v>
      </c>
      <c r="T989" s="6">
        <v>45615</v>
      </c>
      <c r="U989" s="4">
        <v>820000</v>
      </c>
      <c r="V989" t="s">
        <v>23739</v>
      </c>
      <c r="W989" t="s">
        <v>24227</v>
      </c>
      <c r="X989" t="s">
        <v>3</v>
      </c>
      <c r="AA989" s="5" t="str">
        <f>HYPERLINK("https://www.zillow.com/homes/1520-WINTERBERRY-LN-DARIEN-IL-60561_rb/","check listing")</f>
        <v>check listing</v>
      </c>
      <c r="AB989" s="5" t="str">
        <f>HYPERLINK("https://propertylookup.dupagecounty.gov/Datalets/Datalet.aspx?UseSearch=no&amp;mode=sales&amp;pin=0933404010","sales record")</f>
        <v>sales record</v>
      </c>
      <c r="AC989" t="s">
        <v>3</v>
      </c>
      <c r="AD989">
        <v>41.734679</v>
      </c>
      <c r="AE989">
        <v>-87.979994</v>
      </c>
      <c r="AF989" s="5" t="str">
        <f>HYPERLINK("https://www.google.com/maps/search/?api=1&amp;query=41.734679,-87.979994","map")</f>
        <v>map</v>
      </c>
    </row>
    <row r="990" spans="1:32">
      <c r="A990" t="s">
        <v>1040</v>
      </c>
      <c r="B990" t="s">
        <v>8617</v>
      </c>
      <c r="C990" t="s">
        <v>15233</v>
      </c>
      <c r="D990" t="s">
        <v>16198</v>
      </c>
      <c r="E990" t="s">
        <v>16218</v>
      </c>
      <c r="F990" t="s">
        <v>16221</v>
      </c>
      <c r="G990" t="s">
        <v>16241</v>
      </c>
      <c r="H990" t="s">
        <v>16241</v>
      </c>
      <c r="I990" t="s">
        <v>16317</v>
      </c>
      <c r="J990" t="s">
        <v>16385</v>
      </c>
      <c r="K990">
        <v>0.338</v>
      </c>
      <c r="L990">
        <v>14732</v>
      </c>
      <c r="M990">
        <v>2080</v>
      </c>
      <c r="N990" t="s">
        <v>16393</v>
      </c>
      <c r="O990" s="4">
        <v>86563</v>
      </c>
      <c r="P990" s="4">
        <v>141094</v>
      </c>
      <c r="Q990" s="4">
        <v>227657</v>
      </c>
      <c r="R990" s="4">
        <v>682971</v>
      </c>
      <c r="S990" t="s">
        <v>17364</v>
      </c>
      <c r="T990" s="6">
        <v>36465</v>
      </c>
      <c r="U990" s="4">
        <v>325000</v>
      </c>
      <c r="X990" t="s">
        <v>3</v>
      </c>
      <c r="AA990" s="5" t="str">
        <f>HYPERLINK("https://www.zillow.com/homes/6808-WHITE-PINE-TRL-DARIEN-IL-605618820_rb/","check listing")</f>
        <v>check listing</v>
      </c>
      <c r="AB990" s="5" t="str">
        <f>HYPERLINK("https://propertylookup.dupagecounty.gov/Datalets/Datalet.aspx?UseSearch=no&amp;mode=sales&amp;pin=0922301031","sales record")</f>
        <v>sales record</v>
      </c>
      <c r="AC990" t="s">
        <v>3</v>
      </c>
      <c r="AD990">
        <v>41.763516</v>
      </c>
      <c r="AE990">
        <v>-87.973024</v>
      </c>
      <c r="AF990" s="5" t="str">
        <f>HYPERLINK("https://www.google.com/maps/search/?api=1&amp;query=41.763516,-87.973024","map")</f>
        <v>map</v>
      </c>
    </row>
    <row r="991" spans="1:32">
      <c r="A991" t="s">
        <v>1041</v>
      </c>
      <c r="B991" t="s">
        <v>8618</v>
      </c>
      <c r="C991" t="s">
        <v>15234</v>
      </c>
      <c r="D991" t="s">
        <v>16198</v>
      </c>
      <c r="E991" t="s">
        <v>16218</v>
      </c>
      <c r="F991" t="s">
        <v>16221</v>
      </c>
      <c r="G991" t="s">
        <v>16241</v>
      </c>
      <c r="H991" t="s">
        <v>16241</v>
      </c>
      <c r="I991" t="s">
        <v>16317</v>
      </c>
      <c r="J991" t="s">
        <v>16385</v>
      </c>
      <c r="K991">
        <v>0.338</v>
      </c>
      <c r="L991">
        <v>14715</v>
      </c>
      <c r="M991">
        <v>2240</v>
      </c>
      <c r="N991" t="s">
        <v>16393</v>
      </c>
      <c r="O991" s="4">
        <v>85366</v>
      </c>
      <c r="P991" s="4">
        <v>152598</v>
      </c>
      <c r="Q991" s="4">
        <v>237964</v>
      </c>
      <c r="R991" s="4">
        <v>713892</v>
      </c>
      <c r="S991" t="s">
        <v>17365</v>
      </c>
      <c r="T991" s="6">
        <v>44470</v>
      </c>
      <c r="U991" s="4">
        <v>475000</v>
      </c>
      <c r="V991" t="s">
        <v>23740</v>
      </c>
      <c r="W991" t="s">
        <v>24228</v>
      </c>
      <c r="X991" t="s">
        <v>3</v>
      </c>
      <c r="AA991" s="5" t="str">
        <f>HYPERLINK("https://www.zillow.com/homes/6800-RED-PINE-TRL-DARIEN-IL-605613894_rb/","check listing")</f>
        <v>check listing</v>
      </c>
      <c r="AB991" s="5" t="str">
        <f>HYPERLINK("https://propertylookup.dupagecounty.gov/Datalets/Datalet.aspx?UseSearch=no&amp;mode=sales&amp;pin=0922301035","sales record")</f>
        <v>sales record</v>
      </c>
      <c r="AC991" t="s">
        <v>3</v>
      </c>
      <c r="AD991">
        <v>41.763343</v>
      </c>
      <c r="AE991">
        <v>-87.97122899999999</v>
      </c>
      <c r="AF991" s="5" t="str">
        <f>HYPERLINK("https://www.google.com/maps/search/?api=1&amp;query=41.763343,-87.971229","map")</f>
        <v>map</v>
      </c>
    </row>
    <row r="992" spans="1:32">
      <c r="A992" t="s">
        <v>1042</v>
      </c>
      <c r="B992" t="s">
        <v>8619</v>
      </c>
      <c r="C992" t="s">
        <v>15201</v>
      </c>
      <c r="D992" t="s">
        <v>16198</v>
      </c>
      <c r="E992" t="s">
        <v>16218</v>
      </c>
      <c r="F992" t="s">
        <v>16221</v>
      </c>
      <c r="G992" t="s">
        <v>16241</v>
      </c>
      <c r="H992" t="s">
        <v>16241</v>
      </c>
      <c r="I992" t="s">
        <v>16317</v>
      </c>
      <c r="J992" t="s">
        <v>16385</v>
      </c>
      <c r="K992">
        <v>0.338</v>
      </c>
      <c r="L992">
        <v>14708</v>
      </c>
      <c r="M992">
        <v>1963</v>
      </c>
      <c r="N992" t="s">
        <v>16393</v>
      </c>
      <c r="O992" s="4">
        <v>86411</v>
      </c>
      <c r="P992" s="4">
        <v>150016</v>
      </c>
      <c r="Q992" s="4">
        <v>236427</v>
      </c>
      <c r="R992" s="4">
        <v>709281</v>
      </c>
      <c r="S992" t="s">
        <v>17366</v>
      </c>
      <c r="T992" s="6">
        <v>37257</v>
      </c>
      <c r="U992" s="4">
        <v>444000</v>
      </c>
      <c r="V992" t="s">
        <v>23739</v>
      </c>
      <c r="W992" t="s">
        <v>24229</v>
      </c>
      <c r="X992" t="s">
        <v>3</v>
      </c>
      <c r="AA992" s="5" t="str">
        <f>HYPERLINK("https://www.zillow.com/homes/6800-WHITE-PINE-TR-DARIEN-IL-60561_rb/","check listing")</f>
        <v>check listing</v>
      </c>
      <c r="AB992" s="5" t="str">
        <f>HYPERLINK("https://propertylookup.dupagecounty.gov/Datalets/Datalet.aspx?UseSearch=no&amp;mode=sales&amp;pin=0922301033","sales record")</f>
        <v>sales record</v>
      </c>
      <c r="AC992" t="s">
        <v>3</v>
      </c>
      <c r="AD992">
        <v>41.763411</v>
      </c>
      <c r="AE992">
        <v>-87.97223700000001</v>
      </c>
      <c r="AF992" s="5" t="str">
        <f>HYPERLINK("https://www.google.com/maps/search/?api=1&amp;query=41.763411,-87.972237","map")</f>
        <v>map</v>
      </c>
    </row>
    <row r="993" spans="1:32">
      <c r="A993" t="s">
        <v>1043</v>
      </c>
      <c r="B993" t="s">
        <v>8620</v>
      </c>
      <c r="C993" t="s">
        <v>15201</v>
      </c>
      <c r="D993" t="s">
        <v>16198</v>
      </c>
      <c r="E993" t="s">
        <v>16218</v>
      </c>
      <c r="F993" t="s">
        <v>16221</v>
      </c>
      <c r="G993" t="s">
        <v>16241</v>
      </c>
      <c r="H993" t="s">
        <v>16241</v>
      </c>
      <c r="I993" t="s">
        <v>16317</v>
      </c>
      <c r="J993" t="s">
        <v>16385</v>
      </c>
      <c r="K993">
        <v>0.336</v>
      </c>
      <c r="L993">
        <v>14621</v>
      </c>
      <c r="M993">
        <v>1734</v>
      </c>
      <c r="N993" t="s">
        <v>16393</v>
      </c>
      <c r="O993" s="4">
        <v>87807</v>
      </c>
      <c r="P993" s="4">
        <v>105437</v>
      </c>
      <c r="Q993" s="4">
        <v>193244</v>
      </c>
      <c r="R993" s="4">
        <v>579732</v>
      </c>
      <c r="S993" t="s">
        <v>17367</v>
      </c>
      <c r="T993" s="6">
        <v>36312</v>
      </c>
      <c r="U993" s="4">
        <v>250000</v>
      </c>
      <c r="X993" t="s">
        <v>3</v>
      </c>
      <c r="AA993" s="5" t="str">
        <f>HYPERLINK("https://www.zillow.com/homes/8112-PORTSMOUTH-DR-DARIEN-IL-60561_rb/","check listing")</f>
        <v>check listing</v>
      </c>
      <c r="AB993" s="5" t="str">
        <f>HYPERLINK("https://propertylookup.dupagecounty.gov/Datalets/Datalet.aspx?UseSearch=no&amp;mode=sales&amp;pin=0934210019","sales record")</f>
        <v>sales record</v>
      </c>
      <c r="AC993" t="s">
        <v>3</v>
      </c>
      <c r="AD993">
        <v>41.74002</v>
      </c>
      <c r="AE993">
        <v>-87.96283</v>
      </c>
      <c r="AF993" s="5" t="str">
        <f>HYPERLINK("https://www.google.com/maps/search/?api=1&amp;query=41.74002,-87.96283","map")</f>
        <v>map</v>
      </c>
    </row>
    <row r="994" spans="1:32">
      <c r="A994" t="s">
        <v>1044</v>
      </c>
      <c r="B994" t="s">
        <v>8621</v>
      </c>
      <c r="C994" t="s">
        <v>15201</v>
      </c>
      <c r="D994" t="s">
        <v>16198</v>
      </c>
      <c r="E994" t="s">
        <v>16218</v>
      </c>
      <c r="F994" t="s">
        <v>16221</v>
      </c>
      <c r="G994" t="s">
        <v>16241</v>
      </c>
      <c r="H994" t="s">
        <v>16241</v>
      </c>
      <c r="I994" t="s">
        <v>16317</v>
      </c>
      <c r="J994" t="s">
        <v>16385</v>
      </c>
      <c r="K994">
        <v>0.335</v>
      </c>
      <c r="L994">
        <v>14605</v>
      </c>
      <c r="M994">
        <v>3603</v>
      </c>
      <c r="N994" t="s">
        <v>16393</v>
      </c>
      <c r="O994" s="4">
        <v>73136</v>
      </c>
      <c r="P994" s="4">
        <v>126188</v>
      </c>
      <c r="Q994" s="4">
        <v>199324</v>
      </c>
      <c r="R994" s="4">
        <v>597972</v>
      </c>
      <c r="S994" t="s">
        <v>17368</v>
      </c>
      <c r="T994" s="6">
        <v>45595</v>
      </c>
      <c r="U994" s="4">
        <v>505000</v>
      </c>
      <c r="V994" t="s">
        <v>23738</v>
      </c>
      <c r="W994" t="s">
        <v>24230</v>
      </c>
      <c r="X994" t="s">
        <v>3</v>
      </c>
      <c r="AA994" s="5" t="str">
        <f>HYPERLINK("https://www.zillow.com/homes/8430-CARRIAGE-GREEN-DR-DARIEN-IL-60561_rb/","check listing")</f>
        <v>check listing</v>
      </c>
      <c r="AB994" s="5" t="str">
        <f>HYPERLINK("https://propertylookup.dupagecounty.gov/Datalets/Datalet.aspx?UseSearch=no&amp;mode=sales&amp;pin=0933301005","sales record")</f>
        <v>sales record</v>
      </c>
      <c r="AC994" t="s">
        <v>3</v>
      </c>
      <c r="AD994">
        <v>41.733525</v>
      </c>
      <c r="AE994">
        <v>-87.98822199999999</v>
      </c>
      <c r="AF994" s="5" t="str">
        <f>HYPERLINK("https://www.google.com/maps/search/?api=1&amp;query=41.733525,-87.988222","map")</f>
        <v>map</v>
      </c>
    </row>
    <row r="995" spans="1:32">
      <c r="A995" t="s">
        <v>1045</v>
      </c>
      <c r="B995" t="s">
        <v>8622</v>
      </c>
      <c r="C995" t="s">
        <v>15201</v>
      </c>
      <c r="D995" t="s">
        <v>16198</v>
      </c>
      <c r="E995" t="s">
        <v>16218</v>
      </c>
      <c r="F995" t="s">
        <v>16221</v>
      </c>
      <c r="G995" t="s">
        <v>16241</v>
      </c>
      <c r="H995" t="s">
        <v>16241</v>
      </c>
      <c r="I995" t="s">
        <v>16317</v>
      </c>
      <c r="J995" t="s">
        <v>16385</v>
      </c>
      <c r="K995">
        <v>0.334</v>
      </c>
      <c r="L995">
        <v>14549</v>
      </c>
      <c r="M995">
        <v>3754</v>
      </c>
      <c r="N995" t="s">
        <v>16393</v>
      </c>
      <c r="O995" s="4">
        <v>84380</v>
      </c>
      <c r="P995" s="4">
        <v>86387</v>
      </c>
      <c r="Q995" s="4">
        <v>170767</v>
      </c>
      <c r="R995" s="4">
        <v>512301</v>
      </c>
      <c r="S995" t="s">
        <v>17369</v>
      </c>
      <c r="T995" s="6">
        <v>41426</v>
      </c>
      <c r="U995" s="4">
        <v>380000</v>
      </c>
      <c r="V995" t="s">
        <v>23740</v>
      </c>
      <c r="W995" t="s">
        <v>24231</v>
      </c>
      <c r="X995" t="s">
        <v>3</v>
      </c>
      <c r="AA995" s="5" t="str">
        <f>HYPERLINK("https://www.zillow.com/homes/8730-CARRIAGE-GREEN-DARIEN-IL-60561_rb/","check listing")</f>
        <v>check listing</v>
      </c>
      <c r="AB995" s="5" t="str">
        <f>HYPERLINK("https://propertylookup.dupagecounty.gov/Datalets/Datalet.aspx?UseSearch=no&amp;mode=sales&amp;pin=1004102012","sales record")</f>
        <v>sales record</v>
      </c>
      <c r="AC995" t="s">
        <v>3</v>
      </c>
      <c r="AD995">
        <v>41.728843</v>
      </c>
      <c r="AE995">
        <v>-87.985032</v>
      </c>
      <c r="AF995" s="5" t="str">
        <f>HYPERLINK("https://www.google.com/maps/search/?api=1&amp;query=41.728843,-87.985032","map")</f>
        <v>map</v>
      </c>
    </row>
    <row r="996" spans="1:32">
      <c r="A996" t="s">
        <v>1046</v>
      </c>
      <c r="B996" t="s">
        <v>8623</v>
      </c>
      <c r="C996" t="s">
        <v>15201</v>
      </c>
      <c r="D996" t="s">
        <v>16198</v>
      </c>
      <c r="E996" t="s">
        <v>16218</v>
      </c>
      <c r="F996" t="s">
        <v>16221</v>
      </c>
      <c r="G996" t="s">
        <v>16241</v>
      </c>
      <c r="H996" t="s">
        <v>16241</v>
      </c>
      <c r="I996" t="s">
        <v>16317</v>
      </c>
      <c r="J996" t="s">
        <v>16385</v>
      </c>
      <c r="K996">
        <v>0.334</v>
      </c>
      <c r="L996">
        <v>14544</v>
      </c>
      <c r="M996">
        <v>3056</v>
      </c>
      <c r="N996" t="s">
        <v>16393</v>
      </c>
      <c r="O996" s="4">
        <v>68347</v>
      </c>
      <c r="P996" s="4">
        <v>175755</v>
      </c>
      <c r="Q996" s="4">
        <v>244102</v>
      </c>
      <c r="R996" s="4">
        <v>732306</v>
      </c>
      <c r="S996" t="s">
        <v>17370</v>
      </c>
      <c r="T996" s="6">
        <v>46003</v>
      </c>
      <c r="U996" s="4">
        <v>915001</v>
      </c>
      <c r="V996" t="s">
        <v>16232</v>
      </c>
      <c r="W996" t="s">
        <v>24232</v>
      </c>
      <c r="X996" t="s">
        <v>3</v>
      </c>
      <c r="AA996" s="5" t="str">
        <f>HYPERLINK("https://www.zillow.com/homes/8743-KENTWOOD-CT-DARIEN-IL-60561_rb/","check listing")</f>
        <v>check listing</v>
      </c>
      <c r="AB996" s="5" t="str">
        <f>HYPERLINK("https://propertylookup.dupagecounty.gov/Datalets/Datalet.aspx?UseSearch=no&amp;mode=sales&amp;pin=1004112005","sales record")</f>
        <v>sales record</v>
      </c>
      <c r="AC996" t="s">
        <v>3</v>
      </c>
      <c r="AD996">
        <v>41.727636</v>
      </c>
      <c r="AE996">
        <v>-87.991416</v>
      </c>
      <c r="AF996" s="5" t="str">
        <f>HYPERLINK("https://www.google.com/maps/search/?api=1&amp;query=41.727636,-87.991416","map")</f>
        <v>map</v>
      </c>
    </row>
    <row r="997" spans="1:32">
      <c r="A997" t="s">
        <v>1047</v>
      </c>
      <c r="B997" t="s">
        <v>8624</v>
      </c>
      <c r="C997" t="s">
        <v>15201</v>
      </c>
      <c r="D997" t="s">
        <v>16198</v>
      </c>
      <c r="E997" t="s">
        <v>16218</v>
      </c>
      <c r="F997" t="s">
        <v>16221</v>
      </c>
      <c r="G997" t="s">
        <v>16241</v>
      </c>
      <c r="H997" t="s">
        <v>16241</v>
      </c>
      <c r="I997" t="s">
        <v>16317</v>
      </c>
      <c r="J997" t="s">
        <v>16385</v>
      </c>
      <c r="K997">
        <v>0.331</v>
      </c>
      <c r="L997">
        <v>14402</v>
      </c>
      <c r="M997">
        <v>2439</v>
      </c>
      <c r="N997" t="s">
        <v>16393</v>
      </c>
      <c r="O997" s="4">
        <v>68229</v>
      </c>
      <c r="P997" s="4">
        <v>166119</v>
      </c>
      <c r="Q997" s="4">
        <v>234348</v>
      </c>
      <c r="R997" s="4">
        <v>703044</v>
      </c>
      <c r="S997" t="s">
        <v>17371</v>
      </c>
      <c r="T997" s="6">
        <v>31079</v>
      </c>
      <c r="U997" s="4">
        <v>49000</v>
      </c>
      <c r="X997" t="s">
        <v>3</v>
      </c>
      <c r="AA997" s="5" t="str">
        <f>HYPERLINK("https://www.zillow.com/homes/8742-KENTWOOD-CT-DARIEN-IL-60561_rb/","check listing")</f>
        <v>check listing</v>
      </c>
      <c r="AB997" s="5" t="str">
        <f>HYPERLINK("https://propertylookup.dupagecounty.gov/Datalets/Datalet.aspx?UseSearch=no&amp;mode=sales&amp;pin=1004111005","sales record")</f>
        <v>sales record</v>
      </c>
      <c r="AC997" t="s">
        <v>3</v>
      </c>
      <c r="AD997">
        <v>41.727714</v>
      </c>
      <c r="AE997">
        <v>-87.992249</v>
      </c>
      <c r="AF997" s="5" t="str">
        <f>HYPERLINK("https://www.google.com/maps/search/?api=1&amp;query=41.727714,-87.992249","map")</f>
        <v>map</v>
      </c>
    </row>
    <row r="998" spans="1:32">
      <c r="A998" t="s">
        <v>1048</v>
      </c>
      <c r="B998" t="s">
        <v>8625</v>
      </c>
      <c r="C998" t="s">
        <v>15214</v>
      </c>
      <c r="D998" t="s">
        <v>16198</v>
      </c>
      <c r="E998" t="s">
        <v>16218</v>
      </c>
      <c r="F998" t="s">
        <v>16221</v>
      </c>
      <c r="G998" t="s">
        <v>16241</v>
      </c>
      <c r="H998" t="s">
        <v>16241</v>
      </c>
      <c r="I998" t="s">
        <v>16317</v>
      </c>
      <c r="J998" t="s">
        <v>16385</v>
      </c>
      <c r="K998">
        <v>0.331</v>
      </c>
      <c r="L998">
        <v>14402</v>
      </c>
      <c r="M998">
        <v>2351</v>
      </c>
      <c r="N998" t="s">
        <v>16393</v>
      </c>
      <c r="O998" s="4">
        <v>68229</v>
      </c>
      <c r="P998" s="4">
        <v>172047</v>
      </c>
      <c r="Q998" s="4">
        <v>240276</v>
      </c>
      <c r="R998" s="4">
        <v>720828</v>
      </c>
      <c r="S998" t="s">
        <v>17372</v>
      </c>
      <c r="T998" s="6">
        <v>42887</v>
      </c>
      <c r="U998" s="4">
        <v>575000</v>
      </c>
      <c r="V998" t="s">
        <v>23740</v>
      </c>
      <c r="W998" t="s">
        <v>24233</v>
      </c>
      <c r="X998" t="s">
        <v>3</v>
      </c>
      <c r="AA998" s="5" t="str">
        <f>HYPERLINK("https://www.zillow.com/homes/8730-KENTWOOD-CT-DARIEN-IL-605615367_rb/","check listing")</f>
        <v>check listing</v>
      </c>
      <c r="AB998" s="5" t="str">
        <f>HYPERLINK("https://propertylookup.dupagecounty.gov/Datalets/Datalet.aspx?UseSearch=no&amp;mode=sales&amp;pin=1004111002","sales record")</f>
        <v>sales record</v>
      </c>
      <c r="AC998" t="s">
        <v>3</v>
      </c>
      <c r="AD998">
        <v>41.728633</v>
      </c>
      <c r="AE998">
        <v>-87.992272</v>
      </c>
      <c r="AF998" s="5" t="str">
        <f>HYPERLINK("https://www.google.com/maps/search/?api=1&amp;query=41.728633,-87.992272","map")</f>
        <v>map</v>
      </c>
    </row>
    <row r="999" spans="1:32">
      <c r="A999" t="s">
        <v>1049</v>
      </c>
      <c r="B999" t="s">
        <v>8626</v>
      </c>
      <c r="C999" t="s">
        <v>15201</v>
      </c>
      <c r="D999" t="s">
        <v>16198</v>
      </c>
      <c r="E999" t="s">
        <v>16218</v>
      </c>
      <c r="F999" t="s">
        <v>16221</v>
      </c>
      <c r="G999" t="s">
        <v>16241</v>
      </c>
      <c r="H999" t="s">
        <v>16241</v>
      </c>
      <c r="I999" t="s">
        <v>16317</v>
      </c>
      <c r="J999" t="s">
        <v>16385</v>
      </c>
      <c r="K999">
        <v>0.331</v>
      </c>
      <c r="L999">
        <v>14402</v>
      </c>
      <c r="M999">
        <v>2314</v>
      </c>
      <c r="N999" t="s">
        <v>16393</v>
      </c>
      <c r="O999" s="4">
        <v>68229</v>
      </c>
      <c r="P999" s="4">
        <v>154088</v>
      </c>
      <c r="Q999" s="4">
        <v>222317</v>
      </c>
      <c r="R999" s="4">
        <v>666951</v>
      </c>
      <c r="S999" t="s">
        <v>17373</v>
      </c>
      <c r="T999" s="6">
        <v>42491</v>
      </c>
      <c r="U999" s="4">
        <v>515000</v>
      </c>
      <c r="V999" t="s">
        <v>23739</v>
      </c>
      <c r="W999" t="s">
        <v>24234</v>
      </c>
      <c r="X999" t="s">
        <v>3</v>
      </c>
      <c r="AA999" s="5" t="str">
        <f>HYPERLINK("https://www.zillow.com/homes/8750-KENTWOOD-ST-DARIEN-IL-60561_rb/","check listing")</f>
        <v>check listing</v>
      </c>
      <c r="AB999" s="5" t="str">
        <f>HYPERLINK("https://propertylookup.dupagecounty.gov/Datalets/Datalet.aspx?UseSearch=no&amp;mode=sales&amp;pin=1004111007","sales record")</f>
        <v>sales record</v>
      </c>
      <c r="AC999" t="s">
        <v>3</v>
      </c>
      <c r="AD999">
        <v>41.727247</v>
      </c>
      <c r="AE999">
        <v>-87.992237</v>
      </c>
      <c r="AF999" s="5" t="str">
        <f>HYPERLINK("https://www.google.com/maps/search/?api=1&amp;query=41.727247,-87.992237","map")</f>
        <v>map</v>
      </c>
    </row>
    <row r="1000" spans="1:32">
      <c r="A1000" t="s">
        <v>1050</v>
      </c>
      <c r="B1000" t="s">
        <v>8627</v>
      </c>
      <c r="C1000" t="s">
        <v>15235</v>
      </c>
      <c r="D1000" t="s">
        <v>16198</v>
      </c>
      <c r="E1000" t="s">
        <v>16218</v>
      </c>
      <c r="F1000" t="s">
        <v>16221</v>
      </c>
      <c r="G1000" t="s">
        <v>16241</v>
      </c>
      <c r="H1000" t="s">
        <v>16241</v>
      </c>
      <c r="I1000" t="s">
        <v>16317</v>
      </c>
      <c r="J1000" t="s">
        <v>16385</v>
      </c>
      <c r="K1000">
        <v>0.331</v>
      </c>
      <c r="L1000">
        <v>14401</v>
      </c>
      <c r="M1000">
        <v>2708</v>
      </c>
      <c r="N1000" t="s">
        <v>16393</v>
      </c>
      <c r="O1000" s="4">
        <v>68229</v>
      </c>
      <c r="P1000" s="4">
        <v>183490</v>
      </c>
      <c r="Q1000" s="4">
        <v>251719</v>
      </c>
      <c r="R1000" s="4">
        <v>755157</v>
      </c>
      <c r="S1000" t="s">
        <v>17374</v>
      </c>
      <c r="T1000" s="6">
        <v>35674</v>
      </c>
      <c r="U1000" s="4">
        <v>420000</v>
      </c>
      <c r="X1000" t="s">
        <v>3</v>
      </c>
      <c r="AA1000" s="5" t="str">
        <f>HYPERLINK("https://www.zillow.com/homes/8746-KENTWOOD-DARIEN-IL-60515_rb/","check listing")</f>
        <v>check listing</v>
      </c>
      <c r="AB1000" s="5" t="str">
        <f>HYPERLINK("https://propertylookup.dupagecounty.gov/Datalets/Datalet.aspx?UseSearch=no&amp;mode=sales&amp;pin=1004111006","sales record")</f>
        <v>sales record</v>
      </c>
      <c r="AC1000" t="s">
        <v>3</v>
      </c>
      <c r="AD1000">
        <v>41.727485</v>
      </c>
      <c r="AE1000">
        <v>-87.992243</v>
      </c>
      <c r="AF1000" s="5" t="str">
        <f>HYPERLINK("https://www.google.com/maps/search/?api=1&amp;query=41.727485,-87.992243","map")</f>
        <v>map</v>
      </c>
    </row>
    <row r="1001" spans="1:32">
      <c r="A1001" t="s">
        <v>1051</v>
      </c>
      <c r="B1001" t="s">
        <v>8628</v>
      </c>
      <c r="C1001" t="s">
        <v>15236</v>
      </c>
      <c r="D1001" t="s">
        <v>16198</v>
      </c>
      <c r="E1001" t="s">
        <v>16218</v>
      </c>
      <c r="F1001" t="s">
        <v>16221</v>
      </c>
      <c r="G1001" t="s">
        <v>16241</v>
      </c>
      <c r="H1001" t="s">
        <v>16241</v>
      </c>
      <c r="I1001" t="s">
        <v>16317</v>
      </c>
      <c r="J1001" t="s">
        <v>16385</v>
      </c>
      <c r="K1001">
        <v>0.331</v>
      </c>
      <c r="L1001">
        <v>14401</v>
      </c>
      <c r="M1001">
        <v>2129</v>
      </c>
      <c r="N1001" t="s">
        <v>16393</v>
      </c>
      <c r="O1001" s="4">
        <v>68229</v>
      </c>
      <c r="P1001" s="4">
        <v>137609</v>
      </c>
      <c r="Q1001" s="4">
        <v>205838</v>
      </c>
      <c r="R1001" s="4">
        <v>617514</v>
      </c>
      <c r="S1001" t="s">
        <v>17375</v>
      </c>
      <c r="T1001" s="6">
        <v>43556</v>
      </c>
      <c r="U1001" s="4">
        <v>495000</v>
      </c>
      <c r="V1001" t="s">
        <v>23740</v>
      </c>
      <c r="W1001" t="s">
        <v>24235</v>
      </c>
      <c r="X1001" t="s">
        <v>3</v>
      </c>
      <c r="AA1001" s="5" t="str">
        <f>HYPERLINK("https://www.zillow.com/homes/1925-KIMBERLY-CT-DARIEN-IL-605615371_rb/","check listing")</f>
        <v>check listing</v>
      </c>
      <c r="AB1001" s="5" t="str">
        <f>HYPERLINK("https://propertylookup.dupagecounty.gov/Datalets/Datalet.aspx?UseSearch=no&amp;mode=sales&amp;pin=1004111001","sales record")</f>
        <v>sales record</v>
      </c>
      <c r="AC1001" t="s">
        <v>3</v>
      </c>
      <c r="AD1001">
        <v>41.72888</v>
      </c>
      <c r="AE1001">
        <v>-87.992278</v>
      </c>
      <c r="AF1001" s="5" t="str">
        <f>HYPERLINK("https://www.google.com/maps/search/?api=1&amp;query=41.72888,-87.992278","map")</f>
        <v>map</v>
      </c>
    </row>
    <row r="1002" spans="1:32">
      <c r="A1002" t="s">
        <v>1052</v>
      </c>
      <c r="B1002" t="s">
        <v>8629</v>
      </c>
      <c r="C1002" t="s">
        <v>15201</v>
      </c>
      <c r="D1002" t="s">
        <v>16198</v>
      </c>
      <c r="E1002" t="s">
        <v>16218</v>
      </c>
      <c r="F1002" t="s">
        <v>16221</v>
      </c>
      <c r="G1002" t="s">
        <v>16241</v>
      </c>
      <c r="H1002" t="s">
        <v>16241</v>
      </c>
      <c r="I1002" t="s">
        <v>16317</v>
      </c>
      <c r="J1002" t="s">
        <v>16385</v>
      </c>
      <c r="K1002">
        <v>0.33</v>
      </c>
      <c r="L1002">
        <v>14372</v>
      </c>
      <c r="M1002">
        <v>2384</v>
      </c>
      <c r="N1002" t="s">
        <v>16393</v>
      </c>
      <c r="O1002" s="4">
        <v>79967</v>
      </c>
      <c r="P1002" s="4">
        <v>111986</v>
      </c>
      <c r="Q1002" s="4">
        <v>191953</v>
      </c>
      <c r="R1002" s="4">
        <v>575859</v>
      </c>
      <c r="S1002" t="s">
        <v>17376</v>
      </c>
      <c r="T1002" s="6">
        <v>32112</v>
      </c>
      <c r="U1002" s="4">
        <v>224336</v>
      </c>
      <c r="X1002" t="s">
        <v>3</v>
      </c>
      <c r="AA1002" s="5" t="str">
        <f>HYPERLINK("https://www.zillow.com/homes/1509-EVERGREEN-CT-DARIEN-IL-60561_rb/","check listing")</f>
        <v>check listing</v>
      </c>
      <c r="AB1002" s="5" t="str">
        <f>HYPERLINK("https://propertylookup.dupagecounty.gov/Datalets/Datalet.aspx?UseSearch=no&amp;mode=sales&amp;pin=0933404006","sales record")</f>
        <v>sales record</v>
      </c>
      <c r="AC1002" t="s">
        <v>3</v>
      </c>
      <c r="AD1002">
        <v>41.7352</v>
      </c>
      <c r="AE1002">
        <v>-87.97881700000001</v>
      </c>
      <c r="AF1002" s="5" t="str">
        <f>HYPERLINK("https://www.google.com/maps/search/?api=1&amp;query=41.7352,-87.978817","map")</f>
        <v>map</v>
      </c>
    </row>
    <row r="1003" spans="1:32">
      <c r="A1003" t="s">
        <v>1053</v>
      </c>
      <c r="B1003" t="s">
        <v>8630</v>
      </c>
      <c r="C1003" t="s">
        <v>15201</v>
      </c>
      <c r="D1003" t="s">
        <v>16198</v>
      </c>
      <c r="E1003" t="s">
        <v>16218</v>
      </c>
      <c r="F1003" t="s">
        <v>16221</v>
      </c>
      <c r="G1003" t="s">
        <v>16241</v>
      </c>
      <c r="H1003" t="s">
        <v>16241</v>
      </c>
      <c r="I1003" t="s">
        <v>16317</v>
      </c>
      <c r="J1003" t="s">
        <v>16385</v>
      </c>
      <c r="K1003">
        <v>0.33</v>
      </c>
      <c r="L1003">
        <v>14363</v>
      </c>
      <c r="M1003">
        <v>4473</v>
      </c>
      <c r="N1003" t="s">
        <v>16393</v>
      </c>
      <c r="O1003" s="4">
        <v>70084</v>
      </c>
      <c r="P1003" s="4">
        <v>137515</v>
      </c>
      <c r="Q1003" s="4">
        <v>207599</v>
      </c>
      <c r="R1003" s="4">
        <v>622797</v>
      </c>
      <c r="S1003" t="s">
        <v>17377</v>
      </c>
      <c r="T1003" s="6">
        <v>45296</v>
      </c>
      <c r="U1003" s="4">
        <v>670000</v>
      </c>
      <c r="V1003" t="s">
        <v>23741</v>
      </c>
      <c r="W1003" t="s">
        <v>24236</v>
      </c>
      <c r="X1003" t="s">
        <v>3</v>
      </c>
      <c r="AA1003" s="5" t="str">
        <f>HYPERLINK("https://www.zillow.com/homes/8402-CARRIAGE-GREEN-DR-DARIEN-IL-60561_rb/","check listing")</f>
        <v>check listing</v>
      </c>
      <c r="AB1003" s="5" t="str">
        <f>HYPERLINK("https://propertylookup.dupagecounty.gov/Datalets/Datalet.aspx?UseSearch=no&amp;mode=sales&amp;pin=0933301015","sales record")</f>
        <v>sales record</v>
      </c>
      <c r="AC1003" t="s">
        <v>3</v>
      </c>
      <c r="AD1003">
        <v>41.735437</v>
      </c>
      <c r="AE1003">
        <v>-87.9881</v>
      </c>
      <c r="AF1003" s="5" t="str">
        <f>HYPERLINK("https://www.google.com/maps/search/?api=1&amp;query=41.735437,-87.9881","map")</f>
        <v>map</v>
      </c>
    </row>
    <row r="1004" spans="1:32">
      <c r="A1004" t="s">
        <v>1054</v>
      </c>
      <c r="B1004" t="s">
        <v>8631</v>
      </c>
      <c r="C1004" t="s">
        <v>15201</v>
      </c>
      <c r="D1004" t="s">
        <v>16198</v>
      </c>
      <c r="E1004" t="s">
        <v>16218</v>
      </c>
      <c r="F1004" t="s">
        <v>16221</v>
      </c>
      <c r="G1004" t="s">
        <v>16241</v>
      </c>
      <c r="H1004" t="s">
        <v>16241</v>
      </c>
      <c r="I1004" t="s">
        <v>16317</v>
      </c>
      <c r="J1004" t="s">
        <v>16385</v>
      </c>
      <c r="K1004">
        <v>0.329</v>
      </c>
      <c r="L1004">
        <v>14351</v>
      </c>
      <c r="M1004">
        <v>2199</v>
      </c>
      <c r="N1004" t="s">
        <v>16393</v>
      </c>
      <c r="O1004" s="4">
        <v>90600</v>
      </c>
      <c r="P1004" s="4">
        <v>117855</v>
      </c>
      <c r="Q1004" s="4">
        <v>208455</v>
      </c>
      <c r="R1004" s="4">
        <v>625365</v>
      </c>
      <c r="S1004" t="s">
        <v>17378</v>
      </c>
      <c r="T1004" s="6">
        <v>36161</v>
      </c>
      <c r="U1004" s="4">
        <v>385000</v>
      </c>
      <c r="X1004" t="s">
        <v>3</v>
      </c>
      <c r="AA1004" s="5" t="str">
        <f>HYPERLINK("https://www.zillow.com/homes/1633-COACHMAN-RD-DARIEN-IL-60561_rb/","check listing")</f>
        <v>check listing</v>
      </c>
      <c r="AB1004" s="5" t="str">
        <f>HYPERLINK("https://propertylookup.dupagecounty.gov/Datalets/Datalet.aspx?UseSearch=no&amp;mode=sales&amp;pin=0933303001","sales record")</f>
        <v>sales record</v>
      </c>
      <c r="AC1004" t="s">
        <v>3</v>
      </c>
      <c r="AD1004">
        <v>41.731776</v>
      </c>
      <c r="AE1004">
        <v>-87.98617400000001</v>
      </c>
      <c r="AF1004" s="5" t="str">
        <f>HYPERLINK("https://www.google.com/maps/search/?api=1&amp;query=41.731776,-87.986174","map")</f>
        <v>map</v>
      </c>
    </row>
    <row r="1005" spans="1:32">
      <c r="A1005" t="s">
        <v>1055</v>
      </c>
      <c r="B1005" t="s">
        <v>8632</v>
      </c>
      <c r="C1005" t="s">
        <v>15201</v>
      </c>
      <c r="D1005" t="s">
        <v>16198</v>
      </c>
      <c r="E1005" t="s">
        <v>16218</v>
      </c>
      <c r="F1005" t="s">
        <v>16221</v>
      </c>
      <c r="G1005" t="s">
        <v>16241</v>
      </c>
      <c r="H1005" t="s">
        <v>16241</v>
      </c>
      <c r="I1005" t="s">
        <v>16317</v>
      </c>
      <c r="J1005" t="s">
        <v>16385</v>
      </c>
      <c r="K1005">
        <v>0.329</v>
      </c>
      <c r="L1005">
        <v>14326</v>
      </c>
      <c r="M1005">
        <v>3371</v>
      </c>
      <c r="N1005" t="s">
        <v>16393</v>
      </c>
      <c r="O1005" s="4">
        <v>81680</v>
      </c>
      <c r="P1005" s="4">
        <v>118195</v>
      </c>
      <c r="Q1005" s="4">
        <v>199875</v>
      </c>
      <c r="R1005" s="4">
        <v>599625</v>
      </c>
      <c r="S1005" t="s">
        <v>17379</v>
      </c>
      <c r="T1005" s="6">
        <v>38838</v>
      </c>
      <c r="U1005" s="4">
        <v>580000</v>
      </c>
      <c r="V1005" t="s">
        <v>23739</v>
      </c>
      <c r="W1005" t="s">
        <v>24237</v>
      </c>
      <c r="X1005" t="s">
        <v>3</v>
      </c>
      <c r="AA1005" s="5" t="str">
        <f>HYPERLINK("https://www.zillow.com/homes/1609-COACHMANS-RD-DARIEN-IL-60561_rb/","check listing")</f>
        <v>check listing</v>
      </c>
      <c r="AB1005" s="5" t="str">
        <f>HYPERLINK("https://propertylookup.dupagecounty.gov/Datalets/Datalet.aspx?UseSearch=no&amp;mode=sales&amp;pin=0933303008","sales record")</f>
        <v>sales record</v>
      </c>
      <c r="AC1005" t="s">
        <v>3</v>
      </c>
      <c r="AD1005">
        <v>41.732186</v>
      </c>
      <c r="AE1005">
        <v>-87.98416400000001</v>
      </c>
      <c r="AF1005" s="5" t="str">
        <f>HYPERLINK("https://www.google.com/maps/search/?api=1&amp;query=41.732186,-87.984164","map")</f>
        <v>map</v>
      </c>
    </row>
    <row r="1006" spans="1:32">
      <c r="A1006" t="s">
        <v>1056</v>
      </c>
      <c r="B1006" t="s">
        <v>8633</v>
      </c>
      <c r="C1006" t="s">
        <v>15201</v>
      </c>
      <c r="D1006" t="s">
        <v>16198</v>
      </c>
      <c r="E1006" t="s">
        <v>16218</v>
      </c>
      <c r="F1006" t="s">
        <v>16221</v>
      </c>
      <c r="G1006" t="s">
        <v>16241</v>
      </c>
      <c r="H1006" t="s">
        <v>16241</v>
      </c>
      <c r="I1006" t="s">
        <v>16317</v>
      </c>
      <c r="J1006" t="s">
        <v>16385</v>
      </c>
      <c r="K1006">
        <v>0.328</v>
      </c>
      <c r="L1006">
        <v>14291</v>
      </c>
      <c r="M1006">
        <v>1629</v>
      </c>
      <c r="N1006" t="s">
        <v>16393</v>
      </c>
      <c r="O1006" s="4">
        <v>75941</v>
      </c>
      <c r="P1006" s="4">
        <v>123970</v>
      </c>
      <c r="Q1006" s="4">
        <v>199911</v>
      </c>
      <c r="R1006" s="4">
        <v>599733</v>
      </c>
      <c r="S1006" t="s">
        <v>17380</v>
      </c>
      <c r="T1006" s="6">
        <v>45593</v>
      </c>
      <c r="U1006" s="4">
        <v>620000</v>
      </c>
      <c r="V1006" t="s">
        <v>23739</v>
      </c>
      <c r="W1006" t="s">
        <v>24238</v>
      </c>
      <c r="X1006" t="s">
        <v>3</v>
      </c>
      <c r="AA1006" s="5" t="str">
        <f>HYPERLINK("https://www.zillow.com/homes/1531-PINEHURST-DR-DARIEN-IL-60561_rb/","check listing")</f>
        <v>check listing</v>
      </c>
      <c r="AB1006" s="5" t="str">
        <f>HYPERLINK("https://propertylookup.dupagecounty.gov/Datalets/Datalet.aspx?UseSearch=no&amp;mode=sales&amp;pin=0933208007","sales record")</f>
        <v>sales record</v>
      </c>
      <c r="AC1006" t="s">
        <v>3</v>
      </c>
      <c r="AD1006">
        <v>41.737318</v>
      </c>
      <c r="AE1006">
        <v>-87.98276</v>
      </c>
      <c r="AF1006" s="5" t="str">
        <f>HYPERLINK("https://www.google.com/maps/search/?api=1&amp;query=41.737318,-87.98276","map")</f>
        <v>map</v>
      </c>
    </row>
    <row r="1007" spans="1:32">
      <c r="A1007" t="s">
        <v>1057</v>
      </c>
      <c r="B1007" t="s">
        <v>8634</v>
      </c>
      <c r="C1007" t="s">
        <v>15201</v>
      </c>
      <c r="D1007" t="s">
        <v>16198</v>
      </c>
      <c r="E1007" t="s">
        <v>16218</v>
      </c>
      <c r="F1007" t="s">
        <v>16221</v>
      </c>
      <c r="G1007" t="s">
        <v>16241</v>
      </c>
      <c r="H1007" t="s">
        <v>16241</v>
      </c>
      <c r="I1007" t="s">
        <v>16317</v>
      </c>
      <c r="J1007" t="s">
        <v>16385</v>
      </c>
      <c r="K1007">
        <v>0.327</v>
      </c>
      <c r="L1007">
        <v>14230</v>
      </c>
      <c r="M1007">
        <v>2817</v>
      </c>
      <c r="N1007" t="s">
        <v>16393</v>
      </c>
      <c r="O1007" s="4">
        <v>87420</v>
      </c>
      <c r="P1007" s="4">
        <v>114322</v>
      </c>
      <c r="Q1007" s="4">
        <v>201742</v>
      </c>
      <c r="R1007" s="4">
        <v>605226</v>
      </c>
      <c r="S1007" t="s">
        <v>17381</v>
      </c>
      <c r="T1007" s="6">
        <v>41395</v>
      </c>
      <c r="U1007" s="4">
        <v>339000</v>
      </c>
      <c r="V1007" t="s">
        <v>23739</v>
      </c>
      <c r="W1007" t="s">
        <v>24239</v>
      </c>
      <c r="X1007" t="s">
        <v>3</v>
      </c>
      <c r="AA1007" s="5" t="str">
        <f>HYPERLINK("https://www.zillow.com/homes/1630-FOX-HILL-PL-DARIEN-IL-60561_rb/","check listing")</f>
        <v>check listing</v>
      </c>
      <c r="AB1007" s="5" t="str">
        <f>HYPERLINK("https://propertylookup.dupagecounty.gov/Datalets/Datalet.aspx?UseSearch=no&amp;mode=sales&amp;pin=0933302002","sales record")</f>
        <v>sales record</v>
      </c>
      <c r="AC1007" t="s">
        <v>3</v>
      </c>
      <c r="AD1007">
        <v>41.734512</v>
      </c>
      <c r="AE1007">
        <v>-87.987043</v>
      </c>
      <c r="AF1007" s="5" t="str">
        <f>HYPERLINK("https://www.google.com/maps/search/?api=1&amp;query=41.734512,-87.987043","map")</f>
        <v>map</v>
      </c>
    </row>
    <row r="1008" spans="1:32">
      <c r="A1008" t="s">
        <v>1058</v>
      </c>
      <c r="B1008" t="s">
        <v>8635</v>
      </c>
      <c r="C1008" t="s">
        <v>15220</v>
      </c>
      <c r="D1008" t="s">
        <v>16198</v>
      </c>
      <c r="E1008" t="s">
        <v>16218</v>
      </c>
      <c r="F1008" t="s">
        <v>16221</v>
      </c>
      <c r="G1008" t="s">
        <v>16241</v>
      </c>
      <c r="H1008" t="s">
        <v>16241</v>
      </c>
      <c r="I1008" t="s">
        <v>16317</v>
      </c>
      <c r="J1008" t="s">
        <v>16385</v>
      </c>
      <c r="K1008">
        <v>0.324</v>
      </c>
      <c r="L1008">
        <v>14131</v>
      </c>
      <c r="M1008">
        <v>2374</v>
      </c>
      <c r="N1008" t="s">
        <v>16393</v>
      </c>
      <c r="O1008" s="4">
        <v>77491</v>
      </c>
      <c r="P1008" s="4">
        <v>114732</v>
      </c>
      <c r="Q1008" s="4">
        <v>192223</v>
      </c>
      <c r="R1008" s="4">
        <v>576669</v>
      </c>
      <c r="S1008" t="s">
        <v>17382</v>
      </c>
      <c r="T1008" s="6">
        <v>43221</v>
      </c>
      <c r="U1008" s="4">
        <v>455011</v>
      </c>
      <c r="V1008" t="s">
        <v>23739</v>
      </c>
      <c r="W1008" t="s">
        <v>24240</v>
      </c>
      <c r="X1008" t="s">
        <v>3</v>
      </c>
      <c r="AA1008" s="5" t="str">
        <f>HYPERLINK("https://www.zillow.com/homes/1610-ROYAL-OAK-RD-DARIEN-IL-605615331_rb/","check listing")</f>
        <v>check listing</v>
      </c>
      <c r="AB1008" s="5" t="str">
        <f>HYPERLINK("https://propertylookup.dupagecounty.gov/Datalets/Datalet.aspx?UseSearch=no&amp;mode=sales&amp;pin=1004101003","sales record")</f>
        <v>sales record</v>
      </c>
      <c r="AC1008" t="s">
        <v>3</v>
      </c>
      <c r="AD1008">
        <v>41.729234</v>
      </c>
      <c r="AE1008">
        <v>-87.98662</v>
      </c>
      <c r="AF1008" s="5" t="str">
        <f>HYPERLINK("https://www.google.com/maps/search/?api=1&amp;query=41.729234,-87.98662","map")</f>
        <v>map</v>
      </c>
    </row>
    <row r="1009" spans="1:32">
      <c r="A1009" t="s">
        <v>1059</v>
      </c>
      <c r="B1009" t="s">
        <v>8636</v>
      </c>
      <c r="C1009" t="s">
        <v>15201</v>
      </c>
      <c r="D1009" t="s">
        <v>16198</v>
      </c>
      <c r="E1009" t="s">
        <v>16218</v>
      </c>
      <c r="F1009" t="s">
        <v>16221</v>
      </c>
      <c r="G1009" t="s">
        <v>16241</v>
      </c>
      <c r="H1009" t="s">
        <v>16241</v>
      </c>
      <c r="I1009" t="s">
        <v>16317</v>
      </c>
      <c r="J1009" t="s">
        <v>16385</v>
      </c>
      <c r="K1009">
        <v>0.324</v>
      </c>
      <c r="L1009">
        <v>14124</v>
      </c>
      <c r="M1009">
        <v>2845</v>
      </c>
      <c r="N1009" t="s">
        <v>16393</v>
      </c>
      <c r="O1009" s="4">
        <v>66892</v>
      </c>
      <c r="P1009" s="4">
        <v>169581</v>
      </c>
      <c r="Q1009" s="4">
        <v>236473</v>
      </c>
      <c r="R1009" s="4">
        <v>709419</v>
      </c>
      <c r="S1009" t="s">
        <v>17383</v>
      </c>
      <c r="T1009" s="6">
        <v>31472</v>
      </c>
      <c r="U1009" s="4">
        <v>55000</v>
      </c>
      <c r="X1009" t="s">
        <v>3</v>
      </c>
      <c r="AA1009" s="5" t="str">
        <f>HYPERLINK("https://www.zillow.com/homes/8747-KENTWOOD-CT-DARIEN-IL-60561_rb/","check listing")</f>
        <v>check listing</v>
      </c>
      <c r="AB1009" s="5" t="str">
        <f>HYPERLINK("https://propertylookup.dupagecounty.gov/Datalets/Datalet.aspx?UseSearch=no&amp;mode=sales&amp;pin=1004112006","sales record")</f>
        <v>sales record</v>
      </c>
      <c r="AC1009" t="s">
        <v>3</v>
      </c>
      <c r="AD1009">
        <v>41.727365</v>
      </c>
      <c r="AE1009">
        <v>-87.99141899999999</v>
      </c>
      <c r="AF1009" s="5" t="str">
        <f>HYPERLINK("https://www.google.com/maps/search/?api=1&amp;query=41.727365,-87.991419","map")</f>
        <v>map</v>
      </c>
    </row>
    <row r="1010" spans="1:32">
      <c r="A1010" t="s">
        <v>1060</v>
      </c>
      <c r="B1010" t="s">
        <v>8637</v>
      </c>
      <c r="C1010" t="s">
        <v>15201</v>
      </c>
      <c r="D1010" t="s">
        <v>16198</v>
      </c>
      <c r="E1010" t="s">
        <v>16218</v>
      </c>
      <c r="F1010" t="s">
        <v>16221</v>
      </c>
      <c r="G1010" t="s">
        <v>16241</v>
      </c>
      <c r="H1010" t="s">
        <v>16241</v>
      </c>
      <c r="I1010" t="s">
        <v>16317</v>
      </c>
      <c r="J1010" t="s">
        <v>16385</v>
      </c>
      <c r="K1010">
        <v>0.322</v>
      </c>
      <c r="L1010">
        <v>14048</v>
      </c>
      <c r="M1010">
        <v>2325</v>
      </c>
      <c r="N1010" t="s">
        <v>16393</v>
      </c>
      <c r="O1010" s="4">
        <v>91931</v>
      </c>
      <c r="P1010" s="4">
        <v>123648</v>
      </c>
      <c r="Q1010" s="4">
        <v>215579</v>
      </c>
      <c r="R1010" s="4">
        <v>646737</v>
      </c>
      <c r="S1010" t="s">
        <v>17384</v>
      </c>
      <c r="T1010" s="6">
        <v>45780</v>
      </c>
      <c r="U1010" s="4">
        <v>772000</v>
      </c>
      <c r="V1010" t="s">
        <v>23739</v>
      </c>
      <c r="W1010" t="s">
        <v>24241</v>
      </c>
      <c r="X1010" t="s">
        <v>3</v>
      </c>
      <c r="AA1010" s="5" t="str">
        <f>HYPERLINK("https://www.zillow.com/homes/1520-PINEHURST-DR-DARIEN-IL-60561_rb/","check listing")</f>
        <v>check listing</v>
      </c>
      <c r="AB1010" s="5" t="str">
        <f>HYPERLINK("https://propertylookup.dupagecounty.gov/Datalets/Datalet.aspx?UseSearch=no&amp;mode=sales&amp;pin=0933207017","sales record")</f>
        <v>sales record</v>
      </c>
      <c r="AC1010" t="s">
        <v>3</v>
      </c>
      <c r="AD1010">
        <v>41.737837</v>
      </c>
      <c r="AE1010">
        <v>-87.982052</v>
      </c>
      <c r="AF1010" s="5" t="str">
        <f>HYPERLINK("https://www.google.com/maps/search/?api=1&amp;query=41.737837,-87.982052","map")</f>
        <v>map</v>
      </c>
    </row>
    <row r="1011" spans="1:32">
      <c r="A1011" t="s">
        <v>1061</v>
      </c>
      <c r="B1011" t="s">
        <v>8638</v>
      </c>
      <c r="C1011" t="s">
        <v>15201</v>
      </c>
      <c r="D1011" t="s">
        <v>16198</v>
      </c>
      <c r="E1011" t="s">
        <v>16218</v>
      </c>
      <c r="F1011" t="s">
        <v>16221</v>
      </c>
      <c r="G1011" t="s">
        <v>16241</v>
      </c>
      <c r="H1011" t="s">
        <v>16241</v>
      </c>
      <c r="I1011" t="s">
        <v>16317</v>
      </c>
      <c r="J1011" t="s">
        <v>16385</v>
      </c>
      <c r="K1011">
        <v>0.322</v>
      </c>
      <c r="L1011">
        <v>14025</v>
      </c>
      <c r="M1011">
        <v>2447</v>
      </c>
      <c r="N1011" t="s">
        <v>16393</v>
      </c>
      <c r="O1011" s="4">
        <v>85201</v>
      </c>
      <c r="P1011" s="4">
        <v>161553</v>
      </c>
      <c r="Q1011" s="4">
        <v>246754</v>
      </c>
      <c r="R1011" s="4">
        <v>740262</v>
      </c>
      <c r="S1011" t="s">
        <v>17385</v>
      </c>
      <c r="T1011" s="6">
        <v>32082</v>
      </c>
      <c r="U1011" s="4">
        <v>302324</v>
      </c>
      <c r="X1011" t="s">
        <v>3</v>
      </c>
      <c r="AA1011" s="5" t="str">
        <f>HYPERLINK("https://www.zillow.com/homes/1516-WINTERBERRY-LN-DARIEN-IL-60561_rb/","check listing")</f>
        <v>check listing</v>
      </c>
      <c r="AB1011" s="5" t="str">
        <f>HYPERLINK("https://propertylookup.dupagecounty.gov/Datalets/Datalet.aspx?UseSearch=no&amp;mode=sales&amp;pin=0933404011","sales record")</f>
        <v>sales record</v>
      </c>
      <c r="AC1011" t="s">
        <v>3</v>
      </c>
      <c r="AD1011">
        <v>41.734719</v>
      </c>
      <c r="AE1011">
        <v>-87.979648</v>
      </c>
      <c r="AF1011" s="5" t="str">
        <f>HYPERLINK("https://www.google.com/maps/search/?api=1&amp;query=41.734719,-87.979648","map")</f>
        <v>map</v>
      </c>
    </row>
    <row r="1012" spans="1:32">
      <c r="A1012" t="s">
        <v>1062</v>
      </c>
      <c r="B1012" t="s">
        <v>8639</v>
      </c>
      <c r="C1012" t="s">
        <v>15201</v>
      </c>
      <c r="D1012" t="s">
        <v>16198</v>
      </c>
      <c r="E1012" t="s">
        <v>16218</v>
      </c>
      <c r="F1012" t="s">
        <v>16221</v>
      </c>
      <c r="G1012" t="s">
        <v>16241</v>
      </c>
      <c r="H1012" t="s">
        <v>16241</v>
      </c>
      <c r="I1012" t="s">
        <v>16317</v>
      </c>
      <c r="J1012" t="s">
        <v>16385</v>
      </c>
      <c r="K1012">
        <v>0.322</v>
      </c>
      <c r="L1012">
        <v>14025</v>
      </c>
      <c r="M1012">
        <v>2178</v>
      </c>
      <c r="N1012" t="s">
        <v>16393</v>
      </c>
      <c r="O1012" s="4">
        <v>85201</v>
      </c>
      <c r="P1012" s="4">
        <v>167187</v>
      </c>
      <c r="Q1012" s="4">
        <v>252388</v>
      </c>
      <c r="R1012" s="4">
        <v>757164</v>
      </c>
      <c r="S1012" t="s">
        <v>17386</v>
      </c>
      <c r="T1012" s="6">
        <v>38169</v>
      </c>
      <c r="U1012" s="4">
        <v>565000</v>
      </c>
      <c r="V1012" t="s">
        <v>23739</v>
      </c>
      <c r="W1012" t="s">
        <v>24242</v>
      </c>
      <c r="X1012" t="s">
        <v>3</v>
      </c>
      <c r="AA1012" s="5" t="str">
        <f>HYPERLINK("https://www.zillow.com/homes/1508-WINTERBERRY-LN-DARIEN-IL-60561_rb/","check listing")</f>
        <v>check listing</v>
      </c>
      <c r="AB1012" s="5" t="str">
        <f>HYPERLINK("https://propertylookup.dupagecounty.gov/Datalets/Datalet.aspx?UseSearch=no&amp;mode=sales&amp;pin=0933404013","sales record")</f>
        <v>sales record</v>
      </c>
      <c r="AC1012" t="s">
        <v>3</v>
      </c>
      <c r="AD1012">
        <v>41.734802</v>
      </c>
      <c r="AE1012">
        <v>-87.978972</v>
      </c>
      <c r="AF1012" s="5" t="str">
        <f>HYPERLINK("https://www.google.com/maps/search/?api=1&amp;query=41.734802,-87.978972","map")</f>
        <v>map</v>
      </c>
    </row>
    <row r="1013" spans="1:32">
      <c r="A1013" t="s">
        <v>1063</v>
      </c>
      <c r="B1013" t="s">
        <v>8640</v>
      </c>
      <c r="C1013" t="s">
        <v>15201</v>
      </c>
      <c r="D1013" t="s">
        <v>16198</v>
      </c>
      <c r="E1013" t="s">
        <v>16218</v>
      </c>
      <c r="F1013" t="s">
        <v>16221</v>
      </c>
      <c r="G1013" t="s">
        <v>16241</v>
      </c>
      <c r="H1013" t="s">
        <v>16241</v>
      </c>
      <c r="I1013" t="s">
        <v>16317</v>
      </c>
      <c r="J1013" t="s">
        <v>16385</v>
      </c>
      <c r="K1013">
        <v>0.322</v>
      </c>
      <c r="L1013">
        <v>14022</v>
      </c>
      <c r="M1013">
        <v>2390</v>
      </c>
      <c r="N1013" t="s">
        <v>16393</v>
      </c>
      <c r="O1013" s="4">
        <v>85201</v>
      </c>
      <c r="P1013" s="4">
        <v>162117</v>
      </c>
      <c r="Q1013" s="4">
        <v>247318</v>
      </c>
      <c r="R1013" s="4">
        <v>741954</v>
      </c>
      <c r="S1013" t="s">
        <v>17387</v>
      </c>
      <c r="T1013" s="6">
        <v>40695</v>
      </c>
      <c r="U1013" s="4">
        <v>575000</v>
      </c>
      <c r="V1013" t="s">
        <v>23740</v>
      </c>
      <c r="W1013" t="s">
        <v>24243</v>
      </c>
      <c r="X1013" t="s">
        <v>3</v>
      </c>
      <c r="AA1013" s="5" t="str">
        <f>HYPERLINK("https://www.zillow.com/homes/1504-WINTERBERRY-LN-DARIEN-IL-60561_rb/","check listing")</f>
        <v>check listing</v>
      </c>
      <c r="AB1013" s="5" t="str">
        <f>HYPERLINK("https://propertylookup.dupagecounty.gov/Datalets/Datalet.aspx?UseSearch=no&amp;mode=sales&amp;pin=0933404014","sales record")</f>
        <v>sales record</v>
      </c>
      <c r="AC1013" t="s">
        <v>3</v>
      </c>
      <c r="AD1013">
        <v>41.734844</v>
      </c>
      <c r="AE1013">
        <v>-87.978634</v>
      </c>
      <c r="AF1013" s="5" t="str">
        <f>HYPERLINK("https://www.google.com/maps/search/?api=1&amp;query=41.734844,-87.978634","map")</f>
        <v>map</v>
      </c>
    </row>
    <row r="1014" spans="1:32">
      <c r="A1014" t="s">
        <v>1064</v>
      </c>
      <c r="B1014" t="s">
        <v>8641</v>
      </c>
      <c r="C1014" t="s">
        <v>15237</v>
      </c>
      <c r="D1014" t="s">
        <v>16198</v>
      </c>
      <c r="E1014" t="s">
        <v>16218</v>
      </c>
      <c r="F1014" t="s">
        <v>16221</v>
      </c>
      <c r="G1014" t="s">
        <v>16241</v>
      </c>
      <c r="H1014" t="s">
        <v>16241</v>
      </c>
      <c r="I1014" t="s">
        <v>16317</v>
      </c>
      <c r="J1014" t="s">
        <v>16385</v>
      </c>
      <c r="K1014">
        <v>0.322</v>
      </c>
      <c r="L1014">
        <v>14022</v>
      </c>
      <c r="M1014">
        <v>2573</v>
      </c>
      <c r="N1014" t="s">
        <v>16393</v>
      </c>
      <c r="O1014" s="4">
        <v>85201</v>
      </c>
      <c r="P1014" s="4">
        <v>161294</v>
      </c>
      <c r="Q1014" s="4">
        <v>246495</v>
      </c>
      <c r="R1014" s="4">
        <v>739485</v>
      </c>
      <c r="S1014" t="s">
        <v>17388</v>
      </c>
      <c r="T1014" s="6">
        <v>38991</v>
      </c>
      <c r="U1014" s="4">
        <v>619000</v>
      </c>
      <c r="V1014" t="s">
        <v>23739</v>
      </c>
      <c r="W1014" t="s">
        <v>24244</v>
      </c>
      <c r="X1014" t="s">
        <v>3</v>
      </c>
      <c r="AA1014" s="5" t="str">
        <f>HYPERLINK("https://www.zillow.com/homes/1512-WINTERBERRY-LN-DARIEN-IL-605615391_rb/","check listing")</f>
        <v>check listing</v>
      </c>
      <c r="AB1014" s="5" t="str">
        <f>HYPERLINK("https://propertylookup.dupagecounty.gov/Datalets/Datalet.aspx?UseSearch=no&amp;mode=sales&amp;pin=0933404012","sales record")</f>
        <v>sales record</v>
      </c>
      <c r="AC1014" t="s">
        <v>3</v>
      </c>
      <c r="AD1014">
        <v>41.734761</v>
      </c>
      <c r="AE1014">
        <v>-87.97931</v>
      </c>
      <c r="AF1014" s="5" t="str">
        <f>HYPERLINK("https://www.google.com/maps/search/?api=1&amp;query=41.734761,-87.97931","map")</f>
        <v>map</v>
      </c>
    </row>
    <row r="1015" spans="1:32">
      <c r="A1015" t="s">
        <v>1065</v>
      </c>
      <c r="B1015" t="s">
        <v>8642</v>
      </c>
      <c r="C1015" t="s">
        <v>15201</v>
      </c>
      <c r="D1015" t="s">
        <v>16198</v>
      </c>
      <c r="E1015" t="s">
        <v>16218</v>
      </c>
      <c r="F1015" t="s">
        <v>16221</v>
      </c>
      <c r="G1015" t="s">
        <v>16241</v>
      </c>
      <c r="H1015" t="s">
        <v>16241</v>
      </c>
      <c r="I1015" t="s">
        <v>16317</v>
      </c>
      <c r="J1015" t="s">
        <v>16385</v>
      </c>
      <c r="K1015">
        <v>0.322</v>
      </c>
      <c r="L1015">
        <v>14015</v>
      </c>
      <c r="M1015">
        <v>2719</v>
      </c>
      <c r="N1015" t="s">
        <v>16393</v>
      </c>
      <c r="O1015" s="4">
        <v>82220</v>
      </c>
      <c r="P1015" s="4">
        <v>137715</v>
      </c>
      <c r="Q1015" s="4">
        <v>219935</v>
      </c>
      <c r="R1015" s="4">
        <v>659805</v>
      </c>
      <c r="S1015" t="s">
        <v>17389</v>
      </c>
      <c r="X1015" t="s">
        <v>3</v>
      </c>
      <c r="AA1015" s="5" t="str">
        <f>HYPERLINK("https://www.zillow.com/homes/8506-CARRIAGE-GREEN-DARIEN-IL-60561_rb/","check listing")</f>
        <v>check listing</v>
      </c>
      <c r="AB1015" s="5" t="str">
        <f>HYPERLINK("https://propertylookup.dupagecounty.gov/Datalets/Datalet.aspx?UseSearch=no&amp;mode=sales&amp;pin=0933301008","sales record")</f>
        <v>sales record</v>
      </c>
      <c r="AC1015" t="s">
        <v>3</v>
      </c>
      <c r="AD1015">
        <v>41.733198</v>
      </c>
      <c r="AE1015">
        <v>-87.98712</v>
      </c>
      <c r="AF1015" s="5" t="str">
        <f>HYPERLINK("https://www.google.com/maps/search/?api=1&amp;query=41.733198,-87.98712","map")</f>
        <v>map</v>
      </c>
    </row>
    <row r="1016" spans="1:32">
      <c r="A1016" t="s">
        <v>1066</v>
      </c>
      <c r="B1016" t="s">
        <v>8643</v>
      </c>
      <c r="C1016" t="s">
        <v>15201</v>
      </c>
      <c r="D1016" t="s">
        <v>16198</v>
      </c>
      <c r="E1016" t="s">
        <v>16218</v>
      </c>
      <c r="F1016" t="s">
        <v>16221</v>
      </c>
      <c r="G1016" t="s">
        <v>16241</v>
      </c>
      <c r="H1016" t="s">
        <v>16241</v>
      </c>
      <c r="I1016" t="s">
        <v>16317</v>
      </c>
      <c r="J1016" t="s">
        <v>16385</v>
      </c>
      <c r="K1016">
        <v>0.321</v>
      </c>
      <c r="L1016">
        <v>14000</v>
      </c>
      <c r="M1016">
        <v>2357</v>
      </c>
      <c r="N1016" t="s">
        <v>16393</v>
      </c>
      <c r="O1016" s="4">
        <v>88112</v>
      </c>
      <c r="P1016" s="4">
        <v>133782</v>
      </c>
      <c r="Q1016" s="4">
        <v>221894</v>
      </c>
      <c r="R1016" s="4">
        <v>665682</v>
      </c>
      <c r="S1016" t="s">
        <v>17390</v>
      </c>
      <c r="T1016" s="6">
        <v>42795</v>
      </c>
      <c r="U1016" s="4">
        <v>506000</v>
      </c>
      <c r="V1016" t="s">
        <v>23740</v>
      </c>
      <c r="W1016" t="s">
        <v>24245</v>
      </c>
      <c r="X1016" t="s">
        <v>3</v>
      </c>
      <c r="AA1016" s="5" t="str">
        <f>HYPERLINK("https://www.zillow.com/homes/1617-ROYAL-OAK-RD-DARIEN-IL-60561_rb/","check listing")</f>
        <v>check listing</v>
      </c>
      <c r="AB1016" s="5" t="str">
        <f>HYPERLINK("https://propertylookup.dupagecounty.gov/Datalets/Datalet.aspx?UseSearch=no&amp;mode=sales&amp;pin=1004102001","sales record")</f>
        <v>sales record</v>
      </c>
      <c r="AC1016" t="s">
        <v>3</v>
      </c>
      <c r="AD1016">
        <v>41.72862</v>
      </c>
      <c r="AE1016">
        <v>-87.98656</v>
      </c>
      <c r="AF1016" s="5" t="str">
        <f>HYPERLINK("https://www.google.com/maps/search/?api=1&amp;query=41.72862,-87.98656","map")</f>
        <v>map</v>
      </c>
    </row>
    <row r="1017" spans="1:32">
      <c r="A1017" t="s">
        <v>1067</v>
      </c>
      <c r="B1017" t="s">
        <v>8644</v>
      </c>
      <c r="C1017" t="s">
        <v>15232</v>
      </c>
      <c r="D1017" t="s">
        <v>16198</v>
      </c>
      <c r="E1017" t="s">
        <v>16218</v>
      </c>
      <c r="F1017" t="s">
        <v>16221</v>
      </c>
      <c r="G1017" t="s">
        <v>16241</v>
      </c>
      <c r="H1017" t="s">
        <v>16241</v>
      </c>
      <c r="I1017" t="s">
        <v>16317</v>
      </c>
      <c r="J1017" t="s">
        <v>16385</v>
      </c>
      <c r="K1017">
        <v>0.321</v>
      </c>
      <c r="L1017">
        <v>13961</v>
      </c>
      <c r="M1017">
        <v>2179</v>
      </c>
      <c r="N1017" t="s">
        <v>16393</v>
      </c>
      <c r="O1017" s="4">
        <v>81798</v>
      </c>
      <c r="P1017" s="4">
        <v>126481</v>
      </c>
      <c r="Q1017" s="4">
        <v>208279</v>
      </c>
      <c r="R1017" s="4">
        <v>624837</v>
      </c>
      <c r="S1017" t="s">
        <v>17391</v>
      </c>
      <c r="T1017" s="6">
        <v>40118</v>
      </c>
      <c r="U1017" s="4">
        <v>415000</v>
      </c>
      <c r="V1017" t="s">
        <v>23740</v>
      </c>
      <c r="W1017" t="s">
        <v>24246</v>
      </c>
      <c r="X1017" t="s">
        <v>3</v>
      </c>
      <c r="AA1017" s="5" t="str">
        <f>HYPERLINK("https://www.zillow.com/homes/1625-COACHMANS-RD-DARIEN-IL-605615318_rb/","check listing")</f>
        <v>check listing</v>
      </c>
      <c r="AB1017" s="5" t="str">
        <f>HYPERLINK("https://propertylookup.dupagecounty.gov/Datalets/Datalet.aspx?UseSearch=no&amp;mode=sales&amp;pin=0933303004","sales record")</f>
        <v>sales record</v>
      </c>
      <c r="AC1017" t="s">
        <v>3</v>
      </c>
      <c r="AD1017">
        <v>41.731818</v>
      </c>
      <c r="AE1017">
        <v>-87.985409</v>
      </c>
      <c r="AF1017" s="5" t="str">
        <f>HYPERLINK("https://www.google.com/maps/search/?api=1&amp;query=41.731818,-87.985409","map")</f>
        <v>map</v>
      </c>
    </row>
    <row r="1018" spans="1:32">
      <c r="A1018" t="s">
        <v>1068</v>
      </c>
      <c r="B1018" t="s">
        <v>8645</v>
      </c>
      <c r="C1018" t="s">
        <v>15201</v>
      </c>
      <c r="D1018" t="s">
        <v>16198</v>
      </c>
      <c r="E1018" t="s">
        <v>16218</v>
      </c>
      <c r="F1018" t="s">
        <v>16221</v>
      </c>
      <c r="G1018" t="s">
        <v>16241</v>
      </c>
      <c r="H1018" t="s">
        <v>16241</v>
      </c>
      <c r="I1018" t="s">
        <v>16317</v>
      </c>
      <c r="J1018" t="s">
        <v>16385</v>
      </c>
      <c r="K1018">
        <v>0.32</v>
      </c>
      <c r="L1018">
        <v>13937</v>
      </c>
      <c r="M1018">
        <v>2856</v>
      </c>
      <c r="N1018" t="s">
        <v>16393</v>
      </c>
      <c r="O1018" s="4">
        <v>86528</v>
      </c>
      <c r="P1018" s="4">
        <v>97256</v>
      </c>
      <c r="Q1018" s="4">
        <v>183784</v>
      </c>
      <c r="R1018" s="4">
        <v>551352</v>
      </c>
      <c r="S1018" t="s">
        <v>17392</v>
      </c>
      <c r="X1018" t="s">
        <v>3</v>
      </c>
      <c r="AA1018" s="5" t="str">
        <f>HYPERLINK("https://www.zillow.com/homes/1633-HEATHER-LN-DARIEN-IL-60561_rb/","check listing")</f>
        <v>check listing</v>
      </c>
      <c r="AB1018" s="5" t="str">
        <f>HYPERLINK("https://propertylookup.dupagecounty.gov/Datalets/Datalet.aspx?UseSearch=no&amp;mode=sales&amp;pin=0933302026","sales record")</f>
        <v>sales record</v>
      </c>
      <c r="AC1018" t="s">
        <v>3</v>
      </c>
      <c r="AD1018">
        <v>41.734926</v>
      </c>
      <c r="AE1018">
        <v>-87.987078</v>
      </c>
      <c r="AF1018" s="5" t="str">
        <f>HYPERLINK("https://www.google.com/maps/search/?api=1&amp;query=41.734926,-87.987078","map")</f>
        <v>map</v>
      </c>
    </row>
    <row r="1019" spans="1:32">
      <c r="A1019" t="s">
        <v>1069</v>
      </c>
      <c r="B1019" t="s">
        <v>8646</v>
      </c>
      <c r="C1019" t="s">
        <v>15232</v>
      </c>
      <c r="D1019" t="s">
        <v>16198</v>
      </c>
      <c r="E1019" t="s">
        <v>16218</v>
      </c>
      <c r="F1019" t="s">
        <v>16221</v>
      </c>
      <c r="G1019" t="s">
        <v>16241</v>
      </c>
      <c r="H1019" t="s">
        <v>16241</v>
      </c>
      <c r="I1019" t="s">
        <v>16317</v>
      </c>
      <c r="J1019" t="s">
        <v>16385</v>
      </c>
      <c r="K1019">
        <v>0.319</v>
      </c>
      <c r="L1019">
        <v>13905</v>
      </c>
      <c r="M1019">
        <v>2923</v>
      </c>
      <c r="N1019" t="s">
        <v>16393</v>
      </c>
      <c r="O1019" s="4">
        <v>80870</v>
      </c>
      <c r="P1019" s="4">
        <v>124486</v>
      </c>
      <c r="Q1019" s="4">
        <v>205356</v>
      </c>
      <c r="R1019" s="4">
        <v>616068</v>
      </c>
      <c r="S1019" t="s">
        <v>17393</v>
      </c>
      <c r="T1019" s="6">
        <v>40513</v>
      </c>
      <c r="U1019" s="4">
        <v>470000</v>
      </c>
      <c r="V1019" t="s">
        <v>23739</v>
      </c>
      <c r="W1019" t="s">
        <v>24247</v>
      </c>
      <c r="X1019" t="s">
        <v>3</v>
      </c>
      <c r="AA1019" s="5" t="str">
        <f>HYPERLINK("https://www.zillow.com/homes/1605-COACHMANS-RD-DARIEN-IL-605615318_rb/","check listing")</f>
        <v>check listing</v>
      </c>
      <c r="AB1019" s="5" t="str">
        <f>HYPERLINK("https://propertylookup.dupagecounty.gov/Datalets/Datalet.aspx?UseSearch=no&amp;mode=sales&amp;pin=0933303009","sales record")</f>
        <v>sales record</v>
      </c>
      <c r="AC1019" t="s">
        <v>3</v>
      </c>
      <c r="AD1019">
        <v>41.732286</v>
      </c>
      <c r="AE1019">
        <v>-87.98383699999999</v>
      </c>
      <c r="AF1019" s="5" t="str">
        <f>HYPERLINK("https://www.google.com/maps/search/?api=1&amp;query=41.732286,-87.983837","map")</f>
        <v>map</v>
      </c>
    </row>
    <row r="1020" spans="1:32">
      <c r="A1020" t="s">
        <v>1070</v>
      </c>
      <c r="B1020" t="s">
        <v>8647</v>
      </c>
      <c r="C1020" t="s">
        <v>15201</v>
      </c>
      <c r="D1020" t="s">
        <v>16198</v>
      </c>
      <c r="E1020" t="s">
        <v>16218</v>
      </c>
      <c r="F1020" t="s">
        <v>16221</v>
      </c>
      <c r="G1020" t="s">
        <v>16241</v>
      </c>
      <c r="H1020" t="s">
        <v>16241</v>
      </c>
      <c r="I1020" t="s">
        <v>16317</v>
      </c>
      <c r="J1020" t="s">
        <v>16385</v>
      </c>
      <c r="K1020">
        <v>0.319</v>
      </c>
      <c r="L1020">
        <v>13903</v>
      </c>
      <c r="M1020">
        <v>2737</v>
      </c>
      <c r="N1020" t="s">
        <v>16393</v>
      </c>
      <c r="O1020" s="4">
        <v>77138</v>
      </c>
      <c r="P1020" s="4">
        <v>144475</v>
      </c>
      <c r="Q1020" s="4">
        <v>221613</v>
      </c>
      <c r="R1020" s="4">
        <v>664839</v>
      </c>
      <c r="S1020" t="s">
        <v>17394</v>
      </c>
      <c r="T1020" s="6">
        <v>32203</v>
      </c>
      <c r="U1020" s="4">
        <v>255466</v>
      </c>
      <c r="X1020" t="s">
        <v>3</v>
      </c>
      <c r="AA1020" s="5" t="str">
        <f>HYPERLINK("https://www.zillow.com/homes/1513-EVERGREEN-CT-DARIEN-IL-60561_rb/","check listing")</f>
        <v>check listing</v>
      </c>
      <c r="AB1020" s="5" t="str">
        <f>HYPERLINK("https://propertylookup.dupagecounty.gov/Datalets/Datalet.aspx?UseSearch=no&amp;mode=sales&amp;pin=0933404005","sales record")</f>
        <v>sales record</v>
      </c>
      <c r="AC1020" t="s">
        <v>3</v>
      </c>
      <c r="AD1020">
        <v>41.735162</v>
      </c>
      <c r="AE1020">
        <v>-87.97922800000001</v>
      </c>
      <c r="AF1020" s="5" t="str">
        <f>HYPERLINK("https://www.google.com/maps/search/?api=1&amp;query=41.735162,-87.979228","map")</f>
        <v>map</v>
      </c>
    </row>
    <row r="1021" spans="1:32">
      <c r="A1021" t="s">
        <v>1071</v>
      </c>
      <c r="B1021" t="s">
        <v>8648</v>
      </c>
      <c r="C1021" t="s">
        <v>15201</v>
      </c>
      <c r="D1021" t="s">
        <v>16198</v>
      </c>
      <c r="E1021" t="s">
        <v>16218</v>
      </c>
      <c r="F1021" t="s">
        <v>16221</v>
      </c>
      <c r="G1021" t="s">
        <v>16241</v>
      </c>
      <c r="H1021" t="s">
        <v>16241</v>
      </c>
      <c r="I1021" t="s">
        <v>16317</v>
      </c>
      <c r="J1021" t="s">
        <v>16385</v>
      </c>
      <c r="K1021">
        <v>0.318</v>
      </c>
      <c r="L1021">
        <v>13870</v>
      </c>
      <c r="M1021">
        <v>4828</v>
      </c>
      <c r="N1021" t="s">
        <v>16393</v>
      </c>
      <c r="O1021" s="4">
        <v>78476</v>
      </c>
      <c r="P1021" s="4">
        <v>216812</v>
      </c>
      <c r="Q1021" s="4">
        <v>295288</v>
      </c>
      <c r="R1021" s="4">
        <v>885864</v>
      </c>
      <c r="S1021" t="s">
        <v>17395</v>
      </c>
      <c r="T1021" s="6">
        <v>39234</v>
      </c>
      <c r="U1021" s="4">
        <v>740000</v>
      </c>
      <c r="V1021" t="s">
        <v>23739</v>
      </c>
      <c r="W1021" t="s">
        <v>24248</v>
      </c>
      <c r="X1021" t="s">
        <v>3</v>
      </c>
      <c r="AA1021" s="5" t="str">
        <f>HYPERLINK("https://www.zillow.com/homes/1613-COACHMANS-DR-DARIEN-IL-60561_rb/","check listing")</f>
        <v>check listing</v>
      </c>
      <c r="AB1021" s="5" t="str">
        <f>HYPERLINK("https://propertylookup.dupagecounty.gov/Datalets/Datalet.aspx?UseSearch=no&amp;mode=sales&amp;pin=0933303007","sales record")</f>
        <v>sales record</v>
      </c>
      <c r="AC1021" t="s">
        <v>3</v>
      </c>
      <c r="AD1021">
        <v>41.732085</v>
      </c>
      <c r="AE1021">
        <v>-87.98448500000001</v>
      </c>
      <c r="AF1021" s="5" t="str">
        <f>HYPERLINK("https://www.google.com/maps/search/?api=1&amp;query=41.732085,-87.984485","map")</f>
        <v>map</v>
      </c>
    </row>
    <row r="1022" spans="1:32">
      <c r="A1022" t="s">
        <v>1072</v>
      </c>
      <c r="B1022" t="s">
        <v>8649</v>
      </c>
      <c r="C1022" t="s">
        <v>15201</v>
      </c>
      <c r="D1022" t="s">
        <v>16198</v>
      </c>
      <c r="E1022" t="s">
        <v>16218</v>
      </c>
      <c r="F1022" t="s">
        <v>16221</v>
      </c>
      <c r="G1022" t="s">
        <v>16241</v>
      </c>
      <c r="H1022" t="s">
        <v>16241</v>
      </c>
      <c r="I1022" t="s">
        <v>16317</v>
      </c>
      <c r="J1022" t="s">
        <v>16385</v>
      </c>
      <c r="K1022">
        <v>0.318</v>
      </c>
      <c r="L1022">
        <v>13867</v>
      </c>
      <c r="M1022">
        <v>1752</v>
      </c>
      <c r="N1022" t="s">
        <v>16393</v>
      </c>
      <c r="O1022" s="4">
        <v>76844</v>
      </c>
      <c r="P1022" s="4">
        <v>124087</v>
      </c>
      <c r="Q1022" s="4">
        <v>200931</v>
      </c>
      <c r="R1022" s="4">
        <v>602793</v>
      </c>
      <c r="S1022" t="s">
        <v>17396</v>
      </c>
      <c r="T1022" s="6">
        <v>32629</v>
      </c>
      <c r="U1022" s="4">
        <v>252000</v>
      </c>
      <c r="X1022" t="s">
        <v>3</v>
      </c>
      <c r="AA1022" s="5" t="str">
        <f>HYPERLINK("https://www.zillow.com/homes/1514-PINE-VIEW-CT-DARIEN-IL-60561_rb/","check listing")</f>
        <v>check listing</v>
      </c>
      <c r="AB1022" s="5" t="str">
        <f>HYPERLINK("https://propertylookup.dupagecounty.gov/Datalets/Datalet.aspx?UseSearch=no&amp;mode=sales&amp;pin=0933207004","sales record")</f>
        <v>sales record</v>
      </c>
      <c r="AC1022" t="s">
        <v>3</v>
      </c>
      <c r="AD1022">
        <v>41.738986</v>
      </c>
      <c r="AE1022">
        <v>-87.981482</v>
      </c>
      <c r="AF1022" s="5" t="str">
        <f>HYPERLINK("https://www.google.com/maps/search/?api=1&amp;query=41.738986,-87.981482","map")</f>
        <v>map</v>
      </c>
    </row>
    <row r="1023" spans="1:32">
      <c r="A1023" t="s">
        <v>1073</v>
      </c>
      <c r="B1023" t="s">
        <v>8650</v>
      </c>
      <c r="C1023" t="s">
        <v>15201</v>
      </c>
      <c r="D1023" t="s">
        <v>16198</v>
      </c>
      <c r="E1023" t="s">
        <v>16218</v>
      </c>
      <c r="F1023" t="s">
        <v>16221</v>
      </c>
      <c r="G1023" t="s">
        <v>16241</v>
      </c>
      <c r="H1023" t="s">
        <v>16241</v>
      </c>
      <c r="I1023" t="s">
        <v>16317</v>
      </c>
      <c r="J1023" t="s">
        <v>16385</v>
      </c>
      <c r="K1023">
        <v>0.318</v>
      </c>
      <c r="L1023">
        <v>13832</v>
      </c>
      <c r="M1023">
        <v>2217</v>
      </c>
      <c r="N1023" t="s">
        <v>16393</v>
      </c>
      <c r="O1023" s="4">
        <v>80800</v>
      </c>
      <c r="P1023" s="4">
        <v>156717</v>
      </c>
      <c r="Q1023" s="4">
        <v>237517</v>
      </c>
      <c r="R1023" s="4">
        <v>712551</v>
      </c>
      <c r="S1023" t="s">
        <v>17397</v>
      </c>
      <c r="T1023" s="6">
        <v>45595</v>
      </c>
      <c r="U1023" s="4">
        <v>660000</v>
      </c>
      <c r="V1023" t="s">
        <v>23739</v>
      </c>
      <c r="W1023" t="s">
        <v>24249</v>
      </c>
      <c r="X1023" t="s">
        <v>3</v>
      </c>
      <c r="AA1023" s="5" t="str">
        <f>HYPERLINK("https://www.zillow.com/homes/6801-WHITE-PINE-TRL-DARIEN-IL-60561_rb/","check listing")</f>
        <v>check listing</v>
      </c>
      <c r="AB1023" s="5" t="str">
        <f>HYPERLINK("https://propertylookup.dupagecounty.gov/Datalets/Datalet.aspx?UseSearch=no&amp;mode=sales&amp;pin=0922301034","sales record")</f>
        <v>sales record</v>
      </c>
      <c r="AC1023" t="s">
        <v>3</v>
      </c>
      <c r="AD1023">
        <v>41.763385</v>
      </c>
      <c r="AE1023">
        <v>-87.971756</v>
      </c>
      <c r="AF1023" s="5" t="str">
        <f>HYPERLINK("https://www.google.com/maps/search/?api=1&amp;query=41.763385,-87.971756","map")</f>
        <v>map</v>
      </c>
    </row>
    <row r="1024" spans="1:32">
      <c r="A1024" t="s">
        <v>1074</v>
      </c>
      <c r="B1024" t="s">
        <v>8651</v>
      </c>
      <c r="C1024" t="s">
        <v>15238</v>
      </c>
      <c r="D1024" t="s">
        <v>16198</v>
      </c>
      <c r="E1024" t="s">
        <v>16218</v>
      </c>
      <c r="F1024" t="s">
        <v>16221</v>
      </c>
      <c r="G1024" t="s">
        <v>16241</v>
      </c>
      <c r="H1024" t="s">
        <v>16241</v>
      </c>
      <c r="I1024" t="s">
        <v>16317</v>
      </c>
      <c r="J1024" t="s">
        <v>16385</v>
      </c>
      <c r="K1024">
        <v>0.317</v>
      </c>
      <c r="L1024">
        <v>13795</v>
      </c>
      <c r="M1024">
        <v>2262</v>
      </c>
      <c r="N1024" t="s">
        <v>16393</v>
      </c>
      <c r="O1024" s="4">
        <v>71328</v>
      </c>
      <c r="P1024" s="4">
        <v>158994</v>
      </c>
      <c r="Q1024" s="4">
        <v>230322</v>
      </c>
      <c r="R1024" s="4">
        <v>690966</v>
      </c>
      <c r="S1024" t="s">
        <v>17398</v>
      </c>
      <c r="T1024" s="6">
        <v>32417</v>
      </c>
      <c r="U1024" s="4">
        <v>83000</v>
      </c>
      <c r="X1024" t="s">
        <v>3</v>
      </c>
      <c r="AA1024" s="5" t="str">
        <f>HYPERLINK("https://www.zillow.com/homes/1401-PINE-COVE-CT-DARIEN-IL-605614999_rb/","check listing")</f>
        <v>check listing</v>
      </c>
      <c r="AB1024" s="5" t="str">
        <f>HYPERLINK("https://propertylookup.dupagecounty.gov/Datalets/Datalet.aspx?UseSearch=no&amp;mode=sales&amp;pin=0933208021","sales record")</f>
        <v>sales record</v>
      </c>
      <c r="AC1024" t="s">
        <v>3</v>
      </c>
      <c r="AD1024">
        <v>41.737354</v>
      </c>
      <c r="AE1024">
        <v>-87.978758</v>
      </c>
      <c r="AF1024" s="5" t="str">
        <f>HYPERLINK("https://www.google.com/maps/search/?api=1&amp;query=41.737354,-87.978758","map")</f>
        <v>map</v>
      </c>
    </row>
    <row r="1025" spans="1:32">
      <c r="A1025" t="s">
        <v>1075</v>
      </c>
      <c r="B1025" t="s">
        <v>8652</v>
      </c>
      <c r="C1025" t="s">
        <v>15216</v>
      </c>
      <c r="D1025" t="s">
        <v>16198</v>
      </c>
      <c r="E1025" t="s">
        <v>16218</v>
      </c>
      <c r="F1025" t="s">
        <v>16221</v>
      </c>
      <c r="G1025" t="s">
        <v>16241</v>
      </c>
      <c r="H1025" t="s">
        <v>16241</v>
      </c>
      <c r="I1025" t="s">
        <v>16317</v>
      </c>
      <c r="J1025" t="s">
        <v>16385</v>
      </c>
      <c r="K1025">
        <v>0.316</v>
      </c>
      <c r="L1025">
        <v>13761</v>
      </c>
      <c r="M1025">
        <v>3071</v>
      </c>
      <c r="N1025" t="s">
        <v>16393</v>
      </c>
      <c r="O1025" s="4">
        <v>77491</v>
      </c>
      <c r="P1025" s="4">
        <v>108875</v>
      </c>
      <c r="Q1025" s="4">
        <v>186366</v>
      </c>
      <c r="R1025" s="4">
        <v>559098</v>
      </c>
      <c r="S1025" t="s">
        <v>17399</v>
      </c>
      <c r="T1025" s="6">
        <v>32021</v>
      </c>
      <c r="U1025" s="4">
        <v>200000</v>
      </c>
      <c r="X1025" t="s">
        <v>3</v>
      </c>
      <c r="AA1025" s="5" t="str">
        <f>HYPERLINK("https://www.zillow.com/homes/8414-GLENEYRE-RD-DARIEN-IL-605615322_rb/","check listing")</f>
        <v>check listing</v>
      </c>
      <c r="AB1025" s="5" t="str">
        <f>HYPERLINK("https://propertylookup.dupagecounty.gov/Datalets/Datalet.aspx?UseSearch=no&amp;mode=sales&amp;pin=0933302034","sales record")</f>
        <v>sales record</v>
      </c>
      <c r="AC1025" t="s">
        <v>3</v>
      </c>
      <c r="AD1025">
        <v>41.73475</v>
      </c>
      <c r="AE1025">
        <v>-87.984919</v>
      </c>
      <c r="AF1025" s="5" t="str">
        <f>HYPERLINK("https://www.google.com/maps/search/?api=1&amp;query=41.73475,-87.984919","map")</f>
        <v>map</v>
      </c>
    </row>
    <row r="1026" spans="1:32">
      <c r="A1026" t="s">
        <v>1076</v>
      </c>
      <c r="B1026" t="s">
        <v>8653</v>
      </c>
      <c r="C1026" t="s">
        <v>15201</v>
      </c>
      <c r="D1026" t="s">
        <v>16198</v>
      </c>
      <c r="E1026" t="s">
        <v>16218</v>
      </c>
      <c r="F1026" t="s">
        <v>16221</v>
      </c>
      <c r="G1026" t="s">
        <v>16241</v>
      </c>
      <c r="H1026" t="s">
        <v>16241</v>
      </c>
      <c r="I1026" t="s">
        <v>16317</v>
      </c>
      <c r="J1026" t="s">
        <v>16385</v>
      </c>
      <c r="K1026">
        <v>0.316</v>
      </c>
      <c r="L1026">
        <v>13760</v>
      </c>
      <c r="M1026">
        <v>3926</v>
      </c>
      <c r="N1026" t="s">
        <v>16393</v>
      </c>
      <c r="O1026" s="4">
        <v>77491</v>
      </c>
      <c r="P1026" s="4">
        <v>114205</v>
      </c>
      <c r="Q1026" s="4">
        <v>191696</v>
      </c>
      <c r="R1026" s="4">
        <v>575088</v>
      </c>
      <c r="S1026" t="s">
        <v>17400</v>
      </c>
      <c r="T1026" s="6">
        <v>30803</v>
      </c>
      <c r="U1026" s="4">
        <v>219000</v>
      </c>
      <c r="X1026" t="s">
        <v>3</v>
      </c>
      <c r="AA1026" s="5" t="str">
        <f>HYPERLINK("https://www.zillow.com/homes/8414-CARRIAGE-GREEN-DARIEN-IL-60561_rb/","check listing")</f>
        <v>check listing</v>
      </c>
      <c r="AB1026" s="5" t="str">
        <f>HYPERLINK("https://propertylookup.dupagecounty.gov/Datalets/Datalet.aspx?UseSearch=no&amp;mode=sales&amp;pin=0933301001","sales record")</f>
        <v>sales record</v>
      </c>
      <c r="AC1026" t="s">
        <v>3</v>
      </c>
      <c r="AD1026">
        <v>41.73455</v>
      </c>
      <c r="AE1026">
        <v>-87.988209</v>
      </c>
      <c r="AF1026" s="5" t="str">
        <f>HYPERLINK("https://www.google.com/maps/search/?api=1&amp;query=41.73455,-87.988209","map")</f>
        <v>map</v>
      </c>
    </row>
    <row r="1027" spans="1:32">
      <c r="A1027" t="s">
        <v>1077</v>
      </c>
      <c r="B1027" t="s">
        <v>8654</v>
      </c>
      <c r="C1027" t="s">
        <v>15201</v>
      </c>
      <c r="D1027" t="s">
        <v>16198</v>
      </c>
      <c r="E1027" t="s">
        <v>16218</v>
      </c>
      <c r="F1027" t="s">
        <v>16221</v>
      </c>
      <c r="G1027" t="s">
        <v>16241</v>
      </c>
      <c r="H1027" t="s">
        <v>16241</v>
      </c>
      <c r="I1027" t="s">
        <v>16317</v>
      </c>
      <c r="J1027" t="s">
        <v>16385</v>
      </c>
      <c r="K1027">
        <v>0.315</v>
      </c>
      <c r="L1027">
        <v>13739</v>
      </c>
      <c r="M1027">
        <v>2064</v>
      </c>
      <c r="N1027" t="s">
        <v>16393</v>
      </c>
      <c r="O1027" s="4">
        <v>76844</v>
      </c>
      <c r="P1027" s="4">
        <v>135860</v>
      </c>
      <c r="Q1027" s="4">
        <v>212704</v>
      </c>
      <c r="R1027" s="4">
        <v>638112</v>
      </c>
      <c r="S1027" t="s">
        <v>17401</v>
      </c>
      <c r="T1027" s="6">
        <v>38047</v>
      </c>
      <c r="U1027" s="4">
        <v>525000</v>
      </c>
      <c r="V1027" t="s">
        <v>23739</v>
      </c>
      <c r="W1027" t="s">
        <v>24250</v>
      </c>
      <c r="X1027" t="s">
        <v>3</v>
      </c>
      <c r="AA1027" s="5" t="str">
        <f>HYPERLINK("https://www.zillow.com/homes/1522-PINE-VIEW-CT-DARIEN-IL-60561_rb/","check listing")</f>
        <v>check listing</v>
      </c>
      <c r="AB1027" s="5" t="str">
        <f>HYPERLINK("https://propertylookup.dupagecounty.gov/Datalets/Datalet.aspx?UseSearch=no&amp;mode=sales&amp;pin=0933207002","sales record")</f>
        <v>sales record</v>
      </c>
      <c r="AC1027" t="s">
        <v>3</v>
      </c>
      <c r="AD1027">
        <v>41.738745</v>
      </c>
      <c r="AE1027">
        <v>-87.98193000000001</v>
      </c>
      <c r="AF1027" s="5" t="str">
        <f>HYPERLINK("https://www.google.com/maps/search/?api=1&amp;query=41.738745,-87.98193","map")</f>
        <v>map</v>
      </c>
    </row>
    <row r="1028" spans="1:32">
      <c r="A1028" t="s">
        <v>1078</v>
      </c>
      <c r="B1028" t="s">
        <v>8655</v>
      </c>
      <c r="C1028" t="s">
        <v>15201</v>
      </c>
      <c r="D1028" t="s">
        <v>16198</v>
      </c>
      <c r="E1028" t="s">
        <v>16218</v>
      </c>
      <c r="F1028" t="s">
        <v>16221</v>
      </c>
      <c r="G1028" t="s">
        <v>16241</v>
      </c>
      <c r="H1028" t="s">
        <v>16241</v>
      </c>
      <c r="I1028" t="s">
        <v>16317</v>
      </c>
      <c r="J1028" t="s">
        <v>16385</v>
      </c>
      <c r="K1028">
        <v>0.315</v>
      </c>
      <c r="L1028">
        <v>13739</v>
      </c>
      <c r="M1028">
        <v>2777</v>
      </c>
      <c r="N1028" t="s">
        <v>16393</v>
      </c>
      <c r="O1028" s="4">
        <v>91199</v>
      </c>
      <c r="P1028" s="4">
        <v>119111</v>
      </c>
      <c r="Q1028" s="4">
        <v>210310</v>
      </c>
      <c r="R1028" s="4">
        <v>630930</v>
      </c>
      <c r="S1028" t="s">
        <v>17402</v>
      </c>
      <c r="X1028" t="s">
        <v>3</v>
      </c>
      <c r="AA1028" s="5" t="str">
        <f>HYPERLINK("https://www.zillow.com/homes/1623-ROYAL-OAK-RD-DARIEN-IL-60561_rb/","check listing")</f>
        <v>check listing</v>
      </c>
      <c r="AB1028" s="5" t="str">
        <f>HYPERLINK("https://propertylookup.dupagecounty.gov/Datalets/Datalet.aspx?UseSearch=no&amp;mode=sales&amp;pin=1004102006","sales record")</f>
        <v>sales record</v>
      </c>
      <c r="AC1028" t="s">
        <v>3</v>
      </c>
      <c r="AD1028">
        <v>41.728319</v>
      </c>
      <c r="AE1028">
        <v>-87.986597</v>
      </c>
      <c r="AF1028" s="5" t="str">
        <f>HYPERLINK("https://www.google.com/maps/search/?api=1&amp;query=41.728319,-87.986597","map")</f>
        <v>map</v>
      </c>
    </row>
    <row r="1029" spans="1:32">
      <c r="A1029" t="s">
        <v>1079</v>
      </c>
      <c r="B1029" t="s">
        <v>8656</v>
      </c>
      <c r="C1029" t="s">
        <v>15201</v>
      </c>
      <c r="D1029" t="s">
        <v>16198</v>
      </c>
      <c r="E1029" t="s">
        <v>16218</v>
      </c>
      <c r="F1029" t="s">
        <v>16221</v>
      </c>
      <c r="G1029" t="s">
        <v>16241</v>
      </c>
      <c r="H1029" t="s">
        <v>16241</v>
      </c>
      <c r="I1029" t="s">
        <v>16317</v>
      </c>
      <c r="J1029" t="s">
        <v>16385</v>
      </c>
      <c r="K1029">
        <v>0.315</v>
      </c>
      <c r="L1029">
        <v>13738</v>
      </c>
      <c r="M1029">
        <v>3488</v>
      </c>
      <c r="N1029" t="s">
        <v>16393</v>
      </c>
      <c r="O1029" s="4">
        <v>83324</v>
      </c>
      <c r="P1029" s="4">
        <v>106599</v>
      </c>
      <c r="Q1029" s="4">
        <v>189923</v>
      </c>
      <c r="R1029" s="4">
        <v>569769</v>
      </c>
      <c r="S1029" t="s">
        <v>17403</v>
      </c>
      <c r="T1029" s="6">
        <v>29891</v>
      </c>
      <c r="U1029" s="4">
        <v>204000</v>
      </c>
      <c r="X1029" t="s">
        <v>3</v>
      </c>
      <c r="AA1029" s="5" t="str">
        <f>HYPERLINK("https://www.zillow.com/homes/8518-CARRIAGE-GREEN-DR-DARIEN-IL-60561_rb/","check listing")</f>
        <v>check listing</v>
      </c>
      <c r="AB1029" s="5" t="str">
        <f>HYPERLINK("https://propertylookup.dupagecounty.gov/Datalets/Datalet.aspx?UseSearch=no&amp;mode=sales&amp;pin=0933301011","sales record")</f>
        <v>sales record</v>
      </c>
      <c r="AC1029" t="s">
        <v>3</v>
      </c>
      <c r="AD1029">
        <v>41.732563</v>
      </c>
      <c r="AE1029">
        <v>-87.986831</v>
      </c>
      <c r="AF1029" s="5" t="str">
        <f>HYPERLINK("https://www.google.com/maps/search/?api=1&amp;query=41.732563,-87.986831","map")</f>
        <v>map</v>
      </c>
    </row>
    <row r="1030" spans="1:32">
      <c r="A1030" t="s">
        <v>1080</v>
      </c>
      <c r="B1030" t="s">
        <v>8657</v>
      </c>
      <c r="C1030" t="s">
        <v>15239</v>
      </c>
      <c r="D1030" t="s">
        <v>16198</v>
      </c>
      <c r="E1030" t="s">
        <v>16218</v>
      </c>
      <c r="F1030" t="s">
        <v>16221</v>
      </c>
      <c r="G1030" t="s">
        <v>16241</v>
      </c>
      <c r="H1030" t="s">
        <v>16241</v>
      </c>
      <c r="I1030" t="s">
        <v>16317</v>
      </c>
      <c r="J1030" t="s">
        <v>16385</v>
      </c>
      <c r="K1030">
        <v>0.315</v>
      </c>
      <c r="L1030">
        <v>13716</v>
      </c>
      <c r="M1030">
        <v>2159</v>
      </c>
      <c r="N1030" t="s">
        <v>16393</v>
      </c>
      <c r="O1030" s="4">
        <v>66892</v>
      </c>
      <c r="P1030" s="4">
        <v>151506</v>
      </c>
      <c r="Q1030" s="4">
        <v>218398</v>
      </c>
      <c r="R1030" s="4">
        <v>655194</v>
      </c>
      <c r="S1030" t="s">
        <v>17404</v>
      </c>
      <c r="T1030" s="6">
        <v>43678</v>
      </c>
      <c r="U1030" s="4">
        <v>550000</v>
      </c>
      <c r="V1030" t="s">
        <v>23739</v>
      </c>
      <c r="W1030" t="s">
        <v>24251</v>
      </c>
      <c r="X1030" t="s">
        <v>3</v>
      </c>
      <c r="AA1030" s="5" t="str">
        <f>HYPERLINK("https://www.zillow.com/homes/8751-KENTWOOD-CT-DARIEN-IL-605615368_rb/","check listing")</f>
        <v>check listing</v>
      </c>
      <c r="AB1030" s="5" t="str">
        <f>HYPERLINK("https://propertylookup.dupagecounty.gov/Datalets/Datalet.aspx?UseSearch=no&amp;mode=sales&amp;pin=1004112007","sales record")</f>
        <v>sales record</v>
      </c>
      <c r="AC1030" t="s">
        <v>3</v>
      </c>
      <c r="AD1030">
        <v>41.727162</v>
      </c>
      <c r="AE1030">
        <v>-87.991421</v>
      </c>
      <c r="AF1030" s="5" t="str">
        <f>HYPERLINK("https://www.google.com/maps/search/?api=1&amp;query=41.727162,-87.991421","map")</f>
        <v>map</v>
      </c>
    </row>
    <row r="1031" spans="1:32">
      <c r="A1031" t="s">
        <v>1081</v>
      </c>
      <c r="B1031" t="s">
        <v>8658</v>
      </c>
      <c r="C1031" t="s">
        <v>15216</v>
      </c>
      <c r="D1031" t="s">
        <v>16198</v>
      </c>
      <c r="E1031" t="s">
        <v>16218</v>
      </c>
      <c r="F1031" t="s">
        <v>16221</v>
      </c>
      <c r="G1031" t="s">
        <v>16241</v>
      </c>
      <c r="H1031" t="s">
        <v>16241</v>
      </c>
      <c r="I1031" t="s">
        <v>16317</v>
      </c>
      <c r="J1031" t="s">
        <v>16385</v>
      </c>
      <c r="K1031">
        <v>0.315</v>
      </c>
      <c r="L1031">
        <v>13712</v>
      </c>
      <c r="M1031">
        <v>2353</v>
      </c>
      <c r="N1031" t="s">
        <v>16393</v>
      </c>
      <c r="O1031" s="4">
        <v>77491</v>
      </c>
      <c r="P1031" s="4">
        <v>120660</v>
      </c>
      <c r="Q1031" s="4">
        <v>198151</v>
      </c>
      <c r="R1031" s="4">
        <v>594453</v>
      </c>
      <c r="S1031" t="s">
        <v>17405</v>
      </c>
      <c r="T1031" s="6">
        <v>44044</v>
      </c>
      <c r="U1031" s="4">
        <v>479000</v>
      </c>
      <c r="V1031" t="s">
        <v>23739</v>
      </c>
      <c r="W1031" t="s">
        <v>24252</v>
      </c>
      <c r="X1031" t="s">
        <v>3</v>
      </c>
      <c r="AA1031" s="5" t="str">
        <f>HYPERLINK("https://www.zillow.com/homes/8418-GLENEYRE-RD-DARIEN-IL-605615322_rb/","check listing")</f>
        <v>check listing</v>
      </c>
      <c r="AB1031" s="5" t="str">
        <f>HYPERLINK("https://propertylookup.dupagecounty.gov/Datalets/Datalet.aspx?UseSearch=no&amp;mode=sales&amp;pin=0933302035","sales record")</f>
        <v>sales record</v>
      </c>
      <c r="AC1031" t="s">
        <v>3</v>
      </c>
      <c r="AD1031">
        <v>41.734541</v>
      </c>
      <c r="AE1031">
        <v>-87.984872</v>
      </c>
      <c r="AF1031" s="5" t="str">
        <f>HYPERLINK("https://www.google.com/maps/search/?api=1&amp;query=41.734541,-87.984872","map")</f>
        <v>map</v>
      </c>
    </row>
    <row r="1032" spans="1:32">
      <c r="A1032" t="s">
        <v>1082</v>
      </c>
      <c r="B1032" t="s">
        <v>8659</v>
      </c>
      <c r="C1032" t="s">
        <v>15201</v>
      </c>
      <c r="D1032" t="s">
        <v>16198</v>
      </c>
      <c r="E1032" t="s">
        <v>16218</v>
      </c>
      <c r="F1032" t="s">
        <v>16221</v>
      </c>
      <c r="G1032" t="s">
        <v>16241</v>
      </c>
      <c r="H1032" t="s">
        <v>16241</v>
      </c>
      <c r="I1032" t="s">
        <v>16317</v>
      </c>
      <c r="J1032" t="s">
        <v>16385</v>
      </c>
      <c r="K1032">
        <v>0.314</v>
      </c>
      <c r="L1032">
        <v>13697</v>
      </c>
      <c r="M1032">
        <v>1923</v>
      </c>
      <c r="N1032" t="s">
        <v>16393</v>
      </c>
      <c r="O1032" s="4">
        <v>69885</v>
      </c>
      <c r="P1032" s="4">
        <v>154369</v>
      </c>
      <c r="Q1032" s="4">
        <v>224254</v>
      </c>
      <c r="R1032" s="4">
        <v>672762</v>
      </c>
      <c r="S1032" t="s">
        <v>17406</v>
      </c>
      <c r="T1032" s="6">
        <v>32234</v>
      </c>
      <c r="U1032" s="4">
        <v>67500</v>
      </c>
      <c r="X1032" t="s">
        <v>3</v>
      </c>
      <c r="AA1032" s="5" t="str">
        <f>HYPERLINK("https://www.zillow.com/homes/8201-PINE-BLUFF-CT-DARIEN-IL-60561_rb/","check listing")</f>
        <v>check listing</v>
      </c>
      <c r="AB1032" s="5" t="str">
        <f>HYPERLINK("https://propertylookup.dupagecounty.gov/Datalets/Datalet.aspx?UseSearch=no&amp;mode=sales&amp;pin=0933207031","sales record")</f>
        <v>sales record</v>
      </c>
      <c r="AC1032" t="s">
        <v>3</v>
      </c>
      <c r="AD1032">
        <v>41.739763</v>
      </c>
      <c r="AE1032">
        <v>-87.979589</v>
      </c>
      <c r="AF1032" s="5" t="str">
        <f>HYPERLINK("https://www.google.com/maps/search/?api=1&amp;query=41.739763,-87.979589","map")</f>
        <v>map</v>
      </c>
    </row>
    <row r="1033" spans="1:32">
      <c r="A1033" t="s">
        <v>1083</v>
      </c>
      <c r="B1033" t="s">
        <v>8660</v>
      </c>
      <c r="C1033" t="s">
        <v>15240</v>
      </c>
      <c r="D1033" t="s">
        <v>16198</v>
      </c>
      <c r="E1033" t="s">
        <v>16218</v>
      </c>
      <c r="F1033" t="s">
        <v>16221</v>
      </c>
      <c r="G1033" t="s">
        <v>16241</v>
      </c>
      <c r="H1033" t="s">
        <v>16241</v>
      </c>
      <c r="I1033" t="s">
        <v>16317</v>
      </c>
      <c r="J1033" t="s">
        <v>16385</v>
      </c>
      <c r="K1033">
        <v>0.314</v>
      </c>
      <c r="L1033">
        <v>13680</v>
      </c>
      <c r="M1033">
        <v>3788</v>
      </c>
      <c r="N1033" t="s">
        <v>16393</v>
      </c>
      <c r="O1033" s="4">
        <v>77491</v>
      </c>
      <c r="P1033" s="4">
        <v>117867</v>
      </c>
      <c r="Q1033" s="4">
        <v>195358</v>
      </c>
      <c r="R1033" s="4">
        <v>586074</v>
      </c>
      <c r="S1033" t="s">
        <v>17407</v>
      </c>
      <c r="T1033" s="6">
        <v>44409</v>
      </c>
      <c r="U1033" s="4">
        <v>425000</v>
      </c>
      <c r="V1033" t="s">
        <v>23739</v>
      </c>
      <c r="W1033" t="s">
        <v>24253</v>
      </c>
      <c r="X1033" t="s">
        <v>3</v>
      </c>
      <c r="AA1033" s="5" t="str">
        <f>HYPERLINK("https://www.zillow.com/homes/1625-HEATHER-LN-DARIEN-IL-605615325_rb/","check listing")</f>
        <v>check listing</v>
      </c>
      <c r="AB1033" s="5" t="str">
        <f>HYPERLINK("https://propertylookup.dupagecounty.gov/Datalets/Datalet.aspx?UseSearch=no&amp;mode=sales&amp;pin=0933302028","sales record")</f>
        <v>sales record</v>
      </c>
      <c r="AC1033" t="s">
        <v>3</v>
      </c>
      <c r="AD1033">
        <v>41.735095</v>
      </c>
      <c r="AE1033">
        <v>-87.98645</v>
      </c>
      <c r="AF1033" s="5" t="str">
        <f>HYPERLINK("https://www.google.com/maps/search/?api=1&amp;query=41.735095,-87.98645","map")</f>
        <v>map</v>
      </c>
    </row>
    <row r="1034" spans="1:32">
      <c r="A1034" t="s">
        <v>1084</v>
      </c>
      <c r="B1034" t="s">
        <v>8661</v>
      </c>
      <c r="C1034" t="s">
        <v>15216</v>
      </c>
      <c r="D1034" t="s">
        <v>16198</v>
      </c>
      <c r="E1034" t="s">
        <v>16218</v>
      </c>
      <c r="F1034" t="s">
        <v>16221</v>
      </c>
      <c r="G1034" t="s">
        <v>16241</v>
      </c>
      <c r="H1034" t="s">
        <v>16241</v>
      </c>
      <c r="I1034" t="s">
        <v>16317</v>
      </c>
      <c r="J1034" t="s">
        <v>16385</v>
      </c>
      <c r="K1034">
        <v>0.313</v>
      </c>
      <c r="L1034">
        <v>13656</v>
      </c>
      <c r="M1034">
        <v>2862</v>
      </c>
      <c r="N1034" t="s">
        <v>16393</v>
      </c>
      <c r="O1034" s="4">
        <v>77491</v>
      </c>
      <c r="P1034" s="4">
        <v>146188</v>
      </c>
      <c r="Q1034" s="4">
        <v>223679</v>
      </c>
      <c r="R1034" s="4">
        <v>671037</v>
      </c>
      <c r="S1034" t="s">
        <v>17408</v>
      </c>
      <c r="T1034" s="6">
        <v>38991</v>
      </c>
      <c r="U1034" s="4">
        <v>667500</v>
      </c>
      <c r="V1034" t="s">
        <v>23739</v>
      </c>
      <c r="W1034" t="s">
        <v>24254</v>
      </c>
      <c r="X1034" t="s">
        <v>3</v>
      </c>
      <c r="AA1034" s="5" t="str">
        <f>HYPERLINK("https://www.zillow.com/homes/8422-GLENEYRE-RD-DARIEN-IL-605615322_rb/","check listing")</f>
        <v>check listing</v>
      </c>
      <c r="AB1034" s="5" t="str">
        <f>HYPERLINK("https://propertylookup.dupagecounty.gov/Datalets/Datalet.aspx?UseSearch=no&amp;mode=sales&amp;pin=0933302036","sales record")</f>
        <v>sales record</v>
      </c>
      <c r="AC1034" t="s">
        <v>3</v>
      </c>
      <c r="AD1034">
        <v>41.73432</v>
      </c>
      <c r="AE1034">
        <v>-87.984824</v>
      </c>
      <c r="AF1034" s="5" t="str">
        <f>HYPERLINK("https://www.google.com/maps/search/?api=1&amp;query=41.73432,-87.984824","map")</f>
        <v>map</v>
      </c>
    </row>
    <row r="1035" spans="1:32">
      <c r="A1035" t="s">
        <v>1085</v>
      </c>
      <c r="B1035" t="s">
        <v>8662</v>
      </c>
      <c r="C1035" t="s">
        <v>15201</v>
      </c>
      <c r="D1035" t="s">
        <v>16198</v>
      </c>
      <c r="E1035" t="s">
        <v>16218</v>
      </c>
      <c r="F1035" t="s">
        <v>16221</v>
      </c>
      <c r="G1035" t="s">
        <v>16241</v>
      </c>
      <c r="H1035" t="s">
        <v>16241</v>
      </c>
      <c r="I1035" t="s">
        <v>16317</v>
      </c>
      <c r="J1035" t="s">
        <v>16385</v>
      </c>
      <c r="K1035">
        <v>0.313</v>
      </c>
      <c r="L1035">
        <v>13637</v>
      </c>
      <c r="M1035">
        <v>2535</v>
      </c>
      <c r="N1035" t="s">
        <v>16393</v>
      </c>
      <c r="O1035" s="4">
        <v>79638</v>
      </c>
      <c r="P1035" s="4">
        <v>159393</v>
      </c>
      <c r="Q1035" s="4">
        <v>239031</v>
      </c>
      <c r="R1035" s="4">
        <v>717093</v>
      </c>
      <c r="S1035" t="s">
        <v>17409</v>
      </c>
      <c r="T1035" s="6">
        <v>32540</v>
      </c>
      <c r="U1035" s="4">
        <v>300000</v>
      </c>
      <c r="X1035" t="s">
        <v>3</v>
      </c>
      <c r="AA1035" s="5" t="str">
        <f>HYPERLINK("https://www.zillow.com/homes/6801-RED-PINE-TR-DARIEN-IL-60561_rb/","check listing")</f>
        <v>check listing</v>
      </c>
      <c r="AB1035" s="5" t="str">
        <f>HYPERLINK("https://propertylookup.dupagecounty.gov/Datalets/Datalet.aspx?UseSearch=no&amp;mode=sales&amp;pin=0922301041","sales record")</f>
        <v>sales record</v>
      </c>
      <c r="AC1035" t="s">
        <v>3</v>
      </c>
      <c r="AD1035">
        <v>41.763684</v>
      </c>
      <c r="AE1035">
        <v>-87.970657</v>
      </c>
      <c r="AF1035" s="5" t="str">
        <f>HYPERLINK("https://www.google.com/maps/search/?api=1&amp;query=41.763684,-87.970657","map")</f>
        <v>map</v>
      </c>
    </row>
    <row r="1036" spans="1:32">
      <c r="A1036" t="s">
        <v>1086</v>
      </c>
      <c r="B1036" t="s">
        <v>8663</v>
      </c>
      <c r="C1036" t="s">
        <v>15238</v>
      </c>
      <c r="D1036" t="s">
        <v>16198</v>
      </c>
      <c r="E1036" t="s">
        <v>16218</v>
      </c>
      <c r="F1036" t="s">
        <v>16221</v>
      </c>
      <c r="G1036" t="s">
        <v>16241</v>
      </c>
      <c r="H1036" t="s">
        <v>16241</v>
      </c>
      <c r="I1036" t="s">
        <v>16317</v>
      </c>
      <c r="J1036" t="s">
        <v>16385</v>
      </c>
      <c r="K1036">
        <v>0.313</v>
      </c>
      <c r="L1036">
        <v>13625</v>
      </c>
      <c r="M1036">
        <v>1562</v>
      </c>
      <c r="N1036" t="s">
        <v>16393</v>
      </c>
      <c r="O1036" s="4">
        <v>68734</v>
      </c>
      <c r="P1036" s="4">
        <v>146036</v>
      </c>
      <c r="Q1036" s="4">
        <v>214770</v>
      </c>
      <c r="R1036" s="4">
        <v>644310</v>
      </c>
      <c r="S1036" t="s">
        <v>17410</v>
      </c>
      <c r="T1036" s="6">
        <v>43891</v>
      </c>
      <c r="U1036" s="4">
        <v>465000</v>
      </c>
      <c r="V1036" t="s">
        <v>23740</v>
      </c>
      <c r="W1036" t="s">
        <v>24255</v>
      </c>
      <c r="X1036" t="s">
        <v>3</v>
      </c>
      <c r="AA1036" s="5" t="str">
        <f>HYPERLINK("https://www.zillow.com/homes/1405-PINE-COVE-CT-DARIEN-IL-605614999_rb/","check listing")</f>
        <v>check listing</v>
      </c>
      <c r="AB1036" s="5" t="str">
        <f>HYPERLINK("https://propertylookup.dupagecounty.gov/Datalets/Datalet.aspx?UseSearch=no&amp;mode=sales&amp;pin=0933208020","sales record")</f>
        <v>sales record</v>
      </c>
      <c r="AC1036" t="s">
        <v>3</v>
      </c>
      <c r="AD1036">
        <v>41.737333</v>
      </c>
      <c r="AE1036">
        <v>-87.979055</v>
      </c>
      <c r="AF1036" s="5" t="str">
        <f>HYPERLINK("https://www.google.com/maps/search/?api=1&amp;query=41.737333,-87.979055","map")</f>
        <v>map</v>
      </c>
    </row>
    <row r="1037" spans="1:32">
      <c r="A1037" t="s">
        <v>1087</v>
      </c>
      <c r="B1037" t="s">
        <v>8664</v>
      </c>
      <c r="C1037" t="s">
        <v>15201</v>
      </c>
      <c r="D1037" t="s">
        <v>16198</v>
      </c>
      <c r="E1037" t="s">
        <v>16218</v>
      </c>
      <c r="F1037" t="s">
        <v>16221</v>
      </c>
      <c r="G1037" t="s">
        <v>16241</v>
      </c>
      <c r="H1037" t="s">
        <v>16241</v>
      </c>
      <c r="I1037" t="s">
        <v>16317</v>
      </c>
      <c r="J1037" t="s">
        <v>16385</v>
      </c>
      <c r="K1037">
        <v>0.313</v>
      </c>
      <c r="L1037">
        <v>13613</v>
      </c>
      <c r="M1037">
        <v>2743</v>
      </c>
      <c r="N1037" t="s">
        <v>16393</v>
      </c>
      <c r="O1037" s="4">
        <v>77491</v>
      </c>
      <c r="P1037" s="4">
        <v>129722</v>
      </c>
      <c r="Q1037" s="4">
        <v>207213</v>
      </c>
      <c r="R1037" s="4">
        <v>621639</v>
      </c>
      <c r="S1037" t="s">
        <v>17411</v>
      </c>
      <c r="T1037" s="6">
        <v>33543</v>
      </c>
      <c r="U1037" s="4">
        <v>275000</v>
      </c>
      <c r="X1037" t="s">
        <v>3</v>
      </c>
      <c r="AA1037" s="5" t="str">
        <f>HYPERLINK("https://www.zillow.com/homes/1621-COACHMANS-RD-DARIEN-IL-60561_rb/","check listing")</f>
        <v>check listing</v>
      </c>
      <c r="AB1037" s="5" t="str">
        <f>HYPERLINK("https://propertylookup.dupagecounty.gov/Datalets/Datalet.aspx?UseSearch=no&amp;mode=sales&amp;pin=0933303005","sales record")</f>
        <v>sales record</v>
      </c>
      <c r="AC1037" t="s">
        <v>3</v>
      </c>
      <c r="AD1037">
        <v>41.731901</v>
      </c>
      <c r="AE1037">
        <v>-87.985103</v>
      </c>
      <c r="AF1037" s="5" t="str">
        <f>HYPERLINK("https://www.google.com/maps/search/?api=1&amp;query=41.731901,-87.985103","map")</f>
        <v>map</v>
      </c>
    </row>
    <row r="1038" spans="1:32">
      <c r="A1038" t="s">
        <v>1088</v>
      </c>
      <c r="B1038" t="s">
        <v>8665</v>
      </c>
      <c r="C1038" t="s">
        <v>15216</v>
      </c>
      <c r="D1038" t="s">
        <v>16198</v>
      </c>
      <c r="E1038" t="s">
        <v>16218</v>
      </c>
      <c r="F1038" t="s">
        <v>16221</v>
      </c>
      <c r="G1038" t="s">
        <v>16241</v>
      </c>
      <c r="H1038" t="s">
        <v>16241</v>
      </c>
      <c r="I1038" t="s">
        <v>16317</v>
      </c>
      <c r="J1038" t="s">
        <v>16385</v>
      </c>
      <c r="K1038">
        <v>0.312</v>
      </c>
      <c r="L1038">
        <v>13606</v>
      </c>
      <c r="M1038">
        <v>2648</v>
      </c>
      <c r="N1038" t="s">
        <v>16393</v>
      </c>
      <c r="O1038" s="4">
        <v>77491</v>
      </c>
      <c r="P1038" s="4">
        <v>131529</v>
      </c>
      <c r="Q1038" s="4">
        <v>209020</v>
      </c>
      <c r="R1038" s="4">
        <v>627060</v>
      </c>
      <c r="S1038" t="s">
        <v>17412</v>
      </c>
      <c r="T1038" s="6">
        <v>32813</v>
      </c>
      <c r="U1038" s="4">
        <v>317000</v>
      </c>
      <c r="X1038" t="s">
        <v>3</v>
      </c>
      <c r="AA1038" s="5" t="str">
        <f>HYPERLINK("https://www.zillow.com/homes/8426-GLENEYRE-RD-DARIEN-IL-605615322_rb/","check listing")</f>
        <v>check listing</v>
      </c>
      <c r="AB1038" s="5" t="str">
        <f>HYPERLINK("https://propertylookup.dupagecounty.gov/Datalets/Datalet.aspx?UseSearch=no&amp;mode=sales&amp;pin=0933302037","sales record")</f>
        <v>sales record</v>
      </c>
      <c r="AC1038" t="s">
        <v>3</v>
      </c>
      <c r="AD1038">
        <v>41.734053</v>
      </c>
      <c r="AE1038">
        <v>-87.984765</v>
      </c>
      <c r="AF1038" s="5" t="str">
        <f>HYPERLINK("https://www.google.com/maps/search/?api=1&amp;query=41.734053,-87.984765","map")</f>
        <v>map</v>
      </c>
    </row>
    <row r="1039" spans="1:32">
      <c r="A1039" t="s">
        <v>1089</v>
      </c>
      <c r="B1039" t="s">
        <v>8666</v>
      </c>
      <c r="C1039" t="s">
        <v>15201</v>
      </c>
      <c r="D1039" t="s">
        <v>16198</v>
      </c>
      <c r="E1039" t="s">
        <v>16218</v>
      </c>
      <c r="F1039" t="s">
        <v>16221</v>
      </c>
      <c r="G1039" t="s">
        <v>16241</v>
      </c>
      <c r="H1039" t="s">
        <v>16241</v>
      </c>
      <c r="I1039" t="s">
        <v>16317</v>
      </c>
      <c r="J1039" t="s">
        <v>16385</v>
      </c>
      <c r="K1039">
        <v>0.312</v>
      </c>
      <c r="L1039">
        <v>13596</v>
      </c>
      <c r="M1039">
        <v>2791</v>
      </c>
      <c r="N1039" t="s">
        <v>16393</v>
      </c>
      <c r="O1039" s="4">
        <v>79228</v>
      </c>
      <c r="P1039" s="4">
        <v>155661</v>
      </c>
      <c r="Q1039" s="4">
        <v>234889</v>
      </c>
      <c r="R1039" s="4">
        <v>704667</v>
      </c>
      <c r="S1039" t="s">
        <v>17413</v>
      </c>
      <c r="T1039" s="6">
        <v>44256</v>
      </c>
      <c r="U1039" s="4">
        <v>620000</v>
      </c>
      <c r="V1039" t="s">
        <v>16232</v>
      </c>
      <c r="W1039" t="s">
        <v>24256</v>
      </c>
      <c r="X1039" t="s">
        <v>3</v>
      </c>
      <c r="AA1039" s="5" t="str">
        <f>HYPERLINK("https://www.zillow.com/homes/8510-CARRIAGE-GREEN-DARIEN-IL-60561_rb/","check listing")</f>
        <v>check listing</v>
      </c>
      <c r="AB1039" s="5" t="str">
        <f>HYPERLINK("https://propertylookup.dupagecounty.gov/Datalets/Datalet.aspx?UseSearch=no&amp;mode=sales&amp;pin=0933301009","sales record")</f>
        <v>sales record</v>
      </c>
      <c r="AC1039" t="s">
        <v>3</v>
      </c>
      <c r="AD1039">
        <v>41.73303</v>
      </c>
      <c r="AE1039">
        <v>-87.986901</v>
      </c>
      <c r="AF1039" s="5" t="str">
        <f>HYPERLINK("https://www.google.com/maps/search/?api=1&amp;query=41.73303,-87.986901","map")</f>
        <v>map</v>
      </c>
    </row>
    <row r="1040" spans="1:32">
      <c r="A1040" t="s">
        <v>1090</v>
      </c>
      <c r="B1040" t="s">
        <v>8667</v>
      </c>
      <c r="C1040" t="s">
        <v>15240</v>
      </c>
      <c r="D1040" t="s">
        <v>16198</v>
      </c>
      <c r="E1040" t="s">
        <v>16218</v>
      </c>
      <c r="F1040" t="s">
        <v>16221</v>
      </c>
      <c r="G1040" t="s">
        <v>16241</v>
      </c>
      <c r="H1040" t="s">
        <v>16241</v>
      </c>
      <c r="I1040" t="s">
        <v>16317</v>
      </c>
      <c r="J1040" t="s">
        <v>16385</v>
      </c>
      <c r="K1040">
        <v>0.312</v>
      </c>
      <c r="L1040">
        <v>13594</v>
      </c>
      <c r="M1040">
        <v>2994</v>
      </c>
      <c r="N1040" t="s">
        <v>16393</v>
      </c>
      <c r="O1040" s="4">
        <v>77325</v>
      </c>
      <c r="P1040" s="4">
        <v>125132</v>
      </c>
      <c r="Q1040" s="4">
        <v>202457</v>
      </c>
      <c r="R1040" s="4">
        <v>607371</v>
      </c>
      <c r="S1040" t="s">
        <v>17414</v>
      </c>
      <c r="T1040" s="6">
        <v>44378</v>
      </c>
      <c r="U1040" s="4">
        <v>505000</v>
      </c>
      <c r="V1040" t="s">
        <v>23740</v>
      </c>
      <c r="W1040" t="s">
        <v>24257</v>
      </c>
      <c r="X1040" t="s">
        <v>3</v>
      </c>
      <c r="AA1040" s="5" t="str">
        <f>HYPERLINK("https://www.zillow.com/homes/1629-HEATHER-LN-DARIEN-IL-605615325_rb/","check listing")</f>
        <v>check listing</v>
      </c>
      <c r="AB1040" s="5" t="str">
        <f>HYPERLINK("https://propertylookup.dupagecounty.gov/Datalets/Datalet.aspx?UseSearch=no&amp;mode=sales&amp;pin=0933302027","sales record")</f>
        <v>sales record</v>
      </c>
      <c r="AC1040" t="s">
        <v>3</v>
      </c>
      <c r="AD1040">
        <v>41.73504</v>
      </c>
      <c r="AE1040">
        <v>-87.98677000000001</v>
      </c>
      <c r="AF1040" s="5" t="str">
        <f>HYPERLINK("https://www.google.com/maps/search/?api=1&amp;query=41.73504,-87.98677","map")</f>
        <v>map</v>
      </c>
    </row>
    <row r="1041" spans="1:32">
      <c r="A1041" t="s">
        <v>1091</v>
      </c>
      <c r="B1041" t="s">
        <v>8668</v>
      </c>
      <c r="C1041" t="s">
        <v>15241</v>
      </c>
      <c r="D1041" t="s">
        <v>16198</v>
      </c>
      <c r="E1041" t="s">
        <v>16218</v>
      </c>
      <c r="F1041" t="s">
        <v>16221</v>
      </c>
      <c r="G1041" t="s">
        <v>16241</v>
      </c>
      <c r="H1041" t="s">
        <v>16241</v>
      </c>
      <c r="I1041" t="s">
        <v>16317</v>
      </c>
      <c r="J1041" t="s">
        <v>16385</v>
      </c>
      <c r="K1041">
        <v>0.312</v>
      </c>
      <c r="L1041">
        <v>13586</v>
      </c>
      <c r="M1041">
        <v>2637</v>
      </c>
      <c r="N1041" t="s">
        <v>16393</v>
      </c>
      <c r="O1041" s="4">
        <v>88747</v>
      </c>
      <c r="P1041" s="4">
        <v>147809</v>
      </c>
      <c r="Q1041" s="4">
        <v>236556</v>
      </c>
      <c r="R1041" s="4">
        <v>709668</v>
      </c>
      <c r="S1041" t="s">
        <v>17415</v>
      </c>
      <c r="T1041" s="6">
        <v>34973</v>
      </c>
      <c r="U1041" s="4">
        <v>357500</v>
      </c>
      <c r="X1041" t="s">
        <v>3</v>
      </c>
      <c r="AA1041" s="5" t="str">
        <f>HYPERLINK("https://www.zillow.com/homes/1530-PINE-VIEW-CT-DARIEN-IL-605615900_rb/","check listing")</f>
        <v>check listing</v>
      </c>
      <c r="AB1041" s="5" t="str">
        <f>HYPERLINK("https://propertylookup.dupagecounty.gov/Datalets/Datalet.aspx?UseSearch=no&amp;mode=sales&amp;pin=0933207001","sales record")</f>
        <v>sales record</v>
      </c>
      <c r="AC1041" t="s">
        <v>3</v>
      </c>
      <c r="AD1041">
        <v>41.73871</v>
      </c>
      <c r="AE1041">
        <v>-87.982271</v>
      </c>
      <c r="AF1041" s="5" t="str">
        <f>HYPERLINK("https://www.google.com/maps/search/?api=1&amp;query=41.73871,-87.982271","map")</f>
        <v>map</v>
      </c>
    </row>
    <row r="1042" spans="1:32">
      <c r="A1042" t="s">
        <v>1092</v>
      </c>
      <c r="B1042" t="s">
        <v>8669</v>
      </c>
      <c r="C1042" t="s">
        <v>15216</v>
      </c>
      <c r="D1042" t="s">
        <v>16198</v>
      </c>
      <c r="E1042" t="s">
        <v>16218</v>
      </c>
      <c r="F1042" t="s">
        <v>16221</v>
      </c>
      <c r="G1042" t="s">
        <v>16241</v>
      </c>
      <c r="H1042" t="s">
        <v>16241</v>
      </c>
      <c r="I1042" t="s">
        <v>16317</v>
      </c>
      <c r="J1042" t="s">
        <v>16385</v>
      </c>
      <c r="K1042">
        <v>0.311</v>
      </c>
      <c r="L1042">
        <v>13549</v>
      </c>
      <c r="M1042">
        <v>2357</v>
      </c>
      <c r="N1042" t="s">
        <v>16393</v>
      </c>
      <c r="O1042" s="4">
        <v>77491</v>
      </c>
      <c r="P1042" s="4">
        <v>117902</v>
      </c>
      <c r="Q1042" s="4">
        <v>195393</v>
      </c>
      <c r="R1042" s="4">
        <v>586179</v>
      </c>
      <c r="S1042" t="s">
        <v>17416</v>
      </c>
      <c r="T1042" s="6">
        <v>38657</v>
      </c>
      <c r="U1042" s="4">
        <v>540000</v>
      </c>
      <c r="V1042" t="s">
        <v>23739</v>
      </c>
      <c r="W1042" t="s">
        <v>24258</v>
      </c>
      <c r="X1042" t="s">
        <v>3</v>
      </c>
      <c r="AA1042" s="5" t="str">
        <f>HYPERLINK("https://www.zillow.com/homes/8430-GLENEYRE-RD-DARIEN-IL-605615322_rb/","check listing")</f>
        <v>check listing</v>
      </c>
      <c r="AB1042" s="5" t="str">
        <f>HYPERLINK("https://propertylookup.dupagecounty.gov/Datalets/Datalet.aspx?UseSearch=no&amp;mode=sales&amp;pin=0933302038","sales record")</f>
        <v>sales record</v>
      </c>
      <c r="AC1042" t="s">
        <v>3</v>
      </c>
      <c r="AD1042">
        <v>41.733817</v>
      </c>
      <c r="AE1042">
        <v>-87.984713</v>
      </c>
      <c r="AF1042" s="5" t="str">
        <f>HYPERLINK("https://www.google.com/maps/search/?api=1&amp;query=41.733817,-87.984713","map")</f>
        <v>map</v>
      </c>
    </row>
    <row r="1043" spans="1:32">
      <c r="A1043" t="s">
        <v>1093</v>
      </c>
      <c r="B1043" t="s">
        <v>8670</v>
      </c>
      <c r="C1043" t="s">
        <v>15201</v>
      </c>
      <c r="D1043" t="s">
        <v>16198</v>
      </c>
      <c r="E1043" t="s">
        <v>16218</v>
      </c>
      <c r="F1043" t="s">
        <v>16221</v>
      </c>
      <c r="G1043" t="s">
        <v>16241</v>
      </c>
      <c r="H1043" t="s">
        <v>16241</v>
      </c>
      <c r="I1043" t="s">
        <v>16317</v>
      </c>
      <c r="J1043" t="s">
        <v>16385</v>
      </c>
      <c r="K1043">
        <v>0.311</v>
      </c>
      <c r="L1043">
        <v>13548</v>
      </c>
      <c r="M1043">
        <v>1904</v>
      </c>
      <c r="N1043" t="s">
        <v>16393</v>
      </c>
      <c r="O1043" s="4">
        <v>71774</v>
      </c>
      <c r="P1043" s="4">
        <v>81551</v>
      </c>
      <c r="Q1043" s="4">
        <v>153325</v>
      </c>
      <c r="R1043" s="4">
        <v>459975</v>
      </c>
      <c r="S1043" t="s">
        <v>17417</v>
      </c>
      <c r="T1043" s="6">
        <v>32295</v>
      </c>
      <c r="U1043" s="4">
        <v>143000</v>
      </c>
      <c r="X1043" t="s">
        <v>3</v>
      </c>
      <c r="AA1043" s="5" t="str">
        <f>HYPERLINK("https://www.zillow.com/homes/7829-FLORENCE-AVE-DARIEN-IL-60561_rb/","check listing")</f>
        <v>check listing</v>
      </c>
      <c r="AB1043" s="5" t="str">
        <f>HYPERLINK("https://propertylookup.dupagecounty.gov/Datalets/Datalet.aspx?UseSearch=no&amp;mode=sales&amp;pin=0928305037","sales record")</f>
        <v>sales record</v>
      </c>
      <c r="AC1043" t="s">
        <v>3</v>
      </c>
      <c r="AD1043">
        <v>41.744696</v>
      </c>
      <c r="AE1043">
        <v>-87.989648</v>
      </c>
      <c r="AF1043" s="5" t="str">
        <f>HYPERLINK("https://www.google.com/maps/search/?api=1&amp;query=41.744696,-87.989648","map")</f>
        <v>map</v>
      </c>
    </row>
    <row r="1044" spans="1:32">
      <c r="A1044" t="s">
        <v>1094</v>
      </c>
      <c r="B1044" t="s">
        <v>8671</v>
      </c>
      <c r="C1044" t="s">
        <v>15201</v>
      </c>
      <c r="D1044" t="s">
        <v>16198</v>
      </c>
      <c r="E1044" t="s">
        <v>16218</v>
      </c>
      <c r="F1044" t="s">
        <v>16221</v>
      </c>
      <c r="G1044" t="s">
        <v>16241</v>
      </c>
      <c r="H1044" t="s">
        <v>16241</v>
      </c>
      <c r="I1044" t="s">
        <v>16317</v>
      </c>
      <c r="J1044" t="s">
        <v>16385</v>
      </c>
      <c r="K1044">
        <v>0.311</v>
      </c>
      <c r="L1044">
        <v>13530</v>
      </c>
      <c r="M1044">
        <v>2208</v>
      </c>
      <c r="N1044" t="s">
        <v>16393</v>
      </c>
      <c r="O1044" s="4">
        <v>77491</v>
      </c>
      <c r="P1044" s="4">
        <v>131236</v>
      </c>
      <c r="Q1044" s="4">
        <v>208727</v>
      </c>
      <c r="R1044" s="4">
        <v>626181</v>
      </c>
      <c r="S1044" t="s">
        <v>17418</v>
      </c>
      <c r="T1044" s="6">
        <v>42552</v>
      </c>
      <c r="U1044" s="4">
        <v>310000</v>
      </c>
      <c r="V1044" t="s">
        <v>23740</v>
      </c>
      <c r="W1044" t="s">
        <v>24259</v>
      </c>
      <c r="X1044" t="s">
        <v>3</v>
      </c>
      <c r="AA1044" s="5" t="str">
        <f>HYPERLINK("https://www.zillow.com/homes/8733-CARRIAGE-GREEN-DARIEN-IL-60561_rb/","check listing")</f>
        <v>check listing</v>
      </c>
      <c r="AB1044" s="5" t="str">
        <f>HYPERLINK("https://propertylookup.dupagecounty.gov/Datalets/Datalet.aspx?UseSearch=no&amp;mode=sales&amp;pin=1004103006","sales record")</f>
        <v>sales record</v>
      </c>
      <c r="AC1044" t="s">
        <v>3</v>
      </c>
      <c r="AD1044">
        <v>41.729304</v>
      </c>
      <c r="AE1044">
        <v>-87.984612</v>
      </c>
      <c r="AF1044" s="5" t="str">
        <f>HYPERLINK("https://www.google.com/maps/search/?api=1&amp;query=41.729304,-87.984612","map")</f>
        <v>map</v>
      </c>
    </row>
    <row r="1045" spans="1:32">
      <c r="A1045" t="s">
        <v>1095</v>
      </c>
      <c r="B1045" t="s">
        <v>8672</v>
      </c>
      <c r="C1045" t="s">
        <v>15242</v>
      </c>
      <c r="D1045" t="s">
        <v>16198</v>
      </c>
      <c r="E1045" t="s">
        <v>16218</v>
      </c>
      <c r="F1045" t="s">
        <v>16221</v>
      </c>
      <c r="G1045" t="s">
        <v>16241</v>
      </c>
      <c r="H1045" t="s">
        <v>16241</v>
      </c>
      <c r="I1045" t="s">
        <v>16317</v>
      </c>
      <c r="J1045" t="s">
        <v>16385</v>
      </c>
      <c r="K1045">
        <v>0.31</v>
      </c>
      <c r="L1045">
        <v>13499</v>
      </c>
      <c r="M1045">
        <v>2435</v>
      </c>
      <c r="N1045" t="s">
        <v>16393</v>
      </c>
      <c r="O1045" s="4">
        <v>75941</v>
      </c>
      <c r="P1045" s="4">
        <v>111282</v>
      </c>
      <c r="Q1045" s="4">
        <v>187223</v>
      </c>
      <c r="R1045" s="4">
        <v>561669</v>
      </c>
      <c r="S1045" t="s">
        <v>17419</v>
      </c>
      <c r="T1045" s="6">
        <v>31625</v>
      </c>
      <c r="U1045" s="4">
        <v>235000</v>
      </c>
      <c r="X1045" t="s">
        <v>3</v>
      </c>
      <c r="AA1045" s="5" t="str">
        <f>HYPERLINK("https://www.zillow.com/homes/8502-GLENEYRE-RD-DARIEN-IL-605615324_rb/","check listing")</f>
        <v>check listing</v>
      </c>
      <c r="AB1045" s="5" t="str">
        <f>HYPERLINK("https://propertylookup.dupagecounty.gov/Datalets/Datalet.aspx?UseSearch=no&amp;mode=sales&amp;pin=0933302039","sales record")</f>
        <v>sales record</v>
      </c>
      <c r="AC1045" t="s">
        <v>3</v>
      </c>
      <c r="AD1045">
        <v>41.733566</v>
      </c>
      <c r="AE1045">
        <v>-87.984657</v>
      </c>
      <c r="AF1045" s="5" t="str">
        <f>HYPERLINK("https://www.google.com/maps/search/?api=1&amp;query=41.733566,-87.984657","map")</f>
        <v>map</v>
      </c>
    </row>
    <row r="1046" spans="1:32">
      <c r="A1046" t="s">
        <v>1096</v>
      </c>
      <c r="B1046" t="s">
        <v>8673</v>
      </c>
      <c r="C1046" t="s">
        <v>15216</v>
      </c>
      <c r="D1046" t="s">
        <v>16198</v>
      </c>
      <c r="E1046" t="s">
        <v>16218</v>
      </c>
      <c r="F1046" t="s">
        <v>16221</v>
      </c>
      <c r="G1046" t="s">
        <v>16241</v>
      </c>
      <c r="H1046" t="s">
        <v>16241</v>
      </c>
      <c r="I1046" t="s">
        <v>16317</v>
      </c>
      <c r="J1046" t="s">
        <v>16385</v>
      </c>
      <c r="K1046">
        <v>0.309</v>
      </c>
      <c r="L1046">
        <v>13477</v>
      </c>
      <c r="M1046">
        <v>3840</v>
      </c>
      <c r="N1046" t="s">
        <v>16393</v>
      </c>
      <c r="O1046" s="4">
        <v>77689</v>
      </c>
      <c r="P1046" s="4">
        <v>127174</v>
      </c>
      <c r="Q1046" s="4">
        <v>204863</v>
      </c>
      <c r="R1046" s="4">
        <v>614589</v>
      </c>
      <c r="S1046" t="s">
        <v>17420</v>
      </c>
      <c r="T1046" s="6">
        <v>42064</v>
      </c>
      <c r="U1046" s="4">
        <v>390000</v>
      </c>
      <c r="V1046" t="s">
        <v>23740</v>
      </c>
      <c r="W1046" t="s">
        <v>24260</v>
      </c>
      <c r="X1046" t="s">
        <v>3</v>
      </c>
      <c r="AA1046" s="5" t="str">
        <f>HYPERLINK("https://www.zillow.com/homes/8410-GLENEYRE-RD-DARIEN-IL-605615322_rb/","check listing")</f>
        <v>check listing</v>
      </c>
      <c r="AB1046" s="5" t="str">
        <f>HYPERLINK("https://propertylookup.dupagecounty.gov/Datalets/Datalet.aspx?UseSearch=no&amp;mode=sales&amp;pin=0933302033","sales record")</f>
        <v>sales record</v>
      </c>
      <c r="AC1046" t="s">
        <v>3</v>
      </c>
      <c r="AD1046">
        <v>41.735009</v>
      </c>
      <c r="AE1046">
        <v>-87.984976</v>
      </c>
      <c r="AF1046" s="5" t="str">
        <f>HYPERLINK("https://www.google.com/maps/search/?api=1&amp;query=41.735009,-87.984976","map")</f>
        <v>map</v>
      </c>
    </row>
    <row r="1047" spans="1:32">
      <c r="A1047" t="s">
        <v>1097</v>
      </c>
      <c r="B1047" t="s">
        <v>8674</v>
      </c>
      <c r="C1047" t="s">
        <v>15201</v>
      </c>
      <c r="D1047" t="s">
        <v>16198</v>
      </c>
      <c r="E1047" t="s">
        <v>16218</v>
      </c>
      <c r="F1047" t="s">
        <v>16221</v>
      </c>
      <c r="G1047" t="s">
        <v>16241</v>
      </c>
      <c r="H1047" t="s">
        <v>16241</v>
      </c>
      <c r="I1047" t="s">
        <v>16317</v>
      </c>
      <c r="J1047" t="s">
        <v>16385</v>
      </c>
      <c r="K1047">
        <v>0.309</v>
      </c>
      <c r="L1047">
        <v>13457</v>
      </c>
      <c r="M1047">
        <v>2408</v>
      </c>
      <c r="N1047" t="s">
        <v>16393</v>
      </c>
      <c r="O1047" s="4">
        <v>81856</v>
      </c>
      <c r="P1047" s="4">
        <v>102126</v>
      </c>
      <c r="Q1047" s="4">
        <v>183982</v>
      </c>
      <c r="R1047" s="4">
        <v>551946</v>
      </c>
      <c r="S1047" t="s">
        <v>17421</v>
      </c>
      <c r="T1047" s="6">
        <v>31594</v>
      </c>
      <c r="U1047" s="4">
        <v>180000</v>
      </c>
      <c r="X1047" t="s">
        <v>3</v>
      </c>
      <c r="AA1047" s="5" t="str">
        <f>HYPERLINK("https://www.zillow.com/homes/1618-OLD-OAK-PL-DARIEN-IL-60561_rb/","check listing")</f>
        <v>check listing</v>
      </c>
      <c r="AB1047" s="5" t="str">
        <f>HYPERLINK("https://propertylookup.dupagecounty.gov/Datalets/Datalet.aspx?UseSearch=no&amp;mode=sales&amp;pin=1004102008","sales record")</f>
        <v>sales record</v>
      </c>
      <c r="AC1047" t="s">
        <v>3</v>
      </c>
      <c r="AD1047">
        <v>41.728318</v>
      </c>
      <c r="AE1047">
        <v>-87.986159</v>
      </c>
      <c r="AF1047" s="5" t="str">
        <f>HYPERLINK("https://www.google.com/maps/search/?api=1&amp;query=41.728318,-87.986159","map")</f>
        <v>map</v>
      </c>
    </row>
    <row r="1048" spans="1:32">
      <c r="A1048" t="s">
        <v>1098</v>
      </c>
      <c r="B1048" t="s">
        <v>8675</v>
      </c>
      <c r="C1048" t="s">
        <v>15201</v>
      </c>
      <c r="D1048" t="s">
        <v>16198</v>
      </c>
      <c r="E1048" t="s">
        <v>16218</v>
      </c>
      <c r="F1048" t="s">
        <v>16221</v>
      </c>
      <c r="G1048" t="s">
        <v>16241</v>
      </c>
      <c r="H1048" t="s">
        <v>16241</v>
      </c>
      <c r="I1048" t="s">
        <v>16317</v>
      </c>
      <c r="J1048" t="s">
        <v>16385</v>
      </c>
      <c r="K1048">
        <v>0.309</v>
      </c>
      <c r="L1048">
        <v>13446</v>
      </c>
      <c r="M1048">
        <v>3182</v>
      </c>
      <c r="N1048" t="s">
        <v>16393</v>
      </c>
      <c r="O1048" s="4">
        <v>75941</v>
      </c>
      <c r="P1048" s="4">
        <v>100098</v>
      </c>
      <c r="Q1048" s="4">
        <v>176039</v>
      </c>
      <c r="R1048" s="4">
        <v>528117</v>
      </c>
      <c r="S1048" t="s">
        <v>17422</v>
      </c>
      <c r="T1048" s="6">
        <v>45638</v>
      </c>
      <c r="U1048" s="4">
        <v>528357</v>
      </c>
      <c r="V1048" t="s">
        <v>16232</v>
      </c>
      <c r="W1048" t="s">
        <v>24261</v>
      </c>
      <c r="X1048" t="s">
        <v>3</v>
      </c>
      <c r="AA1048" s="5" t="str">
        <f>HYPERLINK("https://www.zillow.com/homes/1621-HEATHER-LN-DARIEN-IL-60561_rb/","check listing")</f>
        <v>check listing</v>
      </c>
      <c r="AB1048" s="5" t="str">
        <f>HYPERLINK("https://propertylookup.dupagecounty.gov/Datalets/Datalet.aspx?UseSearch=no&amp;mode=sales&amp;pin=0933302029","sales record")</f>
        <v>sales record</v>
      </c>
      <c r="AC1048" t="s">
        <v>3</v>
      </c>
      <c r="AD1048">
        <v>41.735144</v>
      </c>
      <c r="AE1048">
        <v>-87.986127</v>
      </c>
      <c r="AF1048" s="5" t="str">
        <f>HYPERLINK("https://www.google.com/maps/search/?api=1&amp;query=41.735144,-87.986127","map")</f>
        <v>map</v>
      </c>
    </row>
    <row r="1049" spans="1:32">
      <c r="A1049" t="s">
        <v>1099</v>
      </c>
      <c r="B1049" t="s">
        <v>8676</v>
      </c>
      <c r="C1049" t="s">
        <v>15242</v>
      </c>
      <c r="D1049" t="s">
        <v>16198</v>
      </c>
      <c r="E1049" t="s">
        <v>16218</v>
      </c>
      <c r="F1049" t="s">
        <v>16221</v>
      </c>
      <c r="G1049" t="s">
        <v>16241</v>
      </c>
      <c r="H1049" t="s">
        <v>16241</v>
      </c>
      <c r="I1049" t="s">
        <v>16317</v>
      </c>
      <c r="J1049" t="s">
        <v>16385</v>
      </c>
      <c r="K1049">
        <v>0.309</v>
      </c>
      <c r="L1049">
        <v>13440</v>
      </c>
      <c r="M1049">
        <v>3220</v>
      </c>
      <c r="N1049" t="s">
        <v>16393</v>
      </c>
      <c r="O1049" s="4">
        <v>75940</v>
      </c>
      <c r="P1049" s="4">
        <v>83670</v>
      </c>
      <c r="Q1049" s="4">
        <v>159610</v>
      </c>
      <c r="R1049" s="4">
        <v>478830</v>
      </c>
      <c r="S1049" t="s">
        <v>17423</v>
      </c>
      <c r="T1049" s="6">
        <v>41548</v>
      </c>
      <c r="U1049" s="4">
        <v>306000</v>
      </c>
      <c r="V1049" t="s">
        <v>23739</v>
      </c>
      <c r="W1049" t="s">
        <v>24262</v>
      </c>
      <c r="X1049" t="s">
        <v>3</v>
      </c>
      <c r="AA1049" s="5" t="str">
        <f>HYPERLINK("https://www.zillow.com/homes/8506-GLENEYRE-RD-DARIEN-IL-605615324_rb/","check listing")</f>
        <v>check listing</v>
      </c>
      <c r="AB1049" s="5" t="str">
        <f>HYPERLINK("https://propertylookup.dupagecounty.gov/Datalets/Datalet.aspx?UseSearch=no&amp;mode=sales&amp;pin=0933302040","sales record")</f>
        <v>sales record</v>
      </c>
      <c r="AC1049" t="s">
        <v>3</v>
      </c>
      <c r="AD1049">
        <v>41.733322</v>
      </c>
      <c r="AE1049">
        <v>-87.984604</v>
      </c>
      <c r="AF1049" s="5" t="str">
        <f>HYPERLINK("https://www.google.com/maps/search/?api=1&amp;query=41.733322,-87.984604","map")</f>
        <v>map</v>
      </c>
    </row>
    <row r="1050" spans="1:32">
      <c r="A1050" t="s">
        <v>1100</v>
      </c>
      <c r="B1050" t="s">
        <v>8677</v>
      </c>
      <c r="C1050" t="s">
        <v>15243</v>
      </c>
      <c r="D1050" t="s">
        <v>16198</v>
      </c>
      <c r="E1050" t="s">
        <v>16218</v>
      </c>
      <c r="F1050" t="s">
        <v>16221</v>
      </c>
      <c r="G1050" t="s">
        <v>16241</v>
      </c>
      <c r="H1050" t="s">
        <v>16241</v>
      </c>
      <c r="I1050" t="s">
        <v>16317</v>
      </c>
      <c r="J1050" t="s">
        <v>16385</v>
      </c>
      <c r="K1050">
        <v>0.308</v>
      </c>
      <c r="L1050">
        <v>13437</v>
      </c>
      <c r="M1050">
        <v>2676</v>
      </c>
      <c r="N1050" t="s">
        <v>16393</v>
      </c>
      <c r="O1050" s="4">
        <v>77491</v>
      </c>
      <c r="P1050" s="4">
        <v>123817</v>
      </c>
      <c r="Q1050" s="4">
        <v>201308</v>
      </c>
      <c r="R1050" s="4">
        <v>603924</v>
      </c>
      <c r="S1050" t="s">
        <v>17424</v>
      </c>
      <c r="T1050" s="6">
        <v>44348</v>
      </c>
      <c r="U1050" s="4">
        <v>500000</v>
      </c>
      <c r="V1050" t="s">
        <v>23739</v>
      </c>
      <c r="W1050" t="s">
        <v>24263</v>
      </c>
      <c r="X1050" t="s">
        <v>3</v>
      </c>
      <c r="AA1050" s="5" t="str">
        <f>HYPERLINK("https://www.zillow.com/homes/1605-ROYAL-OAK-RD-DARIEN-IL-605615330_rb/","check listing")</f>
        <v>check listing</v>
      </c>
      <c r="AB1050" s="5" t="str">
        <f>HYPERLINK("https://propertylookup.dupagecounty.gov/Datalets/Datalet.aspx?UseSearch=no&amp;mode=sales&amp;pin=1004102004","sales record")</f>
        <v>sales record</v>
      </c>
      <c r="AC1050" t="s">
        <v>3</v>
      </c>
      <c r="AD1050">
        <v>41.728999</v>
      </c>
      <c r="AE1050">
        <v>-87.98566700000001</v>
      </c>
      <c r="AF1050" s="5" t="str">
        <f>HYPERLINK("https://www.google.com/maps/search/?api=1&amp;query=41.728999,-87.985667","map")</f>
        <v>map</v>
      </c>
    </row>
    <row r="1051" spans="1:32">
      <c r="A1051" t="s">
        <v>1101</v>
      </c>
      <c r="B1051" t="s">
        <v>8678</v>
      </c>
      <c r="C1051" t="s">
        <v>15201</v>
      </c>
      <c r="D1051" t="s">
        <v>16198</v>
      </c>
      <c r="E1051" t="s">
        <v>16218</v>
      </c>
      <c r="F1051" t="s">
        <v>16221</v>
      </c>
      <c r="G1051" t="s">
        <v>16241</v>
      </c>
      <c r="H1051" t="s">
        <v>16241</v>
      </c>
      <c r="I1051" t="s">
        <v>16317</v>
      </c>
      <c r="J1051" t="s">
        <v>16385</v>
      </c>
      <c r="K1051">
        <v>0.307</v>
      </c>
      <c r="L1051">
        <v>13384</v>
      </c>
      <c r="M1051">
        <v>3341</v>
      </c>
      <c r="N1051" t="s">
        <v>16393</v>
      </c>
      <c r="O1051" s="4">
        <v>69320</v>
      </c>
      <c r="P1051" s="4">
        <v>90097</v>
      </c>
      <c r="Q1051" s="4">
        <v>159417</v>
      </c>
      <c r="R1051" s="4">
        <v>478251</v>
      </c>
      <c r="S1051" t="s">
        <v>17425</v>
      </c>
      <c r="X1051" t="s">
        <v>3</v>
      </c>
      <c r="AA1051" s="5" t="str">
        <f>HYPERLINK("https://www.zillow.com/homes/8519-CARRIAGE-GREEN-DR-DARIEN-IL-60561_rb/","check listing")</f>
        <v>check listing</v>
      </c>
      <c r="AB1051" s="5" t="str">
        <f>HYPERLINK("https://propertylookup.dupagecounty.gov/Datalets/Datalet.aspx?UseSearch=no&amp;mode=sales&amp;pin=0933302023","sales record")</f>
        <v>sales record</v>
      </c>
      <c r="AC1051" t="s">
        <v>3</v>
      </c>
      <c r="AD1051">
        <v>41.732476</v>
      </c>
      <c r="AE1051">
        <v>-87.98605999999999</v>
      </c>
      <c r="AF1051" s="5" t="str">
        <f>HYPERLINK("https://www.google.com/maps/search/?api=1&amp;query=41.732476,-87.98606","map")</f>
        <v>map</v>
      </c>
    </row>
    <row r="1052" spans="1:32">
      <c r="A1052" t="s">
        <v>1102</v>
      </c>
      <c r="B1052" t="s">
        <v>8679</v>
      </c>
      <c r="C1052" t="s">
        <v>15201</v>
      </c>
      <c r="D1052" t="s">
        <v>16198</v>
      </c>
      <c r="E1052" t="s">
        <v>16218</v>
      </c>
      <c r="F1052" t="s">
        <v>16221</v>
      </c>
      <c r="G1052" t="s">
        <v>16241</v>
      </c>
      <c r="H1052" t="s">
        <v>16241</v>
      </c>
      <c r="I1052" t="s">
        <v>16317</v>
      </c>
      <c r="J1052" t="s">
        <v>16385</v>
      </c>
      <c r="K1052">
        <v>0.307</v>
      </c>
      <c r="L1052">
        <v>13360</v>
      </c>
      <c r="M1052">
        <v>4723</v>
      </c>
      <c r="N1052" t="s">
        <v>16393</v>
      </c>
      <c r="O1052" s="4">
        <v>75941</v>
      </c>
      <c r="P1052" s="4">
        <v>132444</v>
      </c>
      <c r="Q1052" s="4">
        <v>208385</v>
      </c>
      <c r="R1052" s="4">
        <v>625155</v>
      </c>
      <c r="S1052" t="s">
        <v>17426</v>
      </c>
      <c r="T1052" s="6">
        <v>32782</v>
      </c>
      <c r="U1052" s="4">
        <v>358200</v>
      </c>
      <c r="X1052" t="s">
        <v>3</v>
      </c>
      <c r="AA1052" s="5" t="str">
        <f>HYPERLINK("https://www.zillow.com/homes/1617-COACHMANS-RD-DARIEN-IL-60561_rb/","check listing")</f>
        <v>check listing</v>
      </c>
      <c r="AB1052" s="5" t="str">
        <f>HYPERLINK("https://propertylookup.dupagecounty.gov/Datalets/Datalet.aspx?UseSearch=no&amp;mode=sales&amp;pin=0933303006","sales record")</f>
        <v>sales record</v>
      </c>
      <c r="AC1052" t="s">
        <v>3</v>
      </c>
      <c r="AD1052">
        <v>41.73199</v>
      </c>
      <c r="AE1052">
        <v>-87.984796</v>
      </c>
      <c r="AF1052" s="5" t="str">
        <f>HYPERLINK("https://www.google.com/maps/search/?api=1&amp;query=41.73199,-87.984796","map")</f>
        <v>map</v>
      </c>
    </row>
    <row r="1053" spans="1:32">
      <c r="A1053" t="s">
        <v>1103</v>
      </c>
      <c r="B1053" t="s">
        <v>8680</v>
      </c>
      <c r="C1053" t="s">
        <v>15244</v>
      </c>
      <c r="D1053" t="s">
        <v>16198</v>
      </c>
      <c r="E1053" t="s">
        <v>16218</v>
      </c>
      <c r="F1053" t="s">
        <v>16221</v>
      </c>
      <c r="G1053" t="s">
        <v>16241</v>
      </c>
      <c r="H1053" t="s">
        <v>16241</v>
      </c>
      <c r="I1053" t="s">
        <v>16317</v>
      </c>
      <c r="J1053" t="s">
        <v>16385</v>
      </c>
      <c r="K1053">
        <v>0.306</v>
      </c>
      <c r="L1053">
        <v>13319</v>
      </c>
      <c r="M1053">
        <v>2282</v>
      </c>
      <c r="N1053" t="s">
        <v>16393</v>
      </c>
      <c r="O1053" s="4">
        <v>94498</v>
      </c>
      <c r="P1053" s="4">
        <v>148396</v>
      </c>
      <c r="Q1053" s="4">
        <v>242894</v>
      </c>
      <c r="R1053" s="4">
        <v>728682</v>
      </c>
      <c r="S1053" t="s">
        <v>17427</v>
      </c>
      <c r="T1053" s="6">
        <v>33420</v>
      </c>
      <c r="U1053" s="4">
        <v>281000</v>
      </c>
      <c r="X1053" t="s">
        <v>3</v>
      </c>
      <c r="AA1053" s="5" t="str">
        <f>HYPERLINK("https://www.zillow.com/homes/1409-PINEHURST-DR-DARIEN-IL-605615924_rb/","check listing")</f>
        <v>check listing</v>
      </c>
      <c r="AB1053" s="5" t="str">
        <f>HYPERLINK("https://propertylookup.dupagecounty.gov/Datalets/Datalet.aspx?UseSearch=no&amp;mode=sales&amp;pin=0933208027","sales record")</f>
        <v>sales record</v>
      </c>
      <c r="AC1053" t="s">
        <v>3</v>
      </c>
      <c r="AD1053">
        <v>41.738283</v>
      </c>
      <c r="AE1053">
        <v>-87.979606</v>
      </c>
      <c r="AF1053" s="5" t="str">
        <f>HYPERLINK("https://www.google.com/maps/search/?api=1&amp;query=41.738283,-87.979606","map")</f>
        <v>map</v>
      </c>
    </row>
    <row r="1054" spans="1:32">
      <c r="A1054" t="s">
        <v>1104</v>
      </c>
      <c r="B1054" t="s">
        <v>8681</v>
      </c>
      <c r="C1054" t="s">
        <v>15201</v>
      </c>
      <c r="D1054" t="s">
        <v>16198</v>
      </c>
      <c r="E1054" t="s">
        <v>16218</v>
      </c>
      <c r="F1054" t="s">
        <v>16221</v>
      </c>
      <c r="G1054" t="s">
        <v>16241</v>
      </c>
      <c r="H1054" t="s">
        <v>16241</v>
      </c>
      <c r="I1054" t="s">
        <v>16317</v>
      </c>
      <c r="J1054" t="s">
        <v>16385</v>
      </c>
      <c r="K1054">
        <v>0.306</v>
      </c>
      <c r="L1054">
        <v>13316</v>
      </c>
      <c r="M1054">
        <v>3480</v>
      </c>
      <c r="N1054" t="s">
        <v>16393</v>
      </c>
      <c r="O1054" s="4">
        <v>75941</v>
      </c>
      <c r="P1054" s="4">
        <v>102303</v>
      </c>
      <c r="Q1054" s="4">
        <v>178244</v>
      </c>
      <c r="R1054" s="4">
        <v>534732</v>
      </c>
      <c r="S1054" t="s">
        <v>17428</v>
      </c>
      <c r="X1054" t="s">
        <v>3</v>
      </c>
      <c r="AA1054" s="5" t="str">
        <f>HYPERLINK("https://www.zillow.com/homes/1613-ROYAL-OAK-RD-DARIEN-IL-60561_rb/","check listing")</f>
        <v>check listing</v>
      </c>
      <c r="AB1054" s="5" t="str">
        <f>HYPERLINK("https://propertylookup.dupagecounty.gov/Datalets/Datalet.aspx?UseSearch=no&amp;mode=sales&amp;pin=1004102002","sales record")</f>
        <v>sales record</v>
      </c>
      <c r="AC1054" t="s">
        <v>3</v>
      </c>
      <c r="AD1054">
        <v>41.728719</v>
      </c>
      <c r="AE1054">
        <v>-87.98621</v>
      </c>
      <c r="AF1054" s="5" t="str">
        <f>HYPERLINK("https://www.google.com/maps/search/?api=1&amp;query=41.728719,-87.98621","map")</f>
        <v>map</v>
      </c>
    </row>
    <row r="1055" spans="1:32">
      <c r="A1055" t="s">
        <v>1105</v>
      </c>
      <c r="B1055" t="s">
        <v>8682</v>
      </c>
      <c r="C1055" t="s">
        <v>15201</v>
      </c>
      <c r="D1055" t="s">
        <v>16198</v>
      </c>
      <c r="E1055" t="s">
        <v>16218</v>
      </c>
      <c r="F1055" t="s">
        <v>16221</v>
      </c>
      <c r="G1055" t="s">
        <v>16241</v>
      </c>
      <c r="H1055" t="s">
        <v>16241</v>
      </c>
      <c r="I1055" t="s">
        <v>16317</v>
      </c>
      <c r="J1055" t="s">
        <v>16385</v>
      </c>
      <c r="K1055">
        <v>0.305</v>
      </c>
      <c r="L1055">
        <v>13300</v>
      </c>
      <c r="M1055">
        <v>2172</v>
      </c>
      <c r="N1055" t="s">
        <v>16393</v>
      </c>
      <c r="O1055" s="4">
        <v>62313</v>
      </c>
      <c r="P1055" s="4">
        <v>103066</v>
      </c>
      <c r="Q1055" s="4">
        <v>165379</v>
      </c>
      <c r="R1055" s="4">
        <v>496137</v>
      </c>
      <c r="S1055" t="s">
        <v>17429</v>
      </c>
      <c r="T1055" s="6">
        <v>33420</v>
      </c>
      <c r="U1055" s="4">
        <v>217000</v>
      </c>
      <c r="X1055" t="s">
        <v>3</v>
      </c>
      <c r="AA1055" s="5" t="str">
        <f>HYPERLINK("https://www.zillow.com/homes/720-SOMERSET-RD-DARIEN-IL-60561_rb/","check listing")</f>
        <v>check listing</v>
      </c>
      <c r="AB1055" s="5" t="str">
        <f>HYPERLINK("https://propertylookup.dupagecounty.gov/Datalets/Datalet.aspx?UseSearch=no&amp;mode=sales&amp;pin=0927418010","sales record")</f>
        <v>sales record</v>
      </c>
      <c r="AC1055" t="s">
        <v>3</v>
      </c>
      <c r="AD1055">
        <v>41.747342</v>
      </c>
      <c r="AE1055">
        <v>-87.963823</v>
      </c>
      <c r="AF1055" s="5" t="str">
        <f>HYPERLINK("https://www.google.com/maps/search/?api=1&amp;query=41.747342,-87.963823","map")</f>
        <v>map</v>
      </c>
    </row>
    <row r="1056" spans="1:32">
      <c r="A1056" t="s">
        <v>1106</v>
      </c>
      <c r="B1056" t="s">
        <v>8683</v>
      </c>
      <c r="C1056" t="s">
        <v>15201</v>
      </c>
      <c r="D1056" t="s">
        <v>16198</v>
      </c>
      <c r="E1056" t="s">
        <v>16218</v>
      </c>
      <c r="F1056" t="s">
        <v>16221</v>
      </c>
      <c r="G1056" t="s">
        <v>16241</v>
      </c>
      <c r="H1056" t="s">
        <v>16241</v>
      </c>
      <c r="I1056" t="s">
        <v>16317</v>
      </c>
      <c r="J1056" t="s">
        <v>16385</v>
      </c>
      <c r="K1056">
        <v>0.304</v>
      </c>
      <c r="L1056">
        <v>13250</v>
      </c>
      <c r="M1056">
        <v>2647</v>
      </c>
      <c r="N1056" t="s">
        <v>16393</v>
      </c>
      <c r="O1056" s="4">
        <v>77291</v>
      </c>
      <c r="P1056" s="4">
        <v>132186</v>
      </c>
      <c r="Q1056" s="4">
        <v>209477</v>
      </c>
      <c r="R1056" s="4">
        <v>628431</v>
      </c>
      <c r="S1056" t="s">
        <v>17430</v>
      </c>
      <c r="T1056" s="6">
        <v>45828</v>
      </c>
      <c r="U1056" s="4">
        <v>975000</v>
      </c>
      <c r="V1056" t="s">
        <v>23739</v>
      </c>
      <c r="W1056" t="s">
        <v>24264</v>
      </c>
      <c r="X1056" t="s">
        <v>3</v>
      </c>
      <c r="AA1056" s="5" t="str">
        <f>HYPERLINK("https://www.zillow.com/homes/1505-OLD-OAK-PL-DARIEN-IL-60561_rb/","check listing")</f>
        <v>check listing</v>
      </c>
      <c r="AB1056" s="5" t="str">
        <f>HYPERLINK("https://propertylookup.dupagecounty.gov/Datalets/Datalet.aspx?UseSearch=no&amp;mode=sales&amp;pin=1004103012","sales record")</f>
        <v>sales record</v>
      </c>
      <c r="AC1056" t="s">
        <v>3</v>
      </c>
      <c r="AD1056">
        <v>41.728794</v>
      </c>
      <c r="AE1056">
        <v>-87.983768</v>
      </c>
      <c r="AF1056" s="5" t="str">
        <f>HYPERLINK("https://www.google.com/maps/search/?api=1&amp;query=41.728794,-87.983768","map")</f>
        <v>map</v>
      </c>
    </row>
    <row r="1057" spans="1:32">
      <c r="A1057" t="s">
        <v>1107</v>
      </c>
      <c r="B1057" t="s">
        <v>8684</v>
      </c>
      <c r="C1057" t="s">
        <v>15245</v>
      </c>
      <c r="D1057" t="s">
        <v>16198</v>
      </c>
      <c r="E1057" t="s">
        <v>16218</v>
      </c>
      <c r="F1057" t="s">
        <v>16221</v>
      </c>
      <c r="G1057" t="s">
        <v>16241</v>
      </c>
      <c r="H1057" t="s">
        <v>16241</v>
      </c>
      <c r="I1057" t="s">
        <v>16317</v>
      </c>
      <c r="J1057" t="s">
        <v>16385</v>
      </c>
      <c r="K1057">
        <v>0.304</v>
      </c>
      <c r="L1057">
        <v>13234</v>
      </c>
      <c r="M1057">
        <v>3026</v>
      </c>
      <c r="N1057" t="s">
        <v>16393</v>
      </c>
      <c r="O1057" s="4">
        <v>65189</v>
      </c>
      <c r="P1057" s="4">
        <v>159499</v>
      </c>
      <c r="Q1057" s="4">
        <v>224688</v>
      </c>
      <c r="R1057" s="4">
        <v>674064</v>
      </c>
      <c r="S1057" t="s">
        <v>17431</v>
      </c>
      <c r="T1057" s="6">
        <v>35551</v>
      </c>
      <c r="U1057" s="4">
        <v>625000</v>
      </c>
      <c r="X1057" t="s">
        <v>3</v>
      </c>
      <c r="AA1057" s="5" t="str">
        <f>HYPERLINK("https://www.zillow.com/homes/1500-OLD-OAK-PL-DARIEN-IL-605618470_rb/","check listing")</f>
        <v>check listing</v>
      </c>
      <c r="AB1057" s="5" t="str">
        <f>HYPERLINK("https://propertylookup.dupagecounty.gov/Datalets/Datalet.aspx?UseSearch=no&amp;mode=sales&amp;pin=1004103010","sales record")</f>
        <v>sales record</v>
      </c>
      <c r="AC1057" t="s">
        <v>3</v>
      </c>
      <c r="AD1057">
        <v>41.72935</v>
      </c>
      <c r="AE1057">
        <v>-87.98345</v>
      </c>
      <c r="AF1057" s="5" t="str">
        <f>HYPERLINK("https://www.google.com/maps/search/?api=1&amp;query=41.72935,-87.98345","map")</f>
        <v>map</v>
      </c>
    </row>
    <row r="1058" spans="1:32">
      <c r="A1058" t="s">
        <v>1108</v>
      </c>
      <c r="B1058" t="s">
        <v>8685</v>
      </c>
      <c r="C1058" t="s">
        <v>15246</v>
      </c>
      <c r="D1058" t="s">
        <v>16198</v>
      </c>
      <c r="E1058" t="s">
        <v>16218</v>
      </c>
      <c r="F1058" t="s">
        <v>16221</v>
      </c>
      <c r="G1058" t="s">
        <v>16241</v>
      </c>
      <c r="H1058" t="s">
        <v>16241</v>
      </c>
      <c r="I1058" t="s">
        <v>16317</v>
      </c>
      <c r="J1058" t="s">
        <v>16385</v>
      </c>
      <c r="K1058">
        <v>0.303</v>
      </c>
      <c r="L1058">
        <v>13215</v>
      </c>
      <c r="M1058">
        <v>2199</v>
      </c>
      <c r="N1058" t="s">
        <v>16393</v>
      </c>
      <c r="O1058" s="4">
        <v>64837</v>
      </c>
      <c r="P1058" s="4">
        <v>90272</v>
      </c>
      <c r="Q1058" s="4">
        <v>155109</v>
      </c>
      <c r="R1058" s="4">
        <v>465327</v>
      </c>
      <c r="S1058" t="s">
        <v>17432</v>
      </c>
      <c r="T1058" s="6">
        <v>44652</v>
      </c>
      <c r="U1058" s="4">
        <v>340000</v>
      </c>
      <c r="V1058" t="s">
        <v>23739</v>
      </c>
      <c r="W1058" t="s">
        <v>24265</v>
      </c>
      <c r="X1058" t="s">
        <v>3</v>
      </c>
      <c r="AA1058" s="5" t="str">
        <f>HYPERLINK("https://www.zillow.com/homes/1906-CENTER-CIR-DARIEN-IL-605614302_rb/","check listing")</f>
        <v>check listing</v>
      </c>
      <c r="AB1058" s="5" t="str">
        <f>HYPERLINK("https://propertylookup.dupagecounty.gov/Datalets/Datalet.aspx?UseSearch=no&amp;mode=sales&amp;pin=0928315046","sales record")</f>
        <v>sales record</v>
      </c>
      <c r="AC1058" t="s">
        <v>3</v>
      </c>
      <c r="AD1058">
        <v>41.746606</v>
      </c>
      <c r="AE1058">
        <v>-87.990707</v>
      </c>
      <c r="AF1058" s="5" t="str">
        <f>HYPERLINK("https://www.google.com/maps/search/?api=1&amp;query=41.746606,-87.990707","map")</f>
        <v>map</v>
      </c>
    </row>
    <row r="1059" spans="1:32">
      <c r="A1059" t="s">
        <v>1109</v>
      </c>
      <c r="B1059" t="s">
        <v>8686</v>
      </c>
      <c r="C1059" t="s">
        <v>15201</v>
      </c>
      <c r="D1059" t="s">
        <v>16198</v>
      </c>
      <c r="E1059" t="s">
        <v>16218</v>
      </c>
      <c r="F1059" t="s">
        <v>16221</v>
      </c>
      <c r="G1059" t="s">
        <v>16241</v>
      </c>
      <c r="H1059" t="s">
        <v>16241</v>
      </c>
      <c r="I1059" t="s">
        <v>16317</v>
      </c>
      <c r="J1059" t="s">
        <v>16385</v>
      </c>
      <c r="K1059">
        <v>0.303</v>
      </c>
      <c r="L1059">
        <v>13210</v>
      </c>
      <c r="M1059">
        <v>2433</v>
      </c>
      <c r="N1059" t="s">
        <v>16393</v>
      </c>
      <c r="O1059" s="4">
        <v>75941</v>
      </c>
      <c r="P1059" s="4">
        <v>118384</v>
      </c>
      <c r="Q1059" s="4">
        <v>194325</v>
      </c>
      <c r="R1059" s="4">
        <v>582975</v>
      </c>
      <c r="S1059" t="s">
        <v>17433</v>
      </c>
      <c r="T1059" s="6">
        <v>37408</v>
      </c>
      <c r="U1059" s="4">
        <v>445000</v>
      </c>
      <c r="V1059" t="s">
        <v>23739</v>
      </c>
      <c r="W1059" t="s">
        <v>24266</v>
      </c>
      <c r="X1059" t="s">
        <v>3</v>
      </c>
      <c r="AA1059" s="5" t="str">
        <f>HYPERLINK("https://www.zillow.com/homes/1617-HEATHER-LN-DARIEN-IL-60561_rb/","check listing")</f>
        <v>check listing</v>
      </c>
      <c r="AB1059" s="5" t="str">
        <f>HYPERLINK("https://propertylookup.dupagecounty.gov/Datalets/Datalet.aspx?UseSearch=no&amp;mode=sales&amp;pin=0933302030","sales record")</f>
        <v>sales record</v>
      </c>
      <c r="AC1059" t="s">
        <v>3</v>
      </c>
      <c r="AD1059">
        <v>41.735194</v>
      </c>
      <c r="AE1059">
        <v>-87.985804</v>
      </c>
      <c r="AF1059" s="5" t="str">
        <f>HYPERLINK("https://www.google.com/maps/search/?api=1&amp;query=41.735194,-87.985804","map")</f>
        <v>map</v>
      </c>
    </row>
    <row r="1060" spans="1:32">
      <c r="A1060" t="s">
        <v>1110</v>
      </c>
      <c r="B1060" t="s">
        <v>8687</v>
      </c>
      <c r="C1060" t="s">
        <v>15201</v>
      </c>
      <c r="D1060" t="s">
        <v>16198</v>
      </c>
      <c r="E1060" t="s">
        <v>16218</v>
      </c>
      <c r="F1060" t="s">
        <v>16221</v>
      </c>
      <c r="G1060" t="s">
        <v>16241</v>
      </c>
      <c r="H1060" t="s">
        <v>16241</v>
      </c>
      <c r="I1060" t="s">
        <v>16317</v>
      </c>
      <c r="J1060" t="s">
        <v>16385</v>
      </c>
      <c r="K1060">
        <v>0.303</v>
      </c>
      <c r="L1060">
        <v>13206</v>
      </c>
      <c r="M1060">
        <v>2051</v>
      </c>
      <c r="N1060" t="s">
        <v>16393</v>
      </c>
      <c r="O1060" s="4">
        <v>64837</v>
      </c>
      <c r="P1060" s="4">
        <v>117221</v>
      </c>
      <c r="Q1060" s="4">
        <v>182058</v>
      </c>
      <c r="R1060" s="4">
        <v>546174</v>
      </c>
      <c r="S1060" t="s">
        <v>17434</v>
      </c>
      <c r="T1060" s="6">
        <v>34394</v>
      </c>
      <c r="U1060" s="4">
        <v>175000</v>
      </c>
      <c r="X1060" t="s">
        <v>3</v>
      </c>
      <c r="AA1060" s="5" t="str">
        <f>HYPERLINK("https://www.zillow.com/homes/1905-CENTER-CIR-DARIEN-IL-60561_rb/","check listing")</f>
        <v>check listing</v>
      </c>
      <c r="AB1060" s="5" t="str">
        <f>HYPERLINK("https://propertylookup.dupagecounty.gov/Datalets/Datalet.aspx?UseSearch=no&amp;mode=sales&amp;pin=0928315050","sales record")</f>
        <v>sales record</v>
      </c>
      <c r="AC1060" t="s">
        <v>3</v>
      </c>
      <c r="AD1060">
        <v>41.745928</v>
      </c>
      <c r="AE1060">
        <v>-87.990683</v>
      </c>
      <c r="AF1060" s="5" t="str">
        <f>HYPERLINK("https://www.google.com/maps/search/?api=1&amp;query=41.745928,-87.990683","map")</f>
        <v>map</v>
      </c>
    </row>
    <row r="1061" spans="1:32">
      <c r="A1061" t="s">
        <v>1111</v>
      </c>
      <c r="B1061" t="s">
        <v>8688</v>
      </c>
      <c r="C1061" t="s">
        <v>15201</v>
      </c>
      <c r="D1061" t="s">
        <v>16198</v>
      </c>
      <c r="E1061" t="s">
        <v>16218</v>
      </c>
      <c r="F1061" t="s">
        <v>16221</v>
      </c>
      <c r="G1061" t="s">
        <v>16241</v>
      </c>
      <c r="H1061" t="s">
        <v>16241</v>
      </c>
      <c r="I1061" t="s">
        <v>16317</v>
      </c>
      <c r="J1061" t="s">
        <v>16385</v>
      </c>
      <c r="K1061">
        <v>0.303</v>
      </c>
      <c r="L1061">
        <v>13195</v>
      </c>
      <c r="M1061">
        <v>3005</v>
      </c>
      <c r="N1061" t="s">
        <v>16393</v>
      </c>
      <c r="O1061" s="4">
        <v>79685</v>
      </c>
      <c r="P1061" s="4">
        <v>101423</v>
      </c>
      <c r="Q1061" s="4">
        <v>181108</v>
      </c>
      <c r="R1061" s="4">
        <v>543324</v>
      </c>
      <c r="S1061" t="s">
        <v>17435</v>
      </c>
      <c r="T1061" s="6">
        <v>39965</v>
      </c>
      <c r="U1061" s="4">
        <v>424000</v>
      </c>
      <c r="V1061" t="s">
        <v>23740</v>
      </c>
      <c r="W1061" t="s">
        <v>17435</v>
      </c>
      <c r="X1061" t="s">
        <v>3</v>
      </c>
      <c r="AA1061" s="5" t="str">
        <f>HYPERLINK("https://www.zillow.com/homes/8514-CARRIAGE-GREENS-DARIEN-IL-60561_rb/","check listing")</f>
        <v>check listing</v>
      </c>
      <c r="AB1061" s="5" t="str">
        <f>HYPERLINK("https://propertylookup.dupagecounty.gov/Datalets/Datalet.aspx?UseSearch=no&amp;mode=sales&amp;pin=0933301010","sales record")</f>
        <v>sales record</v>
      </c>
      <c r="AC1061" t="s">
        <v>3</v>
      </c>
      <c r="AD1061">
        <v>41.73281</v>
      </c>
      <c r="AE1061">
        <v>-87.986842</v>
      </c>
      <c r="AF1061" s="5" t="str">
        <f>HYPERLINK("https://www.google.com/maps/search/?api=1&amp;query=41.73281,-87.986842","map")</f>
        <v>map</v>
      </c>
    </row>
    <row r="1062" spans="1:32">
      <c r="A1062" t="s">
        <v>1112</v>
      </c>
      <c r="B1062" t="s">
        <v>8689</v>
      </c>
      <c r="C1062" t="s">
        <v>15201</v>
      </c>
      <c r="D1062" t="s">
        <v>16198</v>
      </c>
      <c r="E1062" t="s">
        <v>16218</v>
      </c>
      <c r="F1062" t="s">
        <v>16221</v>
      </c>
      <c r="G1062" t="s">
        <v>16241</v>
      </c>
      <c r="H1062" t="s">
        <v>16241</v>
      </c>
      <c r="I1062" t="s">
        <v>16317</v>
      </c>
      <c r="J1062" t="s">
        <v>16385</v>
      </c>
      <c r="K1062">
        <v>0.303</v>
      </c>
      <c r="L1062">
        <v>13188</v>
      </c>
      <c r="M1062">
        <v>2352</v>
      </c>
      <c r="N1062" t="s">
        <v>16393</v>
      </c>
      <c r="O1062" s="4">
        <v>69086</v>
      </c>
      <c r="P1062" s="4">
        <v>93112</v>
      </c>
      <c r="Q1062" s="4">
        <v>162198</v>
      </c>
      <c r="R1062" s="4">
        <v>486594</v>
      </c>
      <c r="S1062" t="s">
        <v>17436</v>
      </c>
      <c r="T1062" s="6">
        <v>32568</v>
      </c>
      <c r="U1062" s="4">
        <v>145000</v>
      </c>
      <c r="X1062" t="s">
        <v>3</v>
      </c>
      <c r="AA1062" s="5" t="str">
        <f>HYPERLINK("https://www.zillow.com/homes/7724-FLORENCE-AVE-DARIEN-IL-60561_rb/","check listing")</f>
        <v>check listing</v>
      </c>
      <c r="AB1062" s="5" t="str">
        <f>HYPERLINK("https://propertylookup.dupagecounty.gov/Datalets/Datalet.aspx?UseSearch=no&amp;mode=sales&amp;pin=0928315045","sales record")</f>
        <v>sales record</v>
      </c>
      <c r="AC1062" t="s">
        <v>3</v>
      </c>
      <c r="AD1062">
        <v>41.746594</v>
      </c>
      <c r="AE1062">
        <v>-87.99036599999999</v>
      </c>
      <c r="AF1062" s="5" t="str">
        <f>HYPERLINK("https://www.google.com/maps/search/?api=1&amp;query=41.746594,-87.990366","map")</f>
        <v>map</v>
      </c>
    </row>
    <row r="1063" spans="1:32">
      <c r="A1063" t="s">
        <v>1113</v>
      </c>
      <c r="B1063" t="s">
        <v>8690</v>
      </c>
      <c r="C1063" t="s">
        <v>15201</v>
      </c>
      <c r="D1063" t="s">
        <v>16198</v>
      </c>
      <c r="E1063" t="s">
        <v>16218</v>
      </c>
      <c r="F1063" t="s">
        <v>16221</v>
      </c>
      <c r="G1063" t="s">
        <v>16241</v>
      </c>
      <c r="H1063" t="s">
        <v>16241</v>
      </c>
      <c r="I1063" t="s">
        <v>16317</v>
      </c>
      <c r="J1063" t="s">
        <v>16385</v>
      </c>
      <c r="K1063">
        <v>0.303</v>
      </c>
      <c r="L1063">
        <v>13187</v>
      </c>
      <c r="M1063">
        <v>2136</v>
      </c>
      <c r="N1063" t="s">
        <v>16393</v>
      </c>
      <c r="O1063" s="4">
        <v>69086</v>
      </c>
      <c r="P1063" s="4">
        <v>88464</v>
      </c>
      <c r="Q1063" s="4">
        <v>157550</v>
      </c>
      <c r="R1063" s="4">
        <v>472650</v>
      </c>
      <c r="S1063" t="s">
        <v>17437</v>
      </c>
      <c r="T1063" s="6">
        <v>37347</v>
      </c>
      <c r="U1063" s="4">
        <v>254000</v>
      </c>
      <c r="V1063" t="s">
        <v>23739</v>
      </c>
      <c r="W1063" t="s">
        <v>24267</v>
      </c>
      <c r="X1063" t="s">
        <v>3</v>
      </c>
      <c r="AA1063" s="5" t="str">
        <f>HYPERLINK("https://www.zillow.com/homes/7804-FLORENCE-AVE-DARIEN-IL-60561_rb/","check listing")</f>
        <v>check listing</v>
      </c>
      <c r="AB1063" s="5" t="str">
        <f>HYPERLINK("https://propertylookup.dupagecounty.gov/Datalets/Datalet.aspx?UseSearch=no&amp;mode=sales&amp;pin=0928315051","sales record")</f>
        <v>sales record</v>
      </c>
      <c r="AC1063" t="s">
        <v>3</v>
      </c>
      <c r="AD1063">
        <v>41.745949</v>
      </c>
      <c r="AE1063">
        <v>-87.990346</v>
      </c>
      <c r="AF1063" s="5" t="str">
        <f>HYPERLINK("https://www.google.com/maps/search/?api=1&amp;query=41.745949,-87.990346","map")</f>
        <v>map</v>
      </c>
    </row>
    <row r="1064" spans="1:32">
      <c r="A1064" t="s">
        <v>1114</v>
      </c>
      <c r="B1064" t="s">
        <v>8691</v>
      </c>
      <c r="C1064" t="s">
        <v>15201</v>
      </c>
      <c r="D1064" t="s">
        <v>16198</v>
      </c>
      <c r="E1064" t="s">
        <v>16218</v>
      </c>
      <c r="F1064" t="s">
        <v>16221</v>
      </c>
      <c r="G1064" t="s">
        <v>16241</v>
      </c>
      <c r="H1064" t="s">
        <v>16241</v>
      </c>
      <c r="I1064" t="s">
        <v>16317</v>
      </c>
      <c r="J1064" t="s">
        <v>16385</v>
      </c>
      <c r="K1064">
        <v>0.303</v>
      </c>
      <c r="L1064">
        <v>13180</v>
      </c>
      <c r="M1064">
        <v>2348</v>
      </c>
      <c r="N1064" t="s">
        <v>16393</v>
      </c>
      <c r="O1064" s="4">
        <v>78499</v>
      </c>
      <c r="P1064" s="4">
        <v>122338</v>
      </c>
      <c r="Q1064" s="4">
        <v>200837</v>
      </c>
      <c r="R1064" s="4">
        <v>602511</v>
      </c>
      <c r="S1064" t="s">
        <v>17438</v>
      </c>
      <c r="T1064" s="6">
        <v>36373</v>
      </c>
      <c r="U1064" s="4">
        <v>327000</v>
      </c>
      <c r="X1064" t="s">
        <v>3</v>
      </c>
      <c r="AA1064" s="5" t="str">
        <f>HYPERLINK("https://www.zillow.com/homes/1609-ROYAL-OAK-RD-DARIEN-IL-60561_rb/","check listing")</f>
        <v>check listing</v>
      </c>
      <c r="AB1064" s="5" t="str">
        <f>HYPERLINK("https://propertylookup.dupagecounty.gov/Datalets/Datalet.aspx?UseSearch=no&amp;mode=sales&amp;pin=1004102003","sales record")</f>
        <v>sales record</v>
      </c>
      <c r="AC1064" t="s">
        <v>3</v>
      </c>
      <c r="AD1064">
        <v>41.728859</v>
      </c>
      <c r="AE1064">
        <v>-87.985938</v>
      </c>
      <c r="AF1064" s="5" t="str">
        <f>HYPERLINK("https://www.google.com/maps/search/?api=1&amp;query=41.728859,-87.985938","map")</f>
        <v>map</v>
      </c>
    </row>
    <row r="1065" spans="1:32">
      <c r="A1065" t="s">
        <v>1115</v>
      </c>
      <c r="B1065" t="s">
        <v>8692</v>
      </c>
      <c r="C1065" t="s">
        <v>15201</v>
      </c>
      <c r="D1065" t="s">
        <v>16198</v>
      </c>
      <c r="E1065" t="s">
        <v>16218</v>
      </c>
      <c r="F1065" t="s">
        <v>16221</v>
      </c>
      <c r="G1065" t="s">
        <v>16241</v>
      </c>
      <c r="H1065" t="s">
        <v>16241</v>
      </c>
      <c r="I1065" t="s">
        <v>16317</v>
      </c>
      <c r="J1065" t="s">
        <v>16385</v>
      </c>
      <c r="K1065">
        <v>0.302</v>
      </c>
      <c r="L1065">
        <v>13173</v>
      </c>
      <c r="M1065">
        <v>1674</v>
      </c>
      <c r="N1065" t="s">
        <v>16393</v>
      </c>
      <c r="O1065" s="4">
        <v>28956</v>
      </c>
      <c r="P1065" s="4">
        <v>60870</v>
      </c>
      <c r="Q1065" s="4">
        <v>89826</v>
      </c>
      <c r="R1065" s="4">
        <v>269478</v>
      </c>
      <c r="S1065" t="s">
        <v>17439</v>
      </c>
      <c r="T1065" s="6">
        <v>40603</v>
      </c>
      <c r="U1065" s="4">
        <v>120000</v>
      </c>
      <c r="V1065" t="s">
        <v>16232</v>
      </c>
      <c r="W1065" t="s">
        <v>17439</v>
      </c>
      <c r="X1065" t="s">
        <v>3</v>
      </c>
      <c r="AA1065" s="5" t="str">
        <f>HYPERLINK("https://www.zillow.com/homes/8338-WOODLAND-DR-DARIEN-IL-60561_rb/","check listing")</f>
        <v>check listing</v>
      </c>
      <c r="AB1065" s="5" t="str">
        <f>HYPERLINK("https://propertylookup.dupagecounty.gov/Datalets/Datalet.aspx?UseSearch=no&amp;mode=sales&amp;pin=0934400012","sales record")</f>
        <v>sales record</v>
      </c>
      <c r="AC1065" t="s">
        <v>3</v>
      </c>
      <c r="AD1065">
        <v>41.735809</v>
      </c>
      <c r="AE1065">
        <v>-87.96274200000001</v>
      </c>
      <c r="AF1065" s="5" t="str">
        <f>HYPERLINK("https://www.google.com/maps/search/?api=1&amp;query=41.735809,-87.962742","map")</f>
        <v>map</v>
      </c>
    </row>
    <row r="1066" spans="1:32">
      <c r="A1066" t="s">
        <v>1116</v>
      </c>
      <c r="B1066" t="s">
        <v>8693</v>
      </c>
      <c r="C1066" t="s">
        <v>15201</v>
      </c>
      <c r="D1066" t="s">
        <v>16198</v>
      </c>
      <c r="E1066" t="s">
        <v>16218</v>
      </c>
      <c r="F1066" t="s">
        <v>16221</v>
      </c>
      <c r="G1066" t="s">
        <v>16241</v>
      </c>
      <c r="H1066" t="s">
        <v>16241</v>
      </c>
      <c r="I1066" t="s">
        <v>16317</v>
      </c>
      <c r="J1066" t="s">
        <v>16385</v>
      </c>
      <c r="K1066">
        <v>0.301</v>
      </c>
      <c r="L1066">
        <v>13133</v>
      </c>
      <c r="M1066">
        <v>2584</v>
      </c>
      <c r="N1066" t="s">
        <v>16393</v>
      </c>
      <c r="O1066" s="4">
        <v>67924</v>
      </c>
      <c r="P1066" s="4">
        <v>136940</v>
      </c>
      <c r="Q1066" s="4">
        <v>204864</v>
      </c>
      <c r="R1066" s="4">
        <v>614592</v>
      </c>
      <c r="S1066" t="s">
        <v>17440</v>
      </c>
      <c r="T1066" s="6">
        <v>32660</v>
      </c>
      <c r="U1066" s="4">
        <v>287000</v>
      </c>
      <c r="X1066" t="s">
        <v>3</v>
      </c>
      <c r="AA1066" s="5" t="str">
        <f>HYPERLINK("https://www.zillow.com/homes/8200-PINE-BLUFF-CT-DARIEN-IL-60561_rb/","check listing")</f>
        <v>check listing</v>
      </c>
      <c r="AB1066" s="5" t="str">
        <f>HYPERLINK("https://propertylookup.dupagecounty.gov/Datalets/Datalet.aspx?UseSearch=no&amp;mode=sales&amp;pin=0933207030","sales record")</f>
        <v>sales record</v>
      </c>
      <c r="AC1066" t="s">
        <v>3</v>
      </c>
      <c r="AD1066">
        <v>41.739697</v>
      </c>
      <c r="AE1066">
        <v>-87.979967</v>
      </c>
      <c r="AF1066" s="5" t="str">
        <f>HYPERLINK("https://www.google.com/maps/search/?api=1&amp;query=41.739697,-87.979967","map")</f>
        <v>map</v>
      </c>
    </row>
    <row r="1067" spans="1:32">
      <c r="A1067" t="s">
        <v>1117</v>
      </c>
      <c r="B1067" t="s">
        <v>8694</v>
      </c>
      <c r="C1067" t="s">
        <v>15217</v>
      </c>
      <c r="D1067" t="s">
        <v>16198</v>
      </c>
      <c r="E1067" t="s">
        <v>16218</v>
      </c>
      <c r="F1067" t="s">
        <v>16221</v>
      </c>
      <c r="G1067" t="s">
        <v>16241</v>
      </c>
      <c r="H1067" t="s">
        <v>16241</v>
      </c>
      <c r="I1067" t="s">
        <v>16317</v>
      </c>
      <c r="J1067" t="s">
        <v>16385</v>
      </c>
      <c r="K1067">
        <v>0.301</v>
      </c>
      <c r="L1067">
        <v>13095</v>
      </c>
      <c r="M1067">
        <v>3749</v>
      </c>
      <c r="N1067" t="s">
        <v>16393</v>
      </c>
      <c r="O1067" s="4">
        <v>75941</v>
      </c>
      <c r="P1067" s="4">
        <v>101728</v>
      </c>
      <c r="Q1067" s="4">
        <v>177669</v>
      </c>
      <c r="R1067" s="4">
        <v>533007</v>
      </c>
      <c r="S1067" t="s">
        <v>17441</v>
      </c>
      <c r="T1067" s="6">
        <v>37165</v>
      </c>
      <c r="U1067" s="4">
        <v>323000</v>
      </c>
      <c r="V1067" t="s">
        <v>23740</v>
      </c>
      <c r="W1067" t="s">
        <v>24268</v>
      </c>
      <c r="X1067" t="s">
        <v>3</v>
      </c>
      <c r="AA1067" s="5" t="str">
        <f>HYPERLINK("https://www.zillow.com/homes/1614-OLD-OAK-PL-DARIEN-IL-605615329_rb/","check listing")</f>
        <v>check listing</v>
      </c>
      <c r="AB1067" s="5" t="str">
        <f>HYPERLINK("https://propertylookup.dupagecounty.gov/Datalets/Datalet.aspx?UseSearch=no&amp;mode=sales&amp;pin=1004102009","sales record")</f>
        <v>sales record</v>
      </c>
      <c r="AC1067" t="s">
        <v>3</v>
      </c>
      <c r="AD1067">
        <v>41.728411</v>
      </c>
      <c r="AE1067">
        <v>-87.98585799999999</v>
      </c>
      <c r="AF1067" s="5" t="str">
        <f>HYPERLINK("https://www.google.com/maps/search/?api=1&amp;query=41.728411,-87.985858","map")</f>
        <v>map</v>
      </c>
    </row>
    <row r="1068" spans="1:32">
      <c r="A1068" t="s">
        <v>1118</v>
      </c>
      <c r="B1068" t="s">
        <v>8695</v>
      </c>
      <c r="C1068" t="s">
        <v>15217</v>
      </c>
      <c r="D1068" t="s">
        <v>16198</v>
      </c>
      <c r="E1068" t="s">
        <v>16218</v>
      </c>
      <c r="F1068" t="s">
        <v>16221</v>
      </c>
      <c r="G1068" t="s">
        <v>16241</v>
      </c>
      <c r="H1068" t="s">
        <v>16241</v>
      </c>
      <c r="I1068" t="s">
        <v>16317</v>
      </c>
      <c r="J1068" t="s">
        <v>16385</v>
      </c>
      <c r="K1068">
        <v>0.301</v>
      </c>
      <c r="L1068">
        <v>13090</v>
      </c>
      <c r="M1068">
        <v>3383</v>
      </c>
      <c r="N1068" t="s">
        <v>16393</v>
      </c>
      <c r="O1068" s="4">
        <v>75941</v>
      </c>
      <c r="P1068" s="4">
        <v>107432</v>
      </c>
      <c r="Q1068" s="4">
        <v>183373</v>
      </c>
      <c r="R1068" s="4">
        <v>550119</v>
      </c>
      <c r="S1068" t="s">
        <v>17442</v>
      </c>
      <c r="T1068" s="6">
        <v>43862</v>
      </c>
      <c r="U1068" s="4">
        <v>395000</v>
      </c>
      <c r="V1068" t="s">
        <v>23740</v>
      </c>
      <c r="W1068" t="s">
        <v>17442</v>
      </c>
      <c r="X1068" t="s">
        <v>3</v>
      </c>
      <c r="AA1068" s="5" t="str">
        <f>HYPERLINK("https://www.zillow.com/homes/1606-OLD-OAK-PL-DARIEN-IL-605615329_rb/","check listing")</f>
        <v>check listing</v>
      </c>
      <c r="AB1068" s="5" t="str">
        <f>HYPERLINK("https://propertylookup.dupagecounty.gov/Datalets/Datalet.aspx?UseSearch=no&amp;mode=sales&amp;pin=1004102011","sales record")</f>
        <v>sales record</v>
      </c>
      <c r="AC1068" t="s">
        <v>3</v>
      </c>
      <c r="AD1068">
        <v>41.728694</v>
      </c>
      <c r="AE1068">
        <v>-87.98531699999999</v>
      </c>
      <c r="AF1068" s="5" t="str">
        <f>HYPERLINK("https://www.google.com/maps/search/?api=1&amp;query=41.728694,-87.985317","map")</f>
        <v>map</v>
      </c>
    </row>
    <row r="1069" spans="1:32">
      <c r="A1069" t="s">
        <v>1119</v>
      </c>
      <c r="B1069" t="s">
        <v>8696</v>
      </c>
      <c r="C1069" t="s">
        <v>15233</v>
      </c>
      <c r="D1069" t="s">
        <v>16198</v>
      </c>
      <c r="E1069" t="s">
        <v>16218</v>
      </c>
      <c r="F1069" t="s">
        <v>16221</v>
      </c>
      <c r="G1069" t="s">
        <v>16241</v>
      </c>
      <c r="H1069" t="s">
        <v>16241</v>
      </c>
      <c r="I1069" t="s">
        <v>16317</v>
      </c>
      <c r="J1069" t="s">
        <v>16385</v>
      </c>
      <c r="K1069">
        <v>0.299</v>
      </c>
      <c r="L1069">
        <v>13006</v>
      </c>
      <c r="M1069">
        <v>2342</v>
      </c>
      <c r="N1069" t="s">
        <v>16393</v>
      </c>
      <c r="O1069" s="4">
        <v>76492</v>
      </c>
      <c r="P1069" s="4">
        <v>152891</v>
      </c>
      <c r="Q1069" s="4">
        <v>229383</v>
      </c>
      <c r="R1069" s="4">
        <v>688149</v>
      </c>
      <c r="S1069" t="s">
        <v>17443</v>
      </c>
      <c r="T1069" s="6">
        <v>43497</v>
      </c>
      <c r="U1069" s="4">
        <v>435000</v>
      </c>
      <c r="V1069" t="s">
        <v>23740</v>
      </c>
      <c r="W1069" t="s">
        <v>24269</v>
      </c>
      <c r="X1069" t="s">
        <v>3</v>
      </c>
      <c r="AA1069" s="5" t="str">
        <f>HYPERLINK("https://www.zillow.com/homes/6813-WHITE-PINE-TRL-DARIEN-IL-605618820_rb/","check listing")</f>
        <v>check listing</v>
      </c>
      <c r="AB1069" s="5" t="str">
        <f>HYPERLINK("https://propertylookup.dupagecounty.gov/Datalets/Datalet.aspx?UseSearch=no&amp;mode=sales&amp;pin=0922301026","sales record")</f>
        <v>sales record</v>
      </c>
      <c r="AC1069" t="s">
        <v>3</v>
      </c>
      <c r="AD1069">
        <v>41.763015</v>
      </c>
      <c r="AE1069">
        <v>-87.97219800000001</v>
      </c>
      <c r="AF1069" s="5" t="str">
        <f>HYPERLINK("https://www.google.com/maps/search/?api=1&amp;query=41.763015,-87.972198","map")</f>
        <v>map</v>
      </c>
    </row>
    <row r="1070" spans="1:32">
      <c r="A1070" t="s">
        <v>1120</v>
      </c>
      <c r="B1070" t="s">
        <v>8697</v>
      </c>
      <c r="C1070" t="s">
        <v>15201</v>
      </c>
      <c r="D1070" t="s">
        <v>16198</v>
      </c>
      <c r="E1070" t="s">
        <v>16218</v>
      </c>
      <c r="F1070" t="s">
        <v>16221</v>
      </c>
      <c r="G1070" t="s">
        <v>16241</v>
      </c>
      <c r="H1070" t="s">
        <v>16241</v>
      </c>
      <c r="I1070" t="s">
        <v>16317</v>
      </c>
      <c r="J1070" t="s">
        <v>16385</v>
      </c>
      <c r="K1070">
        <v>0.298</v>
      </c>
      <c r="L1070">
        <v>12983</v>
      </c>
      <c r="M1070">
        <v>1740</v>
      </c>
      <c r="N1070" t="s">
        <v>16393</v>
      </c>
      <c r="O1070" s="4">
        <v>69967</v>
      </c>
      <c r="P1070" s="4">
        <v>120273</v>
      </c>
      <c r="Q1070" s="4">
        <v>190240</v>
      </c>
      <c r="R1070" s="4">
        <v>570720</v>
      </c>
      <c r="S1070" t="s">
        <v>17444</v>
      </c>
      <c r="T1070" s="6">
        <v>42522</v>
      </c>
      <c r="U1070" s="4">
        <v>454000</v>
      </c>
      <c r="V1070" t="s">
        <v>23739</v>
      </c>
      <c r="W1070" t="s">
        <v>24270</v>
      </c>
      <c r="X1070" t="s">
        <v>3</v>
      </c>
      <c r="AA1070" s="5" t="str">
        <f>HYPERLINK("https://www.zillow.com/homes/1521-PINE-VIEW-CT-DARIEN-IL-60561_rb/","check listing")</f>
        <v>check listing</v>
      </c>
      <c r="AB1070" s="5" t="str">
        <f>HYPERLINK("https://propertylookup.dupagecounty.gov/Datalets/Datalet.aspx?UseSearch=no&amp;mode=sales&amp;pin=0933207013","sales record")</f>
        <v>sales record</v>
      </c>
      <c r="AC1070" t="s">
        <v>3</v>
      </c>
      <c r="AD1070">
        <v>41.73829</v>
      </c>
      <c r="AE1070">
        <v>-87.98130500000001</v>
      </c>
      <c r="AF1070" s="5" t="str">
        <f>HYPERLINK("https://www.google.com/maps/search/?api=1&amp;query=41.73829,-87.981305","map")</f>
        <v>map</v>
      </c>
    </row>
    <row r="1071" spans="1:32">
      <c r="A1071" t="s">
        <v>1121</v>
      </c>
      <c r="B1071" t="s">
        <v>8698</v>
      </c>
      <c r="C1071" t="s">
        <v>15201</v>
      </c>
      <c r="D1071" t="s">
        <v>16198</v>
      </c>
      <c r="E1071" t="s">
        <v>16218</v>
      </c>
      <c r="F1071" t="s">
        <v>16221</v>
      </c>
      <c r="G1071" t="s">
        <v>16241</v>
      </c>
      <c r="H1071" t="s">
        <v>16241</v>
      </c>
      <c r="I1071" t="s">
        <v>16317</v>
      </c>
      <c r="J1071" t="s">
        <v>16385</v>
      </c>
      <c r="K1071">
        <v>0.298</v>
      </c>
      <c r="L1071">
        <v>12976</v>
      </c>
      <c r="M1071">
        <v>2548</v>
      </c>
      <c r="N1071" t="s">
        <v>16393</v>
      </c>
      <c r="O1071" s="4">
        <v>75941</v>
      </c>
      <c r="P1071" s="4">
        <v>110191</v>
      </c>
      <c r="Q1071" s="4">
        <v>186132</v>
      </c>
      <c r="R1071" s="4">
        <v>558396</v>
      </c>
      <c r="S1071" t="s">
        <v>17445</v>
      </c>
      <c r="T1071" s="6">
        <v>33298</v>
      </c>
      <c r="U1071" s="4">
        <v>261000</v>
      </c>
      <c r="X1071" t="s">
        <v>3</v>
      </c>
      <c r="AA1071" s="5" t="str">
        <f>HYPERLINK("https://www.zillow.com/homes/1613-HEATHER-LN-DARIEN-IL-60561_rb/","check listing")</f>
        <v>check listing</v>
      </c>
      <c r="AB1071" s="5" t="str">
        <f>HYPERLINK("https://propertylookup.dupagecounty.gov/Datalets/Datalet.aspx?UseSearch=no&amp;mode=sales&amp;pin=0933302031","sales record")</f>
        <v>sales record</v>
      </c>
      <c r="AC1071" t="s">
        <v>3</v>
      </c>
      <c r="AD1071">
        <v>41.735243</v>
      </c>
      <c r="AE1071">
        <v>-87.98548</v>
      </c>
      <c r="AF1071" s="5" t="str">
        <f>HYPERLINK("https://www.google.com/maps/search/?api=1&amp;query=41.735243,-87.98548","map")</f>
        <v>map</v>
      </c>
    </row>
    <row r="1072" spans="1:32">
      <c r="A1072" t="s">
        <v>1122</v>
      </c>
      <c r="B1072" t="s">
        <v>8699</v>
      </c>
      <c r="C1072" t="s">
        <v>15201</v>
      </c>
      <c r="D1072" t="s">
        <v>16198</v>
      </c>
      <c r="E1072" t="s">
        <v>16218</v>
      </c>
      <c r="F1072" t="s">
        <v>16221</v>
      </c>
      <c r="G1072" t="s">
        <v>16241</v>
      </c>
      <c r="H1072" t="s">
        <v>16241</v>
      </c>
      <c r="I1072" t="s">
        <v>16317</v>
      </c>
      <c r="J1072" t="s">
        <v>16385</v>
      </c>
      <c r="K1072">
        <v>0.296</v>
      </c>
      <c r="L1072">
        <v>12907</v>
      </c>
      <c r="M1072">
        <v>2020</v>
      </c>
      <c r="N1072" t="s">
        <v>16393</v>
      </c>
      <c r="O1072" s="4">
        <v>68382</v>
      </c>
      <c r="P1072" s="4">
        <v>95378</v>
      </c>
      <c r="Q1072" s="4">
        <v>163760</v>
      </c>
      <c r="R1072" s="4">
        <v>491280</v>
      </c>
      <c r="S1072" t="s">
        <v>17446</v>
      </c>
      <c r="X1072" t="s">
        <v>3</v>
      </c>
      <c r="AA1072" s="5" t="str">
        <f>HYPERLINK("https://www.zillow.com/homes/7716-FLORENCE-AVE-DARIEN-IL-60561_rb/","check listing")</f>
        <v>check listing</v>
      </c>
      <c r="AB1072" s="5" t="str">
        <f>HYPERLINK("https://propertylookup.dupagecounty.gov/Datalets/Datalet.aspx?UseSearch=no&amp;mode=sales&amp;pin=0928315044","sales record")</f>
        <v>sales record</v>
      </c>
      <c r="AC1072" t="s">
        <v>3</v>
      </c>
      <c r="AD1072">
        <v>41.746974</v>
      </c>
      <c r="AE1072">
        <v>-87.99037800000001</v>
      </c>
      <c r="AF1072" s="5" t="str">
        <f>HYPERLINK("https://www.google.com/maps/search/?api=1&amp;query=41.746974,-87.990378","map")</f>
        <v>map</v>
      </c>
    </row>
    <row r="1073" spans="1:32">
      <c r="A1073" t="s">
        <v>1123</v>
      </c>
      <c r="B1073" t="s">
        <v>8700</v>
      </c>
      <c r="C1073" t="s">
        <v>15201</v>
      </c>
      <c r="D1073" t="s">
        <v>16198</v>
      </c>
      <c r="E1073" t="s">
        <v>16218</v>
      </c>
      <c r="F1073" t="s">
        <v>16221</v>
      </c>
      <c r="G1073" t="s">
        <v>16241</v>
      </c>
      <c r="H1073" t="s">
        <v>16241</v>
      </c>
      <c r="I1073" t="s">
        <v>16317</v>
      </c>
      <c r="J1073" t="s">
        <v>16385</v>
      </c>
      <c r="K1073">
        <v>0.296</v>
      </c>
      <c r="L1073">
        <v>12878</v>
      </c>
      <c r="M1073">
        <v>2095</v>
      </c>
      <c r="N1073" t="s">
        <v>16393</v>
      </c>
      <c r="O1073" s="4">
        <v>74720</v>
      </c>
      <c r="P1073" s="4">
        <v>129921</v>
      </c>
      <c r="Q1073" s="4">
        <v>204641</v>
      </c>
      <c r="R1073" s="4">
        <v>613923</v>
      </c>
      <c r="S1073" t="s">
        <v>17447</v>
      </c>
      <c r="T1073" s="6">
        <v>37865</v>
      </c>
      <c r="U1073" s="4">
        <v>492500</v>
      </c>
      <c r="V1073" t="s">
        <v>23739</v>
      </c>
      <c r="W1073" t="s">
        <v>24271</v>
      </c>
      <c r="X1073" t="s">
        <v>3</v>
      </c>
      <c r="AA1073" s="5" t="str">
        <f>HYPERLINK("https://www.zillow.com/homes/1419-PINE-COVE-CT-DARIEN-IL-60561_rb/","check listing")</f>
        <v>check listing</v>
      </c>
      <c r="AB1073" s="5" t="str">
        <f>HYPERLINK("https://propertylookup.dupagecounty.gov/Datalets/Datalet.aspx?UseSearch=no&amp;mode=sales&amp;pin=0933208016","sales record")</f>
        <v>sales record</v>
      </c>
      <c r="AC1073" t="s">
        <v>3</v>
      </c>
      <c r="AD1073">
        <v>41.73735</v>
      </c>
      <c r="AE1073">
        <v>-87.980237</v>
      </c>
      <c r="AF1073" s="5" t="str">
        <f>HYPERLINK("https://www.google.com/maps/search/?api=1&amp;query=41.73735,-87.980237","map")</f>
        <v>map</v>
      </c>
    </row>
    <row r="1074" spans="1:32">
      <c r="A1074" t="s">
        <v>1124</v>
      </c>
      <c r="B1074" t="s">
        <v>8701</v>
      </c>
      <c r="C1074" t="s">
        <v>15201</v>
      </c>
      <c r="D1074" t="s">
        <v>16198</v>
      </c>
      <c r="E1074" t="s">
        <v>16218</v>
      </c>
      <c r="F1074" t="s">
        <v>16221</v>
      </c>
      <c r="G1074" t="s">
        <v>16241</v>
      </c>
      <c r="H1074" t="s">
        <v>16241</v>
      </c>
      <c r="I1074" t="s">
        <v>16317</v>
      </c>
      <c r="J1074" t="s">
        <v>16385</v>
      </c>
      <c r="K1074">
        <v>0.296</v>
      </c>
      <c r="L1074">
        <v>12874</v>
      </c>
      <c r="M1074">
        <v>3178</v>
      </c>
      <c r="N1074" t="s">
        <v>16393</v>
      </c>
      <c r="O1074" s="4">
        <v>73453</v>
      </c>
      <c r="P1074" s="4">
        <v>97420</v>
      </c>
      <c r="Q1074" s="4">
        <v>170873</v>
      </c>
      <c r="R1074" s="4">
        <v>512619</v>
      </c>
      <c r="S1074" t="s">
        <v>17448</v>
      </c>
      <c r="T1074" s="6">
        <v>36039</v>
      </c>
      <c r="U1074" s="4">
        <v>300000</v>
      </c>
      <c r="X1074" t="s">
        <v>3</v>
      </c>
      <c r="AA1074" s="5" t="str">
        <f>HYPERLINK("https://www.zillow.com/homes/1618-FOXHILL-PL-DARIEN-IL-60561_rb/","check listing")</f>
        <v>check listing</v>
      </c>
      <c r="AB1074" s="5" t="str">
        <f>HYPERLINK("https://propertylookup.dupagecounty.gov/Datalets/Datalet.aspx?UseSearch=no&amp;mode=sales&amp;pin=0933302005","sales record")</f>
        <v>sales record</v>
      </c>
      <c r="AC1074" t="s">
        <v>3</v>
      </c>
      <c r="AD1074">
        <v>41.734753</v>
      </c>
      <c r="AE1074">
        <v>-87.98604400000001</v>
      </c>
      <c r="AF1074" s="5" t="str">
        <f>HYPERLINK("https://www.google.com/maps/search/?api=1&amp;query=41.734753,-87.986044","map")</f>
        <v>map</v>
      </c>
    </row>
    <row r="1075" spans="1:32">
      <c r="A1075" t="s">
        <v>1125</v>
      </c>
      <c r="B1075" t="s">
        <v>8702</v>
      </c>
      <c r="C1075" t="s">
        <v>15201</v>
      </c>
      <c r="D1075" t="s">
        <v>16198</v>
      </c>
      <c r="E1075" t="s">
        <v>16218</v>
      </c>
      <c r="F1075" t="s">
        <v>16221</v>
      </c>
      <c r="G1075" t="s">
        <v>16241</v>
      </c>
      <c r="H1075" t="s">
        <v>16241</v>
      </c>
      <c r="I1075" t="s">
        <v>16317</v>
      </c>
      <c r="J1075" t="s">
        <v>16385</v>
      </c>
      <c r="K1075">
        <v>0.296</v>
      </c>
      <c r="L1075">
        <v>12872</v>
      </c>
      <c r="M1075">
        <v>2480</v>
      </c>
      <c r="N1075" t="s">
        <v>16393</v>
      </c>
      <c r="O1075" s="4">
        <v>73018</v>
      </c>
      <c r="P1075" s="4">
        <v>72807</v>
      </c>
      <c r="Q1075" s="4">
        <v>145825</v>
      </c>
      <c r="R1075" s="4">
        <v>437475</v>
      </c>
      <c r="S1075" t="s">
        <v>17449</v>
      </c>
      <c r="X1075" t="s">
        <v>3</v>
      </c>
      <c r="AA1075" s="5" t="str">
        <f>HYPERLINK("https://www.zillow.com/homes/1626-FOX-HILL-PL-DARIEN-IL-60561_rb/","check listing")</f>
        <v>check listing</v>
      </c>
      <c r="AB1075" s="5" t="str">
        <f>HYPERLINK("https://propertylookup.dupagecounty.gov/Datalets/Datalet.aspx?UseSearch=no&amp;mode=sales&amp;pin=0933302003","sales record")</f>
        <v>sales record</v>
      </c>
      <c r="AC1075" t="s">
        <v>3</v>
      </c>
      <c r="AD1075">
        <v>41.734646</v>
      </c>
      <c r="AE1075">
        <v>-87.986709</v>
      </c>
      <c r="AF1075" s="5" t="str">
        <f>HYPERLINK("https://www.google.com/maps/search/?api=1&amp;query=41.734646,-87.986709","map")</f>
        <v>map</v>
      </c>
    </row>
    <row r="1076" spans="1:32">
      <c r="A1076" t="s">
        <v>1126</v>
      </c>
      <c r="B1076" t="s">
        <v>8703</v>
      </c>
      <c r="C1076" t="s">
        <v>15229</v>
      </c>
      <c r="D1076" t="s">
        <v>16198</v>
      </c>
      <c r="E1076" t="s">
        <v>16218</v>
      </c>
      <c r="F1076" t="s">
        <v>16221</v>
      </c>
      <c r="G1076" t="s">
        <v>16241</v>
      </c>
      <c r="H1076" t="s">
        <v>16241</v>
      </c>
      <c r="I1076" t="s">
        <v>16317</v>
      </c>
      <c r="J1076" t="s">
        <v>16385</v>
      </c>
      <c r="K1076">
        <v>0.295</v>
      </c>
      <c r="L1076">
        <v>12852</v>
      </c>
      <c r="M1076">
        <v>2015</v>
      </c>
      <c r="N1076" t="s">
        <v>16393</v>
      </c>
      <c r="O1076" s="4">
        <v>90918</v>
      </c>
      <c r="P1076" s="4">
        <v>137140</v>
      </c>
      <c r="Q1076" s="4">
        <v>228058</v>
      </c>
      <c r="R1076" s="4">
        <v>684174</v>
      </c>
      <c r="S1076" t="s">
        <v>17450</v>
      </c>
      <c r="T1076" s="6">
        <v>45593</v>
      </c>
      <c r="U1076" s="4">
        <v>703000</v>
      </c>
      <c r="V1076" t="s">
        <v>23739</v>
      </c>
      <c r="W1076" t="s">
        <v>24272</v>
      </c>
      <c r="X1076" t="s">
        <v>3</v>
      </c>
      <c r="AA1076" s="5" t="str">
        <f>HYPERLINK("https://www.zillow.com/homes/8220-PINE-BLUFF-CT-DARIEN-IL-605614900_rb/","check listing")</f>
        <v>check listing</v>
      </c>
      <c r="AB1076" s="5" t="str">
        <f>HYPERLINK("https://propertylookup.dupagecounty.gov/Datalets/Datalet.aspx?UseSearch=no&amp;mode=sales&amp;pin=0933207025","sales record")</f>
        <v>sales record</v>
      </c>
      <c r="AC1076" t="s">
        <v>3</v>
      </c>
      <c r="AD1076">
        <v>41.738688</v>
      </c>
      <c r="AE1076">
        <v>-87.979917</v>
      </c>
      <c r="AF1076" s="5" t="str">
        <f>HYPERLINK("https://www.google.com/maps/search/?api=1&amp;query=41.738688,-87.979917","map")</f>
        <v>map</v>
      </c>
    </row>
    <row r="1077" spans="1:32">
      <c r="A1077" t="s">
        <v>1127</v>
      </c>
      <c r="B1077" t="s">
        <v>8704</v>
      </c>
      <c r="C1077" t="s">
        <v>15201</v>
      </c>
      <c r="D1077" t="s">
        <v>16198</v>
      </c>
      <c r="E1077" t="s">
        <v>16218</v>
      </c>
      <c r="F1077" t="s">
        <v>16221</v>
      </c>
      <c r="G1077" t="s">
        <v>16241</v>
      </c>
      <c r="H1077" t="s">
        <v>16241</v>
      </c>
      <c r="I1077" t="s">
        <v>16317</v>
      </c>
      <c r="J1077" t="s">
        <v>16385</v>
      </c>
      <c r="K1077">
        <v>0.295</v>
      </c>
      <c r="L1077">
        <v>12844</v>
      </c>
      <c r="M1077">
        <v>2527</v>
      </c>
      <c r="N1077" t="s">
        <v>16393</v>
      </c>
      <c r="O1077" s="4">
        <v>75542</v>
      </c>
      <c r="P1077" s="4">
        <v>157750</v>
      </c>
      <c r="Q1077" s="4">
        <v>233292</v>
      </c>
      <c r="R1077" s="4">
        <v>699876</v>
      </c>
      <c r="S1077" t="s">
        <v>17451</v>
      </c>
      <c r="T1077" s="6">
        <v>33055</v>
      </c>
      <c r="U1077" s="4">
        <v>131758</v>
      </c>
      <c r="X1077" t="s">
        <v>3</v>
      </c>
      <c r="AA1077" s="5" t="str">
        <f>HYPERLINK("https://www.zillow.com/homes/BAVARIAN-LN-DARIEN-IL-60561_rb/","check listing")</f>
        <v>check listing</v>
      </c>
      <c r="AB1077" s="5" t="str">
        <f>HYPERLINK("https://propertylookup.dupagecounty.gov/Datalets/Datalet.aspx?UseSearch=no&amp;mode=sales&amp;pin=0922301030","sales record")</f>
        <v>sales record</v>
      </c>
      <c r="AC1077" t="s">
        <v>3</v>
      </c>
      <c r="AD1077">
        <v>41.7632</v>
      </c>
      <c r="AE1077">
        <v>-87.973054</v>
      </c>
      <c r="AF1077" s="5" t="str">
        <f>HYPERLINK("https://www.google.com/maps/search/?api=1&amp;query=41.7632,-87.973054","map")</f>
        <v>map</v>
      </c>
    </row>
    <row r="1078" spans="1:32">
      <c r="A1078" t="s">
        <v>1128</v>
      </c>
      <c r="B1078" t="s">
        <v>8705</v>
      </c>
      <c r="C1078" t="s">
        <v>15247</v>
      </c>
      <c r="D1078" t="s">
        <v>16198</v>
      </c>
      <c r="E1078" t="s">
        <v>16218</v>
      </c>
      <c r="F1078" t="s">
        <v>16221</v>
      </c>
      <c r="G1078" t="s">
        <v>16241</v>
      </c>
      <c r="H1078" t="s">
        <v>16241</v>
      </c>
      <c r="I1078" t="s">
        <v>16317</v>
      </c>
      <c r="J1078" t="s">
        <v>16385</v>
      </c>
      <c r="K1078">
        <v>0.295</v>
      </c>
      <c r="L1078">
        <v>12834</v>
      </c>
      <c r="M1078">
        <v>3727</v>
      </c>
      <c r="N1078" t="s">
        <v>16393</v>
      </c>
      <c r="O1078" s="4">
        <v>74755</v>
      </c>
      <c r="P1078" s="4">
        <v>131012</v>
      </c>
      <c r="Q1078" s="4">
        <v>205767</v>
      </c>
      <c r="R1078" s="4">
        <v>617301</v>
      </c>
      <c r="S1078" t="s">
        <v>17452</v>
      </c>
      <c r="T1078" s="6">
        <v>34060</v>
      </c>
      <c r="U1078" s="4">
        <v>286000</v>
      </c>
      <c r="X1078" t="s">
        <v>3</v>
      </c>
      <c r="AA1078" s="5" t="str">
        <f>HYPERLINK("https://www.zillow.com/homes/7829-DORCHESTER-LN-DARIEN-IL-605614862_rb/","check listing")</f>
        <v>check listing</v>
      </c>
      <c r="AB1078" s="5" t="str">
        <f>HYPERLINK("https://propertylookup.dupagecounty.gov/Datalets/Datalet.aspx?UseSearch=no&amp;mode=sales&amp;pin=0927418021","sales record")</f>
        <v>sales record</v>
      </c>
      <c r="AC1078" t="s">
        <v>3</v>
      </c>
      <c r="AD1078">
        <v>41.745388</v>
      </c>
      <c r="AE1078">
        <v>-87.96177299999999</v>
      </c>
      <c r="AF1078" s="5" t="str">
        <f>HYPERLINK("https://www.google.com/maps/search/?api=1&amp;query=41.745388,-87.961773","map")</f>
        <v>map</v>
      </c>
    </row>
    <row r="1079" spans="1:32">
      <c r="A1079" t="s">
        <v>1129</v>
      </c>
      <c r="B1079" t="s">
        <v>8706</v>
      </c>
      <c r="C1079" t="s">
        <v>15242</v>
      </c>
      <c r="D1079" t="s">
        <v>16198</v>
      </c>
      <c r="E1079" t="s">
        <v>16218</v>
      </c>
      <c r="F1079" t="s">
        <v>16221</v>
      </c>
      <c r="G1079" t="s">
        <v>16241</v>
      </c>
      <c r="H1079" t="s">
        <v>16241</v>
      </c>
      <c r="I1079" t="s">
        <v>16317</v>
      </c>
      <c r="J1079" t="s">
        <v>16385</v>
      </c>
      <c r="K1079">
        <v>0.295</v>
      </c>
      <c r="L1079">
        <v>12832</v>
      </c>
      <c r="M1079">
        <v>2918</v>
      </c>
      <c r="N1079" t="s">
        <v>16393</v>
      </c>
      <c r="O1079" s="4">
        <v>74591</v>
      </c>
      <c r="P1079" s="4">
        <v>106551</v>
      </c>
      <c r="Q1079" s="4">
        <v>181142</v>
      </c>
      <c r="R1079" s="4">
        <v>543426</v>
      </c>
      <c r="S1079" t="s">
        <v>17453</v>
      </c>
      <c r="T1079" s="6">
        <v>30407</v>
      </c>
      <c r="U1079" s="4">
        <v>185000</v>
      </c>
      <c r="X1079" t="s">
        <v>3</v>
      </c>
      <c r="AA1079" s="5" t="str">
        <f>HYPERLINK("https://www.zillow.com/homes/8510-GLENEYRE-RD-DARIEN-IL-605615324_rb/","check listing")</f>
        <v>check listing</v>
      </c>
      <c r="AB1079" s="5" t="str">
        <f>HYPERLINK("https://propertylookup.dupagecounty.gov/Datalets/Datalet.aspx?UseSearch=no&amp;mode=sales&amp;pin=0933302041","sales record")</f>
        <v>sales record</v>
      </c>
      <c r="AC1079" t="s">
        <v>3</v>
      </c>
      <c r="AD1079">
        <v>41.733081</v>
      </c>
      <c r="AE1079">
        <v>-87.98455</v>
      </c>
      <c r="AF1079" s="5" t="str">
        <f>HYPERLINK("https://www.google.com/maps/search/?api=1&amp;query=41.733081,-87.98455","map")</f>
        <v>map</v>
      </c>
    </row>
    <row r="1080" spans="1:32">
      <c r="A1080" t="s">
        <v>1130</v>
      </c>
      <c r="B1080" t="s">
        <v>8707</v>
      </c>
      <c r="C1080" t="s">
        <v>15201</v>
      </c>
      <c r="D1080" t="s">
        <v>16198</v>
      </c>
      <c r="E1080" t="s">
        <v>16218</v>
      </c>
      <c r="F1080" t="s">
        <v>16221</v>
      </c>
      <c r="G1080" t="s">
        <v>16241</v>
      </c>
      <c r="H1080" t="s">
        <v>16241</v>
      </c>
      <c r="I1080" t="s">
        <v>16317</v>
      </c>
      <c r="J1080" t="s">
        <v>16385</v>
      </c>
      <c r="K1080">
        <v>0.295</v>
      </c>
      <c r="L1080">
        <v>12831</v>
      </c>
      <c r="M1080">
        <v>2952</v>
      </c>
      <c r="N1080" t="s">
        <v>16393</v>
      </c>
      <c r="O1080" s="4">
        <v>84368</v>
      </c>
      <c r="P1080" s="4">
        <v>141599</v>
      </c>
      <c r="Q1080" s="4">
        <v>225967</v>
      </c>
      <c r="R1080" s="4">
        <v>677901</v>
      </c>
      <c r="S1080" t="s">
        <v>17454</v>
      </c>
      <c r="T1080" s="6">
        <v>32203</v>
      </c>
      <c r="U1080" s="4">
        <v>255806</v>
      </c>
      <c r="X1080" t="s">
        <v>3</v>
      </c>
      <c r="AA1080" s="5" t="str">
        <f>HYPERLINK("https://www.zillow.com/homes/1529-EVERGREEN-LN-DARIEN-IL-60561_rb/","check listing")</f>
        <v>check listing</v>
      </c>
      <c r="AB1080" s="5" t="str">
        <f>HYPERLINK("https://propertylookup.dupagecounty.gov/Datalets/Datalet.aspx?UseSearch=no&amp;mode=sales&amp;pin=0933404001","sales record")</f>
        <v>sales record</v>
      </c>
      <c r="AC1080" t="s">
        <v>3</v>
      </c>
      <c r="AD1080">
        <v>41.735051</v>
      </c>
      <c r="AE1080">
        <v>-87.980205</v>
      </c>
      <c r="AF1080" s="5" t="str">
        <f>HYPERLINK("https://www.google.com/maps/search/?api=1&amp;query=41.735051,-87.980205","map")</f>
        <v>map</v>
      </c>
    </row>
    <row r="1081" spans="1:32">
      <c r="A1081" t="s">
        <v>1131</v>
      </c>
      <c r="B1081" t="s">
        <v>8708</v>
      </c>
      <c r="C1081" t="s">
        <v>15233</v>
      </c>
      <c r="D1081" t="s">
        <v>16198</v>
      </c>
      <c r="E1081" t="s">
        <v>16218</v>
      </c>
      <c r="F1081" t="s">
        <v>16221</v>
      </c>
      <c r="G1081" t="s">
        <v>16241</v>
      </c>
      <c r="H1081" t="s">
        <v>16241</v>
      </c>
      <c r="I1081" t="s">
        <v>16317</v>
      </c>
      <c r="J1081" t="s">
        <v>16385</v>
      </c>
      <c r="K1081">
        <v>0.294</v>
      </c>
      <c r="L1081">
        <v>12810</v>
      </c>
      <c r="M1081">
        <v>2051</v>
      </c>
      <c r="N1081" t="s">
        <v>16393</v>
      </c>
      <c r="O1081" s="4">
        <v>75342</v>
      </c>
      <c r="P1081" s="4">
        <v>164217</v>
      </c>
      <c r="Q1081" s="4">
        <v>239559</v>
      </c>
      <c r="R1081" s="4">
        <v>718677</v>
      </c>
      <c r="S1081" t="s">
        <v>17455</v>
      </c>
      <c r="T1081" s="6">
        <v>44348</v>
      </c>
      <c r="U1081" s="4">
        <v>589900</v>
      </c>
      <c r="V1081" t="s">
        <v>23739</v>
      </c>
      <c r="W1081" t="s">
        <v>17455</v>
      </c>
      <c r="X1081" t="s">
        <v>3</v>
      </c>
      <c r="AA1081" s="5" t="str">
        <f>HYPERLINK("https://www.zillow.com/homes/6817-WHITE-PINE-TRL-DARIEN-IL-605618820_rb/","check listing")</f>
        <v>check listing</v>
      </c>
      <c r="AB1081" s="5" t="str">
        <f>HYPERLINK("https://propertylookup.dupagecounty.gov/Datalets/Datalet.aspx?UseSearch=no&amp;mode=sales&amp;pin=0922301027","sales record")</f>
        <v>sales record</v>
      </c>
      <c r="AC1081" t="s">
        <v>3</v>
      </c>
      <c r="AD1081">
        <v>41.763013</v>
      </c>
      <c r="AE1081">
        <v>-87.97248500000001</v>
      </c>
      <c r="AF1081" s="5" t="str">
        <f>HYPERLINK("https://www.google.com/maps/search/?api=1&amp;query=41.763013,-87.972485","map")</f>
        <v>map</v>
      </c>
    </row>
    <row r="1082" spans="1:32">
      <c r="A1082" t="s">
        <v>1132</v>
      </c>
      <c r="B1082" t="s">
        <v>8709</v>
      </c>
      <c r="C1082" t="s">
        <v>15248</v>
      </c>
      <c r="D1082" t="s">
        <v>16198</v>
      </c>
      <c r="E1082" t="s">
        <v>16218</v>
      </c>
      <c r="F1082" t="s">
        <v>16221</v>
      </c>
      <c r="G1082" t="s">
        <v>16241</v>
      </c>
      <c r="H1082" t="s">
        <v>16241</v>
      </c>
      <c r="I1082" t="s">
        <v>16317</v>
      </c>
      <c r="J1082" t="s">
        <v>16385</v>
      </c>
      <c r="K1082">
        <v>0.293</v>
      </c>
      <c r="L1082">
        <v>12754</v>
      </c>
      <c r="M1082">
        <v>3128</v>
      </c>
      <c r="N1082" t="s">
        <v>16393</v>
      </c>
      <c r="O1082" s="4">
        <v>79322</v>
      </c>
      <c r="P1082" s="4">
        <v>144734</v>
      </c>
      <c r="Q1082" s="4">
        <v>224056</v>
      </c>
      <c r="R1082" s="4">
        <v>672168</v>
      </c>
      <c r="S1082" t="s">
        <v>17456</v>
      </c>
      <c r="T1082" s="6">
        <v>36495</v>
      </c>
      <c r="U1082" s="4">
        <v>305000</v>
      </c>
      <c r="X1082" t="s">
        <v>3</v>
      </c>
      <c r="AA1082" s="5" t="str">
        <f>HYPERLINK("https://www.zillow.com/homes/8505-CARRIAGE-GREEN-DARIEN-IL-605615309_rb/","check listing")</f>
        <v>check listing</v>
      </c>
      <c r="AB1082" s="5" t="str">
        <f>HYPERLINK("https://propertylookup.dupagecounty.gov/Datalets/Datalet.aspx?UseSearch=no&amp;mode=sales&amp;pin=0933302013","sales record")</f>
        <v>sales record</v>
      </c>
      <c r="AC1082" t="s">
        <v>3</v>
      </c>
      <c r="AD1082">
        <v>41.733779</v>
      </c>
      <c r="AE1082">
        <v>-87.986801</v>
      </c>
      <c r="AF1082" s="5" t="str">
        <f>HYPERLINK("https://www.google.com/maps/search/?api=1&amp;query=41.733779,-87.986801","map")</f>
        <v>map</v>
      </c>
    </row>
    <row r="1083" spans="1:32">
      <c r="A1083" t="s">
        <v>1133</v>
      </c>
      <c r="B1083" t="s">
        <v>8710</v>
      </c>
      <c r="C1083" t="s">
        <v>15201</v>
      </c>
      <c r="D1083" t="s">
        <v>16198</v>
      </c>
      <c r="E1083" t="s">
        <v>16218</v>
      </c>
      <c r="F1083" t="s">
        <v>16221</v>
      </c>
      <c r="G1083" t="s">
        <v>16241</v>
      </c>
      <c r="H1083" t="s">
        <v>16241</v>
      </c>
      <c r="I1083" t="s">
        <v>16317</v>
      </c>
      <c r="J1083" t="s">
        <v>16385</v>
      </c>
      <c r="K1083">
        <v>0.292</v>
      </c>
      <c r="L1083">
        <v>12698</v>
      </c>
      <c r="M1083">
        <v>2738</v>
      </c>
      <c r="N1083" t="s">
        <v>16393</v>
      </c>
      <c r="O1083" s="4">
        <v>83535</v>
      </c>
      <c r="P1083" s="4">
        <v>163325</v>
      </c>
      <c r="Q1083" s="4">
        <v>246860</v>
      </c>
      <c r="R1083" s="4">
        <v>740580</v>
      </c>
      <c r="S1083" t="s">
        <v>17457</v>
      </c>
      <c r="T1083" s="6">
        <v>39569</v>
      </c>
      <c r="U1083" s="4">
        <v>559000</v>
      </c>
      <c r="V1083" t="s">
        <v>16232</v>
      </c>
      <c r="W1083" t="s">
        <v>24273</v>
      </c>
      <c r="X1083" t="s">
        <v>3</v>
      </c>
      <c r="AA1083" s="5" t="str">
        <f>HYPERLINK("https://www.zillow.com/homes/1416-PINE-COVE-CT-DARIEN-IL-60561_rb/","check listing")</f>
        <v>check listing</v>
      </c>
      <c r="AB1083" s="5" t="str">
        <f>HYPERLINK("https://propertylookup.dupagecounty.gov/Datalets/Datalet.aspx?UseSearch=no&amp;mode=sales&amp;pin=0933208026","sales record")</f>
        <v>sales record</v>
      </c>
      <c r="AC1083" t="s">
        <v>3</v>
      </c>
      <c r="AD1083">
        <v>41.738009</v>
      </c>
      <c r="AE1083">
        <v>-87.980001</v>
      </c>
      <c r="AF1083" s="5" t="str">
        <f>HYPERLINK("https://www.google.com/maps/search/?api=1&amp;query=41.738009,-87.980001","map")</f>
        <v>map</v>
      </c>
    </row>
    <row r="1084" spans="1:32">
      <c r="A1084" t="s">
        <v>1134</v>
      </c>
      <c r="B1084" t="s">
        <v>8711</v>
      </c>
      <c r="C1084" t="s">
        <v>15234</v>
      </c>
      <c r="D1084" t="s">
        <v>16198</v>
      </c>
      <c r="E1084" t="s">
        <v>16218</v>
      </c>
      <c r="F1084" t="s">
        <v>16221</v>
      </c>
      <c r="G1084" t="s">
        <v>16241</v>
      </c>
      <c r="H1084" t="s">
        <v>16241</v>
      </c>
      <c r="I1084" t="s">
        <v>16317</v>
      </c>
      <c r="J1084" t="s">
        <v>16385</v>
      </c>
      <c r="K1084">
        <v>0.287</v>
      </c>
      <c r="L1084">
        <v>12502</v>
      </c>
      <c r="M1084">
        <v>2160</v>
      </c>
      <c r="N1084" t="s">
        <v>16393</v>
      </c>
      <c r="O1084" s="4">
        <v>74084</v>
      </c>
      <c r="P1084" s="4">
        <v>147329</v>
      </c>
      <c r="Q1084" s="4">
        <v>221413</v>
      </c>
      <c r="R1084" s="4">
        <v>664239</v>
      </c>
      <c r="S1084" t="s">
        <v>17458</v>
      </c>
      <c r="T1084" s="6">
        <v>39508</v>
      </c>
      <c r="U1084" s="4">
        <v>415000</v>
      </c>
      <c r="V1084" t="s">
        <v>23739</v>
      </c>
      <c r="W1084" t="s">
        <v>24274</v>
      </c>
      <c r="X1084" t="s">
        <v>3</v>
      </c>
      <c r="AA1084" s="5" t="str">
        <f>HYPERLINK("https://www.zillow.com/homes/6805-RED-PINE-TRL-DARIEN-IL-605613894_rb/","check listing")</f>
        <v>check listing</v>
      </c>
      <c r="AB1084" s="5" t="str">
        <f>HYPERLINK("https://propertylookup.dupagecounty.gov/Datalets/Datalet.aspx?UseSearch=no&amp;mode=sales&amp;pin=0922301036","sales record")</f>
        <v>sales record</v>
      </c>
      <c r="AC1084" t="s">
        <v>3</v>
      </c>
      <c r="AD1084">
        <v>41.763352</v>
      </c>
      <c r="AE1084">
        <v>-87.970719</v>
      </c>
      <c r="AF1084" s="5" t="str">
        <f>HYPERLINK("https://www.google.com/maps/search/?api=1&amp;query=41.763352,-87.970719","map")</f>
        <v>map</v>
      </c>
    </row>
    <row r="1085" spans="1:32">
      <c r="A1085" t="s">
        <v>1135</v>
      </c>
      <c r="B1085" t="s">
        <v>8712</v>
      </c>
      <c r="C1085" t="s">
        <v>15201</v>
      </c>
      <c r="D1085" t="s">
        <v>16198</v>
      </c>
      <c r="E1085" t="s">
        <v>16218</v>
      </c>
      <c r="F1085" t="s">
        <v>16221</v>
      </c>
      <c r="G1085" t="s">
        <v>16241</v>
      </c>
      <c r="H1085" t="s">
        <v>16241</v>
      </c>
      <c r="I1085" t="s">
        <v>16317</v>
      </c>
      <c r="J1085" t="s">
        <v>16385</v>
      </c>
      <c r="K1085">
        <v>0.286</v>
      </c>
      <c r="L1085">
        <v>12479</v>
      </c>
      <c r="M1085">
        <v>2973</v>
      </c>
      <c r="N1085" t="s">
        <v>16393</v>
      </c>
      <c r="O1085" s="4">
        <v>74678</v>
      </c>
      <c r="P1085" s="4">
        <v>123302</v>
      </c>
      <c r="Q1085" s="4">
        <v>197980</v>
      </c>
      <c r="R1085" s="4">
        <v>593940</v>
      </c>
      <c r="S1085" t="s">
        <v>17459</v>
      </c>
      <c r="T1085" s="6">
        <v>44868</v>
      </c>
      <c r="U1085" s="4">
        <v>515000</v>
      </c>
      <c r="V1085" t="s">
        <v>23739</v>
      </c>
      <c r="W1085" t="s">
        <v>24275</v>
      </c>
      <c r="X1085" t="s">
        <v>3</v>
      </c>
      <c r="AA1085" s="5" t="str">
        <f>HYPERLINK("https://www.zillow.com/homes/6805-SCOTCH-PINE-TRL-DARIEN-IL-60561_rb/","check listing")</f>
        <v>check listing</v>
      </c>
      <c r="AB1085" s="5" t="str">
        <f>HYPERLINK("https://propertylookup.dupagecounty.gov/Datalets/Datalet.aspx?UseSearch=no&amp;mode=sales&amp;pin=0922301038","sales record")</f>
        <v>sales record</v>
      </c>
      <c r="AC1085" t="s">
        <v>3</v>
      </c>
      <c r="AD1085">
        <v>41.763369</v>
      </c>
      <c r="AE1085">
        <v>-87.969718</v>
      </c>
      <c r="AF1085" s="5" t="str">
        <f>HYPERLINK("https://www.google.com/maps/search/?api=1&amp;query=41.763369,-87.969718","map")</f>
        <v>map</v>
      </c>
    </row>
    <row r="1086" spans="1:32">
      <c r="A1086" t="s">
        <v>1136</v>
      </c>
      <c r="B1086" t="s">
        <v>8713</v>
      </c>
      <c r="C1086" t="s">
        <v>15201</v>
      </c>
      <c r="D1086" t="s">
        <v>16198</v>
      </c>
      <c r="E1086" t="s">
        <v>16218</v>
      </c>
      <c r="F1086" t="s">
        <v>16221</v>
      </c>
      <c r="G1086" t="s">
        <v>16241</v>
      </c>
      <c r="H1086" t="s">
        <v>16241</v>
      </c>
      <c r="I1086" t="s">
        <v>16317</v>
      </c>
      <c r="J1086" t="s">
        <v>16385</v>
      </c>
      <c r="K1086">
        <v>0.284</v>
      </c>
      <c r="L1086">
        <v>12363</v>
      </c>
      <c r="M1086">
        <v>1679</v>
      </c>
      <c r="N1086" t="s">
        <v>16393</v>
      </c>
      <c r="O1086" s="4">
        <v>74497</v>
      </c>
      <c r="P1086" s="4">
        <v>110695</v>
      </c>
      <c r="Q1086" s="4">
        <v>185192</v>
      </c>
      <c r="R1086" s="4">
        <v>555576</v>
      </c>
      <c r="S1086" t="s">
        <v>17460</v>
      </c>
      <c r="T1086" s="6">
        <v>36100</v>
      </c>
      <c r="U1086" s="4">
        <v>285000</v>
      </c>
      <c r="X1086" t="s">
        <v>3</v>
      </c>
      <c r="AA1086" s="5" t="str">
        <f>HYPERLINK("https://www.zillow.com/homes/8136-PORTSMOUTH-DR-DARIEN-IL-60561_rb/","check listing")</f>
        <v>check listing</v>
      </c>
      <c r="AB1086" s="5" t="str">
        <f>HYPERLINK("https://propertylookup.dupagecounty.gov/Datalets/Datalet.aspx?UseSearch=no&amp;mode=sales&amp;pin=0934210025","sales record")</f>
        <v>sales record</v>
      </c>
      <c r="AC1086" t="s">
        <v>3</v>
      </c>
      <c r="AD1086">
        <v>41.73911</v>
      </c>
      <c r="AE1086">
        <v>-87.96184100000001</v>
      </c>
      <c r="AF1086" s="5" t="str">
        <f>HYPERLINK("https://www.google.com/maps/search/?api=1&amp;query=41.73911,-87.961841","map")</f>
        <v>map</v>
      </c>
    </row>
    <row r="1087" spans="1:32">
      <c r="A1087" t="s">
        <v>1137</v>
      </c>
      <c r="B1087" t="s">
        <v>8714</v>
      </c>
      <c r="C1087" t="s">
        <v>15249</v>
      </c>
      <c r="D1087" t="s">
        <v>16198</v>
      </c>
      <c r="E1087" t="s">
        <v>16218</v>
      </c>
      <c r="F1087" t="s">
        <v>16221</v>
      </c>
      <c r="G1087" t="s">
        <v>16241</v>
      </c>
      <c r="H1087" t="s">
        <v>16241</v>
      </c>
      <c r="I1087" t="s">
        <v>16317</v>
      </c>
      <c r="J1087" t="s">
        <v>16385</v>
      </c>
      <c r="K1087">
        <v>0.283</v>
      </c>
      <c r="L1087">
        <v>12339</v>
      </c>
      <c r="M1087">
        <v>2370</v>
      </c>
      <c r="N1087" t="s">
        <v>16393</v>
      </c>
      <c r="O1087" s="4">
        <v>77513</v>
      </c>
      <c r="P1087" s="4">
        <v>135872</v>
      </c>
      <c r="Q1087" s="4">
        <v>213385</v>
      </c>
      <c r="R1087" s="4">
        <v>640155</v>
      </c>
      <c r="S1087" t="s">
        <v>17461</v>
      </c>
      <c r="T1087" s="6">
        <v>33939</v>
      </c>
      <c r="U1087" s="4">
        <v>252000</v>
      </c>
      <c r="X1087" t="s">
        <v>3</v>
      </c>
      <c r="AA1087" s="5" t="str">
        <f>HYPERLINK("https://www.zillow.com/homes/7828-DORCHESTER-LN-DARIEN-IL-605614861_rb/","check listing")</f>
        <v>check listing</v>
      </c>
      <c r="AB1087" s="5" t="str">
        <f>HYPERLINK("https://propertylookup.dupagecounty.gov/Datalets/Datalet.aspx?UseSearch=no&amp;mode=sales&amp;pin=0927419009","sales record")</f>
        <v>sales record</v>
      </c>
      <c r="AC1087" t="s">
        <v>3</v>
      </c>
      <c r="AD1087">
        <v>41.745421</v>
      </c>
      <c r="AE1087">
        <v>-87.962512</v>
      </c>
      <c r="AF1087" s="5" t="str">
        <f>HYPERLINK("https://www.google.com/maps/search/?api=1&amp;query=41.745421,-87.962512","map")</f>
        <v>map</v>
      </c>
    </row>
    <row r="1088" spans="1:32">
      <c r="A1088" t="s">
        <v>1138</v>
      </c>
      <c r="B1088" t="s">
        <v>8715</v>
      </c>
      <c r="C1088" t="s">
        <v>15201</v>
      </c>
      <c r="D1088" t="s">
        <v>16198</v>
      </c>
      <c r="E1088" t="s">
        <v>16218</v>
      </c>
      <c r="F1088" t="s">
        <v>16221</v>
      </c>
      <c r="G1088" t="s">
        <v>16241</v>
      </c>
      <c r="H1088" t="s">
        <v>16241</v>
      </c>
      <c r="I1088" t="s">
        <v>16317</v>
      </c>
      <c r="J1088" t="s">
        <v>16385</v>
      </c>
      <c r="K1088">
        <v>0.283</v>
      </c>
      <c r="L1088">
        <v>12306</v>
      </c>
      <c r="M1088">
        <v>2163</v>
      </c>
      <c r="N1088" t="s">
        <v>16393</v>
      </c>
      <c r="O1088" s="4">
        <v>74004</v>
      </c>
      <c r="P1088" s="4">
        <v>171091</v>
      </c>
      <c r="Q1088" s="4">
        <v>245095</v>
      </c>
      <c r="R1088" s="4">
        <v>735285</v>
      </c>
      <c r="S1088" t="s">
        <v>17462</v>
      </c>
      <c r="T1088" s="6">
        <v>41487</v>
      </c>
      <c r="U1088" s="4">
        <v>495000</v>
      </c>
      <c r="V1088" t="s">
        <v>23739</v>
      </c>
      <c r="W1088" t="s">
        <v>24276</v>
      </c>
      <c r="X1088" t="s">
        <v>3</v>
      </c>
      <c r="AA1088" s="5" t="str">
        <f>HYPERLINK("https://www.zillow.com/homes/1401-PINEHURST-DR-DARIEN-IL-60561_rb/","check listing")</f>
        <v>check listing</v>
      </c>
      <c r="AB1088" s="5" t="str">
        <f>HYPERLINK("https://propertylookup.dupagecounty.gov/Datalets/Datalet.aspx?UseSearch=no&amp;mode=sales&amp;pin=0933208029","sales record")</f>
        <v>sales record</v>
      </c>
      <c r="AC1088" t="s">
        <v>3</v>
      </c>
      <c r="AD1088">
        <v>41.738275</v>
      </c>
      <c r="AE1088">
        <v>-87.97897500000001</v>
      </c>
      <c r="AF1088" s="5" t="str">
        <f>HYPERLINK("https://www.google.com/maps/search/?api=1&amp;query=41.738275,-87.978975","map")</f>
        <v>map</v>
      </c>
    </row>
    <row r="1089" spans="1:32">
      <c r="A1089" t="s">
        <v>1139</v>
      </c>
      <c r="B1089" t="s">
        <v>8716</v>
      </c>
      <c r="C1089" t="s">
        <v>15233</v>
      </c>
      <c r="D1089" t="s">
        <v>16198</v>
      </c>
      <c r="E1089" t="s">
        <v>16218</v>
      </c>
      <c r="F1089" t="s">
        <v>16221</v>
      </c>
      <c r="G1089" t="s">
        <v>16241</v>
      </c>
      <c r="H1089" t="s">
        <v>16241</v>
      </c>
      <c r="I1089" t="s">
        <v>16317</v>
      </c>
      <c r="J1089" t="s">
        <v>16385</v>
      </c>
      <c r="K1089">
        <v>0.282</v>
      </c>
      <c r="L1089">
        <v>12294</v>
      </c>
      <c r="M1089">
        <v>1808</v>
      </c>
      <c r="N1089" t="s">
        <v>16393</v>
      </c>
      <c r="O1089" s="4">
        <v>72431</v>
      </c>
      <c r="P1089" s="4">
        <v>150273</v>
      </c>
      <c r="Q1089" s="4">
        <v>222704</v>
      </c>
      <c r="R1089" s="4">
        <v>668112</v>
      </c>
      <c r="S1089" t="s">
        <v>17463</v>
      </c>
      <c r="T1089" s="6">
        <v>44378</v>
      </c>
      <c r="U1089" s="4">
        <v>550000</v>
      </c>
      <c r="V1089" t="s">
        <v>23739</v>
      </c>
      <c r="W1089" t="s">
        <v>17463</v>
      </c>
      <c r="X1089" t="s">
        <v>3</v>
      </c>
      <c r="AA1089" s="5" t="str">
        <f>HYPERLINK("https://www.zillow.com/homes/6821-WHITE-PINE-TRL-DARIEN-IL-605618820_rb/","check listing")</f>
        <v>check listing</v>
      </c>
      <c r="AB1089" s="5" t="str">
        <f>HYPERLINK("https://propertylookup.dupagecounty.gov/Datalets/Datalet.aspx?UseSearch=no&amp;mode=sales&amp;pin=0922301028","sales record")</f>
        <v>sales record</v>
      </c>
      <c r="AC1089" t="s">
        <v>3</v>
      </c>
      <c r="AD1089">
        <v>41.762959</v>
      </c>
      <c r="AE1089">
        <v>-87.972769</v>
      </c>
      <c r="AF1089" s="5" t="str">
        <f>HYPERLINK("https://www.google.com/maps/search/?api=1&amp;query=41.762959,-87.972769","map")</f>
        <v>map</v>
      </c>
    </row>
    <row r="1090" spans="1:32">
      <c r="A1090" t="s">
        <v>1140</v>
      </c>
      <c r="B1090" t="s">
        <v>8717</v>
      </c>
      <c r="C1090" t="s">
        <v>15201</v>
      </c>
      <c r="D1090" t="s">
        <v>16198</v>
      </c>
      <c r="E1090" t="s">
        <v>16218</v>
      </c>
      <c r="F1090" t="s">
        <v>16221</v>
      </c>
      <c r="G1090" t="s">
        <v>16241</v>
      </c>
      <c r="H1090" t="s">
        <v>16241</v>
      </c>
      <c r="I1090" t="s">
        <v>16317</v>
      </c>
      <c r="J1090" t="s">
        <v>16385</v>
      </c>
      <c r="K1090">
        <v>0.282</v>
      </c>
      <c r="L1090">
        <v>12293</v>
      </c>
      <c r="M1090">
        <v>2109</v>
      </c>
      <c r="N1090" t="s">
        <v>16393</v>
      </c>
      <c r="O1090" s="4">
        <v>72373</v>
      </c>
      <c r="P1090" s="4">
        <v>147492</v>
      </c>
      <c r="Q1090" s="4">
        <v>219865</v>
      </c>
      <c r="R1090" s="4">
        <v>659595</v>
      </c>
      <c r="S1090" t="s">
        <v>17464</v>
      </c>
      <c r="T1090" s="6">
        <v>41760</v>
      </c>
      <c r="U1090" s="4">
        <v>458000</v>
      </c>
      <c r="V1090" t="s">
        <v>23740</v>
      </c>
      <c r="W1090" t="s">
        <v>24277</v>
      </c>
      <c r="X1090" t="s">
        <v>3</v>
      </c>
      <c r="AA1090" s="5" t="str">
        <f>HYPERLINK("https://www.zillow.com/homes/6809-WHITE-PINE-TR-DARIEN-IL-60561_rb/","check listing")</f>
        <v>check listing</v>
      </c>
      <c r="AB1090" s="5" t="str">
        <f>HYPERLINK("https://propertylookup.dupagecounty.gov/Datalets/Datalet.aspx?UseSearch=no&amp;mode=sales&amp;pin=0922301025","sales record")</f>
        <v>sales record</v>
      </c>
      <c r="AC1090" t="s">
        <v>3</v>
      </c>
      <c r="AD1090">
        <v>41.763007</v>
      </c>
      <c r="AE1090">
        <v>-87.97191100000001</v>
      </c>
      <c r="AF1090" s="5" t="str">
        <f>HYPERLINK("https://www.google.com/maps/search/?api=1&amp;query=41.763007,-87.971911","map")</f>
        <v>map</v>
      </c>
    </row>
    <row r="1091" spans="1:32">
      <c r="A1091" t="s">
        <v>1141</v>
      </c>
      <c r="B1091" t="s">
        <v>8718</v>
      </c>
      <c r="C1091" t="s">
        <v>15201</v>
      </c>
      <c r="D1091" t="s">
        <v>16198</v>
      </c>
      <c r="E1091" t="s">
        <v>16218</v>
      </c>
      <c r="F1091" t="s">
        <v>16221</v>
      </c>
      <c r="G1091" t="s">
        <v>16241</v>
      </c>
      <c r="H1091" t="s">
        <v>16241</v>
      </c>
      <c r="I1091" t="s">
        <v>16317</v>
      </c>
      <c r="J1091" t="s">
        <v>16385</v>
      </c>
      <c r="K1091">
        <v>0.281</v>
      </c>
      <c r="L1091">
        <v>12257</v>
      </c>
      <c r="M1091">
        <v>2477</v>
      </c>
      <c r="N1091" t="s">
        <v>16393</v>
      </c>
      <c r="O1091" s="4">
        <v>72584</v>
      </c>
      <c r="P1091" s="4">
        <v>158748</v>
      </c>
      <c r="Q1091" s="4">
        <v>231332</v>
      </c>
      <c r="R1091" s="4">
        <v>693996</v>
      </c>
      <c r="S1091" t="s">
        <v>17465</v>
      </c>
      <c r="T1091" s="6">
        <v>37834</v>
      </c>
      <c r="U1091" s="4">
        <v>540000</v>
      </c>
      <c r="V1091" t="s">
        <v>23739</v>
      </c>
      <c r="W1091" t="s">
        <v>24278</v>
      </c>
      <c r="X1091" t="s">
        <v>3</v>
      </c>
      <c r="AA1091" s="5" t="str">
        <f>HYPERLINK("https://www.zillow.com/homes/1503-PINEHURST-DR-DARIEN-IL-60561_rb/","check listing")</f>
        <v>check listing</v>
      </c>
      <c r="AB1091" s="5" t="str">
        <f>HYPERLINK("https://propertylookup.dupagecounty.gov/Datalets/Datalet.aspx?UseSearch=no&amp;mode=sales&amp;pin=0933208014","sales record")</f>
        <v>sales record</v>
      </c>
      <c r="AC1091" t="s">
        <v>3</v>
      </c>
      <c r="AD1091">
        <v>41.73733</v>
      </c>
      <c r="AE1091">
        <v>-87.98078599999999</v>
      </c>
      <c r="AF1091" s="5" t="str">
        <f>HYPERLINK("https://www.google.com/maps/search/?api=1&amp;query=41.73733,-87.980786","map")</f>
        <v>map</v>
      </c>
    </row>
    <row r="1092" spans="1:32">
      <c r="A1092" t="s">
        <v>1142</v>
      </c>
      <c r="B1092" t="s">
        <v>8719</v>
      </c>
      <c r="C1092" t="s">
        <v>15241</v>
      </c>
      <c r="D1092" t="s">
        <v>16198</v>
      </c>
      <c r="E1092" t="s">
        <v>16218</v>
      </c>
      <c r="F1092" t="s">
        <v>16221</v>
      </c>
      <c r="G1092" t="s">
        <v>16241</v>
      </c>
      <c r="H1092" t="s">
        <v>16241</v>
      </c>
      <c r="I1092" t="s">
        <v>16317</v>
      </c>
      <c r="J1092" t="s">
        <v>16385</v>
      </c>
      <c r="K1092">
        <v>0.281</v>
      </c>
      <c r="L1092">
        <v>12235</v>
      </c>
      <c r="M1092">
        <v>2339</v>
      </c>
      <c r="N1092" t="s">
        <v>16393</v>
      </c>
      <c r="O1092" s="4">
        <v>72149</v>
      </c>
      <c r="P1092" s="4">
        <v>144099</v>
      </c>
      <c r="Q1092" s="4">
        <v>216248</v>
      </c>
      <c r="R1092" s="4">
        <v>648744</v>
      </c>
      <c r="S1092" t="s">
        <v>17466</v>
      </c>
      <c r="T1092" s="6">
        <v>43678</v>
      </c>
      <c r="U1092" s="4">
        <v>515000</v>
      </c>
      <c r="V1092" t="s">
        <v>23739</v>
      </c>
      <c r="W1092" t="s">
        <v>24279</v>
      </c>
      <c r="X1092" t="s">
        <v>3</v>
      </c>
      <c r="AA1092" s="5" t="str">
        <f>HYPERLINK("https://www.zillow.com/homes/1510-PINE-VIEW-CT-DARIEN-IL-605615900_rb/","check listing")</f>
        <v>check listing</v>
      </c>
      <c r="AB1092" s="5" t="str">
        <f>HYPERLINK("https://propertylookup.dupagecounty.gov/Datalets/Datalet.aspx?UseSearch=no&amp;mode=sales&amp;pin=0933207005","sales record")</f>
        <v>sales record</v>
      </c>
      <c r="AC1092" t="s">
        <v>3</v>
      </c>
      <c r="AD1092">
        <v>41.739133</v>
      </c>
      <c r="AE1092">
        <v>-87.98128</v>
      </c>
      <c r="AF1092" s="5" t="str">
        <f>HYPERLINK("https://www.google.com/maps/search/?api=1&amp;query=41.739133,-87.98128","map")</f>
        <v>map</v>
      </c>
    </row>
    <row r="1093" spans="1:32">
      <c r="A1093" t="s">
        <v>1143</v>
      </c>
      <c r="B1093" t="s">
        <v>8720</v>
      </c>
      <c r="C1093" t="s">
        <v>15201</v>
      </c>
      <c r="D1093" t="s">
        <v>16198</v>
      </c>
      <c r="E1093" t="s">
        <v>16218</v>
      </c>
      <c r="F1093" t="s">
        <v>16221</v>
      </c>
      <c r="G1093" t="s">
        <v>16241</v>
      </c>
      <c r="H1093" t="s">
        <v>16241</v>
      </c>
      <c r="I1093" t="s">
        <v>16317</v>
      </c>
      <c r="J1093" t="s">
        <v>16385</v>
      </c>
      <c r="K1093">
        <v>0.278</v>
      </c>
      <c r="L1093">
        <v>12105</v>
      </c>
      <c r="M1093">
        <v>1685</v>
      </c>
      <c r="N1093" t="s">
        <v>16393</v>
      </c>
      <c r="O1093" s="4">
        <v>63347</v>
      </c>
      <c r="P1093" s="4">
        <v>140508</v>
      </c>
      <c r="Q1093" s="4">
        <v>203855</v>
      </c>
      <c r="R1093" s="4">
        <v>611565</v>
      </c>
      <c r="S1093" t="s">
        <v>17467</v>
      </c>
      <c r="T1093" s="6">
        <v>45887</v>
      </c>
      <c r="U1093" s="4">
        <v>745000</v>
      </c>
      <c r="V1093" t="s">
        <v>23739</v>
      </c>
      <c r="W1093" t="s">
        <v>24280</v>
      </c>
      <c r="X1093" t="s">
        <v>3</v>
      </c>
      <c r="AA1093" s="5" t="str">
        <f>HYPERLINK("https://www.zillow.com/homes/1501-PINE-VIEW-CT-DARIEN-IL-60561_rb/","check listing")</f>
        <v>check listing</v>
      </c>
      <c r="AB1093" s="5" t="str">
        <f>HYPERLINK("https://propertylookup.dupagecounty.gov/Datalets/Datalet.aspx?UseSearch=no&amp;mode=sales&amp;pin=0933207008","sales record")</f>
        <v>sales record</v>
      </c>
      <c r="AC1093" t="s">
        <v>3</v>
      </c>
      <c r="AD1093">
        <v>41.739292</v>
      </c>
      <c r="AE1093">
        <v>-87.98041499999999</v>
      </c>
      <c r="AF1093" s="5" t="str">
        <f>HYPERLINK("https://www.google.com/maps/search/?api=1&amp;query=41.739292,-87.980415","map")</f>
        <v>map</v>
      </c>
    </row>
    <row r="1094" spans="1:32">
      <c r="A1094" t="s">
        <v>1144</v>
      </c>
      <c r="B1094" t="s">
        <v>8721</v>
      </c>
      <c r="C1094" t="s">
        <v>15201</v>
      </c>
      <c r="D1094" t="s">
        <v>16198</v>
      </c>
      <c r="E1094" t="s">
        <v>16218</v>
      </c>
      <c r="F1094" t="s">
        <v>16221</v>
      </c>
      <c r="G1094" t="s">
        <v>16241</v>
      </c>
      <c r="H1094" t="s">
        <v>16241</v>
      </c>
      <c r="I1094" t="s">
        <v>16317</v>
      </c>
      <c r="J1094" t="s">
        <v>16385</v>
      </c>
      <c r="K1094">
        <v>0.277</v>
      </c>
      <c r="L1094">
        <v>12078</v>
      </c>
      <c r="M1094">
        <v>2814</v>
      </c>
      <c r="N1094" t="s">
        <v>16393</v>
      </c>
      <c r="O1094" s="4">
        <v>64309</v>
      </c>
      <c r="P1094" s="4">
        <v>173796</v>
      </c>
      <c r="Q1094" s="4">
        <v>238105</v>
      </c>
      <c r="R1094" s="4">
        <v>714315</v>
      </c>
      <c r="S1094" t="s">
        <v>17468</v>
      </c>
      <c r="T1094" s="6">
        <v>35796</v>
      </c>
      <c r="U1094" s="4">
        <v>413000</v>
      </c>
      <c r="X1094" t="s">
        <v>3</v>
      </c>
      <c r="AA1094" s="5" t="str">
        <f>HYPERLINK("https://www.zillow.com/homes/8205-PINE-BLUFF-CT-DARIEN-IL-60561_rb/","check listing")</f>
        <v>check listing</v>
      </c>
      <c r="AB1094" s="5" t="str">
        <f>HYPERLINK("https://propertylookup.dupagecounty.gov/Datalets/Datalet.aspx?UseSearch=no&amp;mode=sales&amp;pin=0933207032","sales record")</f>
        <v>sales record</v>
      </c>
      <c r="AC1094" t="s">
        <v>3</v>
      </c>
      <c r="AD1094">
        <v>41.739773</v>
      </c>
      <c r="AE1094">
        <v>-87.979275</v>
      </c>
      <c r="AF1094" s="5" t="str">
        <f>HYPERLINK("https://www.google.com/maps/search/?api=1&amp;query=41.739773,-87.979275","map")</f>
        <v>map</v>
      </c>
    </row>
    <row r="1095" spans="1:32">
      <c r="A1095" t="s">
        <v>1145</v>
      </c>
      <c r="B1095" t="s">
        <v>8722</v>
      </c>
      <c r="C1095" t="s">
        <v>15201</v>
      </c>
      <c r="D1095" t="s">
        <v>16198</v>
      </c>
      <c r="E1095" t="s">
        <v>16218</v>
      </c>
      <c r="F1095" t="s">
        <v>16221</v>
      </c>
      <c r="G1095" t="s">
        <v>16241</v>
      </c>
      <c r="H1095" t="s">
        <v>16241</v>
      </c>
      <c r="I1095" t="s">
        <v>16317</v>
      </c>
      <c r="J1095" t="s">
        <v>16385</v>
      </c>
      <c r="K1095">
        <v>0.277</v>
      </c>
      <c r="L1095">
        <v>12061</v>
      </c>
      <c r="M1095">
        <v>2947</v>
      </c>
      <c r="N1095" t="s">
        <v>16393</v>
      </c>
      <c r="O1095" s="4">
        <v>72842</v>
      </c>
      <c r="P1095" s="4">
        <v>90765</v>
      </c>
      <c r="Q1095" s="4">
        <v>163607</v>
      </c>
      <c r="R1095" s="4">
        <v>490821</v>
      </c>
      <c r="S1095" t="s">
        <v>17469</v>
      </c>
      <c r="T1095" s="6">
        <v>33543</v>
      </c>
      <c r="U1095" s="4">
        <v>219000</v>
      </c>
      <c r="X1095" t="s">
        <v>3</v>
      </c>
      <c r="AA1095" s="5" t="str">
        <f>HYPERLINK("https://www.zillow.com/homes/1622-FOXHILL-PL-DARIEN-IL-60561_rb/","check listing")</f>
        <v>check listing</v>
      </c>
      <c r="AB1095" s="5" t="str">
        <f>HYPERLINK("https://propertylookup.dupagecounty.gov/Datalets/Datalet.aspx?UseSearch=no&amp;mode=sales&amp;pin=0933302004","sales record")</f>
        <v>sales record</v>
      </c>
      <c r="AC1095" t="s">
        <v>3</v>
      </c>
      <c r="AD1095">
        <v>41.734704</v>
      </c>
      <c r="AE1095">
        <v>-87.986374</v>
      </c>
      <c r="AF1095" s="5" t="str">
        <f>HYPERLINK("https://www.google.com/maps/search/?api=1&amp;query=41.734704,-87.986374","map")</f>
        <v>map</v>
      </c>
    </row>
    <row r="1096" spans="1:32">
      <c r="A1096" t="s">
        <v>1146</v>
      </c>
      <c r="B1096" t="s">
        <v>8723</v>
      </c>
      <c r="C1096" t="s">
        <v>15201</v>
      </c>
      <c r="D1096" t="s">
        <v>16198</v>
      </c>
      <c r="E1096" t="s">
        <v>16218</v>
      </c>
      <c r="F1096" t="s">
        <v>16221</v>
      </c>
      <c r="G1096" t="s">
        <v>16241</v>
      </c>
      <c r="H1096" t="s">
        <v>16241</v>
      </c>
      <c r="I1096" t="s">
        <v>16317</v>
      </c>
      <c r="J1096" t="s">
        <v>16385</v>
      </c>
      <c r="K1096">
        <v>0.274</v>
      </c>
      <c r="L1096">
        <v>11924</v>
      </c>
      <c r="M1096">
        <v>2082</v>
      </c>
      <c r="N1096" t="s">
        <v>16393</v>
      </c>
      <c r="O1096" s="4">
        <v>61057</v>
      </c>
      <c r="P1096" s="4">
        <v>92800</v>
      </c>
      <c r="Q1096" s="4">
        <v>153857</v>
      </c>
      <c r="R1096" s="4">
        <v>461571</v>
      </c>
      <c r="S1096" t="s">
        <v>17470</v>
      </c>
      <c r="X1096" t="s">
        <v>3</v>
      </c>
      <c r="AA1096" s="5" t="str">
        <f>HYPERLINK("https://www.zillow.com/homes/1906-GORDON-CT-DARIEN-IL-60561_rb/","check listing")</f>
        <v>check listing</v>
      </c>
      <c r="AB1096" s="5" t="str">
        <f>HYPERLINK("https://propertylookup.dupagecounty.gov/Datalets/Datalet.aspx?UseSearch=no&amp;mode=sales&amp;pin=0928315039","sales record")</f>
        <v>sales record</v>
      </c>
      <c r="AC1096" t="s">
        <v>3</v>
      </c>
      <c r="AD1096">
        <v>41.747605</v>
      </c>
      <c r="AE1096">
        <v>-87.99073300000001</v>
      </c>
      <c r="AF1096" s="5" t="str">
        <f>HYPERLINK("https://www.google.com/maps/search/?api=1&amp;query=41.747605,-87.990733","map")</f>
        <v>map</v>
      </c>
    </row>
    <row r="1097" spans="1:32">
      <c r="A1097" t="s">
        <v>1147</v>
      </c>
      <c r="B1097" t="s">
        <v>8724</v>
      </c>
      <c r="C1097" t="s">
        <v>15201</v>
      </c>
      <c r="D1097" t="s">
        <v>16198</v>
      </c>
      <c r="E1097" t="s">
        <v>16218</v>
      </c>
      <c r="F1097" t="s">
        <v>16221</v>
      </c>
      <c r="G1097" t="s">
        <v>16241</v>
      </c>
      <c r="H1097" t="s">
        <v>16241</v>
      </c>
      <c r="I1097" t="s">
        <v>16317</v>
      </c>
      <c r="J1097" t="s">
        <v>16385</v>
      </c>
      <c r="K1097">
        <v>0.272</v>
      </c>
      <c r="L1097">
        <v>11863</v>
      </c>
      <c r="M1097">
        <v>2092</v>
      </c>
      <c r="N1097" t="s">
        <v>16393</v>
      </c>
      <c r="O1097" s="4">
        <v>67678</v>
      </c>
      <c r="P1097" s="4">
        <v>94005</v>
      </c>
      <c r="Q1097" s="4">
        <v>161683</v>
      </c>
      <c r="R1097" s="4">
        <v>485049</v>
      </c>
      <c r="S1097" t="s">
        <v>17471</v>
      </c>
      <c r="T1097" s="6">
        <v>36281</v>
      </c>
      <c r="U1097" s="4">
        <v>215000</v>
      </c>
      <c r="X1097" t="s">
        <v>3</v>
      </c>
      <c r="AA1097" s="5" t="str">
        <f>HYPERLINK("https://www.zillow.com/homes/7702-FLORENCE-AVE-DARIEN-IL-60561_rb/","check listing")</f>
        <v>check listing</v>
      </c>
      <c r="AB1097" s="5" t="str">
        <f>HYPERLINK("https://propertylookup.dupagecounty.gov/Datalets/Datalet.aspx?UseSearch=no&amp;mode=sales&amp;pin=0928315040","sales record")</f>
        <v>sales record</v>
      </c>
      <c r="AC1097" t="s">
        <v>3</v>
      </c>
      <c r="AD1097">
        <v>41.747593</v>
      </c>
      <c r="AE1097">
        <v>-87.990398</v>
      </c>
      <c r="AF1097" s="5" t="str">
        <f>HYPERLINK("https://www.google.com/maps/search/?api=1&amp;query=41.747593,-87.990398","map")</f>
        <v>map</v>
      </c>
    </row>
    <row r="1098" spans="1:32">
      <c r="A1098" t="s">
        <v>1148</v>
      </c>
      <c r="B1098" t="s">
        <v>8725</v>
      </c>
      <c r="C1098" t="s">
        <v>15201</v>
      </c>
      <c r="D1098" t="s">
        <v>16198</v>
      </c>
      <c r="E1098" t="s">
        <v>16218</v>
      </c>
      <c r="F1098" t="s">
        <v>16221</v>
      </c>
      <c r="G1098" t="s">
        <v>16241</v>
      </c>
      <c r="H1098" t="s">
        <v>16241</v>
      </c>
      <c r="I1098" t="s">
        <v>16317</v>
      </c>
      <c r="J1098" t="s">
        <v>16385</v>
      </c>
      <c r="K1098">
        <v>0.272</v>
      </c>
      <c r="L1098">
        <v>11852</v>
      </c>
      <c r="M1098">
        <v>2178</v>
      </c>
      <c r="N1098" t="s">
        <v>16393</v>
      </c>
      <c r="O1098" s="4">
        <v>71151</v>
      </c>
      <c r="P1098" s="4">
        <v>125367</v>
      </c>
      <c r="Q1098" s="4">
        <v>196518</v>
      </c>
      <c r="R1098" s="4">
        <v>589554</v>
      </c>
      <c r="S1098" t="s">
        <v>17472</v>
      </c>
      <c r="T1098" s="6">
        <v>41944</v>
      </c>
      <c r="U1098" s="4">
        <v>427000</v>
      </c>
      <c r="V1098" t="s">
        <v>23740</v>
      </c>
      <c r="W1098" t="s">
        <v>24281</v>
      </c>
      <c r="X1098" t="s">
        <v>3</v>
      </c>
      <c r="AA1098" s="5" t="str">
        <f>HYPERLINK("https://www.zillow.com/homes/1539-PINEHURST-DR-DARIEN-IL-60561_rb/","check listing")</f>
        <v>check listing</v>
      </c>
      <c r="AB1098" s="5" t="str">
        <f>HYPERLINK("https://propertylookup.dupagecounty.gov/Datalets/Datalet.aspx?UseSearch=no&amp;mode=sales&amp;pin=0933208005","sales record")</f>
        <v>sales record</v>
      </c>
      <c r="AC1098" t="s">
        <v>3</v>
      </c>
      <c r="AD1098">
        <v>41.737711</v>
      </c>
      <c r="AE1098">
        <v>-87.982811</v>
      </c>
      <c r="AF1098" s="5" t="str">
        <f>HYPERLINK("https://www.google.com/maps/search/?api=1&amp;query=41.737711,-87.982811","map")</f>
        <v>map</v>
      </c>
    </row>
    <row r="1099" spans="1:32">
      <c r="A1099" t="s">
        <v>1149</v>
      </c>
      <c r="B1099" t="s">
        <v>8726</v>
      </c>
      <c r="C1099" t="s">
        <v>15250</v>
      </c>
      <c r="D1099" t="s">
        <v>16198</v>
      </c>
      <c r="E1099" t="s">
        <v>16218</v>
      </c>
      <c r="F1099" t="s">
        <v>16221</v>
      </c>
      <c r="G1099" t="s">
        <v>16241</v>
      </c>
      <c r="H1099" t="s">
        <v>16241</v>
      </c>
      <c r="I1099" t="s">
        <v>16317</v>
      </c>
      <c r="J1099" t="s">
        <v>16385</v>
      </c>
      <c r="K1099">
        <v>0.271</v>
      </c>
      <c r="L1099">
        <v>11819</v>
      </c>
      <c r="M1099">
        <v>1970</v>
      </c>
      <c r="N1099" t="s">
        <v>16393</v>
      </c>
      <c r="O1099" s="4">
        <v>85037</v>
      </c>
      <c r="P1099" s="4">
        <v>130343</v>
      </c>
      <c r="Q1099" s="4">
        <v>215380</v>
      </c>
      <c r="R1099" s="4">
        <v>646140</v>
      </c>
      <c r="S1099" t="s">
        <v>17473</v>
      </c>
      <c r="T1099" s="6">
        <v>32203</v>
      </c>
      <c r="U1099" s="4">
        <v>229900</v>
      </c>
      <c r="X1099" t="s">
        <v>3</v>
      </c>
      <c r="AA1099" s="5" t="str">
        <f>HYPERLINK("https://www.zillow.com/homes/1508-PINEHURST-DR-DARIEN-IL-605615927_rb/","check listing")</f>
        <v>check listing</v>
      </c>
      <c r="AB1099" s="5" t="str">
        <f>HYPERLINK("https://propertylookup.dupagecounty.gov/Datalets/Datalet.aspx?UseSearch=no&amp;mode=sales&amp;pin=0933207019","sales record")</f>
        <v>sales record</v>
      </c>
      <c r="AC1099" t="s">
        <v>3</v>
      </c>
      <c r="AD1099">
        <v>41.737855</v>
      </c>
      <c r="AE1099">
        <v>-87.981319</v>
      </c>
      <c r="AF1099" s="5" t="str">
        <f>HYPERLINK("https://www.google.com/maps/search/?api=1&amp;query=41.737855,-87.981319","map")</f>
        <v>map</v>
      </c>
    </row>
    <row r="1100" spans="1:32">
      <c r="A1100" t="s">
        <v>1150</v>
      </c>
      <c r="B1100" t="s">
        <v>8727</v>
      </c>
      <c r="C1100" t="s">
        <v>15241</v>
      </c>
      <c r="D1100" t="s">
        <v>16198</v>
      </c>
      <c r="E1100" t="s">
        <v>16218</v>
      </c>
      <c r="F1100" t="s">
        <v>16221</v>
      </c>
      <c r="G1100" t="s">
        <v>16241</v>
      </c>
      <c r="H1100" t="s">
        <v>16241</v>
      </c>
      <c r="I1100" t="s">
        <v>16317</v>
      </c>
      <c r="J1100" t="s">
        <v>16385</v>
      </c>
      <c r="K1100">
        <v>0.27</v>
      </c>
      <c r="L1100">
        <v>11754</v>
      </c>
      <c r="M1100">
        <v>3043</v>
      </c>
      <c r="N1100" t="s">
        <v>16393</v>
      </c>
      <c r="O1100" s="4">
        <v>63734</v>
      </c>
      <c r="P1100" s="4">
        <v>162292</v>
      </c>
      <c r="Q1100" s="4">
        <v>226026</v>
      </c>
      <c r="R1100" s="4">
        <v>678078</v>
      </c>
      <c r="S1100" t="s">
        <v>17474</v>
      </c>
      <c r="T1100" s="6">
        <v>43647</v>
      </c>
      <c r="U1100" s="4">
        <v>540000</v>
      </c>
      <c r="V1100" t="s">
        <v>23739</v>
      </c>
      <c r="W1100" t="s">
        <v>24282</v>
      </c>
      <c r="X1100" t="s">
        <v>3</v>
      </c>
      <c r="AA1100" s="5" t="str">
        <f>HYPERLINK("https://www.zillow.com/homes/1505-PINE-VIEW-CT-DARIEN-IL-605615900_rb/","check listing")</f>
        <v>check listing</v>
      </c>
      <c r="AB1100" s="5" t="str">
        <f>HYPERLINK("https://propertylookup.dupagecounty.gov/Datalets/Datalet.aspx?UseSearch=no&amp;mode=sales&amp;pin=0933207009","sales record")</f>
        <v>sales record</v>
      </c>
      <c r="AC1100" t="s">
        <v>3</v>
      </c>
      <c r="AD1100">
        <v>41.738829</v>
      </c>
      <c r="AE1100">
        <v>-87.98041600000001</v>
      </c>
      <c r="AF1100" s="5" t="str">
        <f>HYPERLINK("https://www.google.com/maps/search/?api=1&amp;query=41.738829,-87.980416","map")</f>
        <v>map</v>
      </c>
    </row>
    <row r="1101" spans="1:32">
      <c r="A1101" t="s">
        <v>1151</v>
      </c>
      <c r="B1101" t="s">
        <v>8728</v>
      </c>
      <c r="C1101" t="s">
        <v>15201</v>
      </c>
      <c r="D1101" t="s">
        <v>16198</v>
      </c>
      <c r="E1101" t="s">
        <v>16218</v>
      </c>
      <c r="F1101" t="s">
        <v>16221</v>
      </c>
      <c r="G1101" t="s">
        <v>16241</v>
      </c>
      <c r="H1101" t="s">
        <v>16241</v>
      </c>
      <c r="I1101" t="s">
        <v>16317</v>
      </c>
      <c r="J1101" t="s">
        <v>16385</v>
      </c>
      <c r="K1101">
        <v>0.27</v>
      </c>
      <c r="L1101">
        <v>11747</v>
      </c>
      <c r="M1101">
        <v>2188</v>
      </c>
      <c r="N1101" t="s">
        <v>16393</v>
      </c>
      <c r="O1101" s="4">
        <v>60893</v>
      </c>
      <c r="P1101" s="4">
        <v>95014</v>
      </c>
      <c r="Q1101" s="4">
        <v>155907</v>
      </c>
      <c r="R1101" s="4">
        <v>467721</v>
      </c>
      <c r="S1101" t="s">
        <v>17475</v>
      </c>
      <c r="T1101" s="6">
        <v>44924</v>
      </c>
      <c r="U1101" s="4">
        <v>350000</v>
      </c>
      <c r="V1101" t="s">
        <v>23739</v>
      </c>
      <c r="W1101" t="s">
        <v>24283</v>
      </c>
      <c r="X1101" t="s">
        <v>3</v>
      </c>
      <c r="AA1101" s="5" t="str">
        <f>HYPERLINK("https://www.zillow.com/homes/1905-GORDON-CT-DARIEN-IL-60561_rb/","check listing")</f>
        <v>check listing</v>
      </c>
      <c r="AB1101" s="5" t="str">
        <f>HYPERLINK("https://propertylookup.dupagecounty.gov/Datalets/Datalet.aspx?UseSearch=no&amp;mode=sales&amp;pin=0928315043","sales record")</f>
        <v>sales record</v>
      </c>
      <c r="AC1101" t="s">
        <v>3</v>
      </c>
      <c r="AD1101">
        <v>41.746953</v>
      </c>
      <c r="AE1101">
        <v>-87.990708</v>
      </c>
      <c r="AF1101" s="5" t="str">
        <f>HYPERLINK("https://www.google.com/maps/search/?api=1&amp;query=41.746953,-87.990708","map")</f>
        <v>map</v>
      </c>
    </row>
    <row r="1102" spans="1:32">
      <c r="A1102" t="s">
        <v>1152</v>
      </c>
      <c r="B1102" t="s">
        <v>8729</v>
      </c>
      <c r="C1102" t="s">
        <v>15201</v>
      </c>
      <c r="D1102" t="s">
        <v>16198</v>
      </c>
      <c r="E1102" t="s">
        <v>16218</v>
      </c>
      <c r="F1102" t="s">
        <v>16221</v>
      </c>
      <c r="G1102" t="s">
        <v>16241</v>
      </c>
      <c r="H1102" t="s">
        <v>16241</v>
      </c>
      <c r="I1102" t="s">
        <v>16317</v>
      </c>
      <c r="J1102" t="s">
        <v>16385</v>
      </c>
      <c r="K1102">
        <v>0.269</v>
      </c>
      <c r="L1102">
        <v>11739</v>
      </c>
      <c r="M1102">
        <v>2167</v>
      </c>
      <c r="N1102" t="s">
        <v>16393</v>
      </c>
      <c r="O1102" s="4">
        <v>83124</v>
      </c>
      <c r="P1102" s="4">
        <v>120343</v>
      </c>
      <c r="Q1102" s="4">
        <v>203467</v>
      </c>
      <c r="R1102" s="4">
        <v>610401</v>
      </c>
      <c r="S1102" t="s">
        <v>17476</v>
      </c>
      <c r="T1102" s="6">
        <v>32112</v>
      </c>
      <c r="U1102" s="4">
        <v>222900</v>
      </c>
      <c r="X1102" t="s">
        <v>3</v>
      </c>
      <c r="AA1102" s="5" t="str">
        <f>HYPERLINK("https://www.zillow.com/homes/1504-PINEHURST-DR-DARIEN-IL-60561_rb/","check listing")</f>
        <v>check listing</v>
      </c>
      <c r="AB1102" s="5" t="str">
        <f>HYPERLINK("https://propertylookup.dupagecounty.gov/Datalets/Datalet.aspx?UseSearch=no&amp;mode=sales&amp;pin=0933207020","sales record")</f>
        <v>sales record</v>
      </c>
      <c r="AC1102" t="s">
        <v>3</v>
      </c>
      <c r="AD1102">
        <v>41.73793</v>
      </c>
      <c r="AE1102">
        <v>-87.980999</v>
      </c>
      <c r="AF1102" s="5" t="str">
        <f>HYPERLINK("https://www.google.com/maps/search/?api=1&amp;query=41.73793,-87.980999","map")</f>
        <v>map</v>
      </c>
    </row>
    <row r="1103" spans="1:32">
      <c r="A1103" t="s">
        <v>1153</v>
      </c>
      <c r="B1103" t="s">
        <v>8730</v>
      </c>
      <c r="C1103" t="s">
        <v>15228</v>
      </c>
      <c r="D1103" t="s">
        <v>16198</v>
      </c>
      <c r="E1103" t="s">
        <v>16218</v>
      </c>
      <c r="F1103" t="s">
        <v>16221</v>
      </c>
      <c r="G1103" t="s">
        <v>16241</v>
      </c>
      <c r="H1103" t="s">
        <v>16241</v>
      </c>
      <c r="I1103" t="s">
        <v>16317</v>
      </c>
      <c r="J1103" t="s">
        <v>16385</v>
      </c>
      <c r="K1103">
        <v>0.268</v>
      </c>
      <c r="L1103">
        <v>11694</v>
      </c>
      <c r="M1103">
        <v>2329</v>
      </c>
      <c r="N1103" t="s">
        <v>16393</v>
      </c>
      <c r="O1103" s="4">
        <v>70636</v>
      </c>
      <c r="P1103" s="4">
        <v>136106</v>
      </c>
      <c r="Q1103" s="4">
        <v>206742</v>
      </c>
      <c r="R1103" s="4">
        <v>620226</v>
      </c>
      <c r="S1103" t="s">
        <v>17477</v>
      </c>
      <c r="T1103" s="6">
        <v>33025</v>
      </c>
      <c r="U1103" s="4">
        <v>375000</v>
      </c>
      <c r="X1103" t="s">
        <v>3</v>
      </c>
      <c r="AA1103" s="5" t="str">
        <f>HYPERLINK("https://www.zillow.com/homes/1523-PINEHURST-DR-DARIEN-IL-605615925_rb/","check listing")</f>
        <v>check listing</v>
      </c>
      <c r="AB1103" s="5" t="str">
        <f>HYPERLINK("https://propertylookup.dupagecounty.gov/Datalets/Datalet.aspx?UseSearch=no&amp;mode=sales&amp;pin=0933208009","sales record")</f>
        <v>sales record</v>
      </c>
      <c r="AC1103" t="s">
        <v>3</v>
      </c>
      <c r="AD1103">
        <v>41.737304</v>
      </c>
      <c r="AE1103">
        <v>-87.982153</v>
      </c>
      <c r="AF1103" s="5" t="str">
        <f>HYPERLINK("https://www.google.com/maps/search/?api=1&amp;query=41.737304,-87.982153","map")</f>
        <v>map</v>
      </c>
    </row>
    <row r="1104" spans="1:32">
      <c r="A1104" t="s">
        <v>1154</v>
      </c>
      <c r="B1104" t="s">
        <v>8731</v>
      </c>
      <c r="C1104" t="s">
        <v>15229</v>
      </c>
      <c r="D1104" t="s">
        <v>16198</v>
      </c>
      <c r="E1104" t="s">
        <v>16218</v>
      </c>
      <c r="F1104" t="s">
        <v>16221</v>
      </c>
      <c r="G1104" t="s">
        <v>16241</v>
      </c>
      <c r="H1104" t="s">
        <v>16241</v>
      </c>
      <c r="I1104" t="s">
        <v>16317</v>
      </c>
      <c r="J1104" t="s">
        <v>16385</v>
      </c>
      <c r="K1104">
        <v>0.268</v>
      </c>
      <c r="L1104">
        <v>11681</v>
      </c>
      <c r="M1104">
        <v>2237</v>
      </c>
      <c r="N1104" t="s">
        <v>16393</v>
      </c>
      <c r="O1104" s="4">
        <v>69680</v>
      </c>
      <c r="P1104" s="4">
        <v>142620</v>
      </c>
      <c r="Q1104" s="4">
        <v>212300</v>
      </c>
      <c r="R1104" s="4">
        <v>636900</v>
      </c>
      <c r="S1104" t="s">
        <v>17478</v>
      </c>
      <c r="T1104" s="6">
        <v>45563</v>
      </c>
      <c r="U1104" s="4">
        <v>719900</v>
      </c>
      <c r="V1104" t="s">
        <v>23739</v>
      </c>
      <c r="W1104" t="s">
        <v>24284</v>
      </c>
      <c r="X1104" t="s">
        <v>3</v>
      </c>
      <c r="AA1104" s="5" t="str">
        <f>HYPERLINK("https://www.zillow.com/homes/8221-PINE-BLUFF-CT-DARIEN-IL-605614900_rb/","check listing")</f>
        <v>check listing</v>
      </c>
      <c r="AB1104" s="5" t="str">
        <f>HYPERLINK("https://propertylookup.dupagecounty.gov/Datalets/Datalet.aspx?UseSearch=no&amp;mode=sales&amp;pin=0933207036","sales record")</f>
        <v>sales record</v>
      </c>
      <c r="AC1104" t="s">
        <v>3</v>
      </c>
      <c r="AD1104">
        <v>41.738778</v>
      </c>
      <c r="AE1104">
        <v>-87.979198</v>
      </c>
      <c r="AF1104" s="5" t="str">
        <f>HYPERLINK("https://www.google.com/maps/search/?api=1&amp;query=41.738778,-87.979198","map")</f>
        <v>map</v>
      </c>
    </row>
    <row r="1105" spans="1:32">
      <c r="A1105" t="s">
        <v>1155</v>
      </c>
      <c r="B1105" t="s">
        <v>8732</v>
      </c>
      <c r="C1105" t="s">
        <v>15251</v>
      </c>
      <c r="D1105" t="s">
        <v>16198</v>
      </c>
      <c r="E1105" t="s">
        <v>16218</v>
      </c>
      <c r="F1105" t="s">
        <v>16221</v>
      </c>
      <c r="G1105" t="s">
        <v>16241</v>
      </c>
      <c r="H1105" t="s">
        <v>16241</v>
      </c>
      <c r="I1105" t="s">
        <v>16317</v>
      </c>
      <c r="J1105" t="s">
        <v>16385</v>
      </c>
      <c r="K1105">
        <v>0.268</v>
      </c>
      <c r="L1105">
        <v>11666</v>
      </c>
      <c r="M1105">
        <v>2893</v>
      </c>
      <c r="N1105" t="s">
        <v>16393</v>
      </c>
      <c r="O1105" s="4">
        <v>62795</v>
      </c>
      <c r="P1105" s="4">
        <v>103759</v>
      </c>
      <c r="Q1105" s="4">
        <v>166554</v>
      </c>
      <c r="R1105" s="4">
        <v>499662</v>
      </c>
      <c r="S1105" t="s">
        <v>17479</v>
      </c>
      <c r="T1105" s="6">
        <v>45616</v>
      </c>
      <c r="U1105" s="4">
        <v>515000</v>
      </c>
      <c r="V1105" t="s">
        <v>16232</v>
      </c>
      <c r="W1105" t="s">
        <v>24285</v>
      </c>
      <c r="X1105" t="s">
        <v>3</v>
      </c>
      <c r="AA1105" s="5" t="str">
        <f>HYPERLINK("https://www.zillow.com/homes/8112-WITTINGTON-CT-DARIEN-IL-605616620_rb/","check listing")</f>
        <v>check listing</v>
      </c>
      <c r="AB1105" s="5" t="str">
        <f>HYPERLINK("https://propertylookup.dupagecounty.gov/Datalets/Datalet.aspx?UseSearch=no&amp;mode=sales&amp;pin=0934210016","sales record")</f>
        <v>sales record</v>
      </c>
      <c r="AC1105" t="s">
        <v>3</v>
      </c>
      <c r="AD1105">
        <v>41.739562</v>
      </c>
      <c r="AE1105">
        <v>-87.963472</v>
      </c>
      <c r="AF1105" s="5" t="str">
        <f>HYPERLINK("https://www.google.com/maps/search/?api=1&amp;query=41.739562,-87.963472","map")</f>
        <v>map</v>
      </c>
    </row>
    <row r="1106" spans="1:32">
      <c r="A1106" t="s">
        <v>1156</v>
      </c>
      <c r="B1106" t="s">
        <v>8733</v>
      </c>
      <c r="C1106" t="s">
        <v>15201</v>
      </c>
      <c r="D1106" t="s">
        <v>16198</v>
      </c>
      <c r="E1106" t="s">
        <v>16218</v>
      </c>
      <c r="F1106" t="s">
        <v>16221</v>
      </c>
      <c r="G1106" t="s">
        <v>16241</v>
      </c>
      <c r="H1106" t="s">
        <v>16241</v>
      </c>
      <c r="I1106" t="s">
        <v>16317</v>
      </c>
      <c r="J1106" t="s">
        <v>16385</v>
      </c>
      <c r="K1106">
        <v>0.268</v>
      </c>
      <c r="L1106">
        <v>11654</v>
      </c>
      <c r="M1106">
        <v>2462</v>
      </c>
      <c r="N1106" t="s">
        <v>16393</v>
      </c>
      <c r="O1106" s="4">
        <v>71457</v>
      </c>
      <c r="P1106" s="4">
        <v>145907</v>
      </c>
      <c r="Q1106" s="4">
        <v>217364</v>
      </c>
      <c r="R1106" s="4">
        <v>652092</v>
      </c>
      <c r="S1106" t="s">
        <v>17480</v>
      </c>
      <c r="T1106" s="6">
        <v>36008</v>
      </c>
      <c r="U1106" s="4">
        <v>389500</v>
      </c>
      <c r="X1106" t="s">
        <v>3</v>
      </c>
      <c r="AA1106" s="5" t="str">
        <f>HYPERLINK("https://www.zillow.com/homes/1525-PINE-VIEW-CT-DARIEN-IL-60561_rb/","check listing")</f>
        <v>check listing</v>
      </c>
      <c r="AB1106" s="5" t="str">
        <f>HYPERLINK("https://propertylookup.dupagecounty.gov/Datalets/Datalet.aspx?UseSearch=no&amp;mode=sales&amp;pin=0933207014","sales record")</f>
        <v>sales record</v>
      </c>
      <c r="AC1106" t="s">
        <v>3</v>
      </c>
      <c r="AD1106">
        <v>41.738191</v>
      </c>
      <c r="AE1106">
        <v>-87.981584</v>
      </c>
      <c r="AF1106" s="5" t="str">
        <f>HYPERLINK("https://www.google.com/maps/search/?api=1&amp;query=41.738191,-87.981584","map")</f>
        <v>map</v>
      </c>
    </row>
    <row r="1107" spans="1:32">
      <c r="A1107" t="s">
        <v>1157</v>
      </c>
      <c r="B1107" t="s">
        <v>8734</v>
      </c>
      <c r="C1107" t="s">
        <v>15201</v>
      </c>
      <c r="D1107" t="s">
        <v>16198</v>
      </c>
      <c r="E1107" t="s">
        <v>16218</v>
      </c>
      <c r="F1107" t="s">
        <v>16221</v>
      </c>
      <c r="G1107" t="s">
        <v>16241</v>
      </c>
      <c r="H1107" t="s">
        <v>16241</v>
      </c>
      <c r="I1107" t="s">
        <v>16317</v>
      </c>
      <c r="J1107" t="s">
        <v>16385</v>
      </c>
      <c r="K1107">
        <v>0.265</v>
      </c>
      <c r="L1107">
        <v>11536</v>
      </c>
      <c r="M1107">
        <v>2509</v>
      </c>
      <c r="N1107" t="s">
        <v>16393</v>
      </c>
      <c r="O1107" s="4">
        <v>67900</v>
      </c>
      <c r="P1107" s="4">
        <v>158091</v>
      </c>
      <c r="Q1107" s="4">
        <v>225991</v>
      </c>
      <c r="R1107" s="4">
        <v>677973</v>
      </c>
      <c r="S1107" t="s">
        <v>17481</v>
      </c>
      <c r="T1107" s="6">
        <v>33909</v>
      </c>
      <c r="U1107" s="4">
        <v>330000</v>
      </c>
      <c r="X1107" t="s">
        <v>3</v>
      </c>
      <c r="AA1107" s="5" t="str">
        <f>HYPERLINK("https://www.zillow.com/homes/1504-PINE-VIEW-CT-DARIEN-IL-60561_rb/","check listing")</f>
        <v>check listing</v>
      </c>
      <c r="AB1107" s="5" t="str">
        <f>HYPERLINK("https://propertylookup.dupagecounty.gov/Datalets/Datalet.aspx?UseSearch=no&amp;mode=sales&amp;pin=0933207006","sales record")</f>
        <v>sales record</v>
      </c>
      <c r="AC1107" t="s">
        <v>3</v>
      </c>
      <c r="AD1107">
        <v>41.73923</v>
      </c>
      <c r="AE1107">
        <v>-87.981036</v>
      </c>
      <c r="AF1107" s="5" t="str">
        <f>HYPERLINK("https://www.google.com/maps/search/?api=1&amp;query=41.73923,-87.981036","map")</f>
        <v>map</v>
      </c>
    </row>
    <row r="1108" spans="1:32">
      <c r="A1108" t="s">
        <v>1158</v>
      </c>
      <c r="B1108" t="s">
        <v>8735</v>
      </c>
      <c r="C1108" t="s">
        <v>15201</v>
      </c>
      <c r="D1108" t="s">
        <v>16198</v>
      </c>
      <c r="E1108" t="s">
        <v>16218</v>
      </c>
      <c r="F1108" t="s">
        <v>16221</v>
      </c>
      <c r="G1108" t="s">
        <v>16241</v>
      </c>
      <c r="H1108" t="s">
        <v>16241</v>
      </c>
      <c r="I1108" t="s">
        <v>16317</v>
      </c>
      <c r="J1108" t="s">
        <v>16385</v>
      </c>
      <c r="K1108">
        <v>0.265</v>
      </c>
      <c r="L1108">
        <v>11522</v>
      </c>
      <c r="M1108">
        <v>2065</v>
      </c>
      <c r="N1108" t="s">
        <v>16393</v>
      </c>
      <c r="O1108" s="4">
        <v>75073</v>
      </c>
      <c r="P1108" s="4">
        <v>139616</v>
      </c>
      <c r="Q1108" s="4">
        <v>214689</v>
      </c>
      <c r="R1108" s="4">
        <v>644067</v>
      </c>
      <c r="S1108" t="s">
        <v>17482</v>
      </c>
      <c r="T1108" s="6">
        <v>42339</v>
      </c>
      <c r="U1108" s="4">
        <v>475000</v>
      </c>
      <c r="V1108" t="s">
        <v>23740</v>
      </c>
      <c r="W1108" t="s">
        <v>24286</v>
      </c>
      <c r="X1108" t="s">
        <v>3</v>
      </c>
      <c r="AA1108" s="5" t="str">
        <f>HYPERLINK("https://www.zillow.com/homes/1509-PINE-VIEW-CT-DARIEN-IL-60561_rb/","check listing")</f>
        <v>check listing</v>
      </c>
      <c r="AB1108" s="5" t="str">
        <f>HYPERLINK("https://propertylookup.dupagecounty.gov/Datalets/Datalet.aspx?UseSearch=no&amp;mode=sales&amp;pin=0933207010","sales record")</f>
        <v>sales record</v>
      </c>
      <c r="AC1108" t="s">
        <v>3</v>
      </c>
      <c r="AD1108">
        <v>41.738711</v>
      </c>
      <c r="AE1108">
        <v>-87.980671</v>
      </c>
      <c r="AF1108" s="5" t="str">
        <f>HYPERLINK("https://www.google.com/maps/search/?api=1&amp;query=41.738711,-87.980671","map")</f>
        <v>map</v>
      </c>
    </row>
    <row r="1109" spans="1:32">
      <c r="A1109" t="s">
        <v>1159</v>
      </c>
      <c r="B1109" t="s">
        <v>8736</v>
      </c>
      <c r="C1109" t="s">
        <v>15201</v>
      </c>
      <c r="D1109" t="s">
        <v>16198</v>
      </c>
      <c r="E1109" t="s">
        <v>16218</v>
      </c>
      <c r="F1109" t="s">
        <v>16221</v>
      </c>
      <c r="G1109" t="s">
        <v>16241</v>
      </c>
      <c r="H1109" t="s">
        <v>16241</v>
      </c>
      <c r="I1109" t="s">
        <v>16317</v>
      </c>
      <c r="J1109" t="s">
        <v>16385</v>
      </c>
      <c r="K1109">
        <v>0.264</v>
      </c>
      <c r="L1109">
        <v>11504</v>
      </c>
      <c r="M1109">
        <v>2328</v>
      </c>
      <c r="N1109" t="s">
        <v>16393</v>
      </c>
      <c r="O1109" s="4">
        <v>67067</v>
      </c>
      <c r="P1109" s="4">
        <v>163255</v>
      </c>
      <c r="Q1109" s="4">
        <v>230322</v>
      </c>
      <c r="R1109" s="4">
        <v>690966</v>
      </c>
      <c r="S1109" t="s">
        <v>17483</v>
      </c>
      <c r="T1109" s="6">
        <v>36312</v>
      </c>
      <c r="U1109" s="4">
        <v>371000</v>
      </c>
      <c r="X1109" t="s">
        <v>3</v>
      </c>
      <c r="AA1109" s="5" t="str">
        <f>HYPERLINK("https://www.zillow.com/homes/6801-SCOTCH-PINE-TR-DARIEN-IL-60561_rb/","check listing")</f>
        <v>check listing</v>
      </c>
      <c r="AB1109" s="5" t="str">
        <f>HYPERLINK("https://propertylookup.dupagecounty.gov/Datalets/Datalet.aspx?UseSearch=no&amp;mode=sales&amp;pin=0922301039","sales record")</f>
        <v>sales record</v>
      </c>
      <c r="AC1109" t="s">
        <v>3</v>
      </c>
      <c r="AD1109">
        <v>41.763596</v>
      </c>
      <c r="AE1109">
        <v>-87.969724</v>
      </c>
      <c r="AF1109" s="5" t="str">
        <f>HYPERLINK("https://www.google.com/maps/search/?api=1&amp;query=41.763596,-87.969724","map")</f>
        <v>map</v>
      </c>
    </row>
    <row r="1110" spans="1:32">
      <c r="A1110" t="s">
        <v>1160</v>
      </c>
      <c r="B1110" t="s">
        <v>8737</v>
      </c>
      <c r="C1110" t="s">
        <v>15201</v>
      </c>
      <c r="D1110" t="s">
        <v>16198</v>
      </c>
      <c r="E1110" t="s">
        <v>16218</v>
      </c>
      <c r="F1110" t="s">
        <v>16221</v>
      </c>
      <c r="G1110" t="s">
        <v>16241</v>
      </c>
      <c r="H1110" t="s">
        <v>16241</v>
      </c>
      <c r="I1110" t="s">
        <v>16317</v>
      </c>
      <c r="J1110" t="s">
        <v>16385</v>
      </c>
      <c r="K1110">
        <v>0.263</v>
      </c>
      <c r="L1110">
        <v>11458</v>
      </c>
      <c r="M1110">
        <v>2614</v>
      </c>
      <c r="N1110" t="s">
        <v>16393</v>
      </c>
      <c r="O1110" s="4">
        <v>66950</v>
      </c>
      <c r="P1110" s="4">
        <v>106047</v>
      </c>
      <c r="Q1110" s="4">
        <v>172997</v>
      </c>
      <c r="R1110" s="4">
        <v>518991</v>
      </c>
      <c r="S1110" t="s">
        <v>17484</v>
      </c>
      <c r="T1110" s="6">
        <v>34182</v>
      </c>
      <c r="U1110" s="4">
        <v>257267</v>
      </c>
      <c r="X1110" t="s">
        <v>3</v>
      </c>
      <c r="AA1110" s="5" t="str">
        <f>HYPERLINK("https://www.zillow.com/homes/8132-PORTSMOUTH-DR-DARIEN-IL-60561_rb/","check listing")</f>
        <v>check listing</v>
      </c>
      <c r="AB1110" s="5" t="str">
        <f>HYPERLINK("https://propertylookup.dupagecounty.gov/Datalets/Datalet.aspx?UseSearch=no&amp;mode=sales&amp;pin=0934210024","sales record")</f>
        <v>sales record</v>
      </c>
      <c r="AC1110" t="s">
        <v>3</v>
      </c>
      <c r="AD1110">
        <v>41.739262</v>
      </c>
      <c r="AE1110">
        <v>-87.96189</v>
      </c>
      <c r="AF1110" s="5" t="str">
        <f>HYPERLINK("https://www.google.com/maps/search/?api=1&amp;query=41.739262,-87.96189","map")</f>
        <v>map</v>
      </c>
    </row>
    <row r="1111" spans="1:32">
      <c r="A1111" t="s">
        <v>1161</v>
      </c>
      <c r="B1111" t="s">
        <v>8738</v>
      </c>
      <c r="C1111" t="s">
        <v>15249</v>
      </c>
      <c r="D1111" t="s">
        <v>16198</v>
      </c>
      <c r="E1111" t="s">
        <v>16218</v>
      </c>
      <c r="F1111" t="s">
        <v>16221</v>
      </c>
      <c r="G1111" t="s">
        <v>16241</v>
      </c>
      <c r="H1111" t="s">
        <v>16241</v>
      </c>
      <c r="I1111" t="s">
        <v>16317</v>
      </c>
      <c r="J1111" t="s">
        <v>16385</v>
      </c>
      <c r="K1111">
        <v>0.263</v>
      </c>
      <c r="L1111">
        <v>11443</v>
      </c>
      <c r="M1111">
        <v>2950</v>
      </c>
      <c r="N1111" t="s">
        <v>16393</v>
      </c>
      <c r="O1111" s="4">
        <v>71141</v>
      </c>
      <c r="P1111" s="4">
        <v>122386</v>
      </c>
      <c r="Q1111" s="4">
        <v>193527</v>
      </c>
      <c r="R1111" s="4">
        <v>580581</v>
      </c>
      <c r="S1111" t="s">
        <v>17485</v>
      </c>
      <c r="T1111" s="6">
        <v>44470</v>
      </c>
      <c r="U1111" s="4">
        <v>410000</v>
      </c>
      <c r="V1111" t="s">
        <v>23739</v>
      </c>
      <c r="W1111" t="s">
        <v>24287</v>
      </c>
      <c r="X1111" t="s">
        <v>3</v>
      </c>
      <c r="AA1111" s="5" t="str">
        <f>HYPERLINK("https://www.zillow.com/homes/7800-DORCHESTER-LN-DARIEN-IL-605614861_rb/","check listing")</f>
        <v>check listing</v>
      </c>
      <c r="AB1111" s="5" t="str">
        <f>HYPERLINK("https://propertylookup.dupagecounty.gov/Datalets/Datalet.aspx?UseSearch=no&amp;mode=sales&amp;pin=0927419016","sales record")</f>
        <v>sales record</v>
      </c>
      <c r="AC1111" t="s">
        <v>3</v>
      </c>
      <c r="AD1111">
        <v>41.74684</v>
      </c>
      <c r="AE1111">
        <v>-87.96256099999999</v>
      </c>
      <c r="AF1111" s="5" t="str">
        <f>HYPERLINK("https://www.google.com/maps/search/?api=1&amp;query=41.74684,-87.962561","map")</f>
        <v>map</v>
      </c>
    </row>
    <row r="1112" spans="1:32">
      <c r="A1112" t="s">
        <v>1162</v>
      </c>
      <c r="B1112" t="s">
        <v>8739</v>
      </c>
      <c r="C1112" t="s">
        <v>15201</v>
      </c>
      <c r="D1112" t="s">
        <v>16198</v>
      </c>
      <c r="E1112" t="s">
        <v>16218</v>
      </c>
      <c r="F1112" t="s">
        <v>16221</v>
      </c>
      <c r="G1112" t="s">
        <v>16241</v>
      </c>
      <c r="H1112" t="s">
        <v>16241</v>
      </c>
      <c r="I1112" t="s">
        <v>16317</v>
      </c>
      <c r="J1112" t="s">
        <v>16385</v>
      </c>
      <c r="K1112">
        <v>0.262</v>
      </c>
      <c r="L1112">
        <v>11392</v>
      </c>
      <c r="M1112">
        <v>2248</v>
      </c>
      <c r="N1112" t="s">
        <v>16393</v>
      </c>
      <c r="O1112" s="4">
        <v>69708</v>
      </c>
      <c r="P1112" s="4">
        <v>126822</v>
      </c>
      <c r="Q1112" s="4">
        <v>196530</v>
      </c>
      <c r="R1112" s="4">
        <v>589590</v>
      </c>
      <c r="S1112" t="s">
        <v>17486</v>
      </c>
      <c r="T1112" s="6">
        <v>32112</v>
      </c>
      <c r="U1112" s="4">
        <v>212505</v>
      </c>
      <c r="X1112" t="s">
        <v>3</v>
      </c>
      <c r="AA1112" s="5" t="str">
        <f>HYPERLINK("https://www.zillow.com/homes/7829-MAYFAIR-LN-DARIEN-IL-60561_rb/","check listing")</f>
        <v>check listing</v>
      </c>
      <c r="AB1112" s="5" t="str">
        <f>HYPERLINK("https://propertylookup.dupagecounty.gov/Datalets/Datalet.aspx?UseSearch=no&amp;mode=sales&amp;pin=0927419008","sales record")</f>
        <v>sales record</v>
      </c>
      <c r="AC1112" t="s">
        <v>3</v>
      </c>
      <c r="AD1112">
        <v>41.745431</v>
      </c>
      <c r="AE1112">
        <v>-87.96297800000001</v>
      </c>
      <c r="AF1112" s="5" t="str">
        <f>HYPERLINK("https://www.google.com/maps/search/?api=1&amp;query=41.745431,-87.962978","map")</f>
        <v>map</v>
      </c>
    </row>
    <row r="1113" spans="1:32">
      <c r="A1113" t="s">
        <v>1163</v>
      </c>
      <c r="B1113" t="s">
        <v>8740</v>
      </c>
      <c r="C1113" t="s">
        <v>15250</v>
      </c>
      <c r="D1113" t="s">
        <v>16198</v>
      </c>
      <c r="E1113" t="s">
        <v>16218</v>
      </c>
      <c r="F1113" t="s">
        <v>16221</v>
      </c>
      <c r="G1113" t="s">
        <v>16241</v>
      </c>
      <c r="H1113" t="s">
        <v>16241</v>
      </c>
      <c r="I1113" t="s">
        <v>16317</v>
      </c>
      <c r="J1113" t="s">
        <v>16385</v>
      </c>
      <c r="K1113">
        <v>0.261</v>
      </c>
      <c r="L1113">
        <v>11375</v>
      </c>
      <c r="M1113">
        <v>2847</v>
      </c>
      <c r="N1113" t="s">
        <v>16393</v>
      </c>
      <c r="O1113" s="4">
        <v>79426</v>
      </c>
      <c r="P1113" s="4">
        <v>111223</v>
      </c>
      <c r="Q1113" s="4">
        <v>190649</v>
      </c>
      <c r="R1113" s="4">
        <v>571947</v>
      </c>
      <c r="S1113" t="s">
        <v>17487</v>
      </c>
      <c r="T1113" s="6">
        <v>35916</v>
      </c>
      <c r="U1113" s="4">
        <v>335000</v>
      </c>
      <c r="X1113" t="s">
        <v>3</v>
      </c>
      <c r="AA1113" s="5" t="str">
        <f>HYPERLINK("https://www.zillow.com/homes/1512-PINEHURST-DR-DARIEN-IL-605615927_rb/","check listing")</f>
        <v>check listing</v>
      </c>
      <c r="AB1113" s="5" t="str">
        <f>HYPERLINK("https://propertylookup.dupagecounty.gov/Datalets/Datalet.aspx?UseSearch=no&amp;mode=sales&amp;pin=0933207018","sales record")</f>
        <v>sales record</v>
      </c>
      <c r="AC1113" t="s">
        <v>3</v>
      </c>
      <c r="AD1113">
        <v>41.737846</v>
      </c>
      <c r="AE1113">
        <v>-87.98165899999999</v>
      </c>
      <c r="AF1113" s="5" t="str">
        <f>HYPERLINK("https://www.google.com/maps/search/?api=1&amp;query=41.737846,-87.981659","map")</f>
        <v>map</v>
      </c>
    </row>
    <row r="1114" spans="1:32">
      <c r="A1114" t="s">
        <v>1164</v>
      </c>
      <c r="B1114" t="s">
        <v>8741</v>
      </c>
      <c r="C1114" t="s">
        <v>15201</v>
      </c>
      <c r="D1114" t="s">
        <v>16198</v>
      </c>
      <c r="E1114" t="s">
        <v>16218</v>
      </c>
      <c r="F1114" t="s">
        <v>16221</v>
      </c>
      <c r="G1114" t="s">
        <v>16241</v>
      </c>
      <c r="H1114" t="s">
        <v>16241</v>
      </c>
      <c r="I1114" t="s">
        <v>16317</v>
      </c>
      <c r="J1114" t="s">
        <v>16385</v>
      </c>
      <c r="K1114">
        <v>0.261</v>
      </c>
      <c r="L1114">
        <v>11351</v>
      </c>
      <c r="M1114">
        <v>2536</v>
      </c>
      <c r="N1114" t="s">
        <v>16393</v>
      </c>
      <c r="O1114" s="4">
        <v>66269</v>
      </c>
      <c r="P1114" s="4">
        <v>159018</v>
      </c>
      <c r="Q1114" s="4">
        <v>225287</v>
      </c>
      <c r="R1114" s="4">
        <v>675861</v>
      </c>
      <c r="S1114" t="s">
        <v>17488</v>
      </c>
      <c r="T1114" s="6">
        <v>32417</v>
      </c>
      <c r="U1114" s="4">
        <v>300025</v>
      </c>
      <c r="X1114" t="s">
        <v>3</v>
      </c>
      <c r="AA1114" s="5" t="str">
        <f>HYPERLINK("https://www.zillow.com/homes/6808-RED-PINE-TRAIL-DARIEN-IL-60561_rb/","check listing")</f>
        <v>check listing</v>
      </c>
      <c r="AB1114" s="5" t="str">
        <f>HYPERLINK("https://propertylookup.dupagecounty.gov/Datalets/Datalet.aspx?UseSearch=no&amp;mode=sales&amp;pin=0922301022","sales record")</f>
        <v>sales record</v>
      </c>
      <c r="AC1114" t="s">
        <v>3</v>
      </c>
      <c r="AD1114">
        <v>41.763023</v>
      </c>
      <c r="AE1114">
        <v>-87.971053</v>
      </c>
      <c r="AF1114" s="5" t="str">
        <f>HYPERLINK("https://www.google.com/maps/search/?api=1&amp;query=41.763023,-87.971053","map")</f>
        <v>map</v>
      </c>
    </row>
    <row r="1115" spans="1:32">
      <c r="A1115" t="s">
        <v>1165</v>
      </c>
      <c r="B1115" t="s">
        <v>8742</v>
      </c>
      <c r="C1115" t="s">
        <v>15252</v>
      </c>
      <c r="D1115" t="s">
        <v>16198</v>
      </c>
      <c r="E1115" t="s">
        <v>16218</v>
      </c>
      <c r="F1115" t="s">
        <v>16221</v>
      </c>
      <c r="G1115" t="s">
        <v>16241</v>
      </c>
      <c r="H1115" t="s">
        <v>16241</v>
      </c>
      <c r="I1115" t="s">
        <v>16317</v>
      </c>
      <c r="J1115" t="s">
        <v>16385</v>
      </c>
      <c r="K1115">
        <v>0.26</v>
      </c>
      <c r="L1115">
        <v>11343</v>
      </c>
      <c r="M1115">
        <v>2350</v>
      </c>
      <c r="N1115" t="s">
        <v>16393</v>
      </c>
      <c r="O1115" s="4">
        <v>74544</v>
      </c>
      <c r="P1115" s="4">
        <v>145778</v>
      </c>
      <c r="Q1115" s="4">
        <v>220322</v>
      </c>
      <c r="R1115" s="4">
        <v>660966</v>
      </c>
      <c r="S1115" t="s">
        <v>17489</v>
      </c>
      <c r="T1115" s="6">
        <v>38869</v>
      </c>
      <c r="U1115" s="4">
        <v>577500</v>
      </c>
      <c r="V1115" t="s">
        <v>23739</v>
      </c>
      <c r="W1115" t="s">
        <v>24288</v>
      </c>
      <c r="X1115" t="s">
        <v>3</v>
      </c>
      <c r="AA1115" s="5" t="str">
        <f>HYPERLINK("https://www.zillow.com/homes/1416-PINEHURST-DR-DARIEN-IL-605615926_rb/","check listing")</f>
        <v>check listing</v>
      </c>
      <c r="AB1115" s="5" t="str">
        <f>HYPERLINK("https://propertylookup.dupagecounty.gov/Datalets/Datalet.aspx?UseSearch=no&amp;mode=sales&amp;pin=0933207023","sales record")</f>
        <v>sales record</v>
      </c>
      <c r="AC1115" t="s">
        <v>3</v>
      </c>
      <c r="AD1115">
        <v>41.738383</v>
      </c>
      <c r="AE1115">
        <v>-87.980375</v>
      </c>
      <c r="AF1115" s="5" t="str">
        <f>HYPERLINK("https://www.google.com/maps/search/?api=1&amp;query=41.738383,-87.980375","map")</f>
        <v>map</v>
      </c>
    </row>
    <row r="1116" spans="1:32">
      <c r="A1116" t="s">
        <v>1166</v>
      </c>
      <c r="B1116" t="s">
        <v>8743</v>
      </c>
      <c r="C1116" t="s">
        <v>15201</v>
      </c>
      <c r="D1116" t="s">
        <v>16198</v>
      </c>
      <c r="E1116" t="s">
        <v>16218</v>
      </c>
      <c r="F1116" t="s">
        <v>16221</v>
      </c>
      <c r="G1116" t="s">
        <v>16241</v>
      </c>
      <c r="H1116" t="s">
        <v>16241</v>
      </c>
      <c r="I1116" t="s">
        <v>16317</v>
      </c>
      <c r="J1116" t="s">
        <v>16385</v>
      </c>
      <c r="K1116">
        <v>0.26</v>
      </c>
      <c r="L1116">
        <v>11337</v>
      </c>
      <c r="M1116">
        <v>2788</v>
      </c>
      <c r="N1116" t="s">
        <v>16393</v>
      </c>
      <c r="O1116" s="4">
        <v>74544</v>
      </c>
      <c r="P1116" s="4">
        <v>163197</v>
      </c>
      <c r="Q1116" s="4">
        <v>237741</v>
      </c>
      <c r="R1116" s="4">
        <v>713223</v>
      </c>
      <c r="S1116" t="s">
        <v>17490</v>
      </c>
      <c r="T1116" s="6">
        <v>32568</v>
      </c>
      <c r="U1116" s="4">
        <v>346000</v>
      </c>
      <c r="X1116" t="s">
        <v>3</v>
      </c>
      <c r="AA1116" s="5" t="str">
        <f>HYPERLINK("https://www.zillow.com/homes/1420-PINEHURST-DR-DARIEN-IL-60561_rb/","check listing")</f>
        <v>check listing</v>
      </c>
      <c r="AB1116" s="5" t="str">
        <f>HYPERLINK("https://propertylookup.dupagecounty.gov/Datalets/Datalet.aspx?UseSearch=no&amp;mode=sales&amp;pin=0933207022","sales record")</f>
        <v>sales record</v>
      </c>
      <c r="AC1116" t="s">
        <v>3</v>
      </c>
      <c r="AD1116">
        <v>41.738222</v>
      </c>
      <c r="AE1116">
        <v>-87.98058</v>
      </c>
      <c r="AF1116" s="5" t="str">
        <f>HYPERLINK("https://www.google.com/maps/search/?api=1&amp;query=41.738222,-87.98058","map")</f>
        <v>map</v>
      </c>
    </row>
    <row r="1117" spans="1:32">
      <c r="A1117" t="s">
        <v>1167</v>
      </c>
      <c r="B1117" t="s">
        <v>8744</v>
      </c>
      <c r="C1117" t="s">
        <v>15201</v>
      </c>
      <c r="D1117" t="s">
        <v>16198</v>
      </c>
      <c r="E1117" t="s">
        <v>16218</v>
      </c>
      <c r="F1117" t="s">
        <v>16221</v>
      </c>
      <c r="G1117" t="s">
        <v>16241</v>
      </c>
      <c r="H1117" t="s">
        <v>16241</v>
      </c>
      <c r="I1117" t="s">
        <v>16317</v>
      </c>
      <c r="J1117" t="s">
        <v>16385</v>
      </c>
      <c r="K1117">
        <v>0.259</v>
      </c>
      <c r="L1117">
        <v>11294</v>
      </c>
      <c r="M1117">
        <v>2082</v>
      </c>
      <c r="N1117" t="s">
        <v>16393</v>
      </c>
      <c r="O1117" s="4">
        <v>66539</v>
      </c>
      <c r="P1117" s="4">
        <v>161154</v>
      </c>
      <c r="Q1117" s="4">
        <v>227693</v>
      </c>
      <c r="R1117" s="4">
        <v>683079</v>
      </c>
      <c r="S1117" t="s">
        <v>17491</v>
      </c>
      <c r="T1117" s="6">
        <v>41821</v>
      </c>
      <c r="U1117" s="4">
        <v>450000</v>
      </c>
      <c r="V1117" t="s">
        <v>23739</v>
      </c>
      <c r="W1117" t="s">
        <v>24289</v>
      </c>
      <c r="X1117" t="s">
        <v>3</v>
      </c>
      <c r="AA1117" s="5" t="str">
        <f>HYPERLINK("https://www.zillow.com/homes/6809-SCOTCH-PINE-TR-DARIEN-IL-60561_rb/","check listing")</f>
        <v>check listing</v>
      </c>
      <c r="AB1117" s="5" t="str">
        <f>HYPERLINK("https://propertylookup.dupagecounty.gov/Datalets/Datalet.aspx?UseSearch=no&amp;mode=sales&amp;pin=0922301017","sales record")</f>
        <v>sales record</v>
      </c>
      <c r="AC1117" t="s">
        <v>3</v>
      </c>
      <c r="AD1117">
        <v>41.763054</v>
      </c>
      <c r="AE1117">
        <v>-87.96962000000001</v>
      </c>
      <c r="AF1117" s="5" t="str">
        <f>HYPERLINK("https://www.google.com/maps/search/?api=1&amp;query=41.763054,-87.96962","map")</f>
        <v>map</v>
      </c>
    </row>
    <row r="1118" spans="1:32">
      <c r="A1118" t="s">
        <v>1168</v>
      </c>
      <c r="B1118" t="s">
        <v>8745</v>
      </c>
      <c r="C1118" t="s">
        <v>15253</v>
      </c>
      <c r="D1118" t="s">
        <v>16198</v>
      </c>
      <c r="E1118" t="s">
        <v>16218</v>
      </c>
      <c r="F1118" t="s">
        <v>16221</v>
      </c>
      <c r="G1118" t="s">
        <v>16241</v>
      </c>
      <c r="H1118" t="s">
        <v>16241</v>
      </c>
      <c r="I1118" t="s">
        <v>16317</v>
      </c>
      <c r="J1118" t="s">
        <v>16385</v>
      </c>
      <c r="K1118">
        <v>0.259</v>
      </c>
      <c r="L1118">
        <v>11265</v>
      </c>
      <c r="M1118">
        <v>2213</v>
      </c>
      <c r="N1118" t="s">
        <v>16393</v>
      </c>
      <c r="O1118" s="4">
        <v>66281</v>
      </c>
      <c r="P1118" s="4">
        <v>139135</v>
      </c>
      <c r="Q1118" s="4">
        <v>205416</v>
      </c>
      <c r="R1118" s="4">
        <v>616248</v>
      </c>
      <c r="S1118" t="s">
        <v>17492</v>
      </c>
      <c r="T1118" s="6">
        <v>35247</v>
      </c>
      <c r="U1118" s="4">
        <v>315000</v>
      </c>
      <c r="X1118" t="s">
        <v>3</v>
      </c>
      <c r="AA1118" s="5" t="str">
        <f>HYPERLINK("https://www.zillow.com/homes/6808-SCOTCH-PINE-TRL-DARIEN-IL-605613895_rb/","check listing")</f>
        <v>check listing</v>
      </c>
      <c r="AB1118" s="5" t="str">
        <f>HYPERLINK("https://propertylookup.dupagecounty.gov/Datalets/Datalet.aspx?UseSearch=no&amp;mode=sales&amp;pin=0922301019","sales record")</f>
        <v>sales record</v>
      </c>
      <c r="AC1118" t="s">
        <v>3</v>
      </c>
      <c r="AD1118">
        <v>41.763042</v>
      </c>
      <c r="AE1118">
        <v>-87.97019299999999</v>
      </c>
      <c r="AF1118" s="5" t="str">
        <f>HYPERLINK("https://www.google.com/maps/search/?api=1&amp;query=41.763042,-87.970193","map")</f>
        <v>map</v>
      </c>
    </row>
    <row r="1119" spans="1:32">
      <c r="A1119" t="s">
        <v>1169</v>
      </c>
      <c r="B1119" t="s">
        <v>8746</v>
      </c>
      <c r="C1119" t="s">
        <v>15201</v>
      </c>
      <c r="D1119" t="s">
        <v>16198</v>
      </c>
      <c r="E1119" t="s">
        <v>16218</v>
      </c>
      <c r="F1119" t="s">
        <v>16221</v>
      </c>
      <c r="G1119" t="s">
        <v>16241</v>
      </c>
      <c r="H1119" t="s">
        <v>16241</v>
      </c>
      <c r="I1119" t="s">
        <v>16317</v>
      </c>
      <c r="J1119" t="s">
        <v>16385</v>
      </c>
      <c r="K1119">
        <v>0.259</v>
      </c>
      <c r="L1119">
        <v>11261</v>
      </c>
      <c r="M1119">
        <v>2105</v>
      </c>
      <c r="N1119" t="s">
        <v>16393</v>
      </c>
      <c r="O1119" s="4">
        <v>66281</v>
      </c>
      <c r="P1119" s="4">
        <v>145755</v>
      </c>
      <c r="Q1119" s="4">
        <v>212036</v>
      </c>
      <c r="R1119" s="4">
        <v>636108</v>
      </c>
      <c r="S1119" t="s">
        <v>17493</v>
      </c>
      <c r="T1119" s="6">
        <v>42552</v>
      </c>
      <c r="U1119" s="4">
        <v>468000</v>
      </c>
      <c r="V1119" t="s">
        <v>23739</v>
      </c>
      <c r="W1119" t="s">
        <v>17493</v>
      </c>
      <c r="X1119" t="s">
        <v>3</v>
      </c>
      <c r="AA1119" s="5" t="str">
        <f>HYPERLINK("https://www.zillow.com/homes/6809-RED-PINE-TR-DARIEN-IL-60561_rb/","check listing")</f>
        <v>check listing</v>
      </c>
      <c r="AB1119" s="5" t="str">
        <f>HYPERLINK("https://propertylookup.dupagecounty.gov/Datalets/Datalet.aspx?UseSearch=no&amp;mode=sales&amp;pin=0922301020","sales record")</f>
        <v>sales record</v>
      </c>
      <c r="AC1119" t="s">
        <v>3</v>
      </c>
      <c r="AD1119">
        <v>41.763036</v>
      </c>
      <c r="AE1119">
        <v>-87.970479</v>
      </c>
      <c r="AF1119" s="5" t="str">
        <f>HYPERLINK("https://www.google.com/maps/search/?api=1&amp;query=41.763036,-87.970479","map")</f>
        <v>map</v>
      </c>
    </row>
    <row r="1120" spans="1:32">
      <c r="A1120" t="s">
        <v>1170</v>
      </c>
      <c r="B1120" t="s">
        <v>8747</v>
      </c>
      <c r="C1120" t="s">
        <v>15201</v>
      </c>
      <c r="D1120" t="s">
        <v>16198</v>
      </c>
      <c r="E1120" t="s">
        <v>16218</v>
      </c>
      <c r="F1120" t="s">
        <v>16221</v>
      </c>
      <c r="G1120" t="s">
        <v>16241</v>
      </c>
      <c r="H1120" t="s">
        <v>16241</v>
      </c>
      <c r="I1120" t="s">
        <v>16317</v>
      </c>
      <c r="J1120" t="s">
        <v>16385</v>
      </c>
      <c r="K1120">
        <v>0.258</v>
      </c>
      <c r="L1120">
        <v>11258</v>
      </c>
      <c r="M1120">
        <v>1854</v>
      </c>
      <c r="N1120" t="s">
        <v>16393</v>
      </c>
      <c r="O1120" s="4">
        <v>66281</v>
      </c>
      <c r="P1120" s="4">
        <v>128571</v>
      </c>
      <c r="Q1120" s="4">
        <v>194852</v>
      </c>
      <c r="R1120" s="4">
        <v>584556</v>
      </c>
      <c r="S1120" t="s">
        <v>17494</v>
      </c>
      <c r="T1120" s="6">
        <v>38991</v>
      </c>
      <c r="U1120" s="4">
        <v>506300</v>
      </c>
      <c r="V1120" t="s">
        <v>23738</v>
      </c>
      <c r="W1120" t="s">
        <v>24290</v>
      </c>
      <c r="X1120" t="s">
        <v>3</v>
      </c>
      <c r="AA1120" s="5" t="str">
        <f>HYPERLINK("https://www.zillow.com/homes/6813-RED-PINE-TR-DARIEN-IL-60561_rb/","check listing")</f>
        <v>check listing</v>
      </c>
      <c r="AB1120" s="5" t="str">
        <f>HYPERLINK("https://propertylookup.dupagecounty.gov/Datalets/Datalet.aspx?UseSearch=no&amp;mode=sales&amp;pin=0922301021","sales record")</f>
        <v>sales record</v>
      </c>
      <c r="AC1120" t="s">
        <v>3</v>
      </c>
      <c r="AD1120">
        <v>41.763029</v>
      </c>
      <c r="AE1120">
        <v>-87.970766</v>
      </c>
      <c r="AF1120" s="5" t="str">
        <f>HYPERLINK("https://www.google.com/maps/search/?api=1&amp;query=41.763029,-87.970766","map")</f>
        <v>map</v>
      </c>
    </row>
    <row r="1121" spans="1:32">
      <c r="A1121" t="s">
        <v>1171</v>
      </c>
      <c r="B1121" t="s">
        <v>8748</v>
      </c>
      <c r="C1121" t="s">
        <v>15201</v>
      </c>
      <c r="D1121" t="s">
        <v>16198</v>
      </c>
      <c r="E1121" t="s">
        <v>16218</v>
      </c>
      <c r="F1121" t="s">
        <v>16221</v>
      </c>
      <c r="G1121" t="s">
        <v>16241</v>
      </c>
      <c r="H1121" t="s">
        <v>16241</v>
      </c>
      <c r="I1121" t="s">
        <v>16317</v>
      </c>
      <c r="J1121" t="s">
        <v>16385</v>
      </c>
      <c r="K1121">
        <v>0.258</v>
      </c>
      <c r="L1121">
        <v>11257</v>
      </c>
      <c r="M1121">
        <v>2583</v>
      </c>
      <c r="N1121" t="s">
        <v>16393</v>
      </c>
      <c r="O1121" s="4">
        <v>66281</v>
      </c>
      <c r="P1121" s="4">
        <v>127186</v>
      </c>
      <c r="Q1121" s="4">
        <v>193467</v>
      </c>
      <c r="R1121" s="4">
        <v>580401</v>
      </c>
      <c r="S1121" t="s">
        <v>17495</v>
      </c>
      <c r="T1121" s="6">
        <v>35582</v>
      </c>
      <c r="U1121" s="4">
        <v>297000</v>
      </c>
      <c r="X1121" t="s">
        <v>3</v>
      </c>
      <c r="AA1121" s="5" t="str">
        <f>HYPERLINK("https://www.zillow.com/homes/6805-WHITE-PINE-TR-DARIEN-IL-60561_rb/","check listing")</f>
        <v>check listing</v>
      </c>
      <c r="AB1121" s="5" t="str">
        <f>HYPERLINK("https://propertylookup.dupagecounty.gov/Datalets/Datalet.aspx?UseSearch=no&amp;mode=sales&amp;pin=0922301024","sales record")</f>
        <v>sales record</v>
      </c>
      <c r="AC1121" t="s">
        <v>3</v>
      </c>
      <c r="AD1121">
        <v>41.763011</v>
      </c>
      <c r="AE1121">
        <v>-87.971625</v>
      </c>
      <c r="AF1121" s="5" t="str">
        <f>HYPERLINK("https://www.google.com/maps/search/?api=1&amp;query=41.763011,-87.971625","map")</f>
        <v>map</v>
      </c>
    </row>
    <row r="1122" spans="1:32">
      <c r="A1122" t="s">
        <v>1172</v>
      </c>
      <c r="B1122" t="s">
        <v>8749</v>
      </c>
      <c r="C1122" t="s">
        <v>15253</v>
      </c>
      <c r="D1122" t="s">
        <v>16198</v>
      </c>
      <c r="E1122" t="s">
        <v>16218</v>
      </c>
      <c r="F1122" t="s">
        <v>16221</v>
      </c>
      <c r="G1122" t="s">
        <v>16241</v>
      </c>
      <c r="H1122" t="s">
        <v>16241</v>
      </c>
      <c r="I1122" t="s">
        <v>16317</v>
      </c>
      <c r="J1122" t="s">
        <v>16385</v>
      </c>
      <c r="K1122">
        <v>0.258</v>
      </c>
      <c r="L1122">
        <v>11257</v>
      </c>
      <c r="M1122">
        <v>2390</v>
      </c>
      <c r="N1122" t="s">
        <v>16393</v>
      </c>
      <c r="O1122" s="4">
        <v>66281</v>
      </c>
      <c r="P1122" s="4">
        <v>148642</v>
      </c>
      <c r="Q1122" s="4">
        <v>214923</v>
      </c>
      <c r="R1122" s="4">
        <v>644769</v>
      </c>
      <c r="S1122" t="s">
        <v>17496</v>
      </c>
      <c r="T1122" s="6">
        <v>44409</v>
      </c>
      <c r="U1122" s="4">
        <v>539000</v>
      </c>
      <c r="V1122" t="s">
        <v>23739</v>
      </c>
      <c r="W1122" t="s">
        <v>24291</v>
      </c>
      <c r="X1122" t="s">
        <v>3</v>
      </c>
      <c r="AA1122" s="5" t="str">
        <f>HYPERLINK("https://www.zillow.com/homes/6813-SCOTCH-PINE-TRL-DARIEN-IL-605613895_rb/","check listing")</f>
        <v>check listing</v>
      </c>
      <c r="AB1122" s="5" t="str">
        <f>HYPERLINK("https://propertylookup.dupagecounty.gov/Datalets/Datalet.aspx?UseSearch=no&amp;mode=sales&amp;pin=0922301018","sales record")</f>
        <v>sales record</v>
      </c>
      <c r="AC1122" t="s">
        <v>3</v>
      </c>
      <c r="AD1122">
        <v>41.763048</v>
      </c>
      <c r="AE1122">
        <v>-87.96990700000001</v>
      </c>
      <c r="AF1122" s="5" t="str">
        <f>HYPERLINK("https://www.google.com/maps/search/?api=1&amp;query=41.763048,-87.969907","map")</f>
        <v>map</v>
      </c>
    </row>
    <row r="1123" spans="1:32">
      <c r="A1123" t="s">
        <v>1173</v>
      </c>
      <c r="B1123" t="s">
        <v>8750</v>
      </c>
      <c r="C1123" t="s">
        <v>15201</v>
      </c>
      <c r="D1123" t="s">
        <v>16198</v>
      </c>
      <c r="E1123" t="s">
        <v>16218</v>
      </c>
      <c r="F1123" t="s">
        <v>16221</v>
      </c>
      <c r="G1123" t="s">
        <v>16241</v>
      </c>
      <c r="H1123" t="s">
        <v>16241</v>
      </c>
      <c r="I1123" t="s">
        <v>16317</v>
      </c>
      <c r="J1123" t="s">
        <v>16385</v>
      </c>
      <c r="K1123">
        <v>0.258</v>
      </c>
      <c r="L1123">
        <v>11242</v>
      </c>
      <c r="M1123">
        <v>2168</v>
      </c>
      <c r="N1123" t="s">
        <v>16393</v>
      </c>
      <c r="O1123" s="4">
        <v>67231</v>
      </c>
      <c r="P1123" s="4">
        <v>100519</v>
      </c>
      <c r="Q1123" s="4">
        <v>167750</v>
      </c>
      <c r="R1123" s="4">
        <v>503250</v>
      </c>
      <c r="S1123" t="s">
        <v>17497</v>
      </c>
      <c r="T1123" s="6">
        <v>45068</v>
      </c>
      <c r="U1123" s="4">
        <v>470000</v>
      </c>
      <c r="V1123" t="s">
        <v>23739</v>
      </c>
      <c r="W1123" t="s">
        <v>24292</v>
      </c>
      <c r="X1123" t="s">
        <v>3</v>
      </c>
      <c r="AA1123" s="5" t="str">
        <f>HYPERLINK("https://www.zillow.com/homes/8128-PORTSMOUTH-DR-DARIEN-IL-60561_rb/","check listing")</f>
        <v>check listing</v>
      </c>
      <c r="AB1123" s="5" t="str">
        <f>HYPERLINK("https://propertylookup.dupagecounty.gov/Datalets/Datalet.aspx?UseSearch=no&amp;mode=sales&amp;pin=0934210023","sales record")</f>
        <v>sales record</v>
      </c>
      <c r="AC1123" t="s">
        <v>3</v>
      </c>
      <c r="AD1123">
        <v>41.739508</v>
      </c>
      <c r="AE1123">
        <v>-87.961958</v>
      </c>
      <c r="AF1123" s="5" t="str">
        <f>HYPERLINK("https://www.google.com/maps/search/?api=1&amp;query=41.739508,-87.961958","map")</f>
        <v>map</v>
      </c>
    </row>
    <row r="1124" spans="1:32">
      <c r="A1124" t="s">
        <v>1174</v>
      </c>
      <c r="B1124" t="s">
        <v>8751</v>
      </c>
      <c r="C1124" t="s">
        <v>15201</v>
      </c>
      <c r="D1124" t="s">
        <v>16198</v>
      </c>
      <c r="E1124" t="s">
        <v>16218</v>
      </c>
      <c r="F1124" t="s">
        <v>16221</v>
      </c>
      <c r="G1124" t="s">
        <v>16241</v>
      </c>
      <c r="H1124" t="s">
        <v>16241</v>
      </c>
      <c r="I1124" t="s">
        <v>16317</v>
      </c>
      <c r="J1124" t="s">
        <v>16385</v>
      </c>
      <c r="K1124">
        <v>0.257</v>
      </c>
      <c r="L1124">
        <v>11213</v>
      </c>
      <c r="M1124">
        <v>2081</v>
      </c>
      <c r="N1124" t="s">
        <v>16393</v>
      </c>
      <c r="O1124" s="4">
        <v>75319</v>
      </c>
      <c r="P1124" s="4">
        <v>135625</v>
      </c>
      <c r="Q1124" s="4">
        <v>210944</v>
      </c>
      <c r="R1124" s="4">
        <v>632832</v>
      </c>
      <c r="S1124" t="s">
        <v>17498</v>
      </c>
      <c r="T1124" s="6">
        <v>32690</v>
      </c>
      <c r="U1124" s="4">
        <v>282500</v>
      </c>
      <c r="X1124" t="s">
        <v>3</v>
      </c>
      <c r="AA1124" s="5" t="str">
        <f>HYPERLINK("https://www.zillow.com/homes/1500-PINEHURST-DR-DARIEN-IL-60561_rb/","check listing")</f>
        <v>check listing</v>
      </c>
      <c r="AB1124" s="5" t="str">
        <f>HYPERLINK("https://propertylookup.dupagecounty.gov/Datalets/Datalet.aspx?UseSearch=no&amp;mode=sales&amp;pin=0933207021","sales record")</f>
        <v>sales record</v>
      </c>
      <c r="AC1124" t="s">
        <v>3</v>
      </c>
      <c r="AD1124">
        <v>41.738071</v>
      </c>
      <c r="AE1124">
        <v>-87.980782</v>
      </c>
      <c r="AF1124" s="5" t="str">
        <f>HYPERLINK("https://www.google.com/maps/search/?api=1&amp;query=41.738071,-87.980782","map")</f>
        <v>map</v>
      </c>
    </row>
    <row r="1125" spans="1:32">
      <c r="A1125" t="s">
        <v>1175</v>
      </c>
      <c r="B1125" t="s">
        <v>8752</v>
      </c>
      <c r="C1125" t="s">
        <v>15201</v>
      </c>
      <c r="D1125" t="s">
        <v>16198</v>
      </c>
      <c r="E1125" t="s">
        <v>16218</v>
      </c>
      <c r="F1125" t="s">
        <v>16221</v>
      </c>
      <c r="G1125" t="s">
        <v>16241</v>
      </c>
      <c r="H1125" t="s">
        <v>16241</v>
      </c>
      <c r="I1125" t="s">
        <v>16317</v>
      </c>
      <c r="J1125" t="s">
        <v>16385</v>
      </c>
      <c r="K1125">
        <v>0.257</v>
      </c>
      <c r="L1125">
        <v>11195</v>
      </c>
      <c r="M1125">
        <v>2878</v>
      </c>
      <c r="N1125" t="s">
        <v>16393</v>
      </c>
      <c r="O1125" s="4">
        <v>69731</v>
      </c>
      <c r="P1125" s="4">
        <v>112867</v>
      </c>
      <c r="Q1125" s="4">
        <v>182598</v>
      </c>
      <c r="R1125" s="4">
        <v>547794</v>
      </c>
      <c r="S1125" t="s">
        <v>17499</v>
      </c>
      <c r="T1125" s="6">
        <v>32112</v>
      </c>
      <c r="U1125" s="4">
        <v>256400</v>
      </c>
      <c r="X1125" t="s">
        <v>3</v>
      </c>
      <c r="AA1125" s="5" t="str">
        <f>HYPERLINK("https://www.zillow.com/homes/1543-PINEHURST-DR-DARIEN-IL-60561_rb/","check listing")</f>
        <v>check listing</v>
      </c>
      <c r="AB1125" s="5" t="str">
        <f>HYPERLINK("https://propertylookup.dupagecounty.gov/Datalets/Datalet.aspx?UseSearch=no&amp;mode=sales&amp;pin=0933208004","sales record")</f>
        <v>sales record</v>
      </c>
      <c r="AC1125" t="s">
        <v>3</v>
      </c>
      <c r="AD1125">
        <v>41.737896</v>
      </c>
      <c r="AE1125">
        <v>-87.982857</v>
      </c>
      <c r="AF1125" s="5" t="str">
        <f>HYPERLINK("https://www.google.com/maps/search/?api=1&amp;query=41.737896,-87.982857","map")</f>
        <v>map</v>
      </c>
    </row>
    <row r="1126" spans="1:32">
      <c r="A1126" t="s">
        <v>1176</v>
      </c>
      <c r="B1126" t="s">
        <v>8753</v>
      </c>
      <c r="C1126" t="s">
        <v>15234</v>
      </c>
      <c r="D1126" t="s">
        <v>16198</v>
      </c>
      <c r="E1126" t="s">
        <v>16218</v>
      </c>
      <c r="F1126" t="s">
        <v>16221</v>
      </c>
      <c r="G1126" t="s">
        <v>16241</v>
      </c>
      <c r="H1126" t="s">
        <v>16241</v>
      </c>
      <c r="I1126" t="s">
        <v>16317</v>
      </c>
      <c r="J1126" t="s">
        <v>16385</v>
      </c>
      <c r="K1126">
        <v>0.256</v>
      </c>
      <c r="L1126">
        <v>11164</v>
      </c>
      <c r="M1126">
        <v>2339</v>
      </c>
      <c r="N1126" t="s">
        <v>16393</v>
      </c>
      <c r="O1126" s="4">
        <v>66281</v>
      </c>
      <c r="P1126" s="4">
        <v>144874</v>
      </c>
      <c r="Q1126" s="4">
        <v>211155</v>
      </c>
      <c r="R1126" s="4">
        <v>633465</v>
      </c>
      <c r="S1126" t="s">
        <v>17500</v>
      </c>
      <c r="T1126" s="6">
        <v>43132</v>
      </c>
      <c r="U1126" s="4">
        <v>485000</v>
      </c>
      <c r="V1126" t="s">
        <v>23739</v>
      </c>
      <c r="W1126" t="s">
        <v>24293</v>
      </c>
      <c r="X1126" t="s">
        <v>3</v>
      </c>
      <c r="AA1126" s="5" t="str">
        <f>HYPERLINK("https://www.zillow.com/homes/6804-RED-PINE-TRL-DARIEN-IL-605613894_rb/","check listing")</f>
        <v>check listing</v>
      </c>
      <c r="AB1126" s="5" t="str">
        <f>HYPERLINK("https://propertylookup.dupagecounty.gov/Datalets/Datalet.aspx?UseSearch=no&amp;mode=sales&amp;pin=0922301023","sales record")</f>
        <v>sales record</v>
      </c>
      <c r="AC1126" t="s">
        <v>3</v>
      </c>
      <c r="AD1126">
        <v>41.763017</v>
      </c>
      <c r="AE1126">
        <v>-87.97134</v>
      </c>
      <c r="AF1126" s="5" t="str">
        <f>HYPERLINK("https://www.google.com/maps/search/?api=1&amp;query=41.763017,-87.97134","map")</f>
        <v>map</v>
      </c>
    </row>
    <row r="1127" spans="1:32">
      <c r="A1127" t="s">
        <v>1177</v>
      </c>
      <c r="B1127" t="s">
        <v>8754</v>
      </c>
      <c r="C1127" t="s">
        <v>15201</v>
      </c>
      <c r="D1127" t="s">
        <v>16198</v>
      </c>
      <c r="E1127" t="s">
        <v>16218</v>
      </c>
      <c r="F1127" t="s">
        <v>16221</v>
      </c>
      <c r="G1127" t="s">
        <v>16241</v>
      </c>
      <c r="H1127" t="s">
        <v>16241</v>
      </c>
      <c r="I1127" t="s">
        <v>16317</v>
      </c>
      <c r="J1127" t="s">
        <v>16385</v>
      </c>
      <c r="K1127">
        <v>0.255</v>
      </c>
      <c r="L1127">
        <v>11118</v>
      </c>
      <c r="M1127">
        <v>2017</v>
      </c>
      <c r="N1127" t="s">
        <v>16393</v>
      </c>
      <c r="O1127" s="4">
        <v>62067</v>
      </c>
      <c r="P1127" s="4">
        <v>168889</v>
      </c>
      <c r="Q1127" s="4">
        <v>230956</v>
      </c>
      <c r="R1127" s="4">
        <v>692868</v>
      </c>
      <c r="S1127" t="s">
        <v>17501</v>
      </c>
      <c r="T1127" s="6">
        <v>43556</v>
      </c>
      <c r="U1127" s="4">
        <v>532500</v>
      </c>
      <c r="V1127" t="s">
        <v>23739</v>
      </c>
      <c r="W1127" t="s">
        <v>24294</v>
      </c>
      <c r="X1127" t="s">
        <v>3</v>
      </c>
      <c r="AA1127" s="5" t="str">
        <f>HYPERLINK("https://www.zillow.com/homes/1400-PINE-COVE-CT-DARIEN-IL-60561_rb/","check listing")</f>
        <v>check listing</v>
      </c>
      <c r="AB1127" s="5" t="str">
        <f>HYPERLINK("https://propertylookup.dupagecounty.gov/Datalets/Datalet.aspx?UseSearch=no&amp;mode=sales&amp;pin=0933208022","sales record")</f>
        <v>sales record</v>
      </c>
      <c r="AC1127" t="s">
        <v>3</v>
      </c>
      <c r="AD1127">
        <v>41.737892</v>
      </c>
      <c r="AE1127">
        <v>-87.97886</v>
      </c>
      <c r="AF1127" s="5" t="str">
        <f>HYPERLINK("https://www.google.com/maps/search/?api=1&amp;query=41.737892,-87.97886","map")</f>
        <v>map</v>
      </c>
    </row>
    <row r="1128" spans="1:32">
      <c r="A1128" t="s">
        <v>1178</v>
      </c>
      <c r="B1128" t="s">
        <v>8755</v>
      </c>
      <c r="C1128" t="s">
        <v>15201</v>
      </c>
      <c r="D1128" t="s">
        <v>16198</v>
      </c>
      <c r="E1128" t="s">
        <v>16218</v>
      </c>
      <c r="F1128" t="s">
        <v>16221</v>
      </c>
      <c r="G1128" t="s">
        <v>16241</v>
      </c>
      <c r="H1128" t="s">
        <v>16241</v>
      </c>
      <c r="I1128" t="s">
        <v>16317</v>
      </c>
      <c r="J1128" t="s">
        <v>16385</v>
      </c>
      <c r="K1128">
        <v>0.254</v>
      </c>
      <c r="L1128">
        <v>11066</v>
      </c>
      <c r="M1128">
        <v>2177</v>
      </c>
      <c r="N1128" t="s">
        <v>16393</v>
      </c>
      <c r="O1128" s="4">
        <v>58452</v>
      </c>
      <c r="P1128" s="4">
        <v>94474</v>
      </c>
      <c r="Q1128" s="4">
        <v>152926</v>
      </c>
      <c r="R1128" s="4">
        <v>458778</v>
      </c>
      <c r="S1128" t="s">
        <v>17502</v>
      </c>
      <c r="T1128" s="6">
        <v>37742</v>
      </c>
      <c r="U1128" s="4">
        <v>264500</v>
      </c>
      <c r="V1128" t="s">
        <v>23739</v>
      </c>
      <c r="W1128" t="s">
        <v>24295</v>
      </c>
      <c r="X1128" t="s">
        <v>3</v>
      </c>
      <c r="AA1128" s="5" t="str">
        <f>HYPERLINK("https://www.zillow.com/homes/1913-GORDON-CT-DARIEN-IL-60561_rb/","check listing")</f>
        <v>check listing</v>
      </c>
      <c r="AB1128" s="5" t="str">
        <f>HYPERLINK("https://propertylookup.dupagecounty.gov/Datalets/Datalet.aspx?UseSearch=no&amp;mode=sales&amp;pin=0928315041","sales record")</f>
        <v>sales record</v>
      </c>
      <c r="AC1128" t="s">
        <v>3</v>
      </c>
      <c r="AD1128">
        <v>41.747264</v>
      </c>
      <c r="AE1128">
        <v>-87.99111600000001</v>
      </c>
      <c r="AF1128" s="5" t="str">
        <f>HYPERLINK("https://www.google.com/maps/search/?api=1&amp;query=41.747264,-87.991116","map")</f>
        <v>map</v>
      </c>
    </row>
    <row r="1129" spans="1:32">
      <c r="A1129" t="s">
        <v>1179</v>
      </c>
      <c r="B1129" t="s">
        <v>8756</v>
      </c>
      <c r="C1129" t="s">
        <v>15228</v>
      </c>
      <c r="D1129" t="s">
        <v>16198</v>
      </c>
      <c r="E1129" t="s">
        <v>16218</v>
      </c>
      <c r="F1129" t="s">
        <v>16221</v>
      </c>
      <c r="G1129" t="s">
        <v>16241</v>
      </c>
      <c r="H1129" t="s">
        <v>16241</v>
      </c>
      <c r="I1129" t="s">
        <v>16317</v>
      </c>
      <c r="J1129" t="s">
        <v>16385</v>
      </c>
      <c r="K1129">
        <v>0.253</v>
      </c>
      <c r="L1129">
        <v>11007</v>
      </c>
      <c r="M1129">
        <v>2756</v>
      </c>
      <c r="N1129" t="s">
        <v>16393</v>
      </c>
      <c r="O1129" s="4">
        <v>67373</v>
      </c>
      <c r="P1129" s="4">
        <v>136282</v>
      </c>
      <c r="Q1129" s="4">
        <v>203655</v>
      </c>
      <c r="R1129" s="4">
        <v>610965</v>
      </c>
      <c r="S1129" t="s">
        <v>17503</v>
      </c>
      <c r="T1129" s="6">
        <v>43525</v>
      </c>
      <c r="U1129" s="4">
        <v>403000</v>
      </c>
      <c r="V1129" t="s">
        <v>16232</v>
      </c>
      <c r="W1129" t="s">
        <v>24296</v>
      </c>
      <c r="X1129" t="s">
        <v>3</v>
      </c>
      <c r="AA1129" s="5" t="str">
        <f>HYPERLINK("https://www.zillow.com/homes/1527-PINEHURST-DR-DARIEN-IL-605615925_rb/","check listing")</f>
        <v>check listing</v>
      </c>
      <c r="AB1129" s="5" t="str">
        <f>HYPERLINK("https://propertylookup.dupagecounty.gov/Datalets/Datalet.aspx?UseSearch=no&amp;mode=sales&amp;pin=0933208008","sales record")</f>
        <v>sales record</v>
      </c>
      <c r="AC1129" t="s">
        <v>3</v>
      </c>
      <c r="AD1129">
        <v>41.737249</v>
      </c>
      <c r="AE1129">
        <v>-87.982435</v>
      </c>
      <c r="AF1129" s="5" t="str">
        <f>HYPERLINK("https://www.google.com/maps/search/?api=1&amp;query=41.737249,-87.982435","map")</f>
        <v>map</v>
      </c>
    </row>
    <row r="1130" spans="1:32">
      <c r="A1130" t="s">
        <v>1180</v>
      </c>
      <c r="B1130" t="s">
        <v>8757</v>
      </c>
      <c r="C1130" t="s">
        <v>15201</v>
      </c>
      <c r="D1130" t="s">
        <v>16198</v>
      </c>
      <c r="E1130" t="s">
        <v>16218</v>
      </c>
      <c r="F1130" t="s">
        <v>16221</v>
      </c>
      <c r="G1130" t="s">
        <v>16241</v>
      </c>
      <c r="H1130" t="s">
        <v>16241</v>
      </c>
      <c r="I1130" t="s">
        <v>16317</v>
      </c>
      <c r="J1130" t="s">
        <v>16385</v>
      </c>
      <c r="K1130">
        <v>0.251</v>
      </c>
      <c r="L1130">
        <v>10953</v>
      </c>
      <c r="M1130">
        <v>2449</v>
      </c>
      <c r="N1130" t="s">
        <v>16393</v>
      </c>
      <c r="O1130" s="4">
        <v>73159</v>
      </c>
      <c r="P1130" s="4">
        <v>148396</v>
      </c>
      <c r="Q1130" s="4">
        <v>221555</v>
      </c>
      <c r="R1130" s="4">
        <v>664665</v>
      </c>
      <c r="S1130" t="s">
        <v>17504</v>
      </c>
      <c r="T1130" s="6">
        <v>39234</v>
      </c>
      <c r="U1130" s="4">
        <v>665000</v>
      </c>
      <c r="V1130" t="s">
        <v>23739</v>
      </c>
      <c r="W1130" t="s">
        <v>24297</v>
      </c>
      <c r="X1130" t="s">
        <v>3</v>
      </c>
      <c r="AA1130" s="5" t="str">
        <f>HYPERLINK("https://www.zillow.com/homes/1535-PINEHURST-DR-DARIEN-IL-60561_rb/","check listing")</f>
        <v>check listing</v>
      </c>
      <c r="AB1130" s="5" t="str">
        <f>HYPERLINK("https://propertylookup.dupagecounty.gov/Datalets/Datalet.aspx?UseSearch=no&amp;mode=sales&amp;pin=0933208006","sales record")</f>
        <v>sales record</v>
      </c>
      <c r="AC1130" t="s">
        <v>3</v>
      </c>
      <c r="AD1130">
        <v>41.737351</v>
      </c>
      <c r="AE1130">
        <v>-87.983007</v>
      </c>
      <c r="AF1130" s="5" t="str">
        <f>HYPERLINK("https://www.google.com/maps/search/?api=1&amp;query=41.737351,-87.983007","map")</f>
        <v>map</v>
      </c>
    </row>
    <row r="1131" spans="1:32">
      <c r="A1131" t="s">
        <v>1181</v>
      </c>
      <c r="B1131" t="s">
        <v>8758</v>
      </c>
      <c r="C1131" t="s">
        <v>15201</v>
      </c>
      <c r="D1131" t="s">
        <v>16198</v>
      </c>
      <c r="E1131" t="s">
        <v>16218</v>
      </c>
      <c r="F1131" t="s">
        <v>16221</v>
      </c>
      <c r="G1131" t="s">
        <v>16241</v>
      </c>
      <c r="H1131" t="s">
        <v>16241</v>
      </c>
      <c r="I1131" t="s">
        <v>16317</v>
      </c>
      <c r="J1131" t="s">
        <v>16385</v>
      </c>
      <c r="K1131">
        <v>0.251</v>
      </c>
      <c r="L1131">
        <v>10949</v>
      </c>
      <c r="M1131">
        <v>2041</v>
      </c>
      <c r="N1131" t="s">
        <v>16393</v>
      </c>
      <c r="O1131" s="4">
        <v>58311</v>
      </c>
      <c r="P1131" s="4">
        <v>83100</v>
      </c>
      <c r="Q1131" s="4">
        <v>141411</v>
      </c>
      <c r="R1131" s="4">
        <v>424233</v>
      </c>
      <c r="S1131" t="s">
        <v>17505</v>
      </c>
      <c r="T1131" s="6">
        <v>39326</v>
      </c>
      <c r="U1131" s="4">
        <v>290000</v>
      </c>
      <c r="V1131" t="s">
        <v>23738</v>
      </c>
      <c r="W1131" t="s">
        <v>24298</v>
      </c>
      <c r="X1131" t="s">
        <v>3</v>
      </c>
      <c r="AA1131" s="5" t="str">
        <f>HYPERLINK("https://www.zillow.com/homes/1913-CENTER-CIR-DARIEN-IL-60561_rb/","check listing")</f>
        <v>check listing</v>
      </c>
      <c r="AB1131" s="5" t="str">
        <f>HYPERLINK("https://propertylookup.dupagecounty.gov/Datalets/Datalet.aspx?UseSearch=no&amp;mode=sales&amp;pin=0928315048","sales record")</f>
        <v>sales record</v>
      </c>
      <c r="AC1131" t="s">
        <v>3</v>
      </c>
      <c r="AD1131">
        <v>41.746253</v>
      </c>
      <c r="AE1131">
        <v>-87.99108200000001</v>
      </c>
      <c r="AF1131" s="5" t="str">
        <f>HYPERLINK("https://www.google.com/maps/search/?api=1&amp;query=41.746253,-87.991082","map")</f>
        <v>map</v>
      </c>
    </row>
    <row r="1132" spans="1:32">
      <c r="A1132" t="s">
        <v>1182</v>
      </c>
      <c r="B1132" t="s">
        <v>8759</v>
      </c>
      <c r="C1132" t="s">
        <v>15201</v>
      </c>
      <c r="D1132" t="s">
        <v>16198</v>
      </c>
      <c r="E1132" t="s">
        <v>16218</v>
      </c>
      <c r="F1132" t="s">
        <v>16221</v>
      </c>
      <c r="G1132" t="s">
        <v>16241</v>
      </c>
      <c r="H1132" t="s">
        <v>16241</v>
      </c>
      <c r="I1132" t="s">
        <v>16317</v>
      </c>
      <c r="J1132" t="s">
        <v>16385</v>
      </c>
      <c r="K1132">
        <v>0.251</v>
      </c>
      <c r="L1132">
        <v>10945</v>
      </c>
      <c r="M1132">
        <v>1942</v>
      </c>
      <c r="N1132" t="s">
        <v>16393</v>
      </c>
      <c r="O1132" s="4">
        <v>73136</v>
      </c>
      <c r="P1132" s="4">
        <v>136224</v>
      </c>
      <c r="Q1132" s="4">
        <v>209360</v>
      </c>
      <c r="R1132" s="4">
        <v>628080</v>
      </c>
      <c r="S1132" t="s">
        <v>17506</v>
      </c>
      <c r="T1132" s="6">
        <v>34335</v>
      </c>
      <c r="U1132" s="4">
        <v>380000</v>
      </c>
      <c r="X1132" t="s">
        <v>3</v>
      </c>
      <c r="AA1132" s="5" t="str">
        <f>HYPERLINK("https://www.zillow.com/homes/1555-PINEHURST-DR-DARIEN-IL-60561_rb/","check listing")</f>
        <v>check listing</v>
      </c>
      <c r="AB1132" s="5" t="str">
        <f>HYPERLINK("https://propertylookup.dupagecounty.gov/Datalets/Datalet.aspx?UseSearch=no&amp;mode=sales&amp;pin=0933208001","sales record")</f>
        <v>sales record</v>
      </c>
      <c r="AC1132" t="s">
        <v>3</v>
      </c>
      <c r="AD1132">
        <v>41.738569</v>
      </c>
      <c r="AE1132">
        <v>-87.98290799999999</v>
      </c>
      <c r="AF1132" s="5" t="str">
        <f>HYPERLINK("https://www.google.com/maps/search/?api=1&amp;query=41.738569,-87.982908","map")</f>
        <v>map</v>
      </c>
    </row>
    <row r="1133" spans="1:32">
      <c r="A1133" t="s">
        <v>1183</v>
      </c>
      <c r="B1133" t="s">
        <v>8760</v>
      </c>
      <c r="C1133" t="s">
        <v>15254</v>
      </c>
      <c r="D1133" t="s">
        <v>16198</v>
      </c>
      <c r="E1133" t="s">
        <v>16218</v>
      </c>
      <c r="F1133" t="s">
        <v>16221</v>
      </c>
      <c r="G1133" t="s">
        <v>16241</v>
      </c>
      <c r="H1133" t="s">
        <v>16241</v>
      </c>
      <c r="I1133" t="s">
        <v>16317</v>
      </c>
      <c r="J1133" t="s">
        <v>16385</v>
      </c>
      <c r="K1133">
        <v>0.251</v>
      </c>
      <c r="L1133">
        <v>10912</v>
      </c>
      <c r="M1133">
        <v>1904</v>
      </c>
      <c r="N1133" t="s">
        <v>16393</v>
      </c>
      <c r="O1133" s="4">
        <v>60952</v>
      </c>
      <c r="P1133" s="4">
        <v>107984</v>
      </c>
      <c r="Q1133" s="4">
        <v>168936</v>
      </c>
      <c r="R1133" s="4">
        <v>506808</v>
      </c>
      <c r="S1133" t="s">
        <v>17507</v>
      </c>
      <c r="T1133" s="6">
        <v>45922</v>
      </c>
      <c r="U1133" s="4">
        <v>592500</v>
      </c>
      <c r="V1133" t="s">
        <v>23739</v>
      </c>
      <c r="W1133" t="s">
        <v>24299</v>
      </c>
      <c r="X1133" t="s">
        <v>3</v>
      </c>
      <c r="AA1133" s="5" t="str">
        <f>HYPERLINK("https://www.zillow.com/homes/7704-QUEENS-CT-DOWNERS-GROVE-IL-60516_rb/","check listing")</f>
        <v>check listing</v>
      </c>
      <c r="AB1133" s="5" t="str">
        <f>HYPERLINK("https://propertylookup.dupagecounty.gov/Datalets/Datalet.aspx?UseSearch=no&amp;mode=sales&amp;pin=0928305004","sales record")</f>
        <v>sales record</v>
      </c>
      <c r="AC1133" t="s">
        <v>3</v>
      </c>
      <c r="AD1133">
        <v>41.747792</v>
      </c>
      <c r="AE1133">
        <v>-87.98923499999999</v>
      </c>
      <c r="AF1133" s="5" t="str">
        <f>HYPERLINK("https://www.google.com/maps/search/?api=1&amp;query=41.747792,-87.989235","map")</f>
        <v>map</v>
      </c>
    </row>
    <row r="1134" spans="1:32">
      <c r="A1134" t="s">
        <v>1184</v>
      </c>
      <c r="B1134" t="s">
        <v>8761</v>
      </c>
      <c r="C1134" t="s">
        <v>15201</v>
      </c>
      <c r="D1134" t="s">
        <v>16198</v>
      </c>
      <c r="E1134" t="s">
        <v>16218</v>
      </c>
      <c r="F1134" t="s">
        <v>16221</v>
      </c>
      <c r="G1134" t="s">
        <v>16241</v>
      </c>
      <c r="H1134" t="s">
        <v>16241</v>
      </c>
      <c r="I1134" t="s">
        <v>16317</v>
      </c>
      <c r="J1134" t="s">
        <v>16385</v>
      </c>
      <c r="K1134">
        <v>0.249</v>
      </c>
      <c r="L1134">
        <v>10826</v>
      </c>
      <c r="M1134">
        <v>2306</v>
      </c>
      <c r="N1134" t="s">
        <v>16393</v>
      </c>
      <c r="O1134" s="4">
        <v>75460</v>
      </c>
      <c r="P1134" s="4">
        <v>149780</v>
      </c>
      <c r="Q1134" s="4">
        <v>225240</v>
      </c>
      <c r="R1134" s="4">
        <v>675720</v>
      </c>
      <c r="S1134" t="s">
        <v>17508</v>
      </c>
      <c r="T1134" s="6">
        <v>36008</v>
      </c>
      <c r="U1134" s="4">
        <v>374000</v>
      </c>
      <c r="X1134" t="s">
        <v>3</v>
      </c>
      <c r="AA1134" s="5" t="str">
        <f>HYPERLINK("https://www.zillow.com/homes/1412-PINE-COVE-CT-DARIEN-IL-60561_rb/","check listing")</f>
        <v>check listing</v>
      </c>
      <c r="AB1134" s="5" t="str">
        <f>HYPERLINK("https://propertylookup.dupagecounty.gov/Datalets/Datalet.aspx?UseSearch=no&amp;mode=sales&amp;pin=0933208025","sales record")</f>
        <v>sales record</v>
      </c>
      <c r="AC1134" t="s">
        <v>3</v>
      </c>
      <c r="AD1134">
        <v>41.737903</v>
      </c>
      <c r="AE1134">
        <v>-87.979737</v>
      </c>
      <c r="AF1134" s="5" t="str">
        <f>HYPERLINK("https://www.google.com/maps/search/?api=1&amp;query=41.737903,-87.979737","map")</f>
        <v>map</v>
      </c>
    </row>
    <row r="1135" spans="1:32">
      <c r="A1135" t="s">
        <v>1185</v>
      </c>
      <c r="B1135" t="s">
        <v>8762</v>
      </c>
      <c r="C1135" t="s">
        <v>15201</v>
      </c>
      <c r="D1135" t="s">
        <v>16198</v>
      </c>
      <c r="E1135" t="s">
        <v>16218</v>
      </c>
      <c r="F1135" t="s">
        <v>16221</v>
      </c>
      <c r="G1135" t="s">
        <v>16241</v>
      </c>
      <c r="H1135" t="s">
        <v>16241</v>
      </c>
      <c r="I1135" t="s">
        <v>16317</v>
      </c>
      <c r="J1135" t="s">
        <v>16385</v>
      </c>
      <c r="K1135">
        <v>0.248</v>
      </c>
      <c r="L1135">
        <v>10809</v>
      </c>
      <c r="M1135">
        <v>2684</v>
      </c>
      <c r="N1135" t="s">
        <v>16393</v>
      </c>
      <c r="O1135" s="4">
        <v>69731</v>
      </c>
      <c r="P1135" s="4">
        <v>163502</v>
      </c>
      <c r="Q1135" s="4">
        <v>233233</v>
      </c>
      <c r="R1135" s="4">
        <v>699699</v>
      </c>
      <c r="S1135" t="s">
        <v>17509</v>
      </c>
      <c r="T1135" s="6">
        <v>40299</v>
      </c>
      <c r="U1135" s="4">
        <v>577500</v>
      </c>
      <c r="V1135" t="s">
        <v>23739</v>
      </c>
      <c r="W1135" t="s">
        <v>24300</v>
      </c>
      <c r="X1135" t="s">
        <v>3</v>
      </c>
      <c r="AA1135" s="5" t="str">
        <f>HYPERLINK("https://www.zillow.com/homes/1415-PINE-COVE-CT-DARIEN-IL-60561_rb/","check listing")</f>
        <v>check listing</v>
      </c>
      <c r="AB1135" s="5" t="str">
        <f>HYPERLINK("https://propertylookup.dupagecounty.gov/Datalets/Datalet.aspx?UseSearch=no&amp;mode=sales&amp;pin=0933208017","sales record")</f>
        <v>sales record</v>
      </c>
      <c r="AC1135" t="s">
        <v>3</v>
      </c>
      <c r="AD1135">
        <v>41.737338</v>
      </c>
      <c r="AE1135">
        <v>-87.979961</v>
      </c>
      <c r="AF1135" s="5" t="str">
        <f>HYPERLINK("https://www.google.com/maps/search/?api=1&amp;query=41.737338,-87.979961","map")</f>
        <v>map</v>
      </c>
    </row>
    <row r="1136" spans="1:32">
      <c r="A1136" t="s">
        <v>1186</v>
      </c>
      <c r="B1136" t="s">
        <v>8763</v>
      </c>
      <c r="C1136" t="s">
        <v>15255</v>
      </c>
      <c r="D1136" t="s">
        <v>16198</v>
      </c>
      <c r="E1136" t="s">
        <v>16218</v>
      </c>
      <c r="F1136" t="s">
        <v>16221</v>
      </c>
      <c r="G1136" t="s">
        <v>16241</v>
      </c>
      <c r="H1136" t="s">
        <v>16241</v>
      </c>
      <c r="I1136" t="s">
        <v>16317</v>
      </c>
      <c r="J1136" t="s">
        <v>16385</v>
      </c>
      <c r="K1136">
        <v>0.248</v>
      </c>
      <c r="L1136">
        <v>10806</v>
      </c>
      <c r="M1136">
        <v>2446</v>
      </c>
      <c r="N1136" t="s">
        <v>16393</v>
      </c>
      <c r="O1136" s="4">
        <v>67185</v>
      </c>
      <c r="P1136" s="4">
        <v>118853</v>
      </c>
      <c r="Q1136" s="4">
        <v>186038</v>
      </c>
      <c r="R1136" s="4">
        <v>558114</v>
      </c>
      <c r="S1136" t="s">
        <v>17510</v>
      </c>
      <c r="T1136" s="6">
        <v>32112</v>
      </c>
      <c r="U1136" s="4">
        <v>215139</v>
      </c>
      <c r="X1136" t="s">
        <v>3</v>
      </c>
      <c r="AA1136" s="5" t="str">
        <f>HYPERLINK("https://www.zillow.com/homes/7801-MAYFAIR-LN-DARIEN-IL-605614863_rb/","check listing")</f>
        <v>check listing</v>
      </c>
      <c r="AB1136" s="5" t="str">
        <f>HYPERLINK("https://propertylookup.dupagecounty.gov/Datalets/Datalet.aspx?UseSearch=no&amp;mode=sales&amp;pin=0927419001","sales record")</f>
        <v>sales record</v>
      </c>
      <c r="AC1136" t="s">
        <v>3</v>
      </c>
      <c r="AD1136">
        <v>41.746836</v>
      </c>
      <c r="AE1136">
        <v>-87.963026</v>
      </c>
      <c r="AF1136" s="5" t="str">
        <f>HYPERLINK("https://www.google.com/maps/search/?api=1&amp;query=41.746836,-87.963026","map")</f>
        <v>map</v>
      </c>
    </row>
    <row r="1137" spans="1:32">
      <c r="A1137" t="s">
        <v>1187</v>
      </c>
      <c r="B1137" t="s">
        <v>8764</v>
      </c>
      <c r="C1137" t="s">
        <v>15201</v>
      </c>
      <c r="D1137" t="s">
        <v>16198</v>
      </c>
      <c r="E1137" t="s">
        <v>16218</v>
      </c>
      <c r="F1137" t="s">
        <v>16221</v>
      </c>
      <c r="G1137" t="s">
        <v>16241</v>
      </c>
      <c r="H1137" t="s">
        <v>16241</v>
      </c>
      <c r="I1137" t="s">
        <v>16317</v>
      </c>
      <c r="J1137" t="s">
        <v>16385</v>
      </c>
      <c r="K1137">
        <v>0.247</v>
      </c>
      <c r="L1137">
        <v>10762</v>
      </c>
      <c r="M1137">
        <v>2137</v>
      </c>
      <c r="N1137" t="s">
        <v>16393</v>
      </c>
      <c r="O1137" s="4">
        <v>60905</v>
      </c>
      <c r="P1137" s="4">
        <v>127210</v>
      </c>
      <c r="Q1137" s="4">
        <v>188115</v>
      </c>
      <c r="R1137" s="4">
        <v>564345</v>
      </c>
      <c r="S1137" t="s">
        <v>17511</v>
      </c>
      <c r="T1137" s="6">
        <v>35065</v>
      </c>
      <c r="U1137" s="4">
        <v>307000</v>
      </c>
      <c r="X1137" t="s">
        <v>3</v>
      </c>
      <c r="AA1137" s="5" t="str">
        <f>HYPERLINK("https://www.zillow.com/homes/1404-PINE-COVE-CT-DARIEN-IL-60561_rb/","check listing")</f>
        <v>check listing</v>
      </c>
      <c r="AB1137" s="5" t="str">
        <f>HYPERLINK("https://propertylookup.dupagecounty.gov/Datalets/Datalet.aspx?UseSearch=no&amp;mode=sales&amp;pin=0933208023","sales record")</f>
        <v>sales record</v>
      </c>
      <c r="AC1137" t="s">
        <v>3</v>
      </c>
      <c r="AD1137">
        <v>41.737907</v>
      </c>
      <c r="AE1137">
        <v>-87.979125</v>
      </c>
      <c r="AF1137" s="5" t="str">
        <f>HYPERLINK("https://www.google.com/maps/search/?api=1&amp;query=41.737907,-87.979125","map")</f>
        <v>map</v>
      </c>
    </row>
    <row r="1138" spans="1:32">
      <c r="A1138" t="s">
        <v>1188</v>
      </c>
      <c r="B1138" t="s">
        <v>8765</v>
      </c>
      <c r="C1138" t="s">
        <v>15201</v>
      </c>
      <c r="D1138" t="s">
        <v>16198</v>
      </c>
      <c r="E1138" t="s">
        <v>16218</v>
      </c>
      <c r="F1138" t="s">
        <v>16221</v>
      </c>
      <c r="G1138" t="s">
        <v>16241</v>
      </c>
      <c r="H1138" t="s">
        <v>16241</v>
      </c>
      <c r="I1138" t="s">
        <v>16317</v>
      </c>
      <c r="J1138" t="s">
        <v>16385</v>
      </c>
      <c r="K1138">
        <v>0.246</v>
      </c>
      <c r="L1138">
        <v>10714</v>
      </c>
      <c r="M1138">
        <v>2774</v>
      </c>
      <c r="N1138" t="s">
        <v>16393</v>
      </c>
      <c r="O1138" s="4">
        <v>70506</v>
      </c>
      <c r="P1138" s="4">
        <v>157105</v>
      </c>
      <c r="Q1138" s="4">
        <v>227611</v>
      </c>
      <c r="R1138" s="4">
        <v>682833</v>
      </c>
      <c r="S1138" t="s">
        <v>17512</v>
      </c>
      <c r="T1138" s="6">
        <v>36008</v>
      </c>
      <c r="U1138" s="4">
        <v>410000</v>
      </c>
      <c r="X1138" t="s">
        <v>3</v>
      </c>
      <c r="AA1138" s="5" t="str">
        <f>HYPERLINK("https://www.zillow.com/homes/1412-PINEHURST-DR-DARIEN-IL-60561_rb/","check listing")</f>
        <v>check listing</v>
      </c>
      <c r="AB1138" s="5" t="str">
        <f>HYPERLINK("https://propertylookup.dupagecounty.gov/Datalets/Datalet.aspx?UseSearch=no&amp;mode=sales&amp;pin=0933207024","sales record")</f>
        <v>sales record</v>
      </c>
      <c r="AC1138" t="s">
        <v>3</v>
      </c>
      <c r="AD1138">
        <v>41.738535</v>
      </c>
      <c r="AE1138">
        <v>-87.980171</v>
      </c>
      <c r="AF1138" s="5" t="str">
        <f>HYPERLINK("https://www.google.com/maps/search/?api=1&amp;query=41.738535,-87.980171","map")</f>
        <v>map</v>
      </c>
    </row>
    <row r="1139" spans="1:32">
      <c r="A1139" t="s">
        <v>1189</v>
      </c>
      <c r="B1139" t="s">
        <v>8766</v>
      </c>
      <c r="C1139" t="s">
        <v>15201</v>
      </c>
      <c r="D1139" t="s">
        <v>16198</v>
      </c>
      <c r="E1139" t="s">
        <v>16218</v>
      </c>
      <c r="F1139" t="s">
        <v>16221</v>
      </c>
      <c r="G1139" t="s">
        <v>16241</v>
      </c>
      <c r="H1139" t="s">
        <v>16241</v>
      </c>
      <c r="I1139" t="s">
        <v>16317</v>
      </c>
      <c r="J1139" t="s">
        <v>16385</v>
      </c>
      <c r="K1139">
        <v>0.246</v>
      </c>
      <c r="L1139">
        <v>10708</v>
      </c>
      <c r="M1139">
        <v>2205</v>
      </c>
      <c r="N1139" t="s">
        <v>16393</v>
      </c>
      <c r="O1139" s="4">
        <v>69016</v>
      </c>
      <c r="P1139" s="4">
        <v>172610</v>
      </c>
      <c r="Q1139" s="4">
        <v>241626</v>
      </c>
      <c r="R1139" s="4">
        <v>724878</v>
      </c>
      <c r="S1139" t="s">
        <v>17513</v>
      </c>
      <c r="T1139" s="6">
        <v>43313</v>
      </c>
      <c r="U1139" s="4">
        <v>473000</v>
      </c>
      <c r="V1139" t="s">
        <v>23739</v>
      </c>
      <c r="W1139" t="s">
        <v>24301</v>
      </c>
      <c r="X1139" t="s">
        <v>3</v>
      </c>
      <c r="AA1139" s="5" t="str">
        <f>HYPERLINK("https://www.zillow.com/homes/1547-PINEHURST-DR-DARIEN-IL-60561_rb/","check listing")</f>
        <v>check listing</v>
      </c>
      <c r="AB1139" s="5" t="str">
        <f>HYPERLINK("https://propertylookup.dupagecounty.gov/Datalets/Datalet.aspx?UseSearch=no&amp;mode=sales&amp;pin=0933208003","sales record")</f>
        <v>sales record</v>
      </c>
      <c r="AC1139" t="s">
        <v>3</v>
      </c>
      <c r="AD1139">
        <v>41.738123</v>
      </c>
      <c r="AE1139">
        <v>-87.982879</v>
      </c>
      <c r="AF1139" s="5" t="str">
        <f>HYPERLINK("https://www.google.com/maps/search/?api=1&amp;query=41.738123,-87.982879","map")</f>
        <v>map</v>
      </c>
    </row>
    <row r="1140" spans="1:32">
      <c r="A1140" t="s">
        <v>1190</v>
      </c>
      <c r="B1140" t="s">
        <v>8767</v>
      </c>
      <c r="C1140" t="s">
        <v>15201</v>
      </c>
      <c r="D1140" t="s">
        <v>16198</v>
      </c>
      <c r="E1140" t="s">
        <v>16218</v>
      </c>
      <c r="F1140" t="s">
        <v>16221</v>
      </c>
      <c r="G1140" t="s">
        <v>16241</v>
      </c>
      <c r="H1140" t="s">
        <v>16241</v>
      </c>
      <c r="I1140" t="s">
        <v>16317</v>
      </c>
      <c r="J1140" t="s">
        <v>16385</v>
      </c>
      <c r="K1140">
        <v>0.246</v>
      </c>
      <c r="L1140">
        <v>10704</v>
      </c>
      <c r="M1140">
        <v>2304</v>
      </c>
      <c r="N1140" t="s">
        <v>16393</v>
      </c>
      <c r="O1140" s="4">
        <v>68311</v>
      </c>
      <c r="P1140" s="4">
        <v>146260</v>
      </c>
      <c r="Q1140" s="4">
        <v>214571</v>
      </c>
      <c r="R1140" s="4">
        <v>643713</v>
      </c>
      <c r="S1140" t="s">
        <v>17514</v>
      </c>
      <c r="T1140" s="6">
        <v>32509</v>
      </c>
      <c r="U1140" s="4">
        <v>83753</v>
      </c>
      <c r="X1140" t="s">
        <v>3</v>
      </c>
      <c r="AA1140" s="5" t="str">
        <f>HYPERLINK("https://www.zillow.com/homes/1551-PINEHURST-DR-DARIEN-IL-60561_rb/","check listing")</f>
        <v>check listing</v>
      </c>
      <c r="AB1140" s="5" t="str">
        <f>HYPERLINK("https://propertylookup.dupagecounty.gov/Datalets/Datalet.aspx?UseSearch=no&amp;mode=sales&amp;pin=0933208002","sales record")</f>
        <v>sales record</v>
      </c>
      <c r="AC1140" t="s">
        <v>3</v>
      </c>
      <c r="AD1140">
        <v>41.738306</v>
      </c>
      <c r="AE1140">
        <v>-87.982884</v>
      </c>
      <c r="AF1140" s="5" t="str">
        <f>HYPERLINK("https://www.google.com/maps/search/?api=1&amp;query=41.738306,-87.982884","map")</f>
        <v>map</v>
      </c>
    </row>
    <row r="1141" spans="1:32">
      <c r="A1141" t="s">
        <v>1191</v>
      </c>
      <c r="B1141" t="s">
        <v>8768</v>
      </c>
      <c r="C1141" t="s">
        <v>15201</v>
      </c>
      <c r="D1141" t="s">
        <v>16198</v>
      </c>
      <c r="E1141" t="s">
        <v>16218</v>
      </c>
      <c r="F1141" t="s">
        <v>16221</v>
      </c>
      <c r="G1141" t="s">
        <v>16241</v>
      </c>
      <c r="H1141" t="s">
        <v>16241</v>
      </c>
      <c r="I1141" t="s">
        <v>16317</v>
      </c>
      <c r="J1141" t="s">
        <v>16385</v>
      </c>
      <c r="K1141">
        <v>0.246</v>
      </c>
      <c r="L1141">
        <v>10702</v>
      </c>
      <c r="M1141">
        <v>2423</v>
      </c>
      <c r="N1141" t="s">
        <v>16393</v>
      </c>
      <c r="O1141" s="4">
        <v>75061</v>
      </c>
      <c r="P1141" s="4">
        <v>144850</v>
      </c>
      <c r="Q1141" s="4">
        <v>219911</v>
      </c>
      <c r="R1141" s="4">
        <v>659733</v>
      </c>
      <c r="S1141" t="s">
        <v>17515</v>
      </c>
      <c r="T1141" s="6">
        <v>33939</v>
      </c>
      <c r="U1141" s="4">
        <v>304000</v>
      </c>
      <c r="X1141" t="s">
        <v>3</v>
      </c>
      <c r="AA1141" s="5" t="str">
        <f>HYPERLINK("https://www.zillow.com/homes/1533-PINE-VIEW-CT-DARIEN-IL-60561_rb/","check listing")</f>
        <v>check listing</v>
      </c>
      <c r="AB1141" s="5" t="str">
        <f>HYPERLINK("https://propertylookup.dupagecounty.gov/Datalets/Datalet.aspx?UseSearch=no&amp;mode=sales&amp;pin=0933207016","sales record")</f>
        <v>sales record</v>
      </c>
      <c r="AC1141" t="s">
        <v>3</v>
      </c>
      <c r="AD1141">
        <v>41.738164</v>
      </c>
      <c r="AE1141">
        <v>-87.982218</v>
      </c>
      <c r="AF1141" s="5" t="str">
        <f>HYPERLINK("https://www.google.com/maps/search/?api=1&amp;query=41.738164,-87.982218","map")</f>
        <v>map</v>
      </c>
    </row>
    <row r="1142" spans="1:32">
      <c r="A1142" t="s">
        <v>1192</v>
      </c>
      <c r="B1142" t="s">
        <v>8769</v>
      </c>
      <c r="C1142" t="s">
        <v>15201</v>
      </c>
      <c r="D1142" t="s">
        <v>16198</v>
      </c>
      <c r="E1142" t="s">
        <v>16218</v>
      </c>
      <c r="F1142" t="s">
        <v>16221</v>
      </c>
      <c r="G1142" t="s">
        <v>16241</v>
      </c>
      <c r="H1142" t="s">
        <v>16241</v>
      </c>
      <c r="I1142" t="s">
        <v>16317</v>
      </c>
      <c r="J1142" t="s">
        <v>16385</v>
      </c>
      <c r="K1142">
        <v>0.245</v>
      </c>
      <c r="L1142">
        <v>10683</v>
      </c>
      <c r="M1142">
        <v>2143</v>
      </c>
      <c r="N1142" t="s">
        <v>16393</v>
      </c>
      <c r="O1142" s="4">
        <v>69016</v>
      </c>
      <c r="P1142" s="4">
        <v>123336</v>
      </c>
      <c r="Q1142" s="4">
        <v>192352</v>
      </c>
      <c r="R1142" s="4">
        <v>577056</v>
      </c>
      <c r="S1142" t="s">
        <v>17516</v>
      </c>
      <c r="T1142" s="6">
        <v>44968</v>
      </c>
      <c r="U1142" s="4">
        <v>545000</v>
      </c>
      <c r="V1142" t="s">
        <v>23739</v>
      </c>
      <c r="W1142" t="s">
        <v>24302</v>
      </c>
      <c r="X1142" t="s">
        <v>3</v>
      </c>
      <c r="AA1142" s="5" t="str">
        <f>HYPERLINK("https://www.zillow.com/homes/1507-PINEHURST-DR-DARIEN-IL-60561_rb/","check listing")</f>
        <v>check listing</v>
      </c>
      <c r="AB1142" s="5" t="str">
        <f>HYPERLINK("https://propertylookup.dupagecounty.gov/Datalets/Datalet.aspx?UseSearch=no&amp;mode=sales&amp;pin=0933208013","sales record")</f>
        <v>sales record</v>
      </c>
      <c r="AC1142" t="s">
        <v>3</v>
      </c>
      <c r="AD1142">
        <v>41.737313</v>
      </c>
      <c r="AE1142">
        <v>-87.98106</v>
      </c>
      <c r="AF1142" s="5" t="str">
        <f>HYPERLINK("https://www.google.com/maps/search/?api=1&amp;query=41.737313,-87.98106","map")</f>
        <v>map</v>
      </c>
    </row>
    <row r="1143" spans="1:32">
      <c r="A1143" t="s">
        <v>1193</v>
      </c>
      <c r="B1143" t="s">
        <v>8770</v>
      </c>
      <c r="C1143" t="s">
        <v>15201</v>
      </c>
      <c r="D1143" t="s">
        <v>16198</v>
      </c>
      <c r="E1143" t="s">
        <v>16218</v>
      </c>
      <c r="F1143" t="s">
        <v>16221</v>
      </c>
      <c r="G1143" t="s">
        <v>16241</v>
      </c>
      <c r="H1143" t="s">
        <v>16241</v>
      </c>
      <c r="I1143" t="s">
        <v>16317</v>
      </c>
      <c r="J1143" t="s">
        <v>16385</v>
      </c>
      <c r="K1143">
        <v>0.245</v>
      </c>
      <c r="L1143">
        <v>10671</v>
      </c>
      <c r="M1143">
        <v>1641</v>
      </c>
      <c r="N1143" t="s">
        <v>16393</v>
      </c>
      <c r="O1143" s="4">
        <v>71339</v>
      </c>
      <c r="P1143" s="4">
        <v>124322</v>
      </c>
      <c r="Q1143" s="4">
        <v>195661</v>
      </c>
      <c r="R1143" s="4">
        <v>586983</v>
      </c>
      <c r="S1143" t="s">
        <v>17517</v>
      </c>
      <c r="T1143" s="6">
        <v>37834</v>
      </c>
      <c r="U1143" s="4">
        <v>482500</v>
      </c>
      <c r="V1143" t="s">
        <v>23739</v>
      </c>
      <c r="W1143" t="s">
        <v>24303</v>
      </c>
      <c r="X1143" t="s">
        <v>3</v>
      </c>
      <c r="AA1143" s="5" t="str">
        <f>HYPERLINK("https://www.zillow.com/homes/1409-PINE-COVE-CT-DARIEN-IL-60561_rb/","check listing")</f>
        <v>check listing</v>
      </c>
      <c r="AB1143" s="5" t="str">
        <f>HYPERLINK("https://propertylookup.dupagecounty.gov/Datalets/Datalet.aspx?UseSearch=no&amp;mode=sales&amp;pin=0933208019","sales record")</f>
        <v>sales record</v>
      </c>
      <c r="AC1143" t="s">
        <v>3</v>
      </c>
      <c r="AD1143">
        <v>41.737326</v>
      </c>
      <c r="AE1143">
        <v>-87.97940199999999</v>
      </c>
      <c r="AF1143" s="5" t="str">
        <f>HYPERLINK("https://www.google.com/maps/search/?api=1&amp;query=41.737326,-87.979402","map")</f>
        <v>map</v>
      </c>
    </row>
    <row r="1144" spans="1:32">
      <c r="A1144" t="s">
        <v>1194</v>
      </c>
      <c r="B1144" t="s">
        <v>8771</v>
      </c>
      <c r="C1144" t="s">
        <v>15201</v>
      </c>
      <c r="D1144" t="s">
        <v>16198</v>
      </c>
      <c r="E1144" t="s">
        <v>16218</v>
      </c>
      <c r="F1144" t="s">
        <v>16221</v>
      </c>
      <c r="G1144" t="s">
        <v>16241</v>
      </c>
      <c r="H1144" t="s">
        <v>16241</v>
      </c>
      <c r="I1144" t="s">
        <v>16317</v>
      </c>
      <c r="J1144" t="s">
        <v>16385</v>
      </c>
      <c r="K1144">
        <v>0.244</v>
      </c>
      <c r="L1144">
        <v>10633</v>
      </c>
      <c r="M1144">
        <v>1794</v>
      </c>
      <c r="N1144" t="s">
        <v>16393</v>
      </c>
      <c r="O1144" s="4">
        <v>69016</v>
      </c>
      <c r="P1144" s="4">
        <v>119099</v>
      </c>
      <c r="Q1144" s="4">
        <v>188115</v>
      </c>
      <c r="R1144" s="4">
        <v>564345</v>
      </c>
      <c r="S1144" t="s">
        <v>17518</v>
      </c>
      <c r="T1144" s="6">
        <v>36130</v>
      </c>
      <c r="U1144" s="4">
        <v>340000</v>
      </c>
      <c r="X1144" t="s">
        <v>3</v>
      </c>
      <c r="AA1144" s="5" t="str">
        <f>HYPERLINK("https://www.zillow.com/homes/1519-PINEHURST-DR-DARIEN-IL-60561_rb/","check listing")</f>
        <v>check listing</v>
      </c>
      <c r="AB1144" s="5" t="str">
        <f>HYPERLINK("https://propertylookup.dupagecounty.gov/Datalets/Datalet.aspx?UseSearch=no&amp;mode=sales&amp;pin=0933208010","sales record")</f>
        <v>sales record</v>
      </c>
      <c r="AC1144" t="s">
        <v>3</v>
      </c>
      <c r="AD1144">
        <v>41.737299</v>
      </c>
      <c r="AE1144">
        <v>-87.98188399999999</v>
      </c>
      <c r="AF1144" s="5" t="str">
        <f>HYPERLINK("https://www.google.com/maps/search/?api=1&amp;query=41.737299,-87.981884","map")</f>
        <v>map</v>
      </c>
    </row>
    <row r="1145" spans="1:32">
      <c r="A1145" t="s">
        <v>1195</v>
      </c>
      <c r="B1145" t="s">
        <v>8772</v>
      </c>
      <c r="C1145" t="s">
        <v>15201</v>
      </c>
      <c r="D1145" t="s">
        <v>16198</v>
      </c>
      <c r="E1145" t="s">
        <v>16218</v>
      </c>
      <c r="F1145" t="s">
        <v>16221</v>
      </c>
      <c r="G1145" t="s">
        <v>16241</v>
      </c>
      <c r="H1145" t="s">
        <v>16241</v>
      </c>
      <c r="I1145" t="s">
        <v>16317</v>
      </c>
      <c r="J1145" t="s">
        <v>16385</v>
      </c>
      <c r="K1145">
        <v>0.244</v>
      </c>
      <c r="L1145">
        <v>10631</v>
      </c>
      <c r="M1145">
        <v>2292</v>
      </c>
      <c r="N1145" t="s">
        <v>16393</v>
      </c>
      <c r="O1145" s="4">
        <v>69274</v>
      </c>
      <c r="P1145" s="4">
        <v>133207</v>
      </c>
      <c r="Q1145" s="4">
        <v>202481</v>
      </c>
      <c r="R1145" s="4">
        <v>607443</v>
      </c>
      <c r="S1145" t="s">
        <v>17519</v>
      </c>
      <c r="T1145" s="6">
        <v>32752</v>
      </c>
      <c r="U1145" s="4">
        <v>286814</v>
      </c>
      <c r="X1145" t="s">
        <v>3</v>
      </c>
      <c r="AA1145" s="5" t="str">
        <f>HYPERLINK("https://www.zillow.com/homes/1517-PINEVIEW-CT-DARIEN-IL-60561_rb/","check listing")</f>
        <v>check listing</v>
      </c>
      <c r="AB1145" s="5" t="str">
        <f>HYPERLINK("https://propertylookup.dupagecounty.gov/Datalets/Datalet.aspx?UseSearch=no&amp;mode=sales&amp;pin=0933207012","sales record")</f>
        <v>sales record</v>
      </c>
      <c r="AC1145" t="s">
        <v>3</v>
      </c>
      <c r="AD1145">
        <v>41.738403</v>
      </c>
      <c r="AE1145">
        <v>-87.98107400000001</v>
      </c>
      <c r="AF1145" s="5" t="str">
        <f>HYPERLINK("https://www.google.com/maps/search/?api=1&amp;query=41.738403,-87.981074","map")</f>
        <v>map</v>
      </c>
    </row>
    <row r="1146" spans="1:32">
      <c r="A1146" t="s">
        <v>1196</v>
      </c>
      <c r="B1146" t="s">
        <v>8773</v>
      </c>
      <c r="C1146" t="s">
        <v>15244</v>
      </c>
      <c r="D1146" t="s">
        <v>16198</v>
      </c>
      <c r="E1146" t="s">
        <v>16218</v>
      </c>
      <c r="F1146" t="s">
        <v>16221</v>
      </c>
      <c r="G1146" t="s">
        <v>16241</v>
      </c>
      <c r="H1146" t="s">
        <v>16241</v>
      </c>
      <c r="I1146" t="s">
        <v>16317</v>
      </c>
      <c r="J1146" t="s">
        <v>16385</v>
      </c>
      <c r="K1146">
        <v>0.244</v>
      </c>
      <c r="L1146">
        <v>10629</v>
      </c>
      <c r="M1146">
        <v>1848</v>
      </c>
      <c r="N1146" t="s">
        <v>16393</v>
      </c>
      <c r="O1146" s="4">
        <v>69062</v>
      </c>
      <c r="P1146" s="4">
        <v>127139</v>
      </c>
      <c r="Q1146" s="4">
        <v>196201</v>
      </c>
      <c r="R1146" s="4">
        <v>588603</v>
      </c>
      <c r="S1146" t="s">
        <v>17520</v>
      </c>
      <c r="T1146" s="6">
        <v>36495</v>
      </c>
      <c r="U1146" s="4">
        <v>370000</v>
      </c>
      <c r="X1146" t="s">
        <v>3</v>
      </c>
      <c r="AA1146" s="5" t="str">
        <f>HYPERLINK("https://www.zillow.com/homes/1405-PINEHURST-DR-DARIEN-IL-605615924_rb/","check listing")</f>
        <v>check listing</v>
      </c>
      <c r="AB1146" s="5" t="str">
        <f>HYPERLINK("https://propertylookup.dupagecounty.gov/Datalets/Datalet.aspx?UseSearch=no&amp;mode=sales&amp;pin=0933208028","sales record")</f>
        <v>sales record</v>
      </c>
      <c r="AC1146" t="s">
        <v>3</v>
      </c>
      <c r="AD1146">
        <v>41.738261</v>
      </c>
      <c r="AE1146">
        <v>-87.97925600000001</v>
      </c>
      <c r="AF1146" s="5" t="str">
        <f>HYPERLINK("https://www.google.com/maps/search/?api=1&amp;query=41.738261,-87.979256","map")</f>
        <v>map</v>
      </c>
    </row>
    <row r="1147" spans="1:32">
      <c r="A1147" t="s">
        <v>1197</v>
      </c>
      <c r="B1147" t="s">
        <v>8774</v>
      </c>
      <c r="C1147" t="s">
        <v>15201</v>
      </c>
      <c r="D1147" t="s">
        <v>16198</v>
      </c>
      <c r="E1147" t="s">
        <v>16218</v>
      </c>
      <c r="F1147" t="s">
        <v>16221</v>
      </c>
      <c r="G1147" t="s">
        <v>16241</v>
      </c>
      <c r="H1147" t="s">
        <v>16241</v>
      </c>
      <c r="I1147" t="s">
        <v>16317</v>
      </c>
      <c r="J1147" t="s">
        <v>16385</v>
      </c>
      <c r="K1147">
        <v>0.242</v>
      </c>
      <c r="L1147">
        <v>10548</v>
      </c>
      <c r="M1147">
        <v>2487</v>
      </c>
      <c r="N1147" t="s">
        <v>16393</v>
      </c>
      <c r="O1147" s="4">
        <v>66480</v>
      </c>
      <c r="P1147" s="4">
        <v>141905</v>
      </c>
      <c r="Q1147" s="4">
        <v>208385</v>
      </c>
      <c r="R1147" s="4">
        <v>625155</v>
      </c>
      <c r="S1147" t="s">
        <v>17521</v>
      </c>
      <c r="T1147" s="6">
        <v>34090</v>
      </c>
      <c r="U1147" s="4">
        <v>310000</v>
      </c>
      <c r="X1147" t="s">
        <v>3</v>
      </c>
      <c r="AA1147" s="5" t="str">
        <f>HYPERLINK("https://www.zillow.com/homes/8208-PINE-BLUFF-CT-DARIEN-IL-60561_rb/","check listing")</f>
        <v>check listing</v>
      </c>
      <c r="AB1147" s="5" t="str">
        <f>HYPERLINK("https://propertylookup.dupagecounty.gov/Datalets/Datalet.aspx?UseSearch=no&amp;mode=sales&amp;pin=0933207028","sales record")</f>
        <v>sales record</v>
      </c>
      <c r="AC1147" t="s">
        <v>3</v>
      </c>
      <c r="AD1147">
        <v>41.739284</v>
      </c>
      <c r="AE1147">
        <v>-87.98004899999999</v>
      </c>
      <c r="AF1147" s="5" t="str">
        <f>HYPERLINK("https://www.google.com/maps/search/?api=1&amp;query=41.739284,-87.980049","map")</f>
        <v>map</v>
      </c>
    </row>
    <row r="1148" spans="1:32">
      <c r="A1148" t="s">
        <v>1198</v>
      </c>
      <c r="B1148" t="s">
        <v>8775</v>
      </c>
      <c r="C1148" t="s">
        <v>15201</v>
      </c>
      <c r="D1148" t="s">
        <v>16198</v>
      </c>
      <c r="E1148" t="s">
        <v>16218</v>
      </c>
      <c r="F1148" t="s">
        <v>16221</v>
      </c>
      <c r="G1148" t="s">
        <v>16241</v>
      </c>
      <c r="H1148" t="s">
        <v>16241</v>
      </c>
      <c r="I1148" t="s">
        <v>16317</v>
      </c>
      <c r="J1148" t="s">
        <v>16385</v>
      </c>
      <c r="K1148">
        <v>0.242</v>
      </c>
      <c r="L1148">
        <v>10540</v>
      </c>
      <c r="M1148">
        <v>2686</v>
      </c>
      <c r="N1148" t="s">
        <v>16393</v>
      </c>
      <c r="O1148" s="4">
        <v>68018</v>
      </c>
      <c r="P1148" s="4">
        <v>147961</v>
      </c>
      <c r="Q1148" s="4">
        <v>215979</v>
      </c>
      <c r="R1148" s="4">
        <v>647937</v>
      </c>
      <c r="S1148" t="s">
        <v>17522</v>
      </c>
      <c r="T1148" s="6">
        <v>45554</v>
      </c>
      <c r="U1148" s="4">
        <v>870000</v>
      </c>
      <c r="V1148" t="s">
        <v>23739</v>
      </c>
      <c r="W1148" t="s">
        <v>24304</v>
      </c>
      <c r="X1148" t="s">
        <v>3</v>
      </c>
      <c r="AA1148" s="5" t="str">
        <f>HYPERLINK("https://www.zillow.com/homes/1408-PINE-COVE-CT-DARIEN-IL-60561_rb/","check listing")</f>
        <v>check listing</v>
      </c>
      <c r="AB1148" s="5" t="str">
        <f>HYPERLINK("https://propertylookup.dupagecounty.gov/Datalets/Datalet.aspx?UseSearch=no&amp;mode=sales&amp;pin=0933208024","sales record")</f>
        <v>sales record</v>
      </c>
      <c r="AC1148" t="s">
        <v>3</v>
      </c>
      <c r="AD1148">
        <v>41.737924</v>
      </c>
      <c r="AE1148">
        <v>-87.979444</v>
      </c>
      <c r="AF1148" s="5" t="str">
        <f>HYPERLINK("https://www.google.com/maps/search/?api=1&amp;query=41.737924,-87.979444","map")</f>
        <v>map</v>
      </c>
    </row>
    <row r="1149" spans="1:32">
      <c r="A1149" t="s">
        <v>1199</v>
      </c>
      <c r="B1149" t="s">
        <v>8776</v>
      </c>
      <c r="C1149" t="s">
        <v>15241</v>
      </c>
      <c r="D1149" t="s">
        <v>16198</v>
      </c>
      <c r="E1149" t="s">
        <v>16218</v>
      </c>
      <c r="F1149" t="s">
        <v>16221</v>
      </c>
      <c r="G1149" t="s">
        <v>16241</v>
      </c>
      <c r="H1149" t="s">
        <v>16241</v>
      </c>
      <c r="I1149" t="s">
        <v>16317</v>
      </c>
      <c r="J1149" t="s">
        <v>16385</v>
      </c>
      <c r="K1149">
        <v>0.241</v>
      </c>
      <c r="L1149">
        <v>10516</v>
      </c>
      <c r="M1149">
        <v>2444</v>
      </c>
      <c r="N1149" t="s">
        <v>16393</v>
      </c>
      <c r="O1149" s="4">
        <v>68054</v>
      </c>
      <c r="P1149" s="4">
        <v>134710</v>
      </c>
      <c r="Q1149" s="4">
        <v>202764</v>
      </c>
      <c r="R1149" s="4">
        <v>608292</v>
      </c>
      <c r="S1149" t="s">
        <v>17523</v>
      </c>
      <c r="T1149" s="6">
        <v>42401</v>
      </c>
      <c r="U1149" s="4">
        <v>394275</v>
      </c>
      <c r="V1149" t="s">
        <v>16232</v>
      </c>
      <c r="W1149" t="s">
        <v>24305</v>
      </c>
      <c r="X1149" t="s">
        <v>3</v>
      </c>
      <c r="AA1149" s="5" t="str">
        <f>HYPERLINK("https://www.zillow.com/homes/1529-PINEVIEW-CT-DARIEN-IL-605615900_rb/","check listing")</f>
        <v>check listing</v>
      </c>
      <c r="AB1149" s="5" t="str">
        <f>HYPERLINK("https://propertylookup.dupagecounty.gov/Datalets/Datalet.aspx?UseSearch=no&amp;mode=sales&amp;pin=0933207015","sales record")</f>
        <v>sales record</v>
      </c>
      <c r="AC1149" t="s">
        <v>3</v>
      </c>
      <c r="AD1149">
        <v>41.738185</v>
      </c>
      <c r="AE1149">
        <v>-87.981905</v>
      </c>
      <c r="AF1149" s="5" t="str">
        <f>HYPERLINK("https://www.google.com/maps/search/?api=1&amp;query=41.738185,-87.981905","map")</f>
        <v>map</v>
      </c>
    </row>
    <row r="1150" spans="1:32">
      <c r="A1150" t="s">
        <v>1200</v>
      </c>
      <c r="B1150" t="s">
        <v>8777</v>
      </c>
      <c r="C1150" t="s">
        <v>15201</v>
      </c>
      <c r="D1150" t="s">
        <v>16198</v>
      </c>
      <c r="E1150" t="s">
        <v>16218</v>
      </c>
      <c r="F1150" t="s">
        <v>16221</v>
      </c>
      <c r="G1150" t="s">
        <v>16241</v>
      </c>
      <c r="H1150" t="s">
        <v>16241</v>
      </c>
      <c r="I1150" t="s">
        <v>16317</v>
      </c>
      <c r="J1150" t="s">
        <v>16385</v>
      </c>
      <c r="K1150">
        <v>0.241</v>
      </c>
      <c r="L1150">
        <v>10501</v>
      </c>
      <c r="M1150">
        <v>2171</v>
      </c>
      <c r="N1150" t="s">
        <v>16393</v>
      </c>
      <c r="O1150" s="4">
        <v>69016</v>
      </c>
      <c r="P1150" s="4">
        <v>122409</v>
      </c>
      <c r="Q1150" s="4">
        <v>191425</v>
      </c>
      <c r="R1150" s="4">
        <v>574275</v>
      </c>
      <c r="S1150" t="s">
        <v>17524</v>
      </c>
      <c r="T1150" s="6">
        <v>32387</v>
      </c>
      <c r="U1150" s="4">
        <v>91500</v>
      </c>
      <c r="X1150" t="s">
        <v>3</v>
      </c>
      <c r="AA1150" s="5" t="str">
        <f>HYPERLINK("https://www.zillow.com/homes/1515-PINEHURST-DR-DARIEN-IL-60561_rb/","check listing")</f>
        <v>check listing</v>
      </c>
      <c r="AB1150" s="5" t="str">
        <f>HYPERLINK("https://propertylookup.dupagecounty.gov/Datalets/Datalet.aspx?UseSearch=no&amp;mode=sales&amp;pin=0933208011","sales record")</f>
        <v>sales record</v>
      </c>
      <c r="AC1150" t="s">
        <v>3</v>
      </c>
      <c r="AD1150">
        <v>41.737302</v>
      </c>
      <c r="AE1150">
        <v>-87.98160900000001</v>
      </c>
      <c r="AF1150" s="5" t="str">
        <f>HYPERLINK("https://www.google.com/maps/search/?api=1&amp;query=41.737302,-87.981609","map")</f>
        <v>map</v>
      </c>
    </row>
    <row r="1151" spans="1:32">
      <c r="A1151" t="s">
        <v>1201</v>
      </c>
      <c r="B1151" t="s">
        <v>8778</v>
      </c>
      <c r="C1151" t="s">
        <v>15201</v>
      </c>
      <c r="D1151" t="s">
        <v>16198</v>
      </c>
      <c r="E1151" t="s">
        <v>16218</v>
      </c>
      <c r="F1151" t="s">
        <v>16221</v>
      </c>
      <c r="G1151" t="s">
        <v>16241</v>
      </c>
      <c r="H1151" t="s">
        <v>16241</v>
      </c>
      <c r="I1151" t="s">
        <v>16317</v>
      </c>
      <c r="J1151" t="s">
        <v>16385</v>
      </c>
      <c r="K1151">
        <v>0.241</v>
      </c>
      <c r="L1151">
        <v>10501</v>
      </c>
      <c r="M1151">
        <v>2384</v>
      </c>
      <c r="N1151" t="s">
        <v>16393</v>
      </c>
      <c r="O1151" s="4">
        <v>69016</v>
      </c>
      <c r="P1151" s="4">
        <v>138407</v>
      </c>
      <c r="Q1151" s="4">
        <v>207423</v>
      </c>
      <c r="R1151" s="4">
        <v>622269</v>
      </c>
      <c r="S1151" t="s">
        <v>17525</v>
      </c>
      <c r="T1151" s="6">
        <v>36069</v>
      </c>
      <c r="U1151" s="4">
        <v>409900</v>
      </c>
      <c r="X1151" t="s">
        <v>3</v>
      </c>
      <c r="AA1151" s="5" t="str">
        <f>HYPERLINK("https://www.zillow.com/homes/1411-PINE-COVE-CT-DARIEN-IL-60561_rb/","check listing")</f>
        <v>check listing</v>
      </c>
      <c r="AB1151" s="5" t="str">
        <f>HYPERLINK("https://propertylookup.dupagecounty.gov/Datalets/Datalet.aspx?UseSearch=no&amp;mode=sales&amp;pin=0933208018","sales record")</f>
        <v>sales record</v>
      </c>
      <c r="AC1151" t="s">
        <v>3</v>
      </c>
      <c r="AD1151">
        <v>41.737341</v>
      </c>
      <c r="AE1151">
        <v>-87.979686</v>
      </c>
      <c r="AF1151" s="5" t="str">
        <f>HYPERLINK("https://www.google.com/maps/search/?api=1&amp;query=41.737341,-87.979686","map")</f>
        <v>map</v>
      </c>
    </row>
    <row r="1152" spans="1:32">
      <c r="A1152" t="s">
        <v>1202</v>
      </c>
      <c r="B1152" t="s">
        <v>8779</v>
      </c>
      <c r="C1152" t="s">
        <v>15201</v>
      </c>
      <c r="D1152" t="s">
        <v>16198</v>
      </c>
      <c r="E1152" t="s">
        <v>16218</v>
      </c>
      <c r="F1152" t="s">
        <v>16221</v>
      </c>
      <c r="G1152" t="s">
        <v>16241</v>
      </c>
      <c r="H1152" t="s">
        <v>16241</v>
      </c>
      <c r="I1152" t="s">
        <v>16317</v>
      </c>
      <c r="J1152" t="s">
        <v>16385</v>
      </c>
      <c r="K1152">
        <v>0.241</v>
      </c>
      <c r="L1152">
        <v>10501</v>
      </c>
      <c r="M1152">
        <v>2315</v>
      </c>
      <c r="N1152" t="s">
        <v>16393</v>
      </c>
      <c r="O1152" s="4">
        <v>69016</v>
      </c>
      <c r="P1152" s="4">
        <v>134956</v>
      </c>
      <c r="Q1152" s="4">
        <v>203972</v>
      </c>
      <c r="R1152" s="4">
        <v>611916</v>
      </c>
      <c r="S1152" t="s">
        <v>17526</v>
      </c>
      <c r="T1152" s="6">
        <v>41122</v>
      </c>
      <c r="U1152" s="4">
        <v>479000</v>
      </c>
      <c r="V1152" t="s">
        <v>23739</v>
      </c>
      <c r="W1152" t="s">
        <v>24306</v>
      </c>
      <c r="X1152" t="s">
        <v>3</v>
      </c>
      <c r="AA1152" s="5" t="str">
        <f>HYPERLINK("https://www.zillow.com/homes/8212-PINE-BLUFF-CT-DARIEN-IL-60561_rb/","check listing")</f>
        <v>check listing</v>
      </c>
      <c r="AB1152" s="5" t="str">
        <f>HYPERLINK("https://propertylookup.dupagecounty.gov/Datalets/Datalet.aspx?UseSearch=no&amp;mode=sales&amp;pin=0933207027","sales record")</f>
        <v>sales record</v>
      </c>
      <c r="AC1152" t="s">
        <v>3</v>
      </c>
      <c r="AD1152">
        <v>41.739107</v>
      </c>
      <c r="AE1152">
        <v>-87.980011</v>
      </c>
      <c r="AF1152" s="5" t="str">
        <f>HYPERLINK("https://www.google.com/maps/search/?api=1&amp;query=41.739107,-87.980011","map")</f>
        <v>map</v>
      </c>
    </row>
    <row r="1153" spans="1:32">
      <c r="A1153" t="s">
        <v>1203</v>
      </c>
      <c r="B1153" t="s">
        <v>8780</v>
      </c>
      <c r="C1153" t="s">
        <v>15201</v>
      </c>
      <c r="D1153" t="s">
        <v>16198</v>
      </c>
      <c r="E1153" t="s">
        <v>16218</v>
      </c>
      <c r="F1153" t="s">
        <v>16221</v>
      </c>
      <c r="G1153" t="s">
        <v>16241</v>
      </c>
      <c r="H1153" t="s">
        <v>16241</v>
      </c>
      <c r="I1153" t="s">
        <v>16317</v>
      </c>
      <c r="J1153" t="s">
        <v>16385</v>
      </c>
      <c r="K1153">
        <v>0.241</v>
      </c>
      <c r="L1153">
        <v>10500</v>
      </c>
      <c r="M1153">
        <v>2262</v>
      </c>
      <c r="N1153" t="s">
        <v>16393</v>
      </c>
      <c r="O1153" s="4">
        <v>69016</v>
      </c>
      <c r="P1153" s="4">
        <v>151647</v>
      </c>
      <c r="Q1153" s="4">
        <v>220663</v>
      </c>
      <c r="R1153" s="4">
        <v>661989</v>
      </c>
      <c r="S1153" t="s">
        <v>17527</v>
      </c>
      <c r="T1153" s="6">
        <v>45156</v>
      </c>
      <c r="U1153" s="4">
        <v>585000</v>
      </c>
      <c r="V1153" t="s">
        <v>23739</v>
      </c>
      <c r="W1153" t="s">
        <v>24307</v>
      </c>
      <c r="X1153" t="s">
        <v>3</v>
      </c>
      <c r="AA1153" s="5" t="str">
        <f>HYPERLINK("https://www.zillow.com/homes/1511-PINEHURST-DR-DARIEN-IL-60561_rb/","check listing")</f>
        <v>check listing</v>
      </c>
      <c r="AB1153" s="5" t="str">
        <f>HYPERLINK("https://propertylookup.dupagecounty.gov/Datalets/Datalet.aspx?UseSearch=no&amp;mode=sales&amp;pin=0933208012","sales record")</f>
        <v>sales record</v>
      </c>
      <c r="AC1153" t="s">
        <v>3</v>
      </c>
      <c r="AD1153">
        <v>41.737308</v>
      </c>
      <c r="AE1153">
        <v>-87.981335</v>
      </c>
      <c r="AF1153" s="5" t="str">
        <f>HYPERLINK("https://www.google.com/maps/search/?api=1&amp;query=41.737308,-87.981335","map")</f>
        <v>map</v>
      </c>
    </row>
    <row r="1154" spans="1:32">
      <c r="A1154" t="s">
        <v>1204</v>
      </c>
      <c r="B1154" t="s">
        <v>8781</v>
      </c>
      <c r="C1154" t="s">
        <v>15201</v>
      </c>
      <c r="D1154" t="s">
        <v>16198</v>
      </c>
      <c r="E1154" t="s">
        <v>16218</v>
      </c>
      <c r="F1154" t="s">
        <v>16221</v>
      </c>
      <c r="G1154" t="s">
        <v>16241</v>
      </c>
      <c r="H1154" t="s">
        <v>16241</v>
      </c>
      <c r="I1154" t="s">
        <v>16317</v>
      </c>
      <c r="J1154" t="s">
        <v>16385</v>
      </c>
      <c r="K1154">
        <v>0.241</v>
      </c>
      <c r="L1154">
        <v>10499</v>
      </c>
      <c r="M1154">
        <v>2448</v>
      </c>
      <c r="N1154" t="s">
        <v>16393</v>
      </c>
      <c r="O1154" s="4">
        <v>69016</v>
      </c>
      <c r="P1154" s="4">
        <v>131787</v>
      </c>
      <c r="Q1154" s="4">
        <v>200803</v>
      </c>
      <c r="R1154" s="4">
        <v>602409</v>
      </c>
      <c r="S1154" t="s">
        <v>17528</v>
      </c>
      <c r="T1154" s="6">
        <v>33635</v>
      </c>
      <c r="U1154" s="4">
        <v>267000</v>
      </c>
      <c r="X1154" t="s">
        <v>3</v>
      </c>
      <c r="AA1154" s="5" t="str">
        <f>HYPERLINK("https://www.zillow.com/homes/1513-PINE-VIEW-CT-DARIEN-IL-60561_rb/","check listing")</f>
        <v>check listing</v>
      </c>
      <c r="AB1154" s="5" t="str">
        <f>HYPERLINK("https://propertylookup.dupagecounty.gov/Datalets/Datalet.aspx?UseSearch=no&amp;mode=sales&amp;pin=0933207011","sales record")</f>
        <v>sales record</v>
      </c>
      <c r="AC1154" t="s">
        <v>3</v>
      </c>
      <c r="AD1154">
        <v>41.738547</v>
      </c>
      <c r="AE1154">
        <v>-87.98087599999999</v>
      </c>
      <c r="AF1154" s="5" t="str">
        <f>HYPERLINK("https://www.google.com/maps/search/?api=1&amp;query=41.738547,-87.980876","map")</f>
        <v>map</v>
      </c>
    </row>
    <row r="1155" spans="1:32">
      <c r="A1155" t="s">
        <v>1205</v>
      </c>
      <c r="B1155" t="s">
        <v>8782</v>
      </c>
      <c r="C1155" t="s">
        <v>15229</v>
      </c>
      <c r="D1155" t="s">
        <v>16198</v>
      </c>
      <c r="E1155" t="s">
        <v>16218</v>
      </c>
      <c r="F1155" t="s">
        <v>16221</v>
      </c>
      <c r="G1155" t="s">
        <v>16241</v>
      </c>
      <c r="H1155" t="s">
        <v>16241</v>
      </c>
      <c r="I1155" t="s">
        <v>16317</v>
      </c>
      <c r="J1155" t="s">
        <v>16385</v>
      </c>
      <c r="K1155">
        <v>0.241</v>
      </c>
      <c r="L1155">
        <v>10498</v>
      </c>
      <c r="M1155">
        <v>3140</v>
      </c>
      <c r="N1155" t="s">
        <v>16393</v>
      </c>
      <c r="O1155" s="4">
        <v>69016</v>
      </c>
      <c r="P1155" s="4">
        <v>132116</v>
      </c>
      <c r="Q1155" s="4">
        <v>201132</v>
      </c>
      <c r="R1155" s="4">
        <v>603396</v>
      </c>
      <c r="S1155" t="s">
        <v>17529</v>
      </c>
      <c r="T1155" s="6">
        <v>44733</v>
      </c>
      <c r="U1155" s="4">
        <v>580000</v>
      </c>
      <c r="V1155" t="s">
        <v>23739</v>
      </c>
      <c r="W1155" t="s">
        <v>17529</v>
      </c>
      <c r="X1155" t="s">
        <v>3</v>
      </c>
      <c r="AA1155" s="5" t="str">
        <f>HYPERLINK("https://www.zillow.com/homes/8216-PINE-BLUFF-CT-DARIEN-IL-605614900_rb/","check listing")</f>
        <v>check listing</v>
      </c>
      <c r="AB1155" s="5" t="str">
        <f>HYPERLINK("https://propertylookup.dupagecounty.gov/Datalets/Datalet.aspx?UseSearch=no&amp;mode=sales&amp;pin=0933207026","sales record")</f>
        <v>sales record</v>
      </c>
      <c r="AC1155" t="s">
        <v>3</v>
      </c>
      <c r="AD1155">
        <v>41.738904</v>
      </c>
      <c r="AE1155">
        <v>-87.979966</v>
      </c>
      <c r="AF1155" s="5" t="str">
        <f>HYPERLINK("https://www.google.com/maps/search/?api=1&amp;query=41.738904,-87.979966","map")</f>
        <v>map</v>
      </c>
    </row>
    <row r="1156" spans="1:32">
      <c r="A1156" t="s">
        <v>1206</v>
      </c>
      <c r="B1156" t="s">
        <v>8783</v>
      </c>
      <c r="C1156" t="s">
        <v>15201</v>
      </c>
      <c r="D1156" t="s">
        <v>16198</v>
      </c>
      <c r="E1156" t="s">
        <v>16218</v>
      </c>
      <c r="F1156" t="s">
        <v>16221</v>
      </c>
      <c r="G1156" t="s">
        <v>16241</v>
      </c>
      <c r="H1156" t="s">
        <v>16241</v>
      </c>
      <c r="I1156" t="s">
        <v>16317</v>
      </c>
      <c r="J1156" t="s">
        <v>16385</v>
      </c>
      <c r="K1156">
        <v>0.239</v>
      </c>
      <c r="L1156">
        <v>10424</v>
      </c>
      <c r="M1156">
        <v>1523</v>
      </c>
      <c r="N1156" t="s">
        <v>16393</v>
      </c>
      <c r="O1156" s="4">
        <v>68311</v>
      </c>
      <c r="P1156" s="4">
        <v>126024</v>
      </c>
      <c r="Q1156" s="4">
        <v>194335</v>
      </c>
      <c r="R1156" s="4">
        <v>583005</v>
      </c>
      <c r="S1156" t="s">
        <v>17530</v>
      </c>
      <c r="T1156" s="6">
        <v>40940</v>
      </c>
      <c r="U1156" s="4">
        <v>425000</v>
      </c>
      <c r="V1156" t="s">
        <v>23739</v>
      </c>
      <c r="W1156" t="s">
        <v>17530</v>
      </c>
      <c r="X1156" t="s">
        <v>3</v>
      </c>
      <c r="AA1156" s="5" t="str">
        <f>HYPERLINK("https://www.zillow.com/homes/8213-PINE-BLUFF-CT-DARIEN-IL-60561_rb/","check listing")</f>
        <v>check listing</v>
      </c>
      <c r="AB1156" s="5" t="str">
        <f>HYPERLINK("https://propertylookup.dupagecounty.gov/Datalets/Datalet.aspx?UseSearch=no&amp;mode=sales&amp;pin=0933207034","sales record")</f>
        <v>sales record</v>
      </c>
      <c r="AC1156" t="s">
        <v>3</v>
      </c>
      <c r="AD1156">
        <v>41.739195</v>
      </c>
      <c r="AE1156">
        <v>-87.97928899999999</v>
      </c>
      <c r="AF1156" s="5" t="str">
        <f>HYPERLINK("https://www.google.com/maps/search/?api=1&amp;query=41.739195,-87.979289","map")</f>
        <v>map</v>
      </c>
    </row>
    <row r="1157" spans="1:32">
      <c r="A1157" t="s">
        <v>1207</v>
      </c>
      <c r="B1157" t="s">
        <v>8784</v>
      </c>
      <c r="C1157" t="s">
        <v>15201</v>
      </c>
      <c r="D1157" t="s">
        <v>16198</v>
      </c>
      <c r="E1157" t="s">
        <v>16218</v>
      </c>
      <c r="F1157" t="s">
        <v>16221</v>
      </c>
      <c r="G1157" t="s">
        <v>16241</v>
      </c>
      <c r="H1157" t="s">
        <v>16241</v>
      </c>
      <c r="I1157" t="s">
        <v>16317</v>
      </c>
      <c r="J1157" t="s">
        <v>16385</v>
      </c>
      <c r="K1157">
        <v>0.239</v>
      </c>
      <c r="L1157">
        <v>10424</v>
      </c>
      <c r="M1157">
        <v>1830</v>
      </c>
      <c r="N1157" t="s">
        <v>16393</v>
      </c>
      <c r="O1157" s="4">
        <v>68311</v>
      </c>
      <c r="P1157" s="4">
        <v>139604</v>
      </c>
      <c r="Q1157" s="4">
        <v>207915</v>
      </c>
      <c r="R1157" s="4">
        <v>623745</v>
      </c>
      <c r="S1157" t="s">
        <v>17531</v>
      </c>
      <c r="T1157" s="6">
        <v>41030</v>
      </c>
      <c r="U1157" s="4">
        <v>380000</v>
      </c>
      <c r="V1157" t="s">
        <v>23740</v>
      </c>
      <c r="W1157" t="s">
        <v>24308</v>
      </c>
      <c r="X1157" t="s">
        <v>3</v>
      </c>
      <c r="AA1157" s="5" t="str">
        <f>HYPERLINK("https://www.zillow.com/homes/8217-PINE-BLUFF-CT-DARIEN-IL-60561_rb/","check listing")</f>
        <v>check listing</v>
      </c>
      <c r="AB1157" s="5" t="str">
        <f>HYPERLINK("https://propertylookup.dupagecounty.gov/Datalets/Datalet.aspx?UseSearch=no&amp;mode=sales&amp;pin=0933207035","sales record")</f>
        <v>sales record</v>
      </c>
      <c r="AC1157" t="s">
        <v>3</v>
      </c>
      <c r="AD1157">
        <v>41.738992</v>
      </c>
      <c r="AE1157">
        <v>-87.97924500000001</v>
      </c>
      <c r="AF1157" s="5" t="str">
        <f>HYPERLINK("https://www.google.com/maps/search/?api=1&amp;query=41.738992,-87.979245","map")</f>
        <v>map</v>
      </c>
    </row>
    <row r="1158" spans="1:32">
      <c r="A1158" t="s">
        <v>1208</v>
      </c>
      <c r="B1158" t="s">
        <v>8785</v>
      </c>
      <c r="C1158" t="s">
        <v>15201</v>
      </c>
      <c r="D1158" t="s">
        <v>16198</v>
      </c>
      <c r="E1158" t="s">
        <v>16218</v>
      </c>
      <c r="F1158" t="s">
        <v>16221</v>
      </c>
      <c r="G1158" t="s">
        <v>16241</v>
      </c>
      <c r="H1158" t="s">
        <v>16241</v>
      </c>
      <c r="I1158" t="s">
        <v>16317</v>
      </c>
      <c r="J1158" t="s">
        <v>16385</v>
      </c>
      <c r="K1158">
        <v>0.237</v>
      </c>
      <c r="L1158">
        <v>10306</v>
      </c>
      <c r="M1158">
        <v>1794</v>
      </c>
      <c r="N1158" t="s">
        <v>16393</v>
      </c>
      <c r="O1158" s="4">
        <v>65870</v>
      </c>
      <c r="P1158" s="4">
        <v>107244</v>
      </c>
      <c r="Q1158" s="4">
        <v>173114</v>
      </c>
      <c r="R1158" s="4">
        <v>519342</v>
      </c>
      <c r="S1158" t="s">
        <v>17532</v>
      </c>
      <c r="T1158" s="6">
        <v>38322</v>
      </c>
      <c r="U1158" s="4">
        <v>360000</v>
      </c>
      <c r="V1158" t="s">
        <v>23739</v>
      </c>
      <c r="W1158" t="s">
        <v>24309</v>
      </c>
      <c r="X1158" t="s">
        <v>3</v>
      </c>
      <c r="AA1158" s="5" t="str">
        <f>HYPERLINK("https://www.zillow.com/homes/8116-PORTSMOUTH-DR-DARIEN-IL-60561_rb/","check listing")</f>
        <v>check listing</v>
      </c>
      <c r="AB1158" s="5" t="str">
        <f>HYPERLINK("https://propertylookup.dupagecounty.gov/Datalets/Datalet.aspx?UseSearch=no&amp;mode=sales&amp;pin=0934210020","sales record")</f>
        <v>sales record</v>
      </c>
      <c r="AC1158" t="s">
        <v>3</v>
      </c>
      <c r="AD1158">
        <v>41.739948</v>
      </c>
      <c r="AE1158">
        <v>-87.962538</v>
      </c>
      <c r="AF1158" s="5" t="str">
        <f>HYPERLINK("https://www.google.com/maps/search/?api=1&amp;query=41.739948,-87.962538","map")</f>
        <v>map</v>
      </c>
    </row>
    <row r="1159" spans="1:32">
      <c r="A1159" t="s">
        <v>1209</v>
      </c>
      <c r="B1159" t="s">
        <v>8786</v>
      </c>
      <c r="C1159" t="s">
        <v>15201</v>
      </c>
      <c r="D1159" t="s">
        <v>16198</v>
      </c>
      <c r="E1159" t="s">
        <v>16218</v>
      </c>
      <c r="F1159" t="s">
        <v>16221</v>
      </c>
      <c r="G1159" t="s">
        <v>16241</v>
      </c>
      <c r="H1159" t="s">
        <v>16241</v>
      </c>
      <c r="I1159" t="s">
        <v>16317</v>
      </c>
      <c r="J1159" t="s">
        <v>16385</v>
      </c>
      <c r="K1159">
        <v>0.234</v>
      </c>
      <c r="L1159">
        <v>10207</v>
      </c>
      <c r="M1159">
        <v>2175</v>
      </c>
      <c r="N1159" t="s">
        <v>16393</v>
      </c>
      <c r="O1159" s="4">
        <v>66081</v>
      </c>
      <c r="P1159" s="4">
        <v>101551</v>
      </c>
      <c r="Q1159" s="4">
        <v>167632</v>
      </c>
      <c r="R1159" s="4">
        <v>502896</v>
      </c>
      <c r="S1159" t="s">
        <v>17533</v>
      </c>
      <c r="T1159" s="6">
        <v>33817</v>
      </c>
      <c r="U1159" s="4">
        <v>220000</v>
      </c>
      <c r="X1159" t="s">
        <v>3</v>
      </c>
      <c r="AA1159" s="5" t="str">
        <f>HYPERLINK("https://www.zillow.com/homes/8124-PORTSMOUTH-DR-DARIEN-IL-60561_rb/","check listing")</f>
        <v>check listing</v>
      </c>
      <c r="AB1159" s="5" t="str">
        <f>HYPERLINK("https://propertylookup.dupagecounty.gov/Datalets/Datalet.aspx?UseSearch=no&amp;mode=sales&amp;pin=0934210022","sales record")</f>
        <v>sales record</v>
      </c>
      <c r="AC1159" t="s">
        <v>3</v>
      </c>
      <c r="AD1159">
        <v>41.739674</v>
      </c>
      <c r="AE1159">
        <v>-87.96208900000001</v>
      </c>
      <c r="AF1159" s="5" t="str">
        <f>HYPERLINK("https://www.google.com/maps/search/?api=1&amp;query=41.739674,-87.962089","map")</f>
        <v>map</v>
      </c>
    </row>
    <row r="1160" spans="1:32">
      <c r="A1160" t="s">
        <v>1210</v>
      </c>
      <c r="B1160" t="s">
        <v>8787</v>
      </c>
      <c r="C1160" t="s">
        <v>15229</v>
      </c>
      <c r="D1160" t="s">
        <v>16198</v>
      </c>
      <c r="E1160" t="s">
        <v>16218</v>
      </c>
      <c r="F1160" t="s">
        <v>16221</v>
      </c>
      <c r="G1160" t="s">
        <v>16241</v>
      </c>
      <c r="H1160" t="s">
        <v>16241</v>
      </c>
      <c r="I1160" t="s">
        <v>16317</v>
      </c>
      <c r="J1160" t="s">
        <v>16385</v>
      </c>
      <c r="K1160">
        <v>0.234</v>
      </c>
      <c r="L1160">
        <v>10176</v>
      </c>
      <c r="M1160">
        <v>2165</v>
      </c>
      <c r="N1160" t="s">
        <v>16393</v>
      </c>
      <c r="O1160" s="4">
        <v>62888</v>
      </c>
      <c r="P1160" s="4">
        <v>165649</v>
      </c>
      <c r="Q1160" s="4">
        <v>228537</v>
      </c>
      <c r="R1160" s="4">
        <v>685611</v>
      </c>
      <c r="S1160" t="s">
        <v>17534</v>
      </c>
      <c r="T1160" s="6">
        <v>42461</v>
      </c>
      <c r="U1160" s="4">
        <v>481750</v>
      </c>
      <c r="V1160" t="s">
        <v>23739</v>
      </c>
      <c r="W1160" t="s">
        <v>24310</v>
      </c>
      <c r="X1160" t="s">
        <v>3</v>
      </c>
      <c r="AA1160" s="5" t="str">
        <f>HYPERLINK("https://www.zillow.com/homes/8209-PINE-BLUFF-CT-DARIEN-IL-605614900_rb/","check listing")</f>
        <v>check listing</v>
      </c>
      <c r="AB1160" s="5" t="str">
        <f>HYPERLINK("https://propertylookup.dupagecounty.gov/Datalets/Datalet.aspx?UseSearch=no&amp;mode=sales&amp;pin=0933207033","sales record")</f>
        <v>sales record</v>
      </c>
      <c r="AC1160" t="s">
        <v>3</v>
      </c>
      <c r="AD1160">
        <v>41.739418</v>
      </c>
      <c r="AE1160">
        <v>-87.979309</v>
      </c>
      <c r="AF1160" s="5" t="str">
        <f>HYPERLINK("https://www.google.com/maps/search/?api=1&amp;query=41.739418,-87.979309","map")</f>
        <v>map</v>
      </c>
    </row>
    <row r="1161" spans="1:32">
      <c r="A1161" t="s">
        <v>1211</v>
      </c>
      <c r="B1161" t="s">
        <v>8788</v>
      </c>
      <c r="C1161" t="s">
        <v>15256</v>
      </c>
      <c r="D1161" t="s">
        <v>16198</v>
      </c>
      <c r="E1161" t="s">
        <v>16218</v>
      </c>
      <c r="F1161" t="s">
        <v>16221</v>
      </c>
      <c r="G1161" t="s">
        <v>16241</v>
      </c>
      <c r="H1161" t="s">
        <v>16241</v>
      </c>
      <c r="I1161" t="s">
        <v>16317</v>
      </c>
      <c r="J1161" t="s">
        <v>16385</v>
      </c>
      <c r="K1161">
        <v>0.232</v>
      </c>
      <c r="L1161">
        <v>10085</v>
      </c>
      <c r="M1161">
        <v>1925</v>
      </c>
      <c r="N1161" t="s">
        <v>16393</v>
      </c>
      <c r="O1161" s="4">
        <v>58463</v>
      </c>
      <c r="P1161" s="4">
        <v>81504</v>
      </c>
      <c r="Q1161" s="4">
        <v>139967</v>
      </c>
      <c r="R1161" s="4">
        <v>419901</v>
      </c>
      <c r="S1161" t="s">
        <v>17535</v>
      </c>
      <c r="T1161" s="6">
        <v>44166</v>
      </c>
      <c r="U1161" s="4">
        <v>408000</v>
      </c>
      <c r="V1161" t="s">
        <v>23739</v>
      </c>
      <c r="W1161" t="s">
        <v>24311</v>
      </c>
      <c r="X1161" t="s">
        <v>3</v>
      </c>
      <c r="AA1161" s="5" t="str">
        <f>HYPERLINK("https://www.zillow.com/homes/7701-FLORENCE-AVE-DARIEN-IL-605614303_rb/","check listing")</f>
        <v>check listing</v>
      </c>
      <c r="AB1161" s="5" t="str">
        <f>HYPERLINK("https://propertylookup.dupagecounty.gov/Datalets/Datalet.aspx?UseSearch=no&amp;mode=sales&amp;pin=0928305021","sales record")</f>
        <v>sales record</v>
      </c>
      <c r="AC1161" t="s">
        <v>3</v>
      </c>
      <c r="AD1161">
        <v>41.747782</v>
      </c>
      <c r="AE1161">
        <v>-87.989746</v>
      </c>
      <c r="AF1161" s="5" t="str">
        <f>HYPERLINK("https://www.google.com/maps/search/?api=1&amp;query=41.747782,-87.989746","map")</f>
        <v>map</v>
      </c>
    </row>
    <row r="1162" spans="1:32">
      <c r="A1162" t="s">
        <v>1212</v>
      </c>
      <c r="B1162" t="s">
        <v>8789</v>
      </c>
      <c r="C1162" t="s">
        <v>15201</v>
      </c>
      <c r="D1162" t="s">
        <v>16198</v>
      </c>
      <c r="E1162" t="s">
        <v>16218</v>
      </c>
      <c r="F1162" t="s">
        <v>16221</v>
      </c>
      <c r="G1162" t="s">
        <v>16241</v>
      </c>
      <c r="H1162" t="s">
        <v>16241</v>
      </c>
      <c r="I1162" t="s">
        <v>16317</v>
      </c>
      <c r="J1162" t="s">
        <v>16385</v>
      </c>
      <c r="K1162">
        <v>0.231</v>
      </c>
      <c r="L1162">
        <v>10062</v>
      </c>
      <c r="M1162">
        <v>1954</v>
      </c>
      <c r="N1162" t="s">
        <v>16393</v>
      </c>
      <c r="O1162" s="4">
        <v>58335</v>
      </c>
      <c r="P1162" s="4">
        <v>115026</v>
      </c>
      <c r="Q1162" s="4">
        <v>173361</v>
      </c>
      <c r="R1162" s="4">
        <v>520083</v>
      </c>
      <c r="S1162" t="s">
        <v>17536</v>
      </c>
      <c r="T1162" s="6">
        <v>43070</v>
      </c>
      <c r="U1162" s="4">
        <v>390000</v>
      </c>
      <c r="V1162" t="s">
        <v>23739</v>
      </c>
      <c r="W1162" t="s">
        <v>17536</v>
      </c>
      <c r="X1162" t="s">
        <v>3</v>
      </c>
      <c r="AA1162" s="5" t="str">
        <f>HYPERLINK("https://www.zillow.com/homes/7813-DORCHESTER-LN-DARIEN-IL-60561_rb/","check listing")</f>
        <v>check listing</v>
      </c>
      <c r="AB1162" s="5" t="str">
        <f>HYPERLINK("https://propertylookup.dupagecounty.gov/Datalets/Datalet.aspx?UseSearch=no&amp;mode=sales&amp;pin=0927418017","sales record")</f>
        <v>sales record</v>
      </c>
      <c r="AC1162" t="s">
        <v>3</v>
      </c>
      <c r="AD1162">
        <v>41.746156</v>
      </c>
      <c r="AE1162">
        <v>-87.961799</v>
      </c>
      <c r="AF1162" s="5" t="str">
        <f>HYPERLINK("https://www.google.com/maps/search/?api=1&amp;query=41.746156,-87.961799","map")</f>
        <v>map</v>
      </c>
    </row>
    <row r="1163" spans="1:32">
      <c r="A1163" t="s">
        <v>1213</v>
      </c>
      <c r="B1163" t="s">
        <v>8790</v>
      </c>
      <c r="C1163" t="s">
        <v>15201</v>
      </c>
      <c r="D1163" t="s">
        <v>16198</v>
      </c>
      <c r="E1163" t="s">
        <v>16218</v>
      </c>
      <c r="F1163" t="s">
        <v>16221</v>
      </c>
      <c r="G1163" t="s">
        <v>16241</v>
      </c>
      <c r="H1163" t="s">
        <v>16241</v>
      </c>
      <c r="I1163" t="s">
        <v>16317</v>
      </c>
      <c r="J1163" t="s">
        <v>16385</v>
      </c>
      <c r="K1163">
        <v>0.231</v>
      </c>
      <c r="L1163">
        <v>10059</v>
      </c>
      <c r="M1163">
        <v>2912</v>
      </c>
      <c r="N1163" t="s">
        <v>16393</v>
      </c>
      <c r="O1163" s="4">
        <v>58335</v>
      </c>
      <c r="P1163" s="4">
        <v>124557</v>
      </c>
      <c r="Q1163" s="4">
        <v>182892</v>
      </c>
      <c r="R1163" s="4">
        <v>548676</v>
      </c>
      <c r="S1163" t="s">
        <v>17537</v>
      </c>
      <c r="T1163" s="6">
        <v>41030</v>
      </c>
      <c r="U1163" s="4">
        <v>330000</v>
      </c>
      <c r="V1163" t="s">
        <v>23740</v>
      </c>
      <c r="W1163" t="s">
        <v>24312</v>
      </c>
      <c r="X1163" t="s">
        <v>3</v>
      </c>
      <c r="AA1163" s="5" t="str">
        <f>HYPERLINK("https://www.zillow.com/homes/7821-DORCHESTER-LN-DARIEN-IL-60561_rb/","check listing")</f>
        <v>check listing</v>
      </c>
      <c r="AB1163" s="5" t="str">
        <f>HYPERLINK("https://propertylookup.dupagecounty.gov/Datalets/Datalet.aspx?UseSearch=no&amp;mode=sales&amp;pin=0927418019","sales record")</f>
        <v>sales record</v>
      </c>
      <c r="AC1163" t="s">
        <v>3</v>
      </c>
      <c r="AD1163">
        <v>41.745786</v>
      </c>
      <c r="AE1163">
        <v>-87.961787</v>
      </c>
      <c r="AF1163" s="5" t="str">
        <f>HYPERLINK("https://www.google.com/maps/search/?api=1&amp;query=41.745786,-87.961787","map")</f>
        <v>map</v>
      </c>
    </row>
    <row r="1164" spans="1:32">
      <c r="A1164" t="s">
        <v>1214</v>
      </c>
      <c r="B1164" t="s">
        <v>8791</v>
      </c>
      <c r="C1164" t="s">
        <v>15201</v>
      </c>
      <c r="D1164" t="s">
        <v>16198</v>
      </c>
      <c r="E1164" t="s">
        <v>16218</v>
      </c>
      <c r="F1164" t="s">
        <v>16221</v>
      </c>
      <c r="G1164" t="s">
        <v>16241</v>
      </c>
      <c r="H1164" t="s">
        <v>16241</v>
      </c>
      <c r="I1164" t="s">
        <v>16317</v>
      </c>
      <c r="J1164" t="s">
        <v>16385</v>
      </c>
      <c r="K1164">
        <v>0.231</v>
      </c>
      <c r="L1164">
        <v>10051</v>
      </c>
      <c r="M1164">
        <v>2355</v>
      </c>
      <c r="N1164" t="s">
        <v>16393</v>
      </c>
      <c r="O1164" s="4">
        <v>58463</v>
      </c>
      <c r="P1164" s="4">
        <v>77960</v>
      </c>
      <c r="Q1164" s="4">
        <v>136423</v>
      </c>
      <c r="R1164" s="4">
        <v>409269</v>
      </c>
      <c r="S1164" t="s">
        <v>17538</v>
      </c>
      <c r="T1164" s="6">
        <v>45797</v>
      </c>
      <c r="U1164" s="4">
        <v>425000</v>
      </c>
      <c r="V1164" t="s">
        <v>23739</v>
      </c>
      <c r="W1164" t="s">
        <v>24313</v>
      </c>
      <c r="X1164" t="s">
        <v>3</v>
      </c>
      <c r="AA1164" s="5" t="str">
        <f>HYPERLINK("https://www.zillow.com/homes/7709-FLORENCE-AVE-DARIEN-IL-60561_rb/","check listing")</f>
        <v>check listing</v>
      </c>
      <c r="AB1164" s="5" t="str">
        <f>HYPERLINK("https://propertylookup.dupagecounty.gov/Datalets/Datalet.aspx?UseSearch=no&amp;mode=sales&amp;pin=0928305023","sales record")</f>
        <v>sales record</v>
      </c>
      <c r="AC1164" t="s">
        <v>3</v>
      </c>
      <c r="AD1164">
        <v>41.74737</v>
      </c>
      <c r="AE1164">
        <v>-87.989733</v>
      </c>
      <c r="AF1164" s="5" t="str">
        <f>HYPERLINK("https://www.google.com/maps/search/?api=1&amp;query=41.74737,-87.989733","map")</f>
        <v>map</v>
      </c>
    </row>
    <row r="1165" spans="1:32">
      <c r="A1165" t="s">
        <v>1215</v>
      </c>
      <c r="B1165" t="s">
        <v>8792</v>
      </c>
      <c r="C1165" t="s">
        <v>15201</v>
      </c>
      <c r="D1165" t="s">
        <v>16198</v>
      </c>
      <c r="E1165" t="s">
        <v>16218</v>
      </c>
      <c r="F1165" t="s">
        <v>16221</v>
      </c>
      <c r="G1165" t="s">
        <v>16241</v>
      </c>
      <c r="H1165" t="s">
        <v>16241</v>
      </c>
      <c r="I1165" t="s">
        <v>16317</v>
      </c>
      <c r="J1165" t="s">
        <v>16385</v>
      </c>
      <c r="K1165">
        <v>0.231</v>
      </c>
      <c r="L1165">
        <v>10049</v>
      </c>
      <c r="M1165">
        <v>2181</v>
      </c>
      <c r="N1165" t="s">
        <v>16393</v>
      </c>
      <c r="O1165" s="4">
        <v>58463</v>
      </c>
      <c r="P1165" s="4">
        <v>82467</v>
      </c>
      <c r="Q1165" s="4">
        <v>140930</v>
      </c>
      <c r="R1165" s="4">
        <v>422790</v>
      </c>
      <c r="S1165" t="s">
        <v>17539</v>
      </c>
      <c r="T1165" s="6">
        <v>42186</v>
      </c>
      <c r="U1165" s="4">
        <v>318000</v>
      </c>
      <c r="V1165" t="s">
        <v>23739</v>
      </c>
      <c r="W1165" t="s">
        <v>17539</v>
      </c>
      <c r="X1165" t="s">
        <v>3</v>
      </c>
      <c r="AA1165" s="5" t="str">
        <f>HYPERLINK("https://www.zillow.com/homes/7725-FLORENCE-AVE-DARIEN-IL-60561_rb/","check listing")</f>
        <v>check listing</v>
      </c>
      <c r="AB1165" s="5" t="str">
        <f>HYPERLINK("https://propertylookup.dupagecounty.gov/Datalets/Datalet.aspx?UseSearch=no&amp;mode=sales&amp;pin=0928305027","sales record")</f>
        <v>sales record</v>
      </c>
      <c r="AC1165" t="s">
        <v>3</v>
      </c>
      <c r="AD1165">
        <v>41.746547</v>
      </c>
      <c r="AE1165">
        <v>-87.989707</v>
      </c>
      <c r="AF1165" s="5" t="str">
        <f>HYPERLINK("https://www.google.com/maps/search/?api=1&amp;query=41.746547,-87.989707","map")</f>
        <v>map</v>
      </c>
    </row>
    <row r="1166" spans="1:32">
      <c r="A1166" t="s">
        <v>1216</v>
      </c>
      <c r="B1166" t="s">
        <v>8793</v>
      </c>
      <c r="C1166" t="s">
        <v>15201</v>
      </c>
      <c r="D1166" t="s">
        <v>16198</v>
      </c>
      <c r="E1166" t="s">
        <v>16218</v>
      </c>
      <c r="F1166" t="s">
        <v>16221</v>
      </c>
      <c r="G1166" t="s">
        <v>16241</v>
      </c>
      <c r="H1166" t="s">
        <v>16241</v>
      </c>
      <c r="I1166" t="s">
        <v>16317</v>
      </c>
      <c r="J1166" t="s">
        <v>16385</v>
      </c>
      <c r="K1166">
        <v>0.231</v>
      </c>
      <c r="L1166">
        <v>10049</v>
      </c>
      <c r="M1166">
        <v>2079</v>
      </c>
      <c r="N1166" t="s">
        <v>16393</v>
      </c>
      <c r="O1166" s="4">
        <v>58463</v>
      </c>
      <c r="P1166" s="4">
        <v>82173</v>
      </c>
      <c r="Q1166" s="4">
        <v>140636</v>
      </c>
      <c r="R1166" s="4">
        <v>421908</v>
      </c>
      <c r="S1166" t="s">
        <v>17540</v>
      </c>
      <c r="T1166" s="6">
        <v>43862</v>
      </c>
      <c r="U1166" s="4">
        <v>281500</v>
      </c>
      <c r="V1166" t="s">
        <v>23739</v>
      </c>
      <c r="W1166" t="s">
        <v>17540</v>
      </c>
      <c r="X1166" t="s">
        <v>3</v>
      </c>
      <c r="AA1166" s="5" t="str">
        <f>HYPERLINK("https://www.zillow.com/homes/7817-FLORENCE-AVE-DARIEN-IL-60561_rb/","check listing")</f>
        <v>check listing</v>
      </c>
      <c r="AB1166" s="5" t="str">
        <f>HYPERLINK("https://propertylookup.dupagecounty.gov/Datalets/Datalet.aspx?UseSearch=no&amp;mode=sales&amp;pin=0928305033","sales record")</f>
        <v>sales record</v>
      </c>
      <c r="AC1166" t="s">
        <v>3</v>
      </c>
      <c r="AD1166">
        <v>41.745313</v>
      </c>
      <c r="AE1166">
        <v>-87.98966799999999</v>
      </c>
      <c r="AF1166" s="5" t="str">
        <f>HYPERLINK("https://www.google.com/maps/search/?api=1&amp;query=41.745313,-87.989668","map")</f>
        <v>map</v>
      </c>
    </row>
    <row r="1167" spans="1:32">
      <c r="A1167" t="s">
        <v>1217</v>
      </c>
      <c r="B1167" t="s">
        <v>8794</v>
      </c>
      <c r="C1167" t="s">
        <v>15201</v>
      </c>
      <c r="D1167" t="s">
        <v>16198</v>
      </c>
      <c r="E1167" t="s">
        <v>16218</v>
      </c>
      <c r="F1167" t="s">
        <v>16221</v>
      </c>
      <c r="G1167" t="s">
        <v>16241</v>
      </c>
      <c r="H1167" t="s">
        <v>16241</v>
      </c>
      <c r="I1167" t="s">
        <v>16317</v>
      </c>
      <c r="J1167" t="s">
        <v>16385</v>
      </c>
      <c r="K1167">
        <v>0.231</v>
      </c>
      <c r="L1167">
        <v>10049</v>
      </c>
      <c r="M1167">
        <v>2278</v>
      </c>
      <c r="N1167" t="s">
        <v>16393</v>
      </c>
      <c r="O1167" s="4">
        <v>58463</v>
      </c>
      <c r="P1167" s="4">
        <v>88182</v>
      </c>
      <c r="Q1167" s="4">
        <v>146645</v>
      </c>
      <c r="R1167" s="4">
        <v>439935</v>
      </c>
      <c r="S1167" t="s">
        <v>17541</v>
      </c>
      <c r="T1167" s="6">
        <v>30256</v>
      </c>
      <c r="U1167" s="4">
        <v>96000</v>
      </c>
      <c r="X1167" t="s">
        <v>3</v>
      </c>
      <c r="AA1167" s="5" t="str">
        <f>HYPERLINK("https://www.zillow.com/homes/7813-FLORENCE-AVE-DARIEN-IL-60561_rb/","check listing")</f>
        <v>check listing</v>
      </c>
      <c r="AB1167" s="5" t="str">
        <f>HYPERLINK("https://propertylookup.dupagecounty.gov/Datalets/Datalet.aspx?UseSearch=no&amp;mode=sales&amp;pin=0928305032","sales record")</f>
        <v>sales record</v>
      </c>
      <c r="AC1167" t="s">
        <v>3</v>
      </c>
      <c r="AD1167">
        <v>41.745519</v>
      </c>
      <c r="AE1167">
        <v>-87.98967399999999</v>
      </c>
      <c r="AF1167" s="5" t="str">
        <f>HYPERLINK("https://www.google.com/maps/search/?api=1&amp;query=41.745519,-87.989674","map")</f>
        <v>map</v>
      </c>
    </row>
    <row r="1168" spans="1:32">
      <c r="A1168" t="s">
        <v>1218</v>
      </c>
      <c r="B1168" t="s">
        <v>8795</v>
      </c>
      <c r="C1168" t="s">
        <v>15201</v>
      </c>
      <c r="D1168" t="s">
        <v>16198</v>
      </c>
      <c r="E1168" t="s">
        <v>16218</v>
      </c>
      <c r="F1168" t="s">
        <v>16221</v>
      </c>
      <c r="G1168" t="s">
        <v>16241</v>
      </c>
      <c r="H1168" t="s">
        <v>16241</v>
      </c>
      <c r="I1168" t="s">
        <v>16317</v>
      </c>
      <c r="J1168" t="s">
        <v>16385</v>
      </c>
      <c r="K1168">
        <v>0.231</v>
      </c>
      <c r="L1168">
        <v>10049</v>
      </c>
      <c r="M1168">
        <v>1993</v>
      </c>
      <c r="N1168" t="s">
        <v>16393</v>
      </c>
      <c r="O1168" s="4">
        <v>58463</v>
      </c>
      <c r="P1168" s="4">
        <v>81998</v>
      </c>
      <c r="Q1168" s="4">
        <v>140461</v>
      </c>
      <c r="R1168" s="4">
        <v>421383</v>
      </c>
      <c r="S1168" t="s">
        <v>17542</v>
      </c>
      <c r="T1168" s="6">
        <v>39234</v>
      </c>
      <c r="U1168" s="4">
        <v>327500</v>
      </c>
      <c r="V1168" t="s">
        <v>23739</v>
      </c>
      <c r="W1168" t="s">
        <v>17542</v>
      </c>
      <c r="X1168" t="s">
        <v>3</v>
      </c>
      <c r="AA1168" s="5" t="str">
        <f>HYPERLINK("https://www.zillow.com/homes/7717-FLORENCE-AVE-DARIEN-IL-60561_rb/","check listing")</f>
        <v>check listing</v>
      </c>
      <c r="AB1168" s="5" t="str">
        <f>HYPERLINK("https://propertylookup.dupagecounty.gov/Datalets/Datalet.aspx?UseSearch=no&amp;mode=sales&amp;pin=0928305025","sales record")</f>
        <v>sales record</v>
      </c>
      <c r="AC1168" t="s">
        <v>3</v>
      </c>
      <c r="AD1168">
        <v>41.746959</v>
      </c>
      <c r="AE1168">
        <v>-87.98972000000001</v>
      </c>
      <c r="AF1168" s="5" t="str">
        <f>HYPERLINK("https://www.google.com/maps/search/?api=1&amp;query=41.746959,-87.98972","map")</f>
        <v>map</v>
      </c>
    </row>
    <row r="1169" spans="1:32">
      <c r="A1169" t="s">
        <v>1219</v>
      </c>
      <c r="B1169" t="s">
        <v>8796</v>
      </c>
      <c r="C1169" t="s">
        <v>15201</v>
      </c>
      <c r="D1169" t="s">
        <v>16198</v>
      </c>
      <c r="E1169" t="s">
        <v>16218</v>
      </c>
      <c r="F1169" t="s">
        <v>16221</v>
      </c>
      <c r="G1169" t="s">
        <v>16241</v>
      </c>
      <c r="H1169" t="s">
        <v>16241</v>
      </c>
      <c r="I1169" t="s">
        <v>16317</v>
      </c>
      <c r="J1169" t="s">
        <v>16385</v>
      </c>
      <c r="K1169">
        <v>0.231</v>
      </c>
      <c r="L1169">
        <v>10049</v>
      </c>
      <c r="M1169">
        <v>1517</v>
      </c>
      <c r="N1169" t="s">
        <v>16393</v>
      </c>
      <c r="O1169" s="4">
        <v>58463</v>
      </c>
      <c r="P1169" s="4">
        <v>81493</v>
      </c>
      <c r="Q1169" s="4">
        <v>139956</v>
      </c>
      <c r="R1169" s="4">
        <v>419868</v>
      </c>
      <c r="S1169" t="s">
        <v>17543</v>
      </c>
      <c r="T1169" s="6">
        <v>29434</v>
      </c>
      <c r="U1169" s="4">
        <v>98000</v>
      </c>
      <c r="X1169" t="s">
        <v>3</v>
      </c>
      <c r="AA1169" s="5" t="str">
        <f>HYPERLINK("https://www.zillow.com/homes/7821-FLORENCE-AVE-DARIEN-IL-60561_rb/","check listing")</f>
        <v>check listing</v>
      </c>
      <c r="AB1169" s="5" t="str">
        <f>HYPERLINK("https://propertylookup.dupagecounty.gov/Datalets/Datalet.aspx?UseSearch=no&amp;mode=sales&amp;pin=0928305034","sales record")</f>
        <v>sales record</v>
      </c>
      <c r="AC1169" t="s">
        <v>3</v>
      </c>
      <c r="AD1169">
        <v>41.745107</v>
      </c>
      <c r="AE1169">
        <v>-87.989661</v>
      </c>
      <c r="AF1169" s="5" t="str">
        <f>HYPERLINK("https://www.google.com/maps/search/?api=1&amp;query=41.745107,-87.989661","map")</f>
        <v>map</v>
      </c>
    </row>
    <row r="1170" spans="1:32">
      <c r="A1170" t="s">
        <v>1220</v>
      </c>
      <c r="B1170" t="s">
        <v>8797</v>
      </c>
      <c r="C1170" t="s">
        <v>15257</v>
      </c>
      <c r="D1170" t="s">
        <v>16198</v>
      </c>
      <c r="E1170" t="s">
        <v>16218</v>
      </c>
      <c r="F1170" t="s">
        <v>16221</v>
      </c>
      <c r="G1170" t="s">
        <v>16241</v>
      </c>
      <c r="H1170" t="s">
        <v>16241</v>
      </c>
      <c r="I1170" t="s">
        <v>16317</v>
      </c>
      <c r="J1170" t="s">
        <v>16385</v>
      </c>
      <c r="K1170">
        <v>0.231</v>
      </c>
      <c r="L1170">
        <v>10049</v>
      </c>
      <c r="M1170">
        <v>2238</v>
      </c>
      <c r="N1170" t="s">
        <v>16393</v>
      </c>
      <c r="O1170" s="4">
        <v>58463</v>
      </c>
      <c r="P1170" s="4">
        <v>91493</v>
      </c>
      <c r="Q1170" s="4">
        <v>149956</v>
      </c>
      <c r="R1170" s="4">
        <v>449868</v>
      </c>
      <c r="S1170" t="s">
        <v>17544</v>
      </c>
      <c r="T1170" s="6">
        <v>43770</v>
      </c>
      <c r="U1170" s="4">
        <v>263000</v>
      </c>
      <c r="V1170" t="s">
        <v>16232</v>
      </c>
      <c r="W1170" t="s">
        <v>24314</v>
      </c>
      <c r="X1170" t="s">
        <v>3</v>
      </c>
      <c r="AA1170" s="5" t="str">
        <f>HYPERLINK("https://www.zillow.com/homes/7801-FLORENCE-AVE-DARIEN-IL-605614305_rb/","check listing")</f>
        <v>check listing</v>
      </c>
      <c r="AB1170" s="5" t="str">
        <f>HYPERLINK("https://propertylookup.dupagecounty.gov/Datalets/Datalet.aspx?UseSearch=no&amp;mode=sales&amp;pin=0928305029","sales record")</f>
        <v>sales record</v>
      </c>
      <c r="AC1170" t="s">
        <v>3</v>
      </c>
      <c r="AD1170">
        <v>41.746136</v>
      </c>
      <c r="AE1170">
        <v>-87.989694</v>
      </c>
      <c r="AF1170" s="5" t="str">
        <f>HYPERLINK("https://www.google.com/maps/search/?api=1&amp;query=41.746136,-87.989694","map")</f>
        <v>map</v>
      </c>
    </row>
    <row r="1171" spans="1:32">
      <c r="A1171" t="s">
        <v>1221</v>
      </c>
      <c r="B1171" t="s">
        <v>8798</v>
      </c>
      <c r="C1171" t="s">
        <v>15201</v>
      </c>
      <c r="D1171" t="s">
        <v>16198</v>
      </c>
      <c r="E1171" t="s">
        <v>16218</v>
      </c>
      <c r="F1171" t="s">
        <v>16221</v>
      </c>
      <c r="G1171" t="s">
        <v>16241</v>
      </c>
      <c r="H1171" t="s">
        <v>16241</v>
      </c>
      <c r="I1171" t="s">
        <v>16317</v>
      </c>
      <c r="J1171" t="s">
        <v>16385</v>
      </c>
      <c r="K1171">
        <v>0.231</v>
      </c>
      <c r="L1171">
        <v>10049</v>
      </c>
      <c r="M1171">
        <v>2038</v>
      </c>
      <c r="N1171" t="s">
        <v>16393</v>
      </c>
      <c r="O1171" s="4">
        <v>58463</v>
      </c>
      <c r="P1171" s="4">
        <v>81974</v>
      </c>
      <c r="Q1171" s="4">
        <v>140437</v>
      </c>
      <c r="R1171" s="4">
        <v>421311</v>
      </c>
      <c r="S1171" t="s">
        <v>17545</v>
      </c>
      <c r="X1171" t="s">
        <v>3</v>
      </c>
      <c r="AA1171" s="5" t="str">
        <f>HYPERLINK("https://www.zillow.com/homes/7809-FLORENCE-AVE-DARIEN-IL-60561_rb/","check listing")</f>
        <v>check listing</v>
      </c>
      <c r="AB1171" s="5" t="str">
        <f>HYPERLINK("https://propertylookup.dupagecounty.gov/Datalets/Datalet.aspx?UseSearch=no&amp;mode=sales&amp;pin=0928305031","sales record")</f>
        <v>sales record</v>
      </c>
      <c r="AC1171" t="s">
        <v>3</v>
      </c>
      <c r="AD1171">
        <v>41.745724</v>
      </c>
      <c r="AE1171">
        <v>-87.989681</v>
      </c>
      <c r="AF1171" s="5" t="str">
        <f>HYPERLINK("https://www.google.com/maps/search/?api=1&amp;query=41.745724,-87.989681","map")</f>
        <v>map</v>
      </c>
    </row>
    <row r="1172" spans="1:32">
      <c r="A1172" t="s">
        <v>1222</v>
      </c>
      <c r="B1172" t="s">
        <v>8799</v>
      </c>
      <c r="C1172" t="s">
        <v>15201</v>
      </c>
      <c r="D1172" t="s">
        <v>16198</v>
      </c>
      <c r="E1172" t="s">
        <v>16218</v>
      </c>
      <c r="F1172" t="s">
        <v>16221</v>
      </c>
      <c r="G1172" t="s">
        <v>16241</v>
      </c>
      <c r="H1172" t="s">
        <v>16241</v>
      </c>
      <c r="I1172" t="s">
        <v>16317</v>
      </c>
      <c r="J1172" t="s">
        <v>16385</v>
      </c>
      <c r="K1172">
        <v>0.231</v>
      </c>
      <c r="L1172">
        <v>10049</v>
      </c>
      <c r="M1172">
        <v>2000</v>
      </c>
      <c r="N1172" t="s">
        <v>16393</v>
      </c>
      <c r="O1172" s="4">
        <v>58463</v>
      </c>
      <c r="P1172" s="4">
        <v>81422</v>
      </c>
      <c r="Q1172" s="4">
        <v>139885</v>
      </c>
      <c r="R1172" s="4">
        <v>419655</v>
      </c>
      <c r="S1172" t="s">
        <v>17546</v>
      </c>
      <c r="T1172" s="6">
        <v>39173</v>
      </c>
      <c r="U1172" s="4">
        <v>327500</v>
      </c>
      <c r="V1172" t="s">
        <v>23739</v>
      </c>
      <c r="W1172" t="s">
        <v>24315</v>
      </c>
      <c r="X1172" t="s">
        <v>3</v>
      </c>
      <c r="AA1172" s="5" t="str">
        <f>HYPERLINK("https://www.zillow.com/homes/7729-FLORENCE-AVE-DARIEN-IL-60561_rb/","check listing")</f>
        <v>check listing</v>
      </c>
      <c r="AB1172" s="5" t="str">
        <f>HYPERLINK("https://propertylookup.dupagecounty.gov/Datalets/Datalet.aspx?UseSearch=no&amp;mode=sales&amp;pin=0928305028","sales record")</f>
        <v>sales record</v>
      </c>
      <c r="AC1172" t="s">
        <v>3</v>
      </c>
      <c r="AD1172">
        <v>41.746342</v>
      </c>
      <c r="AE1172">
        <v>-87.9897</v>
      </c>
      <c r="AF1172" s="5" t="str">
        <f>HYPERLINK("https://www.google.com/maps/search/?api=1&amp;query=41.746342,-87.9897","map")</f>
        <v>map</v>
      </c>
    </row>
    <row r="1173" spans="1:32">
      <c r="A1173" t="s">
        <v>1223</v>
      </c>
      <c r="B1173" t="s">
        <v>8800</v>
      </c>
      <c r="C1173" t="s">
        <v>15201</v>
      </c>
      <c r="D1173" t="s">
        <v>16198</v>
      </c>
      <c r="E1173" t="s">
        <v>16218</v>
      </c>
      <c r="F1173" t="s">
        <v>16221</v>
      </c>
      <c r="G1173" t="s">
        <v>16241</v>
      </c>
      <c r="H1173" t="s">
        <v>16241</v>
      </c>
      <c r="I1173" t="s">
        <v>16317</v>
      </c>
      <c r="J1173" t="s">
        <v>16385</v>
      </c>
      <c r="K1173">
        <v>0.231</v>
      </c>
      <c r="L1173">
        <v>10049</v>
      </c>
      <c r="M1173">
        <v>2096</v>
      </c>
      <c r="N1173" t="s">
        <v>16393</v>
      </c>
      <c r="O1173" s="4">
        <v>58463</v>
      </c>
      <c r="P1173" s="4">
        <v>87960</v>
      </c>
      <c r="Q1173" s="4">
        <v>146423</v>
      </c>
      <c r="R1173" s="4">
        <v>439269</v>
      </c>
      <c r="S1173" t="s">
        <v>17547</v>
      </c>
      <c r="T1173" s="6">
        <v>39995</v>
      </c>
      <c r="U1173" s="4">
        <v>360000</v>
      </c>
      <c r="V1173" t="s">
        <v>23739</v>
      </c>
      <c r="W1173" t="s">
        <v>24316</v>
      </c>
      <c r="X1173" t="s">
        <v>3</v>
      </c>
      <c r="AA1173" s="5" t="str">
        <f>HYPERLINK("https://www.zillow.com/homes/7721-FLORENCE-AVE-DARIEN-IL-60561_rb/","check listing")</f>
        <v>check listing</v>
      </c>
      <c r="AB1173" s="5" t="str">
        <f>HYPERLINK("https://propertylookup.dupagecounty.gov/Datalets/Datalet.aspx?UseSearch=no&amp;mode=sales&amp;pin=0928305026","sales record")</f>
        <v>sales record</v>
      </c>
      <c r="AC1173" t="s">
        <v>3</v>
      </c>
      <c r="AD1173">
        <v>41.746753</v>
      </c>
      <c r="AE1173">
        <v>-87.98971299999999</v>
      </c>
      <c r="AF1173" s="5" t="str">
        <f>HYPERLINK("https://www.google.com/maps/search/?api=1&amp;query=41.746753,-87.989713","map")</f>
        <v>map</v>
      </c>
    </row>
    <row r="1174" spans="1:32">
      <c r="A1174" t="s">
        <v>1224</v>
      </c>
      <c r="B1174" t="s">
        <v>8801</v>
      </c>
      <c r="C1174" t="s">
        <v>15201</v>
      </c>
      <c r="D1174" t="s">
        <v>16198</v>
      </c>
      <c r="E1174" t="s">
        <v>16218</v>
      </c>
      <c r="F1174" t="s">
        <v>16221</v>
      </c>
      <c r="G1174" t="s">
        <v>16241</v>
      </c>
      <c r="H1174" t="s">
        <v>16241</v>
      </c>
      <c r="I1174" t="s">
        <v>16317</v>
      </c>
      <c r="J1174" t="s">
        <v>16385</v>
      </c>
      <c r="K1174">
        <v>0.231</v>
      </c>
      <c r="L1174">
        <v>10049</v>
      </c>
      <c r="M1174">
        <v>1969</v>
      </c>
      <c r="N1174" t="s">
        <v>16393</v>
      </c>
      <c r="O1174" s="4">
        <v>58463</v>
      </c>
      <c r="P1174" s="4">
        <v>75600</v>
      </c>
      <c r="Q1174" s="4">
        <v>134063</v>
      </c>
      <c r="R1174" s="4">
        <v>402189</v>
      </c>
      <c r="S1174" t="s">
        <v>17548</v>
      </c>
      <c r="T1174" s="6">
        <v>38292</v>
      </c>
      <c r="U1174" s="4">
        <v>278500</v>
      </c>
      <c r="V1174" t="s">
        <v>23739</v>
      </c>
      <c r="W1174" t="s">
        <v>24317</v>
      </c>
      <c r="X1174" t="s">
        <v>3</v>
      </c>
      <c r="AA1174" s="5" t="str">
        <f>HYPERLINK("https://www.zillow.com/homes/7805-FLORENCE-AVE-DARIEN-IL-60561_rb/","check listing")</f>
        <v>check listing</v>
      </c>
      <c r="AB1174" s="5" t="str">
        <f>HYPERLINK("https://propertylookup.dupagecounty.gov/Datalets/Datalet.aspx?UseSearch=no&amp;mode=sales&amp;pin=0928305030","sales record")</f>
        <v>sales record</v>
      </c>
      <c r="AC1174" t="s">
        <v>3</v>
      </c>
      <c r="AD1174">
        <v>41.74593</v>
      </c>
      <c r="AE1174">
        <v>-87.989687</v>
      </c>
      <c r="AF1174" s="5" t="str">
        <f>HYPERLINK("https://www.google.com/maps/search/?api=1&amp;query=41.74593,-87.989687","map")</f>
        <v>map</v>
      </c>
    </row>
    <row r="1175" spans="1:32">
      <c r="A1175" t="s">
        <v>1225</v>
      </c>
      <c r="B1175" t="s">
        <v>8802</v>
      </c>
      <c r="C1175" t="s">
        <v>15201</v>
      </c>
      <c r="D1175" t="s">
        <v>16198</v>
      </c>
      <c r="E1175" t="s">
        <v>16218</v>
      </c>
      <c r="F1175" t="s">
        <v>16221</v>
      </c>
      <c r="G1175" t="s">
        <v>16241</v>
      </c>
      <c r="H1175" t="s">
        <v>16241</v>
      </c>
      <c r="I1175" t="s">
        <v>16317</v>
      </c>
      <c r="J1175" t="s">
        <v>16385</v>
      </c>
      <c r="K1175">
        <v>0.231</v>
      </c>
      <c r="L1175">
        <v>10048</v>
      </c>
      <c r="M1175">
        <v>1793</v>
      </c>
      <c r="N1175" t="s">
        <v>16393</v>
      </c>
      <c r="O1175" s="4">
        <v>60576</v>
      </c>
      <c r="P1175" s="4">
        <v>110120</v>
      </c>
      <c r="Q1175" s="4">
        <v>170696</v>
      </c>
      <c r="R1175" s="4">
        <v>512088</v>
      </c>
      <c r="S1175" t="s">
        <v>17549</v>
      </c>
      <c r="T1175" s="6">
        <v>45083</v>
      </c>
      <c r="U1175" s="4">
        <v>499000</v>
      </c>
      <c r="V1175" t="s">
        <v>23739</v>
      </c>
      <c r="W1175" t="s">
        <v>24318</v>
      </c>
      <c r="X1175" t="s">
        <v>3</v>
      </c>
      <c r="AA1175" s="5" t="str">
        <f>HYPERLINK("https://www.zillow.com/homes/8108-WITTINGTON-CT-DARIEN-IL-60561_rb/","check listing")</f>
        <v>check listing</v>
      </c>
      <c r="AB1175" s="5" t="str">
        <f>HYPERLINK("https://propertylookup.dupagecounty.gov/Datalets/Datalet.aspx?UseSearch=no&amp;mode=sales&amp;pin=0934210015","sales record")</f>
        <v>sales record</v>
      </c>
      <c r="AC1175" t="s">
        <v>3</v>
      </c>
      <c r="AD1175">
        <v>41.739815</v>
      </c>
      <c r="AE1175">
        <v>-87.96348500000001</v>
      </c>
      <c r="AF1175" s="5" t="str">
        <f>HYPERLINK("https://www.google.com/maps/search/?api=1&amp;query=41.739815,-87.963485","map")</f>
        <v>map</v>
      </c>
    </row>
    <row r="1176" spans="1:32">
      <c r="A1176" t="s">
        <v>1226</v>
      </c>
      <c r="B1176" t="s">
        <v>8803</v>
      </c>
      <c r="C1176" t="s">
        <v>15256</v>
      </c>
      <c r="D1176" t="s">
        <v>16198</v>
      </c>
      <c r="E1176" t="s">
        <v>16218</v>
      </c>
      <c r="F1176" t="s">
        <v>16221</v>
      </c>
      <c r="G1176" t="s">
        <v>16241</v>
      </c>
      <c r="H1176" t="s">
        <v>16241</v>
      </c>
      <c r="I1176" t="s">
        <v>16317</v>
      </c>
      <c r="J1176" t="s">
        <v>16385</v>
      </c>
      <c r="K1176">
        <v>0.231</v>
      </c>
      <c r="L1176">
        <v>10046</v>
      </c>
      <c r="M1176">
        <v>2487</v>
      </c>
      <c r="N1176" t="s">
        <v>16393</v>
      </c>
      <c r="O1176" s="4">
        <v>58463</v>
      </c>
      <c r="P1176" s="4">
        <v>93993</v>
      </c>
      <c r="Q1176" s="4">
        <v>152456</v>
      </c>
      <c r="R1176" s="4">
        <v>457368</v>
      </c>
      <c r="S1176" t="s">
        <v>17550</v>
      </c>
      <c r="T1176" s="6">
        <v>44287</v>
      </c>
      <c r="U1176" s="4">
        <v>349000</v>
      </c>
      <c r="V1176" t="s">
        <v>23740</v>
      </c>
      <c r="W1176" t="s">
        <v>24319</v>
      </c>
      <c r="X1176" t="s">
        <v>3</v>
      </c>
      <c r="AA1176" s="5" t="str">
        <f>HYPERLINK("https://www.zillow.com/homes/7713-FLORENCE-AVE-DARIEN-IL-605614303_rb/","check listing")</f>
        <v>check listing</v>
      </c>
      <c r="AB1176" s="5" t="str">
        <f>HYPERLINK("https://propertylookup.dupagecounty.gov/Datalets/Datalet.aspx?UseSearch=no&amp;mode=sales&amp;pin=0928305024","sales record")</f>
        <v>sales record</v>
      </c>
      <c r="AC1176" t="s">
        <v>3</v>
      </c>
      <c r="AD1176">
        <v>41.747165</v>
      </c>
      <c r="AE1176">
        <v>-87.989726</v>
      </c>
      <c r="AF1176" s="5" t="str">
        <f>HYPERLINK("https://www.google.com/maps/search/?api=1&amp;query=41.747165,-87.989726","map")</f>
        <v>map</v>
      </c>
    </row>
    <row r="1177" spans="1:32">
      <c r="A1177" t="s">
        <v>1227</v>
      </c>
      <c r="B1177" t="s">
        <v>8804</v>
      </c>
      <c r="C1177" t="s">
        <v>15201</v>
      </c>
      <c r="D1177" t="s">
        <v>16198</v>
      </c>
      <c r="E1177" t="s">
        <v>16218</v>
      </c>
      <c r="F1177" t="s">
        <v>16221</v>
      </c>
      <c r="G1177" t="s">
        <v>16241</v>
      </c>
      <c r="H1177" t="s">
        <v>16241</v>
      </c>
      <c r="I1177" t="s">
        <v>16317</v>
      </c>
      <c r="J1177" t="s">
        <v>16385</v>
      </c>
      <c r="K1177">
        <v>0.231</v>
      </c>
      <c r="L1177">
        <v>10046</v>
      </c>
      <c r="M1177">
        <v>2052</v>
      </c>
      <c r="N1177" t="s">
        <v>16393</v>
      </c>
      <c r="O1177" s="4">
        <v>58463</v>
      </c>
      <c r="P1177" s="4">
        <v>87220</v>
      </c>
      <c r="Q1177" s="4">
        <v>145683</v>
      </c>
      <c r="R1177" s="4">
        <v>437049</v>
      </c>
      <c r="S1177" t="s">
        <v>17551</v>
      </c>
      <c r="X1177" t="s">
        <v>3</v>
      </c>
      <c r="AA1177" s="5" t="str">
        <f>HYPERLINK("https://www.zillow.com/homes/7825-FLORENCE-AVE-DARIEN-IL-60561_rb/","check listing")</f>
        <v>check listing</v>
      </c>
      <c r="AB1177" s="5" t="str">
        <f>HYPERLINK("https://propertylookup.dupagecounty.gov/Datalets/Datalet.aspx?UseSearch=no&amp;mode=sales&amp;pin=0928305035","sales record")</f>
        <v>sales record</v>
      </c>
      <c r="AC1177" t="s">
        <v>3</v>
      </c>
      <c r="AD1177">
        <v>41.744901</v>
      </c>
      <c r="AE1177">
        <v>-87.989655</v>
      </c>
      <c r="AF1177" s="5" t="str">
        <f>HYPERLINK("https://www.google.com/maps/search/?api=1&amp;query=41.744901,-87.989655","map")</f>
        <v>map</v>
      </c>
    </row>
    <row r="1178" spans="1:32">
      <c r="A1178" t="s">
        <v>1228</v>
      </c>
      <c r="B1178" t="s">
        <v>8805</v>
      </c>
      <c r="C1178" t="s">
        <v>15256</v>
      </c>
      <c r="D1178" t="s">
        <v>16198</v>
      </c>
      <c r="E1178" t="s">
        <v>16218</v>
      </c>
      <c r="F1178" t="s">
        <v>16221</v>
      </c>
      <c r="G1178" t="s">
        <v>16241</v>
      </c>
      <c r="H1178" t="s">
        <v>16241</v>
      </c>
      <c r="I1178" t="s">
        <v>16317</v>
      </c>
      <c r="J1178" t="s">
        <v>16385</v>
      </c>
      <c r="K1178">
        <v>0.231</v>
      </c>
      <c r="L1178">
        <v>10046</v>
      </c>
      <c r="M1178">
        <v>2355</v>
      </c>
      <c r="N1178" t="s">
        <v>16393</v>
      </c>
      <c r="O1178" s="4">
        <v>58463</v>
      </c>
      <c r="P1178" s="4">
        <v>91493</v>
      </c>
      <c r="Q1178" s="4">
        <v>149956</v>
      </c>
      <c r="R1178" s="4">
        <v>449868</v>
      </c>
      <c r="S1178" t="s">
        <v>17552</v>
      </c>
      <c r="T1178" s="6">
        <v>43862</v>
      </c>
      <c r="U1178" s="4">
        <v>298000</v>
      </c>
      <c r="V1178" t="s">
        <v>23739</v>
      </c>
      <c r="W1178" t="s">
        <v>24320</v>
      </c>
      <c r="X1178" t="s">
        <v>3</v>
      </c>
      <c r="AA1178" s="5" t="str">
        <f>HYPERLINK("https://www.zillow.com/homes/7705-FLORENCE-AVE-DARIEN-IL-605614303_rb/","check listing")</f>
        <v>check listing</v>
      </c>
      <c r="AB1178" s="5" t="str">
        <f>HYPERLINK("https://propertylookup.dupagecounty.gov/Datalets/Datalet.aspx?UseSearch=no&amp;mode=sales&amp;pin=0928305022","sales record")</f>
        <v>sales record</v>
      </c>
      <c r="AC1178" t="s">
        <v>3</v>
      </c>
      <c r="AD1178">
        <v>41.747576</v>
      </c>
      <c r="AE1178">
        <v>-87.989739</v>
      </c>
      <c r="AF1178" s="5" t="str">
        <f>HYPERLINK("https://www.google.com/maps/search/?api=1&amp;query=41.747576,-87.989739","map")</f>
        <v>map</v>
      </c>
    </row>
    <row r="1179" spans="1:32">
      <c r="A1179" t="s">
        <v>1229</v>
      </c>
      <c r="B1179" t="s">
        <v>8806</v>
      </c>
      <c r="C1179" t="s">
        <v>15201</v>
      </c>
      <c r="D1179" t="s">
        <v>16198</v>
      </c>
      <c r="E1179" t="s">
        <v>16218</v>
      </c>
      <c r="F1179" t="s">
        <v>16221</v>
      </c>
      <c r="G1179" t="s">
        <v>16241</v>
      </c>
      <c r="H1179" t="s">
        <v>16241</v>
      </c>
      <c r="I1179" t="s">
        <v>16317</v>
      </c>
      <c r="J1179" t="s">
        <v>16385</v>
      </c>
      <c r="K1179">
        <v>0.23</v>
      </c>
      <c r="L1179">
        <v>10002</v>
      </c>
      <c r="M1179">
        <v>2541</v>
      </c>
      <c r="N1179" t="s">
        <v>16393</v>
      </c>
      <c r="O1179" s="4">
        <v>63241</v>
      </c>
      <c r="P1179" s="4">
        <v>133911</v>
      </c>
      <c r="Q1179" s="4">
        <v>197152</v>
      </c>
      <c r="R1179" s="4">
        <v>591456</v>
      </c>
      <c r="S1179" t="s">
        <v>17553</v>
      </c>
      <c r="T1179" s="6">
        <v>43282</v>
      </c>
      <c r="U1179" s="4">
        <v>450000</v>
      </c>
      <c r="V1179" t="s">
        <v>23739</v>
      </c>
      <c r="W1179" t="s">
        <v>17553</v>
      </c>
      <c r="X1179" t="s">
        <v>3</v>
      </c>
      <c r="AA1179" s="5" t="str">
        <f>HYPERLINK("https://www.zillow.com/homes/704-S0MERSET-LN-DARIEN-IL-60561_rb/","check listing")</f>
        <v>check listing</v>
      </c>
      <c r="AB1179" s="5" t="str">
        <f>HYPERLINK("https://propertylookup.dupagecounty.gov/Datalets/Datalet.aspx?UseSearch=no&amp;mode=sales&amp;pin=0927418014","sales record")</f>
        <v>sales record</v>
      </c>
      <c r="AC1179" t="s">
        <v>3</v>
      </c>
      <c r="AD1179">
        <v>41.747313</v>
      </c>
      <c r="AE1179">
        <v>-87.962622</v>
      </c>
      <c r="AF1179" s="5" t="str">
        <f>HYPERLINK("https://www.google.com/maps/search/?api=1&amp;query=41.747313,-87.962622","map")</f>
        <v>map</v>
      </c>
    </row>
    <row r="1180" spans="1:32">
      <c r="A1180" t="s">
        <v>1230</v>
      </c>
      <c r="B1180" t="s">
        <v>8807</v>
      </c>
      <c r="C1180" t="s">
        <v>15201</v>
      </c>
      <c r="D1180" t="s">
        <v>16198</v>
      </c>
      <c r="E1180" t="s">
        <v>16218</v>
      </c>
      <c r="F1180" t="s">
        <v>16221</v>
      </c>
      <c r="G1180" t="s">
        <v>16241</v>
      </c>
      <c r="H1180" t="s">
        <v>16241</v>
      </c>
      <c r="I1180" t="s">
        <v>16317</v>
      </c>
      <c r="J1180" t="s">
        <v>16385</v>
      </c>
      <c r="K1180">
        <v>0.23</v>
      </c>
      <c r="L1180">
        <v>10000</v>
      </c>
      <c r="M1180">
        <v>2541</v>
      </c>
      <c r="N1180" t="s">
        <v>16393</v>
      </c>
      <c r="O1180" s="4">
        <v>63241</v>
      </c>
      <c r="P1180" s="4">
        <v>98066</v>
      </c>
      <c r="Q1180" s="4">
        <v>161307</v>
      </c>
      <c r="R1180" s="4">
        <v>483921</v>
      </c>
      <c r="S1180" t="s">
        <v>17554</v>
      </c>
      <c r="T1180" s="6">
        <v>40210</v>
      </c>
      <c r="U1180" s="4">
        <v>310000</v>
      </c>
      <c r="V1180" t="s">
        <v>23739</v>
      </c>
      <c r="W1180" t="s">
        <v>17554</v>
      </c>
      <c r="X1180" t="s">
        <v>3</v>
      </c>
      <c r="AA1180" s="5" t="str">
        <f>HYPERLINK("https://www.zillow.com/homes/708-SOMERSET-LN-DARIEN-IL-60561_rb/","check listing")</f>
        <v>check listing</v>
      </c>
      <c r="AB1180" s="5" t="str">
        <f>HYPERLINK("https://propertylookup.dupagecounty.gov/Datalets/Datalet.aspx?UseSearch=no&amp;mode=sales&amp;pin=0927418013","sales record")</f>
        <v>sales record</v>
      </c>
      <c r="AC1180" t="s">
        <v>3</v>
      </c>
      <c r="AD1180">
        <v>41.747308</v>
      </c>
      <c r="AE1180">
        <v>-87.962915</v>
      </c>
      <c r="AF1180" s="5" t="str">
        <f>HYPERLINK("https://www.google.com/maps/search/?api=1&amp;query=41.747308,-87.962915","map")</f>
        <v>map</v>
      </c>
    </row>
    <row r="1181" spans="1:32">
      <c r="A1181" t="s">
        <v>1231</v>
      </c>
      <c r="B1181" t="s">
        <v>8808</v>
      </c>
      <c r="C1181" t="s">
        <v>15201</v>
      </c>
      <c r="D1181" t="s">
        <v>16198</v>
      </c>
      <c r="E1181" t="s">
        <v>16218</v>
      </c>
      <c r="F1181" t="s">
        <v>16221</v>
      </c>
      <c r="G1181" t="s">
        <v>16241</v>
      </c>
      <c r="H1181" t="s">
        <v>16241</v>
      </c>
      <c r="I1181" t="s">
        <v>16317</v>
      </c>
      <c r="J1181" t="s">
        <v>16385</v>
      </c>
      <c r="K1181">
        <v>0.229</v>
      </c>
      <c r="L1181">
        <v>9997</v>
      </c>
      <c r="M1181">
        <v>1892</v>
      </c>
      <c r="N1181" t="s">
        <v>16393</v>
      </c>
      <c r="O1181" s="4">
        <v>63241</v>
      </c>
      <c r="P1181" s="4">
        <v>106375</v>
      </c>
      <c r="Q1181" s="4">
        <v>169616</v>
      </c>
      <c r="R1181" s="4">
        <v>508848</v>
      </c>
      <c r="S1181" t="s">
        <v>17555</v>
      </c>
      <c r="T1181" s="6">
        <v>34090</v>
      </c>
      <c r="U1181" s="4">
        <v>255000</v>
      </c>
      <c r="X1181" t="s">
        <v>3</v>
      </c>
      <c r="AA1181" s="5" t="str">
        <f>HYPERLINK("https://www.zillow.com/homes/700-SOMERSET-LN-DARIEN-IL-60561_rb/","check listing")</f>
        <v>check listing</v>
      </c>
      <c r="AB1181" s="5" t="str">
        <f>HYPERLINK("https://propertylookup.dupagecounty.gov/Datalets/Datalet.aspx?UseSearch=no&amp;mode=sales&amp;pin=0927418015","sales record")</f>
        <v>sales record</v>
      </c>
      <c r="AC1181" t="s">
        <v>3</v>
      </c>
      <c r="AD1181">
        <v>41.747319</v>
      </c>
      <c r="AE1181">
        <v>-87.962329</v>
      </c>
      <c r="AF1181" s="5" t="str">
        <f>HYPERLINK("https://www.google.com/maps/search/?api=1&amp;query=41.747319,-87.962329","map")</f>
        <v>map</v>
      </c>
    </row>
    <row r="1182" spans="1:32">
      <c r="A1182" t="s">
        <v>1232</v>
      </c>
      <c r="B1182" t="s">
        <v>8809</v>
      </c>
      <c r="C1182" t="s">
        <v>15201</v>
      </c>
      <c r="D1182" t="s">
        <v>16198</v>
      </c>
      <c r="E1182" t="s">
        <v>16218</v>
      </c>
      <c r="F1182" t="s">
        <v>16221</v>
      </c>
      <c r="G1182" t="s">
        <v>16241</v>
      </c>
      <c r="H1182" t="s">
        <v>16241</v>
      </c>
      <c r="I1182" t="s">
        <v>16317</v>
      </c>
      <c r="J1182" t="s">
        <v>16385</v>
      </c>
      <c r="K1182">
        <v>0.229</v>
      </c>
      <c r="L1182">
        <v>9981</v>
      </c>
      <c r="M1182">
        <v>2390</v>
      </c>
      <c r="N1182" t="s">
        <v>16393</v>
      </c>
      <c r="O1182" s="4">
        <v>57489</v>
      </c>
      <c r="P1182" s="4">
        <v>99356</v>
      </c>
      <c r="Q1182" s="4">
        <v>156845</v>
      </c>
      <c r="R1182" s="4">
        <v>470535</v>
      </c>
      <c r="S1182" t="s">
        <v>17556</v>
      </c>
      <c r="T1182" s="6">
        <v>37926</v>
      </c>
      <c r="U1182" s="4">
        <v>350000</v>
      </c>
      <c r="V1182" t="s">
        <v>23739</v>
      </c>
      <c r="W1182" t="s">
        <v>24321</v>
      </c>
      <c r="X1182" t="s">
        <v>3</v>
      </c>
      <c r="AA1182" s="5" t="str">
        <f>HYPERLINK("https://www.zillow.com/homes/7832-MAYFAIR-LN-DARIEN-IL-60561_rb/","check listing")</f>
        <v>check listing</v>
      </c>
      <c r="AB1182" s="5" t="str">
        <f>HYPERLINK("https://propertylookup.dupagecounty.gov/Datalets/Datalet.aspx?UseSearch=no&amp;mode=sales&amp;pin=0927418001","sales record")</f>
        <v>sales record</v>
      </c>
      <c r="AC1182" t="s">
        <v>3</v>
      </c>
      <c r="AD1182">
        <v>41.745422</v>
      </c>
      <c r="AE1182">
        <v>-87.96368099999999</v>
      </c>
      <c r="AF1182" s="5" t="str">
        <f>HYPERLINK("https://www.google.com/maps/search/?api=1&amp;query=41.745422,-87.963681","map")</f>
        <v>map</v>
      </c>
    </row>
    <row r="1183" spans="1:32">
      <c r="A1183" t="s">
        <v>1233</v>
      </c>
      <c r="B1183" t="s">
        <v>8810</v>
      </c>
      <c r="C1183" t="s">
        <v>15201</v>
      </c>
      <c r="D1183" t="s">
        <v>16198</v>
      </c>
      <c r="E1183" t="s">
        <v>16218</v>
      </c>
      <c r="F1183" t="s">
        <v>16221</v>
      </c>
      <c r="G1183" t="s">
        <v>16241</v>
      </c>
      <c r="H1183" t="s">
        <v>16241</v>
      </c>
      <c r="I1183" t="s">
        <v>16317</v>
      </c>
      <c r="J1183" t="s">
        <v>16385</v>
      </c>
      <c r="K1183">
        <v>0.224</v>
      </c>
      <c r="L1183">
        <v>9777</v>
      </c>
      <c r="M1183">
        <v>2265</v>
      </c>
      <c r="N1183" t="s">
        <v>16393</v>
      </c>
      <c r="O1183" s="4">
        <v>57478</v>
      </c>
      <c r="P1183" s="4">
        <v>129322</v>
      </c>
      <c r="Q1183" s="4">
        <v>186800</v>
      </c>
      <c r="R1183" s="4">
        <v>560400</v>
      </c>
      <c r="S1183" t="s">
        <v>17557</v>
      </c>
      <c r="T1183" s="6">
        <v>32082</v>
      </c>
      <c r="U1183" s="4">
        <v>214035</v>
      </c>
      <c r="X1183" t="s">
        <v>3</v>
      </c>
      <c r="AA1183" s="5" t="str">
        <f>HYPERLINK("https://www.zillow.com/homes/7809-DORCHESTER-LN-DARIEN-IL-60561_rb/","check listing")</f>
        <v>check listing</v>
      </c>
      <c r="AB1183" s="5" t="str">
        <f>HYPERLINK("https://propertylookup.dupagecounty.gov/Datalets/Datalet.aspx?UseSearch=no&amp;mode=sales&amp;pin=0927418016","sales record")</f>
        <v>sales record</v>
      </c>
      <c r="AC1183" t="s">
        <v>3</v>
      </c>
      <c r="AD1183">
        <v>41.746327</v>
      </c>
      <c r="AE1183">
        <v>-87.961805</v>
      </c>
      <c r="AF1183" s="5" t="str">
        <f>HYPERLINK("https://www.google.com/maps/search/?api=1&amp;query=41.746327,-87.961805","map")</f>
        <v>map</v>
      </c>
    </row>
    <row r="1184" spans="1:32">
      <c r="A1184" t="s">
        <v>1234</v>
      </c>
      <c r="B1184" t="s">
        <v>8811</v>
      </c>
      <c r="C1184" t="s">
        <v>15201</v>
      </c>
      <c r="D1184" t="s">
        <v>16198</v>
      </c>
      <c r="E1184" t="s">
        <v>16218</v>
      </c>
      <c r="F1184" t="s">
        <v>16221</v>
      </c>
      <c r="G1184" t="s">
        <v>16241</v>
      </c>
      <c r="H1184" t="s">
        <v>16241</v>
      </c>
      <c r="I1184" t="s">
        <v>16317</v>
      </c>
      <c r="J1184" t="s">
        <v>16385</v>
      </c>
      <c r="K1184">
        <v>0.218</v>
      </c>
      <c r="L1184">
        <v>9493</v>
      </c>
      <c r="M1184">
        <v>1569</v>
      </c>
      <c r="N1184" t="s">
        <v>16393</v>
      </c>
      <c r="O1184" s="4">
        <v>49508</v>
      </c>
      <c r="P1184" s="4">
        <v>108676</v>
      </c>
      <c r="Q1184" s="4">
        <v>158184</v>
      </c>
      <c r="R1184" s="4">
        <v>474552</v>
      </c>
      <c r="S1184" t="s">
        <v>17558</v>
      </c>
      <c r="T1184" s="6">
        <v>45974</v>
      </c>
      <c r="U1184" s="4">
        <v>625000</v>
      </c>
      <c r="V1184" t="s">
        <v>23739</v>
      </c>
      <c r="W1184" t="s">
        <v>24322</v>
      </c>
      <c r="X1184" t="s">
        <v>3</v>
      </c>
      <c r="AA1184" s="5" t="str">
        <f>HYPERLINK("https://www.zillow.com/homes/716-SOMERSET-LN-DARIEN-IL-60561_rb/","check listing")</f>
        <v>check listing</v>
      </c>
      <c r="AB1184" s="5" t="str">
        <f>HYPERLINK("https://propertylookup.dupagecounty.gov/Datalets/Datalet.aspx?UseSearch=no&amp;mode=sales&amp;pin=0927418011","sales record")</f>
        <v>sales record</v>
      </c>
      <c r="AC1184" t="s">
        <v>3</v>
      </c>
      <c r="AD1184">
        <v>41.747318</v>
      </c>
      <c r="AE1184">
        <v>-87.963489</v>
      </c>
      <c r="AF1184" s="5" t="str">
        <f>HYPERLINK("https://www.google.com/maps/search/?api=1&amp;query=41.747318,-87.963489","map")</f>
        <v>map</v>
      </c>
    </row>
    <row r="1185" spans="1:32">
      <c r="A1185" t="s">
        <v>1235</v>
      </c>
      <c r="B1185" t="s">
        <v>8812</v>
      </c>
      <c r="C1185" t="s">
        <v>15258</v>
      </c>
      <c r="D1185" t="s">
        <v>16198</v>
      </c>
      <c r="E1185" t="s">
        <v>16218</v>
      </c>
      <c r="F1185" t="s">
        <v>16221</v>
      </c>
      <c r="G1185" t="s">
        <v>16241</v>
      </c>
      <c r="H1185" t="s">
        <v>16241</v>
      </c>
      <c r="I1185" t="s">
        <v>16317</v>
      </c>
      <c r="J1185" t="s">
        <v>16385</v>
      </c>
      <c r="K1185">
        <v>0.218</v>
      </c>
      <c r="L1185">
        <v>9485</v>
      </c>
      <c r="M1185">
        <v>2860</v>
      </c>
      <c r="N1185" t="s">
        <v>16393</v>
      </c>
      <c r="O1185" s="4">
        <v>61726</v>
      </c>
      <c r="P1185" s="4">
        <v>107268</v>
      </c>
      <c r="Q1185" s="4">
        <v>168994</v>
      </c>
      <c r="R1185" s="4">
        <v>506982</v>
      </c>
      <c r="S1185" t="s">
        <v>17559</v>
      </c>
      <c r="T1185" s="6">
        <v>43678</v>
      </c>
      <c r="U1185" s="4">
        <v>378000</v>
      </c>
      <c r="V1185" t="s">
        <v>23739</v>
      </c>
      <c r="W1185" t="s">
        <v>24323</v>
      </c>
      <c r="X1185" t="s">
        <v>3</v>
      </c>
      <c r="AA1185" s="5" t="str">
        <f>HYPERLINK("https://www.zillow.com/homes/8120-PORTSMOUTH-DR-DARIEN-IL-605615224_rb/","check listing")</f>
        <v>check listing</v>
      </c>
      <c r="AB1185" s="5" t="str">
        <f>HYPERLINK("https://propertylookup.dupagecounty.gov/Datalets/Datalet.aspx?UseSearch=no&amp;mode=sales&amp;pin=0934210021","sales record")</f>
        <v>sales record</v>
      </c>
      <c r="AC1185" t="s">
        <v>3</v>
      </c>
      <c r="AD1185">
        <v>41.739838</v>
      </c>
      <c r="AE1185">
        <v>-87.96228600000001</v>
      </c>
      <c r="AF1185" s="5" t="str">
        <f>HYPERLINK("https://www.google.com/maps/search/?api=1&amp;query=41.739838,-87.962286","map")</f>
        <v>map</v>
      </c>
    </row>
    <row r="1186" spans="1:32">
      <c r="A1186" t="s">
        <v>1236</v>
      </c>
      <c r="B1186" t="s">
        <v>8813</v>
      </c>
      <c r="C1186" t="s">
        <v>15247</v>
      </c>
      <c r="D1186" t="s">
        <v>16198</v>
      </c>
      <c r="E1186" t="s">
        <v>16218</v>
      </c>
      <c r="F1186" t="s">
        <v>16221</v>
      </c>
      <c r="G1186" t="s">
        <v>16241</v>
      </c>
      <c r="H1186" t="s">
        <v>16241</v>
      </c>
      <c r="I1186" t="s">
        <v>16317</v>
      </c>
      <c r="J1186" t="s">
        <v>16385</v>
      </c>
      <c r="K1186">
        <v>0.214</v>
      </c>
      <c r="L1186">
        <v>9343</v>
      </c>
      <c r="M1186">
        <v>1590</v>
      </c>
      <c r="N1186" t="s">
        <v>16393</v>
      </c>
      <c r="O1186" s="4">
        <v>54168</v>
      </c>
      <c r="P1186" s="4">
        <v>112221</v>
      </c>
      <c r="Q1186" s="4">
        <v>166389</v>
      </c>
      <c r="R1186" s="4">
        <v>499167</v>
      </c>
      <c r="S1186" t="s">
        <v>17560</v>
      </c>
      <c r="T1186" s="6">
        <v>37712</v>
      </c>
      <c r="U1186" s="4">
        <v>355000</v>
      </c>
      <c r="V1186" t="s">
        <v>23739</v>
      </c>
      <c r="W1186" t="s">
        <v>24324</v>
      </c>
      <c r="X1186" t="s">
        <v>3</v>
      </c>
      <c r="AA1186" s="5" t="str">
        <f>HYPERLINK("https://www.zillow.com/homes/7817-DORCHESTER-LN-DARIEN-IL-605614862_rb/","check listing")</f>
        <v>check listing</v>
      </c>
      <c r="AB1186" s="5" t="str">
        <f>HYPERLINK("https://propertylookup.dupagecounty.gov/Datalets/Datalet.aspx?UseSearch=no&amp;mode=sales&amp;pin=0927418018","sales record")</f>
        <v>sales record</v>
      </c>
      <c r="AC1186" t="s">
        <v>3</v>
      </c>
      <c r="AD1186">
        <v>41.745971</v>
      </c>
      <c r="AE1186">
        <v>-87.961793</v>
      </c>
      <c r="AF1186" s="5" t="str">
        <f>HYPERLINK("https://www.google.com/maps/search/?api=1&amp;query=41.745971,-87.961793","map")</f>
        <v>map</v>
      </c>
    </row>
    <row r="1187" spans="1:32">
      <c r="A1187" t="s">
        <v>1237</v>
      </c>
      <c r="B1187" t="s">
        <v>8814</v>
      </c>
      <c r="C1187" t="s">
        <v>15247</v>
      </c>
      <c r="D1187" t="s">
        <v>16198</v>
      </c>
      <c r="E1187" t="s">
        <v>16218</v>
      </c>
      <c r="F1187" t="s">
        <v>16221</v>
      </c>
      <c r="G1187" t="s">
        <v>16241</v>
      </c>
      <c r="H1187" t="s">
        <v>16241</v>
      </c>
      <c r="I1187" t="s">
        <v>16317</v>
      </c>
      <c r="J1187" t="s">
        <v>16385</v>
      </c>
      <c r="K1187">
        <v>0.214</v>
      </c>
      <c r="L1187">
        <v>9337</v>
      </c>
      <c r="M1187">
        <v>2256</v>
      </c>
      <c r="N1187" t="s">
        <v>16393</v>
      </c>
      <c r="O1187" s="4">
        <v>54168</v>
      </c>
      <c r="P1187" s="4">
        <v>132234</v>
      </c>
      <c r="Q1187" s="4">
        <v>186402</v>
      </c>
      <c r="R1187" s="4">
        <v>559206</v>
      </c>
      <c r="S1187" t="s">
        <v>17561</v>
      </c>
      <c r="T1187" s="6">
        <v>43374</v>
      </c>
      <c r="U1187" s="4">
        <v>437000</v>
      </c>
      <c r="V1187" t="s">
        <v>23739</v>
      </c>
      <c r="W1187" t="s">
        <v>24325</v>
      </c>
      <c r="X1187" t="s">
        <v>3</v>
      </c>
      <c r="AA1187" s="5" t="str">
        <f>HYPERLINK("https://www.zillow.com/homes/7825-DORCHESTER-LN-DARIEN-IL-605614862_rb/","check listing")</f>
        <v>check listing</v>
      </c>
      <c r="AB1187" s="5" t="str">
        <f>HYPERLINK("https://propertylookup.dupagecounty.gov/Datalets/Datalet.aspx?UseSearch=no&amp;mode=sales&amp;pin=0927418020","sales record")</f>
        <v>sales record</v>
      </c>
      <c r="AC1187" t="s">
        <v>3</v>
      </c>
      <c r="AD1187">
        <v>41.7456</v>
      </c>
      <c r="AE1187">
        <v>-87.96178</v>
      </c>
      <c r="AF1187" s="5" t="str">
        <f>HYPERLINK("https://www.google.com/maps/search/?api=1&amp;query=41.7456,-87.96178","map")</f>
        <v>map</v>
      </c>
    </row>
    <row r="1188" spans="1:32">
      <c r="A1188" t="s">
        <v>1238</v>
      </c>
      <c r="B1188" t="s">
        <v>8815</v>
      </c>
      <c r="C1188" t="s">
        <v>15201</v>
      </c>
      <c r="D1188" t="s">
        <v>16198</v>
      </c>
      <c r="E1188" t="s">
        <v>16218</v>
      </c>
      <c r="F1188" t="s">
        <v>16221</v>
      </c>
      <c r="G1188" t="s">
        <v>16241</v>
      </c>
      <c r="H1188" t="s">
        <v>16241</v>
      </c>
      <c r="I1188" t="s">
        <v>16317</v>
      </c>
      <c r="J1188" t="s">
        <v>16385</v>
      </c>
      <c r="K1188">
        <v>0.21</v>
      </c>
      <c r="L1188">
        <v>9156</v>
      </c>
      <c r="M1188">
        <v>1453</v>
      </c>
      <c r="N1188" t="s">
        <v>16393</v>
      </c>
      <c r="O1188" s="4">
        <v>58147</v>
      </c>
      <c r="P1188" s="4">
        <v>107737</v>
      </c>
      <c r="Q1188" s="4">
        <v>165884</v>
      </c>
      <c r="R1188" s="4">
        <v>497652</v>
      </c>
      <c r="S1188" t="s">
        <v>17562</v>
      </c>
      <c r="T1188" s="6">
        <v>41518</v>
      </c>
      <c r="U1188" s="4">
        <v>365000</v>
      </c>
      <c r="V1188" t="s">
        <v>23739</v>
      </c>
      <c r="W1188" t="s">
        <v>24326</v>
      </c>
      <c r="X1188" t="s">
        <v>3</v>
      </c>
      <c r="AA1188" s="5" t="str">
        <f>HYPERLINK("https://www.zillow.com/homes/7805-MAYFAIR-LN-DARIEN-IL-60561_rb/","check listing")</f>
        <v>check listing</v>
      </c>
      <c r="AB1188" s="5" t="str">
        <f>HYPERLINK("https://propertylookup.dupagecounty.gov/Datalets/Datalet.aspx?UseSearch=no&amp;mode=sales&amp;pin=0927419002","sales record")</f>
        <v>sales record</v>
      </c>
      <c r="AC1188" t="s">
        <v>3</v>
      </c>
      <c r="AD1188">
        <v>41.746619</v>
      </c>
      <c r="AE1188">
        <v>-87.963019</v>
      </c>
      <c r="AF1188" s="5" t="str">
        <f>HYPERLINK("https://www.google.com/maps/search/?api=1&amp;query=41.746619,-87.963019","map")</f>
        <v>map</v>
      </c>
    </row>
    <row r="1189" spans="1:32">
      <c r="A1189" t="s">
        <v>1239</v>
      </c>
      <c r="B1189" t="s">
        <v>8816</v>
      </c>
      <c r="C1189" t="s">
        <v>15201</v>
      </c>
      <c r="D1189" t="s">
        <v>16198</v>
      </c>
      <c r="E1189" t="s">
        <v>16218</v>
      </c>
      <c r="F1189" t="s">
        <v>16221</v>
      </c>
      <c r="G1189" t="s">
        <v>16241</v>
      </c>
      <c r="H1189" t="s">
        <v>16241</v>
      </c>
      <c r="I1189" t="s">
        <v>16317</v>
      </c>
      <c r="J1189" t="s">
        <v>16385</v>
      </c>
      <c r="K1189">
        <v>0.21</v>
      </c>
      <c r="L1189">
        <v>9154</v>
      </c>
      <c r="M1189">
        <v>2339</v>
      </c>
      <c r="N1189" t="s">
        <v>16393</v>
      </c>
      <c r="O1189" s="4">
        <v>56914</v>
      </c>
      <c r="P1189" s="4">
        <v>99462</v>
      </c>
      <c r="Q1189" s="4">
        <v>156376</v>
      </c>
      <c r="R1189" s="4">
        <v>469128</v>
      </c>
      <c r="S1189" t="s">
        <v>17563</v>
      </c>
      <c r="T1189" s="6">
        <v>32112</v>
      </c>
      <c r="U1189" s="4">
        <v>180426</v>
      </c>
      <c r="X1189" t="s">
        <v>3</v>
      </c>
      <c r="AA1189" s="5" t="str">
        <f>HYPERLINK("https://www.zillow.com/homes/7825-MAYFAIR-LN-DARIEN-IL-60561_rb/","check listing")</f>
        <v>check listing</v>
      </c>
      <c r="AB1189" s="5" t="str">
        <f>HYPERLINK("https://propertylookup.dupagecounty.gov/Datalets/Datalet.aspx?UseSearch=no&amp;mode=sales&amp;pin=0927419007","sales record")</f>
        <v>sales record</v>
      </c>
      <c r="AC1189" t="s">
        <v>3</v>
      </c>
      <c r="AD1189">
        <v>41.745652</v>
      </c>
      <c r="AE1189">
        <v>-87.962985</v>
      </c>
      <c r="AF1189" s="5" t="str">
        <f>HYPERLINK("https://www.google.com/maps/search/?api=1&amp;query=41.745652,-87.962985","map")</f>
        <v>map</v>
      </c>
    </row>
    <row r="1190" spans="1:32">
      <c r="A1190" t="s">
        <v>1240</v>
      </c>
      <c r="B1190" t="s">
        <v>8817</v>
      </c>
      <c r="C1190" t="s">
        <v>15249</v>
      </c>
      <c r="D1190" t="s">
        <v>16198</v>
      </c>
      <c r="E1190" t="s">
        <v>16218</v>
      </c>
      <c r="F1190" t="s">
        <v>16221</v>
      </c>
      <c r="G1190" t="s">
        <v>16241</v>
      </c>
      <c r="H1190" t="s">
        <v>16241</v>
      </c>
      <c r="I1190" t="s">
        <v>16317</v>
      </c>
      <c r="J1190" t="s">
        <v>16385</v>
      </c>
      <c r="K1190">
        <v>0.21</v>
      </c>
      <c r="L1190">
        <v>9154</v>
      </c>
      <c r="M1190">
        <v>2364</v>
      </c>
      <c r="N1190" t="s">
        <v>16393</v>
      </c>
      <c r="O1190" s="4">
        <v>56914</v>
      </c>
      <c r="P1190" s="4">
        <v>99943</v>
      </c>
      <c r="Q1190" s="4">
        <v>156857</v>
      </c>
      <c r="R1190" s="4">
        <v>470571</v>
      </c>
      <c r="S1190" t="s">
        <v>17564</v>
      </c>
      <c r="T1190" s="6">
        <v>32417</v>
      </c>
      <c r="U1190" s="4">
        <v>198878</v>
      </c>
      <c r="X1190" t="s">
        <v>3</v>
      </c>
      <c r="AA1190" s="5" t="str">
        <f>HYPERLINK("https://www.zillow.com/homes/7824-DORCHESTER-LN-DARIEN-IL-605614861_rb/","check listing")</f>
        <v>check listing</v>
      </c>
      <c r="AB1190" s="5" t="str">
        <f>HYPERLINK("https://propertylookup.dupagecounty.gov/Datalets/Datalet.aspx?UseSearch=no&amp;mode=sales&amp;pin=0927419010","sales record")</f>
        <v>sales record</v>
      </c>
      <c r="AC1190" t="s">
        <v>3</v>
      </c>
      <c r="AD1190">
        <v>41.745651</v>
      </c>
      <c r="AE1190">
        <v>-87.96252</v>
      </c>
      <c r="AF1190" s="5" t="str">
        <f>HYPERLINK("https://www.google.com/maps/search/?api=1&amp;query=41.745651,-87.96252","map")</f>
        <v>map</v>
      </c>
    </row>
    <row r="1191" spans="1:32">
      <c r="A1191" t="s">
        <v>1241</v>
      </c>
      <c r="B1191" t="s">
        <v>8818</v>
      </c>
      <c r="C1191" t="s">
        <v>15201</v>
      </c>
      <c r="D1191" t="s">
        <v>16198</v>
      </c>
      <c r="E1191" t="s">
        <v>16218</v>
      </c>
      <c r="F1191" t="s">
        <v>16221</v>
      </c>
      <c r="G1191" t="s">
        <v>16241</v>
      </c>
      <c r="H1191" t="s">
        <v>16241</v>
      </c>
      <c r="I1191" t="s">
        <v>16317</v>
      </c>
      <c r="J1191" t="s">
        <v>16385</v>
      </c>
      <c r="K1191">
        <v>0.21</v>
      </c>
      <c r="L1191">
        <v>9152</v>
      </c>
      <c r="M1191">
        <v>1594</v>
      </c>
      <c r="N1191" t="s">
        <v>16393</v>
      </c>
      <c r="O1191" s="4">
        <v>56914</v>
      </c>
      <c r="P1191" s="4">
        <v>98254</v>
      </c>
      <c r="Q1191" s="4">
        <v>155168</v>
      </c>
      <c r="R1191" s="4">
        <v>465504</v>
      </c>
      <c r="S1191" t="s">
        <v>17565</v>
      </c>
      <c r="T1191" s="6">
        <v>32356</v>
      </c>
      <c r="U1191" s="4">
        <v>171903</v>
      </c>
      <c r="X1191" t="s">
        <v>3</v>
      </c>
      <c r="AA1191" s="5" t="str">
        <f>HYPERLINK("https://www.zillow.com/homes/7804-DORCHESTER-LN-DARIEN-IL-60561_rb/","check listing")</f>
        <v>check listing</v>
      </c>
      <c r="AB1191" s="5" t="str">
        <f>HYPERLINK("https://propertylookup.dupagecounty.gov/Datalets/Datalet.aspx?UseSearch=no&amp;mode=sales&amp;pin=0927419015","sales record")</f>
        <v>sales record</v>
      </c>
      <c r="AC1191" t="s">
        <v>3</v>
      </c>
      <c r="AD1191">
        <v>41.746617</v>
      </c>
      <c r="AE1191">
        <v>-87.962553</v>
      </c>
      <c r="AF1191" s="5" t="str">
        <f>HYPERLINK("https://www.google.com/maps/search/?api=1&amp;query=41.746617,-87.962553","map")</f>
        <v>map</v>
      </c>
    </row>
    <row r="1192" spans="1:32">
      <c r="A1192" t="s">
        <v>1242</v>
      </c>
      <c r="B1192" t="s">
        <v>8819</v>
      </c>
      <c r="C1192" t="s">
        <v>15201</v>
      </c>
      <c r="D1192" t="s">
        <v>16198</v>
      </c>
      <c r="E1192" t="s">
        <v>16218</v>
      </c>
      <c r="F1192" t="s">
        <v>16221</v>
      </c>
      <c r="G1192" t="s">
        <v>16241</v>
      </c>
      <c r="H1192" t="s">
        <v>16241</v>
      </c>
      <c r="I1192" t="s">
        <v>16317</v>
      </c>
      <c r="J1192" t="s">
        <v>16385</v>
      </c>
      <c r="K1192">
        <v>0.204</v>
      </c>
      <c r="L1192">
        <v>8903</v>
      </c>
      <c r="M1192">
        <v>1765</v>
      </c>
      <c r="N1192" t="s">
        <v>16393</v>
      </c>
      <c r="O1192" s="4">
        <v>55330</v>
      </c>
      <c r="P1192" s="4">
        <v>120179</v>
      </c>
      <c r="Q1192" s="4">
        <v>175509</v>
      </c>
      <c r="R1192" s="4">
        <v>526527</v>
      </c>
      <c r="S1192" t="s">
        <v>17566</v>
      </c>
      <c r="T1192" s="6">
        <v>45134</v>
      </c>
      <c r="U1192" s="4">
        <v>498620</v>
      </c>
      <c r="V1192" t="s">
        <v>23741</v>
      </c>
      <c r="W1192" t="s">
        <v>24327</v>
      </c>
      <c r="X1192" t="s">
        <v>3</v>
      </c>
      <c r="AA1192" s="5" t="str">
        <f>HYPERLINK("https://www.zillow.com/homes/7820-DORCHESTER-LN-DARIEN-IL-60561_rb/","check listing")</f>
        <v>check listing</v>
      </c>
      <c r="AB1192" s="5" t="str">
        <f>HYPERLINK("https://propertylookup.dupagecounty.gov/Datalets/Datalet.aspx?UseSearch=no&amp;mode=sales&amp;pin=0927419011","sales record")</f>
        <v>sales record</v>
      </c>
      <c r="AC1192" t="s">
        <v>3</v>
      </c>
      <c r="AD1192">
        <v>41.745846</v>
      </c>
      <c r="AE1192">
        <v>-87.96252699999999</v>
      </c>
      <c r="AF1192" s="5" t="str">
        <f>HYPERLINK("https://www.google.com/maps/search/?api=1&amp;query=41.745846,-87.962527","map")</f>
        <v>map</v>
      </c>
    </row>
    <row r="1193" spans="1:32">
      <c r="A1193" t="s">
        <v>1243</v>
      </c>
      <c r="B1193" t="s">
        <v>8820</v>
      </c>
      <c r="C1193" t="s">
        <v>15201</v>
      </c>
      <c r="D1193" t="s">
        <v>16198</v>
      </c>
      <c r="E1193" t="s">
        <v>16218</v>
      </c>
      <c r="F1193" t="s">
        <v>16221</v>
      </c>
      <c r="G1193" t="s">
        <v>16241</v>
      </c>
      <c r="H1193" t="s">
        <v>16241</v>
      </c>
      <c r="I1193" t="s">
        <v>16317</v>
      </c>
      <c r="J1193" t="s">
        <v>16385</v>
      </c>
      <c r="K1193">
        <v>0.204</v>
      </c>
      <c r="L1193">
        <v>8900</v>
      </c>
      <c r="M1193">
        <v>1882</v>
      </c>
      <c r="N1193" t="s">
        <v>16393</v>
      </c>
      <c r="O1193" s="4">
        <v>55330</v>
      </c>
      <c r="P1193" s="4">
        <v>108875</v>
      </c>
      <c r="Q1193" s="4">
        <v>164205</v>
      </c>
      <c r="R1193" s="4">
        <v>492615</v>
      </c>
      <c r="S1193" t="s">
        <v>17567</v>
      </c>
      <c r="T1193" s="6">
        <v>34121</v>
      </c>
      <c r="U1193" s="4">
        <v>230000</v>
      </c>
      <c r="X1193" t="s">
        <v>3</v>
      </c>
      <c r="AA1193" s="5" t="str">
        <f>HYPERLINK("https://www.zillow.com/homes/7812-DORCHESTER-LN-DARIEN-IL-60561_rb/","check listing")</f>
        <v>check listing</v>
      </c>
      <c r="AB1193" s="5" t="str">
        <f>HYPERLINK("https://propertylookup.dupagecounty.gov/Datalets/Datalet.aspx?UseSearch=no&amp;mode=sales&amp;pin=0927419013","sales record")</f>
        <v>sales record</v>
      </c>
      <c r="AC1193" t="s">
        <v>3</v>
      </c>
      <c r="AD1193">
        <v>41.74623</v>
      </c>
      <c r="AE1193">
        <v>-87.96254</v>
      </c>
      <c r="AF1193" s="5" t="str">
        <f>HYPERLINK("https://www.google.com/maps/search/?api=1&amp;query=41.74623,-87.96254","map")</f>
        <v>map</v>
      </c>
    </row>
    <row r="1194" spans="1:32">
      <c r="A1194" t="s">
        <v>1244</v>
      </c>
      <c r="B1194" t="s">
        <v>8821</v>
      </c>
      <c r="C1194" t="s">
        <v>15201</v>
      </c>
      <c r="D1194" t="s">
        <v>16198</v>
      </c>
      <c r="E1194" t="s">
        <v>16218</v>
      </c>
      <c r="F1194" t="s">
        <v>16221</v>
      </c>
      <c r="G1194" t="s">
        <v>16241</v>
      </c>
      <c r="H1194" t="s">
        <v>16241</v>
      </c>
      <c r="I1194" t="s">
        <v>16317</v>
      </c>
      <c r="J1194" t="s">
        <v>16385</v>
      </c>
      <c r="K1194">
        <v>0.204</v>
      </c>
      <c r="L1194">
        <v>8900</v>
      </c>
      <c r="M1194">
        <v>1960</v>
      </c>
      <c r="N1194" t="s">
        <v>16393</v>
      </c>
      <c r="O1194" s="4">
        <v>55330</v>
      </c>
      <c r="P1194" s="4">
        <v>100660</v>
      </c>
      <c r="Q1194" s="4">
        <v>155990</v>
      </c>
      <c r="R1194" s="4">
        <v>467970</v>
      </c>
      <c r="S1194" t="s">
        <v>17568</v>
      </c>
      <c r="T1194" s="6">
        <v>37073</v>
      </c>
      <c r="U1194" s="4">
        <v>355000</v>
      </c>
      <c r="V1194" t="s">
        <v>23739</v>
      </c>
      <c r="W1194" t="s">
        <v>24328</v>
      </c>
      <c r="X1194" t="s">
        <v>3</v>
      </c>
      <c r="AA1194" s="5" t="str">
        <f>HYPERLINK("https://www.zillow.com/homes/7808-DORCHESTER-LN-DARIEN-IL-60561_rb/","check listing")</f>
        <v>check listing</v>
      </c>
      <c r="AB1194" s="5" t="str">
        <f>HYPERLINK("https://propertylookup.dupagecounty.gov/Datalets/Datalet.aspx?UseSearch=no&amp;mode=sales&amp;pin=0927419014","sales record")</f>
        <v>sales record</v>
      </c>
      <c r="AC1194" t="s">
        <v>3</v>
      </c>
      <c r="AD1194">
        <v>41.746422</v>
      </c>
      <c r="AE1194">
        <v>-87.962546</v>
      </c>
      <c r="AF1194" s="5" t="str">
        <f>HYPERLINK("https://www.google.com/maps/search/?api=1&amp;query=41.746422,-87.962546","map")</f>
        <v>map</v>
      </c>
    </row>
    <row r="1195" spans="1:32">
      <c r="A1195" t="s">
        <v>1245</v>
      </c>
      <c r="B1195" t="s">
        <v>8822</v>
      </c>
      <c r="C1195" t="s">
        <v>15201</v>
      </c>
      <c r="D1195" t="s">
        <v>16198</v>
      </c>
      <c r="E1195" t="s">
        <v>16218</v>
      </c>
      <c r="F1195" t="s">
        <v>16221</v>
      </c>
      <c r="G1195" t="s">
        <v>16241</v>
      </c>
      <c r="H1195" t="s">
        <v>16241</v>
      </c>
      <c r="I1195" t="s">
        <v>16317</v>
      </c>
      <c r="J1195" t="s">
        <v>16385</v>
      </c>
      <c r="K1195">
        <v>0.204</v>
      </c>
      <c r="L1195">
        <v>8898</v>
      </c>
      <c r="M1195">
        <v>1719</v>
      </c>
      <c r="N1195" t="s">
        <v>16393</v>
      </c>
      <c r="O1195" s="4">
        <v>55330</v>
      </c>
      <c r="P1195" s="4">
        <v>104334</v>
      </c>
      <c r="Q1195" s="4">
        <v>159664</v>
      </c>
      <c r="R1195" s="4">
        <v>478992</v>
      </c>
      <c r="S1195" t="s">
        <v>17569</v>
      </c>
      <c r="T1195" s="6">
        <v>46099</v>
      </c>
      <c r="U1195" s="4">
        <v>495000</v>
      </c>
      <c r="V1195" t="s">
        <v>23741</v>
      </c>
      <c r="W1195" t="s">
        <v>24329</v>
      </c>
      <c r="X1195" t="s">
        <v>3</v>
      </c>
      <c r="AA1195" s="5" t="str">
        <f>HYPERLINK("https://www.zillow.com/homes/7816-DORCHESTER-LN-DARIEN-IL-60561_rb/","check listing")</f>
        <v>check listing</v>
      </c>
      <c r="AB1195" s="5" t="str">
        <f>HYPERLINK("https://propertylookup.dupagecounty.gov/Datalets/Datalet.aspx?UseSearch=no&amp;mode=sales&amp;pin=0927419012","sales record")</f>
        <v>sales record</v>
      </c>
      <c r="AC1195" t="s">
        <v>3</v>
      </c>
      <c r="AD1195">
        <v>41.746038</v>
      </c>
      <c r="AE1195">
        <v>-87.96253299999999</v>
      </c>
      <c r="AF1195" s="5" t="str">
        <f>HYPERLINK("https://www.google.com/maps/search/?api=1&amp;query=41.746038,-87.962533","map")</f>
        <v>map</v>
      </c>
    </row>
    <row r="1196" spans="1:32">
      <c r="A1196" t="s">
        <v>1246</v>
      </c>
      <c r="B1196" t="s">
        <v>8823</v>
      </c>
      <c r="C1196" t="s">
        <v>15201</v>
      </c>
      <c r="D1196" t="s">
        <v>16198</v>
      </c>
      <c r="E1196" t="s">
        <v>16218</v>
      </c>
      <c r="F1196" t="s">
        <v>16221</v>
      </c>
      <c r="G1196" t="s">
        <v>16241</v>
      </c>
      <c r="H1196" t="s">
        <v>16241</v>
      </c>
      <c r="I1196" t="s">
        <v>16317</v>
      </c>
      <c r="J1196" t="s">
        <v>16385</v>
      </c>
      <c r="K1196">
        <v>0.204</v>
      </c>
      <c r="L1196">
        <v>8898</v>
      </c>
      <c r="M1196">
        <v>2051</v>
      </c>
      <c r="N1196" t="s">
        <v>16393</v>
      </c>
      <c r="O1196" s="4">
        <v>55330</v>
      </c>
      <c r="P1196" s="4">
        <v>104099</v>
      </c>
      <c r="Q1196" s="4">
        <v>159429</v>
      </c>
      <c r="R1196" s="4">
        <v>478287</v>
      </c>
      <c r="S1196" t="s">
        <v>17570</v>
      </c>
      <c r="T1196" s="6">
        <v>32112</v>
      </c>
      <c r="U1196" s="4">
        <v>168950</v>
      </c>
      <c r="X1196" t="s">
        <v>3</v>
      </c>
      <c r="AA1196" s="5" t="str">
        <f>HYPERLINK("https://www.zillow.com/homes/7813-MAYFAIR-LN-DARIEN-IL-60561_rb/","check listing")</f>
        <v>check listing</v>
      </c>
      <c r="AB1196" s="5" t="str">
        <f>HYPERLINK("https://propertylookup.dupagecounty.gov/Datalets/Datalet.aspx?UseSearch=no&amp;mode=sales&amp;pin=0927419004","sales record")</f>
        <v>sales record</v>
      </c>
      <c r="AC1196" t="s">
        <v>3</v>
      </c>
      <c r="AD1196">
        <v>41.746232</v>
      </c>
      <c r="AE1196">
        <v>-87.963005</v>
      </c>
      <c r="AF1196" s="5" t="str">
        <f>HYPERLINK("https://www.google.com/maps/search/?api=1&amp;query=41.746232,-87.963005","map")</f>
        <v>map</v>
      </c>
    </row>
    <row r="1197" spans="1:32">
      <c r="A1197" t="s">
        <v>1247</v>
      </c>
      <c r="B1197" t="s">
        <v>8824</v>
      </c>
      <c r="C1197" t="s">
        <v>15255</v>
      </c>
      <c r="D1197" t="s">
        <v>16198</v>
      </c>
      <c r="E1197" t="s">
        <v>16218</v>
      </c>
      <c r="F1197" t="s">
        <v>16221</v>
      </c>
      <c r="G1197" t="s">
        <v>16241</v>
      </c>
      <c r="H1197" t="s">
        <v>16241</v>
      </c>
      <c r="I1197" t="s">
        <v>16317</v>
      </c>
      <c r="J1197" t="s">
        <v>16385</v>
      </c>
      <c r="K1197">
        <v>0.204</v>
      </c>
      <c r="L1197">
        <v>8898</v>
      </c>
      <c r="M1197">
        <v>1748</v>
      </c>
      <c r="N1197" t="s">
        <v>16393</v>
      </c>
      <c r="O1197" s="4">
        <v>55330</v>
      </c>
      <c r="P1197" s="4">
        <v>104474</v>
      </c>
      <c r="Q1197" s="4">
        <v>159804</v>
      </c>
      <c r="R1197" s="4">
        <v>479412</v>
      </c>
      <c r="S1197" t="s">
        <v>17571</v>
      </c>
      <c r="T1197" s="6">
        <v>45982</v>
      </c>
      <c r="U1197" s="4">
        <v>485000</v>
      </c>
      <c r="V1197" t="s">
        <v>23741</v>
      </c>
      <c r="W1197" t="s">
        <v>24330</v>
      </c>
      <c r="X1197" t="s">
        <v>3</v>
      </c>
      <c r="AA1197" s="5" t="str">
        <f>HYPERLINK("https://www.zillow.com/homes/7817-MAYFAIR-LN-DARIEN-IL-605614863_rb/","check listing")</f>
        <v>check listing</v>
      </c>
      <c r="AB1197" s="5" t="str">
        <f>HYPERLINK("https://propertylookup.dupagecounty.gov/Datalets/Datalet.aspx?UseSearch=no&amp;mode=sales&amp;pin=0927419005","sales record")</f>
        <v>sales record</v>
      </c>
      <c r="AC1197" t="s">
        <v>3</v>
      </c>
      <c r="AD1197">
        <v>41.746039</v>
      </c>
      <c r="AE1197">
        <v>-87.962999</v>
      </c>
      <c r="AF1197" s="5" t="str">
        <f>HYPERLINK("https://www.google.com/maps/search/?api=1&amp;query=41.746039,-87.962999","map")</f>
        <v>map</v>
      </c>
    </row>
    <row r="1198" spans="1:32">
      <c r="A1198" t="s">
        <v>1248</v>
      </c>
      <c r="B1198" t="s">
        <v>8825</v>
      </c>
      <c r="C1198" t="s">
        <v>15201</v>
      </c>
      <c r="D1198" t="s">
        <v>16198</v>
      </c>
      <c r="E1198" t="s">
        <v>16218</v>
      </c>
      <c r="F1198" t="s">
        <v>16221</v>
      </c>
      <c r="G1198" t="s">
        <v>16241</v>
      </c>
      <c r="H1198" t="s">
        <v>16241</v>
      </c>
      <c r="I1198" t="s">
        <v>16317</v>
      </c>
      <c r="J1198" t="s">
        <v>16385</v>
      </c>
      <c r="K1198">
        <v>0.204</v>
      </c>
      <c r="L1198">
        <v>8898</v>
      </c>
      <c r="M1198">
        <v>1545</v>
      </c>
      <c r="N1198" t="s">
        <v>16393</v>
      </c>
      <c r="O1198" s="4">
        <v>55330</v>
      </c>
      <c r="P1198" s="4">
        <v>105578</v>
      </c>
      <c r="Q1198" s="4">
        <v>160908</v>
      </c>
      <c r="R1198" s="4">
        <v>482724</v>
      </c>
      <c r="S1198" t="s">
        <v>17572</v>
      </c>
      <c r="T1198" s="6">
        <v>38596</v>
      </c>
      <c r="U1198" s="4">
        <v>417000</v>
      </c>
      <c r="V1198" t="s">
        <v>23739</v>
      </c>
      <c r="W1198" t="s">
        <v>24331</v>
      </c>
      <c r="X1198" t="s">
        <v>3</v>
      </c>
      <c r="AA1198" s="5" t="str">
        <f>HYPERLINK("https://www.zillow.com/homes/7809-MAYFAIR-LN-DARIEN-IL-60561_rb/","check listing")</f>
        <v>check listing</v>
      </c>
      <c r="AB1198" s="5" t="str">
        <f>HYPERLINK("https://propertylookup.dupagecounty.gov/Datalets/Datalet.aspx?UseSearch=no&amp;mode=sales&amp;pin=0927419003","sales record")</f>
        <v>sales record</v>
      </c>
      <c r="AC1198" t="s">
        <v>3</v>
      </c>
      <c r="AD1198">
        <v>41.746424</v>
      </c>
      <c r="AE1198">
        <v>-87.96301200000001</v>
      </c>
      <c r="AF1198" s="5" t="str">
        <f>HYPERLINK("https://www.google.com/maps/search/?api=1&amp;query=41.746424,-87.963012","map")</f>
        <v>map</v>
      </c>
    </row>
    <row r="1199" spans="1:32">
      <c r="A1199" t="s">
        <v>1249</v>
      </c>
      <c r="B1199" t="s">
        <v>8826</v>
      </c>
      <c r="C1199" t="s">
        <v>15201</v>
      </c>
      <c r="D1199" t="s">
        <v>16198</v>
      </c>
      <c r="E1199" t="s">
        <v>16218</v>
      </c>
      <c r="F1199" t="s">
        <v>16221</v>
      </c>
      <c r="G1199" t="s">
        <v>16241</v>
      </c>
      <c r="H1199" t="s">
        <v>16241</v>
      </c>
      <c r="I1199" t="s">
        <v>16317</v>
      </c>
      <c r="J1199" t="s">
        <v>16385</v>
      </c>
      <c r="K1199">
        <v>0.204</v>
      </c>
      <c r="L1199">
        <v>8898</v>
      </c>
      <c r="M1199">
        <v>1886</v>
      </c>
      <c r="N1199" t="s">
        <v>16393</v>
      </c>
      <c r="O1199" s="4">
        <v>55330</v>
      </c>
      <c r="P1199" s="4">
        <v>94274</v>
      </c>
      <c r="Q1199" s="4">
        <v>149604</v>
      </c>
      <c r="R1199" s="4">
        <v>448812</v>
      </c>
      <c r="S1199" t="s">
        <v>17573</v>
      </c>
      <c r="T1199" s="6">
        <v>34943</v>
      </c>
      <c r="U1199" s="4">
        <v>233000</v>
      </c>
      <c r="X1199" t="s">
        <v>3</v>
      </c>
      <c r="AA1199" s="5" t="str">
        <f>HYPERLINK("https://www.zillow.com/homes/7821-MAYFAIR-LN-DARIEN-IL-60561_rb/","check listing")</f>
        <v>check listing</v>
      </c>
      <c r="AB1199" s="5" t="str">
        <f>HYPERLINK("https://propertylookup.dupagecounty.gov/Datalets/Datalet.aspx?UseSearch=no&amp;mode=sales&amp;pin=0927419006","sales record")</f>
        <v>sales record</v>
      </c>
      <c r="AC1199" t="s">
        <v>3</v>
      </c>
      <c r="AD1199">
        <v>41.745847</v>
      </c>
      <c r="AE1199">
        <v>-87.962992</v>
      </c>
      <c r="AF1199" s="5" t="str">
        <f>HYPERLINK("https://www.google.com/maps/search/?api=1&amp;query=41.745847,-87.962992","map")</f>
        <v>map</v>
      </c>
    </row>
    <row r="1200" spans="1:32">
      <c r="A1200" t="s">
        <v>1250</v>
      </c>
      <c r="B1200" t="s">
        <v>8827</v>
      </c>
      <c r="C1200" t="s">
        <v>15201</v>
      </c>
      <c r="D1200" t="s">
        <v>16198</v>
      </c>
      <c r="E1200" t="s">
        <v>16218</v>
      </c>
      <c r="F1200" t="s">
        <v>16221</v>
      </c>
      <c r="G1200" t="s">
        <v>16241</v>
      </c>
      <c r="H1200" t="s">
        <v>16241</v>
      </c>
      <c r="I1200" t="s">
        <v>16317</v>
      </c>
      <c r="J1200" t="s">
        <v>16385</v>
      </c>
      <c r="K1200">
        <v>0.202</v>
      </c>
      <c r="L1200">
        <v>8780</v>
      </c>
      <c r="M1200">
        <v>1806</v>
      </c>
      <c r="N1200" t="s">
        <v>16393</v>
      </c>
      <c r="O1200" s="4">
        <v>56550</v>
      </c>
      <c r="P1200" s="4">
        <v>96387</v>
      </c>
      <c r="Q1200" s="4">
        <v>152937</v>
      </c>
      <c r="R1200" s="4">
        <v>458811</v>
      </c>
      <c r="S1200" t="s">
        <v>17574</v>
      </c>
      <c r="T1200" s="6">
        <v>36192</v>
      </c>
      <c r="U1200" s="4">
        <v>245000</v>
      </c>
      <c r="X1200" t="s">
        <v>3</v>
      </c>
      <c r="AA1200" s="5" t="str">
        <f>HYPERLINK("https://www.zillow.com/homes/712-SOMERSET-LN-DARIEN-IL-60561_rb/","check listing")</f>
        <v>check listing</v>
      </c>
      <c r="AB1200" s="5" t="str">
        <f>HYPERLINK("https://propertylookup.dupagecounty.gov/Datalets/Datalet.aspx?UseSearch=no&amp;mode=sales&amp;pin=0927418012","sales record")</f>
        <v>sales record</v>
      </c>
      <c r="AC1200" t="s">
        <v>3</v>
      </c>
      <c r="AD1200">
        <v>41.747322</v>
      </c>
      <c r="AE1200">
        <v>-87.963196</v>
      </c>
      <c r="AF1200" s="5" t="str">
        <f>HYPERLINK("https://www.google.com/maps/search/?api=1&amp;query=41.747322,-87.963196","map")</f>
        <v>map</v>
      </c>
    </row>
    <row r="1201" spans="1:32">
      <c r="A1201" t="s">
        <v>1251</v>
      </c>
      <c r="B1201" t="s">
        <v>8828</v>
      </c>
      <c r="C1201" t="s">
        <v>15201</v>
      </c>
      <c r="D1201" t="s">
        <v>16198</v>
      </c>
      <c r="E1201" t="s">
        <v>16218</v>
      </c>
      <c r="F1201" t="s">
        <v>16221</v>
      </c>
      <c r="G1201" t="s">
        <v>16241</v>
      </c>
      <c r="H1201" t="s">
        <v>16241</v>
      </c>
      <c r="I1201" t="s">
        <v>16317</v>
      </c>
      <c r="J1201" t="s">
        <v>16385</v>
      </c>
      <c r="K1201">
        <v>0.201</v>
      </c>
      <c r="L1201">
        <v>8766</v>
      </c>
      <c r="M1201">
        <v>2448</v>
      </c>
      <c r="N1201" t="s">
        <v>16393</v>
      </c>
      <c r="O1201" s="4">
        <v>55130</v>
      </c>
      <c r="P1201" s="4">
        <v>103582</v>
      </c>
      <c r="Q1201" s="4">
        <v>158712</v>
      </c>
      <c r="R1201" s="4">
        <v>476136</v>
      </c>
      <c r="S1201" t="s">
        <v>17575</v>
      </c>
      <c r="T1201" s="6">
        <v>32112</v>
      </c>
      <c r="U1201" s="4">
        <v>192624</v>
      </c>
      <c r="X1201" t="s">
        <v>3</v>
      </c>
      <c r="AA1201" s="5" t="str">
        <f>HYPERLINK("https://www.zillow.com/homes/7800-MAYFAIR-LN-DARIEN-IL-60561_rb/","check listing")</f>
        <v>check listing</v>
      </c>
      <c r="AB1201" s="5" t="str">
        <f>HYPERLINK("https://propertylookup.dupagecounty.gov/Datalets/Datalet.aspx?UseSearch=no&amp;mode=sales&amp;pin=0927418009","sales record")</f>
        <v>sales record</v>
      </c>
      <c r="AC1201" t="s">
        <v>3</v>
      </c>
      <c r="AD1201">
        <v>41.74699</v>
      </c>
      <c r="AE1201">
        <v>-87.96376600000001</v>
      </c>
      <c r="AF1201" s="5" t="str">
        <f>HYPERLINK("https://www.google.com/maps/search/?api=1&amp;query=41.74699,-87.963766","map")</f>
        <v>map</v>
      </c>
    </row>
    <row r="1202" spans="1:32">
      <c r="A1202" t="s">
        <v>1252</v>
      </c>
      <c r="B1202" t="s">
        <v>8829</v>
      </c>
      <c r="C1202" t="s">
        <v>15201</v>
      </c>
      <c r="D1202" t="s">
        <v>16198</v>
      </c>
      <c r="E1202" t="s">
        <v>16218</v>
      </c>
      <c r="F1202" t="s">
        <v>16221</v>
      </c>
      <c r="G1202" t="s">
        <v>16241</v>
      </c>
      <c r="H1202" t="s">
        <v>16241</v>
      </c>
      <c r="I1202" t="s">
        <v>16317</v>
      </c>
      <c r="J1202" t="s">
        <v>16385</v>
      </c>
      <c r="K1202">
        <v>0.201</v>
      </c>
      <c r="L1202">
        <v>8755</v>
      </c>
      <c r="M1202">
        <v>2767</v>
      </c>
      <c r="N1202" t="s">
        <v>16393</v>
      </c>
      <c r="O1202" s="4">
        <v>55330</v>
      </c>
      <c r="P1202" s="4">
        <v>104616</v>
      </c>
      <c r="Q1202" s="4">
        <v>159946</v>
      </c>
      <c r="R1202" s="4">
        <v>479838</v>
      </c>
      <c r="S1202" t="s">
        <v>17576</v>
      </c>
      <c r="T1202" s="6">
        <v>32660</v>
      </c>
      <c r="U1202" s="4">
        <v>210539</v>
      </c>
      <c r="X1202" t="s">
        <v>3</v>
      </c>
      <c r="AA1202" s="5" t="str">
        <f>HYPERLINK("https://www.zillow.com/homes/7824-MAYFAIR-LN-DARIEN-IL-60561_rb/","check listing")</f>
        <v>check listing</v>
      </c>
      <c r="AB1202" s="5" t="str">
        <f>HYPERLINK("https://propertylookup.dupagecounty.gov/Datalets/Datalet.aspx?UseSearch=no&amp;mode=sales&amp;pin=0927418003","sales record")</f>
        <v>sales record</v>
      </c>
      <c r="AC1202" t="s">
        <v>3</v>
      </c>
      <c r="AD1202">
        <v>41.745857</v>
      </c>
      <c r="AE1202">
        <v>-87.963696</v>
      </c>
      <c r="AF1202" s="5" t="str">
        <f>HYPERLINK("https://www.google.com/maps/search/?api=1&amp;query=41.745857,-87.963696","map")</f>
        <v>map</v>
      </c>
    </row>
    <row r="1203" spans="1:32">
      <c r="A1203" t="s">
        <v>1253</v>
      </c>
      <c r="B1203" t="s">
        <v>8830</v>
      </c>
      <c r="C1203" t="s">
        <v>15201</v>
      </c>
      <c r="D1203" t="s">
        <v>16198</v>
      </c>
      <c r="E1203" t="s">
        <v>16218</v>
      </c>
      <c r="F1203" t="s">
        <v>16221</v>
      </c>
      <c r="G1203" t="s">
        <v>16241</v>
      </c>
      <c r="H1203" t="s">
        <v>16241</v>
      </c>
      <c r="I1203" t="s">
        <v>16317</v>
      </c>
      <c r="J1203" t="s">
        <v>16385</v>
      </c>
      <c r="K1203">
        <v>0.201</v>
      </c>
      <c r="L1203">
        <v>8753</v>
      </c>
      <c r="M1203">
        <v>1948</v>
      </c>
      <c r="N1203" t="s">
        <v>16393</v>
      </c>
      <c r="O1203" s="4">
        <v>55330</v>
      </c>
      <c r="P1203" s="4">
        <v>102373</v>
      </c>
      <c r="Q1203" s="4">
        <v>157703</v>
      </c>
      <c r="R1203" s="4">
        <v>473109</v>
      </c>
      <c r="S1203" t="s">
        <v>17577</v>
      </c>
      <c r="T1203" s="6">
        <v>34881</v>
      </c>
      <c r="U1203" s="4">
        <v>231000</v>
      </c>
      <c r="X1203" t="s">
        <v>3</v>
      </c>
      <c r="AA1203" s="5" t="str">
        <f>HYPERLINK("https://www.zillow.com/homes/7804-MAYFAIR-LN-DARIEN-IL-60561_rb/","check listing")</f>
        <v>check listing</v>
      </c>
      <c r="AB1203" s="5" t="str">
        <f>HYPERLINK("https://propertylookup.dupagecounty.gov/Datalets/Datalet.aspx?UseSearch=no&amp;mode=sales&amp;pin=0927418008","sales record")</f>
        <v>sales record</v>
      </c>
      <c r="AC1203" t="s">
        <v>3</v>
      </c>
      <c r="AD1203">
        <v>41.746759</v>
      </c>
      <c r="AE1203">
        <v>-87.96372700000001</v>
      </c>
      <c r="AF1203" s="5" t="str">
        <f>HYPERLINK("https://www.google.com/maps/search/?api=1&amp;query=41.746759,-87.963727","map")</f>
        <v>map</v>
      </c>
    </row>
    <row r="1204" spans="1:32">
      <c r="A1204" t="s">
        <v>1254</v>
      </c>
      <c r="B1204" t="s">
        <v>8831</v>
      </c>
      <c r="C1204" t="s">
        <v>15201</v>
      </c>
      <c r="D1204" t="s">
        <v>16198</v>
      </c>
      <c r="E1204" t="s">
        <v>16218</v>
      </c>
      <c r="F1204" t="s">
        <v>16221</v>
      </c>
      <c r="G1204" t="s">
        <v>16241</v>
      </c>
      <c r="H1204" t="s">
        <v>16241</v>
      </c>
      <c r="I1204" t="s">
        <v>16317</v>
      </c>
      <c r="J1204" t="s">
        <v>16385</v>
      </c>
      <c r="K1204">
        <v>0.201</v>
      </c>
      <c r="L1204">
        <v>8753</v>
      </c>
      <c r="M1204">
        <v>1780</v>
      </c>
      <c r="N1204" t="s">
        <v>16393</v>
      </c>
      <c r="O1204" s="4">
        <v>55330</v>
      </c>
      <c r="P1204" s="4">
        <v>95976</v>
      </c>
      <c r="Q1204" s="4">
        <v>151306</v>
      </c>
      <c r="R1204" s="4">
        <v>453918</v>
      </c>
      <c r="S1204" t="s">
        <v>17578</v>
      </c>
      <c r="T1204" s="6">
        <v>41030</v>
      </c>
      <c r="U1204" s="4">
        <v>270000</v>
      </c>
      <c r="V1204" t="s">
        <v>23739</v>
      </c>
      <c r="W1204" t="s">
        <v>24332</v>
      </c>
      <c r="X1204" t="s">
        <v>3</v>
      </c>
      <c r="AA1204" s="5" t="str">
        <f>HYPERLINK("https://www.zillow.com/homes/7820-MAYFAIR-LN-DARIEN-IL-60561_rb/","check listing")</f>
        <v>check listing</v>
      </c>
      <c r="AB1204" s="5" t="str">
        <f>HYPERLINK("https://propertylookup.dupagecounty.gov/Datalets/Datalet.aspx?UseSearch=no&amp;mode=sales&amp;pin=0927418004","sales record")</f>
        <v>sales record</v>
      </c>
      <c r="AC1204" t="s">
        <v>3</v>
      </c>
      <c r="AD1204">
        <v>41.745972</v>
      </c>
      <c r="AE1204">
        <v>-87.9637</v>
      </c>
      <c r="AF1204" s="5" t="str">
        <f>HYPERLINK("https://www.google.com/maps/search/?api=1&amp;query=41.745972,-87.9637","map")</f>
        <v>map</v>
      </c>
    </row>
    <row r="1205" spans="1:32">
      <c r="A1205" t="s">
        <v>1255</v>
      </c>
      <c r="B1205" t="s">
        <v>8832</v>
      </c>
      <c r="C1205" t="s">
        <v>15201</v>
      </c>
      <c r="D1205" t="s">
        <v>16198</v>
      </c>
      <c r="E1205" t="s">
        <v>16218</v>
      </c>
      <c r="F1205" t="s">
        <v>16221</v>
      </c>
      <c r="G1205" t="s">
        <v>16241</v>
      </c>
      <c r="H1205" t="s">
        <v>16241</v>
      </c>
      <c r="I1205" t="s">
        <v>16317</v>
      </c>
      <c r="J1205" t="s">
        <v>16385</v>
      </c>
      <c r="K1205">
        <v>0.201</v>
      </c>
      <c r="L1205">
        <v>8753</v>
      </c>
      <c r="M1205">
        <v>2389</v>
      </c>
      <c r="N1205" t="s">
        <v>16393</v>
      </c>
      <c r="O1205" s="4">
        <v>55330</v>
      </c>
      <c r="P1205" s="4">
        <v>102056</v>
      </c>
      <c r="Q1205" s="4">
        <v>157386</v>
      </c>
      <c r="R1205" s="4">
        <v>472158</v>
      </c>
      <c r="S1205" t="s">
        <v>17579</v>
      </c>
      <c r="T1205" s="6">
        <v>32356</v>
      </c>
      <c r="U1205" s="4">
        <v>188100</v>
      </c>
      <c r="X1205" t="s">
        <v>3</v>
      </c>
      <c r="AA1205" s="5" t="str">
        <f>HYPERLINK("https://www.zillow.com/homes/7828-MAYFAIR-LN-DARIEN-IL-60561_rb/","check listing")</f>
        <v>check listing</v>
      </c>
      <c r="AB1205" s="5" t="str">
        <f>HYPERLINK("https://propertylookup.dupagecounty.gov/Datalets/Datalet.aspx?UseSearch=no&amp;mode=sales&amp;pin=0927418002","sales record")</f>
        <v>sales record</v>
      </c>
      <c r="AC1205" t="s">
        <v>3</v>
      </c>
      <c r="AD1205">
        <v>41.745651</v>
      </c>
      <c r="AE1205">
        <v>-87.963689</v>
      </c>
      <c r="AF1205" s="5" t="str">
        <f>HYPERLINK("https://www.google.com/maps/search/?api=1&amp;query=41.745651,-87.963689","map")</f>
        <v>map</v>
      </c>
    </row>
    <row r="1206" spans="1:32">
      <c r="A1206" t="s">
        <v>1256</v>
      </c>
      <c r="B1206" t="s">
        <v>8833</v>
      </c>
      <c r="C1206" t="s">
        <v>15259</v>
      </c>
      <c r="D1206" t="s">
        <v>16198</v>
      </c>
      <c r="E1206" t="s">
        <v>16218</v>
      </c>
      <c r="F1206" t="s">
        <v>16221</v>
      </c>
      <c r="G1206" t="s">
        <v>16241</v>
      </c>
      <c r="H1206" t="s">
        <v>16241</v>
      </c>
      <c r="I1206" t="s">
        <v>16317</v>
      </c>
      <c r="J1206" t="s">
        <v>16385</v>
      </c>
      <c r="K1206">
        <v>0.201</v>
      </c>
      <c r="L1206">
        <v>8753</v>
      </c>
      <c r="M1206">
        <v>2019</v>
      </c>
      <c r="N1206" t="s">
        <v>16393</v>
      </c>
      <c r="O1206" s="4">
        <v>55330</v>
      </c>
      <c r="P1206" s="4">
        <v>86622</v>
      </c>
      <c r="Q1206" s="4">
        <v>141952</v>
      </c>
      <c r="R1206" s="4">
        <v>425856</v>
      </c>
      <c r="S1206" t="s">
        <v>17580</v>
      </c>
      <c r="T1206" s="6">
        <v>42217</v>
      </c>
      <c r="U1206" s="4">
        <v>315000</v>
      </c>
      <c r="V1206" t="s">
        <v>23739</v>
      </c>
      <c r="W1206" t="s">
        <v>17580</v>
      </c>
      <c r="X1206" t="s">
        <v>3</v>
      </c>
      <c r="AA1206" s="5" t="str">
        <f>HYPERLINK("https://www.zillow.com/homes/7812-MAYFAIR-LN-DARIEN-IL-605614864_rb/","check listing")</f>
        <v>check listing</v>
      </c>
      <c r="AB1206" s="5" t="str">
        <f>HYPERLINK("https://propertylookup.dupagecounty.gov/Datalets/Datalet.aspx?UseSearch=no&amp;mode=sales&amp;pin=0927418006","sales record")</f>
        <v>sales record</v>
      </c>
      <c r="AC1206" t="s">
        <v>3</v>
      </c>
      <c r="AD1206">
        <v>41.74637</v>
      </c>
      <c r="AE1206">
        <v>-87.963714</v>
      </c>
      <c r="AF1206" s="5" t="str">
        <f>HYPERLINK("https://www.google.com/maps/search/?api=1&amp;query=41.74637,-87.963714","map")</f>
        <v>map</v>
      </c>
    </row>
    <row r="1207" spans="1:32">
      <c r="A1207" t="s">
        <v>1257</v>
      </c>
      <c r="B1207" t="s">
        <v>8834</v>
      </c>
      <c r="C1207" t="s">
        <v>15259</v>
      </c>
      <c r="D1207" t="s">
        <v>16198</v>
      </c>
      <c r="E1207" t="s">
        <v>16218</v>
      </c>
      <c r="F1207" t="s">
        <v>16221</v>
      </c>
      <c r="G1207" t="s">
        <v>16241</v>
      </c>
      <c r="H1207" t="s">
        <v>16241</v>
      </c>
      <c r="I1207" t="s">
        <v>16317</v>
      </c>
      <c r="J1207" t="s">
        <v>16385</v>
      </c>
      <c r="K1207">
        <v>0.201</v>
      </c>
      <c r="L1207">
        <v>8752</v>
      </c>
      <c r="M1207">
        <v>2021</v>
      </c>
      <c r="N1207" t="s">
        <v>16393</v>
      </c>
      <c r="O1207" s="4">
        <v>55330</v>
      </c>
      <c r="P1207" s="4">
        <v>110073</v>
      </c>
      <c r="Q1207" s="4">
        <v>165403</v>
      </c>
      <c r="R1207" s="4">
        <v>496209</v>
      </c>
      <c r="S1207" t="s">
        <v>17581</v>
      </c>
      <c r="T1207" s="6">
        <v>41334</v>
      </c>
      <c r="U1207" s="4">
        <v>330000</v>
      </c>
      <c r="V1207" t="s">
        <v>23740</v>
      </c>
      <c r="W1207" t="s">
        <v>24333</v>
      </c>
      <c r="X1207" t="s">
        <v>3</v>
      </c>
      <c r="AA1207" s="5" t="str">
        <f>HYPERLINK("https://www.zillow.com/homes/7816-MAYFAIR-LN-DARIEN-IL-605614864_rb/","check listing")</f>
        <v>check listing</v>
      </c>
      <c r="AB1207" s="5" t="str">
        <f>HYPERLINK("https://propertylookup.dupagecounty.gov/Datalets/Datalet.aspx?UseSearch=no&amp;mode=sales&amp;pin=0927418005","sales record")</f>
        <v>sales record</v>
      </c>
      <c r="AC1207" t="s">
        <v>3</v>
      </c>
      <c r="AD1207">
        <v>41.746171</v>
      </c>
      <c r="AE1207">
        <v>-87.963707</v>
      </c>
      <c r="AF1207" s="5" t="str">
        <f>HYPERLINK("https://www.google.com/maps/search/?api=1&amp;query=41.746171,-87.963707","map")</f>
        <v>map</v>
      </c>
    </row>
    <row r="1208" spans="1:32">
      <c r="A1208" t="s">
        <v>1258</v>
      </c>
      <c r="B1208" t="s">
        <v>8835</v>
      </c>
      <c r="C1208" t="s">
        <v>15201</v>
      </c>
      <c r="D1208" t="s">
        <v>16198</v>
      </c>
      <c r="E1208" t="s">
        <v>16218</v>
      </c>
      <c r="F1208" t="s">
        <v>16221</v>
      </c>
      <c r="G1208" t="s">
        <v>16241</v>
      </c>
      <c r="H1208" t="s">
        <v>16241</v>
      </c>
      <c r="I1208" t="s">
        <v>16317</v>
      </c>
      <c r="J1208" t="s">
        <v>16385</v>
      </c>
      <c r="K1208">
        <v>0.201</v>
      </c>
      <c r="L1208">
        <v>8750</v>
      </c>
      <c r="M1208">
        <v>1873</v>
      </c>
      <c r="N1208" t="s">
        <v>16393</v>
      </c>
      <c r="O1208" s="4">
        <v>55330</v>
      </c>
      <c r="P1208" s="4">
        <v>102713</v>
      </c>
      <c r="Q1208" s="4">
        <v>158043</v>
      </c>
      <c r="R1208" s="4">
        <v>474129</v>
      </c>
      <c r="S1208" t="s">
        <v>17582</v>
      </c>
      <c r="T1208" s="6">
        <v>34881</v>
      </c>
      <c r="U1208" s="4">
        <v>235000</v>
      </c>
      <c r="X1208" t="s">
        <v>3</v>
      </c>
      <c r="AA1208" s="5" t="str">
        <f>HYPERLINK("https://www.zillow.com/homes/7808-MAYFAIR-LN-DARIEN-IL-60561_rb/","check listing")</f>
        <v>check listing</v>
      </c>
      <c r="AB1208" s="5" t="str">
        <f>HYPERLINK("https://propertylookup.dupagecounty.gov/Datalets/Datalet.aspx?UseSearch=no&amp;mode=sales&amp;pin=0927418007","sales record")</f>
        <v>sales record</v>
      </c>
      <c r="AC1208" t="s">
        <v>3</v>
      </c>
      <c r="AD1208">
        <v>41.746564</v>
      </c>
      <c r="AE1208">
        <v>-87.96372100000001</v>
      </c>
      <c r="AF1208" s="5" t="str">
        <f>HYPERLINK("https://www.google.com/maps/search/?api=1&amp;query=41.746564,-87.963721","map")</f>
        <v>map</v>
      </c>
    </row>
    <row r="1209" spans="1:32">
      <c r="A1209" t="s">
        <v>1259</v>
      </c>
      <c r="B1209" t="s">
        <v>8836</v>
      </c>
      <c r="C1209" t="s">
        <v>15260</v>
      </c>
      <c r="D1209" t="s">
        <v>16198</v>
      </c>
      <c r="E1209" t="s">
        <v>16218</v>
      </c>
      <c r="F1209" t="s">
        <v>16221</v>
      </c>
      <c r="G1209" t="s">
        <v>16241</v>
      </c>
      <c r="H1209" t="s">
        <v>16241</v>
      </c>
      <c r="I1209" t="s">
        <v>16317</v>
      </c>
      <c r="J1209" t="s">
        <v>16385</v>
      </c>
      <c r="K1209">
        <v>0.164</v>
      </c>
      <c r="L1209">
        <v>7162</v>
      </c>
      <c r="M1209">
        <v>1074</v>
      </c>
      <c r="N1209" t="s">
        <v>16393</v>
      </c>
      <c r="O1209" s="4">
        <v>41198</v>
      </c>
      <c r="P1209" s="4">
        <v>74204</v>
      </c>
      <c r="Q1209" s="4">
        <v>115402</v>
      </c>
      <c r="R1209" s="4">
        <v>346206</v>
      </c>
      <c r="S1209" t="s">
        <v>17583</v>
      </c>
      <c r="T1209" s="6">
        <v>44228</v>
      </c>
      <c r="U1209" s="4">
        <v>265000</v>
      </c>
      <c r="V1209" t="s">
        <v>23739</v>
      </c>
      <c r="W1209" t="s">
        <v>17583</v>
      </c>
      <c r="X1209" t="s">
        <v>3</v>
      </c>
      <c r="AA1209" s="5" t="str">
        <f>HYPERLINK("https://www.zillow.com/homes/8120-PARK-CREST-DR-DARIEN-IL-605615423_rb/","check listing")</f>
        <v>check listing</v>
      </c>
      <c r="AB1209" s="5" t="str">
        <f>HYPERLINK("https://propertylookup.dupagecounty.gov/Datalets/Datalet.aspx?UseSearch=no&amp;mode=sales&amp;pin=0934112015","sales record")</f>
        <v>sales record</v>
      </c>
      <c r="AC1209" t="s">
        <v>3</v>
      </c>
      <c r="AD1209">
        <v>41.740174</v>
      </c>
      <c r="AE1209">
        <v>-87.97054799999999</v>
      </c>
      <c r="AF1209" s="5" t="str">
        <f>HYPERLINK("https://www.google.com/maps/search/?api=1&amp;query=41.740174,-87.970548","map")</f>
        <v>map</v>
      </c>
    </row>
    <row r="1210" spans="1:32">
      <c r="A1210" t="s">
        <v>1260</v>
      </c>
      <c r="B1210" t="s">
        <v>8837</v>
      </c>
      <c r="C1210" t="s">
        <v>15201</v>
      </c>
      <c r="D1210" t="s">
        <v>16198</v>
      </c>
      <c r="E1210" t="s">
        <v>16218</v>
      </c>
      <c r="F1210" t="s">
        <v>16221</v>
      </c>
      <c r="G1210" t="s">
        <v>16241</v>
      </c>
      <c r="H1210" t="s">
        <v>16241</v>
      </c>
      <c r="I1210" t="s">
        <v>16317</v>
      </c>
      <c r="J1210" t="s">
        <v>16385</v>
      </c>
      <c r="K1210">
        <v>0.156</v>
      </c>
      <c r="L1210">
        <v>6779</v>
      </c>
      <c r="M1210">
        <v>1195</v>
      </c>
      <c r="N1210" t="s">
        <v>16393</v>
      </c>
      <c r="O1210" s="4">
        <v>39014</v>
      </c>
      <c r="P1210" s="4">
        <v>75612</v>
      </c>
      <c r="Q1210" s="4">
        <v>114626</v>
      </c>
      <c r="R1210" s="4">
        <v>343878</v>
      </c>
      <c r="S1210" t="s">
        <v>17584</v>
      </c>
      <c r="T1210" s="6">
        <v>44317</v>
      </c>
      <c r="U1210" s="4">
        <v>253000</v>
      </c>
      <c r="V1210" t="s">
        <v>23739</v>
      </c>
      <c r="W1210" t="s">
        <v>17584</v>
      </c>
      <c r="X1210" t="s">
        <v>3</v>
      </c>
      <c r="AA1210" s="5" t="str">
        <f>HYPERLINK("https://www.zillow.com/homes/8124-PARK-CREST-DR-DARIEN-IL-60561_rb/","check listing")</f>
        <v>check listing</v>
      </c>
      <c r="AB1210" s="5" t="str">
        <f>HYPERLINK("https://propertylookup.dupagecounty.gov/Datalets/Datalet.aspx?UseSearch=no&amp;mode=sales&amp;pin=0934112014","sales record")</f>
        <v>sales record</v>
      </c>
      <c r="AC1210" t="s">
        <v>3</v>
      </c>
      <c r="AD1210">
        <v>41.740128</v>
      </c>
      <c r="AE1210">
        <v>-87.970725</v>
      </c>
      <c r="AF1210" s="5" t="str">
        <f>HYPERLINK("https://www.google.com/maps/search/?api=1&amp;query=41.740128,-87.970725","map")</f>
        <v>map</v>
      </c>
    </row>
    <row r="1211" spans="1:32">
      <c r="A1211" t="s">
        <v>1261</v>
      </c>
      <c r="B1211" t="s">
        <v>8838</v>
      </c>
      <c r="C1211" t="s">
        <v>15201</v>
      </c>
      <c r="D1211" t="s">
        <v>16198</v>
      </c>
      <c r="E1211" t="s">
        <v>16218</v>
      </c>
      <c r="F1211" t="s">
        <v>16221</v>
      </c>
      <c r="G1211" t="s">
        <v>16241</v>
      </c>
      <c r="H1211" t="s">
        <v>16241</v>
      </c>
      <c r="I1211" t="s">
        <v>16317</v>
      </c>
      <c r="J1211" t="s">
        <v>16385</v>
      </c>
      <c r="K1211">
        <v>0.154</v>
      </c>
      <c r="L1211">
        <v>6725</v>
      </c>
      <c r="M1211">
        <v>1040</v>
      </c>
      <c r="N1211" t="s">
        <v>16393</v>
      </c>
      <c r="O1211" s="4">
        <v>41128</v>
      </c>
      <c r="P1211" s="4">
        <v>75612</v>
      </c>
      <c r="Q1211" s="4">
        <v>116740</v>
      </c>
      <c r="R1211" s="4">
        <v>350220</v>
      </c>
      <c r="S1211" t="s">
        <v>17585</v>
      </c>
      <c r="X1211" t="s">
        <v>3</v>
      </c>
      <c r="AA1211" s="5" t="str">
        <f>HYPERLINK("https://www.zillow.com/homes/1030-PARK-CREST-DR-DARIEN-IL-60561_rb/","check listing")</f>
        <v>check listing</v>
      </c>
      <c r="AB1211" s="5" t="str">
        <f>HYPERLINK("https://propertylookup.dupagecounty.gov/Datalets/Datalet.aspx?UseSearch=no&amp;mode=sales&amp;pin=0934112024","sales record")</f>
        <v>sales record</v>
      </c>
      <c r="AC1211" t="s">
        <v>27873</v>
      </c>
      <c r="AD1211">
        <v>41.740815</v>
      </c>
      <c r="AE1211">
        <v>-87.969433</v>
      </c>
      <c r="AF1211" s="5" t="str">
        <f>HYPERLINK("https://www.google.com/maps/search/?api=1&amp;query=41.740815,-87.969433","map")</f>
        <v>map</v>
      </c>
    </row>
    <row r="1212" spans="1:32">
      <c r="A1212" t="s">
        <v>1262</v>
      </c>
      <c r="B1212" t="s">
        <v>8839</v>
      </c>
      <c r="C1212" t="s">
        <v>15201</v>
      </c>
      <c r="D1212" t="s">
        <v>16198</v>
      </c>
      <c r="E1212" t="s">
        <v>16218</v>
      </c>
      <c r="F1212" t="s">
        <v>16221</v>
      </c>
      <c r="G1212" t="s">
        <v>16241</v>
      </c>
      <c r="H1212" t="s">
        <v>16241</v>
      </c>
      <c r="I1212" t="s">
        <v>16317</v>
      </c>
      <c r="J1212" t="s">
        <v>16385</v>
      </c>
      <c r="K1212">
        <v>0.139</v>
      </c>
      <c r="L1212">
        <v>6069</v>
      </c>
      <c r="M1212">
        <v>1450</v>
      </c>
      <c r="N1212" t="s">
        <v>16393</v>
      </c>
      <c r="O1212" s="4">
        <v>34883</v>
      </c>
      <c r="P1212" s="4">
        <v>86974</v>
      </c>
      <c r="Q1212" s="4">
        <v>121857</v>
      </c>
      <c r="R1212" s="4">
        <v>365571</v>
      </c>
      <c r="S1212" t="s">
        <v>17586</v>
      </c>
      <c r="T1212" s="6">
        <v>36220</v>
      </c>
      <c r="U1212" s="4">
        <v>136000</v>
      </c>
      <c r="X1212" t="s">
        <v>3</v>
      </c>
      <c r="AA1212" s="5" t="str">
        <f>HYPERLINK("https://www.zillow.com/homes/8125-ORIOLE-DR-DARIEN-IL-60561_rb/","check listing")</f>
        <v>check listing</v>
      </c>
      <c r="AB1212" s="5" t="str">
        <f>HYPERLINK("https://propertylookup.dupagecounty.gov/Datalets/Datalet.aspx?UseSearch=no&amp;mode=sales&amp;pin=0934112022","sales record")</f>
        <v>sales record</v>
      </c>
      <c r="AC1212" t="s">
        <v>3</v>
      </c>
      <c r="AD1212">
        <v>41.739951</v>
      </c>
      <c r="AE1212">
        <v>-87.967935</v>
      </c>
      <c r="AF1212" s="5" t="str">
        <f>HYPERLINK("https://www.google.com/maps/search/?api=1&amp;query=41.739951,-87.967935","map")</f>
        <v>map</v>
      </c>
    </row>
    <row r="1213" spans="1:32">
      <c r="A1213" t="s">
        <v>1263</v>
      </c>
      <c r="B1213" t="s">
        <v>8840</v>
      </c>
      <c r="C1213" t="s">
        <v>15261</v>
      </c>
      <c r="D1213" t="s">
        <v>16198</v>
      </c>
      <c r="E1213" t="s">
        <v>16218</v>
      </c>
      <c r="F1213" t="s">
        <v>16221</v>
      </c>
      <c r="G1213" t="s">
        <v>16241</v>
      </c>
      <c r="H1213" t="s">
        <v>16241</v>
      </c>
      <c r="I1213" t="s">
        <v>16317</v>
      </c>
      <c r="J1213" t="s">
        <v>16385</v>
      </c>
      <c r="K1213">
        <v>0.123</v>
      </c>
      <c r="L1213">
        <v>5356</v>
      </c>
      <c r="M1213">
        <v>730</v>
      </c>
      <c r="N1213" t="s">
        <v>16393</v>
      </c>
      <c r="O1213" s="4">
        <v>29755</v>
      </c>
      <c r="P1213" s="4">
        <v>69825</v>
      </c>
      <c r="Q1213" s="4">
        <v>99580</v>
      </c>
      <c r="R1213" s="4">
        <v>298740</v>
      </c>
      <c r="S1213" t="s">
        <v>17587</v>
      </c>
      <c r="T1213" s="6">
        <v>44531</v>
      </c>
      <c r="U1213" s="4">
        <v>289900</v>
      </c>
      <c r="V1213" t="s">
        <v>23739</v>
      </c>
      <c r="W1213" t="s">
        <v>24334</v>
      </c>
      <c r="X1213" t="s">
        <v>3</v>
      </c>
      <c r="AA1213" s="5" t="str">
        <f>HYPERLINK("https://www.zillow.com/homes/1033-MEADOWLARK-LN-DARIEN-IL-605615416_rb/","check listing")</f>
        <v>check listing</v>
      </c>
      <c r="AB1213" s="5" t="str">
        <f>HYPERLINK("https://propertylookup.dupagecounty.gov/Datalets/Datalet.aspx?UseSearch=no&amp;mode=sales&amp;pin=0934115003","sales record")</f>
        <v>sales record</v>
      </c>
      <c r="AC1213" t="s">
        <v>27873</v>
      </c>
      <c r="AD1213">
        <v>41.739405</v>
      </c>
      <c r="AE1213">
        <v>-87.96960199999999</v>
      </c>
      <c r="AF1213" s="5" t="str">
        <f>HYPERLINK("https://www.google.com/maps/search/?api=1&amp;query=41.739405,-87.969602","map")</f>
        <v>map</v>
      </c>
    </row>
    <row r="1214" spans="1:32">
      <c r="A1214" t="s">
        <v>1264</v>
      </c>
      <c r="B1214" t="s">
        <v>8841</v>
      </c>
      <c r="C1214" t="s">
        <v>15201</v>
      </c>
      <c r="D1214" t="s">
        <v>16198</v>
      </c>
      <c r="E1214" t="s">
        <v>16218</v>
      </c>
      <c r="F1214" t="s">
        <v>16221</v>
      </c>
      <c r="G1214" t="s">
        <v>16241</v>
      </c>
      <c r="H1214" t="s">
        <v>16241</v>
      </c>
      <c r="I1214" t="s">
        <v>16317</v>
      </c>
      <c r="J1214" t="s">
        <v>16385</v>
      </c>
      <c r="K1214">
        <v>0.123</v>
      </c>
      <c r="L1214">
        <v>5346</v>
      </c>
      <c r="M1214">
        <v>951</v>
      </c>
      <c r="N1214" t="s">
        <v>16393</v>
      </c>
      <c r="O1214" s="4">
        <v>29649</v>
      </c>
      <c r="P1214" s="4">
        <v>90542</v>
      </c>
      <c r="Q1214" s="4">
        <v>120191</v>
      </c>
      <c r="R1214" s="4">
        <v>360573</v>
      </c>
      <c r="S1214" t="s">
        <v>17588</v>
      </c>
      <c r="T1214" s="6">
        <v>35247</v>
      </c>
      <c r="U1214" s="4">
        <v>145000</v>
      </c>
      <c r="X1214" t="s">
        <v>3</v>
      </c>
      <c r="AA1214" s="5" t="str">
        <f>HYPERLINK("https://www.zillow.com/homes/1034-BOBOLINK-LN-DARIEN-IL-60561_rb/","check listing")</f>
        <v>check listing</v>
      </c>
      <c r="AB1214" s="5" t="str">
        <f>HYPERLINK("https://propertylookup.dupagecounty.gov/Datalets/Datalet.aspx?UseSearch=no&amp;mode=sales&amp;pin=0934115008","sales record")</f>
        <v>sales record</v>
      </c>
      <c r="AC1214" t="s">
        <v>27873</v>
      </c>
      <c r="AD1214">
        <v>41.739185</v>
      </c>
      <c r="AE1214">
        <v>-87.969595</v>
      </c>
      <c r="AF1214" s="5" t="str">
        <f>HYPERLINK("https://www.google.com/maps/search/?api=1&amp;query=41.739185,-87.969595","map")</f>
        <v>map</v>
      </c>
    </row>
    <row r="1215" spans="1:32">
      <c r="A1215" t="s">
        <v>1265</v>
      </c>
      <c r="B1215" t="s">
        <v>8842</v>
      </c>
      <c r="C1215" t="s">
        <v>15262</v>
      </c>
      <c r="D1215" t="s">
        <v>16198</v>
      </c>
      <c r="E1215" t="s">
        <v>16218</v>
      </c>
      <c r="F1215" t="s">
        <v>16221</v>
      </c>
      <c r="G1215" t="s">
        <v>16241</v>
      </c>
      <c r="H1215" t="s">
        <v>16241</v>
      </c>
      <c r="I1215" t="s">
        <v>16317</v>
      </c>
      <c r="J1215" t="s">
        <v>16385</v>
      </c>
      <c r="K1215">
        <v>0.117</v>
      </c>
      <c r="L1215">
        <v>5111</v>
      </c>
      <c r="M1215">
        <v>1215</v>
      </c>
      <c r="N1215" t="s">
        <v>16393</v>
      </c>
      <c r="O1215" s="4">
        <v>28169</v>
      </c>
      <c r="P1215" s="4">
        <v>69825</v>
      </c>
      <c r="Q1215" s="4">
        <v>97994</v>
      </c>
      <c r="R1215" s="4">
        <v>293982</v>
      </c>
      <c r="S1215" t="s">
        <v>17589</v>
      </c>
      <c r="T1215" s="6">
        <v>44287</v>
      </c>
      <c r="U1215" s="4">
        <v>275000</v>
      </c>
      <c r="V1215" t="s">
        <v>23739</v>
      </c>
      <c r="W1215" t="s">
        <v>24335</v>
      </c>
      <c r="X1215" t="s">
        <v>3</v>
      </c>
      <c r="AA1215" s="5" t="str">
        <f>HYPERLINK("https://www.zillow.com/homes/1021-HINSWOOD-DR-DARIEN-IL-605615409_rb/","check listing")</f>
        <v>check listing</v>
      </c>
      <c r="AB1215" s="5" t="str">
        <f>HYPERLINK("https://propertylookup.dupagecounty.gov/Datalets/Datalet.aspx?UseSearch=no&amp;mode=sales&amp;pin=0934114005","sales record")</f>
        <v>sales record</v>
      </c>
      <c r="AC1215" t="s">
        <v>3</v>
      </c>
      <c r="AD1215">
        <v>41.739935</v>
      </c>
      <c r="AE1215">
        <v>-87.969053</v>
      </c>
      <c r="AF1215" s="5" t="str">
        <f>HYPERLINK("https://www.google.com/maps/search/?api=1&amp;query=41.739935,-87.969053","map")</f>
        <v>map</v>
      </c>
    </row>
    <row r="1216" spans="1:32">
      <c r="A1216" t="s">
        <v>1266</v>
      </c>
      <c r="B1216" t="s">
        <v>8843</v>
      </c>
      <c r="C1216" t="s">
        <v>15201</v>
      </c>
      <c r="D1216" t="s">
        <v>16198</v>
      </c>
      <c r="E1216" t="s">
        <v>16218</v>
      </c>
      <c r="F1216" t="s">
        <v>16221</v>
      </c>
      <c r="G1216" t="s">
        <v>16241</v>
      </c>
      <c r="H1216" t="s">
        <v>16241</v>
      </c>
      <c r="I1216" t="s">
        <v>16317</v>
      </c>
      <c r="J1216" t="s">
        <v>16385</v>
      </c>
      <c r="K1216">
        <v>0.116</v>
      </c>
      <c r="L1216">
        <v>5056</v>
      </c>
      <c r="M1216">
        <v>1300</v>
      </c>
      <c r="N1216" t="s">
        <v>16393</v>
      </c>
      <c r="O1216" s="4">
        <v>28099</v>
      </c>
      <c r="P1216" s="4">
        <v>69825</v>
      </c>
      <c r="Q1216" s="4">
        <v>97924</v>
      </c>
      <c r="R1216" s="4">
        <v>293772</v>
      </c>
      <c r="S1216" t="s">
        <v>17590</v>
      </c>
      <c r="T1216" s="6">
        <v>32448</v>
      </c>
      <c r="U1216" s="4">
        <v>101000</v>
      </c>
      <c r="X1216" t="s">
        <v>3</v>
      </c>
      <c r="AA1216" s="5" t="str">
        <f>HYPERLINK("https://www.zillow.com/homes/1017-MEADOWLARK-LN-DARIEN-IL-60561_rb/","check listing")</f>
        <v>check listing</v>
      </c>
      <c r="AB1216" s="5" t="str">
        <f>HYPERLINK("https://propertylookup.dupagecounty.gov/Datalets/Datalet.aspx?UseSearch=no&amp;mode=sales&amp;pin=0934115007","sales record")</f>
        <v>sales record</v>
      </c>
      <c r="AC1216" t="s">
        <v>27873</v>
      </c>
      <c r="AD1216">
        <v>41.739419</v>
      </c>
      <c r="AE1216">
        <v>-87.968812</v>
      </c>
      <c r="AF1216" s="5" t="str">
        <f>HYPERLINK("https://www.google.com/maps/search/?api=1&amp;query=41.739419,-87.968812","map")</f>
        <v>map</v>
      </c>
    </row>
    <row r="1217" spans="1:32">
      <c r="A1217" t="s">
        <v>1267</v>
      </c>
      <c r="B1217" t="s">
        <v>8844</v>
      </c>
      <c r="C1217" t="s">
        <v>15201</v>
      </c>
      <c r="D1217" t="s">
        <v>16198</v>
      </c>
      <c r="E1217" t="s">
        <v>16218</v>
      </c>
      <c r="F1217" t="s">
        <v>16221</v>
      </c>
      <c r="G1217" t="s">
        <v>16241</v>
      </c>
      <c r="H1217" t="s">
        <v>16241</v>
      </c>
      <c r="I1217" t="s">
        <v>16317</v>
      </c>
      <c r="J1217" t="s">
        <v>16385</v>
      </c>
      <c r="K1217">
        <v>0.116</v>
      </c>
      <c r="L1217">
        <v>5056</v>
      </c>
      <c r="M1217">
        <v>1328</v>
      </c>
      <c r="N1217" t="s">
        <v>16393</v>
      </c>
      <c r="O1217" s="4">
        <v>28099</v>
      </c>
      <c r="P1217" s="4">
        <v>70894</v>
      </c>
      <c r="Q1217" s="4">
        <v>98993</v>
      </c>
      <c r="R1217" s="4">
        <v>296979</v>
      </c>
      <c r="S1217" t="s">
        <v>17591</v>
      </c>
      <c r="T1217" s="6">
        <v>45968</v>
      </c>
      <c r="U1217" s="4">
        <v>369000</v>
      </c>
      <c r="V1217" t="s">
        <v>23739</v>
      </c>
      <c r="W1217" t="s">
        <v>24336</v>
      </c>
      <c r="X1217" t="s">
        <v>3</v>
      </c>
      <c r="AA1217" s="5" t="str">
        <f>HYPERLINK("https://www.zillow.com/homes/1018-BOBOLINK-LN-DARIEN-IL-60561_rb/","check listing")</f>
        <v>check listing</v>
      </c>
      <c r="AB1217" s="5" t="str">
        <f>HYPERLINK("https://propertylookup.dupagecounty.gov/Datalets/Datalet.aspx?UseSearch=no&amp;mode=sales&amp;pin=0934115012","sales record")</f>
        <v>sales record</v>
      </c>
      <c r="AC1217" t="s">
        <v>27873</v>
      </c>
      <c r="AD1217">
        <v>41.7392</v>
      </c>
      <c r="AE1217">
        <v>-87.968806</v>
      </c>
      <c r="AF1217" s="5" t="str">
        <f>HYPERLINK("https://www.google.com/maps/search/?api=1&amp;query=41.7392,-87.968806","map")</f>
        <v>map</v>
      </c>
    </row>
    <row r="1218" spans="1:32">
      <c r="A1218" t="s">
        <v>1268</v>
      </c>
      <c r="B1218" t="s">
        <v>8845</v>
      </c>
      <c r="C1218" t="s">
        <v>15263</v>
      </c>
      <c r="D1218" t="s">
        <v>16198</v>
      </c>
      <c r="E1218" t="s">
        <v>16218</v>
      </c>
      <c r="F1218" t="s">
        <v>16221</v>
      </c>
      <c r="G1218" t="s">
        <v>16241</v>
      </c>
      <c r="H1218" t="s">
        <v>16241</v>
      </c>
      <c r="I1218" t="s">
        <v>16317</v>
      </c>
      <c r="J1218" t="s">
        <v>16385</v>
      </c>
      <c r="K1218">
        <v>0.114</v>
      </c>
      <c r="L1218">
        <v>4947</v>
      </c>
      <c r="M1218">
        <v>1003</v>
      </c>
      <c r="N1218" t="s">
        <v>16393</v>
      </c>
      <c r="O1218" s="4">
        <v>27371</v>
      </c>
      <c r="P1218" s="4">
        <v>82678</v>
      </c>
      <c r="Q1218" s="4">
        <v>110049</v>
      </c>
      <c r="R1218" s="4">
        <v>330147</v>
      </c>
      <c r="S1218" t="s">
        <v>17592</v>
      </c>
      <c r="T1218" s="6">
        <v>44409</v>
      </c>
      <c r="U1218" s="4">
        <v>288000</v>
      </c>
      <c r="V1218" t="s">
        <v>16232</v>
      </c>
      <c r="W1218" t="s">
        <v>17592</v>
      </c>
      <c r="X1218" t="s">
        <v>3</v>
      </c>
      <c r="AA1218" s="5" t="str">
        <f>HYPERLINK("https://www.zillow.com/homes/1032-PARK-CREST-DR-DARIEN-IL-605615421_rb/","check listing")</f>
        <v>check listing</v>
      </c>
      <c r="AB1218" s="5" t="str">
        <f>HYPERLINK("https://propertylookup.dupagecounty.gov/Datalets/Datalet.aspx?UseSearch=no&amp;mode=sales&amp;pin=0934112033","sales record")</f>
        <v>sales record</v>
      </c>
      <c r="AC1218" t="s">
        <v>27873</v>
      </c>
      <c r="AD1218">
        <v>41.740734</v>
      </c>
      <c r="AE1218">
        <v>-87.969617</v>
      </c>
      <c r="AF1218" s="5" t="str">
        <f>HYPERLINK("https://www.google.com/maps/search/?api=1&amp;query=41.740734,-87.969617","map")</f>
        <v>map</v>
      </c>
    </row>
    <row r="1219" spans="1:32">
      <c r="A1219" t="s">
        <v>1269</v>
      </c>
      <c r="B1219" t="s">
        <v>8846</v>
      </c>
      <c r="C1219" t="s">
        <v>15201</v>
      </c>
      <c r="D1219" t="s">
        <v>16198</v>
      </c>
      <c r="E1219" t="s">
        <v>16218</v>
      </c>
      <c r="F1219" t="s">
        <v>16221</v>
      </c>
      <c r="G1219" t="s">
        <v>16241</v>
      </c>
      <c r="H1219" t="s">
        <v>16241</v>
      </c>
      <c r="I1219" t="s">
        <v>16317</v>
      </c>
      <c r="J1219" t="s">
        <v>16385</v>
      </c>
      <c r="K1219">
        <v>0.114</v>
      </c>
      <c r="L1219">
        <v>4946</v>
      </c>
      <c r="M1219">
        <v>1168</v>
      </c>
      <c r="N1219" t="s">
        <v>16393</v>
      </c>
      <c r="O1219" s="4">
        <v>26656</v>
      </c>
      <c r="P1219" s="4">
        <v>81293</v>
      </c>
      <c r="Q1219" s="4">
        <v>107949</v>
      </c>
      <c r="R1219" s="4">
        <v>323847</v>
      </c>
      <c r="S1219" t="s">
        <v>17593</v>
      </c>
      <c r="T1219" s="6">
        <v>34881</v>
      </c>
      <c r="U1219" s="4">
        <v>133500</v>
      </c>
      <c r="X1219" t="s">
        <v>3</v>
      </c>
      <c r="AA1219" s="5" t="str">
        <f>HYPERLINK("https://www.zillow.com/homes/1025-HINSWOOD-DR-DARIEN-IL-60561_rb/","check listing")</f>
        <v>check listing</v>
      </c>
      <c r="AB1219" s="5" t="str">
        <f>HYPERLINK("https://propertylookup.dupagecounty.gov/Datalets/Datalet.aspx?UseSearch=no&amp;mode=sales&amp;pin=0934114004","sales record")</f>
        <v>sales record</v>
      </c>
      <c r="AC1219" t="s">
        <v>3</v>
      </c>
      <c r="AD1219">
        <v>41.739876</v>
      </c>
      <c r="AE1219">
        <v>-87.969289</v>
      </c>
      <c r="AF1219" s="5" t="str">
        <f>HYPERLINK("https://www.google.com/maps/search/?api=1&amp;query=41.739876,-87.969289","map")</f>
        <v>map</v>
      </c>
    </row>
    <row r="1220" spans="1:32">
      <c r="A1220" t="s">
        <v>1270</v>
      </c>
      <c r="B1220" t="s">
        <v>8847</v>
      </c>
      <c r="C1220" t="s">
        <v>15201</v>
      </c>
      <c r="D1220" t="s">
        <v>16198</v>
      </c>
      <c r="E1220" t="s">
        <v>16218</v>
      </c>
      <c r="F1220" t="s">
        <v>16221</v>
      </c>
      <c r="G1220" t="s">
        <v>16241</v>
      </c>
      <c r="H1220" t="s">
        <v>16241</v>
      </c>
      <c r="I1220" t="s">
        <v>16317</v>
      </c>
      <c r="J1220" t="s">
        <v>16385</v>
      </c>
      <c r="K1220">
        <v>0.113</v>
      </c>
      <c r="L1220">
        <v>4940</v>
      </c>
      <c r="M1220">
        <v>1229</v>
      </c>
      <c r="N1220" t="s">
        <v>16393</v>
      </c>
      <c r="O1220" s="4">
        <v>25893</v>
      </c>
      <c r="P1220" s="4">
        <v>86974</v>
      </c>
      <c r="Q1220" s="4">
        <v>112867</v>
      </c>
      <c r="R1220" s="4">
        <v>338601</v>
      </c>
      <c r="S1220" t="s">
        <v>17594</v>
      </c>
      <c r="T1220" s="6">
        <v>33725</v>
      </c>
      <c r="U1220" s="4">
        <v>120900</v>
      </c>
      <c r="X1220" t="s">
        <v>3</v>
      </c>
      <c r="AA1220" s="5" t="str">
        <f>HYPERLINK("https://www.zillow.com/homes/1028-HINSWOOD-DR-DARIEN-IL-60561_rb/","check listing")</f>
        <v>check listing</v>
      </c>
      <c r="AB1220" s="5" t="str">
        <f>HYPERLINK("https://propertylookup.dupagecounty.gov/Datalets/Datalet.aspx?UseSearch=no&amp;mode=sales&amp;pin=0934113032","sales record")</f>
        <v>sales record</v>
      </c>
      <c r="AC1220" t="s">
        <v>3</v>
      </c>
      <c r="AD1220">
        <v>41.740123</v>
      </c>
      <c r="AE1220">
        <v>-87.96948500000001</v>
      </c>
      <c r="AF1220" s="5" t="str">
        <f>HYPERLINK("https://www.google.com/maps/search/?api=1&amp;query=41.740123,-87.969485","map")</f>
        <v>map</v>
      </c>
    </row>
    <row r="1221" spans="1:32">
      <c r="A1221" t="s">
        <v>1271</v>
      </c>
      <c r="B1221" t="s">
        <v>8848</v>
      </c>
      <c r="C1221" t="s">
        <v>15264</v>
      </c>
      <c r="D1221" t="s">
        <v>16198</v>
      </c>
      <c r="E1221" t="s">
        <v>16218</v>
      </c>
      <c r="F1221" t="s">
        <v>16221</v>
      </c>
      <c r="G1221" t="s">
        <v>16241</v>
      </c>
      <c r="H1221" t="s">
        <v>16241</v>
      </c>
      <c r="I1221" t="s">
        <v>16317</v>
      </c>
      <c r="J1221" t="s">
        <v>16385</v>
      </c>
      <c r="K1221">
        <v>0.113</v>
      </c>
      <c r="L1221">
        <v>4925</v>
      </c>
      <c r="M1221">
        <v>1208</v>
      </c>
      <c r="N1221" t="s">
        <v>16393</v>
      </c>
      <c r="O1221" s="4">
        <v>27489</v>
      </c>
      <c r="P1221" s="4">
        <v>86974</v>
      </c>
      <c r="Q1221" s="4">
        <v>114463</v>
      </c>
      <c r="R1221" s="4">
        <v>343389</v>
      </c>
      <c r="S1221" t="s">
        <v>17595</v>
      </c>
      <c r="T1221" s="6">
        <v>39234</v>
      </c>
      <c r="U1221" s="4">
        <v>270000</v>
      </c>
      <c r="V1221" t="s">
        <v>23739</v>
      </c>
      <c r="W1221" t="s">
        <v>17595</v>
      </c>
      <c r="X1221" t="s">
        <v>3</v>
      </c>
      <c r="AA1221" s="5" t="str">
        <f>HYPERLINK("https://www.zillow.com/homes/8115-ORIOLE-DR-DARIEN-IL-605615418_rb/","check listing")</f>
        <v>check listing</v>
      </c>
      <c r="AB1221" s="5" t="str">
        <f>HYPERLINK("https://propertylookup.dupagecounty.gov/Datalets/Datalet.aspx?UseSearch=no&amp;mode=sales&amp;pin=0934112019","sales record")</f>
        <v>sales record</v>
      </c>
      <c r="AC1221" t="s">
        <v>27873</v>
      </c>
      <c r="AD1221">
        <v>41.740334</v>
      </c>
      <c r="AE1221">
        <v>-87.968183</v>
      </c>
      <c r="AF1221" s="5" t="str">
        <f>HYPERLINK("https://www.google.com/maps/search/?api=1&amp;query=41.740334,-87.968183","map")</f>
        <v>map</v>
      </c>
    </row>
    <row r="1222" spans="1:32">
      <c r="A1222" t="s">
        <v>1272</v>
      </c>
      <c r="B1222" t="s">
        <v>8849</v>
      </c>
      <c r="C1222" t="s">
        <v>15201</v>
      </c>
      <c r="D1222" t="s">
        <v>16198</v>
      </c>
      <c r="E1222" t="s">
        <v>16218</v>
      </c>
      <c r="F1222" t="s">
        <v>16221</v>
      </c>
      <c r="G1222" t="s">
        <v>16241</v>
      </c>
      <c r="H1222" t="s">
        <v>16241</v>
      </c>
      <c r="I1222" t="s">
        <v>16317</v>
      </c>
      <c r="J1222" t="s">
        <v>16385</v>
      </c>
      <c r="K1222">
        <v>0.11</v>
      </c>
      <c r="L1222">
        <v>4801</v>
      </c>
      <c r="M1222">
        <v>1272</v>
      </c>
      <c r="N1222" t="s">
        <v>16393</v>
      </c>
      <c r="O1222" s="4">
        <v>26749</v>
      </c>
      <c r="P1222" s="4">
        <v>86974</v>
      </c>
      <c r="Q1222" s="4">
        <v>113723</v>
      </c>
      <c r="R1222" s="4">
        <v>341169</v>
      </c>
      <c r="S1222" t="s">
        <v>17596</v>
      </c>
      <c r="T1222" s="6">
        <v>42186</v>
      </c>
      <c r="U1222" s="4">
        <v>200000</v>
      </c>
      <c r="V1222" t="s">
        <v>23739</v>
      </c>
      <c r="W1222" t="s">
        <v>24337</v>
      </c>
      <c r="X1222" t="s">
        <v>3</v>
      </c>
      <c r="AA1222" s="5" t="str">
        <f>HYPERLINK("https://www.zillow.com/homes/1053-BOBOLINK-LN-DARIEN-IL-60561_rb/","check listing")</f>
        <v>check listing</v>
      </c>
      <c r="AB1222" s="5" t="str">
        <f>HYPERLINK("https://propertylookup.dupagecounty.gov/Datalets/Datalet.aspx?UseSearch=no&amp;mode=sales&amp;pin=0934116004","sales record")</f>
        <v>sales record</v>
      </c>
      <c r="AC1222" t="s">
        <v>3</v>
      </c>
      <c r="AD1222">
        <v>41.738872</v>
      </c>
      <c r="AE1222">
        <v>-87.970675</v>
      </c>
      <c r="AF1222" s="5" t="str">
        <f>HYPERLINK("https://www.google.com/maps/search/?api=1&amp;query=41.738872,-87.970675","map")</f>
        <v>map</v>
      </c>
    </row>
    <row r="1223" spans="1:32">
      <c r="A1223" t="s">
        <v>1273</v>
      </c>
      <c r="B1223" t="s">
        <v>8850</v>
      </c>
      <c r="C1223" t="s">
        <v>15201</v>
      </c>
      <c r="D1223" t="s">
        <v>16198</v>
      </c>
      <c r="E1223" t="s">
        <v>16218</v>
      </c>
      <c r="F1223" t="s">
        <v>16221</v>
      </c>
      <c r="G1223" t="s">
        <v>16241</v>
      </c>
      <c r="H1223" t="s">
        <v>16241</v>
      </c>
      <c r="I1223" t="s">
        <v>16317</v>
      </c>
      <c r="J1223" t="s">
        <v>16385</v>
      </c>
      <c r="K1223">
        <v>0.11</v>
      </c>
      <c r="L1223">
        <v>4800</v>
      </c>
      <c r="M1223">
        <v>1241</v>
      </c>
      <c r="N1223" t="s">
        <v>16393</v>
      </c>
      <c r="O1223" s="4">
        <v>26749</v>
      </c>
      <c r="P1223" s="4">
        <v>90542</v>
      </c>
      <c r="Q1223" s="4">
        <v>117291</v>
      </c>
      <c r="R1223" s="4">
        <v>351873</v>
      </c>
      <c r="S1223" t="s">
        <v>17597</v>
      </c>
      <c r="T1223" s="6">
        <v>34486</v>
      </c>
      <c r="U1223" s="4">
        <v>131000</v>
      </c>
      <c r="X1223" t="s">
        <v>3</v>
      </c>
      <c r="AA1223" s="5" t="str">
        <f>HYPERLINK("https://www.zillow.com/homes/1013-BOBOLINK-LN-DARIEN-IL-60561_rb/","check listing")</f>
        <v>check listing</v>
      </c>
      <c r="AB1223" s="5" t="str">
        <f>HYPERLINK("https://propertylookup.dupagecounty.gov/Datalets/Datalet.aspx?UseSearch=no&amp;mode=sales&amp;pin=0934117009","sales record")</f>
        <v>sales record</v>
      </c>
      <c r="AC1223" t="s">
        <v>27873</v>
      </c>
      <c r="AD1223">
        <v>41.738908</v>
      </c>
      <c r="AE1223">
        <v>-87.968692</v>
      </c>
      <c r="AF1223" s="5" t="str">
        <f>HYPERLINK("https://www.google.com/maps/search/?api=1&amp;query=41.738908,-87.968692","map")</f>
        <v>map</v>
      </c>
    </row>
    <row r="1224" spans="1:32">
      <c r="A1224" t="s">
        <v>1274</v>
      </c>
      <c r="B1224" t="s">
        <v>8851</v>
      </c>
      <c r="C1224" t="s">
        <v>15201</v>
      </c>
      <c r="D1224" t="s">
        <v>16198</v>
      </c>
      <c r="E1224" t="s">
        <v>16218</v>
      </c>
      <c r="F1224" t="s">
        <v>16221</v>
      </c>
      <c r="G1224" t="s">
        <v>16241</v>
      </c>
      <c r="H1224" t="s">
        <v>16241</v>
      </c>
      <c r="I1224" t="s">
        <v>16317</v>
      </c>
      <c r="J1224" t="s">
        <v>16385</v>
      </c>
      <c r="K1224">
        <v>0.11</v>
      </c>
      <c r="L1224">
        <v>4800</v>
      </c>
      <c r="M1224">
        <v>1346</v>
      </c>
      <c r="N1224" t="s">
        <v>16393</v>
      </c>
      <c r="O1224" s="4">
        <v>26749</v>
      </c>
      <c r="P1224" s="4">
        <v>90003</v>
      </c>
      <c r="Q1224" s="4">
        <v>116752</v>
      </c>
      <c r="R1224" s="4">
        <v>350256</v>
      </c>
      <c r="S1224" t="s">
        <v>17598</v>
      </c>
      <c r="X1224" t="s">
        <v>3</v>
      </c>
      <c r="AA1224" s="5" t="str">
        <f>HYPERLINK("https://www.zillow.com/homes/1014-MEADOWLARK-LN-DARIEN-IL-60561_rb/","check listing")</f>
        <v>check listing</v>
      </c>
      <c r="AB1224" s="5" t="str">
        <f>HYPERLINK("https://propertylookup.dupagecounty.gov/Datalets/Datalet.aspx?UseSearch=no&amp;mode=sales&amp;pin=0934114014","sales record")</f>
        <v>sales record</v>
      </c>
      <c r="AC1224" t="s">
        <v>27873</v>
      </c>
      <c r="AD1224">
        <v>41.739715</v>
      </c>
      <c r="AE1224">
        <v>-87.968716</v>
      </c>
      <c r="AF1224" s="5" t="str">
        <f>HYPERLINK("https://www.google.com/maps/search/?api=1&amp;query=41.739715,-87.968716","map")</f>
        <v>map</v>
      </c>
    </row>
    <row r="1225" spans="1:32">
      <c r="A1225" t="s">
        <v>1275</v>
      </c>
      <c r="B1225" t="s">
        <v>8852</v>
      </c>
      <c r="C1225" t="s">
        <v>15201</v>
      </c>
      <c r="D1225" t="s">
        <v>16198</v>
      </c>
      <c r="E1225" t="s">
        <v>16218</v>
      </c>
      <c r="F1225" t="s">
        <v>16221</v>
      </c>
      <c r="G1225" t="s">
        <v>16241</v>
      </c>
      <c r="H1225" t="s">
        <v>16241</v>
      </c>
      <c r="I1225" t="s">
        <v>16317</v>
      </c>
      <c r="J1225" t="s">
        <v>16385</v>
      </c>
      <c r="K1225">
        <v>0.11</v>
      </c>
      <c r="L1225">
        <v>4798</v>
      </c>
      <c r="M1225">
        <v>1051</v>
      </c>
      <c r="N1225" t="s">
        <v>16393</v>
      </c>
      <c r="O1225" s="4">
        <v>35670</v>
      </c>
      <c r="P1225" s="4">
        <v>83793</v>
      </c>
      <c r="Q1225" s="4">
        <v>119463</v>
      </c>
      <c r="R1225" s="4">
        <v>358389</v>
      </c>
      <c r="S1225" t="s">
        <v>17599</v>
      </c>
      <c r="T1225" s="6">
        <v>42095</v>
      </c>
      <c r="U1225" s="4">
        <v>196000</v>
      </c>
      <c r="V1225" t="s">
        <v>23740</v>
      </c>
      <c r="W1225" t="s">
        <v>17599</v>
      </c>
      <c r="X1225" t="s">
        <v>3</v>
      </c>
      <c r="AA1225" s="5" t="str">
        <f>HYPERLINK("https://www.zillow.com/homes/8210-PARK-CREST-DR-DARIEN-IL-60561_rb/","check listing")</f>
        <v>check listing</v>
      </c>
      <c r="AB1225" s="5" t="str">
        <f>HYPERLINK("https://propertylookup.dupagecounty.gov/Datalets/Datalet.aspx?UseSearch=no&amp;mode=sales&amp;pin=0934112008","sales record")</f>
        <v>sales record</v>
      </c>
      <c r="AC1225" t="s">
        <v>27873</v>
      </c>
      <c r="AD1225">
        <v>41.739139</v>
      </c>
      <c r="AE1225">
        <v>-87.970647</v>
      </c>
      <c r="AF1225" s="5" t="str">
        <f>HYPERLINK("https://www.google.com/maps/search/?api=1&amp;query=41.739139,-87.970647","map")</f>
        <v>map</v>
      </c>
    </row>
    <row r="1226" spans="1:32">
      <c r="A1226" t="s">
        <v>1276</v>
      </c>
      <c r="B1226" t="s">
        <v>8853</v>
      </c>
      <c r="C1226" t="s">
        <v>15265</v>
      </c>
      <c r="D1226" t="s">
        <v>16198</v>
      </c>
      <c r="E1226" t="s">
        <v>16218</v>
      </c>
      <c r="F1226" t="s">
        <v>16221</v>
      </c>
      <c r="G1226" t="s">
        <v>16241</v>
      </c>
      <c r="H1226" t="s">
        <v>16241</v>
      </c>
      <c r="I1226" t="s">
        <v>16317</v>
      </c>
      <c r="J1226" t="s">
        <v>16385</v>
      </c>
      <c r="K1226">
        <v>0.108</v>
      </c>
      <c r="L1226">
        <v>4720</v>
      </c>
      <c r="M1226">
        <v>1249</v>
      </c>
      <c r="N1226" t="s">
        <v>16393</v>
      </c>
      <c r="O1226" s="4">
        <v>26350</v>
      </c>
      <c r="P1226" s="4">
        <v>86974</v>
      </c>
      <c r="Q1226" s="4">
        <v>113324</v>
      </c>
      <c r="R1226" s="4">
        <v>339972</v>
      </c>
      <c r="S1226" t="s">
        <v>17600</v>
      </c>
      <c r="T1226" s="6">
        <v>33147</v>
      </c>
      <c r="U1226" s="4">
        <v>108750</v>
      </c>
      <c r="X1226" t="s">
        <v>3</v>
      </c>
      <c r="AA1226" s="5" t="str">
        <f>HYPERLINK("https://www.zillow.com/homes/8210-HINSWOOD-DR-DARIEN-IL-605615415_rb/","check listing")</f>
        <v>check listing</v>
      </c>
      <c r="AB1226" s="5" t="str">
        <f>HYPERLINK("https://propertylookup.dupagecounty.gov/Datalets/Datalet.aspx?UseSearch=no&amp;mode=sales&amp;pin=0934113025","sales record")</f>
        <v>sales record</v>
      </c>
      <c r="AC1226" t="s">
        <v>3</v>
      </c>
      <c r="AD1226">
        <v>41.739138</v>
      </c>
      <c r="AE1226">
        <v>-87.969962</v>
      </c>
      <c r="AF1226" s="5" t="str">
        <f>HYPERLINK("https://www.google.com/maps/search/?api=1&amp;query=41.739138,-87.969962","map")</f>
        <v>map</v>
      </c>
    </row>
    <row r="1227" spans="1:32">
      <c r="A1227" t="s">
        <v>1277</v>
      </c>
      <c r="B1227" t="s">
        <v>8854</v>
      </c>
      <c r="C1227" t="s">
        <v>15201</v>
      </c>
      <c r="D1227" t="s">
        <v>16198</v>
      </c>
      <c r="E1227" t="s">
        <v>16218</v>
      </c>
      <c r="F1227" t="s">
        <v>16221</v>
      </c>
      <c r="G1227" t="s">
        <v>16241</v>
      </c>
      <c r="H1227" t="s">
        <v>16241</v>
      </c>
      <c r="I1227" t="s">
        <v>16317</v>
      </c>
      <c r="J1227" t="s">
        <v>16385</v>
      </c>
      <c r="K1227">
        <v>0.108</v>
      </c>
      <c r="L1227">
        <v>4691</v>
      </c>
      <c r="M1227">
        <v>755</v>
      </c>
      <c r="N1227" t="s">
        <v>16393</v>
      </c>
      <c r="O1227" s="4">
        <v>27888</v>
      </c>
      <c r="P1227" s="4">
        <v>69825</v>
      </c>
      <c r="Q1227" s="4">
        <v>97713</v>
      </c>
      <c r="R1227" s="4">
        <v>293139</v>
      </c>
      <c r="S1227" t="s">
        <v>17601</v>
      </c>
      <c r="T1227" s="6">
        <v>38108</v>
      </c>
      <c r="U1227" s="4">
        <v>184800</v>
      </c>
      <c r="V1227" t="s">
        <v>23739</v>
      </c>
      <c r="W1227" t="s">
        <v>24338</v>
      </c>
      <c r="X1227" t="s">
        <v>3</v>
      </c>
      <c r="AA1227" s="5" t="str">
        <f>HYPERLINK("https://www.zillow.com/homes/1028-PARK-CREST-DR-DARIEN-IL-60561_rb/","check listing")</f>
        <v>check listing</v>
      </c>
      <c r="AB1227" s="5" t="str">
        <f>HYPERLINK("https://propertylookup.dupagecounty.gov/Datalets/Datalet.aspx?UseSearch=no&amp;mode=sales&amp;pin=0934112025","sales record")</f>
        <v>sales record</v>
      </c>
      <c r="AC1227" t="s">
        <v>27873</v>
      </c>
      <c r="AD1227">
        <v>41.740769</v>
      </c>
      <c r="AE1227">
        <v>-87.96923200000001</v>
      </c>
      <c r="AF1227" s="5" t="str">
        <f>HYPERLINK("https://www.google.com/maps/search/?api=1&amp;query=41.740769,-87.969232","map")</f>
        <v>map</v>
      </c>
    </row>
    <row r="1228" spans="1:32">
      <c r="A1228" t="s">
        <v>1278</v>
      </c>
      <c r="B1228" t="s">
        <v>8855</v>
      </c>
      <c r="C1228" t="s">
        <v>15201</v>
      </c>
      <c r="D1228" t="s">
        <v>16198</v>
      </c>
      <c r="E1228" t="s">
        <v>16218</v>
      </c>
      <c r="F1228" t="s">
        <v>16221</v>
      </c>
      <c r="G1228" t="s">
        <v>16241</v>
      </c>
      <c r="H1228" t="s">
        <v>16241</v>
      </c>
      <c r="I1228" t="s">
        <v>16317</v>
      </c>
      <c r="J1228" t="s">
        <v>16385</v>
      </c>
      <c r="K1228">
        <v>0.108</v>
      </c>
      <c r="L1228">
        <v>4683</v>
      </c>
      <c r="M1228">
        <v>1143</v>
      </c>
      <c r="N1228" t="s">
        <v>16393</v>
      </c>
      <c r="O1228" s="4">
        <v>26057</v>
      </c>
      <c r="P1228" s="4">
        <v>72619</v>
      </c>
      <c r="Q1228" s="4">
        <v>98676</v>
      </c>
      <c r="R1228" s="4">
        <v>296028</v>
      </c>
      <c r="S1228" t="s">
        <v>17602</v>
      </c>
      <c r="T1228" s="6">
        <v>43221</v>
      </c>
      <c r="U1228" s="4">
        <v>234900</v>
      </c>
      <c r="V1228" t="s">
        <v>23739</v>
      </c>
      <c r="W1228" t="s">
        <v>24339</v>
      </c>
      <c r="X1228" t="s">
        <v>3</v>
      </c>
      <c r="AA1228" s="5" t="str">
        <f>HYPERLINK("https://www.zillow.com/homes/8119-ORIOLE-DR-DARIEN-IL-60561_rb/","check listing")</f>
        <v>check listing</v>
      </c>
      <c r="AB1228" s="5" t="str">
        <f>HYPERLINK("https://propertylookup.dupagecounty.gov/Datalets/Datalet.aspx?UseSearch=no&amp;mode=sales&amp;pin=0934112020","sales record")</f>
        <v>sales record</v>
      </c>
      <c r="AC1228" t="s">
        <v>27873</v>
      </c>
      <c r="AD1228">
        <v>41.740291</v>
      </c>
      <c r="AE1228">
        <v>-87.96802700000001</v>
      </c>
      <c r="AF1228" s="5" t="str">
        <f>HYPERLINK("https://www.google.com/maps/search/?api=1&amp;query=41.740291,-87.968027","map")</f>
        <v>map</v>
      </c>
    </row>
    <row r="1229" spans="1:32">
      <c r="A1229" t="s">
        <v>1279</v>
      </c>
      <c r="B1229" t="s">
        <v>8856</v>
      </c>
      <c r="C1229" t="s">
        <v>15266</v>
      </c>
      <c r="D1229" t="s">
        <v>16198</v>
      </c>
      <c r="E1229" t="s">
        <v>16218</v>
      </c>
      <c r="F1229" t="s">
        <v>16221</v>
      </c>
      <c r="G1229" t="s">
        <v>16241</v>
      </c>
      <c r="H1229" t="s">
        <v>16241</v>
      </c>
      <c r="I1229" t="s">
        <v>16317</v>
      </c>
      <c r="J1229" t="s">
        <v>16385</v>
      </c>
      <c r="K1229">
        <v>0.106</v>
      </c>
      <c r="L1229">
        <v>4596</v>
      </c>
      <c r="M1229">
        <v>850</v>
      </c>
      <c r="N1229" t="s">
        <v>16393</v>
      </c>
      <c r="O1229" s="4">
        <v>24167</v>
      </c>
      <c r="P1229" s="4">
        <v>90003</v>
      </c>
      <c r="Q1229" s="4">
        <v>114170</v>
      </c>
      <c r="R1229" s="4">
        <v>342510</v>
      </c>
      <c r="S1229" t="s">
        <v>17603</v>
      </c>
      <c r="T1229" s="6">
        <v>45805</v>
      </c>
      <c r="U1229" s="4">
        <v>420000</v>
      </c>
      <c r="V1229" t="s">
        <v>23739</v>
      </c>
      <c r="W1229" t="s">
        <v>24340</v>
      </c>
      <c r="X1229" t="s">
        <v>3</v>
      </c>
      <c r="AA1229" s="5" t="str">
        <f>HYPERLINK("https://www.zillow.com/homes/1030-MEADOWLARK-LN-DARIEN-IL-605615417_rb/","check listing")</f>
        <v>check listing</v>
      </c>
      <c r="AB1229" s="5" t="str">
        <f>HYPERLINK("https://propertylookup.dupagecounty.gov/Datalets/Datalet.aspx?UseSearch=no&amp;mode=sales&amp;pin=0934114010","sales record")</f>
        <v>sales record</v>
      </c>
      <c r="AC1229" t="s">
        <v>27873</v>
      </c>
      <c r="AD1229">
        <v>41.739669</v>
      </c>
      <c r="AE1229">
        <v>-87.96948500000001</v>
      </c>
      <c r="AF1229" s="5" t="str">
        <f>HYPERLINK("https://www.google.com/maps/search/?api=1&amp;query=41.739669,-87.969485","map")</f>
        <v>map</v>
      </c>
    </row>
    <row r="1230" spans="1:32">
      <c r="A1230" t="s">
        <v>1280</v>
      </c>
      <c r="B1230" t="s">
        <v>8857</v>
      </c>
      <c r="C1230" t="s">
        <v>15201</v>
      </c>
      <c r="D1230" t="s">
        <v>16198</v>
      </c>
      <c r="E1230" t="s">
        <v>16218</v>
      </c>
      <c r="F1230" t="s">
        <v>16221</v>
      </c>
      <c r="G1230" t="s">
        <v>16241</v>
      </c>
      <c r="H1230" t="s">
        <v>16241</v>
      </c>
      <c r="I1230" t="s">
        <v>16317</v>
      </c>
      <c r="J1230" t="s">
        <v>16385</v>
      </c>
      <c r="K1230">
        <v>0.104</v>
      </c>
      <c r="L1230">
        <v>4538</v>
      </c>
      <c r="M1230">
        <v>957</v>
      </c>
      <c r="N1230" t="s">
        <v>16393</v>
      </c>
      <c r="O1230" s="4">
        <v>25270</v>
      </c>
      <c r="P1230" s="4">
        <v>106457</v>
      </c>
      <c r="Q1230" s="4">
        <v>131727</v>
      </c>
      <c r="R1230" s="4">
        <v>395181</v>
      </c>
      <c r="S1230" t="s">
        <v>17604</v>
      </c>
      <c r="T1230" s="6">
        <v>31199</v>
      </c>
      <c r="U1230" s="4">
        <v>81000</v>
      </c>
      <c r="X1230" t="s">
        <v>3</v>
      </c>
      <c r="AA1230" s="5" t="str">
        <f>HYPERLINK("https://www.zillow.com/homes/8132-HINSWOOD-DR-DARIEN-IL-60561_rb/","check listing")</f>
        <v>check listing</v>
      </c>
      <c r="AB1230" s="5" t="str">
        <f>HYPERLINK("https://propertylookup.dupagecounty.gov/Datalets/Datalet.aspx?UseSearch=no&amp;mode=sales&amp;pin=0934113029","sales record")</f>
        <v>sales record</v>
      </c>
      <c r="AC1230" t="s">
        <v>3</v>
      </c>
      <c r="AD1230">
        <v>41.739724</v>
      </c>
      <c r="AE1230">
        <v>-87.969926</v>
      </c>
      <c r="AF1230" s="5" t="str">
        <f>HYPERLINK("https://www.google.com/maps/search/?api=1&amp;query=41.739724,-87.969926","map")</f>
        <v>map</v>
      </c>
    </row>
    <row r="1231" spans="1:32">
      <c r="A1231" t="s">
        <v>1281</v>
      </c>
      <c r="B1231" t="s">
        <v>8858</v>
      </c>
      <c r="C1231" t="s">
        <v>15267</v>
      </c>
      <c r="D1231" t="s">
        <v>16198</v>
      </c>
      <c r="E1231" t="s">
        <v>16218</v>
      </c>
      <c r="F1231" t="s">
        <v>16221</v>
      </c>
      <c r="G1231" t="s">
        <v>16241</v>
      </c>
      <c r="H1231" t="s">
        <v>16241</v>
      </c>
      <c r="I1231" t="s">
        <v>16317</v>
      </c>
      <c r="J1231" t="s">
        <v>16385</v>
      </c>
      <c r="K1231">
        <v>0.104</v>
      </c>
      <c r="L1231">
        <v>4512</v>
      </c>
      <c r="M1231">
        <v>1084</v>
      </c>
      <c r="N1231" t="s">
        <v>16393</v>
      </c>
      <c r="O1231" s="4">
        <v>25975</v>
      </c>
      <c r="P1231" s="4">
        <v>90542</v>
      </c>
      <c r="Q1231" s="4">
        <v>116517</v>
      </c>
      <c r="R1231" s="4">
        <v>349551</v>
      </c>
      <c r="S1231" t="s">
        <v>17605</v>
      </c>
      <c r="T1231" s="6">
        <v>43132</v>
      </c>
      <c r="U1231" s="4">
        <v>264000</v>
      </c>
      <c r="V1231" t="s">
        <v>23739</v>
      </c>
      <c r="W1231" t="s">
        <v>24341</v>
      </c>
      <c r="X1231" t="s">
        <v>3</v>
      </c>
      <c r="AA1231" s="5" t="str">
        <f>HYPERLINK("https://www.zillow.com/homes/8128-HINSWOOD-DR-DARIEN-IL-605615414_rb/","check listing")</f>
        <v>check listing</v>
      </c>
      <c r="AB1231" s="5" t="str">
        <f>HYPERLINK("https://propertylookup.dupagecounty.gov/Datalets/Datalet.aspx?UseSearch=no&amp;mode=sales&amp;pin=0934113030","sales record")</f>
        <v>sales record</v>
      </c>
      <c r="AC1231" t="s">
        <v>3</v>
      </c>
      <c r="AD1231">
        <v>41.73988</v>
      </c>
      <c r="AE1231">
        <v>-87.969857</v>
      </c>
      <c r="AF1231" s="5" t="str">
        <f>HYPERLINK("https://www.google.com/maps/search/?api=1&amp;query=41.73988,-87.969857","map")</f>
        <v>map</v>
      </c>
    </row>
    <row r="1232" spans="1:32">
      <c r="A1232" t="s">
        <v>1282</v>
      </c>
      <c r="B1232" t="s">
        <v>8859</v>
      </c>
      <c r="C1232" t="s">
        <v>15268</v>
      </c>
      <c r="D1232" t="s">
        <v>16198</v>
      </c>
      <c r="E1232" t="s">
        <v>16218</v>
      </c>
      <c r="F1232" t="s">
        <v>16221</v>
      </c>
      <c r="G1232" t="s">
        <v>16241</v>
      </c>
      <c r="H1232" t="s">
        <v>16241</v>
      </c>
      <c r="I1232" t="s">
        <v>16317</v>
      </c>
      <c r="J1232" t="s">
        <v>16385</v>
      </c>
      <c r="K1232">
        <v>0.102</v>
      </c>
      <c r="L1232">
        <v>4461</v>
      </c>
      <c r="N1232" t="s">
        <v>16393</v>
      </c>
      <c r="O1232" s="4">
        <v>47736</v>
      </c>
      <c r="P1232" s="4">
        <v>156212</v>
      </c>
      <c r="Q1232" s="4">
        <v>203948</v>
      </c>
      <c r="R1232" s="4">
        <v>611844</v>
      </c>
      <c r="S1232" t="s">
        <v>17606</v>
      </c>
      <c r="T1232" s="6">
        <v>42767</v>
      </c>
      <c r="U1232" s="4">
        <v>474900</v>
      </c>
      <c r="V1232" t="s">
        <v>23739</v>
      </c>
      <c r="W1232" t="s">
        <v>24342</v>
      </c>
      <c r="X1232" t="s">
        <v>3</v>
      </c>
      <c r="AA1232" s="5" t="str">
        <f>HYPERLINK("https://www.zillow.com/homes/1210-DARIEN-PATH-WAY-DARIEN-IL-605613100_rb/","check listing")</f>
        <v>check listing</v>
      </c>
      <c r="AB1232" s="5" t="str">
        <f>HYPERLINK("https://propertylookup.dupagecounty.gov/Datalets/Datalet.aspx?UseSearch=no&amp;mode=sales&amp;pin=0933213049","sales record")</f>
        <v>sales record</v>
      </c>
      <c r="AC1232" t="s">
        <v>3</v>
      </c>
      <c r="AD1232">
        <v>41.738181</v>
      </c>
      <c r="AE1232">
        <v>-87.97436399999999</v>
      </c>
      <c r="AF1232" s="5" t="str">
        <f>HYPERLINK("https://www.google.com/maps/search/?api=1&amp;query=41.738181,-87.974364","map")</f>
        <v>map</v>
      </c>
    </row>
    <row r="1233" spans="1:32">
      <c r="A1233" t="s">
        <v>1283</v>
      </c>
      <c r="B1233" t="s">
        <v>8860</v>
      </c>
      <c r="C1233" t="s">
        <v>15268</v>
      </c>
      <c r="D1233" t="s">
        <v>16198</v>
      </c>
      <c r="E1233" t="s">
        <v>16218</v>
      </c>
      <c r="F1233" t="s">
        <v>16221</v>
      </c>
      <c r="G1233" t="s">
        <v>16241</v>
      </c>
      <c r="H1233" t="s">
        <v>16241</v>
      </c>
      <c r="I1233" t="s">
        <v>16317</v>
      </c>
      <c r="J1233" t="s">
        <v>16385</v>
      </c>
      <c r="K1233">
        <v>0.102</v>
      </c>
      <c r="L1233">
        <v>4443</v>
      </c>
      <c r="N1233" t="s">
        <v>16393</v>
      </c>
      <c r="O1233" s="4">
        <v>38463</v>
      </c>
      <c r="P1233" s="4">
        <v>162257</v>
      </c>
      <c r="Q1233" s="4">
        <v>200720</v>
      </c>
      <c r="R1233" s="4">
        <v>602160</v>
      </c>
      <c r="S1233" t="s">
        <v>17607</v>
      </c>
      <c r="T1233" s="6">
        <v>42887</v>
      </c>
      <c r="U1233" s="4">
        <v>478325</v>
      </c>
      <c r="V1233" t="s">
        <v>23740</v>
      </c>
      <c r="W1233" t="s">
        <v>24343</v>
      </c>
      <c r="X1233" t="s">
        <v>3</v>
      </c>
      <c r="AA1233" s="5" t="str">
        <f>HYPERLINK("https://www.zillow.com/homes/1226-DARIEN-PATH-WAY-DARIEN-IL-605613100_rb/","check listing")</f>
        <v>check listing</v>
      </c>
      <c r="AB1233" s="5" t="str">
        <f>HYPERLINK("https://propertylookup.dupagecounty.gov/Datalets/Datalet.aspx?UseSearch=no&amp;mode=sales&amp;pin=0933213045","sales record")</f>
        <v>sales record</v>
      </c>
      <c r="AC1233" t="s">
        <v>3</v>
      </c>
      <c r="AD1233">
        <v>41.738201</v>
      </c>
      <c r="AE1233">
        <v>-87.974998</v>
      </c>
      <c r="AF1233" s="5" t="str">
        <f>HYPERLINK("https://www.google.com/maps/search/?api=1&amp;query=41.738201,-87.974998","map")</f>
        <v>map</v>
      </c>
    </row>
    <row r="1234" spans="1:32">
      <c r="A1234" t="s">
        <v>1284</v>
      </c>
      <c r="B1234" t="s">
        <v>8861</v>
      </c>
      <c r="C1234" t="s">
        <v>15201</v>
      </c>
      <c r="D1234" t="s">
        <v>16198</v>
      </c>
      <c r="E1234" t="s">
        <v>16218</v>
      </c>
      <c r="F1234" t="s">
        <v>16221</v>
      </c>
      <c r="G1234" t="s">
        <v>16241</v>
      </c>
      <c r="H1234" t="s">
        <v>16241</v>
      </c>
      <c r="I1234" t="s">
        <v>16317</v>
      </c>
      <c r="J1234" t="s">
        <v>16385</v>
      </c>
      <c r="K1234">
        <v>0.102</v>
      </c>
      <c r="L1234">
        <v>4429</v>
      </c>
      <c r="M1234">
        <v>1212</v>
      </c>
      <c r="N1234" t="s">
        <v>16393</v>
      </c>
      <c r="O1234" s="4">
        <v>31526</v>
      </c>
      <c r="P1234" s="4">
        <v>69825</v>
      </c>
      <c r="Q1234" s="4">
        <v>101351</v>
      </c>
      <c r="R1234" s="4">
        <v>304053</v>
      </c>
      <c r="S1234" t="s">
        <v>17608</v>
      </c>
      <c r="T1234" s="6">
        <v>37681</v>
      </c>
      <c r="U1234" s="4">
        <v>194000</v>
      </c>
      <c r="V1234" t="s">
        <v>23739</v>
      </c>
      <c r="W1234" t="s">
        <v>24344</v>
      </c>
      <c r="X1234" t="s">
        <v>3</v>
      </c>
      <c r="AA1234" s="5" t="str">
        <f>HYPERLINK("https://www.zillow.com/homes/1024-HINSWOOD-DR-DARIEN-IL-60561_rb/","check listing")</f>
        <v>check listing</v>
      </c>
      <c r="AB1234" s="5" t="str">
        <f>HYPERLINK("https://propertylookup.dupagecounty.gov/Datalets/Datalet.aspx?UseSearch=no&amp;mode=sales&amp;pin=0934113033","sales record")</f>
        <v>sales record</v>
      </c>
      <c r="AC1234" t="s">
        <v>3</v>
      </c>
      <c r="AD1234">
        <v>41.740209</v>
      </c>
      <c r="AE1234">
        <v>-87.96928</v>
      </c>
      <c r="AF1234" s="5" t="str">
        <f>HYPERLINK("https://www.google.com/maps/search/?api=1&amp;query=41.740209,-87.96928","map")</f>
        <v>map</v>
      </c>
    </row>
    <row r="1235" spans="1:32">
      <c r="A1235" t="s">
        <v>1285</v>
      </c>
      <c r="B1235" t="s">
        <v>8862</v>
      </c>
      <c r="C1235" t="s">
        <v>15201</v>
      </c>
      <c r="D1235" t="s">
        <v>16198</v>
      </c>
      <c r="E1235" t="s">
        <v>16218</v>
      </c>
      <c r="F1235" t="s">
        <v>16221</v>
      </c>
      <c r="G1235" t="s">
        <v>16241</v>
      </c>
      <c r="H1235" t="s">
        <v>16241</v>
      </c>
      <c r="I1235" t="s">
        <v>16317</v>
      </c>
      <c r="J1235" t="s">
        <v>16385</v>
      </c>
      <c r="K1235">
        <v>0.101</v>
      </c>
      <c r="L1235">
        <v>4383</v>
      </c>
      <c r="M1235">
        <v>1087</v>
      </c>
      <c r="N1235" t="s">
        <v>16393</v>
      </c>
      <c r="O1235" s="4">
        <v>26209</v>
      </c>
      <c r="P1235" s="4">
        <v>64848</v>
      </c>
      <c r="Q1235" s="4">
        <v>91057</v>
      </c>
      <c r="R1235" s="4">
        <v>273171</v>
      </c>
      <c r="S1235" t="s">
        <v>17609</v>
      </c>
      <c r="T1235" s="6">
        <v>40940</v>
      </c>
      <c r="U1235" s="4">
        <v>149000</v>
      </c>
      <c r="V1235" t="s">
        <v>23739</v>
      </c>
      <c r="W1235" t="s">
        <v>17609</v>
      </c>
      <c r="X1235" t="s">
        <v>3</v>
      </c>
      <c r="AA1235" s="5" t="str">
        <f>HYPERLINK("https://www.zillow.com/homes/8128-PARK-CREST-DR-DARIEN-IL-60561_rb/","check listing")</f>
        <v>check listing</v>
      </c>
      <c r="AB1235" s="5" t="str">
        <f>HYPERLINK("https://propertylookup.dupagecounty.gov/Datalets/Datalet.aspx?UseSearch=no&amp;mode=sales&amp;pin=0934112013","sales record")</f>
        <v>sales record</v>
      </c>
      <c r="AC1235" t="s">
        <v>27873</v>
      </c>
      <c r="AD1235">
        <v>41.739844</v>
      </c>
      <c r="AE1235">
        <v>-87.970669</v>
      </c>
      <c r="AF1235" s="5" t="str">
        <f>HYPERLINK("https://www.google.com/maps/search/?api=1&amp;query=41.739844,-87.970669","map")</f>
        <v>map</v>
      </c>
    </row>
    <row r="1236" spans="1:32">
      <c r="A1236" t="s">
        <v>1286</v>
      </c>
      <c r="B1236" t="s">
        <v>8863</v>
      </c>
      <c r="C1236" t="s">
        <v>15201</v>
      </c>
      <c r="D1236" t="s">
        <v>16198</v>
      </c>
      <c r="E1236" t="s">
        <v>16218</v>
      </c>
      <c r="F1236" t="s">
        <v>16221</v>
      </c>
      <c r="G1236" t="s">
        <v>16241</v>
      </c>
      <c r="H1236" t="s">
        <v>16241</v>
      </c>
      <c r="I1236" t="s">
        <v>16317</v>
      </c>
      <c r="J1236" t="s">
        <v>16385</v>
      </c>
      <c r="K1236">
        <v>0.099</v>
      </c>
      <c r="L1236">
        <v>4303</v>
      </c>
      <c r="M1236">
        <v>1003</v>
      </c>
      <c r="N1236" t="s">
        <v>16393</v>
      </c>
      <c r="O1236" s="4">
        <v>24273</v>
      </c>
      <c r="P1236" s="4">
        <v>69825</v>
      </c>
      <c r="Q1236" s="4">
        <v>94098</v>
      </c>
      <c r="R1236" s="4">
        <v>282294</v>
      </c>
      <c r="S1236" t="s">
        <v>17610</v>
      </c>
      <c r="T1236" s="6">
        <v>41579</v>
      </c>
      <c r="U1236" s="4">
        <v>170000</v>
      </c>
      <c r="V1236" t="s">
        <v>23739</v>
      </c>
      <c r="W1236" t="s">
        <v>17610</v>
      </c>
      <c r="X1236" t="s">
        <v>3</v>
      </c>
      <c r="AA1236" s="5" t="str">
        <f>HYPERLINK("https://www.zillow.com/homes/1038-PARK-CREST-DR-DARIEN-IL-60561_rb/","check listing")</f>
        <v>check listing</v>
      </c>
      <c r="AB1236" s="5" t="str">
        <f>HYPERLINK("https://propertylookup.dupagecounty.gov/Datalets/Datalet.aspx?UseSearch=no&amp;mode=sales&amp;pin=0934112031","sales record")</f>
        <v>sales record</v>
      </c>
      <c r="AC1236" t="s">
        <v>27873</v>
      </c>
      <c r="AD1236">
        <v>41.740553</v>
      </c>
      <c r="AE1236">
        <v>-87.969887</v>
      </c>
      <c r="AF1236" s="5" t="str">
        <f>HYPERLINK("https://www.google.com/maps/search/?api=1&amp;query=41.740553,-87.969887","map")</f>
        <v>map</v>
      </c>
    </row>
    <row r="1237" spans="1:32">
      <c r="A1237" t="s">
        <v>1287</v>
      </c>
      <c r="B1237" t="s">
        <v>8864</v>
      </c>
      <c r="C1237" t="s">
        <v>15264</v>
      </c>
      <c r="D1237" t="s">
        <v>16198</v>
      </c>
      <c r="E1237" t="s">
        <v>16218</v>
      </c>
      <c r="F1237" t="s">
        <v>16221</v>
      </c>
      <c r="G1237" t="s">
        <v>16241</v>
      </c>
      <c r="H1237" t="s">
        <v>16241</v>
      </c>
      <c r="I1237" t="s">
        <v>16317</v>
      </c>
      <c r="J1237" t="s">
        <v>16385</v>
      </c>
      <c r="K1237">
        <v>0.099</v>
      </c>
      <c r="L1237">
        <v>4301</v>
      </c>
      <c r="M1237">
        <v>832</v>
      </c>
      <c r="N1237" t="s">
        <v>16393</v>
      </c>
      <c r="O1237" s="4">
        <v>23838</v>
      </c>
      <c r="P1237" s="4">
        <v>83793</v>
      </c>
      <c r="Q1237" s="4">
        <v>107631</v>
      </c>
      <c r="R1237" s="4">
        <v>322893</v>
      </c>
      <c r="S1237" t="s">
        <v>17611</v>
      </c>
      <c r="T1237" s="6">
        <v>43525</v>
      </c>
      <c r="U1237" s="4">
        <v>229900</v>
      </c>
      <c r="V1237" t="s">
        <v>23739</v>
      </c>
      <c r="W1237" t="s">
        <v>24345</v>
      </c>
      <c r="X1237" t="s">
        <v>3</v>
      </c>
      <c r="AA1237" s="5" t="str">
        <f>HYPERLINK("https://www.zillow.com/homes/8111-ORIOLE-DR-DARIEN-IL-605615418_rb/","check listing")</f>
        <v>check listing</v>
      </c>
      <c r="AB1237" s="5" t="str">
        <f>HYPERLINK("https://propertylookup.dupagecounty.gov/Datalets/Datalet.aspx?UseSearch=no&amp;mode=sales&amp;pin=0934112018","sales record")</f>
        <v>sales record</v>
      </c>
      <c r="AC1237" t="s">
        <v>27873</v>
      </c>
      <c r="AD1237">
        <v>41.740421</v>
      </c>
      <c r="AE1237">
        <v>-87.96835</v>
      </c>
      <c r="AF1237" s="5" t="str">
        <f>HYPERLINK("https://www.google.com/maps/search/?api=1&amp;query=41.740421,-87.96835","map")</f>
        <v>map</v>
      </c>
    </row>
    <row r="1238" spans="1:32">
      <c r="A1238" t="s">
        <v>1288</v>
      </c>
      <c r="B1238" t="s">
        <v>8865</v>
      </c>
      <c r="C1238" t="s">
        <v>15201</v>
      </c>
      <c r="D1238" t="s">
        <v>16198</v>
      </c>
      <c r="E1238" t="s">
        <v>16218</v>
      </c>
      <c r="F1238" t="s">
        <v>16221</v>
      </c>
      <c r="G1238" t="s">
        <v>16241</v>
      </c>
      <c r="H1238" t="s">
        <v>16241</v>
      </c>
      <c r="I1238" t="s">
        <v>16317</v>
      </c>
      <c r="J1238" t="s">
        <v>16385</v>
      </c>
      <c r="K1238">
        <v>0.099</v>
      </c>
      <c r="L1238">
        <v>4299</v>
      </c>
      <c r="M1238">
        <v>1072</v>
      </c>
      <c r="N1238" t="s">
        <v>16393</v>
      </c>
      <c r="O1238" s="4">
        <v>23686</v>
      </c>
      <c r="P1238" s="4">
        <v>86974</v>
      </c>
      <c r="Q1238" s="4">
        <v>110660</v>
      </c>
      <c r="R1238" s="4">
        <v>331980</v>
      </c>
      <c r="S1238" t="s">
        <v>17612</v>
      </c>
      <c r="T1238" s="6">
        <v>36557</v>
      </c>
      <c r="U1238" s="4">
        <v>143000</v>
      </c>
      <c r="V1238" t="s">
        <v>23739</v>
      </c>
      <c r="W1238" t="s">
        <v>24346</v>
      </c>
      <c r="X1238" t="s">
        <v>3</v>
      </c>
      <c r="AA1238" s="5" t="str">
        <f>HYPERLINK("https://www.zillow.com/homes/1017-HINSWOOD-DR-DARIEN-IL-60561_rb/","check listing")</f>
        <v>check listing</v>
      </c>
      <c r="AB1238" s="5" t="str">
        <f>HYPERLINK("https://propertylookup.dupagecounty.gov/Datalets/Datalet.aspx?UseSearch=no&amp;mode=sales&amp;pin=0934114006","sales record")</f>
        <v>sales record</v>
      </c>
      <c r="AC1238" t="s">
        <v>3</v>
      </c>
      <c r="AD1238">
        <v>41.73994</v>
      </c>
      <c r="AE1238">
        <v>-87.968853</v>
      </c>
      <c r="AF1238" s="5" t="str">
        <f>HYPERLINK("https://www.google.com/maps/search/?api=1&amp;query=41.73994,-87.968853","map")</f>
        <v>map</v>
      </c>
    </row>
    <row r="1239" spans="1:32">
      <c r="A1239" t="s">
        <v>1289</v>
      </c>
      <c r="B1239" t="s">
        <v>8866</v>
      </c>
      <c r="C1239" t="s">
        <v>15269</v>
      </c>
      <c r="D1239" t="s">
        <v>16198</v>
      </c>
      <c r="E1239" t="s">
        <v>16218</v>
      </c>
      <c r="F1239" t="s">
        <v>16221</v>
      </c>
      <c r="G1239" t="s">
        <v>16241</v>
      </c>
      <c r="H1239" t="s">
        <v>16241</v>
      </c>
      <c r="I1239" t="s">
        <v>16317</v>
      </c>
      <c r="J1239" t="s">
        <v>16385</v>
      </c>
      <c r="K1239">
        <v>0.098</v>
      </c>
      <c r="L1239">
        <v>4274</v>
      </c>
      <c r="M1239">
        <v>1005</v>
      </c>
      <c r="N1239" t="s">
        <v>16393</v>
      </c>
      <c r="O1239" s="4">
        <v>23850</v>
      </c>
      <c r="P1239" s="4">
        <v>83793</v>
      </c>
      <c r="Q1239" s="4">
        <v>107643</v>
      </c>
      <c r="R1239" s="4">
        <v>322929</v>
      </c>
      <c r="S1239" t="s">
        <v>17613</v>
      </c>
      <c r="T1239" s="6">
        <v>37469</v>
      </c>
      <c r="U1239" s="4">
        <v>199000</v>
      </c>
      <c r="V1239" t="s">
        <v>23739</v>
      </c>
      <c r="W1239" t="s">
        <v>24347</v>
      </c>
      <c r="X1239" t="s">
        <v>3</v>
      </c>
      <c r="AA1239" s="5" t="str">
        <f>HYPERLINK("https://www.zillow.com/homes/1029-PARKCREST-DR-DARIEN-IL-60559_rb/","check listing")</f>
        <v>check listing</v>
      </c>
      <c r="AB1239" s="5" t="str">
        <f>HYPERLINK("https://propertylookup.dupagecounty.gov/Datalets/Datalet.aspx?UseSearch=no&amp;mode=sales&amp;pin=0934113020","sales record")</f>
        <v>sales record</v>
      </c>
      <c r="AC1239" t="s">
        <v>3</v>
      </c>
      <c r="AD1239">
        <v>41.740407</v>
      </c>
      <c r="AE1239">
        <v>-87.96936599999999</v>
      </c>
      <c r="AF1239" s="5" t="str">
        <f>HYPERLINK("https://www.google.com/maps/search/?api=1&amp;query=41.740407,-87.969366","map")</f>
        <v>map</v>
      </c>
    </row>
    <row r="1240" spans="1:32">
      <c r="A1240" t="s">
        <v>1290</v>
      </c>
      <c r="B1240" t="s">
        <v>8867</v>
      </c>
      <c r="C1240" t="s">
        <v>15201</v>
      </c>
      <c r="D1240" t="s">
        <v>16198</v>
      </c>
      <c r="E1240" t="s">
        <v>16218</v>
      </c>
      <c r="F1240" t="s">
        <v>16221</v>
      </c>
      <c r="G1240" t="s">
        <v>16241</v>
      </c>
      <c r="H1240" t="s">
        <v>16241</v>
      </c>
      <c r="I1240" t="s">
        <v>16317</v>
      </c>
      <c r="J1240" t="s">
        <v>16385</v>
      </c>
      <c r="K1240">
        <v>0.098</v>
      </c>
      <c r="L1240">
        <v>4266</v>
      </c>
      <c r="M1240">
        <v>1052</v>
      </c>
      <c r="N1240" t="s">
        <v>16393</v>
      </c>
      <c r="O1240" s="4">
        <v>23686</v>
      </c>
      <c r="P1240" s="4">
        <v>81293</v>
      </c>
      <c r="Q1240" s="4">
        <v>104979</v>
      </c>
      <c r="R1240" s="4">
        <v>314937</v>
      </c>
      <c r="S1240" t="s">
        <v>17614</v>
      </c>
      <c r="T1240" s="6">
        <v>42278</v>
      </c>
      <c r="U1240" s="4">
        <v>164500</v>
      </c>
      <c r="V1240" t="s">
        <v>23740</v>
      </c>
      <c r="W1240" t="s">
        <v>17614</v>
      </c>
      <c r="X1240" t="s">
        <v>3</v>
      </c>
      <c r="AA1240" s="5" t="str">
        <f>HYPERLINK("https://www.zillow.com/homes/8121-ORIOLE-DR-DARIEN-IL-60561_rb/","check listing")</f>
        <v>check listing</v>
      </c>
      <c r="AB1240" s="5" t="str">
        <f>HYPERLINK("https://propertylookup.dupagecounty.gov/Datalets/Datalet.aspx?UseSearch=no&amp;mode=sales&amp;pin=0934112021","sales record")</f>
        <v>sales record</v>
      </c>
      <c r="AC1240" t="s">
        <v>3</v>
      </c>
      <c r="AD1240">
        <v>41.740083</v>
      </c>
      <c r="AE1240">
        <v>-87.967989</v>
      </c>
      <c r="AF1240" s="5" t="str">
        <f>HYPERLINK("https://www.google.com/maps/search/?api=1&amp;query=41.740083,-87.967989","map")</f>
        <v>map</v>
      </c>
    </row>
    <row r="1241" spans="1:32">
      <c r="A1241" t="s">
        <v>1291</v>
      </c>
      <c r="B1241" t="s">
        <v>8868</v>
      </c>
      <c r="C1241" t="s">
        <v>15263</v>
      </c>
      <c r="D1241" t="s">
        <v>16198</v>
      </c>
      <c r="E1241" t="s">
        <v>16218</v>
      </c>
      <c r="F1241" t="s">
        <v>16221</v>
      </c>
      <c r="G1241" t="s">
        <v>16241</v>
      </c>
      <c r="H1241" t="s">
        <v>16241</v>
      </c>
      <c r="I1241" t="s">
        <v>16317</v>
      </c>
      <c r="J1241" t="s">
        <v>16385</v>
      </c>
      <c r="K1241">
        <v>0.098</v>
      </c>
      <c r="L1241">
        <v>4256</v>
      </c>
      <c r="M1241">
        <v>663</v>
      </c>
      <c r="N1241" t="s">
        <v>16393</v>
      </c>
      <c r="O1241" s="4">
        <v>23980</v>
      </c>
      <c r="P1241" s="4">
        <v>83793</v>
      </c>
      <c r="Q1241" s="4">
        <v>107773</v>
      </c>
      <c r="R1241" s="4">
        <v>323319</v>
      </c>
      <c r="S1241" t="s">
        <v>17615</v>
      </c>
      <c r="T1241" s="6">
        <v>44105</v>
      </c>
      <c r="U1241" s="4">
        <v>187000</v>
      </c>
      <c r="V1241" t="s">
        <v>23739</v>
      </c>
      <c r="W1241" t="s">
        <v>24348</v>
      </c>
      <c r="X1241" t="s">
        <v>3</v>
      </c>
      <c r="AA1241" s="5" t="str">
        <f>HYPERLINK("https://www.zillow.com/homes/1026-PARK-CREST-DR-DARIEN-IL-605615421_rb/","check listing")</f>
        <v>check listing</v>
      </c>
      <c r="AB1241" s="5" t="str">
        <f>HYPERLINK("https://propertylookup.dupagecounty.gov/Datalets/Datalet.aspx?UseSearch=no&amp;mode=sales&amp;pin=0934112026","sales record")</f>
        <v>sales record</v>
      </c>
      <c r="AC1241" t="s">
        <v>27873</v>
      </c>
      <c r="AD1241">
        <v>41.74072</v>
      </c>
      <c r="AE1241">
        <v>-87.96906</v>
      </c>
      <c r="AF1241" s="5" t="str">
        <f>HYPERLINK("https://www.google.com/maps/search/?api=1&amp;query=41.74072,-87.96906","map")</f>
        <v>map</v>
      </c>
    </row>
    <row r="1242" spans="1:32">
      <c r="A1242" t="s">
        <v>1292</v>
      </c>
      <c r="B1242" t="s">
        <v>8869</v>
      </c>
      <c r="C1242" t="s">
        <v>15201</v>
      </c>
      <c r="D1242" t="s">
        <v>16198</v>
      </c>
      <c r="E1242" t="s">
        <v>16218</v>
      </c>
      <c r="F1242" t="s">
        <v>16221</v>
      </c>
      <c r="G1242" t="s">
        <v>16241</v>
      </c>
      <c r="H1242" t="s">
        <v>16241</v>
      </c>
      <c r="I1242" t="s">
        <v>16317</v>
      </c>
      <c r="J1242" t="s">
        <v>16385</v>
      </c>
      <c r="K1242">
        <v>0.097</v>
      </c>
      <c r="L1242">
        <v>4243</v>
      </c>
      <c r="M1242">
        <v>1274</v>
      </c>
      <c r="N1242" t="s">
        <v>16393</v>
      </c>
      <c r="O1242" s="4">
        <v>22818</v>
      </c>
      <c r="P1242" s="4">
        <v>81293</v>
      </c>
      <c r="Q1242" s="4">
        <v>104111</v>
      </c>
      <c r="R1242" s="4">
        <v>312333</v>
      </c>
      <c r="S1242" t="s">
        <v>17616</v>
      </c>
      <c r="T1242" s="6">
        <v>33756</v>
      </c>
      <c r="U1242" s="4">
        <v>116000</v>
      </c>
      <c r="X1242" t="s">
        <v>3</v>
      </c>
      <c r="AA1242" s="5" t="str">
        <f>HYPERLINK("https://www.zillow.com/homes/1013-HINSWOOD-DR-DARIEN-IL-60561_rb/","check listing")</f>
        <v>check listing</v>
      </c>
      <c r="AB1242" s="5" t="str">
        <f>HYPERLINK("https://propertylookup.dupagecounty.gov/Datalets/Datalet.aspx?UseSearch=no&amp;mode=sales&amp;pin=0934114007","sales record")</f>
        <v>sales record</v>
      </c>
      <c r="AC1242" t="s">
        <v>27873</v>
      </c>
      <c r="AD1242">
        <v>41.739951</v>
      </c>
      <c r="AE1242">
        <v>-87.96867</v>
      </c>
      <c r="AF1242" s="5" t="str">
        <f>HYPERLINK("https://www.google.com/maps/search/?api=1&amp;query=41.739951,-87.96867","map")</f>
        <v>map</v>
      </c>
    </row>
    <row r="1243" spans="1:32">
      <c r="A1243" t="s">
        <v>1293</v>
      </c>
      <c r="B1243" t="s">
        <v>8870</v>
      </c>
      <c r="C1243" t="s">
        <v>15201</v>
      </c>
      <c r="D1243" t="s">
        <v>16198</v>
      </c>
      <c r="E1243" t="s">
        <v>16218</v>
      </c>
      <c r="F1243" t="s">
        <v>16221</v>
      </c>
      <c r="G1243" t="s">
        <v>16241</v>
      </c>
      <c r="H1243" t="s">
        <v>16241</v>
      </c>
      <c r="I1243" t="s">
        <v>16317</v>
      </c>
      <c r="J1243" t="s">
        <v>16385</v>
      </c>
      <c r="K1243">
        <v>0.097</v>
      </c>
      <c r="L1243">
        <v>4205</v>
      </c>
      <c r="M1243">
        <v>1362</v>
      </c>
      <c r="N1243" t="s">
        <v>16393</v>
      </c>
      <c r="O1243" s="4">
        <v>23416</v>
      </c>
      <c r="P1243" s="4">
        <v>69825</v>
      </c>
      <c r="Q1243" s="4">
        <v>93241</v>
      </c>
      <c r="R1243" s="4">
        <v>279723</v>
      </c>
      <c r="S1243" t="s">
        <v>17617</v>
      </c>
      <c r="T1243" s="6">
        <v>39995</v>
      </c>
      <c r="U1243" s="4">
        <v>220000</v>
      </c>
      <c r="V1243" t="s">
        <v>16232</v>
      </c>
      <c r="W1243" t="s">
        <v>17617</v>
      </c>
      <c r="X1243" t="s">
        <v>3</v>
      </c>
      <c r="AA1243" s="5" t="str">
        <f>HYPERLINK("https://www.zillow.com/homes/8121-PARK-CREST-DR-DARIEN-IL-60561_rb/","check listing")</f>
        <v>check listing</v>
      </c>
      <c r="AB1243" s="5" t="str">
        <f>HYPERLINK("https://propertylookup.dupagecounty.gov/Datalets/Datalet.aspx?UseSearch=no&amp;mode=sales&amp;pin=0934113015","sales record")</f>
        <v>sales record</v>
      </c>
      <c r="AC1243" t="s">
        <v>3</v>
      </c>
      <c r="AD1243">
        <v>41.739968</v>
      </c>
      <c r="AE1243">
        <v>-87.970107</v>
      </c>
      <c r="AF1243" s="5" t="str">
        <f>HYPERLINK("https://www.google.com/maps/search/?api=1&amp;query=41.739968,-87.970107","map")</f>
        <v>map</v>
      </c>
    </row>
    <row r="1244" spans="1:32">
      <c r="A1244" t="s">
        <v>1294</v>
      </c>
      <c r="B1244" t="s">
        <v>8871</v>
      </c>
      <c r="C1244" t="s">
        <v>15201</v>
      </c>
      <c r="D1244" t="s">
        <v>16198</v>
      </c>
      <c r="E1244" t="s">
        <v>16218</v>
      </c>
      <c r="F1244" t="s">
        <v>16221</v>
      </c>
      <c r="G1244" t="s">
        <v>16241</v>
      </c>
      <c r="H1244" t="s">
        <v>16241</v>
      </c>
      <c r="I1244" t="s">
        <v>16317</v>
      </c>
      <c r="J1244" t="s">
        <v>16385</v>
      </c>
      <c r="K1244">
        <v>0.096</v>
      </c>
      <c r="L1244">
        <v>4188</v>
      </c>
      <c r="M1244">
        <v>894</v>
      </c>
      <c r="N1244" t="s">
        <v>16393</v>
      </c>
      <c r="O1244" s="4">
        <v>23357</v>
      </c>
      <c r="P1244" s="4">
        <v>69825</v>
      </c>
      <c r="Q1244" s="4">
        <v>93182</v>
      </c>
      <c r="R1244" s="4">
        <v>279546</v>
      </c>
      <c r="S1244" t="s">
        <v>17618</v>
      </c>
      <c r="T1244" s="6">
        <v>33664</v>
      </c>
      <c r="U1244" s="4">
        <v>116000</v>
      </c>
      <c r="X1244" t="s">
        <v>3</v>
      </c>
      <c r="AA1244" s="5" t="str">
        <f>HYPERLINK("https://www.zillow.com/homes/1033-BOBOLINK-LN-DARIEN-IL-60561_rb/","check listing")</f>
        <v>check listing</v>
      </c>
      <c r="AB1244" s="5" t="str">
        <f>HYPERLINK("https://propertylookup.dupagecounty.gov/Datalets/Datalet.aspx?UseSearch=no&amp;mode=sales&amp;pin=0934117004","sales record")</f>
        <v>sales record</v>
      </c>
      <c r="AC1244" t="s">
        <v>27873</v>
      </c>
      <c r="AD1244">
        <v>41.738891</v>
      </c>
      <c r="AE1244">
        <v>-87.96963100000001</v>
      </c>
      <c r="AF1244" s="5" t="str">
        <f>HYPERLINK("https://www.google.com/maps/search/?api=1&amp;query=41.738891,-87.969631","map")</f>
        <v>map</v>
      </c>
    </row>
    <row r="1245" spans="1:32">
      <c r="A1245" t="s">
        <v>1295</v>
      </c>
      <c r="B1245" t="s">
        <v>8872</v>
      </c>
      <c r="C1245" t="s">
        <v>15201</v>
      </c>
      <c r="D1245" t="s">
        <v>16198</v>
      </c>
      <c r="E1245" t="s">
        <v>16218</v>
      </c>
      <c r="F1245" t="s">
        <v>16221</v>
      </c>
      <c r="G1245" t="s">
        <v>16241</v>
      </c>
      <c r="H1245" t="s">
        <v>16241</v>
      </c>
      <c r="I1245" t="s">
        <v>16317</v>
      </c>
      <c r="J1245" t="s">
        <v>16385</v>
      </c>
      <c r="K1245">
        <v>0.096</v>
      </c>
      <c r="L1245">
        <v>4183</v>
      </c>
      <c r="M1245">
        <v>1050</v>
      </c>
      <c r="N1245" t="s">
        <v>16393</v>
      </c>
      <c r="O1245" s="4">
        <v>23533</v>
      </c>
      <c r="P1245" s="4">
        <v>86974</v>
      </c>
      <c r="Q1245" s="4">
        <v>110507</v>
      </c>
      <c r="R1245" s="4">
        <v>331521</v>
      </c>
      <c r="S1245" t="s">
        <v>17619</v>
      </c>
      <c r="T1245" s="6">
        <v>42461</v>
      </c>
      <c r="U1245" s="4">
        <v>194000</v>
      </c>
      <c r="V1245" t="s">
        <v>23739</v>
      </c>
      <c r="W1245" t="s">
        <v>17619</v>
      </c>
      <c r="X1245" t="s">
        <v>3</v>
      </c>
      <c r="AA1245" s="5" t="str">
        <f>HYPERLINK("https://www.zillow.com/homes/1022-PARK-CREST-DR-DARIEN-IL-60561_rb/","check listing")</f>
        <v>check listing</v>
      </c>
      <c r="AB1245" s="5" t="str">
        <f>HYPERLINK("https://propertylookup.dupagecounty.gov/Datalets/Datalet.aspx?UseSearch=no&amp;mode=sales&amp;pin=0934112027","sales record")</f>
        <v>sales record</v>
      </c>
      <c r="AC1245" t="s">
        <v>27873</v>
      </c>
      <c r="AD1245">
        <v>41.740644</v>
      </c>
      <c r="AE1245">
        <v>-87.9689</v>
      </c>
      <c r="AF1245" s="5" t="str">
        <f>HYPERLINK("https://www.google.com/maps/search/?api=1&amp;query=41.740644,-87.9689","map")</f>
        <v>map</v>
      </c>
    </row>
    <row r="1246" spans="1:32">
      <c r="A1246" t="s">
        <v>1296</v>
      </c>
      <c r="B1246" t="s">
        <v>8873</v>
      </c>
      <c r="C1246" t="s">
        <v>15201</v>
      </c>
      <c r="D1246" t="s">
        <v>16198</v>
      </c>
      <c r="E1246" t="s">
        <v>16218</v>
      </c>
      <c r="F1246" t="s">
        <v>16221</v>
      </c>
      <c r="G1246" t="s">
        <v>16241</v>
      </c>
      <c r="H1246" t="s">
        <v>16241</v>
      </c>
      <c r="I1246" t="s">
        <v>16317</v>
      </c>
      <c r="J1246" t="s">
        <v>16385</v>
      </c>
      <c r="K1246">
        <v>0.096</v>
      </c>
      <c r="L1246">
        <v>4182</v>
      </c>
      <c r="M1246">
        <v>1263</v>
      </c>
      <c r="N1246" t="s">
        <v>16393</v>
      </c>
      <c r="O1246" s="4">
        <v>28041</v>
      </c>
      <c r="P1246" s="4">
        <v>69825</v>
      </c>
      <c r="Q1246" s="4">
        <v>97866</v>
      </c>
      <c r="R1246" s="4">
        <v>293598</v>
      </c>
      <c r="S1246" t="s">
        <v>17620</v>
      </c>
      <c r="T1246" s="6">
        <v>40513</v>
      </c>
      <c r="U1246" s="4">
        <v>130000</v>
      </c>
      <c r="V1246" t="s">
        <v>16232</v>
      </c>
      <c r="W1246" t="s">
        <v>24349</v>
      </c>
      <c r="X1246" t="s">
        <v>3</v>
      </c>
      <c r="AA1246" s="5" t="str">
        <f>HYPERLINK("https://www.zillow.com/homes/1037-PARK-CREST-DR-DARIEN-IL-60561_rb/","check listing")</f>
        <v>check listing</v>
      </c>
      <c r="AB1246" s="5" t="str">
        <f>HYPERLINK("https://propertylookup.dupagecounty.gov/Datalets/Datalet.aspx?UseSearch=no&amp;mode=sales&amp;pin=0934113018","sales record")</f>
        <v>sales record</v>
      </c>
      <c r="AC1246" t="s">
        <v>3</v>
      </c>
      <c r="AD1246">
        <v>41.740279</v>
      </c>
      <c r="AE1246">
        <v>-87.96970399999999</v>
      </c>
      <c r="AF1246" s="5" t="str">
        <f>HYPERLINK("https://www.google.com/maps/search/?api=1&amp;query=41.740279,-87.969704","map")</f>
        <v>map</v>
      </c>
    </row>
    <row r="1247" spans="1:32">
      <c r="A1247" t="s">
        <v>1297</v>
      </c>
      <c r="B1247" t="s">
        <v>8874</v>
      </c>
      <c r="C1247" t="s">
        <v>15201</v>
      </c>
      <c r="D1247" t="s">
        <v>16198</v>
      </c>
      <c r="E1247" t="s">
        <v>16218</v>
      </c>
      <c r="F1247" t="s">
        <v>16221</v>
      </c>
      <c r="G1247" t="s">
        <v>16241</v>
      </c>
      <c r="H1247" t="s">
        <v>16241</v>
      </c>
      <c r="I1247" t="s">
        <v>16317</v>
      </c>
      <c r="J1247" t="s">
        <v>16385</v>
      </c>
      <c r="K1247">
        <v>0.096</v>
      </c>
      <c r="L1247">
        <v>4181</v>
      </c>
      <c r="M1247">
        <v>1167</v>
      </c>
      <c r="N1247" t="s">
        <v>16393</v>
      </c>
      <c r="O1247" s="4">
        <v>24273</v>
      </c>
      <c r="P1247" s="4">
        <v>86974</v>
      </c>
      <c r="Q1247" s="4">
        <v>111247</v>
      </c>
      <c r="R1247" s="4">
        <v>333741</v>
      </c>
      <c r="S1247" t="s">
        <v>17621</v>
      </c>
      <c r="T1247" s="6">
        <v>34243</v>
      </c>
      <c r="U1247" s="4">
        <v>115000</v>
      </c>
      <c r="X1247" t="s">
        <v>3</v>
      </c>
      <c r="AA1247" s="5" t="str">
        <f>HYPERLINK("https://www.zillow.com/homes/8133-PARK-CREST-DR-DARIEN-IL-60561_rb/","check listing")</f>
        <v>check listing</v>
      </c>
      <c r="AB1247" s="5" t="str">
        <f>HYPERLINK("https://propertylookup.dupagecounty.gov/Datalets/Datalet.aspx?UseSearch=no&amp;mode=sales&amp;pin=0934113012","sales record")</f>
        <v>sales record</v>
      </c>
      <c r="AC1247" t="s">
        <v>3</v>
      </c>
      <c r="AD1247">
        <v>41.739531</v>
      </c>
      <c r="AE1247">
        <v>-87.970266</v>
      </c>
      <c r="AF1247" s="5" t="str">
        <f>HYPERLINK("https://www.google.com/maps/search/?api=1&amp;query=41.739531,-87.970266","map")</f>
        <v>map</v>
      </c>
    </row>
    <row r="1248" spans="1:32">
      <c r="A1248" t="s">
        <v>1298</v>
      </c>
      <c r="B1248" t="s">
        <v>8875</v>
      </c>
      <c r="C1248" t="s">
        <v>15270</v>
      </c>
      <c r="D1248" t="s">
        <v>16198</v>
      </c>
      <c r="E1248" t="s">
        <v>16218</v>
      </c>
      <c r="F1248" t="s">
        <v>16221</v>
      </c>
      <c r="G1248" t="s">
        <v>16241</v>
      </c>
      <c r="H1248" t="s">
        <v>16241</v>
      </c>
      <c r="I1248" t="s">
        <v>16317</v>
      </c>
      <c r="J1248" t="s">
        <v>16385</v>
      </c>
      <c r="K1248">
        <v>0.095</v>
      </c>
      <c r="L1248">
        <v>4156</v>
      </c>
      <c r="M1248">
        <v>1007</v>
      </c>
      <c r="N1248" t="s">
        <v>16393</v>
      </c>
      <c r="O1248" s="4">
        <v>23217</v>
      </c>
      <c r="P1248" s="4">
        <v>83793</v>
      </c>
      <c r="Q1248" s="4">
        <v>107010</v>
      </c>
      <c r="R1248" s="4">
        <v>321030</v>
      </c>
      <c r="S1248" t="s">
        <v>17622</v>
      </c>
      <c r="T1248" s="6">
        <v>42522</v>
      </c>
      <c r="U1248" s="4">
        <v>208500</v>
      </c>
      <c r="V1248" t="s">
        <v>23739</v>
      </c>
      <c r="W1248" t="s">
        <v>24350</v>
      </c>
      <c r="X1248" t="s">
        <v>3</v>
      </c>
      <c r="AA1248" s="5" t="str">
        <f>HYPERLINK("https://www.zillow.com/homes/8125-PARK-CREST-DR-DARIEN-IL-605615422_rb/","check listing")</f>
        <v>check listing</v>
      </c>
      <c r="AB1248" s="5" t="str">
        <f>HYPERLINK("https://propertylookup.dupagecounty.gov/Datalets/Datalet.aspx?UseSearch=no&amp;mode=sales&amp;pin=0934113014","sales record")</f>
        <v>sales record</v>
      </c>
      <c r="AC1248" t="s">
        <v>3</v>
      </c>
      <c r="AD1248">
        <v>41.739813</v>
      </c>
      <c r="AE1248">
        <v>-87.970195</v>
      </c>
      <c r="AF1248" s="5" t="str">
        <f>HYPERLINK("https://www.google.com/maps/search/?api=1&amp;query=41.739813,-87.970195","map")</f>
        <v>map</v>
      </c>
    </row>
    <row r="1249" spans="1:32">
      <c r="A1249" t="s">
        <v>1299</v>
      </c>
      <c r="B1249" t="s">
        <v>8876</v>
      </c>
      <c r="C1249" t="s">
        <v>15201</v>
      </c>
      <c r="D1249" t="s">
        <v>16198</v>
      </c>
      <c r="E1249" t="s">
        <v>16218</v>
      </c>
      <c r="F1249" t="s">
        <v>16221</v>
      </c>
      <c r="G1249" t="s">
        <v>16241</v>
      </c>
      <c r="H1249" t="s">
        <v>16241</v>
      </c>
      <c r="I1249" t="s">
        <v>16317</v>
      </c>
      <c r="J1249" t="s">
        <v>16385</v>
      </c>
      <c r="K1249">
        <v>0.095</v>
      </c>
      <c r="L1249">
        <v>4155</v>
      </c>
      <c r="M1249">
        <v>1027</v>
      </c>
      <c r="N1249" t="s">
        <v>16393</v>
      </c>
      <c r="O1249" s="4">
        <v>22277</v>
      </c>
      <c r="P1249" s="4">
        <v>75612</v>
      </c>
      <c r="Q1249" s="4">
        <v>97889</v>
      </c>
      <c r="R1249" s="4">
        <v>293667</v>
      </c>
      <c r="S1249" t="s">
        <v>17623</v>
      </c>
      <c r="T1249" s="6">
        <v>45692</v>
      </c>
      <c r="U1249" s="4">
        <v>297000</v>
      </c>
      <c r="V1249" t="s">
        <v>23739</v>
      </c>
      <c r="W1249" t="s">
        <v>24351</v>
      </c>
      <c r="X1249" t="s">
        <v>3</v>
      </c>
      <c r="AA1249" s="5" t="str">
        <f>HYPERLINK("https://www.zillow.com/homes/1037-BOB-O-LINK-DR-DARIEN-IL-60561_rb/","check listing")</f>
        <v>check listing</v>
      </c>
      <c r="AB1249" s="5" t="str">
        <f>HYPERLINK("https://propertylookup.dupagecounty.gov/Datalets/Datalet.aspx?UseSearch=no&amp;mode=sales&amp;pin=0934116008","sales record")</f>
        <v>sales record</v>
      </c>
      <c r="AC1249" t="s">
        <v>3</v>
      </c>
      <c r="AD1249">
        <v>41.738886</v>
      </c>
      <c r="AE1249">
        <v>-87.969921</v>
      </c>
      <c r="AF1249" s="5" t="str">
        <f>HYPERLINK("https://www.google.com/maps/search/?api=1&amp;query=41.738886,-87.969921","map")</f>
        <v>map</v>
      </c>
    </row>
    <row r="1250" spans="1:32">
      <c r="A1250" t="s">
        <v>1300</v>
      </c>
      <c r="B1250" t="s">
        <v>8877</v>
      </c>
      <c r="C1250" t="s">
        <v>15201</v>
      </c>
      <c r="D1250" t="s">
        <v>16198</v>
      </c>
      <c r="E1250" t="s">
        <v>16218</v>
      </c>
      <c r="F1250" t="s">
        <v>16221</v>
      </c>
      <c r="G1250" t="s">
        <v>16241</v>
      </c>
      <c r="H1250" t="s">
        <v>16241</v>
      </c>
      <c r="I1250" t="s">
        <v>16317</v>
      </c>
      <c r="J1250" t="s">
        <v>16385</v>
      </c>
      <c r="K1250">
        <v>0.095</v>
      </c>
      <c r="L1250">
        <v>4128</v>
      </c>
      <c r="M1250">
        <v>1165</v>
      </c>
      <c r="N1250" t="s">
        <v>16393</v>
      </c>
      <c r="O1250" s="4">
        <v>23698</v>
      </c>
      <c r="P1250" s="4">
        <v>86974</v>
      </c>
      <c r="Q1250" s="4">
        <v>110672</v>
      </c>
      <c r="R1250" s="4">
        <v>332016</v>
      </c>
      <c r="S1250" t="s">
        <v>17601</v>
      </c>
      <c r="X1250" t="s">
        <v>3</v>
      </c>
      <c r="AA1250" s="5" t="str">
        <f>HYPERLINK("https://www.zillow.com/homes/1034-PARK-CREST-DR-DARIEN-IL-60561_rb/","check listing")</f>
        <v>check listing</v>
      </c>
      <c r="AB1250" s="5" t="str">
        <f>HYPERLINK("https://propertylookup.dupagecounty.gov/Datalets/Datalet.aspx?UseSearch=no&amp;mode=sales&amp;pin=0934112032","sales record")</f>
        <v>sales record</v>
      </c>
      <c r="AC1250" t="s">
        <v>27873</v>
      </c>
      <c r="AD1250">
        <v>41.740655</v>
      </c>
      <c r="AE1250">
        <v>-87.969765</v>
      </c>
      <c r="AF1250" s="5" t="str">
        <f>HYPERLINK("https://www.google.com/maps/search/?api=1&amp;query=41.740655,-87.969765","map")</f>
        <v>map</v>
      </c>
    </row>
    <row r="1251" spans="1:32">
      <c r="A1251" t="s">
        <v>1301</v>
      </c>
      <c r="B1251" t="s">
        <v>8878</v>
      </c>
      <c r="C1251" t="s">
        <v>15201</v>
      </c>
      <c r="D1251" t="s">
        <v>16198</v>
      </c>
      <c r="E1251" t="s">
        <v>16218</v>
      </c>
      <c r="F1251" t="s">
        <v>16221</v>
      </c>
      <c r="G1251" t="s">
        <v>16241</v>
      </c>
      <c r="H1251" t="s">
        <v>16241</v>
      </c>
      <c r="I1251" t="s">
        <v>16317</v>
      </c>
      <c r="J1251" t="s">
        <v>16385</v>
      </c>
      <c r="K1251">
        <v>0.095</v>
      </c>
      <c r="L1251">
        <v>4126</v>
      </c>
      <c r="M1251">
        <v>1150</v>
      </c>
      <c r="N1251" t="s">
        <v>16393</v>
      </c>
      <c r="O1251" s="4">
        <v>21973</v>
      </c>
      <c r="P1251" s="4">
        <v>86974</v>
      </c>
      <c r="Q1251" s="4">
        <v>108947</v>
      </c>
      <c r="R1251" s="4">
        <v>326841</v>
      </c>
      <c r="S1251" t="s">
        <v>17624</v>
      </c>
      <c r="T1251" s="6">
        <v>30834</v>
      </c>
      <c r="U1251" s="4">
        <v>75000</v>
      </c>
      <c r="X1251" t="s">
        <v>3</v>
      </c>
      <c r="AA1251" s="5" t="str">
        <f>HYPERLINK("https://www.zillow.com/homes/8129-PARK-CREST-DR-DARIEN-IL-60561_rb/","check listing")</f>
        <v>check listing</v>
      </c>
      <c r="AB1251" s="5" t="str">
        <f>HYPERLINK("https://propertylookup.dupagecounty.gov/Datalets/Datalet.aspx?UseSearch=no&amp;mode=sales&amp;pin=0934113013","sales record")</f>
        <v>sales record</v>
      </c>
      <c r="AC1251" t="s">
        <v>3</v>
      </c>
      <c r="AD1251">
        <v>41.739679</v>
      </c>
      <c r="AE1251">
        <v>-87.970246</v>
      </c>
      <c r="AF1251" s="5" t="str">
        <f>HYPERLINK("https://www.google.com/maps/search/?api=1&amp;query=41.739679,-87.970246","map")</f>
        <v>map</v>
      </c>
    </row>
    <row r="1252" spans="1:32">
      <c r="A1252" t="s">
        <v>1302</v>
      </c>
      <c r="B1252" t="s">
        <v>8879</v>
      </c>
      <c r="C1252" t="s">
        <v>15201</v>
      </c>
      <c r="D1252" t="s">
        <v>16198</v>
      </c>
      <c r="E1252" t="s">
        <v>16218</v>
      </c>
      <c r="F1252" t="s">
        <v>16221</v>
      </c>
      <c r="G1252" t="s">
        <v>16241</v>
      </c>
      <c r="H1252" t="s">
        <v>16241</v>
      </c>
      <c r="I1252" t="s">
        <v>16317</v>
      </c>
      <c r="J1252" t="s">
        <v>16385</v>
      </c>
      <c r="K1252">
        <v>0.094</v>
      </c>
      <c r="L1252">
        <v>4113</v>
      </c>
      <c r="M1252">
        <v>1384</v>
      </c>
      <c r="N1252" t="s">
        <v>16393</v>
      </c>
      <c r="O1252" s="4">
        <v>22911</v>
      </c>
      <c r="P1252" s="4">
        <v>86974</v>
      </c>
      <c r="Q1252" s="4">
        <v>109885</v>
      </c>
      <c r="R1252" s="4">
        <v>329655</v>
      </c>
      <c r="S1252" t="s">
        <v>17625</v>
      </c>
      <c r="T1252" s="6">
        <v>34090</v>
      </c>
      <c r="U1252" s="4">
        <v>124900</v>
      </c>
      <c r="X1252" t="s">
        <v>3</v>
      </c>
      <c r="AA1252" s="5" t="str">
        <f>HYPERLINK("https://www.zillow.com/homes/8136-HINSWOOD-DR-DARIEN-IL-60561_rb/","check listing")</f>
        <v>check listing</v>
      </c>
      <c r="AB1252" s="5" t="str">
        <f>HYPERLINK("https://propertylookup.dupagecounty.gov/Datalets/Datalet.aspx?UseSearch=no&amp;mode=sales&amp;pin=0934113028","sales record")</f>
        <v>sales record</v>
      </c>
      <c r="AC1252" t="s">
        <v>3</v>
      </c>
      <c r="AD1252">
        <v>41.739575</v>
      </c>
      <c r="AE1252">
        <v>-87.96997</v>
      </c>
      <c r="AF1252" s="5" t="str">
        <f>HYPERLINK("https://www.google.com/maps/search/?api=1&amp;query=41.739575,-87.96997","map")</f>
        <v>map</v>
      </c>
    </row>
    <row r="1253" spans="1:32">
      <c r="A1253" t="s">
        <v>1303</v>
      </c>
      <c r="B1253" t="s">
        <v>8880</v>
      </c>
      <c r="C1253" t="s">
        <v>15260</v>
      </c>
      <c r="D1253" t="s">
        <v>16198</v>
      </c>
      <c r="E1253" t="s">
        <v>16218</v>
      </c>
      <c r="F1253" t="s">
        <v>16221</v>
      </c>
      <c r="G1253" t="s">
        <v>16241</v>
      </c>
      <c r="H1253" t="s">
        <v>16241</v>
      </c>
      <c r="I1253" t="s">
        <v>16317</v>
      </c>
      <c r="J1253" t="s">
        <v>16385</v>
      </c>
      <c r="K1253">
        <v>0.094</v>
      </c>
      <c r="L1253">
        <v>4108</v>
      </c>
      <c r="M1253">
        <v>1028</v>
      </c>
      <c r="N1253" t="s">
        <v>16393</v>
      </c>
      <c r="O1253" s="4">
        <v>24789</v>
      </c>
      <c r="P1253" s="4">
        <v>69825</v>
      </c>
      <c r="Q1253" s="4">
        <v>94614</v>
      </c>
      <c r="R1253" s="4">
        <v>283842</v>
      </c>
      <c r="S1253" t="s">
        <v>17626</v>
      </c>
      <c r="T1253" s="6">
        <v>44348</v>
      </c>
      <c r="U1253" s="4">
        <v>284000</v>
      </c>
      <c r="V1253" t="s">
        <v>23739</v>
      </c>
      <c r="W1253" t="s">
        <v>24352</v>
      </c>
      <c r="X1253" t="s">
        <v>3</v>
      </c>
      <c r="AA1253" s="5" t="str">
        <f>HYPERLINK("https://www.zillow.com/homes/8116-PARK-CREST-DR-DARIEN-IL-605615423_rb/","check listing")</f>
        <v>check listing</v>
      </c>
      <c r="AB1253" s="5" t="str">
        <f>HYPERLINK("https://propertylookup.dupagecounty.gov/Datalets/Datalet.aspx?UseSearch=no&amp;mode=sales&amp;pin=0934112016","sales record")</f>
        <v>sales record</v>
      </c>
      <c r="AC1253" t="s">
        <v>27873</v>
      </c>
      <c r="AD1253">
        <v>41.740248</v>
      </c>
      <c r="AE1253">
        <v>-87.970355</v>
      </c>
      <c r="AF1253" s="5" t="str">
        <f>HYPERLINK("https://www.google.com/maps/search/?api=1&amp;query=41.740248,-87.970355","map")</f>
        <v>map</v>
      </c>
    </row>
    <row r="1254" spans="1:32">
      <c r="A1254" t="s">
        <v>1304</v>
      </c>
      <c r="B1254" t="s">
        <v>8881</v>
      </c>
      <c r="C1254" t="s">
        <v>15271</v>
      </c>
      <c r="D1254" t="s">
        <v>16198</v>
      </c>
      <c r="E1254" t="s">
        <v>16218</v>
      </c>
      <c r="F1254" t="s">
        <v>16221</v>
      </c>
      <c r="G1254" t="s">
        <v>16241</v>
      </c>
      <c r="H1254" t="s">
        <v>16241</v>
      </c>
      <c r="I1254" t="s">
        <v>16317</v>
      </c>
      <c r="J1254" t="s">
        <v>16385</v>
      </c>
      <c r="K1254">
        <v>0.094</v>
      </c>
      <c r="L1254">
        <v>4081</v>
      </c>
      <c r="M1254">
        <v>1169</v>
      </c>
      <c r="N1254" t="s">
        <v>16393</v>
      </c>
      <c r="O1254" s="4">
        <v>22736</v>
      </c>
      <c r="P1254" s="4">
        <v>69825</v>
      </c>
      <c r="Q1254" s="4">
        <v>92561</v>
      </c>
      <c r="R1254" s="4">
        <v>277683</v>
      </c>
      <c r="S1254" t="s">
        <v>17627</v>
      </c>
      <c r="T1254" s="6">
        <v>44593</v>
      </c>
      <c r="U1254" s="4">
        <v>260000</v>
      </c>
      <c r="V1254" t="s">
        <v>23739</v>
      </c>
      <c r="W1254" t="s">
        <v>17627</v>
      </c>
      <c r="X1254" t="s">
        <v>3</v>
      </c>
      <c r="AA1254" s="5" t="str">
        <f>HYPERLINK("https://www.zillow.com/homes/1025-PARK-CREST-DR-DARIEN-IL-605615420_rb/","check listing")</f>
        <v>check listing</v>
      </c>
      <c r="AB1254" s="5" t="str">
        <f>HYPERLINK("https://propertylookup.dupagecounty.gov/Datalets/Datalet.aspx?UseSearch=no&amp;mode=sales&amp;pin=0934113021","sales record")</f>
        <v>sales record</v>
      </c>
      <c r="AC1254" t="s">
        <v>3</v>
      </c>
      <c r="AD1254">
        <v>41.740397</v>
      </c>
      <c r="AE1254">
        <v>-87.969176</v>
      </c>
      <c r="AF1254" s="5" t="str">
        <f>HYPERLINK("https://www.google.com/maps/search/?api=1&amp;query=41.740397,-87.969176","map")</f>
        <v>map</v>
      </c>
    </row>
    <row r="1255" spans="1:32">
      <c r="A1255" t="s">
        <v>1305</v>
      </c>
      <c r="B1255" t="s">
        <v>8882</v>
      </c>
      <c r="C1255" t="s">
        <v>15201</v>
      </c>
      <c r="D1255" t="s">
        <v>16198</v>
      </c>
      <c r="E1255" t="s">
        <v>16218</v>
      </c>
      <c r="F1255" t="s">
        <v>16221</v>
      </c>
      <c r="G1255" t="s">
        <v>16241</v>
      </c>
      <c r="H1255" t="s">
        <v>16241</v>
      </c>
      <c r="I1255" t="s">
        <v>16317</v>
      </c>
      <c r="J1255" t="s">
        <v>16385</v>
      </c>
      <c r="K1255">
        <v>0.093</v>
      </c>
      <c r="L1255">
        <v>4067</v>
      </c>
      <c r="M1255">
        <v>1155</v>
      </c>
      <c r="N1255" t="s">
        <v>16393</v>
      </c>
      <c r="O1255" s="4">
        <v>24672</v>
      </c>
      <c r="P1255" s="4">
        <v>86974</v>
      </c>
      <c r="Q1255" s="4">
        <v>111646</v>
      </c>
      <c r="R1255" s="4">
        <v>334938</v>
      </c>
      <c r="S1255" t="s">
        <v>17628</v>
      </c>
      <c r="T1255" s="6">
        <v>42278</v>
      </c>
      <c r="U1255" s="4">
        <v>183000</v>
      </c>
      <c r="V1255" t="s">
        <v>23739</v>
      </c>
      <c r="W1255" t="s">
        <v>24353</v>
      </c>
      <c r="X1255" t="s">
        <v>3</v>
      </c>
      <c r="AA1255" s="5" t="str">
        <f>HYPERLINK("https://www.zillow.com/homes/8117-PARK-CREST-DR-DARIEN-IL-60561_rb/","check listing")</f>
        <v>check listing</v>
      </c>
      <c r="AB1255" s="5" t="str">
        <f>HYPERLINK("https://propertylookup.dupagecounty.gov/Datalets/Datalet.aspx?UseSearch=no&amp;mode=sales&amp;pin=0934113016","sales record")</f>
        <v>sales record</v>
      </c>
      <c r="AC1255" t="s">
        <v>27873</v>
      </c>
      <c r="AD1255">
        <v>41.740094</v>
      </c>
      <c r="AE1255">
        <v>-87.970026</v>
      </c>
      <c r="AF1255" s="5" t="str">
        <f>HYPERLINK("https://www.google.com/maps/search/?api=1&amp;query=41.740094,-87.970026","map")</f>
        <v>map</v>
      </c>
    </row>
    <row r="1256" spans="1:32">
      <c r="A1256" t="s">
        <v>1306</v>
      </c>
      <c r="B1256" t="s">
        <v>8883</v>
      </c>
      <c r="C1256" t="s">
        <v>15201</v>
      </c>
      <c r="D1256" t="s">
        <v>16198</v>
      </c>
      <c r="E1256" t="s">
        <v>16218</v>
      </c>
      <c r="F1256" t="s">
        <v>16221</v>
      </c>
      <c r="G1256" t="s">
        <v>16241</v>
      </c>
      <c r="H1256" t="s">
        <v>16241</v>
      </c>
      <c r="I1256" t="s">
        <v>16317</v>
      </c>
      <c r="J1256" t="s">
        <v>16385</v>
      </c>
      <c r="K1256">
        <v>0.093</v>
      </c>
      <c r="L1256">
        <v>4067</v>
      </c>
      <c r="M1256">
        <v>1390</v>
      </c>
      <c r="N1256" t="s">
        <v>16393</v>
      </c>
      <c r="O1256" s="4">
        <v>22724</v>
      </c>
      <c r="P1256" s="4">
        <v>86974</v>
      </c>
      <c r="Q1256" s="4">
        <v>109698</v>
      </c>
      <c r="R1256" s="4">
        <v>329094</v>
      </c>
      <c r="S1256" t="s">
        <v>17629</v>
      </c>
      <c r="T1256" s="6">
        <v>40848</v>
      </c>
      <c r="U1256" s="4">
        <v>180900</v>
      </c>
      <c r="V1256" t="s">
        <v>23739</v>
      </c>
      <c r="W1256" t="s">
        <v>24354</v>
      </c>
      <c r="X1256" t="s">
        <v>3</v>
      </c>
      <c r="AA1256" s="5" t="str">
        <f>HYPERLINK("https://www.zillow.com/homes/1033-PARK-CREST-DR-DARIEN-IL-60561_rb/","check listing")</f>
        <v>check listing</v>
      </c>
      <c r="AB1256" s="5" t="str">
        <f>HYPERLINK("https://propertylookup.dupagecounty.gov/Datalets/Datalet.aspx?UseSearch=no&amp;mode=sales&amp;pin=0934113019","sales record")</f>
        <v>sales record</v>
      </c>
      <c r="AC1256" t="s">
        <v>3</v>
      </c>
      <c r="AD1256">
        <v>41.740365</v>
      </c>
      <c r="AE1256">
        <v>-87.969548</v>
      </c>
      <c r="AF1256" s="5" t="str">
        <f>HYPERLINK("https://www.google.com/maps/search/?api=1&amp;query=41.740365,-87.969548","map")</f>
        <v>map</v>
      </c>
    </row>
    <row r="1257" spans="1:32">
      <c r="A1257" t="s">
        <v>1307</v>
      </c>
      <c r="B1257" t="s">
        <v>8884</v>
      </c>
      <c r="C1257" t="s">
        <v>15271</v>
      </c>
      <c r="D1257" t="s">
        <v>16198</v>
      </c>
      <c r="E1257" t="s">
        <v>16218</v>
      </c>
      <c r="F1257" t="s">
        <v>16221</v>
      </c>
      <c r="G1257" t="s">
        <v>16241</v>
      </c>
      <c r="H1257" t="s">
        <v>16241</v>
      </c>
      <c r="I1257" t="s">
        <v>16317</v>
      </c>
      <c r="J1257" t="s">
        <v>16385</v>
      </c>
      <c r="K1257">
        <v>0.092</v>
      </c>
      <c r="L1257">
        <v>4026</v>
      </c>
      <c r="M1257">
        <v>983</v>
      </c>
      <c r="N1257" t="s">
        <v>16393</v>
      </c>
      <c r="O1257" s="4">
        <v>21597</v>
      </c>
      <c r="P1257" s="4">
        <v>83793</v>
      </c>
      <c r="Q1257" s="4">
        <v>105390</v>
      </c>
      <c r="R1257" s="4">
        <v>316170</v>
      </c>
      <c r="S1257" t="s">
        <v>17630</v>
      </c>
      <c r="T1257" s="6">
        <v>43313</v>
      </c>
      <c r="U1257" s="4">
        <v>215000</v>
      </c>
      <c r="V1257" t="s">
        <v>23740</v>
      </c>
      <c r="W1257" t="s">
        <v>17630</v>
      </c>
      <c r="X1257" t="s">
        <v>3</v>
      </c>
      <c r="AA1257" s="5" t="str">
        <f>HYPERLINK("https://www.zillow.com/homes/1013-PARK-CREST-DR-DARIEN-IL-605615420_rb/","check listing")</f>
        <v>check listing</v>
      </c>
      <c r="AB1257" s="5" t="str">
        <f>HYPERLINK("https://propertylookup.dupagecounty.gov/Datalets/Datalet.aspx?UseSearch=no&amp;mode=sales&amp;pin=0934113024","sales record")</f>
        <v>sales record</v>
      </c>
      <c r="AC1257" t="s">
        <v>3</v>
      </c>
      <c r="AD1257">
        <v>41.740224</v>
      </c>
      <c r="AE1257">
        <v>-87.968675</v>
      </c>
      <c r="AF1257" s="5" t="str">
        <f>HYPERLINK("https://www.google.com/maps/search/?api=1&amp;query=41.740224,-87.968675","map")</f>
        <v>map</v>
      </c>
    </row>
    <row r="1258" spans="1:32">
      <c r="A1258" t="s">
        <v>1308</v>
      </c>
      <c r="B1258" t="s">
        <v>8885</v>
      </c>
      <c r="C1258" t="s">
        <v>15201</v>
      </c>
      <c r="D1258" t="s">
        <v>16198</v>
      </c>
      <c r="E1258" t="s">
        <v>16218</v>
      </c>
      <c r="F1258" t="s">
        <v>16221</v>
      </c>
      <c r="G1258" t="s">
        <v>16241</v>
      </c>
      <c r="H1258" t="s">
        <v>16241</v>
      </c>
      <c r="I1258" t="s">
        <v>16317</v>
      </c>
      <c r="J1258" t="s">
        <v>16385</v>
      </c>
      <c r="K1258">
        <v>0.092</v>
      </c>
      <c r="L1258">
        <v>4013</v>
      </c>
      <c r="M1258">
        <v>1093</v>
      </c>
      <c r="N1258" t="s">
        <v>16393</v>
      </c>
      <c r="O1258" s="4">
        <v>22277</v>
      </c>
      <c r="P1258" s="4">
        <v>86974</v>
      </c>
      <c r="Q1258" s="4">
        <v>109251</v>
      </c>
      <c r="R1258" s="4">
        <v>327753</v>
      </c>
      <c r="S1258" t="s">
        <v>17631</v>
      </c>
      <c r="T1258" s="6">
        <v>44956</v>
      </c>
      <c r="U1258" s="4">
        <v>256000</v>
      </c>
      <c r="V1258" t="s">
        <v>23739</v>
      </c>
      <c r="W1258" t="s">
        <v>24355</v>
      </c>
      <c r="X1258" t="s">
        <v>3</v>
      </c>
      <c r="AA1258" s="5" t="str">
        <f>HYPERLINK("https://www.zillow.com/homes/1030-BOBOLINK-LN-DARIEN-IL-60561_rb/","check listing")</f>
        <v>check listing</v>
      </c>
      <c r="AB1258" s="5" t="str">
        <f>HYPERLINK("https://propertylookup.dupagecounty.gov/Datalets/Datalet.aspx?UseSearch=no&amp;mode=sales&amp;pin=0934115009","sales record")</f>
        <v>sales record</v>
      </c>
      <c r="AC1258" t="s">
        <v>27873</v>
      </c>
      <c r="AD1258">
        <v>41.739189</v>
      </c>
      <c r="AE1258">
        <v>-87.969381</v>
      </c>
      <c r="AF1258" s="5" t="str">
        <f>HYPERLINK("https://www.google.com/maps/search/?api=1&amp;query=41.739189,-87.969381","map")</f>
        <v>map</v>
      </c>
    </row>
    <row r="1259" spans="1:32">
      <c r="A1259" t="s">
        <v>1309</v>
      </c>
      <c r="B1259" t="s">
        <v>8886</v>
      </c>
      <c r="C1259" t="s">
        <v>15201</v>
      </c>
      <c r="D1259" t="s">
        <v>16198</v>
      </c>
      <c r="E1259" t="s">
        <v>16218</v>
      </c>
      <c r="F1259" t="s">
        <v>16221</v>
      </c>
      <c r="G1259" t="s">
        <v>16241</v>
      </c>
      <c r="H1259" t="s">
        <v>16241</v>
      </c>
      <c r="I1259" t="s">
        <v>16317</v>
      </c>
      <c r="J1259" t="s">
        <v>16385</v>
      </c>
      <c r="K1259">
        <v>0.092</v>
      </c>
      <c r="L1259">
        <v>4013</v>
      </c>
      <c r="M1259">
        <v>1120</v>
      </c>
      <c r="N1259" t="s">
        <v>16393</v>
      </c>
      <c r="O1259" s="4">
        <v>22277</v>
      </c>
      <c r="P1259" s="4">
        <v>86974</v>
      </c>
      <c r="Q1259" s="4">
        <v>109251</v>
      </c>
      <c r="R1259" s="4">
        <v>327753</v>
      </c>
      <c r="S1259" t="s">
        <v>17632</v>
      </c>
      <c r="T1259" s="6">
        <v>43132</v>
      </c>
      <c r="U1259" s="4">
        <v>195000</v>
      </c>
      <c r="V1259" t="s">
        <v>23739</v>
      </c>
      <c r="W1259" t="s">
        <v>24356</v>
      </c>
      <c r="X1259" t="s">
        <v>3</v>
      </c>
      <c r="AA1259" s="5" t="str">
        <f>HYPERLINK("https://www.zillow.com/homes/1021-MEADOWLARK-LN-DARIEN-IL-60561_rb/","check listing")</f>
        <v>check listing</v>
      </c>
      <c r="AB1259" s="5" t="str">
        <f>HYPERLINK("https://propertylookup.dupagecounty.gov/Datalets/Datalet.aspx?UseSearch=no&amp;mode=sales&amp;pin=0934115006","sales record")</f>
        <v>sales record</v>
      </c>
      <c r="AC1259" t="s">
        <v>27873</v>
      </c>
      <c r="AD1259">
        <v>41.739415</v>
      </c>
      <c r="AE1259">
        <v>-87.96902</v>
      </c>
      <c r="AF1259" s="5" t="str">
        <f>HYPERLINK("https://www.google.com/maps/search/?api=1&amp;query=41.739415,-87.96902","map")</f>
        <v>map</v>
      </c>
    </row>
    <row r="1260" spans="1:32">
      <c r="A1260" t="s">
        <v>1310</v>
      </c>
      <c r="B1260" t="s">
        <v>8887</v>
      </c>
      <c r="C1260" t="s">
        <v>15201</v>
      </c>
      <c r="D1260" t="s">
        <v>16198</v>
      </c>
      <c r="E1260" t="s">
        <v>16218</v>
      </c>
      <c r="F1260" t="s">
        <v>16221</v>
      </c>
      <c r="G1260" t="s">
        <v>16241</v>
      </c>
      <c r="H1260" t="s">
        <v>16241</v>
      </c>
      <c r="I1260" t="s">
        <v>16317</v>
      </c>
      <c r="J1260" t="s">
        <v>16385</v>
      </c>
      <c r="K1260">
        <v>0.092</v>
      </c>
      <c r="L1260">
        <v>4013</v>
      </c>
      <c r="M1260">
        <v>985</v>
      </c>
      <c r="N1260" t="s">
        <v>16393</v>
      </c>
      <c r="O1260" s="4">
        <v>22277</v>
      </c>
      <c r="P1260" s="4">
        <v>86974</v>
      </c>
      <c r="Q1260" s="4">
        <v>109251</v>
      </c>
      <c r="R1260" s="4">
        <v>327753</v>
      </c>
      <c r="S1260" t="s">
        <v>17633</v>
      </c>
      <c r="T1260" s="6">
        <v>45875</v>
      </c>
      <c r="U1260" s="4">
        <v>300000</v>
      </c>
      <c r="V1260" t="s">
        <v>23739</v>
      </c>
      <c r="W1260" t="s">
        <v>24357</v>
      </c>
      <c r="X1260" t="s">
        <v>3</v>
      </c>
      <c r="AA1260" s="5" t="str">
        <f>HYPERLINK("https://www.zillow.com/homes/1029-MEADOWLARK-LN-DARIEN-IL-60561_rb/","check listing")</f>
        <v>check listing</v>
      </c>
      <c r="AB1260" s="5" t="str">
        <f>HYPERLINK("https://propertylookup.dupagecounty.gov/Datalets/Datalet.aspx?UseSearch=no&amp;mode=sales&amp;pin=0934115004","sales record")</f>
        <v>sales record</v>
      </c>
      <c r="AC1260" t="s">
        <v>27873</v>
      </c>
      <c r="AD1260">
        <v>41.739409</v>
      </c>
      <c r="AE1260">
        <v>-87.969388</v>
      </c>
      <c r="AF1260" s="5" t="str">
        <f>HYPERLINK("https://www.google.com/maps/search/?api=1&amp;query=41.739409,-87.969388","map")</f>
        <v>map</v>
      </c>
    </row>
    <row r="1261" spans="1:32">
      <c r="A1261" t="s">
        <v>1311</v>
      </c>
      <c r="B1261" t="s">
        <v>8888</v>
      </c>
      <c r="C1261" t="s">
        <v>15201</v>
      </c>
      <c r="D1261" t="s">
        <v>16198</v>
      </c>
      <c r="E1261" t="s">
        <v>16218</v>
      </c>
      <c r="F1261" t="s">
        <v>16221</v>
      </c>
      <c r="G1261" t="s">
        <v>16241</v>
      </c>
      <c r="H1261" t="s">
        <v>16241</v>
      </c>
      <c r="I1261" t="s">
        <v>16317</v>
      </c>
      <c r="J1261" t="s">
        <v>16385</v>
      </c>
      <c r="K1261">
        <v>0.092</v>
      </c>
      <c r="L1261">
        <v>4013</v>
      </c>
      <c r="M1261">
        <v>1072</v>
      </c>
      <c r="N1261" t="s">
        <v>16393</v>
      </c>
      <c r="O1261" s="4">
        <v>22277</v>
      </c>
      <c r="P1261" s="4">
        <v>69825</v>
      </c>
      <c r="Q1261" s="4">
        <v>92102</v>
      </c>
      <c r="R1261" s="4">
        <v>276306</v>
      </c>
      <c r="S1261" t="s">
        <v>17634</v>
      </c>
      <c r="T1261" s="6">
        <v>42430</v>
      </c>
      <c r="U1261" s="4">
        <v>167000</v>
      </c>
      <c r="V1261" t="s">
        <v>23739</v>
      </c>
      <c r="W1261" t="s">
        <v>17634</v>
      </c>
      <c r="X1261" t="s">
        <v>3</v>
      </c>
      <c r="AA1261" s="5" t="str">
        <f>HYPERLINK("https://www.zillow.com/homes/1026-BOB-O-LINK-DR-DARIEN-IL-60561_rb/","check listing")</f>
        <v>check listing</v>
      </c>
      <c r="AB1261" s="5" t="str">
        <f>HYPERLINK("https://propertylookup.dupagecounty.gov/Datalets/Datalet.aspx?UseSearch=no&amp;mode=sales&amp;pin=0934115010","sales record")</f>
        <v>sales record</v>
      </c>
      <c r="AC1261" t="s">
        <v>27873</v>
      </c>
      <c r="AD1261">
        <v>41.739193</v>
      </c>
      <c r="AE1261">
        <v>-87.96919699999999</v>
      </c>
      <c r="AF1261" s="5" t="str">
        <f>HYPERLINK("https://www.google.com/maps/search/?api=1&amp;query=41.739193,-87.969197","map")</f>
        <v>map</v>
      </c>
    </row>
    <row r="1262" spans="1:32">
      <c r="A1262" t="s">
        <v>1312</v>
      </c>
      <c r="B1262" t="s">
        <v>8889</v>
      </c>
      <c r="C1262" t="s">
        <v>15201</v>
      </c>
      <c r="D1262" t="s">
        <v>16198</v>
      </c>
      <c r="E1262" t="s">
        <v>16218</v>
      </c>
      <c r="F1262" t="s">
        <v>16221</v>
      </c>
      <c r="G1262" t="s">
        <v>16241</v>
      </c>
      <c r="H1262" t="s">
        <v>16241</v>
      </c>
      <c r="I1262" t="s">
        <v>16317</v>
      </c>
      <c r="J1262" t="s">
        <v>16385</v>
      </c>
      <c r="K1262">
        <v>0.092</v>
      </c>
      <c r="L1262">
        <v>4013</v>
      </c>
      <c r="M1262">
        <v>754</v>
      </c>
      <c r="N1262" t="s">
        <v>16393</v>
      </c>
      <c r="O1262" s="4">
        <v>22277</v>
      </c>
      <c r="P1262" s="4">
        <v>83793</v>
      </c>
      <c r="Q1262" s="4">
        <v>106070</v>
      </c>
      <c r="R1262" s="4">
        <v>318210</v>
      </c>
      <c r="S1262" t="s">
        <v>17635</v>
      </c>
      <c r="T1262" s="6">
        <v>36404</v>
      </c>
      <c r="U1262" s="4">
        <v>153000</v>
      </c>
      <c r="X1262" t="s">
        <v>3</v>
      </c>
      <c r="AA1262" s="5" t="str">
        <f>HYPERLINK("https://www.zillow.com/homes/8209-PARK-CREST-DR-DARIEN-IL-60561_rb/","check listing")</f>
        <v>check listing</v>
      </c>
      <c r="AB1262" s="5" t="str">
        <f>HYPERLINK("https://propertylookup.dupagecounty.gov/Datalets/Datalet.aspx?UseSearch=no&amp;mode=sales&amp;pin=0934113009","sales record")</f>
        <v>sales record</v>
      </c>
      <c r="AC1262" t="s">
        <v>3</v>
      </c>
      <c r="AD1262">
        <v>41.739133</v>
      </c>
      <c r="AE1262">
        <v>-87.97025499999999</v>
      </c>
      <c r="AF1262" s="5" t="str">
        <f>HYPERLINK("https://www.google.com/maps/search/?api=1&amp;query=41.739133,-87.970255","map")</f>
        <v>map</v>
      </c>
    </row>
    <row r="1263" spans="1:32">
      <c r="A1263" t="s">
        <v>1313</v>
      </c>
      <c r="B1263" t="s">
        <v>8890</v>
      </c>
      <c r="C1263" t="s">
        <v>15261</v>
      </c>
      <c r="D1263" t="s">
        <v>16198</v>
      </c>
      <c r="E1263" t="s">
        <v>16218</v>
      </c>
      <c r="F1263" t="s">
        <v>16221</v>
      </c>
      <c r="G1263" t="s">
        <v>16241</v>
      </c>
      <c r="H1263" t="s">
        <v>16241</v>
      </c>
      <c r="I1263" t="s">
        <v>16317</v>
      </c>
      <c r="J1263" t="s">
        <v>16385</v>
      </c>
      <c r="K1263">
        <v>0.092</v>
      </c>
      <c r="L1263">
        <v>4013</v>
      </c>
      <c r="M1263">
        <v>1155</v>
      </c>
      <c r="N1263" t="s">
        <v>16393</v>
      </c>
      <c r="O1263" s="4">
        <v>22277</v>
      </c>
      <c r="P1263" s="4">
        <v>69825</v>
      </c>
      <c r="Q1263" s="4">
        <v>92102</v>
      </c>
      <c r="R1263" s="4">
        <v>276306</v>
      </c>
      <c r="S1263" t="s">
        <v>17636</v>
      </c>
      <c r="T1263" s="6">
        <v>44741</v>
      </c>
      <c r="U1263" s="4">
        <v>270000</v>
      </c>
      <c r="V1263" t="s">
        <v>23739</v>
      </c>
      <c r="W1263" t="s">
        <v>24358</v>
      </c>
      <c r="X1263" t="s">
        <v>3</v>
      </c>
      <c r="AA1263" s="5" t="str">
        <f>HYPERLINK("https://www.zillow.com/homes/1025-MEADOWLARK-LN-DARIEN-IL-605615416_rb/","check listing")</f>
        <v>check listing</v>
      </c>
      <c r="AB1263" s="5" t="str">
        <f>HYPERLINK("https://propertylookup.dupagecounty.gov/Datalets/Datalet.aspx?UseSearch=no&amp;mode=sales&amp;pin=0934115005","sales record")</f>
        <v>sales record</v>
      </c>
      <c r="AC1263" t="s">
        <v>27873</v>
      </c>
      <c r="AD1263">
        <v>41.739412</v>
      </c>
      <c r="AE1263">
        <v>-87.969204</v>
      </c>
      <c r="AF1263" s="5" t="str">
        <f>HYPERLINK("https://www.google.com/maps/search/?api=1&amp;query=41.739412,-87.969204","map")</f>
        <v>map</v>
      </c>
    </row>
    <row r="1264" spans="1:32">
      <c r="A1264" t="s">
        <v>1314</v>
      </c>
      <c r="B1264" t="s">
        <v>8891</v>
      </c>
      <c r="C1264" t="s">
        <v>15201</v>
      </c>
      <c r="D1264" t="s">
        <v>16198</v>
      </c>
      <c r="E1264" t="s">
        <v>16218</v>
      </c>
      <c r="F1264" t="s">
        <v>16221</v>
      </c>
      <c r="G1264" t="s">
        <v>16241</v>
      </c>
      <c r="H1264" t="s">
        <v>16241</v>
      </c>
      <c r="I1264" t="s">
        <v>16317</v>
      </c>
      <c r="J1264" t="s">
        <v>16385</v>
      </c>
      <c r="K1264">
        <v>0.092</v>
      </c>
      <c r="L1264">
        <v>4012</v>
      </c>
      <c r="M1264">
        <v>1136</v>
      </c>
      <c r="N1264" t="s">
        <v>16393</v>
      </c>
      <c r="O1264" s="4">
        <v>22277</v>
      </c>
      <c r="P1264" s="4">
        <v>90542</v>
      </c>
      <c r="Q1264" s="4">
        <v>112819</v>
      </c>
      <c r="R1264" s="4">
        <v>338457</v>
      </c>
      <c r="S1264" t="s">
        <v>17637</v>
      </c>
      <c r="T1264" s="6">
        <v>32234</v>
      </c>
      <c r="U1264" s="4">
        <v>99000</v>
      </c>
      <c r="X1264" t="s">
        <v>3</v>
      </c>
      <c r="AA1264" s="5" t="str">
        <f>HYPERLINK("https://www.zillow.com/homes/1022-BOBOLINK-LN-DARIEN-IL-60561_rb/","check listing")</f>
        <v>check listing</v>
      </c>
      <c r="AB1264" s="5" t="str">
        <f>HYPERLINK("https://propertylookup.dupagecounty.gov/Datalets/Datalet.aspx?UseSearch=no&amp;mode=sales&amp;pin=0934115011","sales record")</f>
        <v>sales record</v>
      </c>
      <c r="AC1264" t="s">
        <v>27873</v>
      </c>
      <c r="AD1264">
        <v>41.739196</v>
      </c>
      <c r="AE1264">
        <v>-87.969014</v>
      </c>
      <c r="AF1264" s="5" t="str">
        <f>HYPERLINK("https://www.google.com/maps/search/?api=1&amp;query=41.739196,-87.969014","map")</f>
        <v>map</v>
      </c>
    </row>
    <row r="1265" spans="1:32">
      <c r="A1265" t="s">
        <v>1315</v>
      </c>
      <c r="B1265" t="s">
        <v>8892</v>
      </c>
      <c r="C1265" t="s">
        <v>15271</v>
      </c>
      <c r="D1265" t="s">
        <v>16198</v>
      </c>
      <c r="E1265" t="s">
        <v>16218</v>
      </c>
      <c r="F1265" t="s">
        <v>16221</v>
      </c>
      <c r="G1265" t="s">
        <v>16241</v>
      </c>
      <c r="H1265" t="s">
        <v>16241</v>
      </c>
      <c r="I1265" t="s">
        <v>16317</v>
      </c>
      <c r="J1265" t="s">
        <v>16385</v>
      </c>
      <c r="K1265">
        <v>0.092</v>
      </c>
      <c r="L1265">
        <v>4007</v>
      </c>
      <c r="M1265">
        <v>1074</v>
      </c>
      <c r="N1265" t="s">
        <v>16393</v>
      </c>
      <c r="O1265" s="4">
        <v>22313</v>
      </c>
      <c r="P1265" s="4">
        <v>75612</v>
      </c>
      <c r="Q1265" s="4">
        <v>97925</v>
      </c>
      <c r="R1265" s="4">
        <v>293775</v>
      </c>
      <c r="S1265" t="s">
        <v>17638</v>
      </c>
      <c r="T1265" s="6">
        <v>45518</v>
      </c>
      <c r="U1265" s="4">
        <v>335000</v>
      </c>
      <c r="V1265" t="s">
        <v>23739</v>
      </c>
      <c r="W1265" t="s">
        <v>24359</v>
      </c>
      <c r="X1265" t="s">
        <v>3</v>
      </c>
      <c r="AA1265" s="5" t="str">
        <f>HYPERLINK("https://www.zillow.com/homes/1021-PARK-CREST-DR-DARIEN-IL-605615420_rb/","check listing")</f>
        <v>check listing</v>
      </c>
      <c r="AB1265" s="5" t="str">
        <f>HYPERLINK("https://propertylookup.dupagecounty.gov/Datalets/Datalet.aspx?UseSearch=no&amp;mode=sales&amp;pin=0934113022","sales record")</f>
        <v>sales record</v>
      </c>
      <c r="AC1265" t="s">
        <v>3</v>
      </c>
      <c r="AD1265">
        <v>41.740357</v>
      </c>
      <c r="AE1265">
        <v>-87.969004</v>
      </c>
      <c r="AF1265" s="5" t="str">
        <f>HYPERLINK("https://www.google.com/maps/search/?api=1&amp;query=41.740357,-87.969004","map")</f>
        <v>map</v>
      </c>
    </row>
    <row r="1266" spans="1:32">
      <c r="A1266" t="s">
        <v>1316</v>
      </c>
      <c r="B1266" t="s">
        <v>8893</v>
      </c>
      <c r="C1266" t="s">
        <v>15271</v>
      </c>
      <c r="D1266" t="s">
        <v>16198</v>
      </c>
      <c r="E1266" t="s">
        <v>16218</v>
      </c>
      <c r="F1266" t="s">
        <v>16221</v>
      </c>
      <c r="G1266" t="s">
        <v>16241</v>
      </c>
      <c r="H1266" t="s">
        <v>16241</v>
      </c>
      <c r="I1266" t="s">
        <v>16317</v>
      </c>
      <c r="J1266" t="s">
        <v>16385</v>
      </c>
      <c r="K1266">
        <v>0.092</v>
      </c>
      <c r="L1266">
        <v>4002</v>
      </c>
      <c r="M1266">
        <v>1360</v>
      </c>
      <c r="N1266" t="s">
        <v>16393</v>
      </c>
      <c r="O1266" s="4">
        <v>25082</v>
      </c>
      <c r="P1266" s="4">
        <v>86974</v>
      </c>
      <c r="Q1266" s="4">
        <v>112056</v>
      </c>
      <c r="R1266" s="4">
        <v>336168</v>
      </c>
      <c r="S1266" t="s">
        <v>17639</v>
      </c>
      <c r="T1266" s="6">
        <v>41548</v>
      </c>
      <c r="U1266" s="4">
        <v>163000</v>
      </c>
      <c r="V1266" t="s">
        <v>23740</v>
      </c>
      <c r="W1266" t="s">
        <v>24360</v>
      </c>
      <c r="X1266" t="s">
        <v>3</v>
      </c>
      <c r="AA1266" s="5" t="str">
        <f>HYPERLINK("https://www.zillow.com/homes/1041-PARK-CREST-DR-DARIEN-IL-605615420_rb/","check listing")</f>
        <v>check listing</v>
      </c>
      <c r="AB1266" s="5" t="str">
        <f>HYPERLINK("https://propertylookup.dupagecounty.gov/Datalets/Datalet.aspx?UseSearch=no&amp;mode=sales&amp;pin=0934113017","sales record")</f>
        <v>sales record</v>
      </c>
      <c r="AC1266" t="s">
        <v>3</v>
      </c>
      <c r="AD1266">
        <v>41.740194</v>
      </c>
      <c r="AE1266">
        <v>-87.969835</v>
      </c>
      <c r="AF1266" s="5" t="str">
        <f>HYPERLINK("https://www.google.com/maps/search/?api=1&amp;query=41.740194,-87.969835","map")</f>
        <v>map</v>
      </c>
    </row>
    <row r="1267" spans="1:32">
      <c r="A1267" t="s">
        <v>1317</v>
      </c>
      <c r="B1267" t="s">
        <v>8894</v>
      </c>
      <c r="C1267" t="s">
        <v>15201</v>
      </c>
      <c r="D1267" t="s">
        <v>16198</v>
      </c>
      <c r="E1267" t="s">
        <v>16218</v>
      </c>
      <c r="F1267" t="s">
        <v>16221</v>
      </c>
      <c r="G1267" t="s">
        <v>16241</v>
      </c>
      <c r="H1267" t="s">
        <v>16241</v>
      </c>
      <c r="I1267" t="s">
        <v>16317</v>
      </c>
      <c r="J1267" t="s">
        <v>16385</v>
      </c>
      <c r="K1267">
        <v>0.092</v>
      </c>
      <c r="L1267">
        <v>4002</v>
      </c>
      <c r="M1267">
        <v>935</v>
      </c>
      <c r="N1267" t="s">
        <v>16393</v>
      </c>
      <c r="O1267" s="4">
        <v>22277</v>
      </c>
      <c r="P1267" s="4">
        <v>75612</v>
      </c>
      <c r="Q1267" s="4">
        <v>97889</v>
      </c>
      <c r="R1267" s="4">
        <v>293667</v>
      </c>
      <c r="S1267" t="s">
        <v>17640</v>
      </c>
      <c r="T1267" s="6">
        <v>45533</v>
      </c>
      <c r="U1267" s="4">
        <v>295000</v>
      </c>
      <c r="V1267" t="s">
        <v>23739</v>
      </c>
      <c r="W1267" t="s">
        <v>24361</v>
      </c>
      <c r="X1267" t="s">
        <v>3</v>
      </c>
      <c r="AA1267" s="5" t="str">
        <f>HYPERLINK("https://www.zillow.com/homes/1018-PARK-CREST-DR-DARIEN-IL-60561_rb/","check listing")</f>
        <v>check listing</v>
      </c>
      <c r="AB1267" s="5" t="str">
        <f>HYPERLINK("https://propertylookup.dupagecounty.gov/Datalets/Datalet.aspx?UseSearch=no&amp;mode=sales&amp;pin=0934112028","sales record")</f>
        <v>sales record</v>
      </c>
      <c r="AC1267" t="s">
        <v>27873</v>
      </c>
      <c r="AD1267">
        <v>41.740585</v>
      </c>
      <c r="AE1267">
        <v>-87.968735</v>
      </c>
      <c r="AF1267" s="5" t="str">
        <f>HYPERLINK("https://www.google.com/maps/search/?api=1&amp;query=41.740585,-87.968735","map")</f>
        <v>map</v>
      </c>
    </row>
    <row r="1268" spans="1:32">
      <c r="A1268" t="s">
        <v>1318</v>
      </c>
      <c r="B1268" t="s">
        <v>8895</v>
      </c>
      <c r="C1268" t="s">
        <v>15201</v>
      </c>
      <c r="D1268" t="s">
        <v>16198</v>
      </c>
      <c r="E1268" t="s">
        <v>16218</v>
      </c>
      <c r="F1268" t="s">
        <v>16221</v>
      </c>
      <c r="G1268" t="s">
        <v>16241</v>
      </c>
      <c r="H1268" t="s">
        <v>16241</v>
      </c>
      <c r="I1268" t="s">
        <v>16317</v>
      </c>
      <c r="J1268" t="s">
        <v>16385</v>
      </c>
      <c r="K1268">
        <v>0.092</v>
      </c>
      <c r="L1268">
        <v>4001</v>
      </c>
      <c r="M1268">
        <v>892</v>
      </c>
      <c r="N1268" t="s">
        <v>16393</v>
      </c>
      <c r="O1268" s="4">
        <v>22277</v>
      </c>
      <c r="P1268" s="4">
        <v>81293</v>
      </c>
      <c r="Q1268" s="4">
        <v>103570</v>
      </c>
      <c r="R1268" s="4">
        <v>310710</v>
      </c>
      <c r="S1268" t="s">
        <v>17641</v>
      </c>
      <c r="T1268" s="6">
        <v>45748</v>
      </c>
      <c r="U1268" s="4">
        <v>365000</v>
      </c>
      <c r="V1268" t="s">
        <v>23739</v>
      </c>
      <c r="W1268" t="s">
        <v>24362</v>
      </c>
      <c r="X1268" t="s">
        <v>3</v>
      </c>
      <c r="AA1268" s="5" t="str">
        <f>HYPERLINK("https://www.zillow.com/homes/1014-PARK-CREST-DR-DARIEN-IL-60561_rb/","check listing")</f>
        <v>check listing</v>
      </c>
      <c r="AB1268" s="5" t="str">
        <f>HYPERLINK("https://propertylookup.dupagecounty.gov/Datalets/Datalet.aspx?UseSearch=no&amp;mode=sales&amp;pin=0934112029","sales record")</f>
        <v>sales record</v>
      </c>
      <c r="AC1268" t="s">
        <v>27873</v>
      </c>
      <c r="AD1268">
        <v>41.740518</v>
      </c>
      <c r="AE1268">
        <v>-87.968575</v>
      </c>
      <c r="AF1268" s="5" t="str">
        <f>HYPERLINK("https://www.google.com/maps/search/?api=1&amp;query=41.740518,-87.968575","map")</f>
        <v>map</v>
      </c>
    </row>
    <row r="1269" spans="1:32">
      <c r="A1269" t="s">
        <v>1319</v>
      </c>
      <c r="B1269" t="s">
        <v>8896</v>
      </c>
      <c r="C1269" t="s">
        <v>15201</v>
      </c>
      <c r="D1269" t="s">
        <v>16198</v>
      </c>
      <c r="E1269" t="s">
        <v>16218</v>
      </c>
      <c r="F1269" t="s">
        <v>16221</v>
      </c>
      <c r="G1269" t="s">
        <v>16241</v>
      </c>
      <c r="H1269" t="s">
        <v>16241</v>
      </c>
      <c r="I1269" t="s">
        <v>16317</v>
      </c>
      <c r="J1269" t="s">
        <v>16385</v>
      </c>
      <c r="K1269">
        <v>0.092</v>
      </c>
      <c r="L1269">
        <v>4001</v>
      </c>
      <c r="M1269">
        <v>1009</v>
      </c>
      <c r="N1269" t="s">
        <v>16393</v>
      </c>
      <c r="O1269" s="4">
        <v>22277</v>
      </c>
      <c r="P1269" s="4">
        <v>90003</v>
      </c>
      <c r="Q1269" s="4">
        <v>112280</v>
      </c>
      <c r="R1269" s="4">
        <v>336840</v>
      </c>
      <c r="S1269" t="s">
        <v>17642</v>
      </c>
      <c r="T1269" s="6">
        <v>38626</v>
      </c>
      <c r="U1269" s="4">
        <v>237000</v>
      </c>
      <c r="V1269" t="s">
        <v>23739</v>
      </c>
      <c r="W1269" t="s">
        <v>24363</v>
      </c>
      <c r="X1269" t="s">
        <v>3</v>
      </c>
      <c r="AA1269" s="5" t="str">
        <f>HYPERLINK("https://www.zillow.com/homes/1022-MEADOWLARK-LN-DARIEN-IL-60561_rb/","check listing")</f>
        <v>check listing</v>
      </c>
      <c r="AB1269" s="5" t="str">
        <f>HYPERLINK("https://propertylookup.dupagecounty.gov/Datalets/Datalet.aspx?UseSearch=no&amp;mode=sales&amp;pin=0934114012","sales record")</f>
        <v>sales record</v>
      </c>
      <c r="AC1269" t="s">
        <v>27873</v>
      </c>
      <c r="AD1269">
        <v>41.739708</v>
      </c>
      <c r="AE1269">
        <v>-87.96910099999999</v>
      </c>
      <c r="AF1269" s="5" t="str">
        <f>HYPERLINK("https://www.google.com/maps/search/?api=1&amp;query=41.739708,-87.969101","map")</f>
        <v>map</v>
      </c>
    </row>
    <row r="1270" spans="1:32">
      <c r="A1270" t="s">
        <v>1320</v>
      </c>
      <c r="B1270" t="s">
        <v>8897</v>
      </c>
      <c r="C1270" t="s">
        <v>15272</v>
      </c>
      <c r="D1270" t="s">
        <v>16198</v>
      </c>
      <c r="E1270" t="s">
        <v>16218</v>
      </c>
      <c r="F1270" t="s">
        <v>16221</v>
      </c>
      <c r="G1270" t="s">
        <v>16241</v>
      </c>
      <c r="H1270" t="s">
        <v>16241</v>
      </c>
      <c r="I1270" t="s">
        <v>16317</v>
      </c>
      <c r="J1270" t="s">
        <v>16385</v>
      </c>
      <c r="K1270">
        <v>0.092</v>
      </c>
      <c r="L1270">
        <v>4001</v>
      </c>
      <c r="M1270">
        <v>982</v>
      </c>
      <c r="N1270" t="s">
        <v>16393</v>
      </c>
      <c r="O1270" s="4">
        <v>22277</v>
      </c>
      <c r="P1270" s="4">
        <v>86974</v>
      </c>
      <c r="Q1270" s="4">
        <v>109251</v>
      </c>
      <c r="R1270" s="4">
        <v>327753</v>
      </c>
      <c r="S1270" t="s">
        <v>17643</v>
      </c>
      <c r="T1270" s="6">
        <v>44652</v>
      </c>
      <c r="U1270" s="4">
        <v>250000</v>
      </c>
      <c r="V1270" t="s">
        <v>23739</v>
      </c>
      <c r="W1270" t="s">
        <v>17643</v>
      </c>
      <c r="X1270" t="s">
        <v>3</v>
      </c>
      <c r="AA1270" s="5" t="str">
        <f>HYPERLINK("https://www.zillow.com/homes/1025-BOB-O-LINK-DR-DARIEN-IL-605615401_rb/","check listing")</f>
        <v>check listing</v>
      </c>
      <c r="AB1270" s="5" t="str">
        <f>HYPERLINK("https://propertylookup.dupagecounty.gov/Datalets/Datalet.aspx?UseSearch=no&amp;mode=sales&amp;pin=0934117006","sales record")</f>
        <v>sales record</v>
      </c>
      <c r="AC1270" t="s">
        <v>27873</v>
      </c>
      <c r="AD1270">
        <v>41.738898</v>
      </c>
      <c r="AE1270">
        <v>-87.96926000000001</v>
      </c>
      <c r="AF1270" s="5" t="str">
        <f>HYPERLINK("https://www.google.com/maps/search/?api=1&amp;query=41.738898,-87.96926","map")</f>
        <v>map</v>
      </c>
    </row>
    <row r="1271" spans="1:32">
      <c r="A1271" t="s">
        <v>1321</v>
      </c>
      <c r="B1271" t="s">
        <v>8898</v>
      </c>
      <c r="C1271" t="s">
        <v>15201</v>
      </c>
      <c r="D1271" t="s">
        <v>16198</v>
      </c>
      <c r="E1271" t="s">
        <v>16218</v>
      </c>
      <c r="F1271" t="s">
        <v>16221</v>
      </c>
      <c r="G1271" t="s">
        <v>16241</v>
      </c>
      <c r="H1271" t="s">
        <v>16241</v>
      </c>
      <c r="I1271" t="s">
        <v>16317</v>
      </c>
      <c r="J1271" t="s">
        <v>16385</v>
      </c>
      <c r="K1271">
        <v>0.092</v>
      </c>
      <c r="L1271">
        <v>4000</v>
      </c>
      <c r="M1271">
        <v>1380</v>
      </c>
      <c r="N1271" t="s">
        <v>16393</v>
      </c>
      <c r="O1271" s="4">
        <v>22277</v>
      </c>
      <c r="P1271" s="4">
        <v>75612</v>
      </c>
      <c r="Q1271" s="4">
        <v>97889</v>
      </c>
      <c r="R1271" s="4">
        <v>293667</v>
      </c>
      <c r="S1271" t="s">
        <v>17644</v>
      </c>
      <c r="T1271" s="6">
        <v>37196</v>
      </c>
      <c r="U1271" s="4">
        <v>176000</v>
      </c>
      <c r="V1271" t="s">
        <v>23739</v>
      </c>
      <c r="W1271" t="s">
        <v>24364</v>
      </c>
      <c r="X1271" t="s">
        <v>3</v>
      </c>
      <c r="AA1271" s="5" t="str">
        <f>HYPERLINK("https://www.zillow.com/homes/8201-PARK-CREST-DR-DARIEN-IL-60561_rb/","check listing")</f>
        <v>check listing</v>
      </c>
      <c r="AB1271" s="5" t="str">
        <f>HYPERLINK("https://propertylookup.dupagecounty.gov/Datalets/Datalet.aspx?UseSearch=no&amp;mode=sales&amp;pin=0934113011","sales record")</f>
        <v>sales record</v>
      </c>
      <c r="AC1271" t="s">
        <v>3</v>
      </c>
      <c r="AD1271">
        <v>41.739419</v>
      </c>
      <c r="AE1271">
        <v>-87.970264</v>
      </c>
      <c r="AF1271" s="5" t="str">
        <f>HYPERLINK("https://www.google.com/maps/search/?api=1&amp;query=41.739419,-87.970264","map")</f>
        <v>map</v>
      </c>
    </row>
    <row r="1272" spans="1:32">
      <c r="A1272" t="s">
        <v>1322</v>
      </c>
      <c r="B1272" t="s">
        <v>8899</v>
      </c>
      <c r="C1272" t="s">
        <v>15201</v>
      </c>
      <c r="D1272" t="s">
        <v>16198</v>
      </c>
      <c r="E1272" t="s">
        <v>16218</v>
      </c>
      <c r="F1272" t="s">
        <v>16221</v>
      </c>
      <c r="G1272" t="s">
        <v>16241</v>
      </c>
      <c r="H1272" t="s">
        <v>16241</v>
      </c>
      <c r="I1272" t="s">
        <v>16317</v>
      </c>
      <c r="J1272" t="s">
        <v>16385</v>
      </c>
      <c r="K1272">
        <v>0.092</v>
      </c>
      <c r="L1272">
        <v>4000</v>
      </c>
      <c r="M1272">
        <v>949</v>
      </c>
      <c r="N1272" t="s">
        <v>16393</v>
      </c>
      <c r="O1272" s="4">
        <v>22277</v>
      </c>
      <c r="P1272" s="4">
        <v>83793</v>
      </c>
      <c r="Q1272" s="4">
        <v>106070</v>
      </c>
      <c r="R1272" s="4">
        <v>318210</v>
      </c>
      <c r="S1272" t="s">
        <v>17645</v>
      </c>
      <c r="T1272" s="6">
        <v>33055</v>
      </c>
      <c r="U1272" s="4">
        <v>115500</v>
      </c>
      <c r="X1272" t="s">
        <v>3</v>
      </c>
      <c r="AA1272" s="5" t="str">
        <f>HYPERLINK("https://www.zillow.com/homes/1041-BOBOLINK-DR-DARIEN-IL-60561_rb/","check listing")</f>
        <v>check listing</v>
      </c>
      <c r="AB1272" s="5" t="str">
        <f>HYPERLINK("https://propertylookup.dupagecounty.gov/Datalets/Datalet.aspx?UseSearch=no&amp;mode=sales&amp;pin=0934116007","sales record")</f>
        <v>sales record</v>
      </c>
      <c r="AC1272" t="s">
        <v>3</v>
      </c>
      <c r="AD1272">
        <v>41.738882</v>
      </c>
      <c r="AE1272">
        <v>-87.970107</v>
      </c>
      <c r="AF1272" s="5" t="str">
        <f>HYPERLINK("https://www.google.com/maps/search/?api=1&amp;query=41.738882,-87.970107","map")</f>
        <v>map</v>
      </c>
    </row>
    <row r="1273" spans="1:32">
      <c r="A1273" t="s">
        <v>1323</v>
      </c>
      <c r="B1273" t="s">
        <v>8900</v>
      </c>
      <c r="C1273" t="s">
        <v>15201</v>
      </c>
      <c r="D1273" t="s">
        <v>16198</v>
      </c>
      <c r="E1273" t="s">
        <v>16218</v>
      </c>
      <c r="F1273" t="s">
        <v>16221</v>
      </c>
      <c r="G1273" t="s">
        <v>16241</v>
      </c>
      <c r="H1273" t="s">
        <v>16241</v>
      </c>
      <c r="I1273" t="s">
        <v>16317</v>
      </c>
      <c r="J1273" t="s">
        <v>16385</v>
      </c>
      <c r="K1273">
        <v>0.092</v>
      </c>
      <c r="L1273">
        <v>4000</v>
      </c>
      <c r="M1273">
        <v>978</v>
      </c>
      <c r="N1273" t="s">
        <v>16393</v>
      </c>
      <c r="O1273" s="4">
        <v>22277</v>
      </c>
      <c r="P1273" s="4">
        <v>69825</v>
      </c>
      <c r="Q1273" s="4">
        <v>92102</v>
      </c>
      <c r="R1273" s="4">
        <v>276306</v>
      </c>
      <c r="S1273" t="s">
        <v>17646</v>
      </c>
      <c r="T1273" s="6">
        <v>38718</v>
      </c>
      <c r="U1273" s="4">
        <v>245000</v>
      </c>
      <c r="V1273" t="s">
        <v>23739</v>
      </c>
      <c r="W1273" t="s">
        <v>24365</v>
      </c>
      <c r="X1273" t="s">
        <v>3</v>
      </c>
      <c r="AA1273" s="5" t="str">
        <f>HYPERLINK("https://www.zillow.com/homes/1045-BOBOLINK-LN-DARIEN-IL-60561_rb/","check listing")</f>
        <v>check listing</v>
      </c>
      <c r="AB1273" s="5" t="str">
        <f>HYPERLINK("https://propertylookup.dupagecounty.gov/Datalets/Datalet.aspx?UseSearch=no&amp;mode=sales&amp;pin=0934116006","sales record")</f>
        <v>sales record</v>
      </c>
      <c r="AC1273" t="s">
        <v>3</v>
      </c>
      <c r="AD1273">
        <v>41.738879</v>
      </c>
      <c r="AE1273">
        <v>-87.97029000000001</v>
      </c>
      <c r="AF1273" s="5" t="str">
        <f>HYPERLINK("https://www.google.com/maps/search/?api=1&amp;query=41.738879,-87.97029","map")</f>
        <v>map</v>
      </c>
    </row>
    <row r="1274" spans="1:32">
      <c r="A1274" t="s">
        <v>1324</v>
      </c>
      <c r="B1274" t="s">
        <v>8901</v>
      </c>
      <c r="C1274" t="s">
        <v>15201</v>
      </c>
      <c r="D1274" t="s">
        <v>16198</v>
      </c>
      <c r="E1274" t="s">
        <v>16218</v>
      </c>
      <c r="F1274" t="s">
        <v>16221</v>
      </c>
      <c r="G1274" t="s">
        <v>16241</v>
      </c>
      <c r="H1274" t="s">
        <v>16241</v>
      </c>
      <c r="I1274" t="s">
        <v>16317</v>
      </c>
      <c r="J1274" t="s">
        <v>16385</v>
      </c>
      <c r="K1274">
        <v>0.092</v>
      </c>
      <c r="L1274">
        <v>4000</v>
      </c>
      <c r="M1274">
        <v>1041</v>
      </c>
      <c r="N1274" t="s">
        <v>16393</v>
      </c>
      <c r="O1274" s="4">
        <v>22277</v>
      </c>
      <c r="P1274" s="4">
        <v>69825</v>
      </c>
      <c r="Q1274" s="4">
        <v>92102</v>
      </c>
      <c r="R1274" s="4">
        <v>276306</v>
      </c>
      <c r="S1274" t="s">
        <v>17647</v>
      </c>
      <c r="T1274" s="6">
        <v>42705</v>
      </c>
      <c r="U1274" s="4">
        <v>203000</v>
      </c>
      <c r="V1274" t="s">
        <v>23739</v>
      </c>
      <c r="W1274" t="s">
        <v>24366</v>
      </c>
      <c r="X1274" t="s">
        <v>3</v>
      </c>
      <c r="AA1274" s="5" t="str">
        <f>HYPERLINK("https://www.zillow.com/homes/1017-BOBOLINK-LN-DARIEN-IL-60561_rb/","check listing")</f>
        <v>check listing</v>
      </c>
      <c r="AB1274" s="5" t="str">
        <f>HYPERLINK("https://propertylookup.dupagecounty.gov/Datalets/Datalet.aspx?UseSearch=no&amp;mode=sales&amp;pin=0934117008","sales record")</f>
        <v>sales record</v>
      </c>
      <c r="AC1274" t="s">
        <v>27873</v>
      </c>
      <c r="AD1274">
        <v>41.738904</v>
      </c>
      <c r="AE1274">
        <v>-87.96889400000001</v>
      </c>
      <c r="AF1274" s="5" t="str">
        <f>HYPERLINK("https://www.google.com/maps/search/?api=1&amp;query=41.738904,-87.968894","map")</f>
        <v>map</v>
      </c>
    </row>
    <row r="1275" spans="1:32">
      <c r="A1275" t="s">
        <v>1325</v>
      </c>
      <c r="B1275" t="s">
        <v>8902</v>
      </c>
      <c r="C1275" t="s">
        <v>15201</v>
      </c>
      <c r="D1275" t="s">
        <v>16198</v>
      </c>
      <c r="E1275" t="s">
        <v>16218</v>
      </c>
      <c r="F1275" t="s">
        <v>16221</v>
      </c>
      <c r="G1275" t="s">
        <v>16241</v>
      </c>
      <c r="H1275" t="s">
        <v>16241</v>
      </c>
      <c r="I1275" t="s">
        <v>16317</v>
      </c>
      <c r="J1275" t="s">
        <v>16385</v>
      </c>
      <c r="K1275">
        <v>0.092</v>
      </c>
      <c r="L1275">
        <v>4000</v>
      </c>
      <c r="M1275">
        <v>1018</v>
      </c>
      <c r="N1275" t="s">
        <v>16393</v>
      </c>
      <c r="O1275" s="4">
        <v>22277</v>
      </c>
      <c r="P1275" s="4">
        <v>90542</v>
      </c>
      <c r="Q1275" s="4">
        <v>112819</v>
      </c>
      <c r="R1275" s="4">
        <v>338457</v>
      </c>
      <c r="S1275" t="s">
        <v>17648</v>
      </c>
      <c r="X1275" t="s">
        <v>3</v>
      </c>
      <c r="AA1275" s="5" t="str">
        <f>HYPERLINK("https://www.zillow.com/homes/1021-BOBOLINK-LN-DARIEN-IL-60561_rb/","check listing")</f>
        <v>check listing</v>
      </c>
      <c r="AB1275" s="5" t="str">
        <f>HYPERLINK("https://propertylookup.dupagecounty.gov/Datalets/Datalet.aspx?UseSearch=no&amp;mode=sales&amp;pin=0934117007","sales record")</f>
        <v>sales record</v>
      </c>
      <c r="AC1275" t="s">
        <v>27873</v>
      </c>
      <c r="AD1275">
        <v>41.738901</v>
      </c>
      <c r="AE1275">
        <v>-87.969077</v>
      </c>
      <c r="AF1275" s="5" t="str">
        <f>HYPERLINK("https://www.google.com/maps/search/?api=1&amp;query=41.738901,-87.969077","map")</f>
        <v>map</v>
      </c>
    </row>
    <row r="1276" spans="1:32">
      <c r="A1276" t="s">
        <v>1326</v>
      </c>
      <c r="B1276" t="s">
        <v>8903</v>
      </c>
      <c r="C1276" t="s">
        <v>15271</v>
      </c>
      <c r="D1276" t="s">
        <v>16198</v>
      </c>
      <c r="E1276" t="s">
        <v>16218</v>
      </c>
      <c r="F1276" t="s">
        <v>16221</v>
      </c>
      <c r="G1276" t="s">
        <v>16241</v>
      </c>
      <c r="H1276" t="s">
        <v>16241</v>
      </c>
      <c r="I1276" t="s">
        <v>16317</v>
      </c>
      <c r="J1276" t="s">
        <v>16385</v>
      </c>
      <c r="K1276">
        <v>0.092</v>
      </c>
      <c r="L1276">
        <v>4000</v>
      </c>
      <c r="M1276">
        <v>1079</v>
      </c>
      <c r="N1276" t="s">
        <v>16393</v>
      </c>
      <c r="O1276" s="4">
        <v>22277</v>
      </c>
      <c r="P1276" s="4">
        <v>86974</v>
      </c>
      <c r="Q1276" s="4">
        <v>109251</v>
      </c>
      <c r="R1276" s="4">
        <v>327753</v>
      </c>
      <c r="S1276" t="s">
        <v>17649</v>
      </c>
      <c r="T1276" s="6">
        <v>38078</v>
      </c>
      <c r="U1276" s="4">
        <v>212000</v>
      </c>
      <c r="V1276" t="s">
        <v>23740</v>
      </c>
      <c r="W1276" t="s">
        <v>24367</v>
      </c>
      <c r="X1276" t="s">
        <v>3</v>
      </c>
      <c r="AA1276" s="5" t="str">
        <f>HYPERLINK("https://www.zillow.com/homes/1017-PARK-CREST-DR-DARIEN-IL-605615420_rb/","check listing")</f>
        <v>check listing</v>
      </c>
      <c r="AB1276" s="5" t="str">
        <f>HYPERLINK("https://propertylookup.dupagecounty.gov/Datalets/Datalet.aspx?UseSearch=no&amp;mode=sales&amp;pin=0934113023","sales record")</f>
        <v>sales record</v>
      </c>
      <c r="AC1276" t="s">
        <v>3</v>
      </c>
      <c r="AD1276">
        <v>41.740293</v>
      </c>
      <c r="AE1276">
        <v>-87.968842</v>
      </c>
      <c r="AF1276" s="5" t="str">
        <f>HYPERLINK("https://www.google.com/maps/search/?api=1&amp;query=41.740293,-87.968842","map")</f>
        <v>map</v>
      </c>
    </row>
    <row r="1277" spans="1:32">
      <c r="A1277" t="s">
        <v>1327</v>
      </c>
      <c r="B1277" t="s">
        <v>8904</v>
      </c>
      <c r="C1277" t="s">
        <v>15201</v>
      </c>
      <c r="D1277" t="s">
        <v>16198</v>
      </c>
      <c r="E1277" t="s">
        <v>16218</v>
      </c>
      <c r="F1277" t="s">
        <v>16221</v>
      </c>
      <c r="G1277" t="s">
        <v>16241</v>
      </c>
      <c r="H1277" t="s">
        <v>16241</v>
      </c>
      <c r="I1277" t="s">
        <v>16317</v>
      </c>
      <c r="J1277" t="s">
        <v>16385</v>
      </c>
      <c r="K1277">
        <v>0.092</v>
      </c>
      <c r="L1277">
        <v>4000</v>
      </c>
      <c r="M1277">
        <v>1148</v>
      </c>
      <c r="N1277" t="s">
        <v>16393</v>
      </c>
      <c r="O1277" s="4">
        <v>22277</v>
      </c>
      <c r="P1277" s="4">
        <v>83793</v>
      </c>
      <c r="Q1277" s="4">
        <v>106070</v>
      </c>
      <c r="R1277" s="4">
        <v>318210</v>
      </c>
      <c r="S1277" t="s">
        <v>17650</v>
      </c>
      <c r="T1277" s="6">
        <v>44878</v>
      </c>
      <c r="U1277" s="4">
        <v>305000</v>
      </c>
      <c r="V1277" t="s">
        <v>23739</v>
      </c>
      <c r="W1277" t="s">
        <v>24368</v>
      </c>
      <c r="X1277" t="s">
        <v>3</v>
      </c>
      <c r="AA1277" s="5" t="str">
        <f>HYPERLINK("https://www.zillow.com/homes/8206-HINSWOOD-DR-DARIEN-IL-60561_rb/","check listing")</f>
        <v>check listing</v>
      </c>
      <c r="AB1277" s="5" t="str">
        <f>HYPERLINK("https://propertylookup.dupagecounty.gov/Datalets/Datalet.aspx?UseSearch=no&amp;mode=sales&amp;pin=0934113026","sales record")</f>
        <v>sales record</v>
      </c>
      <c r="AC1277" t="s">
        <v>3</v>
      </c>
      <c r="AD1277">
        <v>41.739288</v>
      </c>
      <c r="AE1277">
        <v>-87.969966</v>
      </c>
      <c r="AF1277" s="5" t="str">
        <f>HYPERLINK("https://www.google.com/maps/search/?api=1&amp;query=41.739288,-87.969966","map")</f>
        <v>map</v>
      </c>
    </row>
    <row r="1278" spans="1:32">
      <c r="A1278" t="s">
        <v>1328</v>
      </c>
      <c r="B1278" t="s">
        <v>8905</v>
      </c>
      <c r="C1278" t="s">
        <v>15201</v>
      </c>
      <c r="D1278" t="s">
        <v>16198</v>
      </c>
      <c r="E1278" t="s">
        <v>16218</v>
      </c>
      <c r="F1278" t="s">
        <v>16221</v>
      </c>
      <c r="G1278" t="s">
        <v>16241</v>
      </c>
      <c r="H1278" t="s">
        <v>16241</v>
      </c>
      <c r="I1278" t="s">
        <v>16317</v>
      </c>
      <c r="J1278" t="s">
        <v>16385</v>
      </c>
      <c r="K1278">
        <v>0.092</v>
      </c>
      <c r="L1278">
        <v>4000</v>
      </c>
      <c r="M1278">
        <v>1094</v>
      </c>
      <c r="N1278" t="s">
        <v>16393</v>
      </c>
      <c r="O1278" s="4">
        <v>22277</v>
      </c>
      <c r="P1278" s="4">
        <v>90542</v>
      </c>
      <c r="Q1278" s="4">
        <v>112819</v>
      </c>
      <c r="R1278" s="4">
        <v>338457</v>
      </c>
      <c r="S1278" t="s">
        <v>17651</v>
      </c>
      <c r="T1278" s="6">
        <v>42887</v>
      </c>
      <c r="U1278" s="4">
        <v>230000</v>
      </c>
      <c r="V1278" t="s">
        <v>23739</v>
      </c>
      <c r="W1278" t="s">
        <v>24369</v>
      </c>
      <c r="X1278" t="s">
        <v>3</v>
      </c>
      <c r="AA1278" s="5" t="str">
        <f>HYPERLINK("https://www.zillow.com/homes/1029-BOBOLINK-LN-DARIEN-IL-60561_rb/","check listing")</f>
        <v>check listing</v>
      </c>
      <c r="AB1278" s="5" t="str">
        <f>HYPERLINK("https://propertylookup.dupagecounty.gov/Datalets/Datalet.aspx?UseSearch=no&amp;mode=sales&amp;pin=0934117005","sales record")</f>
        <v>sales record</v>
      </c>
      <c r="AC1278" t="s">
        <v>27873</v>
      </c>
      <c r="AD1278">
        <v>41.738894</v>
      </c>
      <c r="AE1278">
        <v>-87.969443</v>
      </c>
      <c r="AF1278" s="5" t="str">
        <f>HYPERLINK("https://www.google.com/maps/search/?api=1&amp;query=41.738894,-87.969443","map")</f>
        <v>map</v>
      </c>
    </row>
    <row r="1279" spans="1:32">
      <c r="A1279" t="s">
        <v>1329</v>
      </c>
      <c r="B1279" t="s">
        <v>8906</v>
      </c>
      <c r="C1279" t="s">
        <v>15273</v>
      </c>
      <c r="D1279" t="s">
        <v>16198</v>
      </c>
      <c r="E1279" t="s">
        <v>16218</v>
      </c>
      <c r="F1279" t="s">
        <v>16221</v>
      </c>
      <c r="G1279" t="s">
        <v>16241</v>
      </c>
      <c r="H1279" t="s">
        <v>16241</v>
      </c>
      <c r="I1279" t="s">
        <v>16317</v>
      </c>
      <c r="J1279" t="s">
        <v>16385</v>
      </c>
      <c r="K1279">
        <v>0.092</v>
      </c>
      <c r="L1279">
        <v>3999</v>
      </c>
      <c r="M1279">
        <v>985</v>
      </c>
      <c r="N1279" t="s">
        <v>16393</v>
      </c>
      <c r="O1279" s="4">
        <v>22277</v>
      </c>
      <c r="P1279" s="4">
        <v>83793</v>
      </c>
      <c r="Q1279" s="4">
        <v>106070</v>
      </c>
      <c r="R1279" s="4">
        <v>318210</v>
      </c>
      <c r="S1279" t="s">
        <v>17652</v>
      </c>
      <c r="T1279" s="6">
        <v>44105</v>
      </c>
      <c r="U1279" s="4">
        <v>248000</v>
      </c>
      <c r="V1279" t="s">
        <v>23739</v>
      </c>
      <c r="W1279" t="s">
        <v>17652</v>
      </c>
      <c r="X1279" t="s">
        <v>3</v>
      </c>
      <c r="AA1279" s="5" t="str">
        <f>HYPERLINK("https://www.zillow.com/homes/1049-BOB-O-LINK-DR-DARIEN-IL-605615428_rb/","check listing")</f>
        <v>check listing</v>
      </c>
      <c r="AB1279" s="5" t="str">
        <f>HYPERLINK("https://propertylookup.dupagecounty.gov/Datalets/Datalet.aspx?UseSearch=no&amp;mode=sales&amp;pin=0934116005","sales record")</f>
        <v>sales record</v>
      </c>
      <c r="AC1279" t="s">
        <v>3</v>
      </c>
      <c r="AD1279">
        <v>41.738876</v>
      </c>
      <c r="AE1279">
        <v>-87.970474</v>
      </c>
      <c r="AF1279" s="5" t="str">
        <f>HYPERLINK("https://www.google.com/maps/search/?api=1&amp;query=41.738876,-87.970474","map")</f>
        <v>map</v>
      </c>
    </row>
    <row r="1280" spans="1:32">
      <c r="A1280" t="s">
        <v>1330</v>
      </c>
      <c r="B1280" t="s">
        <v>8907</v>
      </c>
      <c r="C1280" t="s">
        <v>15201</v>
      </c>
      <c r="D1280" t="s">
        <v>16198</v>
      </c>
      <c r="E1280" t="s">
        <v>16218</v>
      </c>
      <c r="F1280" t="s">
        <v>16221</v>
      </c>
      <c r="G1280" t="s">
        <v>16241</v>
      </c>
      <c r="H1280" t="s">
        <v>16241</v>
      </c>
      <c r="I1280" t="s">
        <v>16317</v>
      </c>
      <c r="J1280" t="s">
        <v>16385</v>
      </c>
      <c r="K1280">
        <v>0.092</v>
      </c>
      <c r="L1280">
        <v>3999</v>
      </c>
      <c r="M1280">
        <v>1013</v>
      </c>
      <c r="N1280" t="s">
        <v>16393</v>
      </c>
      <c r="O1280" s="4">
        <v>22277</v>
      </c>
      <c r="P1280" s="4">
        <v>69825</v>
      </c>
      <c r="Q1280" s="4">
        <v>92102</v>
      </c>
      <c r="R1280" s="4">
        <v>276306</v>
      </c>
      <c r="S1280" t="s">
        <v>17653</v>
      </c>
      <c r="T1280" s="6">
        <v>31686</v>
      </c>
      <c r="U1280" s="4">
        <v>81500</v>
      </c>
      <c r="X1280" t="s">
        <v>3</v>
      </c>
      <c r="AA1280" s="5" t="str">
        <f>HYPERLINK("https://www.zillow.com/homes/8205-PARK-CREST-DR-DARIEN-IL-60561_rb/","check listing")</f>
        <v>check listing</v>
      </c>
      <c r="AB1280" s="5" t="str">
        <f>HYPERLINK("https://propertylookup.dupagecounty.gov/Datalets/Datalet.aspx?UseSearch=no&amp;mode=sales&amp;pin=0934113010","sales record")</f>
        <v>sales record</v>
      </c>
      <c r="AC1280" t="s">
        <v>3</v>
      </c>
      <c r="AD1280">
        <v>41.739282</v>
      </c>
      <c r="AE1280">
        <v>-87.970259</v>
      </c>
      <c r="AF1280" s="5" t="str">
        <f>HYPERLINK("https://www.google.com/maps/search/?api=1&amp;query=41.739282,-87.970259","map")</f>
        <v>map</v>
      </c>
    </row>
    <row r="1281" spans="1:32">
      <c r="A1281" t="s">
        <v>1331</v>
      </c>
      <c r="B1281" t="s">
        <v>8908</v>
      </c>
      <c r="C1281" t="s">
        <v>15201</v>
      </c>
      <c r="D1281" t="s">
        <v>16198</v>
      </c>
      <c r="E1281" t="s">
        <v>16218</v>
      </c>
      <c r="F1281" t="s">
        <v>16221</v>
      </c>
      <c r="G1281" t="s">
        <v>16241</v>
      </c>
      <c r="H1281" t="s">
        <v>16241</v>
      </c>
      <c r="I1281" t="s">
        <v>16317</v>
      </c>
      <c r="J1281" t="s">
        <v>16385</v>
      </c>
      <c r="K1281">
        <v>0.092</v>
      </c>
      <c r="L1281">
        <v>3999</v>
      </c>
      <c r="M1281">
        <v>1079</v>
      </c>
      <c r="N1281" t="s">
        <v>16393</v>
      </c>
      <c r="O1281" s="4">
        <v>22277</v>
      </c>
      <c r="P1281" s="4">
        <v>69825</v>
      </c>
      <c r="Q1281" s="4">
        <v>92102</v>
      </c>
      <c r="R1281" s="4">
        <v>276306</v>
      </c>
      <c r="S1281" t="s">
        <v>17654</v>
      </c>
      <c r="T1281" s="6">
        <v>38139</v>
      </c>
      <c r="U1281" s="4">
        <v>205000</v>
      </c>
      <c r="V1281" t="s">
        <v>23739</v>
      </c>
      <c r="W1281" t="s">
        <v>17654</v>
      </c>
      <c r="X1281" t="s">
        <v>3</v>
      </c>
      <c r="AA1281" s="5" t="str">
        <f>HYPERLINK("https://www.zillow.com/homes/8136-PARK-CREST-DR-DARIEN-IL-60561_rb/","check listing")</f>
        <v>check listing</v>
      </c>
      <c r="AB1281" s="5" t="str">
        <f>HYPERLINK("https://propertylookup.dupagecounty.gov/Datalets/Datalet.aspx?UseSearch=no&amp;mode=sales&amp;pin=0934112011","sales record")</f>
        <v>sales record</v>
      </c>
      <c r="AC1281" t="s">
        <v>3</v>
      </c>
      <c r="AD1281">
        <v>41.739564</v>
      </c>
      <c r="AE1281">
        <v>-87.97066</v>
      </c>
      <c r="AF1281" s="5" t="str">
        <f>HYPERLINK("https://www.google.com/maps/search/?api=1&amp;query=41.739564,-87.97066","map")</f>
        <v>map</v>
      </c>
    </row>
    <row r="1282" spans="1:32">
      <c r="A1282" t="s">
        <v>1332</v>
      </c>
      <c r="B1282" t="s">
        <v>8909</v>
      </c>
      <c r="C1282" t="s">
        <v>15201</v>
      </c>
      <c r="D1282" t="s">
        <v>16198</v>
      </c>
      <c r="E1282" t="s">
        <v>16218</v>
      </c>
      <c r="F1282" t="s">
        <v>16221</v>
      </c>
      <c r="G1282" t="s">
        <v>16241</v>
      </c>
      <c r="H1282" t="s">
        <v>16241</v>
      </c>
      <c r="I1282" t="s">
        <v>16317</v>
      </c>
      <c r="J1282" t="s">
        <v>16385</v>
      </c>
      <c r="K1282">
        <v>0.092</v>
      </c>
      <c r="L1282">
        <v>3999</v>
      </c>
      <c r="M1282">
        <v>1137</v>
      </c>
      <c r="N1282" t="s">
        <v>16393</v>
      </c>
      <c r="O1282" s="4">
        <v>22277</v>
      </c>
      <c r="P1282" s="4">
        <v>90542</v>
      </c>
      <c r="Q1282" s="4">
        <v>112819</v>
      </c>
      <c r="R1282" s="4">
        <v>338457</v>
      </c>
      <c r="S1282" t="s">
        <v>17655</v>
      </c>
      <c r="T1282" s="6">
        <v>38869</v>
      </c>
      <c r="U1282" s="4">
        <v>267000</v>
      </c>
      <c r="V1282" t="s">
        <v>23740</v>
      </c>
      <c r="W1282" t="s">
        <v>17655</v>
      </c>
      <c r="X1282" t="s">
        <v>3</v>
      </c>
      <c r="AA1282" s="5" t="str">
        <f>HYPERLINK("https://www.zillow.com/homes/1042-PARK-CREST-DR-DARIEN-IL-60561_rb/","check listing")</f>
        <v>check listing</v>
      </c>
      <c r="AB1282" s="5" t="str">
        <f>HYPERLINK("https://propertylookup.dupagecounty.gov/Datalets/Datalet.aspx?UseSearch=no&amp;mode=sales&amp;pin=0934112030","sales record")</f>
        <v>sales record</v>
      </c>
      <c r="AC1282" t="s">
        <v>27873</v>
      </c>
      <c r="AD1282">
        <v>41.740462</v>
      </c>
      <c r="AE1282">
        <v>-87.97002999999999</v>
      </c>
      <c r="AF1282" s="5" t="str">
        <f>HYPERLINK("https://www.google.com/maps/search/?api=1&amp;query=41.740462,-87.97003","map")</f>
        <v>map</v>
      </c>
    </row>
    <row r="1283" spans="1:32">
      <c r="A1283" t="s">
        <v>1333</v>
      </c>
      <c r="B1283" t="s">
        <v>8910</v>
      </c>
      <c r="C1283" t="s">
        <v>15201</v>
      </c>
      <c r="D1283" t="s">
        <v>16198</v>
      </c>
      <c r="E1283" t="s">
        <v>16218</v>
      </c>
      <c r="F1283" t="s">
        <v>16221</v>
      </c>
      <c r="G1283" t="s">
        <v>16241</v>
      </c>
      <c r="H1283" t="s">
        <v>16241</v>
      </c>
      <c r="I1283" t="s">
        <v>16317</v>
      </c>
      <c r="J1283" t="s">
        <v>16385</v>
      </c>
      <c r="K1283">
        <v>0.092</v>
      </c>
      <c r="L1283">
        <v>3999</v>
      </c>
      <c r="M1283">
        <v>870</v>
      </c>
      <c r="N1283" t="s">
        <v>16393</v>
      </c>
      <c r="O1283" s="4">
        <v>22277</v>
      </c>
      <c r="P1283" s="4">
        <v>83793</v>
      </c>
      <c r="Q1283" s="4">
        <v>106070</v>
      </c>
      <c r="R1283" s="4">
        <v>318210</v>
      </c>
      <c r="S1283" t="s">
        <v>17656</v>
      </c>
      <c r="T1283" s="6">
        <v>32387</v>
      </c>
      <c r="U1283" s="4">
        <v>101000</v>
      </c>
      <c r="X1283" t="s">
        <v>3</v>
      </c>
      <c r="AA1283" s="5" t="str">
        <f>HYPERLINK("https://www.zillow.com/homes/8132-PARK-CREST-DR-DARIEN-IL-60561_rb/","check listing")</f>
        <v>check listing</v>
      </c>
      <c r="AB1283" s="5" t="str">
        <f>HYPERLINK("https://propertylookup.dupagecounty.gov/Datalets/Datalet.aspx?UseSearch=no&amp;mode=sales&amp;pin=0934112012","sales record")</f>
        <v>sales record</v>
      </c>
      <c r="AC1283" t="s">
        <v>27873</v>
      </c>
      <c r="AD1283">
        <v>41.739682</v>
      </c>
      <c r="AE1283">
        <v>-87.970664</v>
      </c>
      <c r="AF1283" s="5" t="str">
        <f>HYPERLINK("https://www.google.com/maps/search/?api=1&amp;query=41.739682,-87.970664","map")</f>
        <v>map</v>
      </c>
    </row>
    <row r="1284" spans="1:32">
      <c r="A1284" t="s">
        <v>1334</v>
      </c>
      <c r="B1284" t="s">
        <v>8911</v>
      </c>
      <c r="C1284" t="s">
        <v>15201</v>
      </c>
      <c r="D1284" t="s">
        <v>16198</v>
      </c>
      <c r="E1284" t="s">
        <v>16218</v>
      </c>
      <c r="F1284" t="s">
        <v>16221</v>
      </c>
      <c r="G1284" t="s">
        <v>16241</v>
      </c>
      <c r="H1284" t="s">
        <v>16241</v>
      </c>
      <c r="I1284" t="s">
        <v>16317</v>
      </c>
      <c r="J1284" t="s">
        <v>16385</v>
      </c>
      <c r="K1284">
        <v>0.092</v>
      </c>
      <c r="L1284">
        <v>3999</v>
      </c>
      <c r="M1284">
        <v>1163</v>
      </c>
      <c r="N1284" t="s">
        <v>16393</v>
      </c>
      <c r="O1284" s="4">
        <v>22277</v>
      </c>
      <c r="P1284" s="4">
        <v>90003</v>
      </c>
      <c r="Q1284" s="4">
        <v>112280</v>
      </c>
      <c r="R1284" s="4">
        <v>336840</v>
      </c>
      <c r="S1284" t="s">
        <v>17657</v>
      </c>
      <c r="T1284" s="6">
        <v>44317</v>
      </c>
      <c r="U1284" s="4">
        <v>330000</v>
      </c>
      <c r="V1284" t="s">
        <v>23739</v>
      </c>
      <c r="W1284" t="s">
        <v>17657</v>
      </c>
      <c r="X1284" t="s">
        <v>3</v>
      </c>
      <c r="AA1284" s="5" t="str">
        <f>HYPERLINK("https://www.zillow.com/homes/1026-MEADOWLARK-LN-DARIEN-IL-60561_rb/","check listing")</f>
        <v>check listing</v>
      </c>
      <c r="AB1284" s="5" t="str">
        <f>HYPERLINK("https://propertylookup.dupagecounty.gov/Datalets/Datalet.aspx?UseSearch=no&amp;mode=sales&amp;pin=0934114011","sales record")</f>
        <v>sales record</v>
      </c>
      <c r="AC1284" t="s">
        <v>27873</v>
      </c>
      <c r="AD1284">
        <v>41.739704</v>
      </c>
      <c r="AE1284">
        <v>-87.969284</v>
      </c>
      <c r="AF1284" s="5" t="str">
        <f>HYPERLINK("https://www.google.com/maps/search/?api=1&amp;query=41.739704,-87.969284","map")</f>
        <v>map</v>
      </c>
    </row>
    <row r="1285" spans="1:32">
      <c r="A1285" t="s">
        <v>1335</v>
      </c>
      <c r="B1285" t="s">
        <v>8912</v>
      </c>
      <c r="C1285" t="s">
        <v>15274</v>
      </c>
      <c r="D1285" t="s">
        <v>16198</v>
      </c>
      <c r="E1285" t="s">
        <v>16218</v>
      </c>
      <c r="F1285" t="s">
        <v>16221</v>
      </c>
      <c r="G1285" t="s">
        <v>16241</v>
      </c>
      <c r="H1285" t="s">
        <v>16241</v>
      </c>
      <c r="I1285" t="s">
        <v>16317</v>
      </c>
      <c r="J1285" t="s">
        <v>16385</v>
      </c>
      <c r="K1285">
        <v>0.092</v>
      </c>
      <c r="L1285">
        <v>3999</v>
      </c>
      <c r="M1285">
        <v>1298</v>
      </c>
      <c r="N1285" t="s">
        <v>16393</v>
      </c>
      <c r="O1285" s="4">
        <v>22277</v>
      </c>
      <c r="P1285" s="4">
        <v>86974</v>
      </c>
      <c r="Q1285" s="4">
        <v>109251</v>
      </c>
      <c r="R1285" s="4">
        <v>327753</v>
      </c>
      <c r="S1285" t="s">
        <v>17658</v>
      </c>
      <c r="T1285" s="6">
        <v>34182</v>
      </c>
      <c r="U1285" s="4">
        <v>122000</v>
      </c>
      <c r="X1285" t="s">
        <v>3</v>
      </c>
      <c r="AA1285" s="5" t="str">
        <f>HYPERLINK("https://www.zillow.com/homes/8206-PARK-CREST-DR-DARIEN-IL-605615425_rb/","check listing")</f>
        <v>check listing</v>
      </c>
      <c r="AB1285" s="5" t="str">
        <f>HYPERLINK("https://propertylookup.dupagecounty.gov/Datalets/Datalet.aspx?UseSearch=no&amp;mode=sales&amp;pin=0934112009","sales record")</f>
        <v>sales record</v>
      </c>
      <c r="AC1285" t="s">
        <v>27873</v>
      </c>
      <c r="AD1285">
        <v>41.73929</v>
      </c>
      <c r="AE1285">
        <v>-87.970652</v>
      </c>
      <c r="AF1285" s="5" t="str">
        <f>HYPERLINK("https://www.google.com/maps/search/?api=1&amp;query=41.73929,-87.970652","map")</f>
        <v>map</v>
      </c>
    </row>
    <row r="1286" spans="1:32">
      <c r="A1286" t="s">
        <v>1336</v>
      </c>
      <c r="B1286" t="s">
        <v>8913</v>
      </c>
      <c r="C1286" t="s">
        <v>15201</v>
      </c>
      <c r="D1286" t="s">
        <v>16198</v>
      </c>
      <c r="E1286" t="s">
        <v>16218</v>
      </c>
      <c r="F1286" t="s">
        <v>16221</v>
      </c>
      <c r="G1286" t="s">
        <v>16241</v>
      </c>
      <c r="H1286" t="s">
        <v>16241</v>
      </c>
      <c r="I1286" t="s">
        <v>16317</v>
      </c>
      <c r="J1286" t="s">
        <v>16385</v>
      </c>
      <c r="K1286">
        <v>0.092</v>
      </c>
      <c r="L1286">
        <v>3999</v>
      </c>
      <c r="M1286">
        <v>799</v>
      </c>
      <c r="N1286" t="s">
        <v>16393</v>
      </c>
      <c r="O1286" s="4">
        <v>22277</v>
      </c>
      <c r="P1286" s="4">
        <v>69825</v>
      </c>
      <c r="Q1286" s="4">
        <v>92102</v>
      </c>
      <c r="R1286" s="4">
        <v>276306</v>
      </c>
      <c r="S1286" t="s">
        <v>17659</v>
      </c>
      <c r="T1286" s="6">
        <v>32843</v>
      </c>
      <c r="U1286" s="4">
        <v>105000</v>
      </c>
      <c r="X1286" t="s">
        <v>3</v>
      </c>
      <c r="AA1286" s="5" t="str">
        <f>HYPERLINK("https://www.zillow.com/homes/1009-HINSWOOD-DR-DARIEN-IL-60561_rb/","check listing")</f>
        <v>check listing</v>
      </c>
      <c r="AB1286" s="5" t="str">
        <f>HYPERLINK("https://propertylookup.dupagecounty.gov/Datalets/Datalet.aspx?UseSearch=no&amp;mode=sales&amp;pin=0934114008","sales record")</f>
        <v>sales record</v>
      </c>
      <c r="AC1286" t="s">
        <v>27873</v>
      </c>
      <c r="AD1286">
        <v>41.739955</v>
      </c>
      <c r="AE1286">
        <v>-87.968487</v>
      </c>
      <c r="AF1286" s="5" t="str">
        <f>HYPERLINK("https://www.google.com/maps/search/?api=1&amp;query=41.739955,-87.968487","map")</f>
        <v>map</v>
      </c>
    </row>
    <row r="1287" spans="1:32">
      <c r="A1287" t="s">
        <v>1337</v>
      </c>
      <c r="B1287" t="s">
        <v>8914</v>
      </c>
      <c r="C1287" t="s">
        <v>15275</v>
      </c>
      <c r="D1287" t="s">
        <v>16198</v>
      </c>
      <c r="E1287" t="s">
        <v>16218</v>
      </c>
      <c r="F1287" t="s">
        <v>16221</v>
      </c>
      <c r="G1287" t="s">
        <v>16241</v>
      </c>
      <c r="H1287" t="s">
        <v>16241</v>
      </c>
      <c r="I1287" t="s">
        <v>16317</v>
      </c>
      <c r="J1287" t="s">
        <v>16385</v>
      </c>
      <c r="K1287">
        <v>0.092</v>
      </c>
      <c r="L1287">
        <v>3999</v>
      </c>
      <c r="M1287">
        <v>1182</v>
      </c>
      <c r="N1287" t="s">
        <v>16393</v>
      </c>
      <c r="O1287" s="4">
        <v>22277</v>
      </c>
      <c r="P1287" s="4">
        <v>90542</v>
      </c>
      <c r="Q1287" s="4">
        <v>112819</v>
      </c>
      <c r="R1287" s="4">
        <v>338457</v>
      </c>
      <c r="S1287" t="s">
        <v>17660</v>
      </c>
      <c r="T1287" s="6">
        <v>45880</v>
      </c>
      <c r="U1287" s="4">
        <v>392000</v>
      </c>
      <c r="V1287" t="s">
        <v>16232</v>
      </c>
      <c r="W1287" t="s">
        <v>24370</v>
      </c>
      <c r="X1287" t="s">
        <v>3</v>
      </c>
      <c r="AA1287" s="5" t="str">
        <f>HYPERLINK("https://www.zillow.com/homes/1032-HINSWOOD-DR-DARIEN-IL-605615410_rb/","check listing")</f>
        <v>check listing</v>
      </c>
      <c r="AB1287" s="5" t="str">
        <f>HYPERLINK("https://propertylookup.dupagecounty.gov/Datalets/Datalet.aspx?UseSearch=no&amp;mode=sales&amp;pin=0934113031","sales record")</f>
        <v>sales record</v>
      </c>
      <c r="AC1287" t="s">
        <v>3</v>
      </c>
      <c r="AD1287">
        <v>41.740038</v>
      </c>
      <c r="AE1287">
        <v>-87.969629</v>
      </c>
      <c r="AF1287" s="5" t="str">
        <f>HYPERLINK("https://www.google.com/maps/search/?api=1&amp;query=41.740038,-87.969629","map")</f>
        <v>map</v>
      </c>
    </row>
    <row r="1288" spans="1:32">
      <c r="A1288" t="s">
        <v>1338</v>
      </c>
      <c r="B1288" t="s">
        <v>8915</v>
      </c>
      <c r="C1288" t="s">
        <v>15201</v>
      </c>
      <c r="D1288" t="s">
        <v>16198</v>
      </c>
      <c r="E1288" t="s">
        <v>16218</v>
      </c>
      <c r="F1288" t="s">
        <v>16221</v>
      </c>
      <c r="G1288" t="s">
        <v>16241</v>
      </c>
      <c r="H1288" t="s">
        <v>16241</v>
      </c>
      <c r="I1288" t="s">
        <v>16317</v>
      </c>
      <c r="J1288" t="s">
        <v>16385</v>
      </c>
      <c r="K1288">
        <v>0.092</v>
      </c>
      <c r="L1288">
        <v>3999</v>
      </c>
      <c r="M1288">
        <v>1209</v>
      </c>
      <c r="N1288" t="s">
        <v>16393</v>
      </c>
      <c r="O1288" s="4">
        <v>22277</v>
      </c>
      <c r="P1288" s="4">
        <v>90003</v>
      </c>
      <c r="Q1288" s="4">
        <v>112280</v>
      </c>
      <c r="R1288" s="4">
        <v>336840</v>
      </c>
      <c r="S1288" t="s">
        <v>17661</v>
      </c>
      <c r="T1288" s="6">
        <v>37834</v>
      </c>
      <c r="U1288" s="4">
        <v>214000</v>
      </c>
      <c r="V1288" t="s">
        <v>23739</v>
      </c>
      <c r="W1288" t="s">
        <v>24371</v>
      </c>
      <c r="X1288" t="s">
        <v>3</v>
      </c>
      <c r="AA1288" s="5" t="str">
        <f>HYPERLINK("https://www.zillow.com/homes/1018-MEADOWLARK-LN-DARIEN-IL-60561_rb/","check listing")</f>
        <v>check listing</v>
      </c>
      <c r="AB1288" s="5" t="str">
        <f>HYPERLINK("https://propertylookup.dupagecounty.gov/Datalets/Datalet.aspx?UseSearch=no&amp;mode=sales&amp;pin=0934114013","sales record")</f>
        <v>sales record</v>
      </c>
      <c r="AC1288" t="s">
        <v>27873</v>
      </c>
      <c r="AD1288">
        <v>41.739711</v>
      </c>
      <c r="AE1288">
        <v>-87.968918</v>
      </c>
      <c r="AF1288" s="5" t="str">
        <f>HYPERLINK("https://www.google.com/maps/search/?api=1&amp;query=41.739711,-87.968918","map")</f>
        <v>map</v>
      </c>
    </row>
    <row r="1289" spans="1:32">
      <c r="A1289" t="s">
        <v>1339</v>
      </c>
      <c r="B1289" t="s">
        <v>8916</v>
      </c>
      <c r="C1289" t="s">
        <v>15201</v>
      </c>
      <c r="D1289" t="s">
        <v>16198</v>
      </c>
      <c r="E1289" t="s">
        <v>16218</v>
      </c>
      <c r="F1289" t="s">
        <v>16221</v>
      </c>
      <c r="G1289" t="s">
        <v>16241</v>
      </c>
      <c r="H1289" t="s">
        <v>16241</v>
      </c>
      <c r="I1289" t="s">
        <v>16317</v>
      </c>
      <c r="J1289" t="s">
        <v>16385</v>
      </c>
      <c r="K1289">
        <v>0.092</v>
      </c>
      <c r="L1289">
        <v>3998</v>
      </c>
      <c r="M1289">
        <v>1132</v>
      </c>
      <c r="N1289" t="s">
        <v>16393</v>
      </c>
      <c r="O1289" s="4">
        <v>22277</v>
      </c>
      <c r="P1289" s="4">
        <v>69825</v>
      </c>
      <c r="Q1289" s="4">
        <v>92102</v>
      </c>
      <c r="R1289" s="4">
        <v>276306</v>
      </c>
      <c r="S1289" t="s">
        <v>17662</v>
      </c>
      <c r="T1289" s="6">
        <v>33635</v>
      </c>
      <c r="U1289" s="4">
        <v>111000</v>
      </c>
      <c r="X1289" t="s">
        <v>3</v>
      </c>
      <c r="AA1289" s="5" t="str">
        <f>HYPERLINK("https://www.zillow.com/homes/8142-HINSWOOD-DR-DARIEN-IL-60561_rb/","check listing")</f>
        <v>check listing</v>
      </c>
      <c r="AB1289" s="5" t="str">
        <f>HYPERLINK("https://propertylookup.dupagecounty.gov/Datalets/Datalet.aspx?UseSearch=no&amp;mode=sales&amp;pin=0934113027","sales record")</f>
        <v>sales record</v>
      </c>
      <c r="AC1289" t="s">
        <v>3</v>
      </c>
      <c r="AD1289">
        <v>41.739425</v>
      </c>
      <c r="AE1289">
        <v>-87.969971</v>
      </c>
      <c r="AF1289" s="5" t="str">
        <f>HYPERLINK("https://www.google.com/maps/search/?api=1&amp;query=41.739425,-87.969971","map")</f>
        <v>map</v>
      </c>
    </row>
    <row r="1290" spans="1:32">
      <c r="A1290" t="s">
        <v>1340</v>
      </c>
      <c r="B1290" t="s">
        <v>8917</v>
      </c>
      <c r="C1290" t="s">
        <v>15274</v>
      </c>
      <c r="D1290" t="s">
        <v>16198</v>
      </c>
      <c r="E1290" t="s">
        <v>16218</v>
      </c>
      <c r="F1290" t="s">
        <v>16221</v>
      </c>
      <c r="G1290" t="s">
        <v>16241</v>
      </c>
      <c r="H1290" t="s">
        <v>16241</v>
      </c>
      <c r="I1290" t="s">
        <v>16317</v>
      </c>
      <c r="J1290" t="s">
        <v>16385</v>
      </c>
      <c r="K1290">
        <v>0.092</v>
      </c>
      <c r="L1290">
        <v>3997</v>
      </c>
      <c r="M1290">
        <v>1231</v>
      </c>
      <c r="N1290" t="s">
        <v>16393</v>
      </c>
      <c r="O1290" s="4">
        <v>22277</v>
      </c>
      <c r="P1290" s="4">
        <v>86974</v>
      </c>
      <c r="Q1290" s="4">
        <v>109251</v>
      </c>
      <c r="R1290" s="4">
        <v>327753</v>
      </c>
      <c r="S1290" t="s">
        <v>17663</v>
      </c>
      <c r="T1290" s="6">
        <v>35977</v>
      </c>
      <c r="U1290" s="4">
        <v>140000</v>
      </c>
      <c r="X1290" t="s">
        <v>3</v>
      </c>
      <c r="AA1290" s="5" t="str">
        <f>HYPERLINK("https://www.zillow.com/homes/8202-PARK-CREST-DR-DARIEN-IL-605615425_rb/","check listing")</f>
        <v>check listing</v>
      </c>
      <c r="AB1290" s="5" t="str">
        <f>HYPERLINK("https://propertylookup.dupagecounty.gov/Datalets/Datalet.aspx?UseSearch=no&amp;mode=sales&amp;pin=0934112010","sales record")</f>
        <v>sales record</v>
      </c>
      <c r="AC1290" t="s">
        <v>27873</v>
      </c>
      <c r="AD1290">
        <v>41.739427</v>
      </c>
      <c r="AE1290">
        <v>-87.97065600000001</v>
      </c>
      <c r="AF1290" s="5" t="str">
        <f>HYPERLINK("https://www.google.com/maps/search/?api=1&amp;query=41.739427,-87.970656","map")</f>
        <v>map</v>
      </c>
    </row>
    <row r="1291" spans="1:32">
      <c r="A1291" t="s">
        <v>1341</v>
      </c>
      <c r="B1291" t="s">
        <v>8918</v>
      </c>
      <c r="C1291" t="s">
        <v>15201</v>
      </c>
      <c r="D1291" t="s">
        <v>16198</v>
      </c>
      <c r="E1291" t="s">
        <v>16218</v>
      </c>
      <c r="F1291" t="s">
        <v>16221</v>
      </c>
      <c r="G1291" t="s">
        <v>16241</v>
      </c>
      <c r="H1291" t="s">
        <v>16241</v>
      </c>
      <c r="I1291" t="s">
        <v>16317</v>
      </c>
      <c r="J1291" t="s">
        <v>16385</v>
      </c>
      <c r="K1291">
        <v>0.092</v>
      </c>
      <c r="L1291">
        <v>3992</v>
      </c>
      <c r="M1291">
        <v>953</v>
      </c>
      <c r="N1291" t="s">
        <v>16393</v>
      </c>
      <c r="O1291" s="4">
        <v>22277</v>
      </c>
      <c r="P1291" s="4">
        <v>86974</v>
      </c>
      <c r="Q1291" s="4">
        <v>109251</v>
      </c>
      <c r="R1291" s="4">
        <v>327753</v>
      </c>
      <c r="S1291" t="s">
        <v>17664</v>
      </c>
      <c r="T1291" s="6">
        <v>36617</v>
      </c>
      <c r="U1291" s="4">
        <v>150000</v>
      </c>
      <c r="V1291" t="s">
        <v>23739</v>
      </c>
      <c r="W1291" t="s">
        <v>24372</v>
      </c>
      <c r="X1291" t="s">
        <v>3</v>
      </c>
      <c r="AA1291" s="5" t="str">
        <f>HYPERLINK("https://www.zillow.com/homes/8112-PARK-CREST-DR-DARIEN-IL-60561_rb/","check listing")</f>
        <v>check listing</v>
      </c>
      <c r="AB1291" s="5" t="str">
        <f>HYPERLINK("https://propertylookup.dupagecounty.gov/Datalets/Datalet.aspx?UseSearch=no&amp;mode=sales&amp;pin=0934112017","sales record")</f>
        <v>sales record</v>
      </c>
      <c r="AC1291" t="s">
        <v>27873</v>
      </c>
      <c r="AD1291">
        <v>41.74033</v>
      </c>
      <c r="AE1291">
        <v>-87.970206</v>
      </c>
      <c r="AF1291" s="5" t="str">
        <f>HYPERLINK("https://www.google.com/maps/search/?api=1&amp;query=41.74033,-87.970206","map")</f>
        <v>map</v>
      </c>
    </row>
    <row r="1292" spans="1:32">
      <c r="A1292" t="s">
        <v>1342</v>
      </c>
      <c r="B1292" t="s">
        <v>8919</v>
      </c>
      <c r="C1292" t="s">
        <v>15201</v>
      </c>
      <c r="D1292" t="s">
        <v>16198</v>
      </c>
      <c r="E1292" t="s">
        <v>16218</v>
      </c>
      <c r="F1292" t="s">
        <v>16221</v>
      </c>
      <c r="G1292" t="s">
        <v>16241</v>
      </c>
      <c r="H1292" t="s">
        <v>16241</v>
      </c>
      <c r="I1292" t="s">
        <v>16317</v>
      </c>
      <c r="J1292" t="s">
        <v>16385</v>
      </c>
      <c r="K1292">
        <v>0.089</v>
      </c>
      <c r="L1292">
        <v>3863</v>
      </c>
      <c r="M1292">
        <v>1205</v>
      </c>
      <c r="N1292" t="s">
        <v>16393</v>
      </c>
      <c r="O1292" s="4">
        <v>18521</v>
      </c>
      <c r="P1292" s="4">
        <v>86974</v>
      </c>
      <c r="Q1292" s="4">
        <v>105495</v>
      </c>
      <c r="R1292" s="4">
        <v>316485</v>
      </c>
      <c r="S1292" t="s">
        <v>17665</v>
      </c>
      <c r="T1292" s="6">
        <v>32234</v>
      </c>
      <c r="U1292" s="4">
        <v>103000</v>
      </c>
      <c r="X1292" t="s">
        <v>3</v>
      </c>
      <c r="AA1292" s="5" t="str">
        <f>HYPERLINK("https://www.zillow.com/homes/1005-HINSWOOD-DR-DARIEN-IL-60561_rb/","check listing")</f>
        <v>check listing</v>
      </c>
      <c r="AB1292" s="5" t="str">
        <f>HYPERLINK("https://propertylookup.dupagecounty.gov/Datalets/Datalet.aspx?UseSearch=no&amp;mode=sales&amp;pin=0934114009","sales record")</f>
        <v>sales record</v>
      </c>
      <c r="AC1292" t="s">
        <v>3</v>
      </c>
      <c r="AD1292">
        <v>41.739951</v>
      </c>
      <c r="AE1292">
        <v>-87.968304</v>
      </c>
      <c r="AF1292" s="5" t="str">
        <f>HYPERLINK("https://www.google.com/maps/search/?api=1&amp;query=41.739951,-87.968304","map")</f>
        <v>map</v>
      </c>
    </row>
    <row r="1293" spans="1:32">
      <c r="A1293" t="s">
        <v>1343</v>
      </c>
      <c r="B1293" t="s">
        <v>8920</v>
      </c>
      <c r="C1293" t="s">
        <v>15268</v>
      </c>
      <c r="D1293" t="s">
        <v>16198</v>
      </c>
      <c r="E1293" t="s">
        <v>16218</v>
      </c>
      <c r="F1293" t="s">
        <v>16221</v>
      </c>
      <c r="G1293" t="s">
        <v>16241</v>
      </c>
      <c r="H1293" t="s">
        <v>16241</v>
      </c>
      <c r="I1293" t="s">
        <v>16317</v>
      </c>
      <c r="J1293" t="s">
        <v>16385</v>
      </c>
      <c r="K1293">
        <v>0.07099999999999999</v>
      </c>
      <c r="L1293">
        <v>3108</v>
      </c>
      <c r="N1293" t="s">
        <v>16393</v>
      </c>
      <c r="O1293" s="4">
        <v>33533</v>
      </c>
      <c r="P1293" s="4">
        <v>146787</v>
      </c>
      <c r="Q1293" s="4">
        <v>180320</v>
      </c>
      <c r="R1293" s="4">
        <v>540960</v>
      </c>
      <c r="S1293" t="s">
        <v>17666</v>
      </c>
      <c r="T1293" s="6">
        <v>43313</v>
      </c>
      <c r="U1293" s="4">
        <v>419000</v>
      </c>
      <c r="V1293" t="s">
        <v>23739</v>
      </c>
      <c r="W1293" t="s">
        <v>17666</v>
      </c>
      <c r="X1293" t="s">
        <v>3</v>
      </c>
      <c r="AA1293" s="5" t="str">
        <f>HYPERLINK("https://www.zillow.com/homes/1214-DARIEN-PATH-WAY-DARIEN-IL-605613100_rb/","check listing")</f>
        <v>check listing</v>
      </c>
      <c r="AB1293" s="5" t="str">
        <f>HYPERLINK("https://propertylookup.dupagecounty.gov/Datalets/Datalet.aspx?UseSearch=no&amp;mode=sales&amp;pin=0933213048","sales record")</f>
        <v>sales record</v>
      </c>
      <c r="AC1293" t="s">
        <v>3</v>
      </c>
      <c r="AD1293">
        <v>41.738236</v>
      </c>
      <c r="AE1293">
        <v>-87.97453299999999</v>
      </c>
      <c r="AF1293" s="5" t="str">
        <f>HYPERLINK("https://www.google.com/maps/search/?api=1&amp;query=41.738236,-87.974533","map")</f>
        <v>map</v>
      </c>
    </row>
    <row r="1294" spans="1:32">
      <c r="A1294" t="s">
        <v>1344</v>
      </c>
      <c r="B1294" t="s">
        <v>8921</v>
      </c>
      <c r="C1294" t="s">
        <v>15268</v>
      </c>
      <c r="D1294" t="s">
        <v>16198</v>
      </c>
      <c r="E1294" t="s">
        <v>16218</v>
      </c>
      <c r="F1294" t="s">
        <v>16221</v>
      </c>
      <c r="G1294" t="s">
        <v>16241</v>
      </c>
      <c r="H1294" t="s">
        <v>16241</v>
      </c>
      <c r="I1294" t="s">
        <v>16317</v>
      </c>
      <c r="J1294" t="s">
        <v>16385</v>
      </c>
      <c r="K1294">
        <v>0.07000000000000001</v>
      </c>
      <c r="L1294">
        <v>3049</v>
      </c>
      <c r="N1294" t="s">
        <v>16393</v>
      </c>
      <c r="O1294" s="4">
        <v>35999</v>
      </c>
      <c r="P1294" s="4">
        <v>141154</v>
      </c>
      <c r="Q1294" s="4">
        <v>177153</v>
      </c>
      <c r="R1294" s="4">
        <v>531459</v>
      </c>
      <c r="S1294" t="s">
        <v>17667</v>
      </c>
      <c r="T1294" s="6">
        <v>43132</v>
      </c>
      <c r="U1294" s="4">
        <v>434000</v>
      </c>
      <c r="V1294" t="s">
        <v>23739</v>
      </c>
      <c r="W1294" t="s">
        <v>17667</v>
      </c>
      <c r="X1294" t="s">
        <v>3</v>
      </c>
      <c r="AA1294" s="5" t="str">
        <f>HYPERLINK("https://www.zillow.com/homes/1218-DARIEN-PATH-WAY-DARIEN-IL-605613100_rb/","check listing")</f>
        <v>check listing</v>
      </c>
      <c r="AB1294" s="5" t="str">
        <f>HYPERLINK("https://propertylookup.dupagecounty.gov/Datalets/Datalet.aspx?UseSearch=no&amp;mode=sales&amp;pin=0933213047","sales record")</f>
        <v>sales record</v>
      </c>
      <c r="AC1294" t="s">
        <v>3</v>
      </c>
      <c r="AD1294">
        <v>41.738241</v>
      </c>
      <c r="AE1294">
        <v>-87.974695</v>
      </c>
      <c r="AF1294" s="5" t="str">
        <f>HYPERLINK("https://www.google.com/maps/search/?api=1&amp;query=41.738241,-87.974695","map")</f>
        <v>map</v>
      </c>
    </row>
    <row r="1295" spans="1:32">
      <c r="A1295" t="s">
        <v>1345</v>
      </c>
      <c r="B1295" t="s">
        <v>8436</v>
      </c>
      <c r="C1295" t="s">
        <v>15201</v>
      </c>
      <c r="D1295" t="s">
        <v>16198</v>
      </c>
      <c r="E1295" t="s">
        <v>16217</v>
      </c>
      <c r="F1295" t="s">
        <v>16221</v>
      </c>
      <c r="G1295" t="s">
        <v>16241</v>
      </c>
      <c r="H1295" t="s">
        <v>16241</v>
      </c>
      <c r="I1295" t="s">
        <v>16317</v>
      </c>
      <c r="J1295" t="s">
        <v>16385</v>
      </c>
      <c r="K1295">
        <v>1</v>
      </c>
      <c r="L1295">
        <v>43569</v>
      </c>
      <c r="N1295" t="s">
        <v>16392</v>
      </c>
      <c r="O1295" s="4">
        <v>209300</v>
      </c>
      <c r="P1295" s="4">
        <v>0</v>
      </c>
      <c r="Q1295" s="4">
        <v>209300</v>
      </c>
      <c r="R1295" s="4">
        <v>627900</v>
      </c>
      <c r="S1295" t="s">
        <v>17183</v>
      </c>
      <c r="X1295" t="s">
        <v>3</v>
      </c>
      <c r="AA1295" s="5" t="str">
        <f>HYPERLINK("https://www.zillow.com/homes/7706-S-CASS-AVE-DARIEN-IL-60561_rb/","check listing")</f>
        <v>check listing</v>
      </c>
      <c r="AB1295" s="5" t="str">
        <f>HYPERLINK("https://propertylookup.dupagecounty.gov/Datalets/Datalet.aspx?UseSearch=no&amp;mode=sales&amp;pin=0928410014","sales record")</f>
        <v>sales record</v>
      </c>
      <c r="AC1295" t="s">
        <v>27872</v>
      </c>
      <c r="AD1295">
        <v>41.748567</v>
      </c>
      <c r="AE1295">
        <v>-87.974369</v>
      </c>
      <c r="AF1295" s="5" t="str">
        <f>HYPERLINK("https://www.google.com/maps/search/?api=1&amp;query=41.748567,-87.974369","map")</f>
        <v>map</v>
      </c>
    </row>
    <row r="1296" spans="1:32">
      <c r="A1296" t="s">
        <v>1346</v>
      </c>
      <c r="B1296" t="s">
        <v>8922</v>
      </c>
      <c r="C1296" t="s">
        <v>15201</v>
      </c>
      <c r="D1296" t="s">
        <v>16198</v>
      </c>
      <c r="E1296" t="s">
        <v>16217</v>
      </c>
      <c r="F1296" t="s">
        <v>16221</v>
      </c>
      <c r="G1296" t="s">
        <v>16241</v>
      </c>
      <c r="H1296" t="s">
        <v>16241</v>
      </c>
      <c r="I1296" t="s">
        <v>16317</v>
      </c>
      <c r="J1296" t="s">
        <v>16385</v>
      </c>
      <c r="K1296">
        <v>0.5590000000000001</v>
      </c>
      <c r="L1296">
        <v>24340</v>
      </c>
      <c r="N1296" t="s">
        <v>16393</v>
      </c>
      <c r="O1296" s="4">
        <v>42842</v>
      </c>
      <c r="P1296" s="4">
        <v>0</v>
      </c>
      <c r="Q1296" s="4">
        <v>42842</v>
      </c>
      <c r="R1296" s="4">
        <v>128526</v>
      </c>
      <c r="S1296" t="s">
        <v>17668</v>
      </c>
      <c r="T1296" s="6">
        <v>45808</v>
      </c>
      <c r="U1296" s="4">
        <v>495000</v>
      </c>
      <c r="V1296" t="s">
        <v>23739</v>
      </c>
      <c r="W1296" t="s">
        <v>24373</v>
      </c>
      <c r="X1296" t="s">
        <v>3</v>
      </c>
      <c r="AA1296" s="5" t="str">
        <f>HYPERLINK("https://www.zillow.com/homes/1220-PLAINFIELD-RD-DARIEN-IL-60561_rb/","check listing")</f>
        <v>check listing</v>
      </c>
      <c r="AB1296" s="5" t="str">
        <f>HYPERLINK("https://propertylookup.dupagecounty.gov/Datalets/Datalet.aspx?UseSearch=no&amp;mode=sales&amp;pin=0928410043","sales record")</f>
        <v>sales record</v>
      </c>
      <c r="AC1296" t="s">
        <v>3</v>
      </c>
      <c r="AD1296">
        <v>41.748399</v>
      </c>
      <c r="AE1296">
        <v>-87.975509</v>
      </c>
      <c r="AF1296" s="5" t="str">
        <f>HYPERLINK("https://www.google.com/maps/search/?api=1&amp;query=41.748399,-87.975509","map")</f>
        <v>map</v>
      </c>
    </row>
    <row r="1297" spans="1:32">
      <c r="A1297" t="s">
        <v>1347</v>
      </c>
      <c r="B1297" t="s">
        <v>8923</v>
      </c>
      <c r="C1297" t="s">
        <v>15276</v>
      </c>
      <c r="D1297" t="s">
        <v>16198</v>
      </c>
      <c r="E1297" t="s">
        <v>16217</v>
      </c>
      <c r="F1297" t="s">
        <v>16221</v>
      </c>
      <c r="G1297" t="s">
        <v>16241</v>
      </c>
      <c r="H1297" t="s">
        <v>16241</v>
      </c>
      <c r="I1297" t="s">
        <v>16317</v>
      </c>
      <c r="J1297" t="s">
        <v>16385</v>
      </c>
      <c r="K1297">
        <v>0.391</v>
      </c>
      <c r="L1297">
        <v>17025</v>
      </c>
      <c r="N1297" t="s">
        <v>16393</v>
      </c>
      <c r="O1297" s="4">
        <v>6679</v>
      </c>
      <c r="P1297" s="4">
        <v>0</v>
      </c>
      <c r="Q1297" s="4">
        <v>6679</v>
      </c>
      <c r="R1297" s="4">
        <v>20037</v>
      </c>
      <c r="S1297" t="s">
        <v>17669</v>
      </c>
      <c r="X1297" t="s">
        <v>3</v>
      </c>
      <c r="AA1297" s="5" t="str">
        <f>HYPERLINK("https://www.zillow.com/homes/1601-GOLFVIEW-DR-DARIEN-IL-605614903_rb/","check listing")</f>
        <v>check listing</v>
      </c>
      <c r="AB1297" s="5" t="str">
        <f>HYPERLINK("https://propertylookup.dupagecounty.gov/Datalets/Datalet.aspx?UseSearch=no&amp;mode=sales&amp;pin=0933112045","sales record")</f>
        <v>sales record</v>
      </c>
      <c r="AC1297" t="s">
        <v>27872</v>
      </c>
      <c r="AD1297">
        <v>41.737398</v>
      </c>
      <c r="AE1297">
        <v>-87.98334199999999</v>
      </c>
      <c r="AF1297" s="5" t="str">
        <f>HYPERLINK("https://www.google.com/maps/search/?api=1&amp;query=41.737398,-87.983342","map")</f>
        <v>map</v>
      </c>
    </row>
    <row r="1298" spans="1:32">
      <c r="A1298" t="s">
        <v>1348</v>
      </c>
      <c r="B1298" t="s">
        <v>8924</v>
      </c>
      <c r="C1298" t="s">
        <v>15201</v>
      </c>
      <c r="D1298" t="s">
        <v>16198</v>
      </c>
      <c r="E1298" t="s">
        <v>16217</v>
      </c>
      <c r="F1298" t="s">
        <v>16221</v>
      </c>
      <c r="G1298" t="s">
        <v>16241</v>
      </c>
      <c r="H1298" t="s">
        <v>16241</v>
      </c>
      <c r="I1298" t="s">
        <v>16317</v>
      </c>
      <c r="J1298" t="s">
        <v>16385</v>
      </c>
      <c r="K1298">
        <v>0.339</v>
      </c>
      <c r="L1298">
        <v>14780</v>
      </c>
      <c r="N1298" t="s">
        <v>16393</v>
      </c>
      <c r="O1298" s="4">
        <v>2536</v>
      </c>
      <c r="P1298" s="4">
        <v>0</v>
      </c>
      <c r="Q1298" s="4">
        <v>2536</v>
      </c>
      <c r="R1298" s="4">
        <v>7608</v>
      </c>
      <c r="S1298" t="s">
        <v>17670</v>
      </c>
      <c r="X1298" t="s">
        <v>3</v>
      </c>
      <c r="AA1298" s="5" t="str">
        <f>HYPERLINK("https://www.zillow.com/homes/8105-OAKLEY-DR-DARIEN-IL-60561_rb/","check listing")</f>
        <v>check listing</v>
      </c>
      <c r="AB1298" s="5" t="str">
        <f>HYPERLINK("https://propertylookup.dupagecounty.gov/Datalets/Datalet.aspx?UseSearch=no&amp;mode=sales&amp;pin=0933112054","sales record")</f>
        <v>sales record</v>
      </c>
      <c r="AC1298" t="s">
        <v>27872</v>
      </c>
      <c r="AD1298">
        <v>41.738303</v>
      </c>
      <c r="AE1298">
        <v>-87.98348900000001</v>
      </c>
      <c r="AF1298" s="5" t="str">
        <f>HYPERLINK("https://www.google.com/maps/search/?api=1&amp;query=41.738303,-87.983489","map")</f>
        <v>map</v>
      </c>
    </row>
    <row r="1299" spans="1:32">
      <c r="A1299" t="s">
        <v>1349</v>
      </c>
      <c r="B1299" t="s">
        <v>8925</v>
      </c>
      <c r="C1299" t="s">
        <v>15277</v>
      </c>
      <c r="D1299" t="s">
        <v>16199</v>
      </c>
      <c r="E1299" t="s">
        <v>16218</v>
      </c>
      <c r="F1299" t="s">
        <v>16222</v>
      </c>
      <c r="G1299" t="s">
        <v>16242</v>
      </c>
      <c r="H1299" t="s">
        <v>16242</v>
      </c>
      <c r="I1299" t="s">
        <v>16318</v>
      </c>
      <c r="J1299" t="s">
        <v>16387</v>
      </c>
      <c r="K1299">
        <v>0.43</v>
      </c>
      <c r="L1299">
        <v>18751</v>
      </c>
      <c r="M1299">
        <v>1985</v>
      </c>
      <c r="N1299" t="s">
        <v>16393</v>
      </c>
      <c r="O1299" s="4">
        <v>96375</v>
      </c>
      <c r="P1299" s="4">
        <v>158325</v>
      </c>
      <c r="Q1299" s="4">
        <v>254700</v>
      </c>
      <c r="R1299" s="4">
        <v>764100</v>
      </c>
      <c r="S1299" t="s">
        <v>17671</v>
      </c>
      <c r="X1299" t="s">
        <v>3</v>
      </c>
      <c r="AA1299" s="5" t="str">
        <f>HYPERLINK("https://www.zillow.com/homes/1144-GILBERT-AVE-DOWNERS-GROVE-IL-60515_rb/","check listing")</f>
        <v>check listing</v>
      </c>
      <c r="AB1299" s="5" t="str">
        <f>HYPERLINK("https://propertylookup.dupagecounty.gov/Datalets/Datalet.aspx?UseSearch=no&amp;mode=sales&amp;pin=0907220029","sales record")</f>
        <v>sales record</v>
      </c>
      <c r="AC1299" t="s">
        <v>3</v>
      </c>
      <c r="AD1299">
        <v>41.795018</v>
      </c>
      <c r="AE1299">
        <v>-88.01436</v>
      </c>
      <c r="AF1299" s="5" t="str">
        <f>HYPERLINK("https://www.google.com/maps/search/?api=1&amp;query=41.795018,-88.01436","map")</f>
        <v>map</v>
      </c>
    </row>
    <row r="1300" spans="1:32">
      <c r="A1300" t="s">
        <v>1350</v>
      </c>
      <c r="B1300" t="s">
        <v>8926</v>
      </c>
      <c r="C1300" t="s">
        <v>15277</v>
      </c>
      <c r="D1300" t="s">
        <v>16199</v>
      </c>
      <c r="E1300" t="s">
        <v>16218</v>
      </c>
      <c r="F1300" t="s">
        <v>16222</v>
      </c>
      <c r="G1300" t="s">
        <v>16243</v>
      </c>
      <c r="H1300" t="s">
        <v>16243</v>
      </c>
      <c r="I1300" t="s">
        <v>16319</v>
      </c>
      <c r="J1300" t="s">
        <v>16387</v>
      </c>
      <c r="K1300">
        <v>0.368</v>
      </c>
      <c r="L1300">
        <v>16051</v>
      </c>
      <c r="M1300">
        <v>1794</v>
      </c>
      <c r="N1300" t="s">
        <v>16393</v>
      </c>
      <c r="O1300" s="4">
        <v>137468</v>
      </c>
      <c r="P1300" s="4">
        <v>81399</v>
      </c>
      <c r="Q1300" s="4">
        <v>218867</v>
      </c>
      <c r="R1300" s="4">
        <v>656601</v>
      </c>
      <c r="S1300" t="s">
        <v>17672</v>
      </c>
      <c r="X1300" t="s">
        <v>3</v>
      </c>
      <c r="AA1300" s="5" t="str">
        <f>HYPERLINK("https://www.zillow.com/homes/1219-WARREN-AVE-DOWNERS-GROVE-IL-60515_rb/","check listing")</f>
        <v>check listing</v>
      </c>
      <c r="AB1300" s="5" t="str">
        <f>HYPERLINK("https://propertylookup.dupagecounty.gov/Datalets/Datalet.aspx?UseSearch=no&amp;mode=sales&amp;pin=0907218013","sales record")</f>
        <v>sales record</v>
      </c>
      <c r="AC1300" t="s">
        <v>3</v>
      </c>
      <c r="AD1300">
        <v>41.795974</v>
      </c>
      <c r="AE1300">
        <v>-88.01500900000001</v>
      </c>
      <c r="AF1300" s="5" t="str">
        <f>HYPERLINK("https://www.google.com/maps/search/?api=1&amp;query=41.795974,-88.015009","map")</f>
        <v>map</v>
      </c>
    </row>
    <row r="1301" spans="1:32">
      <c r="A1301" t="s">
        <v>1351</v>
      </c>
      <c r="B1301" t="s">
        <v>8927</v>
      </c>
      <c r="C1301" t="s">
        <v>15278</v>
      </c>
      <c r="D1301" t="s">
        <v>16199</v>
      </c>
      <c r="E1301" t="s">
        <v>16218</v>
      </c>
      <c r="F1301" t="s">
        <v>16222</v>
      </c>
      <c r="G1301" t="s">
        <v>16244</v>
      </c>
      <c r="H1301" t="s">
        <v>16244</v>
      </c>
      <c r="I1301" t="s">
        <v>16320</v>
      </c>
      <c r="J1301" t="s">
        <v>16387</v>
      </c>
      <c r="K1301">
        <v>0.368</v>
      </c>
      <c r="L1301">
        <v>16034</v>
      </c>
      <c r="M1301">
        <v>1484</v>
      </c>
      <c r="N1301" t="s">
        <v>16393</v>
      </c>
      <c r="O1301" s="4">
        <v>75213</v>
      </c>
      <c r="P1301" s="4">
        <v>72549</v>
      </c>
      <c r="Q1301" s="4">
        <v>147762</v>
      </c>
      <c r="R1301" s="4">
        <v>443286</v>
      </c>
      <c r="S1301" t="s">
        <v>17673</v>
      </c>
      <c r="T1301" s="6">
        <v>45577</v>
      </c>
      <c r="U1301" s="4">
        <v>389999</v>
      </c>
      <c r="V1301" t="s">
        <v>23739</v>
      </c>
      <c r="W1301" t="s">
        <v>24374</v>
      </c>
      <c r="X1301" t="s">
        <v>3</v>
      </c>
      <c r="AA1301" s="5" t="str">
        <f>HYPERLINK("https://www.zillow.com/homes/5109-GRAND-AVE-DOWNERS-GROVE-IL-605155120_rb/","check listing")</f>
        <v>check listing</v>
      </c>
      <c r="AB1301" s="5" t="str">
        <f>HYPERLINK("https://propertylookup.dupagecounty.gov/Datalets/Datalet.aspx?UseSearch=no&amp;mode=sales&amp;pin=0908411001","sales record")</f>
        <v>sales record</v>
      </c>
      <c r="AC1301" t="s">
        <v>3</v>
      </c>
      <c r="AD1301">
        <v>41.794934</v>
      </c>
      <c r="AE1301">
        <v>-87.996443</v>
      </c>
      <c r="AF1301" s="5" t="str">
        <f>HYPERLINK("https://www.google.com/maps/search/?api=1&amp;query=41.794934,-87.996443","map")</f>
        <v>map</v>
      </c>
    </row>
    <row r="1302" spans="1:32">
      <c r="A1302" t="s">
        <v>1352</v>
      </c>
      <c r="B1302" t="s">
        <v>8928</v>
      </c>
      <c r="C1302" t="s">
        <v>15277</v>
      </c>
      <c r="D1302" t="s">
        <v>16199</v>
      </c>
      <c r="E1302" t="s">
        <v>16218</v>
      </c>
      <c r="F1302" t="s">
        <v>16222</v>
      </c>
      <c r="G1302" t="s">
        <v>16244</v>
      </c>
      <c r="H1302" t="s">
        <v>16244</v>
      </c>
      <c r="I1302" t="s">
        <v>16320</v>
      </c>
      <c r="J1302" t="s">
        <v>16387</v>
      </c>
      <c r="K1302">
        <v>0.366</v>
      </c>
      <c r="L1302">
        <v>15939</v>
      </c>
      <c r="M1302">
        <v>2195</v>
      </c>
      <c r="N1302" t="s">
        <v>16393</v>
      </c>
      <c r="O1302" s="4">
        <v>87995</v>
      </c>
      <c r="P1302" s="4">
        <v>127327</v>
      </c>
      <c r="Q1302" s="4">
        <v>215322</v>
      </c>
      <c r="R1302" s="4">
        <v>645966</v>
      </c>
      <c r="S1302" t="s">
        <v>17674</v>
      </c>
      <c r="T1302" s="6">
        <v>34060</v>
      </c>
      <c r="U1302" s="4">
        <v>121000</v>
      </c>
      <c r="X1302" t="s">
        <v>3</v>
      </c>
      <c r="AA1302" s="5" t="str">
        <f>HYPERLINK("https://www.zillow.com/homes/5113-GRAND-AVE-DOWNERS-GROVE-IL-60515_rb/","check listing")</f>
        <v>check listing</v>
      </c>
      <c r="AB1302" s="5" t="str">
        <f>HYPERLINK("https://propertylookup.dupagecounty.gov/Datalets/Datalet.aspx?UseSearch=no&amp;mode=sales&amp;pin=0908411002","sales record")</f>
        <v>sales record</v>
      </c>
      <c r="AC1302" t="s">
        <v>3</v>
      </c>
      <c r="AD1302">
        <v>41.794788</v>
      </c>
      <c r="AE1302">
        <v>-87.996438</v>
      </c>
      <c r="AF1302" s="5" t="str">
        <f>HYPERLINK("https://www.google.com/maps/search/?api=1&amp;query=41.794788,-87.996438","map")</f>
        <v>map</v>
      </c>
    </row>
    <row r="1303" spans="1:32">
      <c r="A1303" t="s">
        <v>1353</v>
      </c>
      <c r="B1303" t="s">
        <v>8929</v>
      </c>
      <c r="C1303" t="s">
        <v>15277</v>
      </c>
      <c r="D1303" t="s">
        <v>16199</v>
      </c>
      <c r="E1303" t="s">
        <v>16218</v>
      </c>
      <c r="F1303" t="s">
        <v>16222</v>
      </c>
      <c r="G1303" t="s">
        <v>16244</v>
      </c>
      <c r="H1303" t="s">
        <v>16244</v>
      </c>
      <c r="I1303" t="s">
        <v>16320</v>
      </c>
      <c r="J1303" t="s">
        <v>16387</v>
      </c>
      <c r="K1303">
        <v>0.344</v>
      </c>
      <c r="L1303">
        <v>15003</v>
      </c>
      <c r="M1303">
        <v>2128</v>
      </c>
      <c r="N1303" t="s">
        <v>16393</v>
      </c>
      <c r="O1303" s="4">
        <v>135790</v>
      </c>
      <c r="P1303" s="4">
        <v>82573</v>
      </c>
      <c r="Q1303" s="4">
        <v>218363</v>
      </c>
      <c r="R1303" s="4">
        <v>655089</v>
      </c>
      <c r="S1303" t="s">
        <v>17675</v>
      </c>
      <c r="T1303" s="6">
        <v>34213</v>
      </c>
      <c r="U1303" s="4">
        <v>135000</v>
      </c>
      <c r="X1303" t="s">
        <v>3</v>
      </c>
      <c r="AA1303" s="5" t="str">
        <f>HYPERLINK("https://www.zillow.com/homes/5108-GRAND-AVE-DOWNERS-GROVE-IL-60515_rb/","check listing")</f>
        <v>check listing</v>
      </c>
      <c r="AB1303" s="5" t="str">
        <f>HYPERLINK("https://propertylookup.dupagecounty.gov/Datalets/Datalet.aspx?UseSearch=no&amp;mode=sales&amp;pin=0908410011","sales record")</f>
        <v>sales record</v>
      </c>
      <c r="AC1303" t="s">
        <v>3</v>
      </c>
      <c r="AD1303">
        <v>41.794865</v>
      </c>
      <c r="AE1303">
        <v>-87.99748599999999</v>
      </c>
      <c r="AF1303" s="5" t="str">
        <f>HYPERLINK("https://www.google.com/maps/search/?api=1&amp;query=41.794865,-87.997486","map")</f>
        <v>map</v>
      </c>
    </row>
    <row r="1304" spans="1:32">
      <c r="A1304" t="s">
        <v>1354</v>
      </c>
      <c r="B1304" t="s">
        <v>8930</v>
      </c>
      <c r="C1304" t="s">
        <v>15277</v>
      </c>
      <c r="D1304" t="s">
        <v>16199</v>
      </c>
      <c r="E1304" t="s">
        <v>16218</v>
      </c>
      <c r="F1304" t="s">
        <v>16222</v>
      </c>
      <c r="G1304" t="s">
        <v>16242</v>
      </c>
      <c r="H1304" t="s">
        <v>16242</v>
      </c>
      <c r="I1304" t="s">
        <v>16318</v>
      </c>
      <c r="J1304" t="s">
        <v>16387</v>
      </c>
      <c r="K1304">
        <v>0.313</v>
      </c>
      <c r="L1304">
        <v>13640</v>
      </c>
      <c r="M1304">
        <v>942</v>
      </c>
      <c r="N1304" t="s">
        <v>16393</v>
      </c>
      <c r="O1304" s="4">
        <v>71495</v>
      </c>
      <c r="P1304" s="4">
        <v>408141</v>
      </c>
      <c r="Q1304" s="4">
        <v>479636</v>
      </c>
      <c r="R1304" s="4">
        <v>1438908</v>
      </c>
      <c r="S1304" t="s">
        <v>17676</v>
      </c>
      <c r="T1304" s="6">
        <v>45527</v>
      </c>
      <c r="U1304" s="4">
        <v>1810000</v>
      </c>
      <c r="V1304" t="s">
        <v>23739</v>
      </c>
      <c r="W1304" t="s">
        <v>24375</v>
      </c>
      <c r="X1304" t="s">
        <v>3</v>
      </c>
      <c r="AA1304" s="5" t="str">
        <f>HYPERLINK("https://www.zillow.com/homes/1204-GILBERT-AVE-DOWNERS-GROVE-IL-60515_rb/","check listing")</f>
        <v>check listing</v>
      </c>
      <c r="AB1304" s="5" t="str">
        <f>HYPERLINK("https://propertylookup.dupagecounty.gov/Datalets/Datalet.aspx?UseSearch=no&amp;mode=sales&amp;pin=0907220027","sales record")</f>
        <v>sales record</v>
      </c>
      <c r="AC1304" t="s">
        <v>3</v>
      </c>
      <c r="AD1304">
        <v>41.794998</v>
      </c>
      <c r="AE1304">
        <v>-88.01472200000001</v>
      </c>
      <c r="AF1304" s="5" t="str">
        <f>HYPERLINK("https://www.google.com/maps/search/?api=1&amp;query=41.794998,-88.014722","map")</f>
        <v>map</v>
      </c>
    </row>
    <row r="1305" spans="1:32">
      <c r="A1305" t="s">
        <v>1355</v>
      </c>
      <c r="B1305" t="s">
        <v>8931</v>
      </c>
      <c r="C1305" t="s">
        <v>15277</v>
      </c>
      <c r="D1305" t="s">
        <v>16199</v>
      </c>
      <c r="E1305" t="s">
        <v>16218</v>
      </c>
      <c r="F1305" t="s">
        <v>16222</v>
      </c>
      <c r="G1305" t="s">
        <v>16242</v>
      </c>
      <c r="H1305" t="s">
        <v>16242</v>
      </c>
      <c r="I1305" t="s">
        <v>16318</v>
      </c>
      <c r="J1305" t="s">
        <v>16387</v>
      </c>
      <c r="K1305">
        <v>0.3</v>
      </c>
      <c r="L1305">
        <v>13057</v>
      </c>
      <c r="M1305">
        <v>1487</v>
      </c>
      <c r="N1305" t="s">
        <v>16393</v>
      </c>
      <c r="O1305" s="4">
        <v>97691</v>
      </c>
      <c r="P1305" s="4">
        <v>113899</v>
      </c>
      <c r="Q1305" s="4">
        <v>211590</v>
      </c>
      <c r="R1305" s="4">
        <v>634770</v>
      </c>
      <c r="S1305" t="s">
        <v>17677</v>
      </c>
      <c r="T1305" s="6">
        <v>32721</v>
      </c>
      <c r="U1305" s="4">
        <v>185000</v>
      </c>
      <c r="X1305" t="s">
        <v>3</v>
      </c>
      <c r="AA1305" s="5" t="str">
        <f>HYPERLINK("https://www.zillow.com/homes/1120-GROVE-ST-DOWNERS-GROVE-IL-60515_rb/","check listing")</f>
        <v>check listing</v>
      </c>
      <c r="AB1305" s="5" t="str">
        <f>HYPERLINK("https://propertylookup.dupagecounty.gov/Datalets/Datalet.aspx?UseSearch=no&amp;mode=sales&amp;pin=0908305018","sales record")</f>
        <v>sales record</v>
      </c>
      <c r="AC1305" t="s">
        <v>3</v>
      </c>
      <c r="AD1305">
        <v>41.792663</v>
      </c>
      <c r="AE1305">
        <v>-88.01312799999999</v>
      </c>
      <c r="AF1305" s="5" t="str">
        <f>HYPERLINK("https://www.google.com/maps/search/?api=1&amp;query=41.792663,-88.013128","map")</f>
        <v>map</v>
      </c>
    </row>
    <row r="1306" spans="1:32">
      <c r="A1306" t="s">
        <v>1356</v>
      </c>
      <c r="B1306" t="s">
        <v>8932</v>
      </c>
      <c r="C1306" t="s">
        <v>15277</v>
      </c>
      <c r="D1306" t="s">
        <v>16199</v>
      </c>
      <c r="E1306" t="s">
        <v>16218</v>
      </c>
      <c r="F1306" t="s">
        <v>16222</v>
      </c>
      <c r="G1306" t="s">
        <v>16244</v>
      </c>
      <c r="H1306" t="s">
        <v>16244</v>
      </c>
      <c r="I1306" t="s">
        <v>16320</v>
      </c>
      <c r="J1306" t="s">
        <v>16387</v>
      </c>
      <c r="K1306">
        <v>0.279</v>
      </c>
      <c r="L1306">
        <v>12161</v>
      </c>
      <c r="M1306">
        <v>2388</v>
      </c>
      <c r="N1306" t="s">
        <v>16393</v>
      </c>
      <c r="O1306" s="4">
        <v>109428</v>
      </c>
      <c r="P1306" s="4">
        <v>53922</v>
      </c>
      <c r="Q1306" s="4">
        <v>163350</v>
      </c>
      <c r="R1306" s="4">
        <v>490050</v>
      </c>
      <c r="S1306" t="s">
        <v>17678</v>
      </c>
      <c r="T1306" s="6">
        <v>32721</v>
      </c>
      <c r="U1306" s="4">
        <v>96500</v>
      </c>
      <c r="X1306" t="s">
        <v>3</v>
      </c>
      <c r="AA1306" s="5" t="str">
        <f>HYPERLINK("https://www.zillow.com/homes/620-ROGERS-ST-DOWNERS-GROVE-IL-60515_rb/","check listing")</f>
        <v>check listing</v>
      </c>
      <c r="AB1306" s="5" t="str">
        <f>HYPERLINK("https://propertylookup.dupagecounty.gov/Datalets/Datalet.aspx?UseSearch=no&amp;mode=sales&amp;pin=0908217014","sales record")</f>
        <v>sales record</v>
      </c>
      <c r="AC1306" t="s">
        <v>3</v>
      </c>
      <c r="AD1306">
        <v>41.796887</v>
      </c>
      <c r="AE1306">
        <v>-88.000602</v>
      </c>
      <c r="AF1306" s="5" t="str">
        <f>HYPERLINK("https://www.google.com/maps/search/?api=1&amp;query=41.796887,-88.000602","map")</f>
        <v>map</v>
      </c>
    </row>
    <row r="1307" spans="1:32">
      <c r="A1307" t="s">
        <v>1357</v>
      </c>
      <c r="B1307" t="s">
        <v>8933</v>
      </c>
      <c r="C1307" t="s">
        <v>15279</v>
      </c>
      <c r="D1307" t="s">
        <v>16199</v>
      </c>
      <c r="E1307" t="s">
        <v>16218</v>
      </c>
      <c r="F1307" t="s">
        <v>16222</v>
      </c>
      <c r="G1307" t="s">
        <v>16242</v>
      </c>
      <c r="H1307" t="s">
        <v>16242</v>
      </c>
      <c r="I1307" t="s">
        <v>16318</v>
      </c>
      <c r="J1307" t="s">
        <v>16387</v>
      </c>
      <c r="K1307">
        <v>0.275</v>
      </c>
      <c r="L1307">
        <v>11981</v>
      </c>
      <c r="M1307">
        <v>1431</v>
      </c>
      <c r="N1307" t="s">
        <v>16393</v>
      </c>
      <c r="O1307" s="4">
        <v>89626</v>
      </c>
      <c r="P1307" s="4">
        <v>132738</v>
      </c>
      <c r="Q1307" s="4">
        <v>222364</v>
      </c>
      <c r="R1307" s="4">
        <v>667092</v>
      </c>
      <c r="S1307" t="s">
        <v>17679</v>
      </c>
      <c r="T1307" s="6">
        <v>34912</v>
      </c>
      <c r="U1307" s="4">
        <v>143750</v>
      </c>
      <c r="X1307" t="s">
        <v>3</v>
      </c>
      <c r="AA1307" s="5" t="str">
        <f>HYPERLINK("https://www.zillow.com/homes/1116-GROVE-ST-DOWNERS-GROVE-IL-605154664_rb/","check listing")</f>
        <v>check listing</v>
      </c>
      <c r="AB1307" s="5" t="str">
        <f>HYPERLINK("https://propertylookup.dupagecounty.gov/Datalets/Datalet.aspx?UseSearch=no&amp;mode=sales&amp;pin=0908305019","sales record")</f>
        <v>sales record</v>
      </c>
      <c r="AC1307" t="s">
        <v>3</v>
      </c>
      <c r="AD1307">
        <v>41.792669</v>
      </c>
      <c r="AE1307">
        <v>-88.012899</v>
      </c>
      <c r="AF1307" s="5" t="str">
        <f>HYPERLINK("https://www.google.com/maps/search/?api=1&amp;query=41.792669,-88.012899","map")</f>
        <v>map</v>
      </c>
    </row>
    <row r="1308" spans="1:32">
      <c r="A1308" t="s">
        <v>1358</v>
      </c>
      <c r="B1308" t="s">
        <v>8934</v>
      </c>
      <c r="C1308" t="s">
        <v>15277</v>
      </c>
      <c r="D1308" t="s">
        <v>16199</v>
      </c>
      <c r="E1308" t="s">
        <v>16218</v>
      </c>
      <c r="F1308" t="s">
        <v>16222</v>
      </c>
      <c r="G1308" t="s">
        <v>16242</v>
      </c>
      <c r="H1308" t="s">
        <v>16242</v>
      </c>
      <c r="I1308" t="s">
        <v>16318</v>
      </c>
      <c r="J1308" t="s">
        <v>16387</v>
      </c>
      <c r="K1308">
        <v>0.272</v>
      </c>
      <c r="L1308">
        <v>11853</v>
      </c>
      <c r="M1308">
        <v>2185</v>
      </c>
      <c r="N1308" t="s">
        <v>16393</v>
      </c>
      <c r="O1308" s="4">
        <v>88723</v>
      </c>
      <c r="P1308" s="4">
        <v>178560</v>
      </c>
      <c r="Q1308" s="4">
        <v>267283</v>
      </c>
      <c r="R1308" s="4">
        <v>801849</v>
      </c>
      <c r="S1308" t="s">
        <v>17680</v>
      </c>
      <c r="T1308" s="6">
        <v>35886</v>
      </c>
      <c r="U1308" s="4">
        <v>208000</v>
      </c>
      <c r="X1308" t="s">
        <v>3</v>
      </c>
      <c r="AA1308" s="5" t="str">
        <f>HYPERLINK("https://www.zillow.com/homes/1126-GROVE-ST-DOWNERS-GROVE-IL-60515_rb/","check listing")</f>
        <v>check listing</v>
      </c>
      <c r="AB1308" s="5" t="str">
        <f>HYPERLINK("https://propertylookup.dupagecounty.gov/Datalets/Datalet.aspx?UseSearch=no&amp;mode=sales&amp;pin=0908305017","sales record")</f>
        <v>sales record</v>
      </c>
      <c r="AC1308" t="s">
        <v>27873</v>
      </c>
      <c r="AD1308">
        <v>41.792658</v>
      </c>
      <c r="AE1308">
        <v>-88.013357</v>
      </c>
      <c r="AF1308" s="5" t="str">
        <f>HYPERLINK("https://www.google.com/maps/search/?api=1&amp;query=41.792658,-88.013357","map")</f>
        <v>map</v>
      </c>
    </row>
    <row r="1309" spans="1:32">
      <c r="A1309" t="s">
        <v>1359</v>
      </c>
      <c r="B1309" t="s">
        <v>8935</v>
      </c>
      <c r="C1309" t="s">
        <v>15280</v>
      </c>
      <c r="D1309" t="s">
        <v>16199</v>
      </c>
      <c r="E1309" t="s">
        <v>16218</v>
      </c>
      <c r="F1309" t="s">
        <v>16222</v>
      </c>
      <c r="G1309" t="s">
        <v>16242</v>
      </c>
      <c r="H1309" t="s">
        <v>16242</v>
      </c>
      <c r="I1309" t="s">
        <v>16318</v>
      </c>
      <c r="J1309" t="s">
        <v>16387</v>
      </c>
      <c r="K1309">
        <v>0.269</v>
      </c>
      <c r="L1309">
        <v>11738</v>
      </c>
      <c r="M1309">
        <v>2014</v>
      </c>
      <c r="N1309" t="s">
        <v>16393</v>
      </c>
      <c r="O1309" s="4">
        <v>115343</v>
      </c>
      <c r="P1309" s="4">
        <v>76810</v>
      </c>
      <c r="Q1309" s="4">
        <v>192153</v>
      </c>
      <c r="R1309" s="4">
        <v>576459</v>
      </c>
      <c r="S1309" t="s">
        <v>17681</v>
      </c>
      <c r="T1309" s="6">
        <v>44378</v>
      </c>
      <c r="U1309" s="4">
        <v>475000</v>
      </c>
      <c r="V1309" t="s">
        <v>23739</v>
      </c>
      <c r="W1309" t="s">
        <v>17681</v>
      </c>
      <c r="X1309" t="s">
        <v>3</v>
      </c>
      <c r="AA1309" s="5" t="str">
        <f>HYPERLINK("https://www.zillow.com/homes/803-ROGERS-ST-DOWNERS-GROVE-IL-605153733_rb/","check listing")</f>
        <v>check listing</v>
      </c>
      <c r="AB1309" s="5" t="str">
        <f>HYPERLINK("https://propertylookup.dupagecounty.gov/Datalets/Datalet.aspx?UseSearch=no&amp;mode=sales&amp;pin=0908125013","sales record")</f>
        <v>sales record</v>
      </c>
      <c r="AC1309" t="s">
        <v>3</v>
      </c>
      <c r="AD1309">
        <v>41.796339</v>
      </c>
      <c r="AE1309">
        <v>-88.00465</v>
      </c>
      <c r="AF1309" s="5" t="str">
        <f>HYPERLINK("https://www.google.com/maps/search/?api=1&amp;query=41.796339,-88.00465","map")</f>
        <v>map</v>
      </c>
    </row>
    <row r="1310" spans="1:32">
      <c r="A1310" t="s">
        <v>1360</v>
      </c>
      <c r="B1310" t="s">
        <v>8936</v>
      </c>
      <c r="C1310" t="s">
        <v>15277</v>
      </c>
      <c r="D1310" t="s">
        <v>16199</v>
      </c>
      <c r="E1310" t="s">
        <v>16218</v>
      </c>
      <c r="F1310" t="s">
        <v>16222</v>
      </c>
      <c r="G1310" t="s">
        <v>16242</v>
      </c>
      <c r="H1310" t="s">
        <v>16242</v>
      </c>
      <c r="I1310" t="s">
        <v>16318</v>
      </c>
      <c r="J1310" t="s">
        <v>16387</v>
      </c>
      <c r="K1310">
        <v>0.267</v>
      </c>
      <c r="L1310">
        <v>11635</v>
      </c>
      <c r="M1310">
        <v>3371</v>
      </c>
      <c r="N1310" t="s">
        <v>16393</v>
      </c>
      <c r="O1310" s="4">
        <v>71408</v>
      </c>
      <c r="P1310" s="4">
        <v>448541</v>
      </c>
      <c r="Q1310" s="4">
        <v>519949</v>
      </c>
      <c r="R1310" s="4">
        <v>1559847</v>
      </c>
      <c r="S1310" t="s">
        <v>17682</v>
      </c>
      <c r="T1310" s="6">
        <v>36312</v>
      </c>
      <c r="U1310" s="4">
        <v>240000</v>
      </c>
      <c r="X1310" t="s">
        <v>3</v>
      </c>
      <c r="AA1310" s="5" t="str">
        <f>HYPERLINK("https://www.zillow.com/homes/1123-CURTISS-ST-DOWNERS-GROVE-IL-60515_rb/","check listing")</f>
        <v>check listing</v>
      </c>
      <c r="AB1310" s="5" t="str">
        <f>HYPERLINK("https://propertylookup.dupagecounty.gov/Datalets/Datalet.aspx?UseSearch=no&amp;mode=sales&amp;pin=0908305026","sales record")</f>
        <v>sales record</v>
      </c>
      <c r="AC1310" t="s">
        <v>3</v>
      </c>
      <c r="AD1310">
        <v>41.793399</v>
      </c>
      <c r="AE1310">
        <v>-88.012933</v>
      </c>
      <c r="AF1310" s="5" t="str">
        <f>HYPERLINK("https://www.google.com/maps/search/?api=1&amp;query=41.793399,-88.012933","map")</f>
        <v>map</v>
      </c>
    </row>
    <row r="1311" spans="1:32">
      <c r="A1311" t="s">
        <v>1361</v>
      </c>
      <c r="B1311" t="s">
        <v>8937</v>
      </c>
      <c r="C1311" t="s">
        <v>15281</v>
      </c>
      <c r="D1311" t="s">
        <v>16199</v>
      </c>
      <c r="E1311" t="s">
        <v>16218</v>
      </c>
      <c r="F1311" t="s">
        <v>16222</v>
      </c>
      <c r="G1311" t="s">
        <v>16242</v>
      </c>
      <c r="H1311" t="s">
        <v>16242</v>
      </c>
      <c r="I1311" t="s">
        <v>16318</v>
      </c>
      <c r="J1311" t="s">
        <v>16387</v>
      </c>
      <c r="K1311">
        <v>0.262</v>
      </c>
      <c r="L1311">
        <v>11428</v>
      </c>
      <c r="M1311">
        <v>802</v>
      </c>
      <c r="N1311" t="s">
        <v>16393</v>
      </c>
      <c r="O1311" s="4">
        <v>78076</v>
      </c>
      <c r="P1311" s="4">
        <v>95554</v>
      </c>
      <c r="Q1311" s="4">
        <v>173630</v>
      </c>
      <c r="R1311" s="4">
        <v>520890</v>
      </c>
      <c r="S1311" t="s">
        <v>17683</v>
      </c>
      <c r="T1311" s="6">
        <v>44470</v>
      </c>
      <c r="U1311" s="4">
        <v>530000</v>
      </c>
      <c r="V1311" t="s">
        <v>23739</v>
      </c>
      <c r="W1311" t="s">
        <v>24376</v>
      </c>
      <c r="X1311" t="s">
        <v>3</v>
      </c>
      <c r="AA1311" s="5" t="str">
        <f>HYPERLINK("https://www.zillow.com/homes/1129-CURTISS-ST-DOWNERS-GROVE-IL-605154631_rb/","check listing")</f>
        <v>check listing</v>
      </c>
      <c r="AB1311" s="5" t="str">
        <f>HYPERLINK("https://propertylookup.dupagecounty.gov/Datalets/Datalet.aspx?UseSearch=no&amp;mode=sales&amp;pin=0908305005","sales record")</f>
        <v>sales record</v>
      </c>
      <c r="AC1311" t="s">
        <v>3</v>
      </c>
      <c r="AD1311">
        <v>41.793247</v>
      </c>
      <c r="AE1311">
        <v>-88.013265</v>
      </c>
      <c r="AF1311" s="5" t="str">
        <f>HYPERLINK("https://www.google.com/maps/search/?api=1&amp;query=41.793247,-88.013265","map")</f>
        <v>map</v>
      </c>
    </row>
    <row r="1312" spans="1:32">
      <c r="A1312" t="s">
        <v>1362</v>
      </c>
      <c r="B1312" t="s">
        <v>8938</v>
      </c>
      <c r="C1312" t="s">
        <v>15277</v>
      </c>
      <c r="D1312" t="s">
        <v>16199</v>
      </c>
      <c r="E1312" t="s">
        <v>16218</v>
      </c>
      <c r="F1312" t="s">
        <v>16222</v>
      </c>
      <c r="G1312" t="s">
        <v>16242</v>
      </c>
      <c r="H1312" t="s">
        <v>16242</v>
      </c>
      <c r="I1312" t="s">
        <v>16318</v>
      </c>
      <c r="J1312" t="s">
        <v>16387</v>
      </c>
      <c r="K1312">
        <v>0.257</v>
      </c>
      <c r="L1312">
        <v>11187</v>
      </c>
      <c r="M1312">
        <v>1057</v>
      </c>
      <c r="N1312" t="s">
        <v>16393</v>
      </c>
      <c r="O1312" s="4">
        <v>71481</v>
      </c>
      <c r="P1312" s="4">
        <v>101211</v>
      </c>
      <c r="Q1312" s="4">
        <v>172692</v>
      </c>
      <c r="R1312" s="4">
        <v>518076</v>
      </c>
      <c r="S1312" t="s">
        <v>17682</v>
      </c>
      <c r="T1312" s="6">
        <v>38200</v>
      </c>
      <c r="U1312" s="4">
        <v>293000</v>
      </c>
      <c r="V1312" t="s">
        <v>23739</v>
      </c>
      <c r="W1312" t="s">
        <v>24377</v>
      </c>
      <c r="X1312" t="s">
        <v>3</v>
      </c>
      <c r="AA1312" s="5" t="str">
        <f>HYPERLINK("https://www.zillow.com/homes/1127-CURTISS-ST-DOWNERS-GROVE-IL-60515_rb/","check listing")</f>
        <v>check listing</v>
      </c>
      <c r="AB1312" s="5" t="str">
        <f>HYPERLINK("https://propertylookup.dupagecounty.gov/Datalets/Datalet.aspx?UseSearch=no&amp;mode=sales&amp;pin=0908305025","sales record")</f>
        <v>sales record</v>
      </c>
      <c r="AC1312" t="s">
        <v>3</v>
      </c>
      <c r="AD1312">
        <v>41.793265</v>
      </c>
      <c r="AE1312">
        <v>-88.013091</v>
      </c>
      <c r="AF1312" s="5" t="str">
        <f>HYPERLINK("https://www.google.com/maps/search/?api=1&amp;query=41.793265,-88.013091","map")</f>
        <v>map</v>
      </c>
    </row>
    <row r="1313" spans="1:32">
      <c r="A1313" t="s">
        <v>1363</v>
      </c>
      <c r="B1313" t="s">
        <v>8939</v>
      </c>
      <c r="C1313" t="s">
        <v>15277</v>
      </c>
      <c r="D1313" t="s">
        <v>16199</v>
      </c>
      <c r="E1313" t="s">
        <v>16218</v>
      </c>
      <c r="F1313" t="s">
        <v>16222</v>
      </c>
      <c r="G1313" t="s">
        <v>16242</v>
      </c>
      <c r="H1313" t="s">
        <v>16242</v>
      </c>
      <c r="I1313" t="s">
        <v>16318</v>
      </c>
      <c r="J1313" t="s">
        <v>16387</v>
      </c>
      <c r="K1313">
        <v>0.253</v>
      </c>
      <c r="L1313">
        <v>11039</v>
      </c>
      <c r="M1313">
        <v>1161</v>
      </c>
      <c r="N1313" t="s">
        <v>16393</v>
      </c>
      <c r="O1313" s="4">
        <v>57196</v>
      </c>
      <c r="P1313" s="4">
        <v>74861</v>
      </c>
      <c r="Q1313" s="4">
        <v>132057</v>
      </c>
      <c r="R1313" s="4">
        <v>396171</v>
      </c>
      <c r="S1313" t="s">
        <v>17684</v>
      </c>
      <c r="T1313" s="6">
        <v>32874</v>
      </c>
      <c r="U1313" s="4">
        <v>164000</v>
      </c>
      <c r="X1313" t="s">
        <v>3</v>
      </c>
      <c r="AA1313" s="5" t="str">
        <f>HYPERLINK("https://www.zillow.com/homes/1200-GILBERT-AVE-DOWNERS-GROVE-IL-60515_rb/","check listing")</f>
        <v>check listing</v>
      </c>
      <c r="AB1313" s="5" t="str">
        <f>HYPERLINK("https://propertylookup.dupagecounty.gov/Datalets/Datalet.aspx?UseSearch=no&amp;mode=sales&amp;pin=0907220028","sales record")</f>
        <v>sales record</v>
      </c>
      <c r="AC1313" t="s">
        <v>3</v>
      </c>
      <c r="AD1313">
        <v>41.795014</v>
      </c>
      <c r="AE1313">
        <v>-88.01455799999999</v>
      </c>
      <c r="AF1313" s="5" t="str">
        <f>HYPERLINK("https://www.google.com/maps/search/?api=1&amp;query=41.795014,-88.014558","map")</f>
        <v>map</v>
      </c>
    </row>
    <row r="1314" spans="1:32">
      <c r="A1314" t="s">
        <v>1364</v>
      </c>
      <c r="B1314" t="s">
        <v>8940</v>
      </c>
      <c r="C1314" t="s">
        <v>15277</v>
      </c>
      <c r="D1314" t="s">
        <v>16199</v>
      </c>
      <c r="E1314" t="s">
        <v>16218</v>
      </c>
      <c r="F1314" t="s">
        <v>16222</v>
      </c>
      <c r="G1314" t="s">
        <v>16244</v>
      </c>
      <c r="H1314" t="s">
        <v>16244</v>
      </c>
      <c r="I1314" t="s">
        <v>16320</v>
      </c>
      <c r="J1314" t="s">
        <v>16387</v>
      </c>
      <c r="K1314">
        <v>0.246</v>
      </c>
      <c r="L1314">
        <v>10726</v>
      </c>
      <c r="M1314">
        <v>1190</v>
      </c>
      <c r="N1314" t="s">
        <v>16393</v>
      </c>
      <c r="O1314" s="4">
        <v>49390</v>
      </c>
      <c r="P1314" s="4">
        <v>43311</v>
      </c>
      <c r="Q1314" s="4">
        <v>92701</v>
      </c>
      <c r="R1314" s="4">
        <v>278103</v>
      </c>
      <c r="S1314" t="s">
        <v>17685</v>
      </c>
      <c r="T1314" s="6">
        <v>37561</v>
      </c>
      <c r="U1314" s="4">
        <v>150350</v>
      </c>
      <c r="V1314" t="s">
        <v>23739</v>
      </c>
      <c r="W1314" t="s">
        <v>24378</v>
      </c>
      <c r="X1314" t="s">
        <v>3</v>
      </c>
      <c r="AA1314" s="5" t="str">
        <f>HYPERLINK("https://www.zillow.com/homes/430-ROGERS-ST-DOWNERS-GROVE-IL-60515_rb/","check listing")</f>
        <v>check listing</v>
      </c>
      <c r="AB1314" s="5" t="str">
        <f>HYPERLINK("https://propertylookup.dupagecounty.gov/Datalets/Datalet.aspx?UseSearch=no&amp;mode=sales&amp;pin=0908225019","sales record")</f>
        <v>sales record</v>
      </c>
      <c r="AC1314" t="s">
        <v>3</v>
      </c>
      <c r="AD1314">
        <v>41.796968</v>
      </c>
      <c r="AE1314">
        <v>-87.99630500000001</v>
      </c>
      <c r="AF1314" s="5" t="str">
        <f>HYPERLINK("https://www.google.com/maps/search/?api=1&amp;query=41.796968,-87.996305","map")</f>
        <v>map</v>
      </c>
    </row>
    <row r="1315" spans="1:32">
      <c r="A1315" t="s">
        <v>1365</v>
      </c>
      <c r="B1315" t="s">
        <v>8941</v>
      </c>
      <c r="C1315" t="s">
        <v>15277</v>
      </c>
      <c r="D1315" t="s">
        <v>16199</v>
      </c>
      <c r="E1315" t="s">
        <v>16218</v>
      </c>
      <c r="F1315" t="s">
        <v>16222</v>
      </c>
      <c r="G1315" t="s">
        <v>16244</v>
      </c>
      <c r="H1315" t="s">
        <v>16244</v>
      </c>
      <c r="I1315" t="s">
        <v>16320</v>
      </c>
      <c r="J1315" t="s">
        <v>16387</v>
      </c>
      <c r="K1315">
        <v>0.246</v>
      </c>
      <c r="L1315">
        <v>10723</v>
      </c>
      <c r="M1315">
        <v>1415</v>
      </c>
      <c r="N1315" t="s">
        <v>16393</v>
      </c>
      <c r="O1315" s="4">
        <v>98781</v>
      </c>
      <c r="P1315" s="4">
        <v>66726</v>
      </c>
      <c r="Q1315" s="4">
        <v>165507</v>
      </c>
      <c r="R1315" s="4">
        <v>496521</v>
      </c>
      <c r="S1315" t="s">
        <v>17686</v>
      </c>
      <c r="T1315" s="6">
        <v>38200</v>
      </c>
      <c r="U1315" s="4">
        <v>262000</v>
      </c>
      <c r="V1315" t="s">
        <v>23739</v>
      </c>
      <c r="W1315" t="s">
        <v>17686</v>
      </c>
      <c r="X1315" t="s">
        <v>3</v>
      </c>
      <c r="AA1315" s="5" t="str">
        <f>HYPERLINK("https://www.zillow.com/homes/548-ROGERS-ST-DOWNERS-GROVE-IL-60515_rb/","check listing")</f>
        <v>check listing</v>
      </c>
      <c r="AB1315" s="5" t="str">
        <f>HYPERLINK("https://propertylookup.dupagecounty.gov/Datalets/Datalet.aspx?UseSearch=no&amp;mode=sales&amp;pin=0908217020","sales record")</f>
        <v>sales record</v>
      </c>
      <c r="AC1315" t="s">
        <v>3</v>
      </c>
      <c r="AD1315">
        <v>41.79688</v>
      </c>
      <c r="AE1315">
        <v>-87.99929899999999</v>
      </c>
      <c r="AF1315" s="5" t="str">
        <f>HYPERLINK("https://www.google.com/maps/search/?api=1&amp;query=41.79688,-87.999299","map")</f>
        <v>map</v>
      </c>
    </row>
    <row r="1316" spans="1:32">
      <c r="A1316" t="s">
        <v>1366</v>
      </c>
      <c r="B1316" t="s">
        <v>8942</v>
      </c>
      <c r="C1316" t="s">
        <v>15277</v>
      </c>
      <c r="D1316" t="s">
        <v>16199</v>
      </c>
      <c r="E1316" t="s">
        <v>16218</v>
      </c>
      <c r="F1316" t="s">
        <v>16222</v>
      </c>
      <c r="G1316" t="s">
        <v>16244</v>
      </c>
      <c r="H1316" t="s">
        <v>16244</v>
      </c>
      <c r="I1316" t="s">
        <v>16320</v>
      </c>
      <c r="J1316" t="s">
        <v>16387</v>
      </c>
      <c r="K1316">
        <v>0.246</v>
      </c>
      <c r="L1316">
        <v>10723</v>
      </c>
      <c r="M1316">
        <v>1658</v>
      </c>
      <c r="N1316" t="s">
        <v>16393</v>
      </c>
      <c r="O1316" s="4">
        <v>98781</v>
      </c>
      <c r="P1316" s="4">
        <v>58629</v>
      </c>
      <c r="Q1316" s="4">
        <v>157410</v>
      </c>
      <c r="R1316" s="4">
        <v>472230</v>
      </c>
      <c r="S1316" t="s">
        <v>17687</v>
      </c>
      <c r="T1316" s="6">
        <v>35309</v>
      </c>
      <c r="U1316" s="4">
        <v>150000</v>
      </c>
      <c r="X1316" t="s">
        <v>3</v>
      </c>
      <c r="AA1316" s="5" t="str">
        <f>HYPERLINK("https://www.zillow.com/homes/616-ROGERS-ST-DOWNERS-GROVE-IL-60515_rb/","check listing")</f>
        <v>check listing</v>
      </c>
      <c r="AB1316" s="5" t="str">
        <f>HYPERLINK("https://propertylookup.dupagecounty.gov/Datalets/Datalet.aspx?UseSearch=no&amp;mode=sales&amp;pin=0908217015","sales record")</f>
        <v>sales record</v>
      </c>
      <c r="AC1316" t="s">
        <v>3</v>
      </c>
      <c r="AD1316">
        <v>41.796894</v>
      </c>
      <c r="AE1316">
        <v>-88.000308</v>
      </c>
      <c r="AF1316" s="5" t="str">
        <f>HYPERLINK("https://www.google.com/maps/search/?api=1&amp;query=41.796894,-88.000308","map")</f>
        <v>map</v>
      </c>
    </row>
    <row r="1317" spans="1:32">
      <c r="A1317" t="s">
        <v>1367</v>
      </c>
      <c r="B1317" t="s">
        <v>8943</v>
      </c>
      <c r="C1317" t="s">
        <v>15277</v>
      </c>
      <c r="D1317" t="s">
        <v>16199</v>
      </c>
      <c r="E1317" t="s">
        <v>16218</v>
      </c>
      <c r="F1317" t="s">
        <v>16222</v>
      </c>
      <c r="G1317" t="s">
        <v>16244</v>
      </c>
      <c r="H1317" t="s">
        <v>16244</v>
      </c>
      <c r="I1317" t="s">
        <v>16320</v>
      </c>
      <c r="J1317" t="s">
        <v>16387</v>
      </c>
      <c r="K1317">
        <v>0.246</v>
      </c>
      <c r="L1317">
        <v>10722</v>
      </c>
      <c r="M1317">
        <v>1113</v>
      </c>
      <c r="N1317" t="s">
        <v>16393</v>
      </c>
      <c r="O1317" s="4">
        <v>98781</v>
      </c>
      <c r="P1317" s="4">
        <v>71281</v>
      </c>
      <c r="Q1317" s="4">
        <v>170062</v>
      </c>
      <c r="R1317" s="4">
        <v>510186</v>
      </c>
      <c r="S1317" t="s">
        <v>17688</v>
      </c>
      <c r="T1317" s="6">
        <v>41061</v>
      </c>
      <c r="U1317" s="4">
        <v>75000</v>
      </c>
      <c r="V1317" t="s">
        <v>23740</v>
      </c>
      <c r="W1317" t="s">
        <v>24379</v>
      </c>
      <c r="X1317" t="s">
        <v>3</v>
      </c>
      <c r="AA1317" s="5" t="str">
        <f>HYPERLINK("https://www.zillow.com/homes/520-ROGERS-ST-DOWNERS-GROVE-IL-60515_rb/","check listing")</f>
        <v>check listing</v>
      </c>
      <c r="AB1317" s="5" t="str">
        <f>HYPERLINK("https://propertylookup.dupagecounty.gov/Datalets/Datalet.aspx?UseSearch=no&amp;mode=sales&amp;pin=0908217023","sales record")</f>
        <v>sales record</v>
      </c>
      <c r="AC1317" t="s">
        <v>3</v>
      </c>
      <c r="AD1317">
        <v>41.796928</v>
      </c>
      <c r="AE1317">
        <v>-87.998659</v>
      </c>
      <c r="AF1317" s="5" t="str">
        <f>HYPERLINK("https://www.google.com/maps/search/?api=1&amp;query=41.796928,-87.998659","map")</f>
        <v>map</v>
      </c>
    </row>
    <row r="1318" spans="1:32">
      <c r="A1318" t="s">
        <v>1368</v>
      </c>
      <c r="B1318" t="s">
        <v>8944</v>
      </c>
      <c r="C1318" t="s">
        <v>15282</v>
      </c>
      <c r="D1318" t="s">
        <v>16199</v>
      </c>
      <c r="E1318" t="s">
        <v>16218</v>
      </c>
      <c r="F1318" t="s">
        <v>16222</v>
      </c>
      <c r="G1318" t="s">
        <v>16245</v>
      </c>
      <c r="H1318" t="s">
        <v>16245</v>
      </c>
      <c r="I1318" t="s">
        <v>16321</v>
      </c>
      <c r="J1318" t="s">
        <v>16387</v>
      </c>
      <c r="K1318">
        <v>0.234</v>
      </c>
      <c r="L1318">
        <v>10172</v>
      </c>
      <c r="M1318">
        <v>1841</v>
      </c>
      <c r="N1318" t="s">
        <v>16393</v>
      </c>
      <c r="O1318" s="4">
        <v>51233</v>
      </c>
      <c r="P1318" s="4">
        <v>49813</v>
      </c>
      <c r="Q1318" s="4">
        <v>101046</v>
      </c>
      <c r="R1318" s="4">
        <v>303138</v>
      </c>
      <c r="S1318" t="s">
        <v>17689</v>
      </c>
      <c r="T1318" s="6">
        <v>43709</v>
      </c>
      <c r="U1318" s="4">
        <v>175000</v>
      </c>
      <c r="V1318" t="s">
        <v>23739</v>
      </c>
      <c r="W1318" t="s">
        <v>24380</v>
      </c>
      <c r="X1318" t="s">
        <v>3</v>
      </c>
      <c r="AA1318" s="5" t="str">
        <f>HYPERLINK("https://www.zillow.com/homes/5004-WILCOX-AVE-DOWNERS-GROVE-IL-605153906_rb/","check listing")</f>
        <v>check listing</v>
      </c>
      <c r="AB1318" s="5" t="str">
        <f>HYPERLINK("https://propertylookup.dupagecounty.gov/Datalets/Datalet.aspx?UseSearch=no&amp;mode=sales&amp;pin=0909109012","sales record")</f>
        <v>sales record</v>
      </c>
      <c r="AC1318" t="s">
        <v>3</v>
      </c>
      <c r="AD1318">
        <v>41.796473</v>
      </c>
      <c r="AE1318">
        <v>-87.993646</v>
      </c>
      <c r="AF1318" s="5" t="str">
        <f>HYPERLINK("https://www.google.com/maps/search/?api=1&amp;query=41.796473,-87.993646","map")</f>
        <v>map</v>
      </c>
    </row>
    <row r="1319" spans="1:32">
      <c r="A1319" t="s">
        <v>1369</v>
      </c>
      <c r="B1319" t="s">
        <v>8945</v>
      </c>
      <c r="C1319" t="s">
        <v>15283</v>
      </c>
      <c r="D1319" t="s">
        <v>16199</v>
      </c>
      <c r="E1319" t="s">
        <v>16218</v>
      </c>
      <c r="F1319" t="s">
        <v>16222</v>
      </c>
      <c r="G1319" t="s">
        <v>16242</v>
      </c>
      <c r="H1319" t="s">
        <v>16242</v>
      </c>
      <c r="I1319" t="s">
        <v>16318</v>
      </c>
      <c r="J1319" t="s">
        <v>16387</v>
      </c>
      <c r="K1319">
        <v>0.232</v>
      </c>
      <c r="L1319">
        <v>10117</v>
      </c>
      <c r="M1319">
        <v>1554</v>
      </c>
      <c r="N1319" t="s">
        <v>16393</v>
      </c>
      <c r="O1319" s="4">
        <v>76997</v>
      </c>
      <c r="P1319" s="4">
        <v>106962</v>
      </c>
      <c r="Q1319" s="4">
        <v>183959</v>
      </c>
      <c r="R1319" s="4">
        <v>551877</v>
      </c>
      <c r="S1319" t="s">
        <v>17690</v>
      </c>
      <c r="T1319" s="6">
        <v>42767</v>
      </c>
      <c r="U1319" s="4">
        <v>422000</v>
      </c>
      <c r="V1319" t="s">
        <v>23739</v>
      </c>
      <c r="W1319" t="s">
        <v>24381</v>
      </c>
      <c r="X1319" t="s">
        <v>3</v>
      </c>
      <c r="AA1319" s="5" t="str">
        <f>HYPERLINK("https://www.zillow.com/homes/1202-CURTISS-ST-DOWNERS-GROVE-IL-605154630_rb/","check listing")</f>
        <v>check listing</v>
      </c>
      <c r="AB1319" s="5" t="str">
        <f>HYPERLINK("https://propertylookup.dupagecounty.gov/Datalets/Datalet.aspx?UseSearch=no&amp;mode=sales&amp;pin=0907410005","sales record")</f>
        <v>sales record</v>
      </c>
      <c r="AC1319" t="s">
        <v>3</v>
      </c>
      <c r="AD1319">
        <v>41.793729</v>
      </c>
      <c r="AE1319">
        <v>-88.01427700000001</v>
      </c>
      <c r="AF1319" s="5" t="str">
        <f>HYPERLINK("https://www.google.com/maps/search/?api=1&amp;query=41.793729,-88.014277","map")</f>
        <v>map</v>
      </c>
    </row>
    <row r="1320" spans="1:32">
      <c r="A1320" t="s">
        <v>1370</v>
      </c>
      <c r="B1320" t="s">
        <v>8946</v>
      </c>
      <c r="C1320" t="s">
        <v>15277</v>
      </c>
      <c r="D1320" t="s">
        <v>16199</v>
      </c>
      <c r="E1320" t="s">
        <v>16218</v>
      </c>
      <c r="F1320" t="s">
        <v>16222</v>
      </c>
      <c r="G1320" t="s">
        <v>16242</v>
      </c>
      <c r="H1320" t="s">
        <v>16242</v>
      </c>
      <c r="I1320" t="s">
        <v>16318</v>
      </c>
      <c r="J1320" t="s">
        <v>16387</v>
      </c>
      <c r="K1320">
        <v>0.231</v>
      </c>
      <c r="L1320">
        <v>10045</v>
      </c>
      <c r="M1320">
        <v>2595</v>
      </c>
      <c r="N1320" t="s">
        <v>16393</v>
      </c>
      <c r="O1320" s="4">
        <v>80612</v>
      </c>
      <c r="P1320" s="4">
        <v>311873</v>
      </c>
      <c r="Q1320" s="4">
        <v>392485</v>
      </c>
      <c r="R1320" s="4">
        <v>1177455</v>
      </c>
      <c r="S1320" t="s">
        <v>17691</v>
      </c>
      <c r="T1320" s="6">
        <v>41214</v>
      </c>
      <c r="U1320" s="4">
        <v>985000</v>
      </c>
      <c r="V1320" t="s">
        <v>23739</v>
      </c>
      <c r="W1320" t="s">
        <v>24382</v>
      </c>
      <c r="X1320" t="s">
        <v>3</v>
      </c>
      <c r="AA1320" s="5" t="str">
        <f>HYPERLINK("https://www.zillow.com/homes/1101-GROVE-ST-DOWNERS-GROVE-IL-60515_rb/","check listing")</f>
        <v>check listing</v>
      </c>
      <c r="AB1320" s="5" t="str">
        <f>HYPERLINK("https://propertylookup.dupagecounty.gov/Datalets/Datalet.aspx?UseSearch=no&amp;mode=sales&amp;pin=0908310016","sales record")</f>
        <v>sales record</v>
      </c>
      <c r="AC1320" t="s">
        <v>3</v>
      </c>
      <c r="AD1320">
        <v>41.791992</v>
      </c>
      <c r="AE1320">
        <v>-88.012049</v>
      </c>
      <c r="AF1320" s="5" t="str">
        <f>HYPERLINK("https://www.google.com/maps/search/?api=1&amp;query=41.791992,-88.012049","map")</f>
        <v>map</v>
      </c>
    </row>
    <row r="1321" spans="1:32">
      <c r="A1321" t="s">
        <v>1371</v>
      </c>
      <c r="B1321" t="s">
        <v>8947</v>
      </c>
      <c r="C1321" t="s">
        <v>15277</v>
      </c>
      <c r="D1321" t="s">
        <v>16199</v>
      </c>
      <c r="E1321" t="s">
        <v>16218</v>
      </c>
      <c r="F1321" t="s">
        <v>16222</v>
      </c>
      <c r="G1321" t="s">
        <v>16242</v>
      </c>
      <c r="H1321" t="s">
        <v>16242</v>
      </c>
      <c r="I1321" t="s">
        <v>16318</v>
      </c>
      <c r="J1321" t="s">
        <v>16387</v>
      </c>
      <c r="K1321">
        <v>0.228</v>
      </c>
      <c r="L1321">
        <v>9918</v>
      </c>
      <c r="M1321">
        <v>1121</v>
      </c>
      <c r="N1321" t="s">
        <v>16393</v>
      </c>
      <c r="O1321" s="4">
        <v>82314</v>
      </c>
      <c r="P1321" s="4">
        <v>91363</v>
      </c>
      <c r="Q1321" s="4">
        <v>173677</v>
      </c>
      <c r="R1321" s="4">
        <v>521031</v>
      </c>
      <c r="S1321" t="s">
        <v>17692</v>
      </c>
      <c r="T1321" s="6">
        <v>37012</v>
      </c>
      <c r="U1321" s="4">
        <v>160000</v>
      </c>
      <c r="V1321" t="s">
        <v>23739</v>
      </c>
      <c r="W1321" t="s">
        <v>24383</v>
      </c>
      <c r="X1321" t="s">
        <v>3</v>
      </c>
      <c r="AA1321" s="5" t="str">
        <f>HYPERLINK("https://www.zillow.com/homes/5115-CARPENTER-ST-DOWNERS-GROVE-IL-60515_rb/","check listing")</f>
        <v>check listing</v>
      </c>
      <c r="AB1321" s="5" t="str">
        <f>HYPERLINK("https://propertylookup.dupagecounty.gov/Datalets/Datalet.aspx?UseSearch=no&amp;mode=sales&amp;pin=0907410001","sales record")</f>
        <v>sales record</v>
      </c>
      <c r="AC1321" t="s">
        <v>3</v>
      </c>
      <c r="AD1321">
        <v>41.794218</v>
      </c>
      <c r="AE1321">
        <v>-88.014726</v>
      </c>
      <c r="AF1321" s="5" t="str">
        <f>HYPERLINK("https://www.google.com/maps/search/?api=1&amp;query=41.794218,-88.014726","map")</f>
        <v>map</v>
      </c>
    </row>
    <row r="1322" spans="1:32">
      <c r="A1322" t="s">
        <v>1372</v>
      </c>
      <c r="B1322" t="s">
        <v>8948</v>
      </c>
      <c r="C1322" t="s">
        <v>15277</v>
      </c>
      <c r="D1322" t="s">
        <v>16199</v>
      </c>
      <c r="E1322" t="s">
        <v>16218</v>
      </c>
      <c r="F1322" t="s">
        <v>16222</v>
      </c>
      <c r="G1322" t="s">
        <v>16242</v>
      </c>
      <c r="H1322" t="s">
        <v>16242</v>
      </c>
      <c r="I1322" t="s">
        <v>16318</v>
      </c>
      <c r="J1322" t="s">
        <v>16387</v>
      </c>
      <c r="K1322">
        <v>0.226</v>
      </c>
      <c r="L1322">
        <v>9827</v>
      </c>
      <c r="M1322">
        <v>969</v>
      </c>
      <c r="N1322" t="s">
        <v>16393</v>
      </c>
      <c r="O1322" s="4">
        <v>86434</v>
      </c>
      <c r="P1322" s="4">
        <v>114216</v>
      </c>
      <c r="Q1322" s="4">
        <v>200650</v>
      </c>
      <c r="R1322" s="4">
        <v>601950</v>
      </c>
      <c r="S1322" t="s">
        <v>17693</v>
      </c>
      <c r="T1322" s="6">
        <v>33848</v>
      </c>
      <c r="U1322" s="4">
        <v>178000</v>
      </c>
      <c r="X1322" t="s">
        <v>3</v>
      </c>
      <c r="AA1322" s="5" t="str">
        <f>HYPERLINK("https://www.zillow.com/homes/4948-SARATOGA-ST-DOWNERS-GROVE-IL-60515_rb/","check listing")</f>
        <v>check listing</v>
      </c>
      <c r="AB1322" s="5" t="str">
        <f>HYPERLINK("https://propertylookup.dupagecounty.gov/Datalets/Datalet.aspx?UseSearch=no&amp;mode=sales&amp;pin=0908114010","sales record")</f>
        <v>sales record</v>
      </c>
      <c r="AC1322" t="s">
        <v>3</v>
      </c>
      <c r="AD1322">
        <v>41.796614</v>
      </c>
      <c r="AE1322">
        <v>-88.014171</v>
      </c>
      <c r="AF1322" s="5" t="str">
        <f>HYPERLINK("https://www.google.com/maps/search/?api=1&amp;query=41.796614,-88.014171","map")</f>
        <v>map</v>
      </c>
    </row>
    <row r="1323" spans="1:32">
      <c r="A1323" t="s">
        <v>1373</v>
      </c>
      <c r="B1323" t="s">
        <v>8949</v>
      </c>
      <c r="C1323" t="s">
        <v>15277</v>
      </c>
      <c r="D1323" t="s">
        <v>16199</v>
      </c>
      <c r="E1323" t="s">
        <v>16218</v>
      </c>
      <c r="F1323" t="s">
        <v>16222</v>
      </c>
      <c r="G1323" t="s">
        <v>16244</v>
      </c>
      <c r="H1323" t="s">
        <v>16244</v>
      </c>
      <c r="I1323" t="s">
        <v>16320</v>
      </c>
      <c r="J1323" t="s">
        <v>16387</v>
      </c>
      <c r="K1323">
        <v>0.215</v>
      </c>
      <c r="L1323">
        <v>9347</v>
      </c>
      <c r="M1323">
        <v>1050</v>
      </c>
      <c r="N1323" t="s">
        <v>16393</v>
      </c>
      <c r="O1323" s="4">
        <v>58687</v>
      </c>
      <c r="P1323" s="4">
        <v>36985</v>
      </c>
      <c r="Q1323" s="4">
        <v>95672</v>
      </c>
      <c r="R1323" s="4">
        <v>287016</v>
      </c>
      <c r="S1323" t="s">
        <v>17694</v>
      </c>
      <c r="T1323" s="6">
        <v>41821</v>
      </c>
      <c r="U1323" s="4">
        <v>175000</v>
      </c>
      <c r="V1323" t="s">
        <v>23740</v>
      </c>
      <c r="W1323" t="s">
        <v>24384</v>
      </c>
      <c r="X1323" t="s">
        <v>3</v>
      </c>
      <c r="AA1323" s="5" t="str">
        <f>HYPERLINK("https://www.zillow.com/homes/5007-WILCOX-AVE-DOWNERS-GROVE-IL-60515_rb/","check listing")</f>
        <v>check listing</v>
      </c>
      <c r="AB1323" s="5" t="str">
        <f>HYPERLINK("https://propertylookup.dupagecounty.gov/Datalets/Datalet.aspx?UseSearch=no&amp;mode=sales&amp;pin=0909110007","sales record")</f>
        <v>sales record</v>
      </c>
      <c r="AC1323" t="s">
        <v>3</v>
      </c>
      <c r="AD1323">
        <v>41.796372</v>
      </c>
      <c r="AE1323">
        <v>-87.992751</v>
      </c>
      <c r="AF1323" s="5" t="str">
        <f>HYPERLINK("https://www.google.com/maps/search/?api=1&amp;query=41.796372,-87.992751","map")</f>
        <v>map</v>
      </c>
    </row>
    <row r="1324" spans="1:32">
      <c r="A1324" t="s">
        <v>1374</v>
      </c>
      <c r="B1324" t="s">
        <v>8950</v>
      </c>
      <c r="C1324" t="s">
        <v>15277</v>
      </c>
      <c r="D1324" t="s">
        <v>16199</v>
      </c>
      <c r="E1324" t="s">
        <v>16218</v>
      </c>
      <c r="F1324" t="s">
        <v>16222</v>
      </c>
      <c r="G1324" t="s">
        <v>16242</v>
      </c>
      <c r="H1324" t="s">
        <v>16242</v>
      </c>
      <c r="I1324" t="s">
        <v>16318</v>
      </c>
      <c r="J1324" t="s">
        <v>16387</v>
      </c>
      <c r="K1324">
        <v>0.21</v>
      </c>
      <c r="L1324">
        <v>9143</v>
      </c>
      <c r="M1324">
        <v>756</v>
      </c>
      <c r="N1324" t="s">
        <v>16393</v>
      </c>
      <c r="O1324" s="4">
        <v>95237</v>
      </c>
      <c r="P1324" s="4">
        <v>113207</v>
      </c>
      <c r="Q1324" s="4">
        <v>208444</v>
      </c>
      <c r="R1324" s="4">
        <v>625332</v>
      </c>
      <c r="S1324" t="s">
        <v>17695</v>
      </c>
      <c r="X1324" t="s">
        <v>3</v>
      </c>
      <c r="AA1324" s="5" t="str">
        <f>HYPERLINK("https://www.zillow.com/homes/4952-SARATOGA-ST-DOWNERS-GROVE-IL-60515_rb/","check listing")</f>
        <v>check listing</v>
      </c>
      <c r="AB1324" s="5" t="str">
        <f>HYPERLINK("https://propertylookup.dupagecounty.gov/Datalets/Datalet.aspx?UseSearch=no&amp;mode=sales&amp;pin=0908114011","sales record")</f>
        <v>sales record</v>
      </c>
      <c r="AC1324" t="s">
        <v>3</v>
      </c>
      <c r="AD1324">
        <v>41.796402</v>
      </c>
      <c r="AE1324">
        <v>-88.014163</v>
      </c>
      <c r="AF1324" s="5" t="str">
        <f>HYPERLINK("https://www.google.com/maps/search/?api=1&amp;query=41.796402,-88.014163","map")</f>
        <v>map</v>
      </c>
    </row>
    <row r="1325" spans="1:32">
      <c r="A1325" t="s">
        <v>1375</v>
      </c>
      <c r="B1325" t="s">
        <v>8951</v>
      </c>
      <c r="C1325" t="s">
        <v>15277</v>
      </c>
      <c r="D1325" t="s">
        <v>16199</v>
      </c>
      <c r="E1325" t="s">
        <v>16218</v>
      </c>
      <c r="F1325" t="s">
        <v>16222</v>
      </c>
      <c r="G1325" t="s">
        <v>16242</v>
      </c>
      <c r="H1325" t="s">
        <v>16242</v>
      </c>
      <c r="I1325" t="s">
        <v>16318</v>
      </c>
      <c r="J1325" t="s">
        <v>16387</v>
      </c>
      <c r="K1325">
        <v>0.209</v>
      </c>
      <c r="L1325">
        <v>9084</v>
      </c>
      <c r="N1325" t="s">
        <v>16393</v>
      </c>
      <c r="O1325" s="4">
        <v>7618</v>
      </c>
      <c r="P1325" s="4">
        <v>118</v>
      </c>
      <c r="Q1325" s="4">
        <v>7736</v>
      </c>
      <c r="R1325" s="4">
        <v>23208</v>
      </c>
      <c r="S1325" t="s">
        <v>17696</v>
      </c>
      <c r="T1325" s="6">
        <v>34547</v>
      </c>
      <c r="U1325" s="4">
        <v>195000</v>
      </c>
      <c r="X1325" t="s">
        <v>3</v>
      </c>
      <c r="AA1325" s="5" t="str">
        <f>HYPERLINK("https://www.zillow.com/homes/1041-GROVE-ST-DOWNERS-GROVE-IL-60515_rb/","check listing")</f>
        <v>check listing</v>
      </c>
      <c r="AB1325" s="5" t="str">
        <f>HYPERLINK("https://propertylookup.dupagecounty.gov/Datalets/Datalet.aspx?UseSearch=no&amp;mode=sales&amp;pin=0908310019","sales record")</f>
        <v>sales record</v>
      </c>
      <c r="AC1325" t="s">
        <v>3</v>
      </c>
      <c r="AD1325">
        <v>41.792021</v>
      </c>
      <c r="AE1325">
        <v>-88.01142</v>
      </c>
      <c r="AF1325" s="5" t="str">
        <f>HYPERLINK("https://www.google.com/maps/search/?api=1&amp;query=41.792021,-88.01142","map")</f>
        <v>map</v>
      </c>
    </row>
    <row r="1326" spans="1:32">
      <c r="A1326" t="s">
        <v>1376</v>
      </c>
      <c r="B1326" t="s">
        <v>8952</v>
      </c>
      <c r="C1326" t="s">
        <v>15277</v>
      </c>
      <c r="D1326" t="s">
        <v>16199</v>
      </c>
      <c r="E1326" t="s">
        <v>16218</v>
      </c>
      <c r="F1326" t="s">
        <v>16222</v>
      </c>
      <c r="G1326" t="s">
        <v>16244</v>
      </c>
      <c r="H1326" t="s">
        <v>16244</v>
      </c>
      <c r="I1326" t="s">
        <v>16320</v>
      </c>
      <c r="J1326" t="s">
        <v>16387</v>
      </c>
      <c r="K1326">
        <v>0.207</v>
      </c>
      <c r="L1326">
        <v>8999</v>
      </c>
      <c r="M1326">
        <v>620</v>
      </c>
      <c r="N1326" t="s">
        <v>16393</v>
      </c>
      <c r="O1326" s="4">
        <v>55893</v>
      </c>
      <c r="P1326" s="4">
        <v>32970</v>
      </c>
      <c r="Q1326" s="4">
        <v>88863</v>
      </c>
      <c r="R1326" s="4">
        <v>266589</v>
      </c>
      <c r="S1326" t="s">
        <v>17697</v>
      </c>
      <c r="T1326" s="6">
        <v>41579</v>
      </c>
      <c r="U1326" s="4">
        <v>145000</v>
      </c>
      <c r="V1326" t="s">
        <v>23740</v>
      </c>
      <c r="W1326" t="s">
        <v>24385</v>
      </c>
      <c r="X1326" t="s">
        <v>3</v>
      </c>
      <c r="AA1326" s="5" t="str">
        <f>HYPERLINK("https://www.zillow.com/homes/5003-WILCOX-AVE-DOWNERS-GROVE-IL-60515_rb/","check listing")</f>
        <v>check listing</v>
      </c>
      <c r="AB1326" s="5" t="str">
        <f>HYPERLINK("https://propertylookup.dupagecounty.gov/Datalets/Datalet.aspx?UseSearch=no&amp;mode=sales&amp;pin=0909110006","sales record")</f>
        <v>sales record</v>
      </c>
      <c r="AC1326" t="s">
        <v>27873</v>
      </c>
      <c r="AD1326">
        <v>41.796589</v>
      </c>
      <c r="AE1326">
        <v>-87.99276</v>
      </c>
      <c r="AF1326" s="5" t="str">
        <f>HYPERLINK("https://www.google.com/maps/search/?api=1&amp;query=41.796589,-87.99276","map")</f>
        <v>map</v>
      </c>
    </row>
    <row r="1327" spans="1:32">
      <c r="A1327" t="s">
        <v>1377</v>
      </c>
      <c r="B1327" t="s">
        <v>8953</v>
      </c>
      <c r="C1327" t="s">
        <v>15277</v>
      </c>
      <c r="D1327" t="s">
        <v>16199</v>
      </c>
      <c r="E1327" t="s">
        <v>16218</v>
      </c>
      <c r="F1327" t="s">
        <v>16222</v>
      </c>
      <c r="G1327" t="s">
        <v>16242</v>
      </c>
      <c r="H1327" t="s">
        <v>16242</v>
      </c>
      <c r="I1327" t="s">
        <v>16318</v>
      </c>
      <c r="J1327" t="s">
        <v>16387</v>
      </c>
      <c r="K1327">
        <v>0.204</v>
      </c>
      <c r="L1327">
        <v>8870</v>
      </c>
      <c r="M1327">
        <v>1780</v>
      </c>
      <c r="N1327" t="s">
        <v>16393</v>
      </c>
      <c r="O1327" s="4">
        <v>71293</v>
      </c>
      <c r="P1327" s="4">
        <v>296685</v>
      </c>
      <c r="Q1327" s="4">
        <v>367978</v>
      </c>
      <c r="R1327" s="4">
        <v>1103934</v>
      </c>
      <c r="S1327" t="s">
        <v>17698</v>
      </c>
      <c r="T1327" s="6">
        <v>41061</v>
      </c>
      <c r="U1327" s="4">
        <v>795000</v>
      </c>
      <c r="V1327" t="s">
        <v>23739</v>
      </c>
      <c r="W1327" t="s">
        <v>24386</v>
      </c>
      <c r="X1327" t="s">
        <v>3</v>
      </c>
      <c r="AA1327" s="5" t="str">
        <f>HYPERLINK("https://www.zillow.com/homes/1201-GILBERT-AVE-DOWNERS-GROVE-IL-60515_rb/","check listing")</f>
        <v>check listing</v>
      </c>
      <c r="AB1327" s="5" t="str">
        <f>HYPERLINK("https://propertylookup.dupagecounty.gov/Datalets/Datalet.aspx?UseSearch=no&amp;mode=sales&amp;pin=0907410002","sales record")</f>
        <v>sales record</v>
      </c>
      <c r="AC1327" t="s">
        <v>3</v>
      </c>
      <c r="AD1327">
        <v>41.794235</v>
      </c>
      <c r="AE1327">
        <v>-88.01453600000001</v>
      </c>
      <c r="AF1327" s="5" t="str">
        <f>HYPERLINK("https://www.google.com/maps/search/?api=1&amp;query=41.794235,-88.014536","map")</f>
        <v>map</v>
      </c>
    </row>
    <row r="1328" spans="1:32">
      <c r="A1328" t="s">
        <v>1378</v>
      </c>
      <c r="B1328" t="s">
        <v>8954</v>
      </c>
      <c r="C1328" t="s">
        <v>15284</v>
      </c>
      <c r="D1328" t="s">
        <v>16199</v>
      </c>
      <c r="E1328" t="s">
        <v>16218</v>
      </c>
      <c r="F1328" t="s">
        <v>16222</v>
      </c>
      <c r="G1328" t="s">
        <v>16242</v>
      </c>
      <c r="H1328" t="s">
        <v>16242</v>
      </c>
      <c r="I1328" t="s">
        <v>16318</v>
      </c>
      <c r="J1328" t="s">
        <v>16387</v>
      </c>
      <c r="K1328">
        <v>0.2</v>
      </c>
      <c r="L1328">
        <v>8729</v>
      </c>
      <c r="M1328">
        <v>1103</v>
      </c>
      <c r="N1328" t="s">
        <v>16393</v>
      </c>
      <c r="O1328" s="4">
        <v>72020</v>
      </c>
      <c r="P1328" s="4">
        <v>91317</v>
      </c>
      <c r="Q1328" s="4">
        <v>163337</v>
      </c>
      <c r="R1328" s="4">
        <v>490011</v>
      </c>
      <c r="S1328" t="s">
        <v>17699</v>
      </c>
      <c r="T1328" s="6">
        <v>44750</v>
      </c>
      <c r="U1328" s="4">
        <v>685000</v>
      </c>
      <c r="V1328" t="s">
        <v>23739</v>
      </c>
      <c r="W1328" t="s">
        <v>24387</v>
      </c>
      <c r="X1328" t="s">
        <v>3</v>
      </c>
      <c r="AA1328" s="5" t="str">
        <f>HYPERLINK("https://www.zillow.com/homes/1143-GILBERT-AVE-DOWNERS-GROVE-IL-605154627_rb/","check listing")</f>
        <v>check listing</v>
      </c>
      <c r="AB1328" s="5" t="str">
        <f>HYPERLINK("https://propertylookup.dupagecounty.gov/Datalets/Datalet.aspx?UseSearch=no&amp;mode=sales&amp;pin=0907410003","sales record")</f>
        <v>sales record</v>
      </c>
      <c r="AC1328" t="s">
        <v>3</v>
      </c>
      <c r="AD1328">
        <v>41.794256</v>
      </c>
      <c r="AE1328">
        <v>-88.014349</v>
      </c>
      <c r="AF1328" s="5" t="str">
        <f>HYPERLINK("https://www.google.com/maps/search/?api=1&amp;query=41.794256,-88.014349","map")</f>
        <v>map</v>
      </c>
    </row>
    <row r="1329" spans="1:32">
      <c r="A1329" t="s">
        <v>1379</v>
      </c>
      <c r="B1329" t="s">
        <v>8955</v>
      </c>
      <c r="C1329" t="s">
        <v>15277</v>
      </c>
      <c r="D1329" t="s">
        <v>16199</v>
      </c>
      <c r="E1329" t="s">
        <v>16218</v>
      </c>
      <c r="F1329" t="s">
        <v>16222</v>
      </c>
      <c r="G1329" t="s">
        <v>16244</v>
      </c>
      <c r="H1329" t="s">
        <v>16244</v>
      </c>
      <c r="I1329" t="s">
        <v>16320</v>
      </c>
      <c r="J1329" t="s">
        <v>16387</v>
      </c>
      <c r="K1329">
        <v>0.2</v>
      </c>
      <c r="L1329">
        <v>8723</v>
      </c>
      <c r="M1329">
        <v>943</v>
      </c>
      <c r="N1329" t="s">
        <v>16393</v>
      </c>
      <c r="O1329" s="4">
        <v>80342</v>
      </c>
      <c r="P1329" s="4">
        <v>40775</v>
      </c>
      <c r="Q1329" s="4">
        <v>121117</v>
      </c>
      <c r="R1329" s="4">
        <v>363351</v>
      </c>
      <c r="S1329" t="s">
        <v>17700</v>
      </c>
      <c r="X1329" t="s">
        <v>3</v>
      </c>
      <c r="AA1329" s="5" t="str">
        <f>HYPERLINK("https://www.zillow.com/homes/412-ROGERS-ST-DOWNERS-GROVE-IL-60515_rb/","check listing")</f>
        <v>check listing</v>
      </c>
      <c r="AB1329" s="5" t="str">
        <f>HYPERLINK("https://propertylookup.dupagecounty.gov/Datalets/Datalet.aspx?UseSearch=no&amp;mode=sales&amp;pin=0908225023","sales record")</f>
        <v>sales record</v>
      </c>
      <c r="AC1329" t="s">
        <v>3</v>
      </c>
      <c r="AD1329">
        <v>41.796992</v>
      </c>
      <c r="AE1329">
        <v>-87.99550600000001</v>
      </c>
      <c r="AF1329" s="5" t="str">
        <f>HYPERLINK("https://www.google.com/maps/search/?api=1&amp;query=41.796992,-87.995506","map")</f>
        <v>map</v>
      </c>
    </row>
    <row r="1330" spans="1:32">
      <c r="A1330" t="s">
        <v>1380</v>
      </c>
      <c r="B1330" t="s">
        <v>8956</v>
      </c>
      <c r="C1330" t="s">
        <v>15285</v>
      </c>
      <c r="D1330" t="s">
        <v>16199</v>
      </c>
      <c r="E1330" t="s">
        <v>16218</v>
      </c>
      <c r="F1330" t="s">
        <v>16222</v>
      </c>
      <c r="G1330" t="s">
        <v>16242</v>
      </c>
      <c r="H1330" t="s">
        <v>16242</v>
      </c>
      <c r="I1330" t="s">
        <v>16318</v>
      </c>
      <c r="J1330" t="s">
        <v>16387</v>
      </c>
      <c r="K1330">
        <v>0.197</v>
      </c>
      <c r="L1330">
        <v>8573</v>
      </c>
      <c r="M1330">
        <v>964</v>
      </c>
      <c r="N1330" t="s">
        <v>16393</v>
      </c>
      <c r="O1330" s="4">
        <v>76844</v>
      </c>
      <c r="P1330" s="4">
        <v>85812</v>
      </c>
      <c r="Q1330" s="4">
        <v>162656</v>
      </c>
      <c r="R1330" s="4">
        <v>487968</v>
      </c>
      <c r="S1330" t="s">
        <v>17701</v>
      </c>
      <c r="T1330" s="6">
        <v>44136</v>
      </c>
      <c r="U1330" s="4">
        <v>380000</v>
      </c>
      <c r="V1330" t="s">
        <v>23739</v>
      </c>
      <c r="W1330" t="s">
        <v>17701</v>
      </c>
      <c r="X1330" t="s">
        <v>3</v>
      </c>
      <c r="AA1330" s="5" t="str">
        <f>HYPERLINK("https://www.zillow.com/homes/5211-WASHINGTON-ST-DOWNERS-GROVE-IL-605154705_rb/","check listing")</f>
        <v>check listing</v>
      </c>
      <c r="AB1330" s="5" t="str">
        <f>HYPERLINK("https://propertylookup.dupagecounty.gov/Datalets/Datalet.aspx?UseSearch=no&amp;mode=sales&amp;pin=0908307009","sales record")</f>
        <v>sales record</v>
      </c>
      <c r="AC1330" t="s">
        <v>27873</v>
      </c>
      <c r="AD1330">
        <v>41.792861</v>
      </c>
      <c r="AE1330">
        <v>-88.007194</v>
      </c>
      <c r="AF1330" s="5" t="str">
        <f>HYPERLINK("https://www.google.com/maps/search/?api=1&amp;query=41.792861,-88.007194","map")</f>
        <v>map</v>
      </c>
    </row>
    <row r="1331" spans="1:32">
      <c r="A1331" t="s">
        <v>1381</v>
      </c>
      <c r="B1331" t="s">
        <v>8957</v>
      </c>
      <c r="C1331" t="s">
        <v>15277</v>
      </c>
      <c r="D1331" t="s">
        <v>16199</v>
      </c>
      <c r="E1331" t="s">
        <v>16218</v>
      </c>
      <c r="F1331" t="s">
        <v>16222</v>
      </c>
      <c r="G1331" t="s">
        <v>16242</v>
      </c>
      <c r="H1331" t="s">
        <v>16242</v>
      </c>
      <c r="I1331" t="s">
        <v>16318</v>
      </c>
      <c r="J1331" t="s">
        <v>16387</v>
      </c>
      <c r="K1331">
        <v>0.196</v>
      </c>
      <c r="L1331">
        <v>8557</v>
      </c>
      <c r="M1331">
        <v>1285</v>
      </c>
      <c r="N1331" t="s">
        <v>16393</v>
      </c>
      <c r="O1331" s="4">
        <v>75847</v>
      </c>
      <c r="P1331" s="4">
        <v>109674</v>
      </c>
      <c r="Q1331" s="4">
        <v>185521</v>
      </c>
      <c r="R1331" s="4">
        <v>556563</v>
      </c>
      <c r="S1331" t="s">
        <v>17702</v>
      </c>
      <c r="T1331" s="6">
        <v>33482</v>
      </c>
      <c r="U1331" s="4">
        <v>176000</v>
      </c>
      <c r="X1331" t="s">
        <v>3</v>
      </c>
      <c r="AA1331" s="5" t="str">
        <f>HYPERLINK("https://www.zillow.com/homes/1141-CURTISS-ST-DOWNERS-GROVE-IL-60515_rb/","check listing")</f>
        <v>check listing</v>
      </c>
      <c r="AB1331" s="5" t="str">
        <f>HYPERLINK("https://propertylookup.dupagecounty.gov/Datalets/Datalet.aspx?UseSearch=no&amp;mode=sales&amp;pin=0908305001","sales record")</f>
        <v>sales record</v>
      </c>
      <c r="AC1331" t="s">
        <v>3</v>
      </c>
      <c r="AD1331">
        <v>41.793231</v>
      </c>
      <c r="AE1331">
        <v>-88.01396800000001</v>
      </c>
      <c r="AF1331" s="5" t="str">
        <f>HYPERLINK("https://www.google.com/maps/search/?api=1&amp;query=41.793231,-88.013968","map")</f>
        <v>map</v>
      </c>
    </row>
    <row r="1332" spans="1:32">
      <c r="A1332" t="s">
        <v>1382</v>
      </c>
      <c r="B1332" t="s">
        <v>8958</v>
      </c>
      <c r="C1332" t="s">
        <v>15277</v>
      </c>
      <c r="D1332" t="s">
        <v>16199</v>
      </c>
      <c r="E1332" t="s">
        <v>16218</v>
      </c>
      <c r="F1332" t="s">
        <v>16222</v>
      </c>
      <c r="G1332" t="s">
        <v>16242</v>
      </c>
      <c r="H1332" t="s">
        <v>16242</v>
      </c>
      <c r="I1332" t="s">
        <v>16318</v>
      </c>
      <c r="J1332" t="s">
        <v>16387</v>
      </c>
      <c r="K1332">
        <v>0.196</v>
      </c>
      <c r="L1332">
        <v>8534</v>
      </c>
      <c r="M1332">
        <v>1193</v>
      </c>
      <c r="N1332" t="s">
        <v>16393</v>
      </c>
      <c r="O1332" s="4">
        <v>94650</v>
      </c>
      <c r="P1332" s="4">
        <v>87267</v>
      </c>
      <c r="Q1332" s="4">
        <v>181917</v>
      </c>
      <c r="R1332" s="4">
        <v>545751</v>
      </c>
      <c r="S1332" t="s">
        <v>17703</v>
      </c>
      <c r="T1332" s="6">
        <v>37803</v>
      </c>
      <c r="U1332" s="4">
        <v>215000</v>
      </c>
      <c r="V1332" t="s">
        <v>23739</v>
      </c>
      <c r="W1332" t="s">
        <v>24388</v>
      </c>
      <c r="X1332" t="s">
        <v>3</v>
      </c>
      <c r="AA1332" s="5" t="str">
        <f>HYPERLINK("https://www.zillow.com/homes/903-ROGERS-ST-DOWNERS-GROVE-IL-60515_rb/","check listing")</f>
        <v>check listing</v>
      </c>
      <c r="AB1332" s="5" t="str">
        <f>HYPERLINK("https://propertylookup.dupagecounty.gov/Datalets/Datalet.aspx?UseSearch=no&amp;mode=sales&amp;pin=0908124009","sales record")</f>
        <v>sales record</v>
      </c>
      <c r="AC1332" t="s">
        <v>27873</v>
      </c>
      <c r="AD1332">
        <v>41.796351</v>
      </c>
      <c r="AE1332">
        <v>-88.007165</v>
      </c>
      <c r="AF1332" s="5" t="str">
        <f>HYPERLINK("https://www.google.com/maps/search/?api=1&amp;query=41.796351,-88.007165","map")</f>
        <v>map</v>
      </c>
    </row>
    <row r="1333" spans="1:32">
      <c r="A1333" t="s">
        <v>1383</v>
      </c>
      <c r="B1333" t="s">
        <v>8959</v>
      </c>
      <c r="C1333" t="s">
        <v>15277</v>
      </c>
      <c r="D1333" t="s">
        <v>16199</v>
      </c>
      <c r="E1333" t="s">
        <v>16218</v>
      </c>
      <c r="F1333" t="s">
        <v>16222</v>
      </c>
      <c r="G1333" t="s">
        <v>16242</v>
      </c>
      <c r="H1333" t="s">
        <v>16242</v>
      </c>
      <c r="I1333" t="s">
        <v>16318</v>
      </c>
      <c r="J1333" t="s">
        <v>16387</v>
      </c>
      <c r="K1333">
        <v>0.195</v>
      </c>
      <c r="L1333">
        <v>8502</v>
      </c>
      <c r="M1333">
        <v>1742</v>
      </c>
      <c r="N1333" t="s">
        <v>16393</v>
      </c>
      <c r="O1333" s="4">
        <v>76175</v>
      </c>
      <c r="P1333" s="4">
        <v>95636</v>
      </c>
      <c r="Q1333" s="4">
        <v>171811</v>
      </c>
      <c r="R1333" s="4">
        <v>515433</v>
      </c>
      <c r="S1333" t="s">
        <v>17704</v>
      </c>
      <c r="T1333" s="6">
        <v>39569</v>
      </c>
      <c r="U1333" s="4">
        <v>315000</v>
      </c>
      <c r="V1333" t="s">
        <v>16232</v>
      </c>
      <c r="W1333" t="s">
        <v>24389</v>
      </c>
      <c r="X1333" t="s">
        <v>3</v>
      </c>
      <c r="AA1333" s="5" t="str">
        <f>HYPERLINK("https://www.zillow.com/homes/805-CURTISS-ST-DOWNERS-GROVE-IL-60515_rb/","check listing")</f>
        <v>check listing</v>
      </c>
      <c r="AB1333" s="5" t="str">
        <f>HYPERLINK("https://propertylookup.dupagecounty.gov/Datalets/Datalet.aspx?UseSearch=no&amp;mode=sales&amp;pin=0908308002","sales record")</f>
        <v>sales record</v>
      </c>
      <c r="AC1333" t="s">
        <v>3</v>
      </c>
      <c r="AD1333">
        <v>41.79432</v>
      </c>
      <c r="AE1333">
        <v>-88.00484400000001</v>
      </c>
      <c r="AF1333" s="5" t="str">
        <f>HYPERLINK("https://www.google.com/maps/search/?api=1&amp;query=41.79432,-88.004844","map")</f>
        <v>map</v>
      </c>
    </row>
    <row r="1334" spans="1:32">
      <c r="A1334" t="s">
        <v>1384</v>
      </c>
      <c r="B1334" t="s">
        <v>8960</v>
      </c>
      <c r="C1334" t="s">
        <v>15286</v>
      </c>
      <c r="D1334" t="s">
        <v>16199</v>
      </c>
      <c r="E1334" t="s">
        <v>16218</v>
      </c>
      <c r="F1334" t="s">
        <v>16222</v>
      </c>
      <c r="G1334" t="s">
        <v>16244</v>
      </c>
      <c r="H1334" t="s">
        <v>16244</v>
      </c>
      <c r="I1334" t="s">
        <v>16320</v>
      </c>
      <c r="J1334" t="s">
        <v>16387</v>
      </c>
      <c r="K1334">
        <v>0.193</v>
      </c>
      <c r="L1334">
        <v>8398</v>
      </c>
      <c r="M1334">
        <v>1095</v>
      </c>
      <c r="N1334" t="s">
        <v>16393</v>
      </c>
      <c r="O1334" s="4">
        <v>52159</v>
      </c>
      <c r="P1334" s="4">
        <v>23360</v>
      </c>
      <c r="Q1334" s="4">
        <v>75519</v>
      </c>
      <c r="R1334" s="4">
        <v>226557</v>
      </c>
      <c r="S1334" t="s">
        <v>17705</v>
      </c>
      <c r="T1334" s="6">
        <v>42186</v>
      </c>
      <c r="U1334" s="4">
        <v>150000</v>
      </c>
      <c r="V1334" t="s">
        <v>23740</v>
      </c>
      <c r="W1334" t="s">
        <v>24390</v>
      </c>
      <c r="X1334" t="s">
        <v>3</v>
      </c>
      <c r="AA1334" s="5" t="str">
        <f>HYPERLINK("https://www.zillow.com/homes/4953-WILCOX-AVE-DOWNERS-GROVE-IL-605153909_rb/","check listing")</f>
        <v>check listing</v>
      </c>
      <c r="AB1334" s="5" t="str">
        <f>HYPERLINK("https://propertylookup.dupagecounty.gov/Datalets/Datalet.aspx?UseSearch=no&amp;mode=sales&amp;pin=0909110005","sales record")</f>
        <v>sales record</v>
      </c>
      <c r="AC1334" t="s">
        <v>27873</v>
      </c>
      <c r="AD1334">
        <v>41.79672</v>
      </c>
      <c r="AE1334">
        <v>-87.992766</v>
      </c>
      <c r="AF1334" s="5" t="str">
        <f>HYPERLINK("https://www.google.com/maps/search/?api=1&amp;query=41.79672,-87.992766","map")</f>
        <v>map</v>
      </c>
    </row>
    <row r="1335" spans="1:32">
      <c r="A1335" t="s">
        <v>1385</v>
      </c>
      <c r="B1335" t="s">
        <v>8961</v>
      </c>
      <c r="C1335" t="s">
        <v>15287</v>
      </c>
      <c r="D1335" t="s">
        <v>16199</v>
      </c>
      <c r="E1335" t="s">
        <v>16218</v>
      </c>
      <c r="F1335" t="s">
        <v>16222</v>
      </c>
      <c r="G1335" t="s">
        <v>16242</v>
      </c>
      <c r="H1335" t="s">
        <v>16242</v>
      </c>
      <c r="I1335" t="s">
        <v>16318</v>
      </c>
      <c r="J1335" t="s">
        <v>16387</v>
      </c>
      <c r="K1335">
        <v>0.191</v>
      </c>
      <c r="L1335">
        <v>8333</v>
      </c>
      <c r="M1335">
        <v>2359</v>
      </c>
      <c r="N1335" t="s">
        <v>16393</v>
      </c>
      <c r="O1335" s="4">
        <v>69250</v>
      </c>
      <c r="P1335" s="4">
        <v>117714</v>
      </c>
      <c r="Q1335" s="4">
        <v>186964</v>
      </c>
      <c r="R1335" s="4">
        <v>560892</v>
      </c>
      <c r="S1335" t="s">
        <v>17706</v>
      </c>
      <c r="T1335" s="6">
        <v>43252</v>
      </c>
      <c r="U1335" s="4">
        <v>550000</v>
      </c>
      <c r="V1335" t="s">
        <v>23739</v>
      </c>
      <c r="W1335" t="s">
        <v>17706</v>
      </c>
      <c r="X1335" t="s">
        <v>3</v>
      </c>
      <c r="AA1335" s="5" t="str">
        <f>HYPERLINK("https://www.zillow.com/homes/1049-GROVE-ST-DOWNERS-GROVE-IL-605154636_rb/","check listing")</f>
        <v>check listing</v>
      </c>
      <c r="AB1335" s="5" t="str">
        <f>HYPERLINK("https://propertylookup.dupagecounty.gov/Datalets/Datalet.aspx?UseSearch=no&amp;mode=sales&amp;pin=0908310017","sales record")</f>
        <v>sales record</v>
      </c>
      <c r="AC1335" t="s">
        <v>3</v>
      </c>
      <c r="AD1335">
        <v>41.79201</v>
      </c>
      <c r="AE1335">
        <v>-88.01184499999999</v>
      </c>
      <c r="AF1335" s="5" t="str">
        <f>HYPERLINK("https://www.google.com/maps/search/?api=1&amp;query=41.79201,-88.011845","map")</f>
        <v>map</v>
      </c>
    </row>
    <row r="1336" spans="1:32">
      <c r="A1336" t="s">
        <v>1386</v>
      </c>
      <c r="B1336" t="s">
        <v>8962</v>
      </c>
      <c r="C1336" t="s">
        <v>15277</v>
      </c>
      <c r="D1336" t="s">
        <v>16199</v>
      </c>
      <c r="E1336" t="s">
        <v>16218</v>
      </c>
      <c r="F1336" t="s">
        <v>16222</v>
      </c>
      <c r="G1336" t="s">
        <v>16242</v>
      </c>
      <c r="H1336" t="s">
        <v>16242</v>
      </c>
      <c r="I1336" t="s">
        <v>16318</v>
      </c>
      <c r="J1336" t="s">
        <v>16387</v>
      </c>
      <c r="K1336">
        <v>0.19</v>
      </c>
      <c r="L1336">
        <v>8276</v>
      </c>
      <c r="N1336" t="s">
        <v>16393</v>
      </c>
      <c r="O1336" s="4">
        <v>5751</v>
      </c>
      <c r="P1336" s="4">
        <v>118</v>
      </c>
      <c r="Q1336" s="4">
        <v>5869</v>
      </c>
      <c r="R1336" s="4">
        <v>17607</v>
      </c>
      <c r="S1336" t="s">
        <v>17696</v>
      </c>
      <c r="X1336" t="s">
        <v>3</v>
      </c>
      <c r="AA1336" s="5" t="str">
        <f>HYPERLINK("https://www.zillow.com/homes/1037-GROVE-ST-DOWNERS-GROVE-IL-60515_rb/","check listing")</f>
        <v>check listing</v>
      </c>
      <c r="AB1336" s="5" t="str">
        <f>HYPERLINK("https://propertylookup.dupagecounty.gov/Datalets/Datalet.aspx?UseSearch=no&amp;mode=sales&amp;pin=0908310020","sales record")</f>
        <v>sales record</v>
      </c>
      <c r="AC1336" t="s">
        <v>3</v>
      </c>
      <c r="AD1336">
        <v>41.792104</v>
      </c>
      <c r="AE1336">
        <v>-88.011246</v>
      </c>
      <c r="AF1336" s="5" t="str">
        <f>HYPERLINK("https://www.google.com/maps/search/?api=1&amp;query=41.792104,-88.011246","map")</f>
        <v>map</v>
      </c>
    </row>
    <row r="1337" spans="1:32">
      <c r="A1337" t="s">
        <v>1387</v>
      </c>
      <c r="B1337" t="s">
        <v>8963</v>
      </c>
      <c r="C1337" t="s">
        <v>15277</v>
      </c>
      <c r="D1337" t="s">
        <v>16199</v>
      </c>
      <c r="E1337" t="s">
        <v>16218</v>
      </c>
      <c r="F1337" t="s">
        <v>16222</v>
      </c>
      <c r="G1337" t="s">
        <v>16242</v>
      </c>
      <c r="H1337" t="s">
        <v>16242</v>
      </c>
      <c r="I1337" t="s">
        <v>16318</v>
      </c>
      <c r="J1337" t="s">
        <v>16387</v>
      </c>
      <c r="K1337">
        <v>0.189</v>
      </c>
      <c r="L1337">
        <v>8247</v>
      </c>
      <c r="M1337">
        <v>1021</v>
      </c>
      <c r="N1337" t="s">
        <v>16393</v>
      </c>
      <c r="O1337" s="4">
        <v>80655</v>
      </c>
      <c r="P1337" s="4">
        <v>226505</v>
      </c>
      <c r="Q1337" s="4">
        <v>307160</v>
      </c>
      <c r="R1337" s="4">
        <v>921480</v>
      </c>
      <c r="S1337" t="s">
        <v>17707</v>
      </c>
      <c r="T1337" s="6">
        <v>45714</v>
      </c>
      <c r="U1337" s="4">
        <v>1070000</v>
      </c>
      <c r="V1337" t="s">
        <v>23739</v>
      </c>
      <c r="W1337" t="s">
        <v>24391</v>
      </c>
      <c r="X1337" t="s">
        <v>3</v>
      </c>
      <c r="AA1337" s="5" t="str">
        <f>HYPERLINK("https://www.zillow.com/homes/747-ROGERS-ST-DOWNERS-GROVE-IL-60515_rb/","check listing")</f>
        <v>check listing</v>
      </c>
      <c r="AB1337" s="5" t="str">
        <f>HYPERLINK("https://propertylookup.dupagecounty.gov/Datalets/Datalet.aspx?UseSearch=no&amp;mode=sales&amp;pin=0908203001","sales record")</f>
        <v>sales record</v>
      </c>
      <c r="AC1337" t="s">
        <v>3</v>
      </c>
      <c r="AD1337">
        <v>41.796325</v>
      </c>
      <c r="AE1337">
        <v>-88.004233</v>
      </c>
      <c r="AF1337" s="5" t="str">
        <f>HYPERLINK("https://www.google.com/maps/search/?api=1&amp;query=41.796325,-88.004233","map")</f>
        <v>map</v>
      </c>
    </row>
    <row r="1338" spans="1:32">
      <c r="A1338" t="s">
        <v>1388</v>
      </c>
      <c r="B1338" t="s">
        <v>8964</v>
      </c>
      <c r="C1338" t="s">
        <v>15277</v>
      </c>
      <c r="D1338" t="s">
        <v>16199</v>
      </c>
      <c r="E1338" t="s">
        <v>16218</v>
      </c>
      <c r="F1338" t="s">
        <v>16222</v>
      </c>
      <c r="G1338" t="s">
        <v>16242</v>
      </c>
      <c r="H1338" t="s">
        <v>16242</v>
      </c>
      <c r="I1338" t="s">
        <v>16318</v>
      </c>
      <c r="J1338" t="s">
        <v>16387</v>
      </c>
      <c r="K1338">
        <v>0.189</v>
      </c>
      <c r="L1338">
        <v>8244</v>
      </c>
      <c r="M1338">
        <v>1599</v>
      </c>
      <c r="N1338" t="s">
        <v>16393</v>
      </c>
      <c r="O1338" s="4">
        <v>73148</v>
      </c>
      <c r="P1338" s="4">
        <v>110636</v>
      </c>
      <c r="Q1338" s="4">
        <v>183784</v>
      </c>
      <c r="R1338" s="4">
        <v>551352</v>
      </c>
      <c r="S1338" t="s">
        <v>17708</v>
      </c>
      <c r="T1338" s="6">
        <v>42614</v>
      </c>
      <c r="U1338" s="4">
        <v>419000</v>
      </c>
      <c r="V1338" t="s">
        <v>23739</v>
      </c>
      <c r="W1338" t="s">
        <v>17708</v>
      </c>
      <c r="X1338" t="s">
        <v>3</v>
      </c>
      <c r="AA1338" s="5" t="str">
        <f>HYPERLINK("https://www.zillow.com/homes/736-WARREN-AVE-DOWNERS-GROVE-IL-60515_rb/","check listing")</f>
        <v>check listing</v>
      </c>
      <c r="AB1338" s="5" t="str">
        <f>HYPERLINK("https://propertylookup.dupagecounty.gov/Datalets/Datalet.aspx?UseSearch=no&amp;mode=sales&amp;pin=0908203007","sales record")</f>
        <v>sales record</v>
      </c>
      <c r="AC1338" t="s">
        <v>3</v>
      </c>
      <c r="AD1338">
        <v>41.795985</v>
      </c>
      <c r="AE1338">
        <v>-88.00422</v>
      </c>
      <c r="AF1338" s="5" t="str">
        <f>HYPERLINK("https://www.google.com/maps/search/?api=1&amp;query=41.795985,-88.00422","map")</f>
        <v>map</v>
      </c>
    </row>
    <row r="1339" spans="1:32">
      <c r="A1339" t="s">
        <v>1389</v>
      </c>
      <c r="B1339" t="s">
        <v>8965</v>
      </c>
      <c r="C1339" t="s">
        <v>15277</v>
      </c>
      <c r="D1339" t="s">
        <v>16199</v>
      </c>
      <c r="E1339" t="s">
        <v>16218</v>
      </c>
      <c r="F1339" t="s">
        <v>16222</v>
      </c>
      <c r="G1339" t="s">
        <v>16242</v>
      </c>
      <c r="H1339" t="s">
        <v>16242</v>
      </c>
      <c r="I1339" t="s">
        <v>16318</v>
      </c>
      <c r="J1339" t="s">
        <v>16387</v>
      </c>
      <c r="K1339">
        <v>0.188</v>
      </c>
      <c r="L1339">
        <v>8207</v>
      </c>
      <c r="N1339" t="s">
        <v>16393</v>
      </c>
      <c r="O1339" s="4">
        <v>80660</v>
      </c>
      <c r="P1339" s="4">
        <v>77737</v>
      </c>
      <c r="Q1339" s="4">
        <v>158397</v>
      </c>
      <c r="R1339" s="4">
        <v>475191</v>
      </c>
      <c r="S1339" t="s">
        <v>17709</v>
      </c>
      <c r="T1339" s="6">
        <v>38473</v>
      </c>
      <c r="U1339" s="4">
        <v>118000</v>
      </c>
      <c r="V1339" t="s">
        <v>23739</v>
      </c>
      <c r="W1339" t="s">
        <v>24392</v>
      </c>
      <c r="X1339" t="s">
        <v>3</v>
      </c>
      <c r="AA1339" s="5" t="str">
        <f>HYPERLINK("https://www.zillow.com/homes/829-ROGERS-ST-DOWNERS-GROVE-IL-60515_rb/","check listing")</f>
        <v>check listing</v>
      </c>
      <c r="AB1339" s="5" t="str">
        <f>HYPERLINK("https://propertylookup.dupagecounty.gov/Datalets/Datalet.aspx?UseSearch=no&amp;mode=sales&amp;pin=0908125006","sales record")</f>
        <v>sales record</v>
      </c>
      <c r="AC1339" t="s">
        <v>3</v>
      </c>
      <c r="AD1339">
        <v>41.796321</v>
      </c>
      <c r="AE1339">
        <v>-88.005916</v>
      </c>
      <c r="AF1339" s="5" t="str">
        <f>HYPERLINK("https://www.google.com/maps/search/?api=1&amp;query=41.796321,-88.005916","map")</f>
        <v>map</v>
      </c>
    </row>
    <row r="1340" spans="1:32">
      <c r="A1340" t="s">
        <v>1390</v>
      </c>
      <c r="B1340" t="s">
        <v>8966</v>
      </c>
      <c r="C1340" t="s">
        <v>15277</v>
      </c>
      <c r="D1340" t="s">
        <v>16199</v>
      </c>
      <c r="E1340" t="s">
        <v>16218</v>
      </c>
      <c r="F1340" t="s">
        <v>16222</v>
      </c>
      <c r="G1340" t="s">
        <v>16243</v>
      </c>
      <c r="H1340" t="s">
        <v>16243</v>
      </c>
      <c r="I1340" t="s">
        <v>16319</v>
      </c>
      <c r="J1340" t="s">
        <v>16387</v>
      </c>
      <c r="K1340">
        <v>0.188</v>
      </c>
      <c r="L1340">
        <v>8205</v>
      </c>
      <c r="M1340">
        <v>735</v>
      </c>
      <c r="N1340" t="s">
        <v>16393</v>
      </c>
      <c r="O1340" s="4">
        <v>72595</v>
      </c>
      <c r="P1340" s="4">
        <v>56318</v>
      </c>
      <c r="Q1340" s="4">
        <v>128913</v>
      </c>
      <c r="R1340" s="4">
        <v>386739</v>
      </c>
      <c r="S1340" t="s">
        <v>17710</v>
      </c>
      <c r="T1340" s="6">
        <v>45777</v>
      </c>
      <c r="U1340" s="4">
        <v>1000000</v>
      </c>
      <c r="V1340" t="s">
        <v>23741</v>
      </c>
      <c r="W1340" t="s">
        <v>24393</v>
      </c>
      <c r="X1340" t="s">
        <v>3</v>
      </c>
      <c r="AA1340" s="5" t="str">
        <f>HYPERLINK("https://www.zillow.com/homes/826-WARREN-AVE-DOWNERS-GROVE-IL-60515_rb/","check listing")</f>
        <v>check listing</v>
      </c>
      <c r="AB1340" s="5" t="str">
        <f>HYPERLINK("https://propertylookup.dupagecounty.gov/Datalets/Datalet.aspx?UseSearch=no&amp;mode=sales&amp;pin=0908125015","sales record")</f>
        <v>sales record</v>
      </c>
      <c r="AC1340" t="s">
        <v>3</v>
      </c>
      <c r="AD1340">
        <v>41.795981</v>
      </c>
      <c r="AE1340">
        <v>-88.005903</v>
      </c>
      <c r="AF1340" s="5" t="str">
        <f>HYPERLINK("https://www.google.com/maps/search/?api=1&amp;query=41.795981,-88.005903","map")</f>
        <v>map</v>
      </c>
    </row>
    <row r="1341" spans="1:32">
      <c r="A1341" t="s">
        <v>1391</v>
      </c>
      <c r="B1341" t="s">
        <v>8967</v>
      </c>
      <c r="C1341" t="s">
        <v>15277</v>
      </c>
      <c r="D1341" t="s">
        <v>16199</v>
      </c>
      <c r="E1341" t="s">
        <v>16218</v>
      </c>
      <c r="F1341" t="s">
        <v>16222</v>
      </c>
      <c r="G1341" t="s">
        <v>16242</v>
      </c>
      <c r="H1341" t="s">
        <v>16242</v>
      </c>
      <c r="I1341" t="s">
        <v>16318</v>
      </c>
      <c r="J1341" t="s">
        <v>16387</v>
      </c>
      <c r="K1341">
        <v>0.188</v>
      </c>
      <c r="L1341">
        <v>8204</v>
      </c>
      <c r="M1341">
        <v>1040</v>
      </c>
      <c r="N1341" t="s">
        <v>16393</v>
      </c>
      <c r="O1341" s="4">
        <v>80660</v>
      </c>
      <c r="P1341" s="4">
        <v>84262</v>
      </c>
      <c r="Q1341" s="4">
        <v>164922</v>
      </c>
      <c r="R1341" s="4">
        <v>494766</v>
      </c>
      <c r="S1341" t="s">
        <v>17711</v>
      </c>
      <c r="T1341" s="6">
        <v>39508</v>
      </c>
      <c r="U1341" s="4">
        <v>483000</v>
      </c>
      <c r="V1341" t="s">
        <v>23739</v>
      </c>
      <c r="W1341" t="s">
        <v>24394</v>
      </c>
      <c r="X1341" t="s">
        <v>3</v>
      </c>
      <c r="AA1341" s="5" t="str">
        <f>HYPERLINK("https://www.zillow.com/homes/835-ROGERS-ST-DOWNERS-GROVE-IL-60515_rb/","check listing")</f>
        <v>check listing</v>
      </c>
      <c r="AB1341" s="5" t="str">
        <f>HYPERLINK("https://propertylookup.dupagecounty.gov/Datalets/Datalet.aspx?UseSearch=no&amp;mode=sales&amp;pin=0908125005","sales record")</f>
        <v>sales record</v>
      </c>
      <c r="AC1341" t="s">
        <v>3</v>
      </c>
      <c r="AD1341">
        <v>41.796365</v>
      </c>
      <c r="AE1341">
        <v>-88.00615999999999</v>
      </c>
      <c r="AF1341" s="5" t="str">
        <f>HYPERLINK("https://www.google.com/maps/search/?api=1&amp;query=41.796365,-88.00616","map")</f>
        <v>map</v>
      </c>
    </row>
    <row r="1342" spans="1:32">
      <c r="A1342" t="s">
        <v>1392</v>
      </c>
      <c r="B1342" t="s">
        <v>8968</v>
      </c>
      <c r="C1342" t="s">
        <v>15277</v>
      </c>
      <c r="D1342" t="s">
        <v>16199</v>
      </c>
      <c r="E1342" t="s">
        <v>16218</v>
      </c>
      <c r="F1342" t="s">
        <v>16222</v>
      </c>
      <c r="G1342" t="s">
        <v>16244</v>
      </c>
      <c r="H1342" t="s">
        <v>16244</v>
      </c>
      <c r="I1342" t="s">
        <v>16320</v>
      </c>
      <c r="J1342" t="s">
        <v>16387</v>
      </c>
      <c r="K1342">
        <v>0.186</v>
      </c>
      <c r="L1342">
        <v>8087</v>
      </c>
      <c r="M1342">
        <v>2278</v>
      </c>
      <c r="N1342" t="s">
        <v>16393</v>
      </c>
      <c r="O1342" s="4">
        <v>42760</v>
      </c>
      <c r="P1342" s="4">
        <v>74098</v>
      </c>
      <c r="Q1342" s="4">
        <v>116858</v>
      </c>
      <c r="R1342" s="4">
        <v>350574</v>
      </c>
      <c r="S1342" t="s">
        <v>17712</v>
      </c>
      <c r="T1342" s="6">
        <v>34029</v>
      </c>
      <c r="U1342" s="4">
        <v>140000</v>
      </c>
      <c r="X1342" t="s">
        <v>3</v>
      </c>
      <c r="AA1342" s="5" t="str">
        <f>HYPERLINK("https://www.zillow.com/homes/337-MAPLE-AVE-DOWNERS-GROVE-IL-60515_rb/","check listing")</f>
        <v>check listing</v>
      </c>
      <c r="AB1342" s="5" t="str">
        <f>HYPERLINK("https://propertylookup.dupagecounty.gov/Datalets/Datalet.aspx?UseSearch=no&amp;mode=sales&amp;pin=0909109008","sales record")</f>
        <v>sales record</v>
      </c>
      <c r="AC1342" t="s">
        <v>3</v>
      </c>
      <c r="AD1342">
        <v>41.796914</v>
      </c>
      <c r="AE1342">
        <v>-87.99375000000001</v>
      </c>
      <c r="AF1342" s="5" t="str">
        <f>HYPERLINK("https://www.google.com/maps/search/?api=1&amp;query=41.796914,-87.99375","map")</f>
        <v>map</v>
      </c>
    </row>
    <row r="1343" spans="1:32">
      <c r="A1343" t="s">
        <v>1393</v>
      </c>
      <c r="B1343" t="s">
        <v>8969</v>
      </c>
      <c r="C1343" t="s">
        <v>15288</v>
      </c>
      <c r="D1343" t="s">
        <v>16199</v>
      </c>
      <c r="E1343" t="s">
        <v>16218</v>
      </c>
      <c r="F1343" t="s">
        <v>16222</v>
      </c>
      <c r="G1343" t="s">
        <v>16242</v>
      </c>
      <c r="H1343" t="s">
        <v>16242</v>
      </c>
      <c r="I1343" t="s">
        <v>16318</v>
      </c>
      <c r="J1343" t="s">
        <v>16387</v>
      </c>
      <c r="K1343">
        <v>0.181</v>
      </c>
      <c r="L1343">
        <v>7905</v>
      </c>
      <c r="M1343">
        <v>836</v>
      </c>
      <c r="N1343" t="s">
        <v>16393</v>
      </c>
      <c r="O1343" s="4">
        <v>67889</v>
      </c>
      <c r="P1343" s="4">
        <v>71235</v>
      </c>
      <c r="Q1343" s="4">
        <v>139124</v>
      </c>
      <c r="R1343" s="4">
        <v>417372</v>
      </c>
      <c r="S1343" t="s">
        <v>17713</v>
      </c>
      <c r="T1343" s="6">
        <v>41548</v>
      </c>
      <c r="U1343" s="4">
        <v>236500</v>
      </c>
      <c r="V1343" t="s">
        <v>23739</v>
      </c>
      <c r="W1343" t="s">
        <v>24395</v>
      </c>
      <c r="X1343" t="s">
        <v>3</v>
      </c>
      <c r="AA1343" s="5" t="str">
        <f>HYPERLINK("https://www.zillow.com/homes/803-CURTISS-ST-DOWNERS-GROVE-IL-605154714_rb/","check listing")</f>
        <v>check listing</v>
      </c>
      <c r="AB1343" s="5" t="str">
        <f>HYPERLINK("https://propertylookup.dupagecounty.gov/Datalets/Datalet.aspx?UseSearch=no&amp;mode=sales&amp;pin=0908308003","sales record")</f>
        <v>sales record</v>
      </c>
      <c r="AC1343" t="s">
        <v>3</v>
      </c>
      <c r="AD1343">
        <v>41.794283</v>
      </c>
      <c r="AE1343">
        <v>-88.004626</v>
      </c>
      <c r="AF1343" s="5" t="str">
        <f>HYPERLINK("https://www.google.com/maps/search/?api=1&amp;query=41.794283,-88.004626","map")</f>
        <v>map</v>
      </c>
    </row>
    <row r="1344" spans="1:32">
      <c r="A1344" t="s">
        <v>1394</v>
      </c>
      <c r="B1344" t="s">
        <v>8970</v>
      </c>
      <c r="C1344" t="s">
        <v>15277</v>
      </c>
      <c r="D1344" t="s">
        <v>16199</v>
      </c>
      <c r="E1344" t="s">
        <v>16218</v>
      </c>
      <c r="F1344" t="s">
        <v>16222</v>
      </c>
      <c r="G1344" t="s">
        <v>16242</v>
      </c>
      <c r="H1344" t="s">
        <v>16242</v>
      </c>
      <c r="I1344" t="s">
        <v>16318</v>
      </c>
      <c r="J1344" t="s">
        <v>16387</v>
      </c>
      <c r="K1344">
        <v>0.179</v>
      </c>
      <c r="L1344">
        <v>7814</v>
      </c>
      <c r="M1344">
        <v>1147</v>
      </c>
      <c r="N1344" t="s">
        <v>16393</v>
      </c>
      <c r="O1344" s="4">
        <v>71856</v>
      </c>
      <c r="P1344" s="4">
        <v>83570</v>
      </c>
      <c r="Q1344" s="4">
        <v>155426</v>
      </c>
      <c r="R1344" s="4">
        <v>466278</v>
      </c>
      <c r="S1344" t="s">
        <v>17714</v>
      </c>
      <c r="T1344" s="6">
        <v>42156</v>
      </c>
      <c r="U1344" s="4">
        <v>358000</v>
      </c>
      <c r="V1344" t="s">
        <v>23739</v>
      </c>
      <c r="W1344" t="s">
        <v>24396</v>
      </c>
      <c r="X1344" t="s">
        <v>3</v>
      </c>
      <c r="AA1344" s="5" t="str">
        <f>HYPERLINK("https://www.zillow.com/homes/1135-CURTISS-ST-DOWNERS-GROVE-IL-60515_rb/","check listing")</f>
        <v>check listing</v>
      </c>
      <c r="AB1344" s="5" t="str">
        <f>HYPERLINK("https://propertylookup.dupagecounty.gov/Datalets/Datalet.aspx?UseSearch=no&amp;mode=sales&amp;pin=0908305003","sales record")</f>
        <v>sales record</v>
      </c>
      <c r="AC1344" t="s">
        <v>3</v>
      </c>
      <c r="AD1344">
        <v>41.793289</v>
      </c>
      <c r="AE1344">
        <v>-88.013608</v>
      </c>
      <c r="AF1344" s="5" t="str">
        <f>HYPERLINK("https://www.google.com/maps/search/?api=1&amp;query=41.793289,-88.013608","map")</f>
        <v>map</v>
      </c>
    </row>
    <row r="1345" spans="1:32">
      <c r="A1345" t="s">
        <v>1395</v>
      </c>
      <c r="B1345" t="s">
        <v>8971</v>
      </c>
      <c r="C1345" t="s">
        <v>15277</v>
      </c>
      <c r="D1345" t="s">
        <v>16199</v>
      </c>
      <c r="E1345" t="s">
        <v>16218</v>
      </c>
      <c r="F1345" t="s">
        <v>16222</v>
      </c>
      <c r="G1345" t="s">
        <v>16244</v>
      </c>
      <c r="H1345" t="s">
        <v>16244</v>
      </c>
      <c r="I1345" t="s">
        <v>16320</v>
      </c>
      <c r="J1345" t="s">
        <v>16387</v>
      </c>
      <c r="K1345">
        <v>0.173</v>
      </c>
      <c r="L1345">
        <v>7519</v>
      </c>
      <c r="M1345">
        <v>2117</v>
      </c>
      <c r="N1345" t="s">
        <v>16393</v>
      </c>
      <c r="O1345" s="4">
        <v>67889</v>
      </c>
      <c r="P1345" s="4">
        <v>241520</v>
      </c>
      <c r="Q1345" s="4">
        <v>309409</v>
      </c>
      <c r="R1345" s="4">
        <v>928227</v>
      </c>
      <c r="S1345" t="s">
        <v>17715</v>
      </c>
      <c r="T1345" s="6">
        <v>38777</v>
      </c>
      <c r="U1345" s="4">
        <v>620000</v>
      </c>
      <c r="V1345" t="s">
        <v>23739</v>
      </c>
      <c r="W1345" t="s">
        <v>24397</v>
      </c>
      <c r="X1345" t="s">
        <v>3</v>
      </c>
      <c r="AA1345" s="5" t="str">
        <f>HYPERLINK("https://www.zillow.com/homes/4942-STANLEY-AVE-DOWNERS-GROVE-IL-60515_rb/","check listing")</f>
        <v>check listing</v>
      </c>
      <c r="AB1345" s="5" t="str">
        <f>HYPERLINK("https://propertylookup.dupagecounty.gov/Datalets/Datalet.aspx?UseSearch=no&amp;mode=sales&amp;pin=0908205020","sales record")</f>
        <v>sales record</v>
      </c>
      <c r="AC1345" t="s">
        <v>3</v>
      </c>
      <c r="AD1345">
        <v>41.796889</v>
      </c>
      <c r="AE1345">
        <v>-88.00208600000001</v>
      </c>
      <c r="AF1345" s="5" t="str">
        <f>HYPERLINK("https://www.google.com/maps/search/?api=1&amp;query=41.796889,-88.002086","map")</f>
        <v>map</v>
      </c>
    </row>
    <row r="1346" spans="1:32">
      <c r="A1346" t="s">
        <v>1396</v>
      </c>
      <c r="B1346" t="s">
        <v>8972</v>
      </c>
      <c r="C1346" t="s">
        <v>15277</v>
      </c>
      <c r="D1346" t="s">
        <v>16199</v>
      </c>
      <c r="E1346" t="s">
        <v>16218</v>
      </c>
      <c r="F1346" t="s">
        <v>16222</v>
      </c>
      <c r="G1346" t="s">
        <v>16244</v>
      </c>
      <c r="H1346" t="s">
        <v>16244</v>
      </c>
      <c r="I1346" t="s">
        <v>16320</v>
      </c>
      <c r="J1346" t="s">
        <v>16387</v>
      </c>
      <c r="K1346">
        <v>0.172</v>
      </c>
      <c r="L1346">
        <v>7510</v>
      </c>
      <c r="M1346">
        <v>2178</v>
      </c>
      <c r="N1346" t="s">
        <v>16393</v>
      </c>
      <c r="O1346" s="4">
        <v>67889</v>
      </c>
      <c r="P1346" s="4">
        <v>55917</v>
      </c>
      <c r="Q1346" s="4">
        <v>123806</v>
      </c>
      <c r="R1346" s="4">
        <v>371418</v>
      </c>
      <c r="S1346" t="s">
        <v>17716</v>
      </c>
      <c r="T1346" s="6">
        <v>32874</v>
      </c>
      <c r="U1346" s="4">
        <v>97000</v>
      </c>
      <c r="X1346" t="s">
        <v>3</v>
      </c>
      <c r="AA1346" s="5" t="str">
        <f>HYPERLINK("https://www.zillow.com/homes/716-ROGERS-ST-DOWNERS-GROVE-IL-60515_rb/","check listing")</f>
        <v>check listing</v>
      </c>
      <c r="AB1346" s="5" t="str">
        <f>HYPERLINK("https://propertylookup.dupagecounty.gov/Datalets/Datalet.aspx?UseSearch=no&amp;mode=sales&amp;pin=0908205011","sales record")</f>
        <v>sales record</v>
      </c>
      <c r="AC1346" t="s">
        <v>3</v>
      </c>
      <c r="AD1346">
        <v>41.79675</v>
      </c>
      <c r="AE1346">
        <v>-88.002692</v>
      </c>
      <c r="AF1346" s="5" t="str">
        <f>HYPERLINK("https://www.google.com/maps/search/?api=1&amp;query=41.79675,-88.002692","map")</f>
        <v>map</v>
      </c>
    </row>
    <row r="1347" spans="1:32">
      <c r="A1347" t="s">
        <v>1397</v>
      </c>
      <c r="B1347" t="s">
        <v>8973</v>
      </c>
      <c r="C1347" t="s">
        <v>15277</v>
      </c>
      <c r="D1347" t="s">
        <v>16199</v>
      </c>
      <c r="E1347" t="s">
        <v>16218</v>
      </c>
      <c r="F1347" t="s">
        <v>16222</v>
      </c>
      <c r="G1347" t="s">
        <v>16244</v>
      </c>
      <c r="H1347" t="s">
        <v>16244</v>
      </c>
      <c r="I1347" t="s">
        <v>16320</v>
      </c>
      <c r="J1347" t="s">
        <v>16387</v>
      </c>
      <c r="K1347">
        <v>0.172</v>
      </c>
      <c r="L1347">
        <v>7475</v>
      </c>
      <c r="M1347">
        <v>802</v>
      </c>
      <c r="N1347" t="s">
        <v>16393</v>
      </c>
      <c r="O1347" s="4">
        <v>45642</v>
      </c>
      <c r="P1347" s="4">
        <v>6869</v>
      </c>
      <c r="Q1347" s="4">
        <v>52511</v>
      </c>
      <c r="R1347" s="4">
        <v>157533</v>
      </c>
      <c r="S1347" t="s">
        <v>17717</v>
      </c>
      <c r="T1347" s="6">
        <v>46064</v>
      </c>
      <c r="U1347" s="4">
        <v>1112500</v>
      </c>
      <c r="V1347" t="s">
        <v>16232</v>
      </c>
      <c r="W1347" t="s">
        <v>24398</v>
      </c>
      <c r="X1347" t="s">
        <v>3</v>
      </c>
      <c r="AA1347" s="5" t="str">
        <f>HYPERLINK("https://www.zillow.com/homes/4947-WILCOX-AVE-DOWNERS-GROVE-IL-60515_rb/","check listing")</f>
        <v>check listing</v>
      </c>
      <c r="AB1347" s="5" t="str">
        <f>HYPERLINK("https://propertylookup.dupagecounty.gov/Datalets/Datalet.aspx?UseSearch=no&amp;mode=sales&amp;pin=0909110004","sales record")</f>
        <v>sales record</v>
      </c>
      <c r="AC1347" t="s">
        <v>3</v>
      </c>
      <c r="AD1347">
        <v>41.796864</v>
      </c>
      <c r="AE1347">
        <v>-87.992771</v>
      </c>
      <c r="AF1347" s="5" t="str">
        <f>HYPERLINK("https://www.google.com/maps/search/?api=1&amp;query=41.796864,-87.992771","map")</f>
        <v>map</v>
      </c>
    </row>
    <row r="1348" spans="1:32">
      <c r="A1348" t="s">
        <v>1398</v>
      </c>
      <c r="B1348" t="s">
        <v>8974</v>
      </c>
      <c r="C1348" t="s">
        <v>15277</v>
      </c>
      <c r="D1348" t="s">
        <v>16199</v>
      </c>
      <c r="E1348" t="s">
        <v>16218</v>
      </c>
      <c r="F1348" t="s">
        <v>16222</v>
      </c>
      <c r="G1348" t="s">
        <v>16242</v>
      </c>
      <c r="H1348" t="s">
        <v>16242</v>
      </c>
      <c r="I1348" t="s">
        <v>16318</v>
      </c>
      <c r="J1348" t="s">
        <v>16387</v>
      </c>
      <c r="K1348">
        <v>0.171</v>
      </c>
      <c r="L1348">
        <v>7470</v>
      </c>
      <c r="M1348">
        <v>1744</v>
      </c>
      <c r="N1348" t="s">
        <v>16393</v>
      </c>
      <c r="O1348" s="4">
        <v>68734</v>
      </c>
      <c r="P1348" s="4">
        <v>120637</v>
      </c>
      <c r="Q1348" s="4">
        <v>189371</v>
      </c>
      <c r="R1348" s="4">
        <v>568113</v>
      </c>
      <c r="S1348" t="s">
        <v>17718</v>
      </c>
      <c r="T1348" s="6">
        <v>45118</v>
      </c>
      <c r="U1348" s="4">
        <v>445000</v>
      </c>
      <c r="V1348" t="s">
        <v>23739</v>
      </c>
      <c r="W1348" t="s">
        <v>24399</v>
      </c>
      <c r="X1348" t="s">
        <v>3</v>
      </c>
      <c r="AA1348" s="5" t="str">
        <f>HYPERLINK("https://www.zillow.com/homes/1212-WARREN-AVE-DOWNERS-GROVE-IL-60515_rb/","check listing")</f>
        <v>check listing</v>
      </c>
      <c r="AB1348" s="5" t="str">
        <f>HYPERLINK("https://propertylookup.dupagecounty.gov/Datalets/Datalet.aspx?UseSearch=no&amp;mode=sales&amp;pin=0907217019","sales record")</f>
        <v>sales record</v>
      </c>
      <c r="AC1348" t="s">
        <v>3</v>
      </c>
      <c r="AD1348">
        <v>41.796447</v>
      </c>
      <c r="AE1348">
        <v>-88.014861</v>
      </c>
      <c r="AF1348" s="5" t="str">
        <f>HYPERLINK("https://www.google.com/maps/search/?api=1&amp;query=41.796447,-88.014861","map")</f>
        <v>map</v>
      </c>
    </row>
    <row r="1349" spans="1:32">
      <c r="A1349" t="s">
        <v>1399</v>
      </c>
      <c r="B1349" t="s">
        <v>8975</v>
      </c>
      <c r="C1349" t="s">
        <v>15277</v>
      </c>
      <c r="D1349" t="s">
        <v>16199</v>
      </c>
      <c r="E1349" t="s">
        <v>16218</v>
      </c>
      <c r="F1349" t="s">
        <v>16222</v>
      </c>
      <c r="G1349" t="s">
        <v>16242</v>
      </c>
      <c r="H1349" t="s">
        <v>16242</v>
      </c>
      <c r="I1349" t="s">
        <v>16318</v>
      </c>
      <c r="J1349" t="s">
        <v>16387</v>
      </c>
      <c r="K1349">
        <v>0.17</v>
      </c>
      <c r="L1349">
        <v>7424</v>
      </c>
      <c r="M1349">
        <v>1150</v>
      </c>
      <c r="N1349" t="s">
        <v>16393</v>
      </c>
      <c r="O1349" s="4">
        <v>71481</v>
      </c>
      <c r="P1349" s="4">
        <v>293915</v>
      </c>
      <c r="Q1349" s="4">
        <v>365396</v>
      </c>
      <c r="R1349" s="4">
        <v>1096188</v>
      </c>
      <c r="S1349" t="s">
        <v>17719</v>
      </c>
      <c r="T1349" s="6">
        <v>43586</v>
      </c>
      <c r="U1349" s="4">
        <v>760000</v>
      </c>
      <c r="V1349" t="s">
        <v>23739</v>
      </c>
      <c r="W1349" t="s">
        <v>24400</v>
      </c>
      <c r="X1349" t="s">
        <v>3</v>
      </c>
      <c r="AA1349" s="5" t="str">
        <f>HYPERLINK("https://www.zillow.com/homes/5007-WASHINGTON-ST-DOWNERS-GROVE-IL-60515_rb/","check listing")</f>
        <v>check listing</v>
      </c>
      <c r="AB1349" s="5" t="str">
        <f>HYPERLINK("https://propertylookup.dupagecounty.gov/Datalets/Datalet.aspx?UseSearch=no&amp;mode=sales&amp;pin=0908125003","sales record")</f>
        <v>sales record</v>
      </c>
      <c r="AC1349" t="s">
        <v>3</v>
      </c>
      <c r="AD1349">
        <v>41.796194</v>
      </c>
      <c r="AE1349">
        <v>-88.006518</v>
      </c>
      <c r="AF1349" s="5" t="str">
        <f>HYPERLINK("https://www.google.com/maps/search/?api=1&amp;query=41.796194,-88.006518","map")</f>
        <v>map</v>
      </c>
    </row>
    <row r="1350" spans="1:32">
      <c r="A1350" t="s">
        <v>1400</v>
      </c>
      <c r="B1350" t="s">
        <v>8976</v>
      </c>
      <c r="C1350" t="s">
        <v>15277</v>
      </c>
      <c r="D1350" t="s">
        <v>16199</v>
      </c>
      <c r="E1350" t="s">
        <v>16218</v>
      </c>
      <c r="F1350" t="s">
        <v>16222</v>
      </c>
      <c r="G1350" t="s">
        <v>16242</v>
      </c>
      <c r="H1350" t="s">
        <v>16242</v>
      </c>
      <c r="I1350" t="s">
        <v>16318</v>
      </c>
      <c r="J1350" t="s">
        <v>16387</v>
      </c>
      <c r="K1350">
        <v>0.17</v>
      </c>
      <c r="L1350">
        <v>7416</v>
      </c>
      <c r="M1350">
        <v>1309</v>
      </c>
      <c r="N1350" t="s">
        <v>16393</v>
      </c>
      <c r="O1350" s="4">
        <v>74685</v>
      </c>
      <c r="P1350" s="4">
        <v>137973</v>
      </c>
      <c r="Q1350" s="4">
        <v>212658</v>
      </c>
      <c r="R1350" s="4">
        <v>637974</v>
      </c>
      <c r="S1350" t="s">
        <v>17720</v>
      </c>
      <c r="T1350" s="6">
        <v>33664</v>
      </c>
      <c r="U1350" s="4">
        <v>175000</v>
      </c>
      <c r="X1350" t="s">
        <v>3</v>
      </c>
      <c r="AA1350" s="5" t="str">
        <f>HYPERLINK("https://www.zillow.com/homes/1137-CURTISS-ST-DOWNERS-GROVE-IL-60515_rb/","check listing")</f>
        <v>check listing</v>
      </c>
      <c r="AB1350" s="5" t="str">
        <f>HYPERLINK("https://propertylookup.dupagecounty.gov/Datalets/Datalet.aspx?UseSearch=no&amp;mode=sales&amp;pin=0908305002","sales record")</f>
        <v>sales record</v>
      </c>
      <c r="AC1350" t="s">
        <v>3</v>
      </c>
      <c r="AD1350">
        <v>41.793267</v>
      </c>
      <c r="AE1350">
        <v>-88.01378800000001</v>
      </c>
      <c r="AF1350" s="5" t="str">
        <f>HYPERLINK("https://www.google.com/maps/search/?api=1&amp;query=41.793267,-88.013788","map")</f>
        <v>map</v>
      </c>
    </row>
    <row r="1351" spans="1:32">
      <c r="A1351" t="s">
        <v>1401</v>
      </c>
      <c r="B1351" t="s">
        <v>8977</v>
      </c>
      <c r="C1351" t="s">
        <v>15280</v>
      </c>
      <c r="D1351" t="s">
        <v>16199</v>
      </c>
      <c r="E1351" t="s">
        <v>16218</v>
      </c>
      <c r="F1351" t="s">
        <v>16222</v>
      </c>
      <c r="G1351" t="s">
        <v>16242</v>
      </c>
      <c r="H1351" t="s">
        <v>16242</v>
      </c>
      <c r="I1351" t="s">
        <v>16318</v>
      </c>
      <c r="J1351" t="s">
        <v>16387</v>
      </c>
      <c r="K1351">
        <v>0.166</v>
      </c>
      <c r="L1351">
        <v>7213</v>
      </c>
      <c r="M1351">
        <v>918</v>
      </c>
      <c r="N1351" t="s">
        <v>16393</v>
      </c>
      <c r="O1351" s="4">
        <v>70882</v>
      </c>
      <c r="P1351" s="4">
        <v>155614</v>
      </c>
      <c r="Q1351" s="4">
        <v>226496</v>
      </c>
      <c r="R1351" s="4">
        <v>679488</v>
      </c>
      <c r="S1351" t="s">
        <v>17721</v>
      </c>
      <c r="T1351" s="6">
        <v>44621</v>
      </c>
      <c r="U1351" s="4">
        <v>550000</v>
      </c>
      <c r="V1351" t="s">
        <v>23739</v>
      </c>
      <c r="W1351" t="s">
        <v>24401</v>
      </c>
      <c r="X1351" t="s">
        <v>3</v>
      </c>
      <c r="AA1351" s="5" t="str">
        <f>HYPERLINK("https://www.zillow.com/homes/825-ROGERS-ST-DOWNERS-GROVE-IL-605153733_rb/","check listing")</f>
        <v>check listing</v>
      </c>
      <c r="AB1351" s="5" t="str">
        <f>HYPERLINK("https://propertylookup.dupagecounty.gov/Datalets/Datalet.aspx?UseSearch=no&amp;mode=sales&amp;pin=0908125007","sales record")</f>
        <v>sales record</v>
      </c>
      <c r="AC1351" t="s">
        <v>3</v>
      </c>
      <c r="AD1351">
        <v>41.796322</v>
      </c>
      <c r="AE1351">
        <v>-88.00568699999999</v>
      </c>
      <c r="AF1351" s="5" t="str">
        <f>HYPERLINK("https://www.google.com/maps/search/?api=1&amp;query=41.796322,-88.005687","map")</f>
        <v>map</v>
      </c>
    </row>
    <row r="1352" spans="1:32">
      <c r="A1352" t="s">
        <v>1402</v>
      </c>
      <c r="B1352" t="s">
        <v>8978</v>
      </c>
      <c r="C1352" t="s">
        <v>15280</v>
      </c>
      <c r="D1352" t="s">
        <v>16199</v>
      </c>
      <c r="E1352" t="s">
        <v>16218</v>
      </c>
      <c r="F1352" t="s">
        <v>16222</v>
      </c>
      <c r="G1352" t="s">
        <v>16242</v>
      </c>
      <c r="H1352" t="s">
        <v>16242</v>
      </c>
      <c r="I1352" t="s">
        <v>16318</v>
      </c>
      <c r="J1352" t="s">
        <v>16387</v>
      </c>
      <c r="K1352">
        <v>0.165</v>
      </c>
      <c r="L1352">
        <v>7205</v>
      </c>
      <c r="M1352">
        <v>1147</v>
      </c>
      <c r="N1352" t="s">
        <v>16393</v>
      </c>
      <c r="O1352" s="4">
        <v>70882</v>
      </c>
      <c r="P1352" s="4">
        <v>90672</v>
      </c>
      <c r="Q1352" s="4">
        <v>161554</v>
      </c>
      <c r="R1352" s="4">
        <v>484662</v>
      </c>
      <c r="S1352" t="s">
        <v>17722</v>
      </c>
      <c r="T1352" s="6">
        <v>35247</v>
      </c>
      <c r="U1352" s="4">
        <v>193000</v>
      </c>
      <c r="X1352" t="s">
        <v>3</v>
      </c>
      <c r="AA1352" s="5" t="str">
        <f>HYPERLINK("https://www.zillow.com/homes/821-ROGERS-ST-DOWNERS-GROVE-IL-605153733_rb/","check listing")</f>
        <v>check listing</v>
      </c>
      <c r="AB1352" s="5" t="str">
        <f>HYPERLINK("https://propertylookup.dupagecounty.gov/Datalets/Datalet.aspx?UseSearch=no&amp;mode=sales&amp;pin=0908125021","sales record")</f>
        <v>sales record</v>
      </c>
      <c r="AC1352" t="s">
        <v>3</v>
      </c>
      <c r="AD1352">
        <v>41.796322</v>
      </c>
      <c r="AE1352">
        <v>-88.00547400000001</v>
      </c>
      <c r="AF1352" s="5" t="str">
        <f>HYPERLINK("https://www.google.com/maps/search/?api=1&amp;query=41.796322,-88.005474","map")</f>
        <v>map</v>
      </c>
    </row>
    <row r="1353" spans="1:32">
      <c r="A1353" t="s">
        <v>1403</v>
      </c>
      <c r="B1353" t="s">
        <v>8979</v>
      </c>
      <c r="C1353" t="s">
        <v>15289</v>
      </c>
      <c r="D1353" t="s">
        <v>16199</v>
      </c>
      <c r="E1353" t="s">
        <v>16218</v>
      </c>
      <c r="F1353" t="s">
        <v>16222</v>
      </c>
      <c r="G1353" t="s">
        <v>16244</v>
      </c>
      <c r="H1353" t="s">
        <v>16244</v>
      </c>
      <c r="I1353" t="s">
        <v>16320</v>
      </c>
      <c r="J1353" t="s">
        <v>16387</v>
      </c>
      <c r="K1353">
        <v>0.164</v>
      </c>
      <c r="L1353">
        <v>7151</v>
      </c>
      <c r="M1353">
        <v>1072</v>
      </c>
      <c r="N1353" t="s">
        <v>16393</v>
      </c>
      <c r="O1353" s="4">
        <v>65858</v>
      </c>
      <c r="P1353" s="4">
        <v>59661</v>
      </c>
      <c r="Q1353" s="4">
        <v>125519</v>
      </c>
      <c r="R1353" s="4">
        <v>376557</v>
      </c>
      <c r="S1353" t="s">
        <v>17723</v>
      </c>
      <c r="T1353" s="6">
        <v>41883</v>
      </c>
      <c r="U1353" s="4">
        <v>190000</v>
      </c>
      <c r="V1353" t="s">
        <v>23740</v>
      </c>
      <c r="W1353" t="s">
        <v>17723</v>
      </c>
      <c r="X1353" t="s">
        <v>3</v>
      </c>
      <c r="AA1353" s="5" t="str">
        <f>HYPERLINK("https://www.zillow.com/homes/420-ROGERS-ST-DOWNERS-GROVE-IL-605153850_rb/","check listing")</f>
        <v>check listing</v>
      </c>
      <c r="AB1353" s="5" t="str">
        <f>HYPERLINK("https://propertylookup.dupagecounty.gov/Datalets/Datalet.aspx?UseSearch=no&amp;mode=sales&amp;pin=0908225021","sales record")</f>
        <v>sales record</v>
      </c>
      <c r="AC1353" t="s">
        <v>3</v>
      </c>
      <c r="AD1353">
        <v>41.796984</v>
      </c>
      <c r="AE1353">
        <v>-87.995893</v>
      </c>
      <c r="AF1353" s="5" t="str">
        <f>HYPERLINK("https://www.google.com/maps/search/?api=1&amp;query=41.796984,-87.995893","map")</f>
        <v>map</v>
      </c>
    </row>
    <row r="1354" spans="1:32">
      <c r="A1354" t="s">
        <v>1404</v>
      </c>
      <c r="B1354" t="s">
        <v>8980</v>
      </c>
      <c r="C1354" t="s">
        <v>15277</v>
      </c>
      <c r="D1354" t="s">
        <v>16199</v>
      </c>
      <c r="E1354" t="s">
        <v>16218</v>
      </c>
      <c r="F1354" t="s">
        <v>16222</v>
      </c>
      <c r="G1354" t="s">
        <v>16244</v>
      </c>
      <c r="H1354" t="s">
        <v>16244</v>
      </c>
      <c r="I1354" t="s">
        <v>16320</v>
      </c>
      <c r="J1354" t="s">
        <v>16387</v>
      </c>
      <c r="K1354">
        <v>0.164</v>
      </c>
      <c r="L1354">
        <v>7150</v>
      </c>
      <c r="M1354">
        <v>885</v>
      </c>
      <c r="N1354" t="s">
        <v>16393</v>
      </c>
      <c r="O1354" s="4">
        <v>65858</v>
      </c>
      <c r="P1354" s="4">
        <v>40775</v>
      </c>
      <c r="Q1354" s="4">
        <v>106633</v>
      </c>
      <c r="R1354" s="4">
        <v>319899</v>
      </c>
      <c r="S1354" t="s">
        <v>17724</v>
      </c>
      <c r="T1354" s="6">
        <v>31564</v>
      </c>
      <c r="U1354" s="4">
        <v>69000</v>
      </c>
      <c r="X1354" t="s">
        <v>3</v>
      </c>
      <c r="AA1354" s="5" t="str">
        <f>HYPERLINK("https://www.zillow.com/homes/416-ROGERS-ST-DOWNERS-GROVE-IL-60515_rb/","check listing")</f>
        <v>check listing</v>
      </c>
      <c r="AB1354" s="5" t="str">
        <f>HYPERLINK("https://propertylookup.dupagecounty.gov/Datalets/Datalet.aspx?UseSearch=no&amp;mode=sales&amp;pin=0908225022","sales record")</f>
        <v>sales record</v>
      </c>
      <c r="AC1354" t="s">
        <v>3</v>
      </c>
      <c r="AD1354">
        <v>41.796988</v>
      </c>
      <c r="AE1354">
        <v>-87.99571</v>
      </c>
      <c r="AF1354" s="5" t="str">
        <f>HYPERLINK("https://www.google.com/maps/search/?api=1&amp;query=41.796988,-87.99571","map")</f>
        <v>map</v>
      </c>
    </row>
    <row r="1355" spans="1:32">
      <c r="A1355" t="s">
        <v>1405</v>
      </c>
      <c r="B1355" t="s">
        <v>8981</v>
      </c>
      <c r="C1355" t="s">
        <v>15277</v>
      </c>
      <c r="D1355" t="s">
        <v>16199</v>
      </c>
      <c r="E1355" t="s">
        <v>16218</v>
      </c>
      <c r="F1355" t="s">
        <v>16222</v>
      </c>
      <c r="G1355" t="s">
        <v>16245</v>
      </c>
      <c r="H1355" t="s">
        <v>16245</v>
      </c>
      <c r="I1355" t="s">
        <v>16321</v>
      </c>
      <c r="J1355" t="s">
        <v>16387</v>
      </c>
      <c r="K1355">
        <v>0.164</v>
      </c>
      <c r="L1355">
        <v>7150</v>
      </c>
      <c r="M1355">
        <v>1177</v>
      </c>
      <c r="N1355" t="s">
        <v>16393</v>
      </c>
      <c r="O1355" s="4">
        <v>63382</v>
      </c>
      <c r="P1355" s="4">
        <v>81832</v>
      </c>
      <c r="Q1355" s="4">
        <v>145214</v>
      </c>
      <c r="R1355" s="4">
        <v>435642</v>
      </c>
      <c r="S1355" t="s">
        <v>17725</v>
      </c>
      <c r="T1355" s="6">
        <v>36312</v>
      </c>
      <c r="U1355" s="4">
        <v>114500</v>
      </c>
      <c r="X1355" t="s">
        <v>3</v>
      </c>
      <c r="AA1355" s="5" t="str">
        <f>HYPERLINK("https://www.zillow.com/homes/4932-FAIRVIEW-AVE-DOWNERS-GROVE-IL-60515_rb/","check listing")</f>
        <v>check listing</v>
      </c>
      <c r="AB1355" s="5" t="str">
        <f>HYPERLINK("https://propertylookup.dupagecounty.gov/Datalets/Datalet.aspx?UseSearch=no&amp;mode=sales&amp;pin=0908225013","sales record")</f>
        <v>sales record</v>
      </c>
      <c r="AC1355" t="s">
        <v>3</v>
      </c>
      <c r="AD1355">
        <v>41.797313</v>
      </c>
      <c r="AE1355">
        <v>-87.995127</v>
      </c>
      <c r="AF1355" s="5" t="str">
        <f>HYPERLINK("https://www.google.com/maps/search/?api=1&amp;query=41.797313,-87.995127","map")</f>
        <v>map</v>
      </c>
    </row>
    <row r="1356" spans="1:32">
      <c r="A1356" t="s">
        <v>1406</v>
      </c>
      <c r="B1356" t="s">
        <v>8982</v>
      </c>
      <c r="C1356" t="s">
        <v>15290</v>
      </c>
      <c r="D1356" t="s">
        <v>16199</v>
      </c>
      <c r="E1356" t="s">
        <v>16218</v>
      </c>
      <c r="F1356" t="s">
        <v>16222</v>
      </c>
      <c r="G1356" t="s">
        <v>16244</v>
      </c>
      <c r="H1356" t="s">
        <v>16244</v>
      </c>
      <c r="I1356" t="s">
        <v>16320</v>
      </c>
      <c r="J1356" t="s">
        <v>16387</v>
      </c>
      <c r="K1356">
        <v>0.164</v>
      </c>
      <c r="L1356">
        <v>7150</v>
      </c>
      <c r="M1356">
        <v>1302</v>
      </c>
      <c r="N1356" t="s">
        <v>16393</v>
      </c>
      <c r="O1356" s="4">
        <v>65858</v>
      </c>
      <c r="P1356" s="4">
        <v>53158</v>
      </c>
      <c r="Q1356" s="4">
        <v>119016</v>
      </c>
      <c r="R1356" s="4">
        <v>357048</v>
      </c>
      <c r="S1356" t="s">
        <v>17726</v>
      </c>
      <c r="T1356" s="6">
        <v>43040</v>
      </c>
      <c r="U1356" s="4">
        <v>269000</v>
      </c>
      <c r="V1356" t="s">
        <v>23739</v>
      </c>
      <c r="W1356" t="s">
        <v>24402</v>
      </c>
      <c r="X1356" t="s">
        <v>3</v>
      </c>
      <c r="AA1356" s="5" t="str">
        <f>HYPERLINK("https://www.zillow.com/homes/552-ROGERS-ST-DOWNERS-GROVE-IL-605153848_rb/","check listing")</f>
        <v>check listing</v>
      </c>
      <c r="AB1356" s="5" t="str">
        <f>HYPERLINK("https://propertylookup.dupagecounty.gov/Datalets/Datalet.aspx?UseSearch=no&amp;mode=sales&amp;pin=0908217019","sales record")</f>
        <v>sales record</v>
      </c>
      <c r="AC1356" t="s">
        <v>3</v>
      </c>
      <c r="AD1356">
        <v>41.79691</v>
      </c>
      <c r="AE1356">
        <v>-87.999529</v>
      </c>
      <c r="AF1356" s="5" t="str">
        <f>HYPERLINK("https://www.google.com/maps/search/?api=1&amp;query=41.79691,-87.999529","map")</f>
        <v>map</v>
      </c>
    </row>
    <row r="1357" spans="1:32">
      <c r="A1357" t="s">
        <v>1407</v>
      </c>
      <c r="B1357" t="s">
        <v>8983</v>
      </c>
      <c r="C1357" t="s">
        <v>15277</v>
      </c>
      <c r="D1357" t="s">
        <v>16199</v>
      </c>
      <c r="E1357" t="s">
        <v>16218</v>
      </c>
      <c r="F1357" t="s">
        <v>16222</v>
      </c>
      <c r="G1357" t="s">
        <v>16244</v>
      </c>
      <c r="H1357" t="s">
        <v>16244</v>
      </c>
      <c r="I1357" t="s">
        <v>16320</v>
      </c>
      <c r="J1357" t="s">
        <v>16387</v>
      </c>
      <c r="K1357">
        <v>0.164</v>
      </c>
      <c r="L1357">
        <v>7150</v>
      </c>
      <c r="M1357">
        <v>1083</v>
      </c>
      <c r="N1357" t="s">
        <v>16393</v>
      </c>
      <c r="O1357" s="4">
        <v>65858</v>
      </c>
      <c r="P1357" s="4">
        <v>156318</v>
      </c>
      <c r="Q1357" s="4">
        <v>222176</v>
      </c>
      <c r="R1357" s="4">
        <v>666528</v>
      </c>
      <c r="S1357" t="s">
        <v>17727</v>
      </c>
      <c r="T1357" s="6">
        <v>41821</v>
      </c>
      <c r="U1357" s="4">
        <v>402550</v>
      </c>
      <c r="V1357" t="s">
        <v>23739</v>
      </c>
      <c r="W1357" t="s">
        <v>24403</v>
      </c>
      <c r="X1357" t="s">
        <v>3</v>
      </c>
      <c r="AA1357" s="5" t="str">
        <f>HYPERLINK("https://www.zillow.com/homes/610-ROGERS-ST-DOWNERS-GROVE-IL-60515_rb/","check listing")</f>
        <v>check listing</v>
      </c>
      <c r="AB1357" s="5" t="str">
        <f>HYPERLINK("https://propertylookup.dupagecounty.gov/Datalets/Datalet.aspx?UseSearch=no&amp;mode=sales&amp;pin=0908217016","sales record")</f>
        <v>sales record</v>
      </c>
      <c r="AC1357" t="s">
        <v>3</v>
      </c>
      <c r="AD1357">
        <v>41.796898</v>
      </c>
      <c r="AE1357">
        <v>-88.000079</v>
      </c>
      <c r="AF1357" s="5" t="str">
        <f>HYPERLINK("https://www.google.com/maps/search/?api=1&amp;query=41.796898,-88.000079","map")</f>
        <v>map</v>
      </c>
    </row>
    <row r="1358" spans="1:32">
      <c r="A1358" t="s">
        <v>1408</v>
      </c>
      <c r="B1358" t="s">
        <v>8984</v>
      </c>
      <c r="C1358" t="s">
        <v>15277</v>
      </c>
      <c r="D1358" t="s">
        <v>16199</v>
      </c>
      <c r="E1358" t="s">
        <v>16218</v>
      </c>
      <c r="F1358" t="s">
        <v>16222</v>
      </c>
      <c r="G1358" t="s">
        <v>16244</v>
      </c>
      <c r="H1358" t="s">
        <v>16244</v>
      </c>
      <c r="I1358" t="s">
        <v>16320</v>
      </c>
      <c r="J1358" t="s">
        <v>16387</v>
      </c>
      <c r="K1358">
        <v>0.164</v>
      </c>
      <c r="L1358">
        <v>7149</v>
      </c>
      <c r="M1358">
        <v>1093</v>
      </c>
      <c r="N1358" t="s">
        <v>16393</v>
      </c>
      <c r="O1358" s="4">
        <v>65858</v>
      </c>
      <c r="P1358" s="4">
        <v>73569</v>
      </c>
      <c r="Q1358" s="4">
        <v>139427</v>
      </c>
      <c r="R1358" s="4">
        <v>418281</v>
      </c>
      <c r="S1358" t="s">
        <v>17728</v>
      </c>
      <c r="T1358" s="6">
        <v>35521</v>
      </c>
      <c r="U1358" s="4">
        <v>85000</v>
      </c>
      <c r="X1358" t="s">
        <v>3</v>
      </c>
      <c r="AA1358" s="5" t="str">
        <f>HYPERLINK("https://www.zillow.com/homes/604-ROGERS-ST-DOWNERS-GROVE-IL-60515_rb/","check listing")</f>
        <v>check listing</v>
      </c>
      <c r="AB1358" s="5" t="str">
        <f>HYPERLINK("https://propertylookup.dupagecounty.gov/Datalets/Datalet.aspx?UseSearch=no&amp;mode=sales&amp;pin=0908217017","sales record")</f>
        <v>sales record</v>
      </c>
      <c r="AC1358" t="s">
        <v>3</v>
      </c>
      <c r="AD1358">
        <v>41.796902</v>
      </c>
      <c r="AE1358">
        <v>-87.99989600000001</v>
      </c>
      <c r="AF1358" s="5" t="str">
        <f>HYPERLINK("https://www.google.com/maps/search/?api=1&amp;query=41.796902,-87.999896","map")</f>
        <v>map</v>
      </c>
    </row>
    <row r="1359" spans="1:32">
      <c r="A1359" t="s">
        <v>1409</v>
      </c>
      <c r="B1359" t="s">
        <v>8985</v>
      </c>
      <c r="C1359" t="s">
        <v>15277</v>
      </c>
      <c r="D1359" t="s">
        <v>16199</v>
      </c>
      <c r="E1359" t="s">
        <v>16218</v>
      </c>
      <c r="F1359" t="s">
        <v>16222</v>
      </c>
      <c r="G1359" t="s">
        <v>16244</v>
      </c>
      <c r="H1359" t="s">
        <v>16244</v>
      </c>
      <c r="I1359" t="s">
        <v>16320</v>
      </c>
      <c r="J1359" t="s">
        <v>16387</v>
      </c>
      <c r="K1359">
        <v>0.164</v>
      </c>
      <c r="L1359">
        <v>7148</v>
      </c>
      <c r="M1359">
        <v>1886</v>
      </c>
      <c r="N1359" t="s">
        <v>16393</v>
      </c>
      <c r="O1359" s="4">
        <v>65858</v>
      </c>
      <c r="P1359" s="4">
        <v>195098</v>
      </c>
      <c r="Q1359" s="4">
        <v>260956</v>
      </c>
      <c r="R1359" s="4">
        <v>782868</v>
      </c>
      <c r="S1359" t="s">
        <v>17728</v>
      </c>
      <c r="T1359" s="6">
        <v>31837</v>
      </c>
      <c r="U1359" s="4">
        <v>60000</v>
      </c>
      <c r="X1359" t="s">
        <v>3</v>
      </c>
      <c r="AA1359" s="5" t="str">
        <f>HYPERLINK("https://www.zillow.com/homes/602-ROGERS-ST-DOWNERS-GROVE-IL-60515_rb/","check listing")</f>
        <v>check listing</v>
      </c>
      <c r="AB1359" s="5" t="str">
        <f>HYPERLINK("https://propertylookup.dupagecounty.gov/Datalets/Datalet.aspx?UseSearch=no&amp;mode=sales&amp;pin=0908217018","sales record")</f>
        <v>sales record</v>
      </c>
      <c r="AC1359" t="s">
        <v>3</v>
      </c>
      <c r="AD1359">
        <v>41.796906</v>
      </c>
      <c r="AE1359">
        <v>-87.999712</v>
      </c>
      <c r="AF1359" s="5" t="str">
        <f>HYPERLINK("https://www.google.com/maps/search/?api=1&amp;query=41.796906,-87.999712","map")</f>
        <v>map</v>
      </c>
    </row>
    <row r="1360" spans="1:32">
      <c r="A1360" t="s">
        <v>1410</v>
      </c>
      <c r="B1360" t="s">
        <v>8986</v>
      </c>
      <c r="C1360" t="s">
        <v>15277</v>
      </c>
      <c r="D1360" t="s">
        <v>16199</v>
      </c>
      <c r="E1360" t="s">
        <v>16218</v>
      </c>
      <c r="F1360" t="s">
        <v>16222</v>
      </c>
      <c r="G1360" t="s">
        <v>16244</v>
      </c>
      <c r="H1360" t="s">
        <v>16244</v>
      </c>
      <c r="I1360" t="s">
        <v>16320</v>
      </c>
      <c r="J1360" t="s">
        <v>16387</v>
      </c>
      <c r="K1360">
        <v>0.163</v>
      </c>
      <c r="L1360">
        <v>7087</v>
      </c>
      <c r="M1360">
        <v>1415</v>
      </c>
      <c r="N1360" t="s">
        <v>16393</v>
      </c>
      <c r="O1360" s="4">
        <v>45177</v>
      </c>
      <c r="P1360" s="4">
        <v>224042</v>
      </c>
      <c r="Q1360" s="4">
        <v>269219</v>
      </c>
      <c r="R1360" s="4">
        <v>807657</v>
      </c>
      <c r="S1360" t="s">
        <v>17729</v>
      </c>
      <c r="T1360" s="6">
        <v>42644</v>
      </c>
      <c r="U1360" s="4">
        <v>565000</v>
      </c>
      <c r="V1360" t="s">
        <v>23739</v>
      </c>
      <c r="W1360" t="s">
        <v>17729</v>
      </c>
      <c r="X1360" t="s">
        <v>3</v>
      </c>
      <c r="AA1360" s="5" t="str">
        <f>HYPERLINK("https://www.zillow.com/homes/5004-FLORENCE-AVE-DOWNERS-GROVE-IL-60515_rb/","check listing")</f>
        <v>check listing</v>
      </c>
      <c r="AB1360" s="5" t="str">
        <f>HYPERLINK("https://propertylookup.dupagecounty.gov/Datalets/Datalet.aspx?UseSearch=no&amp;mode=sales&amp;pin=0909110013","sales record")</f>
        <v>sales record</v>
      </c>
      <c r="AC1360" t="s">
        <v>27873</v>
      </c>
      <c r="AD1360">
        <v>41.79652</v>
      </c>
      <c r="AE1360">
        <v>-87.992169</v>
      </c>
      <c r="AF1360" s="5" t="str">
        <f>HYPERLINK("https://www.google.com/maps/search/?api=1&amp;query=41.79652,-87.992169","map")</f>
        <v>map</v>
      </c>
    </row>
    <row r="1361" spans="1:32">
      <c r="A1361" t="s">
        <v>1411</v>
      </c>
      <c r="B1361" t="s">
        <v>8987</v>
      </c>
      <c r="C1361" t="s">
        <v>15277</v>
      </c>
      <c r="D1361" t="s">
        <v>16199</v>
      </c>
      <c r="E1361" t="s">
        <v>16218</v>
      </c>
      <c r="F1361" t="s">
        <v>16222</v>
      </c>
      <c r="G1361" t="s">
        <v>16244</v>
      </c>
      <c r="H1361" t="s">
        <v>16244</v>
      </c>
      <c r="I1361" t="s">
        <v>16320</v>
      </c>
      <c r="J1361" t="s">
        <v>16387</v>
      </c>
      <c r="K1361">
        <v>0.162</v>
      </c>
      <c r="L1361">
        <v>7077</v>
      </c>
      <c r="M1361">
        <v>992</v>
      </c>
      <c r="N1361" t="s">
        <v>16393</v>
      </c>
      <c r="O1361" s="4">
        <v>45177</v>
      </c>
      <c r="P1361" s="4">
        <v>80460</v>
      </c>
      <c r="Q1361" s="4">
        <v>125637</v>
      </c>
      <c r="R1361" s="4">
        <v>376911</v>
      </c>
      <c r="S1361" t="s">
        <v>17730</v>
      </c>
      <c r="T1361" s="6">
        <v>42005</v>
      </c>
      <c r="U1361" s="4">
        <v>330000</v>
      </c>
      <c r="V1361" t="s">
        <v>23739</v>
      </c>
      <c r="W1361" t="s">
        <v>17730</v>
      </c>
      <c r="X1361" t="s">
        <v>3</v>
      </c>
      <c r="AA1361" s="5" t="str">
        <f>HYPERLINK("https://www.zillow.com/homes/5000-FLORENCE-AVE-DOWNERS-GROVE-IL-60515_rb/","check listing")</f>
        <v>check listing</v>
      </c>
      <c r="AB1361" s="5" t="str">
        <f>HYPERLINK("https://propertylookup.dupagecounty.gov/Datalets/Datalet.aspx?UseSearch=no&amp;mode=sales&amp;pin=0909110012","sales record")</f>
        <v>sales record</v>
      </c>
      <c r="AC1361" t="s">
        <v>27873</v>
      </c>
      <c r="AD1361">
        <v>41.796657</v>
      </c>
      <c r="AE1361">
        <v>-87.992175</v>
      </c>
      <c r="AF1361" s="5" t="str">
        <f>HYPERLINK("https://www.google.com/maps/search/?api=1&amp;query=41.796657,-87.992175","map")</f>
        <v>map</v>
      </c>
    </row>
    <row r="1362" spans="1:32">
      <c r="A1362" t="s">
        <v>1412</v>
      </c>
      <c r="B1362" t="s">
        <v>8988</v>
      </c>
      <c r="C1362" t="s">
        <v>15277</v>
      </c>
      <c r="D1362" t="s">
        <v>16199</v>
      </c>
      <c r="E1362" t="s">
        <v>16218</v>
      </c>
      <c r="F1362" t="s">
        <v>16222</v>
      </c>
      <c r="G1362" t="s">
        <v>16244</v>
      </c>
      <c r="H1362" t="s">
        <v>16244</v>
      </c>
      <c r="I1362" t="s">
        <v>16320</v>
      </c>
      <c r="J1362" t="s">
        <v>16387</v>
      </c>
      <c r="K1362">
        <v>0.162</v>
      </c>
      <c r="L1362">
        <v>7072</v>
      </c>
      <c r="N1362" t="s">
        <v>16393</v>
      </c>
      <c r="O1362" s="4">
        <v>45177</v>
      </c>
      <c r="P1362" s="4">
        <v>66622</v>
      </c>
      <c r="Q1362" s="4">
        <v>111799</v>
      </c>
      <c r="R1362" s="4">
        <v>335397</v>
      </c>
      <c r="S1362" t="s">
        <v>17731</v>
      </c>
      <c r="T1362" s="6">
        <v>44075</v>
      </c>
      <c r="U1362" s="4">
        <v>305000</v>
      </c>
      <c r="V1362" t="s">
        <v>23739</v>
      </c>
      <c r="W1362" t="s">
        <v>17731</v>
      </c>
      <c r="X1362" t="s">
        <v>3</v>
      </c>
      <c r="AA1362" s="5" t="str">
        <f>HYPERLINK("https://www.zillow.com/homes/4952-FLORENCE-AVE-DOWNERS-GROVE-IL-60515_rb/","check listing")</f>
        <v>check listing</v>
      </c>
      <c r="AB1362" s="5" t="str">
        <f>HYPERLINK("https://propertylookup.dupagecounty.gov/Datalets/Datalet.aspx?UseSearch=no&amp;mode=sales&amp;pin=0909110011","sales record")</f>
        <v>sales record</v>
      </c>
      <c r="AC1362" t="s">
        <v>27873</v>
      </c>
      <c r="AD1362">
        <v>41.796793</v>
      </c>
      <c r="AE1362">
        <v>-87.992181</v>
      </c>
      <c r="AF1362" s="5" t="str">
        <f>HYPERLINK("https://www.google.com/maps/search/?api=1&amp;query=41.796793,-87.992181","map")</f>
        <v>map</v>
      </c>
    </row>
    <row r="1363" spans="1:32">
      <c r="A1363" t="s">
        <v>1413</v>
      </c>
      <c r="B1363" t="s">
        <v>8989</v>
      </c>
      <c r="C1363" t="s">
        <v>15277</v>
      </c>
      <c r="D1363" t="s">
        <v>16199</v>
      </c>
      <c r="E1363" t="s">
        <v>16218</v>
      </c>
      <c r="F1363" t="s">
        <v>16222</v>
      </c>
      <c r="G1363" t="s">
        <v>16242</v>
      </c>
      <c r="H1363" t="s">
        <v>16242</v>
      </c>
      <c r="I1363" t="s">
        <v>16318</v>
      </c>
      <c r="J1363" t="s">
        <v>16387</v>
      </c>
      <c r="K1363">
        <v>0.152</v>
      </c>
      <c r="L1363">
        <v>6618</v>
      </c>
      <c r="M1363">
        <v>960</v>
      </c>
      <c r="N1363" t="s">
        <v>16393</v>
      </c>
      <c r="O1363" s="4">
        <v>73253</v>
      </c>
      <c r="P1363" s="4">
        <v>119334</v>
      </c>
      <c r="Q1363" s="4">
        <v>192587</v>
      </c>
      <c r="R1363" s="4">
        <v>577761</v>
      </c>
      <c r="S1363" t="s">
        <v>17732</v>
      </c>
      <c r="X1363" t="s">
        <v>3</v>
      </c>
      <c r="AA1363" s="5" t="str">
        <f>HYPERLINK("https://www.zillow.com/homes/4919-SARATOGA-ST-DOWNERS-GROVE-IL-60515_rb/","check listing")</f>
        <v>check listing</v>
      </c>
      <c r="AB1363" s="5" t="str">
        <f>HYPERLINK("https://propertylookup.dupagecounty.gov/Datalets/Datalet.aspx?UseSearch=no&amp;mode=sales&amp;pin=0908115006","sales record")</f>
        <v>sales record</v>
      </c>
      <c r="AC1363" t="s">
        <v>3</v>
      </c>
      <c r="AD1363">
        <v>41.797596</v>
      </c>
      <c r="AE1363">
        <v>-88.01349399999999</v>
      </c>
      <c r="AF1363" s="5" t="str">
        <f>HYPERLINK("https://www.google.com/maps/search/?api=1&amp;query=41.797596,-88.013494","map")</f>
        <v>map</v>
      </c>
    </row>
    <row r="1364" spans="1:32">
      <c r="A1364" t="s">
        <v>1414</v>
      </c>
      <c r="B1364" t="s">
        <v>8990</v>
      </c>
      <c r="C1364" t="s">
        <v>15277</v>
      </c>
      <c r="D1364" t="s">
        <v>16199</v>
      </c>
      <c r="E1364" t="s">
        <v>16218</v>
      </c>
      <c r="F1364" t="s">
        <v>16222</v>
      </c>
      <c r="G1364" t="s">
        <v>16242</v>
      </c>
      <c r="H1364" t="s">
        <v>16242</v>
      </c>
      <c r="I1364" t="s">
        <v>16318</v>
      </c>
      <c r="J1364" t="s">
        <v>16387</v>
      </c>
      <c r="K1364">
        <v>0.152</v>
      </c>
      <c r="L1364">
        <v>6618</v>
      </c>
      <c r="M1364">
        <v>1493</v>
      </c>
      <c r="N1364" t="s">
        <v>16393</v>
      </c>
      <c r="O1364" s="4">
        <v>73253</v>
      </c>
      <c r="P1364" s="4">
        <v>161400</v>
      </c>
      <c r="Q1364" s="4">
        <v>234653</v>
      </c>
      <c r="R1364" s="4">
        <v>703959</v>
      </c>
      <c r="S1364" t="s">
        <v>17733</v>
      </c>
      <c r="T1364" s="6">
        <v>37469</v>
      </c>
      <c r="U1364" s="4">
        <v>258000</v>
      </c>
      <c r="V1364" t="s">
        <v>23739</v>
      </c>
      <c r="W1364" t="s">
        <v>24404</v>
      </c>
      <c r="X1364" t="s">
        <v>3</v>
      </c>
      <c r="AA1364" s="5" t="str">
        <f>HYPERLINK("https://www.zillow.com/homes/4929-SARATOGA-ST-DOWNERS-GROVE-IL-60515_rb/","check listing")</f>
        <v>check listing</v>
      </c>
      <c r="AB1364" s="5" t="str">
        <f>HYPERLINK("https://propertylookup.dupagecounty.gov/Datalets/Datalet.aspx?UseSearch=no&amp;mode=sales&amp;pin=0908115009","sales record")</f>
        <v>sales record</v>
      </c>
      <c r="AC1364" t="s">
        <v>3</v>
      </c>
      <c r="AD1364">
        <v>41.797212</v>
      </c>
      <c r="AE1364">
        <v>-88.01348</v>
      </c>
      <c r="AF1364" s="5" t="str">
        <f>HYPERLINK("https://www.google.com/maps/search/?api=1&amp;query=41.797212,-88.01348","map")</f>
        <v>map</v>
      </c>
    </row>
    <row r="1365" spans="1:32">
      <c r="A1365" t="s">
        <v>1415</v>
      </c>
      <c r="B1365" t="s">
        <v>8991</v>
      </c>
      <c r="C1365" t="s">
        <v>15291</v>
      </c>
      <c r="D1365" t="s">
        <v>16199</v>
      </c>
      <c r="E1365" t="s">
        <v>16218</v>
      </c>
      <c r="F1365" t="s">
        <v>16222</v>
      </c>
      <c r="G1365" t="s">
        <v>16242</v>
      </c>
      <c r="H1365" t="s">
        <v>16242</v>
      </c>
      <c r="I1365" t="s">
        <v>16318</v>
      </c>
      <c r="J1365" t="s">
        <v>16387</v>
      </c>
      <c r="K1365">
        <v>0.152</v>
      </c>
      <c r="L1365">
        <v>6617</v>
      </c>
      <c r="M1365">
        <v>1383</v>
      </c>
      <c r="N1365" t="s">
        <v>16393</v>
      </c>
      <c r="O1365" s="4">
        <v>73253</v>
      </c>
      <c r="P1365" s="4">
        <v>122797</v>
      </c>
      <c r="Q1365" s="4">
        <v>196050</v>
      </c>
      <c r="R1365" s="4">
        <v>588150</v>
      </c>
      <c r="S1365" t="s">
        <v>17734</v>
      </c>
      <c r="T1365" s="6">
        <v>43647</v>
      </c>
      <c r="U1365" s="4">
        <v>382000</v>
      </c>
      <c r="V1365" t="s">
        <v>23739</v>
      </c>
      <c r="W1365" t="s">
        <v>24405</v>
      </c>
      <c r="X1365" t="s">
        <v>3</v>
      </c>
      <c r="AA1365" s="5" t="str">
        <f>HYPERLINK("https://www.zillow.com/homes/4921-SARATOGA-AVE-DOWNERS-GROVE-IL-605153530_rb/","check listing")</f>
        <v>check listing</v>
      </c>
      <c r="AB1365" s="5" t="str">
        <f>HYPERLINK("https://propertylookup.dupagecounty.gov/Datalets/Datalet.aspx?UseSearch=no&amp;mode=sales&amp;pin=0908115007","sales record")</f>
        <v>sales record</v>
      </c>
      <c r="AC1365" t="s">
        <v>3</v>
      </c>
      <c r="AD1365">
        <v>41.797459</v>
      </c>
      <c r="AE1365">
        <v>-88.01348900000001</v>
      </c>
      <c r="AF1365" s="5" t="str">
        <f>HYPERLINK("https://www.google.com/maps/search/?api=1&amp;query=41.797459,-88.013489","map")</f>
        <v>map</v>
      </c>
    </row>
    <row r="1366" spans="1:32">
      <c r="A1366" t="s">
        <v>1416</v>
      </c>
      <c r="B1366" t="s">
        <v>8992</v>
      </c>
      <c r="C1366" t="s">
        <v>15277</v>
      </c>
      <c r="D1366" t="s">
        <v>16199</v>
      </c>
      <c r="E1366" t="s">
        <v>16218</v>
      </c>
      <c r="F1366" t="s">
        <v>16222</v>
      </c>
      <c r="G1366" t="s">
        <v>16242</v>
      </c>
      <c r="H1366" t="s">
        <v>16242</v>
      </c>
      <c r="I1366" t="s">
        <v>16318</v>
      </c>
      <c r="J1366" t="s">
        <v>16387</v>
      </c>
      <c r="K1366">
        <v>0.152</v>
      </c>
      <c r="L1366">
        <v>6617</v>
      </c>
      <c r="M1366">
        <v>936</v>
      </c>
      <c r="N1366" t="s">
        <v>16393</v>
      </c>
      <c r="O1366" s="4">
        <v>73253</v>
      </c>
      <c r="P1366" s="4">
        <v>119404</v>
      </c>
      <c r="Q1366" s="4">
        <v>192657</v>
      </c>
      <c r="R1366" s="4">
        <v>577971</v>
      </c>
      <c r="S1366" t="s">
        <v>17735</v>
      </c>
      <c r="T1366" s="6">
        <v>38353</v>
      </c>
      <c r="U1366" s="4">
        <v>370000</v>
      </c>
      <c r="V1366" t="s">
        <v>23739</v>
      </c>
      <c r="W1366" t="s">
        <v>17735</v>
      </c>
      <c r="X1366" t="s">
        <v>3</v>
      </c>
      <c r="AA1366" s="5" t="str">
        <f>HYPERLINK("https://www.zillow.com/homes/4925-SARATOGA-ST-DOWNERS-GROVE-IL-60515_rb/","check listing")</f>
        <v>check listing</v>
      </c>
      <c r="AB1366" s="5" t="str">
        <f>HYPERLINK("https://propertylookup.dupagecounty.gov/Datalets/Datalet.aspx?UseSearch=no&amp;mode=sales&amp;pin=0908115008","sales record")</f>
        <v>sales record</v>
      </c>
      <c r="AC1366" t="s">
        <v>3</v>
      </c>
      <c r="AD1366">
        <v>41.797349</v>
      </c>
      <c r="AE1366">
        <v>-88.013485</v>
      </c>
      <c r="AF1366" s="5" t="str">
        <f>HYPERLINK("https://www.google.com/maps/search/?api=1&amp;query=41.797349,-88.013485","map")</f>
        <v>map</v>
      </c>
    </row>
    <row r="1367" spans="1:32">
      <c r="A1367" t="s">
        <v>1417</v>
      </c>
      <c r="B1367" t="s">
        <v>8993</v>
      </c>
      <c r="C1367" t="s">
        <v>15277</v>
      </c>
      <c r="D1367" t="s">
        <v>16199</v>
      </c>
      <c r="E1367" t="s">
        <v>16218</v>
      </c>
      <c r="F1367" t="s">
        <v>16222</v>
      </c>
      <c r="G1367" t="s">
        <v>16244</v>
      </c>
      <c r="H1367" t="s">
        <v>16244</v>
      </c>
      <c r="I1367" t="s">
        <v>16320</v>
      </c>
      <c r="J1367" t="s">
        <v>16387</v>
      </c>
      <c r="K1367">
        <v>0.151</v>
      </c>
      <c r="L1367">
        <v>6576</v>
      </c>
      <c r="M1367">
        <v>2239</v>
      </c>
      <c r="N1367" t="s">
        <v>16393</v>
      </c>
      <c r="O1367" s="4">
        <v>42267</v>
      </c>
      <c r="P1367" s="4">
        <v>74051</v>
      </c>
      <c r="Q1367" s="4">
        <v>116318</v>
      </c>
      <c r="R1367" s="4">
        <v>348954</v>
      </c>
      <c r="S1367" t="s">
        <v>17736</v>
      </c>
      <c r="X1367" t="s">
        <v>3</v>
      </c>
      <c r="AA1367" s="5" t="str">
        <f>HYPERLINK("https://www.zillow.com/homes/4950-FLORENCE-AVE-DOWNERS-GROVE-IL-60515_rb/","check listing")</f>
        <v>check listing</v>
      </c>
      <c r="AB1367" s="5" t="str">
        <f>HYPERLINK("https://propertylookup.dupagecounty.gov/Datalets/Datalet.aspx?UseSearch=no&amp;mode=sales&amp;pin=0909110010","sales record")</f>
        <v>sales record</v>
      </c>
      <c r="AC1367" t="s">
        <v>27873</v>
      </c>
      <c r="AD1367">
        <v>41.796924</v>
      </c>
      <c r="AE1367">
        <v>-87.992187</v>
      </c>
      <c r="AF1367" s="5" t="str">
        <f>HYPERLINK("https://www.google.com/maps/search/?api=1&amp;query=41.796924,-87.992187","map")</f>
        <v>map</v>
      </c>
    </row>
    <row r="1368" spans="1:32">
      <c r="A1368" t="s">
        <v>1418</v>
      </c>
      <c r="B1368" t="s">
        <v>8994</v>
      </c>
      <c r="C1368" t="s">
        <v>15277</v>
      </c>
      <c r="D1368" t="s">
        <v>16199</v>
      </c>
      <c r="E1368" t="s">
        <v>16218</v>
      </c>
      <c r="F1368" t="s">
        <v>16222</v>
      </c>
      <c r="G1368" t="s">
        <v>16242</v>
      </c>
      <c r="H1368" t="s">
        <v>16242</v>
      </c>
      <c r="I1368" t="s">
        <v>16318</v>
      </c>
      <c r="J1368" t="s">
        <v>16387</v>
      </c>
      <c r="K1368">
        <v>0.148</v>
      </c>
      <c r="L1368">
        <v>6442</v>
      </c>
      <c r="M1368">
        <v>1624</v>
      </c>
      <c r="N1368" t="s">
        <v>16393</v>
      </c>
      <c r="O1368" s="4">
        <v>60131</v>
      </c>
      <c r="P1368" s="4">
        <v>76434</v>
      </c>
      <c r="Q1368" s="4">
        <v>136565</v>
      </c>
      <c r="R1368" s="4">
        <v>409695</v>
      </c>
      <c r="S1368" t="s">
        <v>17737</v>
      </c>
      <c r="T1368" s="6">
        <v>41000</v>
      </c>
      <c r="U1368" s="4">
        <v>141000</v>
      </c>
      <c r="V1368" t="s">
        <v>23739</v>
      </c>
      <c r="W1368" t="s">
        <v>24406</v>
      </c>
      <c r="X1368" t="s">
        <v>3</v>
      </c>
      <c r="AA1368" s="5" t="str">
        <f>HYPERLINK("https://www.zillow.com/homes/5334-MAIN-ST-DOWNERS-GROVE-IL-60515_rb/","check listing")</f>
        <v>check listing</v>
      </c>
      <c r="AB1368" s="5" t="str">
        <f>HYPERLINK("https://propertylookup.dupagecounty.gov/Datalets/Datalet.aspx?UseSearch=no&amp;mode=sales&amp;pin=0908313021","sales record")</f>
        <v>sales record</v>
      </c>
      <c r="AC1368" t="s">
        <v>3</v>
      </c>
      <c r="AD1368">
        <v>41.789971</v>
      </c>
      <c r="AE1368">
        <v>-88.010158</v>
      </c>
      <c r="AF1368" s="5" t="str">
        <f>HYPERLINK("https://www.google.com/maps/search/?api=1&amp;query=41.789971,-88.010158","map")</f>
        <v>map</v>
      </c>
    </row>
    <row r="1369" spans="1:32">
      <c r="A1369" t="s">
        <v>1419</v>
      </c>
      <c r="B1369" t="s">
        <v>8995</v>
      </c>
      <c r="C1369" t="s">
        <v>15277</v>
      </c>
      <c r="D1369" t="s">
        <v>16199</v>
      </c>
      <c r="E1369" t="s">
        <v>16218</v>
      </c>
      <c r="F1369" t="s">
        <v>16222</v>
      </c>
      <c r="G1369" t="s">
        <v>16242</v>
      </c>
      <c r="H1369" t="s">
        <v>16242</v>
      </c>
      <c r="I1369" t="s">
        <v>16318</v>
      </c>
      <c r="J1369" t="s">
        <v>16387</v>
      </c>
      <c r="K1369">
        <v>0.145</v>
      </c>
      <c r="L1369">
        <v>6316</v>
      </c>
      <c r="M1369">
        <v>982</v>
      </c>
      <c r="N1369" t="s">
        <v>16393</v>
      </c>
      <c r="O1369" s="4">
        <v>60025</v>
      </c>
      <c r="P1369" s="4">
        <v>65753</v>
      </c>
      <c r="Q1369" s="4">
        <v>125778</v>
      </c>
      <c r="R1369" s="4">
        <v>377334</v>
      </c>
      <c r="S1369" t="s">
        <v>17738</v>
      </c>
      <c r="T1369" s="6">
        <v>41913</v>
      </c>
      <c r="U1369" s="4">
        <v>265000</v>
      </c>
      <c r="V1369" t="s">
        <v>23740</v>
      </c>
      <c r="W1369" t="s">
        <v>17738</v>
      </c>
      <c r="X1369" t="s">
        <v>3</v>
      </c>
      <c r="AA1369" s="5" t="str">
        <f>HYPERLINK("https://www.zillow.com/homes/5338-MAIN-ST-DOWNERS-GROVE-IL-60515_rb/","check listing")</f>
        <v>check listing</v>
      </c>
      <c r="AB1369" s="5" t="str">
        <f>HYPERLINK("https://propertylookup.dupagecounty.gov/Datalets/Datalet.aspx?UseSearch=no&amp;mode=sales&amp;pin=0908313022","sales record")</f>
        <v>sales record</v>
      </c>
      <c r="AC1369" t="s">
        <v>3</v>
      </c>
      <c r="AD1369">
        <v>41.789812</v>
      </c>
      <c r="AE1369">
        <v>-88.010098</v>
      </c>
      <c r="AF1369" s="5" t="str">
        <f>HYPERLINK("https://www.google.com/maps/search/?api=1&amp;query=41.789812,-88.010098","map")</f>
        <v>map</v>
      </c>
    </row>
    <row r="1370" spans="1:32">
      <c r="A1370" t="s">
        <v>1420</v>
      </c>
      <c r="B1370" t="s">
        <v>8996</v>
      </c>
      <c r="C1370" t="s">
        <v>15292</v>
      </c>
      <c r="D1370" t="s">
        <v>16199</v>
      </c>
      <c r="E1370" t="s">
        <v>16218</v>
      </c>
      <c r="F1370" t="s">
        <v>16222</v>
      </c>
      <c r="G1370" t="s">
        <v>16242</v>
      </c>
      <c r="H1370" t="s">
        <v>16242</v>
      </c>
      <c r="I1370" t="s">
        <v>16318</v>
      </c>
      <c r="J1370" t="s">
        <v>16387</v>
      </c>
      <c r="K1370">
        <v>0.144</v>
      </c>
      <c r="L1370">
        <v>6271</v>
      </c>
      <c r="M1370">
        <v>1524</v>
      </c>
      <c r="N1370" t="s">
        <v>16393</v>
      </c>
      <c r="O1370" s="4">
        <v>55847</v>
      </c>
      <c r="P1370" s="4">
        <v>351322</v>
      </c>
      <c r="Q1370" s="4">
        <v>407169</v>
      </c>
      <c r="R1370" s="4">
        <v>1221507</v>
      </c>
      <c r="S1370" t="s">
        <v>17739</v>
      </c>
      <c r="T1370" s="6">
        <v>43221</v>
      </c>
      <c r="U1370" s="4">
        <v>290000</v>
      </c>
      <c r="V1370" t="s">
        <v>23740</v>
      </c>
      <c r="W1370" t="s">
        <v>24407</v>
      </c>
      <c r="X1370" t="s">
        <v>3</v>
      </c>
      <c r="AA1370" s="5" t="str">
        <f>HYPERLINK("https://www.zillow.com/homes/1201-CURTISS-ST-DOWNERS-GROVE-IL-605154629_rb/","check listing")</f>
        <v>check listing</v>
      </c>
      <c r="AB1370" s="5" t="str">
        <f>HYPERLINK("https://propertylookup.dupagecounty.gov/Datalets/Datalet.aspx?UseSearch=no&amp;mode=sales&amp;pin=0907411003","sales record")</f>
        <v>sales record</v>
      </c>
      <c r="AC1370" t="s">
        <v>3</v>
      </c>
      <c r="AD1370">
        <v>41.793155</v>
      </c>
      <c r="AE1370">
        <v>-88.014129</v>
      </c>
      <c r="AF1370" s="5" t="str">
        <f>HYPERLINK("https://www.google.com/maps/search/?api=1&amp;query=41.793155,-88.014129","map")</f>
        <v>map</v>
      </c>
    </row>
    <row r="1371" spans="1:32">
      <c r="A1371" t="s">
        <v>1421</v>
      </c>
      <c r="B1371" t="s">
        <v>8997</v>
      </c>
      <c r="C1371" t="s">
        <v>15277</v>
      </c>
      <c r="D1371" t="s">
        <v>16199</v>
      </c>
      <c r="E1371" t="s">
        <v>16218</v>
      </c>
      <c r="F1371" t="s">
        <v>16222</v>
      </c>
      <c r="G1371" t="s">
        <v>16242</v>
      </c>
      <c r="H1371" t="s">
        <v>16242</v>
      </c>
      <c r="I1371" t="s">
        <v>16318</v>
      </c>
      <c r="J1371" t="s">
        <v>16387</v>
      </c>
      <c r="K1371">
        <v>0.143</v>
      </c>
      <c r="L1371">
        <v>6220</v>
      </c>
      <c r="M1371">
        <v>1949</v>
      </c>
      <c r="N1371" t="s">
        <v>16393</v>
      </c>
      <c r="O1371" s="4">
        <v>61105</v>
      </c>
      <c r="P1371" s="4">
        <v>228068</v>
      </c>
      <c r="Q1371" s="4">
        <v>289173</v>
      </c>
      <c r="R1371" s="4">
        <v>867519</v>
      </c>
      <c r="S1371" t="s">
        <v>17740</v>
      </c>
      <c r="T1371" s="6">
        <v>45569</v>
      </c>
      <c r="U1371" s="4">
        <v>1100000</v>
      </c>
      <c r="V1371" t="s">
        <v>23741</v>
      </c>
      <c r="W1371" t="s">
        <v>24408</v>
      </c>
      <c r="X1371" t="s">
        <v>3</v>
      </c>
      <c r="AA1371" s="5" t="str">
        <f>HYPERLINK("https://www.zillow.com/homes/817-ROGERS-ST-DOWNERS-GROVE-IL-60515_rb/","check listing")</f>
        <v>check listing</v>
      </c>
      <c r="AB1371" s="5" t="str">
        <f>HYPERLINK("https://propertylookup.dupagecounty.gov/Datalets/Datalet.aspx?UseSearch=no&amp;mode=sales&amp;pin=0908125010","sales record")</f>
        <v>sales record</v>
      </c>
      <c r="AC1371" t="s">
        <v>3</v>
      </c>
      <c r="AD1371">
        <v>41.796323</v>
      </c>
      <c r="AE1371">
        <v>-88.005275</v>
      </c>
      <c r="AF1371" s="5" t="str">
        <f>HYPERLINK("https://www.google.com/maps/search/?api=1&amp;query=41.796323,-88.005275","map")</f>
        <v>map</v>
      </c>
    </row>
    <row r="1372" spans="1:32">
      <c r="A1372" t="s">
        <v>1422</v>
      </c>
      <c r="B1372" t="s">
        <v>8998</v>
      </c>
      <c r="C1372" t="s">
        <v>15277</v>
      </c>
      <c r="D1372" t="s">
        <v>16199</v>
      </c>
      <c r="E1372" t="s">
        <v>16218</v>
      </c>
      <c r="F1372" t="s">
        <v>16222</v>
      </c>
      <c r="G1372" t="s">
        <v>16242</v>
      </c>
      <c r="H1372" t="s">
        <v>16242</v>
      </c>
      <c r="I1372" t="s">
        <v>16318</v>
      </c>
      <c r="J1372" t="s">
        <v>16387</v>
      </c>
      <c r="K1372">
        <v>0.143</v>
      </c>
      <c r="L1372">
        <v>6219</v>
      </c>
      <c r="M1372">
        <v>1134</v>
      </c>
      <c r="N1372" t="s">
        <v>16393</v>
      </c>
      <c r="O1372" s="4">
        <v>55001</v>
      </c>
      <c r="P1372" s="4">
        <v>74919</v>
      </c>
      <c r="Q1372" s="4">
        <v>129920</v>
      </c>
      <c r="R1372" s="4">
        <v>389760</v>
      </c>
      <c r="S1372" t="s">
        <v>17741</v>
      </c>
      <c r="T1372" s="6">
        <v>41518</v>
      </c>
      <c r="U1372" s="4">
        <v>195000</v>
      </c>
      <c r="V1372" t="s">
        <v>23739</v>
      </c>
      <c r="W1372" t="s">
        <v>24409</v>
      </c>
      <c r="X1372" t="s">
        <v>3</v>
      </c>
      <c r="AA1372" s="5" t="str">
        <f>HYPERLINK("https://www.zillow.com/homes/810-WARREN-AVE-DOWNERS-GROVE-IL-60515_rb/","check listing")</f>
        <v>check listing</v>
      </c>
      <c r="AB1372" s="5" t="str">
        <f>HYPERLINK("https://propertylookup.dupagecounty.gov/Datalets/Datalet.aspx?UseSearch=no&amp;mode=sales&amp;pin=0908125019","sales record")</f>
        <v>sales record</v>
      </c>
      <c r="AC1372" t="s">
        <v>3</v>
      </c>
      <c r="AD1372">
        <v>41.795983</v>
      </c>
      <c r="AE1372">
        <v>-88.00507899999999</v>
      </c>
      <c r="AF1372" s="5" t="str">
        <f>HYPERLINK("https://www.google.com/maps/search/?api=1&amp;query=41.795983,-88.005079","map")</f>
        <v>map</v>
      </c>
    </row>
    <row r="1373" spans="1:32">
      <c r="A1373" t="s">
        <v>1423</v>
      </c>
      <c r="B1373" t="s">
        <v>8999</v>
      </c>
      <c r="C1373" t="s">
        <v>15277</v>
      </c>
      <c r="D1373" t="s">
        <v>16199</v>
      </c>
      <c r="E1373" t="s">
        <v>16218</v>
      </c>
      <c r="F1373" t="s">
        <v>16222</v>
      </c>
      <c r="G1373" t="s">
        <v>16242</v>
      </c>
      <c r="H1373" t="s">
        <v>16242</v>
      </c>
      <c r="I1373" t="s">
        <v>16318</v>
      </c>
      <c r="J1373" t="s">
        <v>16387</v>
      </c>
      <c r="K1373">
        <v>0.143</v>
      </c>
      <c r="L1373">
        <v>6218</v>
      </c>
      <c r="M1373">
        <v>1214</v>
      </c>
      <c r="N1373" t="s">
        <v>16393</v>
      </c>
      <c r="O1373" s="4">
        <v>61105</v>
      </c>
      <c r="P1373" s="4">
        <v>76716</v>
      </c>
      <c r="Q1373" s="4">
        <v>137821</v>
      </c>
      <c r="R1373" s="4">
        <v>413463</v>
      </c>
      <c r="S1373" t="s">
        <v>17742</v>
      </c>
      <c r="T1373" s="6">
        <v>38139</v>
      </c>
      <c r="U1373" s="4">
        <v>293000</v>
      </c>
      <c r="V1373" t="s">
        <v>23739</v>
      </c>
      <c r="W1373" t="s">
        <v>24410</v>
      </c>
      <c r="X1373" t="s">
        <v>3</v>
      </c>
      <c r="AA1373" s="5" t="str">
        <f>HYPERLINK("https://www.zillow.com/homes/813-ROGERS-ST-DOWNERS-GROVE-IL-60515_rb/","check listing")</f>
        <v>check listing</v>
      </c>
      <c r="AB1373" s="5" t="str">
        <f>HYPERLINK("https://propertylookup.dupagecounty.gov/Datalets/Datalet.aspx?UseSearch=no&amp;mode=sales&amp;pin=0908125011","sales record")</f>
        <v>sales record</v>
      </c>
      <c r="AC1373" t="s">
        <v>3</v>
      </c>
      <c r="AD1373">
        <v>41.796339</v>
      </c>
      <c r="AE1373">
        <v>-88.005092</v>
      </c>
      <c r="AF1373" s="5" t="str">
        <f>HYPERLINK("https://www.google.com/maps/search/?api=1&amp;query=41.796339,-88.005092","map")</f>
        <v>map</v>
      </c>
    </row>
    <row r="1374" spans="1:32">
      <c r="A1374" t="s">
        <v>1424</v>
      </c>
      <c r="B1374" t="s">
        <v>9000</v>
      </c>
      <c r="C1374" t="s">
        <v>15293</v>
      </c>
      <c r="D1374" t="s">
        <v>16199</v>
      </c>
      <c r="E1374" t="s">
        <v>16218</v>
      </c>
      <c r="F1374" t="s">
        <v>16222</v>
      </c>
      <c r="G1374" t="s">
        <v>16242</v>
      </c>
      <c r="H1374" t="s">
        <v>16242</v>
      </c>
      <c r="I1374" t="s">
        <v>16318</v>
      </c>
      <c r="J1374" t="s">
        <v>16387</v>
      </c>
      <c r="K1374">
        <v>0.143</v>
      </c>
      <c r="L1374">
        <v>6217</v>
      </c>
      <c r="M1374">
        <v>914</v>
      </c>
      <c r="N1374" t="s">
        <v>16393</v>
      </c>
      <c r="O1374" s="4">
        <v>55001</v>
      </c>
      <c r="P1374" s="4">
        <v>83100</v>
      </c>
      <c r="Q1374" s="4">
        <v>138101</v>
      </c>
      <c r="R1374" s="4">
        <v>414303</v>
      </c>
      <c r="S1374" t="s">
        <v>17743</v>
      </c>
      <c r="T1374" s="6">
        <v>42583</v>
      </c>
      <c r="U1374" s="4">
        <v>259000</v>
      </c>
      <c r="V1374" t="s">
        <v>23739</v>
      </c>
      <c r="W1374" t="s">
        <v>24411</v>
      </c>
      <c r="X1374" t="s">
        <v>3</v>
      </c>
      <c r="AA1374" s="5" t="str">
        <f>HYPERLINK("https://www.zillow.com/homes/814-WARREN-AVE-DOWNERS-GROVE-IL-605153731_rb/","check listing")</f>
        <v>check listing</v>
      </c>
      <c r="AB1374" s="5" t="str">
        <f>HYPERLINK("https://propertylookup.dupagecounty.gov/Datalets/Datalet.aspx?UseSearch=no&amp;mode=sales&amp;pin=0908125018","sales record")</f>
        <v>sales record</v>
      </c>
      <c r="AC1374" t="s">
        <v>3</v>
      </c>
      <c r="AD1374">
        <v>41.795983</v>
      </c>
      <c r="AE1374">
        <v>-88.005263</v>
      </c>
      <c r="AF1374" s="5" t="str">
        <f>HYPERLINK("https://www.google.com/maps/search/?api=1&amp;query=41.795983,-88.005263","map")</f>
        <v>map</v>
      </c>
    </row>
    <row r="1375" spans="1:32">
      <c r="A1375" t="s">
        <v>1425</v>
      </c>
      <c r="B1375" t="s">
        <v>9001</v>
      </c>
      <c r="C1375" t="s">
        <v>15293</v>
      </c>
      <c r="D1375" t="s">
        <v>16199</v>
      </c>
      <c r="E1375" t="s">
        <v>16218</v>
      </c>
      <c r="F1375" t="s">
        <v>16222</v>
      </c>
      <c r="G1375" t="s">
        <v>16242</v>
      </c>
      <c r="H1375" t="s">
        <v>16242</v>
      </c>
      <c r="I1375" t="s">
        <v>16318</v>
      </c>
      <c r="J1375" t="s">
        <v>16387</v>
      </c>
      <c r="K1375">
        <v>0.143</v>
      </c>
      <c r="L1375">
        <v>6214</v>
      </c>
      <c r="M1375">
        <v>753</v>
      </c>
      <c r="N1375" t="s">
        <v>16393</v>
      </c>
      <c r="O1375" s="4">
        <v>55001</v>
      </c>
      <c r="P1375" s="4">
        <v>83887</v>
      </c>
      <c r="Q1375" s="4">
        <v>138888</v>
      </c>
      <c r="R1375" s="4">
        <v>416664</v>
      </c>
      <c r="S1375" t="s">
        <v>17744</v>
      </c>
      <c r="T1375" s="6">
        <v>44105</v>
      </c>
      <c r="U1375" s="4">
        <v>259000</v>
      </c>
      <c r="V1375" t="s">
        <v>23739</v>
      </c>
      <c r="W1375" t="s">
        <v>17744</v>
      </c>
      <c r="X1375" t="s">
        <v>3</v>
      </c>
      <c r="AA1375" s="5" t="str">
        <f>HYPERLINK("https://www.zillow.com/homes/818-WARREN-AVE-DOWNERS-GROVE-IL-605153731_rb/","check listing")</f>
        <v>check listing</v>
      </c>
      <c r="AB1375" s="5" t="str">
        <f>HYPERLINK("https://propertylookup.dupagecounty.gov/Datalets/Datalet.aspx?UseSearch=no&amp;mode=sales&amp;pin=0908125017","sales record")</f>
        <v>sales record</v>
      </c>
      <c r="AC1375" t="s">
        <v>3</v>
      </c>
      <c r="AD1375">
        <v>41.795982</v>
      </c>
      <c r="AE1375">
        <v>-88.005447</v>
      </c>
      <c r="AF1375" s="5" t="str">
        <f>HYPERLINK("https://www.google.com/maps/search/?api=1&amp;query=41.795982,-88.005447","map")</f>
        <v>map</v>
      </c>
    </row>
    <row r="1376" spans="1:32">
      <c r="A1376" t="s">
        <v>1426</v>
      </c>
      <c r="B1376" t="s">
        <v>9002</v>
      </c>
      <c r="C1376" t="s">
        <v>15277</v>
      </c>
      <c r="D1376" t="s">
        <v>16199</v>
      </c>
      <c r="E1376" t="s">
        <v>16218</v>
      </c>
      <c r="F1376" t="s">
        <v>16222</v>
      </c>
      <c r="G1376" t="s">
        <v>16242</v>
      </c>
      <c r="H1376" t="s">
        <v>16242</v>
      </c>
      <c r="I1376" t="s">
        <v>16318</v>
      </c>
      <c r="J1376" t="s">
        <v>16387</v>
      </c>
      <c r="K1376">
        <v>0.142</v>
      </c>
      <c r="L1376">
        <v>6201</v>
      </c>
      <c r="M1376">
        <v>1197</v>
      </c>
      <c r="N1376" t="s">
        <v>16393</v>
      </c>
      <c r="O1376" s="4">
        <v>55001</v>
      </c>
      <c r="P1376" s="4">
        <v>76375</v>
      </c>
      <c r="Q1376" s="4">
        <v>131376</v>
      </c>
      <c r="R1376" s="4">
        <v>394128</v>
      </c>
      <c r="S1376" t="s">
        <v>17745</v>
      </c>
      <c r="T1376" s="6">
        <v>39203</v>
      </c>
      <c r="U1376" s="4">
        <v>280500</v>
      </c>
      <c r="V1376" t="s">
        <v>23739</v>
      </c>
      <c r="W1376" t="s">
        <v>24412</v>
      </c>
      <c r="X1376" t="s">
        <v>3</v>
      </c>
      <c r="AA1376" s="5" t="str">
        <f>HYPERLINK("https://www.zillow.com/homes/728-WARREN-AVE-DOWNERS-GROVE-IL-60515_rb/","check listing")</f>
        <v>check listing</v>
      </c>
      <c r="AB1376" s="5" t="str">
        <f>HYPERLINK("https://propertylookup.dupagecounty.gov/Datalets/Datalet.aspx?UseSearch=no&amp;mode=sales&amp;pin=0908203009","sales record")</f>
        <v>sales record</v>
      </c>
      <c r="AC1376" t="s">
        <v>27873</v>
      </c>
      <c r="AD1376">
        <v>41.795986</v>
      </c>
      <c r="AE1376">
        <v>-88.003823</v>
      </c>
      <c r="AF1376" s="5" t="str">
        <f>HYPERLINK("https://www.google.com/maps/search/?api=1&amp;query=41.795986,-88.003823","map")</f>
        <v>map</v>
      </c>
    </row>
    <row r="1377" spans="1:32">
      <c r="A1377" t="s">
        <v>1427</v>
      </c>
      <c r="B1377" t="s">
        <v>9003</v>
      </c>
      <c r="C1377" t="s">
        <v>15277</v>
      </c>
      <c r="D1377" t="s">
        <v>16199</v>
      </c>
      <c r="E1377" t="s">
        <v>16218</v>
      </c>
      <c r="F1377" t="s">
        <v>16222</v>
      </c>
      <c r="G1377" t="s">
        <v>16242</v>
      </c>
      <c r="H1377" t="s">
        <v>16242</v>
      </c>
      <c r="I1377" t="s">
        <v>16318</v>
      </c>
      <c r="J1377" t="s">
        <v>16387</v>
      </c>
      <c r="K1377">
        <v>0.142</v>
      </c>
      <c r="L1377">
        <v>6200</v>
      </c>
      <c r="M1377">
        <v>1101</v>
      </c>
      <c r="N1377" t="s">
        <v>16393</v>
      </c>
      <c r="O1377" s="4">
        <v>61105</v>
      </c>
      <c r="P1377" s="4">
        <v>79532</v>
      </c>
      <c r="Q1377" s="4">
        <v>140637</v>
      </c>
      <c r="R1377" s="4">
        <v>421911</v>
      </c>
      <c r="S1377" t="s">
        <v>17746</v>
      </c>
      <c r="T1377" s="6">
        <v>37530</v>
      </c>
      <c r="U1377" s="4">
        <v>192500</v>
      </c>
      <c r="V1377" t="s">
        <v>23739</v>
      </c>
      <c r="W1377" t="s">
        <v>24413</v>
      </c>
      <c r="X1377" t="s">
        <v>3</v>
      </c>
      <c r="AA1377" s="5" t="str">
        <f>HYPERLINK("https://www.zillow.com/homes/735-ROGERS-ST-DOWNERS-GROVE-IL-60515_rb/","check listing")</f>
        <v>check listing</v>
      </c>
      <c r="AB1377" s="5" t="str">
        <f>HYPERLINK("https://propertylookup.dupagecounty.gov/Datalets/Datalet.aspx?UseSearch=no&amp;mode=sales&amp;pin=0908203004","sales record")</f>
        <v>sales record</v>
      </c>
      <c r="AC1377" t="s">
        <v>3</v>
      </c>
      <c r="AD1377">
        <v>41.796327</v>
      </c>
      <c r="AE1377">
        <v>-88.003652</v>
      </c>
      <c r="AF1377" s="5" t="str">
        <f>HYPERLINK("https://www.google.com/maps/search/?api=1&amp;query=41.796327,-88.003652","map")</f>
        <v>map</v>
      </c>
    </row>
    <row r="1378" spans="1:32">
      <c r="A1378" t="s">
        <v>1428</v>
      </c>
      <c r="B1378" t="s">
        <v>9004</v>
      </c>
      <c r="C1378" t="s">
        <v>15294</v>
      </c>
      <c r="D1378" t="s">
        <v>16199</v>
      </c>
      <c r="E1378" t="s">
        <v>16218</v>
      </c>
      <c r="F1378" t="s">
        <v>16222</v>
      </c>
      <c r="G1378" t="s">
        <v>16242</v>
      </c>
      <c r="H1378" t="s">
        <v>16242</v>
      </c>
      <c r="I1378" t="s">
        <v>16318</v>
      </c>
      <c r="J1378" t="s">
        <v>16387</v>
      </c>
      <c r="K1378">
        <v>0.142</v>
      </c>
      <c r="L1378">
        <v>6200</v>
      </c>
      <c r="M1378">
        <v>1391</v>
      </c>
      <c r="N1378" t="s">
        <v>16393</v>
      </c>
      <c r="O1378" s="4">
        <v>61105</v>
      </c>
      <c r="P1378" s="4">
        <v>98300</v>
      </c>
      <c r="Q1378" s="4">
        <v>159405</v>
      </c>
      <c r="R1378" s="4">
        <v>478215</v>
      </c>
      <c r="S1378" t="s">
        <v>17747</v>
      </c>
      <c r="T1378" s="6">
        <v>44593</v>
      </c>
      <c r="U1378" s="4">
        <v>378000</v>
      </c>
      <c r="V1378" t="s">
        <v>23739</v>
      </c>
      <c r="W1378" t="s">
        <v>24414</v>
      </c>
      <c r="X1378" t="s">
        <v>3</v>
      </c>
      <c r="AA1378" s="5" t="str">
        <f>HYPERLINK("https://www.zillow.com/homes/745-ROGERS-ST-DOWNERS-GROVE-IL-605154180_rb/","check listing")</f>
        <v>check listing</v>
      </c>
      <c r="AB1378" s="5" t="str">
        <f>HYPERLINK("https://propertylookup.dupagecounty.gov/Datalets/Datalet.aspx?UseSearch=no&amp;mode=sales&amp;pin=0908203002","sales record")</f>
        <v>sales record</v>
      </c>
      <c r="AC1378" t="s">
        <v>3</v>
      </c>
      <c r="AD1378">
        <v>41.796326</v>
      </c>
      <c r="AE1378">
        <v>-88.004019</v>
      </c>
      <c r="AF1378" s="5" t="str">
        <f>HYPERLINK("https://www.google.com/maps/search/?api=1&amp;query=41.796326,-88.004019","map")</f>
        <v>map</v>
      </c>
    </row>
    <row r="1379" spans="1:32">
      <c r="A1379" t="s">
        <v>1429</v>
      </c>
      <c r="B1379" t="s">
        <v>9005</v>
      </c>
      <c r="C1379" t="s">
        <v>15277</v>
      </c>
      <c r="D1379" t="s">
        <v>16199</v>
      </c>
      <c r="E1379" t="s">
        <v>16218</v>
      </c>
      <c r="F1379" t="s">
        <v>16222</v>
      </c>
      <c r="G1379" t="s">
        <v>16242</v>
      </c>
      <c r="H1379" t="s">
        <v>16242</v>
      </c>
      <c r="I1379" t="s">
        <v>16318</v>
      </c>
      <c r="J1379" t="s">
        <v>16387</v>
      </c>
      <c r="K1379">
        <v>0.142</v>
      </c>
      <c r="L1379">
        <v>6199</v>
      </c>
      <c r="M1379">
        <v>1194</v>
      </c>
      <c r="N1379" t="s">
        <v>16393</v>
      </c>
      <c r="O1379" s="4">
        <v>61105</v>
      </c>
      <c r="P1379" s="4">
        <v>66023</v>
      </c>
      <c r="Q1379" s="4">
        <v>127128</v>
      </c>
      <c r="R1379" s="4">
        <v>381384</v>
      </c>
      <c r="S1379" t="s">
        <v>17748</v>
      </c>
      <c r="T1379" s="6">
        <v>35796</v>
      </c>
      <c r="U1379" s="4">
        <v>119500</v>
      </c>
      <c r="X1379" t="s">
        <v>3</v>
      </c>
      <c r="AA1379" s="5" t="str">
        <f>HYPERLINK("https://www.zillow.com/homes/739-ROGERS-ST-DOWNERS-GROVE-IL-60515_rb/","check listing")</f>
        <v>check listing</v>
      </c>
      <c r="AB1379" s="5" t="str">
        <f>HYPERLINK("https://propertylookup.dupagecounty.gov/Datalets/Datalet.aspx?UseSearch=no&amp;mode=sales&amp;pin=0908203003","sales record")</f>
        <v>sales record</v>
      </c>
      <c r="AC1379" t="s">
        <v>3</v>
      </c>
      <c r="AD1379">
        <v>41.796326</v>
      </c>
      <c r="AE1379">
        <v>-88.00383600000001</v>
      </c>
      <c r="AF1379" s="5" t="str">
        <f>HYPERLINK("https://www.google.com/maps/search/?api=1&amp;query=41.796326,-88.003836","map")</f>
        <v>map</v>
      </c>
    </row>
    <row r="1380" spans="1:32">
      <c r="A1380" t="s">
        <v>1430</v>
      </c>
      <c r="B1380" t="s">
        <v>9006</v>
      </c>
      <c r="C1380" t="s">
        <v>15277</v>
      </c>
      <c r="D1380" t="s">
        <v>16199</v>
      </c>
      <c r="E1380" t="s">
        <v>16218</v>
      </c>
      <c r="F1380" t="s">
        <v>16222</v>
      </c>
      <c r="G1380" t="s">
        <v>16242</v>
      </c>
      <c r="H1380" t="s">
        <v>16242</v>
      </c>
      <c r="I1380" t="s">
        <v>16318</v>
      </c>
      <c r="J1380" t="s">
        <v>16387</v>
      </c>
      <c r="K1380">
        <v>0.142</v>
      </c>
      <c r="L1380">
        <v>6198</v>
      </c>
      <c r="M1380">
        <v>1158</v>
      </c>
      <c r="N1380" t="s">
        <v>16393</v>
      </c>
      <c r="O1380" s="4">
        <v>61105</v>
      </c>
      <c r="P1380" s="4">
        <v>92068</v>
      </c>
      <c r="Q1380" s="4">
        <v>153173</v>
      </c>
      <c r="R1380" s="4">
        <v>459519</v>
      </c>
      <c r="S1380" t="s">
        <v>17749</v>
      </c>
      <c r="T1380" s="6">
        <v>37408</v>
      </c>
      <c r="U1380" s="4">
        <v>70000</v>
      </c>
      <c r="V1380" t="s">
        <v>23739</v>
      </c>
      <c r="W1380" t="s">
        <v>24415</v>
      </c>
      <c r="X1380" t="s">
        <v>3</v>
      </c>
      <c r="AA1380" s="5" t="str">
        <f>HYPERLINK("https://www.zillow.com/homes/727-ROGERS-ST-DOWNERS-GROVE-IL-60515_rb/","check listing")</f>
        <v>check listing</v>
      </c>
      <c r="AB1380" s="5" t="str">
        <f>HYPERLINK("https://propertylookup.dupagecounty.gov/Datalets/Datalet.aspx?UseSearch=no&amp;mode=sales&amp;pin=0908203006","sales record")</f>
        <v>sales record</v>
      </c>
      <c r="AC1380" t="s">
        <v>3</v>
      </c>
      <c r="AD1380">
        <v>41.796327</v>
      </c>
      <c r="AE1380">
        <v>-88.00328500000001</v>
      </c>
      <c r="AF1380" s="5" t="str">
        <f>HYPERLINK("https://www.google.com/maps/search/?api=1&amp;query=41.796327,-88.003285","map")</f>
        <v>map</v>
      </c>
    </row>
    <row r="1381" spans="1:32">
      <c r="A1381" t="s">
        <v>1431</v>
      </c>
      <c r="B1381" t="s">
        <v>9007</v>
      </c>
      <c r="C1381" t="s">
        <v>15287</v>
      </c>
      <c r="D1381" t="s">
        <v>16199</v>
      </c>
      <c r="E1381" t="s">
        <v>16218</v>
      </c>
      <c r="F1381" t="s">
        <v>16222</v>
      </c>
      <c r="G1381" t="s">
        <v>16243</v>
      </c>
      <c r="H1381" t="s">
        <v>16243</v>
      </c>
      <c r="I1381" t="s">
        <v>16319</v>
      </c>
      <c r="J1381" t="s">
        <v>16387</v>
      </c>
      <c r="K1381">
        <v>0.137</v>
      </c>
      <c r="L1381">
        <v>5957</v>
      </c>
      <c r="M1381">
        <v>1123</v>
      </c>
      <c r="N1381" t="s">
        <v>16393</v>
      </c>
      <c r="O1381" s="4">
        <v>61105</v>
      </c>
      <c r="P1381" s="4">
        <v>83288</v>
      </c>
      <c r="Q1381" s="4">
        <v>144393</v>
      </c>
      <c r="R1381" s="4">
        <v>433179</v>
      </c>
      <c r="S1381" t="s">
        <v>17750</v>
      </c>
      <c r="T1381" s="6">
        <v>44652</v>
      </c>
      <c r="U1381" s="4">
        <v>458000</v>
      </c>
      <c r="V1381" t="s">
        <v>23739</v>
      </c>
      <c r="W1381" t="s">
        <v>24416</v>
      </c>
      <c r="X1381" t="s">
        <v>3</v>
      </c>
      <c r="AA1381" s="5" t="str">
        <f>HYPERLINK("https://www.zillow.com/homes/1031-GROVE-ST-DOWNERS-GROVE-IL-605154636_rb/","check listing")</f>
        <v>check listing</v>
      </c>
      <c r="AB1381" s="5" t="str">
        <f>HYPERLINK("https://propertylookup.dupagecounty.gov/Datalets/Datalet.aspx?UseSearch=no&amp;mode=sales&amp;pin=0908310023","sales record")</f>
        <v>sales record</v>
      </c>
      <c r="AC1381" t="s">
        <v>3</v>
      </c>
      <c r="AD1381">
        <v>41.792062</v>
      </c>
      <c r="AE1381">
        <v>-88.01082599999999</v>
      </c>
      <c r="AF1381" s="5" t="str">
        <f>HYPERLINK("https://www.google.com/maps/search/?api=1&amp;query=41.792062,-88.010826","map")</f>
        <v>map</v>
      </c>
    </row>
    <row r="1382" spans="1:32">
      <c r="A1382" t="s">
        <v>1432</v>
      </c>
      <c r="B1382" t="s">
        <v>9008</v>
      </c>
      <c r="C1382" t="s">
        <v>15292</v>
      </c>
      <c r="D1382" t="s">
        <v>16199</v>
      </c>
      <c r="E1382" t="s">
        <v>16218</v>
      </c>
      <c r="F1382" t="s">
        <v>16222</v>
      </c>
      <c r="G1382" t="s">
        <v>16242</v>
      </c>
      <c r="H1382" t="s">
        <v>16242</v>
      </c>
      <c r="I1382" t="s">
        <v>16318</v>
      </c>
      <c r="J1382" t="s">
        <v>16387</v>
      </c>
      <c r="K1382">
        <v>0.128</v>
      </c>
      <c r="L1382">
        <v>5579</v>
      </c>
      <c r="M1382">
        <v>1488</v>
      </c>
      <c r="N1382" t="s">
        <v>16393</v>
      </c>
      <c r="O1382" s="4">
        <v>52501</v>
      </c>
      <c r="P1382" s="4">
        <v>133278</v>
      </c>
      <c r="Q1382" s="4">
        <v>185779</v>
      </c>
      <c r="R1382" s="4">
        <v>557337</v>
      </c>
      <c r="S1382" t="s">
        <v>17751</v>
      </c>
      <c r="T1382" s="6">
        <v>43800</v>
      </c>
      <c r="U1382" s="4">
        <v>300000</v>
      </c>
      <c r="V1382" t="s">
        <v>23739</v>
      </c>
      <c r="W1382" t="s">
        <v>24417</v>
      </c>
      <c r="X1382" t="s">
        <v>3</v>
      </c>
      <c r="AA1382" s="5" t="str">
        <f>HYPERLINK("https://www.zillow.com/homes/1205-CURTISS-ST-DOWNERS-GROVE-IL-605154629_rb/","check listing")</f>
        <v>check listing</v>
      </c>
      <c r="AB1382" s="5" t="str">
        <f>HYPERLINK("https://propertylookup.dupagecounty.gov/Datalets/Datalet.aspx?UseSearch=no&amp;mode=sales&amp;pin=0907411002","sales record")</f>
        <v>sales record</v>
      </c>
      <c r="AC1382" t="s">
        <v>3</v>
      </c>
      <c r="AD1382">
        <v>41.793127</v>
      </c>
      <c r="AE1382">
        <v>-88.014278</v>
      </c>
      <c r="AF1382" s="5" t="str">
        <f>HYPERLINK("https://www.google.com/maps/search/?api=1&amp;query=41.793127,-88.014278","map")</f>
        <v>map</v>
      </c>
    </row>
    <row r="1383" spans="1:32">
      <c r="A1383" t="s">
        <v>1433</v>
      </c>
      <c r="B1383" t="s">
        <v>9009</v>
      </c>
      <c r="C1383" t="s">
        <v>15292</v>
      </c>
      <c r="D1383" t="s">
        <v>16199</v>
      </c>
      <c r="E1383" t="s">
        <v>16218</v>
      </c>
      <c r="F1383" t="s">
        <v>16222</v>
      </c>
      <c r="G1383" t="s">
        <v>16242</v>
      </c>
      <c r="H1383" t="s">
        <v>16242</v>
      </c>
      <c r="I1383" t="s">
        <v>16318</v>
      </c>
      <c r="J1383" t="s">
        <v>16387</v>
      </c>
      <c r="K1383">
        <v>0.127</v>
      </c>
      <c r="L1383">
        <v>5547</v>
      </c>
      <c r="M1383">
        <v>1495</v>
      </c>
      <c r="N1383" t="s">
        <v>16393</v>
      </c>
      <c r="O1383" s="4">
        <v>60412</v>
      </c>
      <c r="P1383" s="4">
        <v>245874</v>
      </c>
      <c r="Q1383" s="4">
        <v>306286</v>
      </c>
      <c r="R1383" s="4">
        <v>918858</v>
      </c>
      <c r="S1383" t="s">
        <v>17752</v>
      </c>
      <c r="T1383" s="6">
        <v>45016</v>
      </c>
      <c r="U1383" s="4">
        <v>1050000</v>
      </c>
      <c r="V1383" t="s">
        <v>23739</v>
      </c>
      <c r="W1383" t="s">
        <v>24418</v>
      </c>
      <c r="X1383" t="s">
        <v>3</v>
      </c>
      <c r="AA1383" s="5" t="str">
        <f>HYPERLINK("https://www.zillow.com/homes/1209-CURTISS-ST-DOWNERS-GROVE-IL-605154629_rb/","check listing")</f>
        <v>check listing</v>
      </c>
      <c r="AB1383" s="5" t="str">
        <f>HYPERLINK("https://propertylookup.dupagecounty.gov/Datalets/Datalet.aspx?UseSearch=no&amp;mode=sales&amp;pin=0907411001","sales record")</f>
        <v>sales record</v>
      </c>
      <c r="AC1383" t="s">
        <v>3</v>
      </c>
      <c r="AD1383">
        <v>41.793092</v>
      </c>
      <c r="AE1383">
        <v>-88.014437</v>
      </c>
      <c r="AF1383" s="5" t="str">
        <f>HYPERLINK("https://www.google.com/maps/search/?api=1&amp;query=41.793092,-88.014437","map")</f>
        <v>map</v>
      </c>
    </row>
    <row r="1384" spans="1:32">
      <c r="A1384" t="s">
        <v>1434</v>
      </c>
      <c r="B1384" t="s">
        <v>9010</v>
      </c>
      <c r="C1384" t="s">
        <v>15277</v>
      </c>
      <c r="D1384" t="s">
        <v>16199</v>
      </c>
      <c r="E1384" t="s">
        <v>16218</v>
      </c>
      <c r="F1384" t="s">
        <v>16222</v>
      </c>
      <c r="G1384" t="s">
        <v>16242</v>
      </c>
      <c r="H1384" t="s">
        <v>16242</v>
      </c>
      <c r="I1384" t="s">
        <v>16318</v>
      </c>
      <c r="J1384" t="s">
        <v>16387</v>
      </c>
      <c r="K1384">
        <v>0.124</v>
      </c>
      <c r="L1384">
        <v>5416</v>
      </c>
      <c r="M1384">
        <v>1030</v>
      </c>
      <c r="N1384" t="s">
        <v>16393</v>
      </c>
      <c r="O1384" s="4">
        <v>56057</v>
      </c>
      <c r="P1384" s="4">
        <v>96153</v>
      </c>
      <c r="Q1384" s="4">
        <v>152210</v>
      </c>
      <c r="R1384" s="4">
        <v>456630</v>
      </c>
      <c r="S1384" t="s">
        <v>17753</v>
      </c>
      <c r="T1384" s="6">
        <v>31898</v>
      </c>
      <c r="U1384" s="4">
        <v>93000</v>
      </c>
      <c r="X1384" t="s">
        <v>3</v>
      </c>
      <c r="AA1384" s="5" t="str">
        <f>HYPERLINK("https://www.zillow.com/homes/809-ROGERS-ST-DOWNERS-GROVE-IL-60515_rb/","check listing")</f>
        <v>check listing</v>
      </c>
      <c r="AB1384" s="5" t="str">
        <f>HYPERLINK("https://propertylookup.dupagecounty.gov/Datalets/Datalet.aspx?UseSearch=no&amp;mode=sales&amp;pin=0908125012","sales record")</f>
        <v>sales record</v>
      </c>
      <c r="AC1384" t="s">
        <v>3</v>
      </c>
      <c r="AD1384">
        <v>41.796339</v>
      </c>
      <c r="AE1384">
        <v>-88.004912</v>
      </c>
      <c r="AF1384" s="5" t="str">
        <f>HYPERLINK("https://www.google.com/maps/search/?api=1&amp;query=41.796339,-88.004912","map")</f>
        <v>map</v>
      </c>
    </row>
    <row r="1385" spans="1:32">
      <c r="A1385" t="s">
        <v>1435</v>
      </c>
      <c r="B1385" t="s">
        <v>9011</v>
      </c>
      <c r="C1385" t="s">
        <v>15277</v>
      </c>
      <c r="D1385" t="s">
        <v>16199</v>
      </c>
      <c r="E1385" t="s">
        <v>16218</v>
      </c>
      <c r="F1385" t="s">
        <v>16222</v>
      </c>
      <c r="G1385" t="s">
        <v>16243</v>
      </c>
      <c r="H1385" t="s">
        <v>16243</v>
      </c>
      <c r="I1385" t="s">
        <v>16319</v>
      </c>
      <c r="J1385" t="s">
        <v>16387</v>
      </c>
      <c r="K1385">
        <v>0.124</v>
      </c>
      <c r="L1385">
        <v>5383</v>
      </c>
      <c r="M1385">
        <v>1066</v>
      </c>
      <c r="N1385" t="s">
        <v>16393</v>
      </c>
      <c r="O1385" s="4">
        <v>51363</v>
      </c>
      <c r="P1385" s="4">
        <v>78006</v>
      </c>
      <c r="Q1385" s="4">
        <v>129369</v>
      </c>
      <c r="R1385" s="4">
        <v>388107</v>
      </c>
      <c r="S1385" t="s">
        <v>17754</v>
      </c>
      <c r="T1385" s="6">
        <v>39995</v>
      </c>
      <c r="U1385" s="4">
        <v>100000</v>
      </c>
      <c r="V1385" t="s">
        <v>16232</v>
      </c>
      <c r="W1385" t="s">
        <v>24419</v>
      </c>
      <c r="X1385" t="s">
        <v>3</v>
      </c>
      <c r="AA1385" s="5" t="str">
        <f>HYPERLINK("https://www.zillow.com/homes/1033-GROVE-ST-DOWNERS-GROVE-IL-60515_rb/","check listing")</f>
        <v>check listing</v>
      </c>
      <c r="AB1385" s="5" t="str">
        <f>HYPERLINK("https://propertylookup.dupagecounty.gov/Datalets/Datalet.aspx?UseSearch=no&amp;mode=sales&amp;pin=0908310022","sales record")</f>
        <v>sales record</v>
      </c>
      <c r="AC1385" t="s">
        <v>3</v>
      </c>
      <c r="AD1385">
        <v>41.792145</v>
      </c>
      <c r="AE1385">
        <v>-88.011011</v>
      </c>
      <c r="AF1385" s="5" t="str">
        <f>HYPERLINK("https://www.google.com/maps/search/?api=1&amp;query=41.792145,-88.011011","map")</f>
        <v>map</v>
      </c>
    </row>
    <row r="1386" spans="1:32">
      <c r="A1386" t="s">
        <v>1436</v>
      </c>
      <c r="B1386" t="s">
        <v>9012</v>
      </c>
      <c r="C1386" t="s">
        <v>15277</v>
      </c>
      <c r="D1386" t="s">
        <v>16199</v>
      </c>
      <c r="E1386" t="s">
        <v>16218</v>
      </c>
      <c r="F1386" t="s">
        <v>16222</v>
      </c>
      <c r="G1386" t="s">
        <v>16242</v>
      </c>
      <c r="H1386" t="s">
        <v>16242</v>
      </c>
      <c r="I1386" t="s">
        <v>16318</v>
      </c>
      <c r="J1386" t="s">
        <v>16387</v>
      </c>
      <c r="K1386">
        <v>0.115</v>
      </c>
      <c r="L1386">
        <v>5019</v>
      </c>
      <c r="M1386">
        <v>1144</v>
      </c>
      <c r="N1386" t="s">
        <v>16393</v>
      </c>
      <c r="O1386" s="4">
        <v>55670</v>
      </c>
      <c r="P1386" s="4">
        <v>56692</v>
      </c>
      <c r="Q1386" s="4">
        <v>112362</v>
      </c>
      <c r="R1386" s="4">
        <v>337086</v>
      </c>
      <c r="S1386" t="s">
        <v>17755</v>
      </c>
      <c r="T1386" s="6">
        <v>43344</v>
      </c>
      <c r="U1386" s="4">
        <v>332500</v>
      </c>
      <c r="V1386" t="s">
        <v>23740</v>
      </c>
      <c r="W1386" t="s">
        <v>24420</v>
      </c>
      <c r="X1386" t="s">
        <v>3</v>
      </c>
      <c r="AA1386" s="5" t="str">
        <f>HYPERLINK("https://www.zillow.com/homes/915-ROGERS-ST-DOWNERS-GROVE-IL-60515_rb/","check listing")</f>
        <v>check listing</v>
      </c>
      <c r="AB1386" s="5" t="str">
        <f>HYPERLINK("https://propertylookup.dupagecounty.gov/Datalets/Datalet.aspx?UseSearch=no&amp;mode=sales&amp;pin=0908124006","sales record")</f>
        <v>sales record</v>
      </c>
      <c r="AC1386" t="s">
        <v>3</v>
      </c>
      <c r="AD1386">
        <v>41.79635</v>
      </c>
      <c r="AE1386">
        <v>-88.007763</v>
      </c>
      <c r="AF1386" s="5" t="str">
        <f>HYPERLINK("https://www.google.com/maps/search/?api=1&amp;query=41.79635,-88.007763","map")</f>
        <v>map</v>
      </c>
    </row>
    <row r="1387" spans="1:32">
      <c r="A1387" t="s">
        <v>1437</v>
      </c>
      <c r="B1387" t="s">
        <v>9013</v>
      </c>
      <c r="C1387" t="s">
        <v>15277</v>
      </c>
      <c r="D1387" t="s">
        <v>16199</v>
      </c>
      <c r="E1387" t="s">
        <v>16218</v>
      </c>
      <c r="F1387" t="s">
        <v>16222</v>
      </c>
      <c r="G1387" t="s">
        <v>16242</v>
      </c>
      <c r="H1387" t="s">
        <v>16242</v>
      </c>
      <c r="I1387" t="s">
        <v>16318</v>
      </c>
      <c r="J1387" t="s">
        <v>16387</v>
      </c>
      <c r="K1387">
        <v>0.115</v>
      </c>
      <c r="L1387">
        <v>5018</v>
      </c>
      <c r="M1387">
        <v>1093</v>
      </c>
      <c r="N1387" t="s">
        <v>16393</v>
      </c>
      <c r="O1387" s="4">
        <v>55670</v>
      </c>
      <c r="P1387" s="4">
        <v>73769</v>
      </c>
      <c r="Q1387" s="4">
        <v>129439</v>
      </c>
      <c r="R1387" s="4">
        <v>388317</v>
      </c>
      <c r="S1387" t="s">
        <v>17703</v>
      </c>
      <c r="T1387" s="6">
        <v>42826</v>
      </c>
      <c r="U1387" s="4">
        <v>900000</v>
      </c>
      <c r="V1387" t="s">
        <v>23739</v>
      </c>
      <c r="W1387" t="s">
        <v>24420</v>
      </c>
      <c r="X1387" t="s">
        <v>3</v>
      </c>
      <c r="AA1387" s="5" t="str">
        <f>HYPERLINK("https://www.zillow.com/homes/907-ROGERS-ST-DOWNERS-GROVE-IL-60515_rb/","check listing")</f>
        <v>check listing</v>
      </c>
      <c r="AB1387" s="5" t="str">
        <f>HYPERLINK("https://propertylookup.dupagecounty.gov/Datalets/Datalet.aspx?UseSearch=no&amp;mode=sales&amp;pin=0908124008","sales record")</f>
        <v>sales record</v>
      </c>
      <c r="AC1387" t="s">
        <v>3</v>
      </c>
      <c r="AD1387">
        <v>41.796351</v>
      </c>
      <c r="AE1387">
        <v>-88.007414</v>
      </c>
      <c r="AF1387" s="5" t="str">
        <f>HYPERLINK("https://www.google.com/maps/search/?api=1&amp;query=41.796351,-88.007414","map")</f>
        <v>map</v>
      </c>
    </row>
    <row r="1388" spans="1:32">
      <c r="A1388" t="s">
        <v>1438</v>
      </c>
      <c r="B1388" t="s">
        <v>9014</v>
      </c>
      <c r="C1388" t="s">
        <v>15277</v>
      </c>
      <c r="D1388" t="s">
        <v>16199</v>
      </c>
      <c r="E1388" t="s">
        <v>16218</v>
      </c>
      <c r="F1388" t="s">
        <v>16222</v>
      </c>
      <c r="G1388" t="s">
        <v>16244</v>
      </c>
      <c r="H1388" t="s">
        <v>16244</v>
      </c>
      <c r="I1388" t="s">
        <v>16320</v>
      </c>
      <c r="J1388" t="s">
        <v>16387</v>
      </c>
      <c r="K1388">
        <v>0.092</v>
      </c>
      <c r="L1388">
        <v>4016</v>
      </c>
      <c r="M1388">
        <v>998</v>
      </c>
      <c r="N1388" t="s">
        <v>16393</v>
      </c>
      <c r="O1388" s="4">
        <v>29343</v>
      </c>
      <c r="P1388" s="4">
        <v>75929</v>
      </c>
      <c r="Q1388" s="4">
        <v>105272</v>
      </c>
      <c r="R1388" s="4">
        <v>315816</v>
      </c>
      <c r="S1388" t="s">
        <v>17756</v>
      </c>
      <c r="T1388" s="6">
        <v>37773</v>
      </c>
      <c r="U1388" s="4">
        <v>250000</v>
      </c>
      <c r="V1388" t="s">
        <v>23739</v>
      </c>
      <c r="W1388" t="s">
        <v>24421</v>
      </c>
      <c r="X1388" t="s">
        <v>3</v>
      </c>
      <c r="AA1388" s="5" t="str">
        <f>HYPERLINK("https://www.zillow.com/homes/5009-WILCOX-AVE-DOWNERS-GROVE-IL-60515_rb/","check listing")</f>
        <v>check listing</v>
      </c>
      <c r="AB1388" s="5" t="str">
        <f>HYPERLINK("https://propertylookup.dupagecounty.gov/Datalets/Datalet.aspx?UseSearch=no&amp;mode=sales&amp;pin=0909110015","sales record")</f>
        <v>sales record</v>
      </c>
      <c r="AC1388" t="s">
        <v>3</v>
      </c>
      <c r="AD1388">
        <v>41.796217</v>
      </c>
      <c r="AE1388">
        <v>-87.992824</v>
      </c>
      <c r="AF1388" s="5" t="str">
        <f>HYPERLINK("https://www.google.com/maps/search/?api=1&amp;query=41.796217,-87.992824","map")</f>
        <v>map</v>
      </c>
    </row>
    <row r="1389" spans="1:32">
      <c r="A1389" t="s">
        <v>1439</v>
      </c>
      <c r="B1389" t="s">
        <v>9015</v>
      </c>
      <c r="C1389" t="s">
        <v>15295</v>
      </c>
      <c r="D1389" t="s">
        <v>16199</v>
      </c>
      <c r="E1389" t="s">
        <v>16218</v>
      </c>
      <c r="F1389" t="s">
        <v>16222</v>
      </c>
      <c r="G1389" t="s">
        <v>16246</v>
      </c>
      <c r="H1389" t="s">
        <v>16246</v>
      </c>
      <c r="I1389" t="s">
        <v>16322</v>
      </c>
      <c r="J1389" t="s">
        <v>16387</v>
      </c>
      <c r="K1389">
        <v>0.083</v>
      </c>
      <c r="L1389">
        <v>3617</v>
      </c>
      <c r="M1389">
        <v>1192</v>
      </c>
      <c r="N1389" t="s">
        <v>16393</v>
      </c>
      <c r="O1389" s="4">
        <v>39189</v>
      </c>
      <c r="P1389" s="4">
        <v>51275</v>
      </c>
      <c r="Q1389" s="4">
        <v>90464</v>
      </c>
      <c r="R1389" s="4">
        <v>271392</v>
      </c>
      <c r="S1389" t="s">
        <v>17757</v>
      </c>
      <c r="T1389" s="6">
        <v>45602</v>
      </c>
      <c r="U1389" s="4">
        <v>350000</v>
      </c>
      <c r="V1389" t="s">
        <v>23739</v>
      </c>
      <c r="W1389" t="s">
        <v>24422</v>
      </c>
      <c r="X1389" t="s">
        <v>3</v>
      </c>
      <c r="AA1389" s="5" t="str">
        <f>HYPERLINK("https://www.zillow.com/homes/5114-FOREST-AVE-DOWNERS-GROVE-IL-605154608_rb/","check listing")</f>
        <v>check listing</v>
      </c>
      <c r="AB1389" s="5" t="str">
        <f>HYPERLINK("https://propertylookup.dupagecounty.gov/Datalets/Datalet.aspx?UseSearch=no&amp;mode=sales&amp;pin=0908301009","sales record")</f>
        <v>sales record</v>
      </c>
      <c r="AC1389" t="s">
        <v>3</v>
      </c>
      <c r="AD1389">
        <v>41.794366</v>
      </c>
      <c r="AE1389">
        <v>-88.012305</v>
      </c>
      <c r="AF1389" s="5" t="str">
        <f>HYPERLINK("https://www.google.com/maps/search/?api=1&amp;query=41.794366,-88.012305","map")</f>
        <v>map</v>
      </c>
    </row>
    <row r="1390" spans="1:32">
      <c r="A1390" t="s">
        <v>1440</v>
      </c>
      <c r="B1390" t="s">
        <v>9016</v>
      </c>
      <c r="C1390" t="s">
        <v>15277</v>
      </c>
      <c r="D1390" t="s">
        <v>16199</v>
      </c>
      <c r="E1390" t="s">
        <v>16218</v>
      </c>
      <c r="F1390" t="s">
        <v>16222</v>
      </c>
      <c r="G1390" t="s">
        <v>16243</v>
      </c>
      <c r="H1390" t="s">
        <v>16243</v>
      </c>
      <c r="I1390" t="s">
        <v>16319</v>
      </c>
      <c r="J1390" t="s">
        <v>16387</v>
      </c>
      <c r="K1390">
        <v>0.075</v>
      </c>
      <c r="L1390">
        <v>3284</v>
      </c>
      <c r="M1390">
        <v>887</v>
      </c>
      <c r="N1390" t="s">
        <v>16393</v>
      </c>
      <c r="O1390" s="4">
        <v>46175</v>
      </c>
      <c r="P1390" s="4">
        <v>49907</v>
      </c>
      <c r="Q1390" s="4">
        <v>96082</v>
      </c>
      <c r="R1390" s="4">
        <v>288246</v>
      </c>
      <c r="S1390" t="s">
        <v>17758</v>
      </c>
      <c r="T1390" s="6">
        <v>40969</v>
      </c>
      <c r="U1390" s="4">
        <v>138500</v>
      </c>
      <c r="V1390" t="s">
        <v>23742</v>
      </c>
      <c r="W1390" t="s">
        <v>24423</v>
      </c>
      <c r="X1390" t="s">
        <v>3</v>
      </c>
      <c r="AA1390" s="5" t="str">
        <f>HYPERLINK("https://www.zillow.com/homes/1035-GROVE-ST-DOWNERS-GROVE-IL-60515_rb/","check listing")</f>
        <v>check listing</v>
      </c>
      <c r="AB1390" s="5" t="str">
        <f>HYPERLINK("https://propertylookup.dupagecounty.gov/Datalets/Datalet.aspx?UseSearch=no&amp;mode=sales&amp;pin=0908310021","sales record")</f>
        <v>sales record</v>
      </c>
      <c r="AC1390" t="s">
        <v>3</v>
      </c>
      <c r="AD1390">
        <v>41.792117</v>
      </c>
      <c r="AE1390">
        <v>-88.01112500000001</v>
      </c>
      <c r="AF1390" s="5" t="str">
        <f>HYPERLINK("https://www.google.com/maps/search/?api=1&amp;query=41.792117,-88.011125","map")</f>
        <v>map</v>
      </c>
    </row>
    <row r="1391" spans="1:32">
      <c r="A1391" t="s">
        <v>1441</v>
      </c>
      <c r="B1391" t="s">
        <v>9017</v>
      </c>
      <c r="C1391" t="s">
        <v>15296</v>
      </c>
      <c r="D1391" t="s">
        <v>16199</v>
      </c>
      <c r="E1391" t="s">
        <v>16217</v>
      </c>
      <c r="F1391" t="s">
        <v>16222</v>
      </c>
      <c r="G1391" t="s">
        <v>16246</v>
      </c>
      <c r="H1391" t="s">
        <v>16246</v>
      </c>
      <c r="I1391" t="s">
        <v>16322</v>
      </c>
      <c r="J1391" t="s">
        <v>16387</v>
      </c>
      <c r="K1391">
        <v>0.529</v>
      </c>
      <c r="L1391">
        <v>23023</v>
      </c>
      <c r="N1391" t="s">
        <v>16392</v>
      </c>
      <c r="O1391" s="4">
        <v>375173</v>
      </c>
      <c r="P1391" s="4">
        <v>0</v>
      </c>
      <c r="Q1391" s="4">
        <v>375173</v>
      </c>
      <c r="R1391" s="4">
        <v>1125519</v>
      </c>
      <c r="S1391" t="s">
        <v>17759</v>
      </c>
      <c r="T1391" s="6">
        <v>45113</v>
      </c>
      <c r="U1391" s="4">
        <v>9686183</v>
      </c>
      <c r="V1391" t="s">
        <v>16232</v>
      </c>
      <c r="W1391" t="s">
        <v>17759</v>
      </c>
      <c r="X1391" t="s">
        <v>3</v>
      </c>
      <c r="AA1391" s="5" t="str">
        <f>HYPERLINK("https://www.zillow.com/homes/5207-MAIN-ST-DOWNERS-GROVE-IL-605154652_rb/","check listing")</f>
        <v>check listing</v>
      </c>
      <c r="AB1391" s="5" t="str">
        <f>HYPERLINK("https://propertylookup.dupagecounty.gov/Datalets/Datalet.aspx?UseSearch=no&amp;mode=sales&amp;pin=0908306040","sales record")</f>
        <v>sales record</v>
      </c>
      <c r="AC1391" t="s">
        <v>27872</v>
      </c>
      <c r="AD1391">
        <v>41.792481</v>
      </c>
      <c r="AE1391">
        <v>-88.009713</v>
      </c>
      <c r="AF1391" s="5" t="str">
        <f>HYPERLINK("https://www.google.com/maps/search/?api=1&amp;query=41.792481,-88.009713","map")</f>
        <v>map</v>
      </c>
    </row>
    <row r="1392" spans="1:32">
      <c r="A1392" t="s">
        <v>1442</v>
      </c>
      <c r="B1392" t="s">
        <v>9018</v>
      </c>
      <c r="C1392" t="s">
        <v>15277</v>
      </c>
      <c r="D1392" t="s">
        <v>16199</v>
      </c>
      <c r="E1392" t="s">
        <v>16217</v>
      </c>
      <c r="F1392" t="s">
        <v>16222</v>
      </c>
      <c r="G1392" t="s">
        <v>16247</v>
      </c>
      <c r="H1392" t="s">
        <v>16247</v>
      </c>
      <c r="I1392" t="s">
        <v>16323</v>
      </c>
      <c r="J1392" t="s">
        <v>16387</v>
      </c>
      <c r="K1392">
        <v>0.52</v>
      </c>
      <c r="L1392">
        <v>22655</v>
      </c>
      <c r="N1392" t="s">
        <v>16392</v>
      </c>
      <c r="O1392" s="4">
        <v>87643</v>
      </c>
      <c r="P1392" s="4">
        <v>0</v>
      </c>
      <c r="Q1392" s="4">
        <v>87643</v>
      </c>
      <c r="R1392" s="4">
        <v>262929</v>
      </c>
      <c r="S1392" t="s">
        <v>17755</v>
      </c>
      <c r="T1392" s="6">
        <v>34243</v>
      </c>
      <c r="U1392" s="4">
        <v>840000</v>
      </c>
      <c r="X1392" t="s">
        <v>3</v>
      </c>
      <c r="AA1392" s="5" t="str">
        <f>HYPERLINK("https://www.zillow.com/homes/603-ROGERS-ST-DOWNERS-GROVE-IL-60515_rb/","check listing")</f>
        <v>check listing</v>
      </c>
      <c r="AB1392" s="5" t="str">
        <f>HYPERLINK("https://propertylookup.dupagecounty.gov/Datalets/Datalet.aspx?UseSearch=no&amp;mode=sales&amp;pin=0908206009","sales record")</f>
        <v>sales record</v>
      </c>
      <c r="AC1392" t="s">
        <v>27872</v>
      </c>
      <c r="AD1392">
        <v>41.796167</v>
      </c>
      <c r="AE1392">
        <v>-88.000398</v>
      </c>
      <c r="AF1392" s="5" t="str">
        <f>HYPERLINK("https://www.google.com/maps/search/?api=1&amp;query=41.796167,-88.000398","map")</f>
        <v>map</v>
      </c>
    </row>
    <row r="1393" spans="1:32">
      <c r="A1393" t="s">
        <v>1443</v>
      </c>
      <c r="B1393" t="s">
        <v>9019</v>
      </c>
      <c r="C1393" t="s">
        <v>15277</v>
      </c>
      <c r="D1393" t="s">
        <v>16199</v>
      </c>
      <c r="E1393" t="s">
        <v>16217</v>
      </c>
      <c r="F1393" t="s">
        <v>16222</v>
      </c>
      <c r="G1393" t="s">
        <v>16247</v>
      </c>
      <c r="H1393" t="s">
        <v>16247</v>
      </c>
      <c r="I1393" t="s">
        <v>16323</v>
      </c>
      <c r="J1393" t="s">
        <v>16387</v>
      </c>
      <c r="K1393">
        <v>0.516</v>
      </c>
      <c r="L1393">
        <v>22471</v>
      </c>
      <c r="N1393" t="s">
        <v>16392</v>
      </c>
      <c r="O1393" s="4">
        <v>86645</v>
      </c>
      <c r="P1393" s="4">
        <v>0</v>
      </c>
      <c r="Q1393" s="4">
        <v>86645</v>
      </c>
      <c r="R1393" s="4">
        <v>259935</v>
      </c>
      <c r="S1393" t="s">
        <v>17755</v>
      </c>
      <c r="X1393" t="s">
        <v>3</v>
      </c>
      <c r="AA1393" s="5" t="str">
        <f>HYPERLINK("https://www.zillow.com/homes/60335-ROGERS-ST-DOWNERS-GROVE-IL-60515_rb/","check listing")</f>
        <v>check listing</v>
      </c>
      <c r="AB1393" s="5" t="str">
        <f>HYPERLINK("https://propertylookup.dupagecounty.gov/Datalets/Datalet.aspx?UseSearch=no&amp;mode=sales&amp;pin=0908206008","sales record")</f>
        <v>sales record</v>
      </c>
      <c r="AC1393" t="s">
        <v>27872</v>
      </c>
      <c r="AD1393">
        <v>41.796164</v>
      </c>
      <c r="AE1393">
        <v>-88.000728</v>
      </c>
      <c r="AF1393" s="5" t="str">
        <f>HYPERLINK("https://www.google.com/maps/search/?api=1&amp;query=41.796164,-88.000728","map")</f>
        <v>map</v>
      </c>
    </row>
    <row r="1394" spans="1:32">
      <c r="A1394" t="s">
        <v>1444</v>
      </c>
      <c r="B1394" t="s">
        <v>9020</v>
      </c>
      <c r="C1394" t="s">
        <v>15297</v>
      </c>
      <c r="D1394" t="s">
        <v>16199</v>
      </c>
      <c r="E1394" t="s">
        <v>16217</v>
      </c>
      <c r="F1394" t="s">
        <v>16222</v>
      </c>
      <c r="G1394" t="s">
        <v>16243</v>
      </c>
      <c r="H1394" t="s">
        <v>16243</v>
      </c>
      <c r="I1394" t="s">
        <v>16319</v>
      </c>
      <c r="J1394" t="s">
        <v>16387</v>
      </c>
      <c r="K1394">
        <v>0.465</v>
      </c>
      <c r="L1394">
        <v>20272</v>
      </c>
      <c r="M1394">
        <v>4018</v>
      </c>
      <c r="N1394" t="s">
        <v>16392</v>
      </c>
      <c r="O1394" s="4">
        <v>275335</v>
      </c>
      <c r="P1394" s="4">
        <v>0</v>
      </c>
      <c r="Q1394" s="4">
        <v>275335</v>
      </c>
      <c r="R1394" s="4">
        <v>826005</v>
      </c>
      <c r="S1394" t="s">
        <v>17760</v>
      </c>
      <c r="X1394" t="s">
        <v>3</v>
      </c>
      <c r="AA1394" s="5" t="str">
        <f>HYPERLINK("https://www.zillow.com/homes/49154921-MAIN-ST-DOWNERS-GROVE-IL-605153612_rb/","check listing")</f>
        <v>check listing</v>
      </c>
      <c r="AB1394" s="5" t="str">
        <f>HYPERLINK("https://propertylookup.dupagecounty.gov/Datalets/Datalet.aspx?UseSearch=no&amp;mode=sales&amp;pin=0908117049","sales record")</f>
        <v>sales record</v>
      </c>
      <c r="AC1394" t="s">
        <v>11</v>
      </c>
      <c r="AD1394">
        <v>41.797596</v>
      </c>
      <c r="AE1394">
        <v>-88.010273</v>
      </c>
      <c r="AF1394" s="5" t="str">
        <f>HYPERLINK("https://www.google.com/maps/search/?api=1&amp;query=41.797596,-88.010273","map")</f>
        <v>map</v>
      </c>
    </row>
    <row r="1395" spans="1:32">
      <c r="A1395" t="s">
        <v>1445</v>
      </c>
      <c r="B1395" t="s">
        <v>9021</v>
      </c>
      <c r="C1395" t="s">
        <v>15277</v>
      </c>
      <c r="D1395" t="s">
        <v>16199</v>
      </c>
      <c r="E1395" t="s">
        <v>16217</v>
      </c>
      <c r="F1395" t="s">
        <v>16222</v>
      </c>
      <c r="G1395" t="s">
        <v>16247</v>
      </c>
      <c r="H1395" t="s">
        <v>16247</v>
      </c>
      <c r="I1395" t="s">
        <v>16323</v>
      </c>
      <c r="J1395" t="s">
        <v>16387</v>
      </c>
      <c r="K1395">
        <v>0.347</v>
      </c>
      <c r="L1395">
        <v>15108</v>
      </c>
      <c r="N1395" t="s">
        <v>16392</v>
      </c>
      <c r="O1395" s="4">
        <v>60342</v>
      </c>
      <c r="P1395" s="4">
        <v>0</v>
      </c>
      <c r="Q1395" s="4">
        <v>60342</v>
      </c>
      <c r="R1395" s="4">
        <v>181026</v>
      </c>
      <c r="S1395" t="s">
        <v>17761</v>
      </c>
      <c r="T1395" s="6">
        <v>45643</v>
      </c>
      <c r="U1395" s="4">
        <v>1590910</v>
      </c>
      <c r="V1395" t="s">
        <v>16232</v>
      </c>
      <c r="W1395" t="s">
        <v>24424</v>
      </c>
      <c r="X1395" t="s">
        <v>3</v>
      </c>
      <c r="AA1395" s="5" t="str">
        <f>HYPERLINK("https://www.zillow.com/homes/703-ROGERS-ST-DOWNERS-GROVE-IL-60515_rb/","check listing")</f>
        <v>check listing</v>
      </c>
      <c r="AB1395" s="5" t="str">
        <f>HYPERLINK("https://propertylookup.dupagecounty.gov/Datalets/Datalet.aspx?UseSearch=no&amp;mode=sales&amp;pin=0908206004","sales record")</f>
        <v>sales record</v>
      </c>
      <c r="AC1395" t="s">
        <v>27872</v>
      </c>
      <c r="AD1395">
        <v>41.796297</v>
      </c>
      <c r="AE1395">
        <v>-88.002224</v>
      </c>
      <c r="AF1395" s="5" t="str">
        <f>HYPERLINK("https://www.google.com/maps/search/?api=1&amp;query=41.796297,-88.002224","map")</f>
        <v>map</v>
      </c>
    </row>
    <row r="1396" spans="1:32">
      <c r="A1396" t="s">
        <v>1446</v>
      </c>
      <c r="B1396" t="s">
        <v>9022</v>
      </c>
      <c r="C1396" t="s">
        <v>15277</v>
      </c>
      <c r="D1396" t="s">
        <v>16199</v>
      </c>
      <c r="E1396" t="s">
        <v>16217</v>
      </c>
      <c r="F1396" t="s">
        <v>16222</v>
      </c>
      <c r="G1396" t="s">
        <v>16245</v>
      </c>
      <c r="H1396" t="s">
        <v>16245</v>
      </c>
      <c r="I1396" t="s">
        <v>16321</v>
      </c>
      <c r="J1396" t="s">
        <v>16387</v>
      </c>
      <c r="K1396">
        <v>0.322</v>
      </c>
      <c r="L1396">
        <v>14048</v>
      </c>
      <c r="N1396" t="s">
        <v>16392</v>
      </c>
      <c r="O1396" s="4">
        <v>104780</v>
      </c>
      <c r="P1396" s="4">
        <v>0</v>
      </c>
      <c r="Q1396" s="4">
        <v>104780</v>
      </c>
      <c r="R1396" s="4">
        <v>314340</v>
      </c>
      <c r="S1396" t="s">
        <v>17762</v>
      </c>
      <c r="X1396" t="s">
        <v>3</v>
      </c>
      <c r="AA1396" s="5" t="str">
        <f>HYPERLINK("https://www.zillow.com/homes/5003-FAIRVIEW-AVE-DOWNERS-GROVE-IL-60515_rb/","check listing")</f>
        <v>check listing</v>
      </c>
      <c r="AB1396" s="5" t="str">
        <f>HYPERLINK("https://propertylookup.dupagecounty.gov/Datalets/Datalet.aspx?UseSearch=no&amp;mode=sales&amp;pin=0909109001","sales record")</f>
        <v>sales record</v>
      </c>
      <c r="AC1396" t="s">
        <v>27872</v>
      </c>
      <c r="AD1396">
        <v>41.796934</v>
      </c>
      <c r="AE1396">
        <v>-87.994227</v>
      </c>
      <c r="AF1396" s="5" t="str">
        <f>HYPERLINK("https://www.google.com/maps/search/?api=1&amp;query=41.796934,-87.994227","map")</f>
        <v>map</v>
      </c>
    </row>
    <row r="1397" spans="1:32">
      <c r="A1397" t="s">
        <v>1447</v>
      </c>
      <c r="B1397" t="s">
        <v>9023</v>
      </c>
      <c r="C1397" t="s">
        <v>15277</v>
      </c>
      <c r="D1397" t="s">
        <v>16199</v>
      </c>
      <c r="E1397" t="s">
        <v>16217</v>
      </c>
      <c r="F1397" t="s">
        <v>16222</v>
      </c>
      <c r="G1397" t="s">
        <v>16243</v>
      </c>
      <c r="H1397" t="s">
        <v>16243</v>
      </c>
      <c r="I1397" t="s">
        <v>16319</v>
      </c>
      <c r="J1397" t="s">
        <v>16387</v>
      </c>
      <c r="K1397">
        <v>0.32</v>
      </c>
      <c r="L1397">
        <v>13944</v>
      </c>
      <c r="N1397" t="s">
        <v>16392</v>
      </c>
      <c r="O1397" s="4">
        <v>192059</v>
      </c>
      <c r="P1397" s="4">
        <v>0</v>
      </c>
      <c r="Q1397" s="4">
        <v>192059</v>
      </c>
      <c r="R1397" s="4">
        <v>576177</v>
      </c>
      <c r="S1397" t="s">
        <v>17763</v>
      </c>
      <c r="T1397" s="6">
        <v>34366</v>
      </c>
      <c r="U1397" s="4">
        <v>1025000</v>
      </c>
      <c r="X1397" t="s">
        <v>3</v>
      </c>
      <c r="AA1397" s="5" t="str">
        <f>HYPERLINK("https://www.zillow.com/homes/5002-MAIN-ST-DOWNERS-GROVE-IL-60515_rb/","check listing")</f>
        <v>check listing</v>
      </c>
      <c r="AB1397" s="5" t="str">
        <f>HYPERLINK("https://propertylookup.dupagecounty.gov/Datalets/Datalet.aspx?UseSearch=no&amp;mode=sales&amp;pin=0908116029","sales record")</f>
        <v>sales record</v>
      </c>
      <c r="AC1397" t="s">
        <v>27872</v>
      </c>
      <c r="AD1397">
        <v>41.796184</v>
      </c>
      <c r="AE1397">
        <v>-88.010935</v>
      </c>
      <c r="AF1397" s="5" t="str">
        <f>HYPERLINK("https://www.google.com/maps/search/?api=1&amp;query=41.796184,-88.010935","map")</f>
        <v>map</v>
      </c>
    </row>
    <row r="1398" spans="1:32">
      <c r="A1398" t="s">
        <v>1448</v>
      </c>
      <c r="B1398" t="s">
        <v>9024</v>
      </c>
      <c r="C1398" t="s">
        <v>15277</v>
      </c>
      <c r="D1398" t="s">
        <v>16199</v>
      </c>
      <c r="E1398" t="s">
        <v>16217</v>
      </c>
      <c r="F1398" t="s">
        <v>16222</v>
      </c>
      <c r="G1398" t="s">
        <v>16244</v>
      </c>
      <c r="H1398" t="s">
        <v>16244</v>
      </c>
      <c r="I1398" t="s">
        <v>16320</v>
      </c>
      <c r="J1398" t="s">
        <v>16387</v>
      </c>
      <c r="K1398">
        <v>0.315</v>
      </c>
      <c r="L1398">
        <v>13726</v>
      </c>
      <c r="N1398" t="s">
        <v>16393</v>
      </c>
      <c r="O1398" s="4">
        <v>58629</v>
      </c>
      <c r="P1398" s="4">
        <v>0</v>
      </c>
      <c r="Q1398" s="4">
        <v>58629</v>
      </c>
      <c r="R1398" s="4">
        <v>175887</v>
      </c>
      <c r="S1398" t="s">
        <v>17764</v>
      </c>
      <c r="X1398" t="s">
        <v>3</v>
      </c>
      <c r="AA1398" s="5" t="str">
        <f>HYPERLINK("https://www.zillow.com/homes/CUMNOR-RD-DOWNERS-GROVE-IL-60515_rb/","check listing")</f>
        <v>check listing</v>
      </c>
      <c r="AB1398" s="5" t="str">
        <f>HYPERLINK("https://propertylookup.dupagecounty.gov/Datalets/Datalet.aspx?UseSearch=no&amp;mode=sales&amp;pin=0909111026","sales record")</f>
        <v>sales record</v>
      </c>
      <c r="AC1398" t="s">
        <v>3</v>
      </c>
      <c r="AD1398">
        <v>41.796013</v>
      </c>
      <c r="AE1398">
        <v>-87.99043899999999</v>
      </c>
      <c r="AF1398" s="5" t="str">
        <f>HYPERLINK("https://www.google.com/maps/search/?api=1&amp;query=41.796013,-87.990439","map")</f>
        <v>map</v>
      </c>
    </row>
    <row r="1399" spans="1:32">
      <c r="A1399" t="s">
        <v>1449</v>
      </c>
      <c r="B1399" t="s">
        <v>9025</v>
      </c>
      <c r="C1399" t="s">
        <v>15277</v>
      </c>
      <c r="D1399" t="s">
        <v>16199</v>
      </c>
      <c r="E1399" t="s">
        <v>16217</v>
      </c>
      <c r="F1399" t="s">
        <v>16222</v>
      </c>
      <c r="G1399" t="s">
        <v>16242</v>
      </c>
      <c r="H1399" t="s">
        <v>16242</v>
      </c>
      <c r="I1399" t="s">
        <v>16318</v>
      </c>
      <c r="J1399" t="s">
        <v>16387</v>
      </c>
      <c r="K1399">
        <v>0.307</v>
      </c>
      <c r="L1399">
        <v>13386</v>
      </c>
      <c r="N1399" t="s">
        <v>16393</v>
      </c>
      <c r="O1399" s="4">
        <v>113148</v>
      </c>
      <c r="P1399" s="4">
        <v>0</v>
      </c>
      <c r="Q1399" s="4">
        <v>113148</v>
      </c>
      <c r="R1399" s="4">
        <v>339444</v>
      </c>
      <c r="S1399" t="s">
        <v>17765</v>
      </c>
      <c r="T1399" s="6">
        <v>37926</v>
      </c>
      <c r="U1399" s="4">
        <v>330000</v>
      </c>
      <c r="V1399" t="s">
        <v>23740</v>
      </c>
      <c r="W1399" t="s">
        <v>24425</v>
      </c>
      <c r="X1399" t="s">
        <v>3</v>
      </c>
      <c r="AA1399" s="5" t="str">
        <f>HYPERLINK("https://www.zillow.com/homes/4942-SARATOGA-ST-DOWNERS-GROVE-IL-60515_rb/","check listing")</f>
        <v>check listing</v>
      </c>
      <c r="AB1399" s="5" t="str">
        <f>HYPERLINK("https://propertylookup.dupagecounty.gov/Datalets/Datalet.aspx?UseSearch=no&amp;mode=sales&amp;pin=0907217015","sales record")</f>
        <v>sales record</v>
      </c>
      <c r="AC1399" t="s">
        <v>3</v>
      </c>
      <c r="AD1399">
        <v>41.796808</v>
      </c>
      <c r="AE1399">
        <v>-88.014324</v>
      </c>
      <c r="AF1399" s="5" t="str">
        <f>HYPERLINK("https://www.google.com/maps/search/?api=1&amp;query=41.796808,-88.014324","map")</f>
        <v>map</v>
      </c>
    </row>
    <row r="1400" spans="1:32">
      <c r="A1400" t="s">
        <v>1450</v>
      </c>
      <c r="B1400" t="s">
        <v>9024</v>
      </c>
      <c r="C1400" t="s">
        <v>15277</v>
      </c>
      <c r="D1400" t="s">
        <v>16199</v>
      </c>
      <c r="E1400" t="s">
        <v>16217</v>
      </c>
      <c r="F1400" t="s">
        <v>16222</v>
      </c>
      <c r="G1400" t="s">
        <v>16244</v>
      </c>
      <c r="H1400" t="s">
        <v>16244</v>
      </c>
      <c r="I1400" t="s">
        <v>16320</v>
      </c>
      <c r="J1400" t="s">
        <v>16387</v>
      </c>
      <c r="K1400">
        <v>0.3</v>
      </c>
      <c r="L1400">
        <v>13076</v>
      </c>
      <c r="N1400" t="s">
        <v>16393</v>
      </c>
      <c r="O1400" s="4">
        <v>61480</v>
      </c>
      <c r="P1400" s="4">
        <v>0</v>
      </c>
      <c r="Q1400" s="4">
        <v>61480</v>
      </c>
      <c r="R1400" s="4">
        <v>184440</v>
      </c>
      <c r="S1400" t="s">
        <v>17766</v>
      </c>
      <c r="X1400" t="s">
        <v>3</v>
      </c>
      <c r="AA1400" s="5" t="str">
        <f>HYPERLINK("https://www.zillow.com/homes/CUMNOR-RD-DOWNERS-GROVE-IL-60515_rb/","check listing")</f>
        <v>check listing</v>
      </c>
      <c r="AB1400" s="5" t="str">
        <f>HYPERLINK("https://propertylookup.dupagecounty.gov/Datalets/Datalet.aspx?UseSearch=no&amp;mode=sales&amp;pin=0909111024","sales record")</f>
        <v>sales record</v>
      </c>
      <c r="AC1400" t="s">
        <v>3</v>
      </c>
      <c r="AD1400">
        <v>41.79635</v>
      </c>
      <c r="AE1400">
        <v>-87.990452</v>
      </c>
      <c r="AF1400" s="5" t="str">
        <f>HYPERLINK("https://www.google.com/maps/search/?api=1&amp;query=41.79635,-87.990452","map")</f>
        <v>map</v>
      </c>
    </row>
    <row r="1401" spans="1:32">
      <c r="A1401" t="s">
        <v>1451</v>
      </c>
      <c r="B1401" t="s">
        <v>9024</v>
      </c>
      <c r="C1401" t="s">
        <v>15277</v>
      </c>
      <c r="D1401" t="s">
        <v>16199</v>
      </c>
      <c r="E1401" t="s">
        <v>16217</v>
      </c>
      <c r="F1401" t="s">
        <v>16222</v>
      </c>
      <c r="G1401" t="s">
        <v>16244</v>
      </c>
      <c r="H1401" t="s">
        <v>16244</v>
      </c>
      <c r="I1401" t="s">
        <v>16320</v>
      </c>
      <c r="J1401" t="s">
        <v>16387</v>
      </c>
      <c r="K1401">
        <v>0.3</v>
      </c>
      <c r="L1401">
        <v>13072</v>
      </c>
      <c r="N1401" t="s">
        <v>16393</v>
      </c>
      <c r="O1401" s="4">
        <v>61480</v>
      </c>
      <c r="P1401" s="4">
        <v>0</v>
      </c>
      <c r="Q1401" s="4">
        <v>61480</v>
      </c>
      <c r="R1401" s="4">
        <v>184440</v>
      </c>
      <c r="S1401" t="s">
        <v>17764</v>
      </c>
      <c r="X1401" t="s">
        <v>3</v>
      </c>
      <c r="AA1401" s="5" t="str">
        <f>HYPERLINK("https://www.zillow.com/homes/CUMNOR-RD-DOWNERS-GROVE-IL-60515_rb/","check listing")</f>
        <v>check listing</v>
      </c>
      <c r="AB1401" s="5" t="str">
        <f>HYPERLINK("https://propertylookup.dupagecounty.gov/Datalets/Datalet.aspx?UseSearch=no&amp;mode=sales&amp;pin=0909111023","sales record")</f>
        <v>sales record</v>
      </c>
      <c r="AC1401" t="s">
        <v>3</v>
      </c>
      <c r="AD1401">
        <v>41.796514</v>
      </c>
      <c r="AE1401">
        <v>-87.990458</v>
      </c>
      <c r="AF1401" s="5" t="str">
        <f>HYPERLINK("https://www.google.com/maps/search/?api=1&amp;query=41.796514,-87.990458","map")</f>
        <v>map</v>
      </c>
    </row>
    <row r="1402" spans="1:32">
      <c r="A1402" t="s">
        <v>1452</v>
      </c>
      <c r="B1402" t="s">
        <v>9024</v>
      </c>
      <c r="C1402" t="s">
        <v>15277</v>
      </c>
      <c r="D1402" t="s">
        <v>16199</v>
      </c>
      <c r="E1402" t="s">
        <v>16217</v>
      </c>
      <c r="F1402" t="s">
        <v>16222</v>
      </c>
      <c r="G1402" t="s">
        <v>16244</v>
      </c>
      <c r="H1402" t="s">
        <v>16244</v>
      </c>
      <c r="I1402" t="s">
        <v>16320</v>
      </c>
      <c r="J1402" t="s">
        <v>16387</v>
      </c>
      <c r="K1402">
        <v>0.3</v>
      </c>
      <c r="L1402">
        <v>13072</v>
      </c>
      <c r="N1402" t="s">
        <v>16393</v>
      </c>
      <c r="O1402" s="4">
        <v>61480</v>
      </c>
      <c r="P1402" s="4">
        <v>0</v>
      </c>
      <c r="Q1402" s="4">
        <v>61480</v>
      </c>
      <c r="R1402" s="4">
        <v>184440</v>
      </c>
      <c r="S1402" t="s">
        <v>17764</v>
      </c>
      <c r="X1402" t="s">
        <v>3</v>
      </c>
      <c r="AA1402" s="5" t="str">
        <f>HYPERLINK("https://www.zillow.com/homes/CUMNOR-RD-DOWNERS-GROVE-IL-60515_rb/","check listing")</f>
        <v>check listing</v>
      </c>
      <c r="AB1402" s="5" t="str">
        <f>HYPERLINK("https://propertylookup.dupagecounty.gov/Datalets/Datalet.aspx?UseSearch=no&amp;mode=sales&amp;pin=0909111025","sales record")</f>
        <v>sales record</v>
      </c>
      <c r="AC1402" t="s">
        <v>3</v>
      </c>
      <c r="AD1402">
        <v>41.796185</v>
      </c>
      <c r="AE1402">
        <v>-87.99044600000001</v>
      </c>
      <c r="AF1402" s="5" t="str">
        <f>HYPERLINK("https://www.google.com/maps/search/?api=1&amp;query=41.796185,-87.990446","map")</f>
        <v>map</v>
      </c>
    </row>
    <row r="1403" spans="1:32">
      <c r="A1403" t="s">
        <v>1453</v>
      </c>
      <c r="B1403" t="s">
        <v>9017</v>
      </c>
      <c r="C1403" t="s">
        <v>15296</v>
      </c>
      <c r="D1403" t="s">
        <v>16199</v>
      </c>
      <c r="E1403" t="s">
        <v>16217</v>
      </c>
      <c r="F1403" t="s">
        <v>16222</v>
      </c>
      <c r="G1403" t="s">
        <v>16246</v>
      </c>
      <c r="H1403" t="s">
        <v>16246</v>
      </c>
      <c r="I1403" t="s">
        <v>16322</v>
      </c>
      <c r="J1403" t="s">
        <v>16387</v>
      </c>
      <c r="K1403">
        <v>0.246</v>
      </c>
      <c r="L1403">
        <v>10701</v>
      </c>
      <c r="N1403" t="s">
        <v>16392</v>
      </c>
      <c r="O1403" s="4">
        <v>195158</v>
      </c>
      <c r="P1403" s="4">
        <v>0</v>
      </c>
      <c r="Q1403" s="4">
        <v>195158</v>
      </c>
      <c r="R1403" s="4">
        <v>585474</v>
      </c>
      <c r="S1403" t="s">
        <v>17759</v>
      </c>
      <c r="T1403" s="6">
        <v>45113</v>
      </c>
      <c r="U1403" s="4">
        <v>9686183</v>
      </c>
      <c r="V1403" t="s">
        <v>16232</v>
      </c>
      <c r="W1403" t="s">
        <v>17759</v>
      </c>
      <c r="X1403" t="s">
        <v>3</v>
      </c>
      <c r="AA1403" s="5" t="str">
        <f>HYPERLINK("https://www.zillow.com/homes/5207-MAIN-ST-DOWNERS-GROVE-IL-605154652_rb/","check listing")</f>
        <v>check listing</v>
      </c>
      <c r="AB1403" s="5" t="str">
        <f>HYPERLINK("https://propertylookup.dupagecounty.gov/Datalets/Datalet.aspx?UseSearch=no&amp;mode=sales&amp;pin=0908306041","sales record")</f>
        <v>sales record</v>
      </c>
      <c r="AC1403" t="s">
        <v>3</v>
      </c>
      <c r="AD1403">
        <v>41.792226</v>
      </c>
      <c r="AE1403">
        <v>-88.009658</v>
      </c>
      <c r="AF1403" s="5" t="str">
        <f>HYPERLINK("https://www.google.com/maps/search/?api=1&amp;query=41.792226,-88.009658","map")</f>
        <v>map</v>
      </c>
    </row>
    <row r="1404" spans="1:32">
      <c r="A1404" t="s">
        <v>1454</v>
      </c>
      <c r="B1404" t="s">
        <v>9026</v>
      </c>
      <c r="C1404" t="s">
        <v>15298</v>
      </c>
      <c r="D1404" t="s">
        <v>16199</v>
      </c>
      <c r="E1404" t="s">
        <v>16217</v>
      </c>
      <c r="F1404" t="s">
        <v>16222</v>
      </c>
      <c r="G1404" t="s">
        <v>16242</v>
      </c>
      <c r="H1404" t="s">
        <v>16242</v>
      </c>
      <c r="I1404" t="s">
        <v>16318</v>
      </c>
      <c r="J1404" t="s">
        <v>16387</v>
      </c>
      <c r="K1404">
        <v>0.243</v>
      </c>
      <c r="L1404">
        <v>10572</v>
      </c>
      <c r="N1404" t="s">
        <v>16393</v>
      </c>
      <c r="O1404" s="4">
        <v>85870</v>
      </c>
      <c r="P1404" s="4">
        <v>0</v>
      </c>
      <c r="Q1404" s="4">
        <v>85870</v>
      </c>
      <c r="R1404" s="4">
        <v>257610</v>
      </c>
      <c r="S1404" t="s">
        <v>17767</v>
      </c>
      <c r="T1404" s="6">
        <v>45672</v>
      </c>
      <c r="U1404" s="4">
        <v>375000</v>
      </c>
      <c r="V1404" t="s">
        <v>23739</v>
      </c>
      <c r="W1404" t="s">
        <v>24426</v>
      </c>
      <c r="X1404" t="s">
        <v>3</v>
      </c>
      <c r="AA1404" s="5" t="str">
        <f>HYPERLINK("https://www.zillow.com/homes/1045-GROVE-ST-DOWNERS-GROVE-IL-605154876_rb/","check listing")</f>
        <v>check listing</v>
      </c>
      <c r="AB1404" s="5" t="str">
        <f>HYPERLINK("https://propertylookup.dupagecounty.gov/Datalets/Datalet.aspx?UseSearch=no&amp;mode=sales&amp;pin=0908310018","sales record")</f>
        <v>sales record</v>
      </c>
      <c r="AC1404" t="s">
        <v>3</v>
      </c>
      <c r="AD1404">
        <v>41.792015</v>
      </c>
      <c r="AE1404">
        <v>-88.01163699999999</v>
      </c>
      <c r="AF1404" s="5" t="str">
        <f>HYPERLINK("https://www.google.com/maps/search/?api=1&amp;query=41.792015,-88.011637","map")</f>
        <v>map</v>
      </c>
    </row>
    <row r="1405" spans="1:32">
      <c r="A1405" t="s">
        <v>1455</v>
      </c>
      <c r="B1405" t="s">
        <v>9027</v>
      </c>
      <c r="C1405" t="s">
        <v>15277</v>
      </c>
      <c r="D1405" t="s">
        <v>16199</v>
      </c>
      <c r="E1405" t="s">
        <v>16217</v>
      </c>
      <c r="F1405" t="s">
        <v>16222</v>
      </c>
      <c r="G1405" t="s">
        <v>16245</v>
      </c>
      <c r="H1405" t="s">
        <v>16245</v>
      </c>
      <c r="I1405" t="s">
        <v>16321</v>
      </c>
      <c r="J1405" t="s">
        <v>16387</v>
      </c>
      <c r="K1405">
        <v>0.234</v>
      </c>
      <c r="L1405">
        <v>10178</v>
      </c>
      <c r="N1405" t="s">
        <v>16392</v>
      </c>
      <c r="O1405" s="4">
        <v>25458</v>
      </c>
      <c r="P1405" s="4">
        <v>0</v>
      </c>
      <c r="Q1405" s="4">
        <v>25458</v>
      </c>
      <c r="R1405" s="4">
        <v>76374</v>
      </c>
      <c r="S1405" t="s">
        <v>17768</v>
      </c>
      <c r="T1405" s="6">
        <v>41061</v>
      </c>
      <c r="U1405" s="4">
        <v>1050000</v>
      </c>
      <c r="V1405" t="s">
        <v>16232</v>
      </c>
      <c r="W1405" t="s">
        <v>24427</v>
      </c>
      <c r="X1405" t="s">
        <v>3</v>
      </c>
      <c r="AA1405" s="5" t="str">
        <f>HYPERLINK("https://www.zillow.com/homes/340-BURLINGTON-AVE-DOWNERS-GROVE-IL-60515_rb/","check listing")</f>
        <v>check listing</v>
      </c>
      <c r="AB1405" s="5" t="str">
        <f>HYPERLINK("https://propertylookup.dupagecounty.gov/Datalets/Datalet.aspx?UseSearch=no&amp;mode=sales&amp;pin=0909109013","sales record")</f>
        <v>sales record</v>
      </c>
      <c r="AC1405" t="s">
        <v>27872</v>
      </c>
      <c r="AD1405">
        <v>41.796336</v>
      </c>
      <c r="AE1405">
        <v>-87.99364</v>
      </c>
      <c r="AF1405" s="5" t="str">
        <f>HYPERLINK("https://www.google.com/maps/search/?api=1&amp;query=41.796336,-87.99364","map")</f>
        <v>map</v>
      </c>
    </row>
    <row r="1406" spans="1:32">
      <c r="A1406" t="s">
        <v>1456</v>
      </c>
      <c r="B1406" t="s">
        <v>9028</v>
      </c>
      <c r="C1406" t="s">
        <v>15277</v>
      </c>
      <c r="D1406" t="s">
        <v>16199</v>
      </c>
      <c r="E1406" t="s">
        <v>16217</v>
      </c>
      <c r="F1406" t="s">
        <v>16222</v>
      </c>
      <c r="G1406" t="s">
        <v>16244</v>
      </c>
      <c r="H1406" t="s">
        <v>16244</v>
      </c>
      <c r="I1406" t="s">
        <v>16320</v>
      </c>
      <c r="J1406" t="s">
        <v>16387</v>
      </c>
      <c r="K1406">
        <v>0.199</v>
      </c>
      <c r="L1406">
        <v>8672</v>
      </c>
      <c r="N1406" t="s">
        <v>16393</v>
      </c>
      <c r="O1406" s="4">
        <v>1186</v>
      </c>
      <c r="P1406" s="4">
        <v>0</v>
      </c>
      <c r="Q1406" s="4">
        <v>1186</v>
      </c>
      <c r="R1406" s="4">
        <v>3558</v>
      </c>
      <c r="S1406" t="s">
        <v>17769</v>
      </c>
      <c r="X1406" t="s">
        <v>3</v>
      </c>
      <c r="AA1406" s="5" t="str">
        <f>HYPERLINK("https://www.zillow.com/homes/ROGERS-ST-DOWNERS-GROVE-IL-60515_rb/","check listing")</f>
        <v>check listing</v>
      </c>
      <c r="AB1406" s="5" t="str">
        <f>HYPERLINK("https://propertylookup.dupagecounty.gov/Datalets/Datalet.aspx?UseSearch=no&amp;mode=sales&amp;pin=0908217043","sales record")</f>
        <v>sales record</v>
      </c>
      <c r="AC1406" t="s">
        <v>3</v>
      </c>
      <c r="AD1406">
        <v>41.79691</v>
      </c>
      <c r="AE1406">
        <v>-87.99886100000001</v>
      </c>
      <c r="AF1406" s="5" t="str">
        <f>HYPERLINK("https://www.google.com/maps/search/?api=1&amp;query=41.79691,-87.998861","map")</f>
        <v>map</v>
      </c>
    </row>
    <row r="1407" spans="1:32">
      <c r="A1407" t="s">
        <v>1457</v>
      </c>
      <c r="B1407" t="s">
        <v>9029</v>
      </c>
      <c r="C1407" t="s">
        <v>15277</v>
      </c>
      <c r="D1407" t="s">
        <v>16199</v>
      </c>
      <c r="E1407" t="s">
        <v>16217</v>
      </c>
      <c r="F1407" t="s">
        <v>16222</v>
      </c>
      <c r="G1407" t="s">
        <v>16246</v>
      </c>
      <c r="H1407" t="s">
        <v>16246</v>
      </c>
      <c r="I1407" t="s">
        <v>16322</v>
      </c>
      <c r="J1407" t="s">
        <v>16387</v>
      </c>
      <c r="K1407">
        <v>0.186</v>
      </c>
      <c r="L1407">
        <v>8106</v>
      </c>
      <c r="N1407" t="s">
        <v>16392</v>
      </c>
      <c r="O1407" s="4">
        <v>134804</v>
      </c>
      <c r="P1407" s="4">
        <v>0</v>
      </c>
      <c r="Q1407" s="4">
        <v>134804</v>
      </c>
      <c r="R1407" s="4">
        <v>404412</v>
      </c>
      <c r="S1407" t="s">
        <v>17770</v>
      </c>
      <c r="T1407" s="6">
        <v>45845</v>
      </c>
      <c r="U1407" s="4">
        <v>3100000</v>
      </c>
      <c r="V1407" t="s">
        <v>23739</v>
      </c>
      <c r="W1407" t="s">
        <v>24428</v>
      </c>
      <c r="X1407" t="s">
        <v>3</v>
      </c>
      <c r="AA1407" s="5" t="str">
        <f>HYPERLINK("https://www.zillow.com/homes/5200-MAIN-ST-DOWNERS-GROVE-IL-60515_rb/","check listing")</f>
        <v>check listing</v>
      </c>
      <c r="AB1407" s="5" t="str">
        <f>HYPERLINK("https://propertylookup.dupagecounty.gov/Datalets/Datalet.aspx?UseSearch=no&amp;mode=sales&amp;pin=0908305023","sales record")</f>
        <v>sales record</v>
      </c>
      <c r="AC1407" t="s">
        <v>27872</v>
      </c>
      <c r="AD1407">
        <v>41.792555</v>
      </c>
      <c r="AE1407">
        <v>-88.01087099999999</v>
      </c>
      <c r="AF1407" s="5" t="str">
        <f>HYPERLINK("https://www.google.com/maps/search/?api=1&amp;query=41.792555,-88.010871","map")</f>
        <v>map</v>
      </c>
    </row>
    <row r="1408" spans="1:32">
      <c r="A1408" t="s">
        <v>1458</v>
      </c>
      <c r="B1408" t="s">
        <v>9030</v>
      </c>
      <c r="C1408" t="s">
        <v>15277</v>
      </c>
      <c r="D1408" t="s">
        <v>16199</v>
      </c>
      <c r="E1408" t="s">
        <v>16217</v>
      </c>
      <c r="F1408" t="s">
        <v>16222</v>
      </c>
      <c r="G1408" t="s">
        <v>16242</v>
      </c>
      <c r="H1408" t="s">
        <v>16242</v>
      </c>
      <c r="I1408" t="s">
        <v>16318</v>
      </c>
      <c r="J1408" t="s">
        <v>16387</v>
      </c>
      <c r="K1408">
        <v>0.175</v>
      </c>
      <c r="L1408">
        <v>7639</v>
      </c>
      <c r="N1408" t="s">
        <v>16393</v>
      </c>
      <c r="O1408" s="4">
        <v>68734</v>
      </c>
      <c r="P1408" s="4">
        <v>0</v>
      </c>
      <c r="Q1408" s="4">
        <v>68734</v>
      </c>
      <c r="R1408" s="4">
        <v>206202</v>
      </c>
      <c r="S1408" t="s">
        <v>17765</v>
      </c>
      <c r="T1408" s="6">
        <v>37926</v>
      </c>
      <c r="U1408" s="4">
        <v>250000</v>
      </c>
      <c r="V1408" t="s">
        <v>23739</v>
      </c>
      <c r="W1408" t="s">
        <v>24425</v>
      </c>
      <c r="X1408" t="s">
        <v>3</v>
      </c>
      <c r="AA1408" s="5" t="str">
        <f>HYPERLINK("https://www.zillow.com/homes/1208-WARREN-AVE-DOWNERS-GROVE-IL-60515_rb/","check listing")</f>
        <v>check listing</v>
      </c>
      <c r="AB1408" s="5" t="str">
        <f>HYPERLINK("https://propertylookup.dupagecounty.gov/Datalets/Datalet.aspx?UseSearch=no&amp;mode=sales&amp;pin=0907217021","sales record")</f>
        <v>sales record</v>
      </c>
      <c r="AC1408" t="s">
        <v>3</v>
      </c>
      <c r="AD1408">
        <v>41.796606</v>
      </c>
      <c r="AE1408">
        <v>-88.014493</v>
      </c>
      <c r="AF1408" s="5" t="str">
        <f>HYPERLINK("https://www.google.com/maps/search/?api=1&amp;query=41.796606,-88.014493","map")</f>
        <v>map</v>
      </c>
    </row>
    <row r="1409" spans="1:32">
      <c r="A1409" t="s">
        <v>1459</v>
      </c>
      <c r="B1409" t="s">
        <v>9031</v>
      </c>
      <c r="C1409" t="s">
        <v>15277</v>
      </c>
      <c r="D1409" t="s">
        <v>16199</v>
      </c>
      <c r="E1409" t="s">
        <v>16217</v>
      </c>
      <c r="F1409" t="s">
        <v>16222</v>
      </c>
      <c r="G1409" t="s">
        <v>16242</v>
      </c>
      <c r="H1409" t="s">
        <v>16242</v>
      </c>
      <c r="I1409" t="s">
        <v>16318</v>
      </c>
      <c r="J1409" t="s">
        <v>16387</v>
      </c>
      <c r="K1409">
        <v>0.173</v>
      </c>
      <c r="L1409">
        <v>7556</v>
      </c>
      <c r="N1409" t="s">
        <v>16393</v>
      </c>
      <c r="O1409" s="4">
        <v>68734</v>
      </c>
      <c r="P1409" s="4">
        <v>0</v>
      </c>
      <c r="Q1409" s="4">
        <v>68734</v>
      </c>
      <c r="R1409" s="4">
        <v>206202</v>
      </c>
      <c r="S1409" t="s">
        <v>17765</v>
      </c>
      <c r="T1409" s="6">
        <v>37926</v>
      </c>
      <c r="U1409" s="4">
        <v>200000</v>
      </c>
      <c r="V1409" t="s">
        <v>23740</v>
      </c>
      <c r="W1409" t="s">
        <v>24425</v>
      </c>
      <c r="X1409" t="s">
        <v>3</v>
      </c>
      <c r="AA1409" s="5" t="str">
        <f>HYPERLINK("https://www.zillow.com/homes/1210-WARREN-AVE-DOWNERS-GROVE-IL-60515_rb/","check listing")</f>
        <v>check listing</v>
      </c>
      <c r="AB1409" s="5" t="str">
        <f>HYPERLINK("https://propertylookup.dupagecounty.gov/Datalets/Datalet.aspx?UseSearch=no&amp;mode=sales&amp;pin=0907217020","sales record")</f>
        <v>sales record</v>
      </c>
      <c r="AC1409" t="s">
        <v>3</v>
      </c>
      <c r="AD1409">
        <v>41.796505</v>
      </c>
      <c r="AE1409">
        <v>-88.01467599999999</v>
      </c>
      <c r="AF1409" s="5" t="str">
        <f>HYPERLINK("https://www.google.com/maps/search/?api=1&amp;query=41.796505,-88.014676","map")</f>
        <v>map</v>
      </c>
    </row>
    <row r="1410" spans="1:32">
      <c r="A1410" t="s">
        <v>1460</v>
      </c>
      <c r="B1410" t="s">
        <v>9032</v>
      </c>
      <c r="C1410" t="s">
        <v>15299</v>
      </c>
      <c r="D1410" t="s">
        <v>16199</v>
      </c>
      <c r="E1410" t="s">
        <v>16217</v>
      </c>
      <c r="F1410" t="s">
        <v>16222</v>
      </c>
      <c r="G1410" t="s">
        <v>16244</v>
      </c>
      <c r="H1410" t="s">
        <v>16244</v>
      </c>
      <c r="I1410" t="s">
        <v>16320</v>
      </c>
      <c r="J1410" t="s">
        <v>16387</v>
      </c>
      <c r="K1410">
        <v>0.164</v>
      </c>
      <c r="L1410">
        <v>7148</v>
      </c>
      <c r="N1410" t="s">
        <v>16393</v>
      </c>
      <c r="O1410" s="4">
        <v>10270</v>
      </c>
      <c r="P1410" s="4">
        <v>0</v>
      </c>
      <c r="Q1410" s="4">
        <v>10270</v>
      </c>
      <c r="R1410" s="4">
        <v>30810</v>
      </c>
      <c r="S1410" t="s">
        <v>17771</v>
      </c>
      <c r="T1410" s="6">
        <v>44440</v>
      </c>
      <c r="U1410" s="4">
        <v>25000</v>
      </c>
      <c r="V1410" t="s">
        <v>16232</v>
      </c>
      <c r="W1410" t="s">
        <v>24429</v>
      </c>
      <c r="X1410" t="s">
        <v>3</v>
      </c>
      <c r="AA1410" s="5" t="str">
        <f>HYPERLINK("https://www.zillow.com/homes/450-ROGERS-ST-DOWNERS-GROVE-IL-605153826_rb/","check listing")</f>
        <v>check listing</v>
      </c>
      <c r="AB1410" s="5" t="str">
        <f>HYPERLINK("https://propertylookup.dupagecounty.gov/Datalets/Datalet.aspx?UseSearch=no&amp;mode=sales&amp;pin=0908225014","sales record")</f>
        <v>sales record</v>
      </c>
      <c r="AC1410" t="s">
        <v>3</v>
      </c>
      <c r="AD1410">
        <v>41.796964</v>
      </c>
      <c r="AE1410">
        <v>-87.99690099999999</v>
      </c>
      <c r="AF1410" s="5" t="str">
        <f>HYPERLINK("https://www.google.com/maps/search/?api=1&amp;query=41.796964,-87.996901","map")</f>
        <v>map</v>
      </c>
    </row>
    <row r="1411" spans="1:32">
      <c r="A1411" t="s">
        <v>1461</v>
      </c>
      <c r="B1411" t="s">
        <v>9022</v>
      </c>
      <c r="C1411" t="s">
        <v>15277</v>
      </c>
      <c r="D1411" t="s">
        <v>16199</v>
      </c>
      <c r="E1411" t="s">
        <v>16217</v>
      </c>
      <c r="F1411" t="s">
        <v>16222</v>
      </c>
      <c r="G1411" t="s">
        <v>16245</v>
      </c>
      <c r="H1411" t="s">
        <v>16245</v>
      </c>
      <c r="I1411" t="s">
        <v>16321</v>
      </c>
      <c r="J1411" t="s">
        <v>16387</v>
      </c>
      <c r="K1411">
        <v>0.162</v>
      </c>
      <c r="L1411">
        <v>7035</v>
      </c>
      <c r="N1411" t="s">
        <v>16392</v>
      </c>
      <c r="O1411" s="4">
        <v>54391</v>
      </c>
      <c r="P1411" s="4">
        <v>0</v>
      </c>
      <c r="Q1411" s="4">
        <v>54391</v>
      </c>
      <c r="R1411" s="4">
        <v>163173</v>
      </c>
      <c r="S1411" t="s">
        <v>17762</v>
      </c>
      <c r="T1411" s="6">
        <v>36557</v>
      </c>
      <c r="U1411" s="4">
        <v>840000</v>
      </c>
      <c r="V1411" t="s">
        <v>23740</v>
      </c>
      <c r="W1411" t="s">
        <v>24430</v>
      </c>
      <c r="X1411" t="s">
        <v>3</v>
      </c>
      <c r="AA1411" s="5" t="str">
        <f>HYPERLINK("https://www.zillow.com/homes/5003-FAIRVIEW-AVE-DOWNERS-GROVE-IL-60515_rb/","check listing")</f>
        <v>check listing</v>
      </c>
      <c r="AB1411" s="5" t="str">
        <f>HYPERLINK("https://propertylookup.dupagecounty.gov/Datalets/Datalet.aspx?UseSearch=no&amp;mode=sales&amp;pin=0909109019","sales record")</f>
        <v>sales record</v>
      </c>
      <c r="AC1411" t="s">
        <v>3</v>
      </c>
      <c r="AD1411">
        <v>41.796916</v>
      </c>
      <c r="AE1411">
        <v>-87.993934</v>
      </c>
      <c r="AF1411" s="5" t="str">
        <f>HYPERLINK("https://www.google.com/maps/search/?api=1&amp;query=41.796916,-87.993934","map")</f>
        <v>map</v>
      </c>
    </row>
    <row r="1412" spans="1:32">
      <c r="A1412" t="s">
        <v>1462</v>
      </c>
      <c r="B1412" t="s">
        <v>9033</v>
      </c>
      <c r="C1412" t="s">
        <v>15277</v>
      </c>
      <c r="D1412" t="s">
        <v>16199</v>
      </c>
      <c r="E1412" t="s">
        <v>16217</v>
      </c>
      <c r="F1412" t="s">
        <v>16222</v>
      </c>
      <c r="G1412" t="s">
        <v>16243</v>
      </c>
      <c r="H1412" t="s">
        <v>16243</v>
      </c>
      <c r="I1412" t="s">
        <v>16319</v>
      </c>
      <c r="J1412" t="s">
        <v>16387</v>
      </c>
      <c r="K1412">
        <v>0.161</v>
      </c>
      <c r="L1412">
        <v>7012</v>
      </c>
      <c r="M1412">
        <v>1265</v>
      </c>
      <c r="N1412" t="s">
        <v>16392</v>
      </c>
      <c r="O1412" s="4">
        <v>97901</v>
      </c>
      <c r="P1412" s="4">
        <v>0</v>
      </c>
      <c r="Q1412" s="4">
        <v>97901</v>
      </c>
      <c r="R1412" s="4">
        <v>293703</v>
      </c>
      <c r="S1412" t="s">
        <v>17772</v>
      </c>
      <c r="T1412" s="6">
        <v>45693</v>
      </c>
      <c r="U1412" s="4">
        <v>2200000</v>
      </c>
      <c r="V1412" t="s">
        <v>16232</v>
      </c>
      <c r="W1412" t="s">
        <v>24431</v>
      </c>
      <c r="X1412" t="s">
        <v>3</v>
      </c>
      <c r="AA1412" s="5" t="str">
        <f>HYPERLINK("https://www.zillow.com/homes/4921-FOREST-AVE-DOWNERS-GROVE-IL-60515_rb/","check listing")</f>
        <v>check listing</v>
      </c>
      <c r="AB1412" s="5" t="str">
        <f>HYPERLINK("https://propertylookup.dupagecounty.gov/Datalets/Datalet.aspx?UseSearch=no&amp;mode=sales&amp;pin=0908116004","sales record")</f>
        <v>sales record</v>
      </c>
      <c r="AC1412" t="s">
        <v>27871</v>
      </c>
      <c r="AD1412">
        <v>41.797885</v>
      </c>
      <c r="AE1412">
        <v>-88.01156899999999</v>
      </c>
      <c r="AF1412" s="5" t="str">
        <f>HYPERLINK("https://www.google.com/maps/search/?api=1&amp;query=41.797885,-88.011569","map")</f>
        <v>map</v>
      </c>
    </row>
    <row r="1413" spans="1:32">
      <c r="A1413" t="s">
        <v>1463</v>
      </c>
      <c r="B1413" t="s">
        <v>9034</v>
      </c>
      <c r="C1413" t="s">
        <v>15277</v>
      </c>
      <c r="D1413" t="s">
        <v>16199</v>
      </c>
      <c r="E1413" t="s">
        <v>16217</v>
      </c>
      <c r="F1413" t="s">
        <v>16222</v>
      </c>
      <c r="G1413" t="s">
        <v>16243</v>
      </c>
      <c r="H1413" t="s">
        <v>16243</v>
      </c>
      <c r="I1413" t="s">
        <v>16319</v>
      </c>
      <c r="J1413" t="s">
        <v>16387</v>
      </c>
      <c r="K1413">
        <v>0.16</v>
      </c>
      <c r="L1413">
        <v>6958</v>
      </c>
      <c r="N1413" t="s">
        <v>16392</v>
      </c>
      <c r="O1413" s="4">
        <v>109263</v>
      </c>
      <c r="P1413" s="4">
        <v>0</v>
      </c>
      <c r="Q1413" s="4">
        <v>109263</v>
      </c>
      <c r="R1413" s="4">
        <v>327789</v>
      </c>
      <c r="S1413" t="s">
        <v>17773</v>
      </c>
      <c r="T1413" s="6">
        <v>44827</v>
      </c>
      <c r="U1413" s="4">
        <v>1600000</v>
      </c>
      <c r="V1413" t="s">
        <v>23741</v>
      </c>
      <c r="W1413" t="s">
        <v>24432</v>
      </c>
      <c r="X1413" t="s">
        <v>3</v>
      </c>
      <c r="AA1413" s="5" t="str">
        <f>HYPERLINK("https://www.zillow.com/homes/4920-MAIN-ST-DOWNERS-GROVE-IL-60515_rb/","check listing")</f>
        <v>check listing</v>
      </c>
      <c r="AB1413" s="5" t="str">
        <f>HYPERLINK("https://propertylookup.dupagecounty.gov/Datalets/Datalet.aspx?UseSearch=no&amp;mode=sales&amp;pin=0908116018","sales record")</f>
        <v>sales record</v>
      </c>
      <c r="AC1413" t="s">
        <v>27872</v>
      </c>
      <c r="AD1413">
        <v>41.797835</v>
      </c>
      <c r="AE1413">
        <v>-88.010998</v>
      </c>
      <c r="AF1413" s="5" t="str">
        <f>HYPERLINK("https://www.google.com/maps/search/?api=1&amp;query=41.797835,-88.010998","map")</f>
        <v>map</v>
      </c>
    </row>
    <row r="1414" spans="1:32">
      <c r="A1414" t="s">
        <v>1464</v>
      </c>
      <c r="B1414" t="s">
        <v>9035</v>
      </c>
      <c r="C1414" t="s">
        <v>15277</v>
      </c>
      <c r="D1414" t="s">
        <v>16199</v>
      </c>
      <c r="E1414" t="s">
        <v>16217</v>
      </c>
      <c r="F1414" t="s">
        <v>16222</v>
      </c>
      <c r="G1414" t="s">
        <v>16242</v>
      </c>
      <c r="H1414" t="s">
        <v>16242</v>
      </c>
      <c r="I1414" t="s">
        <v>16318</v>
      </c>
      <c r="J1414" t="s">
        <v>16387</v>
      </c>
      <c r="K1414">
        <v>0.152</v>
      </c>
      <c r="L1414">
        <v>6617</v>
      </c>
      <c r="N1414" t="s">
        <v>16393</v>
      </c>
      <c r="O1414" s="4">
        <v>73253</v>
      </c>
      <c r="P1414" s="4">
        <v>0</v>
      </c>
      <c r="Q1414" s="4">
        <v>73253</v>
      </c>
      <c r="R1414" s="4">
        <v>219759</v>
      </c>
      <c r="S1414" t="s">
        <v>17774</v>
      </c>
      <c r="T1414" s="6">
        <v>32387</v>
      </c>
      <c r="U1414" s="4">
        <v>104000</v>
      </c>
      <c r="X1414" t="s">
        <v>3</v>
      </c>
      <c r="AA1414" s="5" t="str">
        <f>HYPERLINK("https://www.zillow.com/homes/1120-WARREN-AVE-DOWNERS-GROVE-IL-60515_rb/","check listing")</f>
        <v>check listing</v>
      </c>
      <c r="AB1414" s="5" t="str">
        <f>HYPERLINK("https://propertylookup.dupagecounty.gov/Datalets/Datalet.aspx?UseSearch=no&amp;mode=sales&amp;pin=0908115011","sales record")</f>
        <v>sales record</v>
      </c>
      <c r="AC1414" t="s">
        <v>27872</v>
      </c>
      <c r="AD1414">
        <v>41.796938</v>
      </c>
      <c r="AE1414">
        <v>-88.01347</v>
      </c>
      <c r="AF1414" s="5" t="str">
        <f>HYPERLINK("https://www.google.com/maps/search/?api=1&amp;query=41.796938,-88.01347","map")</f>
        <v>map</v>
      </c>
    </row>
    <row r="1415" spans="1:32">
      <c r="A1415" t="s">
        <v>1465</v>
      </c>
      <c r="B1415" t="s">
        <v>9036</v>
      </c>
      <c r="C1415" t="s">
        <v>15277</v>
      </c>
      <c r="D1415" t="s">
        <v>16199</v>
      </c>
      <c r="E1415" t="s">
        <v>16217</v>
      </c>
      <c r="F1415" t="s">
        <v>16222</v>
      </c>
      <c r="G1415" t="s">
        <v>16243</v>
      </c>
      <c r="H1415" t="s">
        <v>16243</v>
      </c>
      <c r="I1415" t="s">
        <v>16319</v>
      </c>
      <c r="J1415" t="s">
        <v>16387</v>
      </c>
      <c r="K1415">
        <v>0.142</v>
      </c>
      <c r="L1415">
        <v>6182</v>
      </c>
      <c r="N1415" t="s">
        <v>16393</v>
      </c>
      <c r="O1415" s="4">
        <v>81610</v>
      </c>
      <c r="P1415" s="4">
        <v>0</v>
      </c>
      <c r="Q1415" s="4">
        <v>81610</v>
      </c>
      <c r="R1415" s="4">
        <v>244830</v>
      </c>
      <c r="S1415" t="s">
        <v>17775</v>
      </c>
      <c r="X1415" t="s">
        <v>3</v>
      </c>
      <c r="AA1415" s="5" t="str">
        <f>HYPERLINK("https://www.zillow.com/homes/925-ROGERS-ST-DOWNERS-GROVE-IL-60515_rb/","check listing")</f>
        <v>check listing</v>
      </c>
      <c r="AB1415" s="5" t="str">
        <f>HYPERLINK("https://propertylookup.dupagecounty.gov/Datalets/Datalet.aspx?UseSearch=no&amp;mode=sales&amp;pin=0908124020","sales record")</f>
        <v>sales record</v>
      </c>
      <c r="AC1415" t="s">
        <v>3</v>
      </c>
      <c r="AD1415">
        <v>41.796349</v>
      </c>
      <c r="AE1415">
        <v>-88.008315</v>
      </c>
      <c r="AF1415" s="5" t="str">
        <f>HYPERLINK("https://www.google.com/maps/search/?api=1&amp;query=41.796349,-88.008315","map")</f>
        <v>map</v>
      </c>
    </row>
    <row r="1416" spans="1:32">
      <c r="A1416" t="s">
        <v>1466</v>
      </c>
      <c r="B1416" t="s">
        <v>9037</v>
      </c>
      <c r="C1416" t="s">
        <v>15277</v>
      </c>
      <c r="D1416" t="s">
        <v>16199</v>
      </c>
      <c r="E1416" t="s">
        <v>16217</v>
      </c>
      <c r="F1416" t="s">
        <v>16222</v>
      </c>
      <c r="G1416" t="s">
        <v>16243</v>
      </c>
      <c r="H1416" t="s">
        <v>16243</v>
      </c>
      <c r="I1416" t="s">
        <v>16319</v>
      </c>
      <c r="J1416" t="s">
        <v>16387</v>
      </c>
      <c r="K1416">
        <v>0.139</v>
      </c>
      <c r="L1416">
        <v>6057</v>
      </c>
      <c r="N1416" t="s">
        <v>16392</v>
      </c>
      <c r="O1416" s="4">
        <v>83769</v>
      </c>
      <c r="P1416" s="4">
        <v>0</v>
      </c>
      <c r="Q1416" s="4">
        <v>83769</v>
      </c>
      <c r="R1416" s="4">
        <v>251307</v>
      </c>
      <c r="S1416" t="s">
        <v>17755</v>
      </c>
      <c r="X1416" t="s">
        <v>3</v>
      </c>
      <c r="AA1416" s="5" t="str">
        <f>HYPERLINK("https://www.zillow.com/homes/936-WARREN-AVE-DOWNERS-GROVE-IL-60515_rb/","check listing")</f>
        <v>check listing</v>
      </c>
      <c r="AB1416" s="5" t="str">
        <f>HYPERLINK("https://propertylookup.dupagecounty.gov/Datalets/Datalet.aspx?UseSearch=no&amp;mode=sales&amp;pin=0908124002","sales record")</f>
        <v>sales record</v>
      </c>
      <c r="AC1416" t="s">
        <v>27872</v>
      </c>
      <c r="AD1416">
        <v>41.796316</v>
      </c>
      <c r="AE1416">
        <v>-88.008495</v>
      </c>
      <c r="AF1416" s="5" t="str">
        <f>HYPERLINK("https://www.google.com/maps/search/?api=1&amp;query=41.796316,-88.008495","map")</f>
        <v>map</v>
      </c>
    </row>
    <row r="1417" spans="1:32">
      <c r="A1417" t="s">
        <v>1467</v>
      </c>
      <c r="B1417" t="s">
        <v>9027</v>
      </c>
      <c r="C1417" t="s">
        <v>15277</v>
      </c>
      <c r="D1417" t="s">
        <v>16199</v>
      </c>
      <c r="E1417" t="s">
        <v>16217</v>
      </c>
      <c r="F1417" t="s">
        <v>16222</v>
      </c>
      <c r="G1417" t="s">
        <v>16245</v>
      </c>
      <c r="H1417" t="s">
        <v>16245</v>
      </c>
      <c r="I1417" t="s">
        <v>16321</v>
      </c>
      <c r="J1417" t="s">
        <v>16387</v>
      </c>
      <c r="K1417">
        <v>0.137</v>
      </c>
      <c r="L1417">
        <v>5955</v>
      </c>
      <c r="N1417" t="s">
        <v>16392</v>
      </c>
      <c r="O1417" s="4">
        <v>14860</v>
      </c>
      <c r="P1417" s="4">
        <v>0</v>
      </c>
      <c r="Q1417" s="4">
        <v>14860</v>
      </c>
      <c r="R1417" s="4">
        <v>44580</v>
      </c>
      <c r="S1417" t="s">
        <v>17768</v>
      </c>
      <c r="X1417" t="s">
        <v>3</v>
      </c>
      <c r="AA1417" s="5" t="str">
        <f>HYPERLINK("https://www.zillow.com/homes/340-BURLINGTON-AVE-DOWNERS-GROVE-IL-60515_rb/","check listing")</f>
        <v>check listing</v>
      </c>
      <c r="AB1417" s="5" t="str">
        <f>HYPERLINK("https://propertylookup.dupagecounty.gov/Datalets/Datalet.aspx?UseSearch=no&amp;mode=sales&amp;pin=0909109015","sales record")</f>
        <v>sales record</v>
      </c>
      <c r="AC1417" t="s">
        <v>27872</v>
      </c>
      <c r="AD1417">
        <v>41.796189</v>
      </c>
      <c r="AE1417">
        <v>-87.99345099999999</v>
      </c>
      <c r="AF1417" s="5" t="str">
        <f>HYPERLINK("https://www.google.com/maps/search/?api=1&amp;query=41.796189,-87.993451","map")</f>
        <v>map</v>
      </c>
    </row>
    <row r="1418" spans="1:32">
      <c r="A1418" t="s">
        <v>1468</v>
      </c>
      <c r="B1418" t="s">
        <v>9027</v>
      </c>
      <c r="C1418" t="s">
        <v>15277</v>
      </c>
      <c r="D1418" t="s">
        <v>16199</v>
      </c>
      <c r="E1418" t="s">
        <v>16217</v>
      </c>
      <c r="F1418" t="s">
        <v>16222</v>
      </c>
      <c r="G1418" t="s">
        <v>16245</v>
      </c>
      <c r="H1418" t="s">
        <v>16245</v>
      </c>
      <c r="I1418" t="s">
        <v>16321</v>
      </c>
      <c r="J1418" t="s">
        <v>16387</v>
      </c>
      <c r="K1418">
        <v>0.131</v>
      </c>
      <c r="L1418">
        <v>5696</v>
      </c>
      <c r="N1418" t="s">
        <v>16392</v>
      </c>
      <c r="O1418" s="4">
        <v>14860</v>
      </c>
      <c r="P1418" s="4">
        <v>0</v>
      </c>
      <c r="Q1418" s="4">
        <v>14860</v>
      </c>
      <c r="R1418" s="4">
        <v>44580</v>
      </c>
      <c r="S1418" t="s">
        <v>17768</v>
      </c>
      <c r="X1418" t="s">
        <v>3</v>
      </c>
      <c r="AA1418" s="5" t="str">
        <f>HYPERLINK("https://www.zillow.com/homes/340-BURLINGTON-AVE-DOWNERS-GROVE-IL-60515_rb/","check listing")</f>
        <v>check listing</v>
      </c>
      <c r="AB1418" s="5" t="str">
        <f>HYPERLINK("https://propertylookup.dupagecounty.gov/Datalets/Datalet.aspx?UseSearch=no&amp;mode=sales&amp;pin=0909109016","sales record")</f>
        <v>sales record</v>
      </c>
      <c r="AC1418" t="s">
        <v>27872</v>
      </c>
      <c r="AD1418">
        <v>41.796034</v>
      </c>
      <c r="AE1418">
        <v>-87.99344499999999</v>
      </c>
      <c r="AF1418" s="5" t="str">
        <f>HYPERLINK("https://www.google.com/maps/search/?api=1&amp;query=41.796034,-87.993445","map")</f>
        <v>map</v>
      </c>
    </row>
    <row r="1419" spans="1:32">
      <c r="A1419" t="s">
        <v>1469</v>
      </c>
      <c r="B1419" t="s">
        <v>9038</v>
      </c>
      <c r="C1419" t="s">
        <v>15254</v>
      </c>
      <c r="D1419" t="s">
        <v>16199</v>
      </c>
      <c r="E1419" t="s">
        <v>16217</v>
      </c>
      <c r="F1419" t="s">
        <v>16222</v>
      </c>
      <c r="G1419" t="s">
        <v>16243</v>
      </c>
      <c r="H1419" t="s">
        <v>16243</v>
      </c>
      <c r="I1419" t="s">
        <v>16319</v>
      </c>
      <c r="J1419" t="s">
        <v>16387</v>
      </c>
      <c r="K1419">
        <v>0.127</v>
      </c>
      <c r="L1419">
        <v>5527</v>
      </c>
      <c r="N1419" t="s">
        <v>16392</v>
      </c>
      <c r="O1419" s="4">
        <v>89544</v>
      </c>
      <c r="P1419" s="4">
        <v>0</v>
      </c>
      <c r="Q1419" s="4">
        <v>89544</v>
      </c>
      <c r="R1419" s="4">
        <v>268632</v>
      </c>
      <c r="S1419" t="s">
        <v>17776</v>
      </c>
      <c r="T1419" s="6">
        <v>33482</v>
      </c>
      <c r="U1419" s="4">
        <v>80000</v>
      </c>
      <c r="X1419" t="s">
        <v>3</v>
      </c>
      <c r="AA1419" s="5" t="str">
        <f>HYPERLINK("https://www.zillow.com/homes/4900-MAIN-ST-DOWNERS-GROVE-IL-60516_rb/","check listing")</f>
        <v>check listing</v>
      </c>
      <c r="AB1419" s="5" t="str">
        <f>HYPERLINK("https://propertylookup.dupagecounty.gov/Datalets/Datalet.aspx?UseSearch=no&amp;mode=sales&amp;pin=0908117003","sales record")</f>
        <v>sales record</v>
      </c>
      <c r="AC1419" t="s">
        <v>3</v>
      </c>
      <c r="AD1419">
        <v>41.798062</v>
      </c>
      <c r="AE1419">
        <v>-88.01031500000001</v>
      </c>
      <c r="AF1419" s="5" t="str">
        <f>HYPERLINK("https://www.google.com/maps/search/?api=1&amp;query=41.798062,-88.010315","map")</f>
        <v>map</v>
      </c>
    </row>
    <row r="1420" spans="1:32">
      <c r="A1420" t="s">
        <v>1470</v>
      </c>
      <c r="B1420" t="s">
        <v>9039</v>
      </c>
      <c r="C1420" t="s">
        <v>15277</v>
      </c>
      <c r="D1420" t="s">
        <v>16199</v>
      </c>
      <c r="E1420" t="s">
        <v>16217</v>
      </c>
      <c r="F1420" t="s">
        <v>16222</v>
      </c>
      <c r="G1420" t="s">
        <v>16242</v>
      </c>
      <c r="H1420" t="s">
        <v>16242</v>
      </c>
      <c r="I1420" t="s">
        <v>16318</v>
      </c>
      <c r="J1420" t="s">
        <v>16387</v>
      </c>
      <c r="K1420">
        <v>0.115</v>
      </c>
      <c r="L1420">
        <v>5018</v>
      </c>
      <c r="N1420" t="s">
        <v>16393</v>
      </c>
      <c r="O1420" s="4">
        <v>55670</v>
      </c>
      <c r="P1420" s="4">
        <v>0</v>
      </c>
      <c r="Q1420" s="4">
        <v>55670</v>
      </c>
      <c r="R1420" s="4">
        <v>167010</v>
      </c>
      <c r="S1420" t="s">
        <v>17755</v>
      </c>
      <c r="T1420" s="6">
        <v>38412</v>
      </c>
      <c r="U1420" s="4">
        <v>160000</v>
      </c>
      <c r="V1420" t="s">
        <v>23739</v>
      </c>
      <c r="W1420" t="s">
        <v>24433</v>
      </c>
      <c r="X1420" t="s">
        <v>3</v>
      </c>
      <c r="AA1420" s="5" t="str">
        <f>HYPERLINK("https://www.zillow.com/homes/923-ROGERS-ST-DOWNERS-GROVE-IL-60515_rb/","check listing")</f>
        <v>check listing</v>
      </c>
      <c r="AB1420" s="5" t="str">
        <f>HYPERLINK("https://propertylookup.dupagecounty.gov/Datalets/Datalet.aspx?UseSearch=no&amp;mode=sales&amp;pin=0908124004","sales record")</f>
        <v>sales record</v>
      </c>
      <c r="AC1420" t="s">
        <v>3</v>
      </c>
      <c r="AD1420">
        <v>41.796349</v>
      </c>
      <c r="AE1420">
        <v>-88.00813100000001</v>
      </c>
      <c r="AF1420" s="5" t="str">
        <f>HYPERLINK("https://www.google.com/maps/search/?api=1&amp;query=41.796349,-88.008131","map")</f>
        <v>map</v>
      </c>
    </row>
    <row r="1421" spans="1:32">
      <c r="A1421" t="s">
        <v>1471</v>
      </c>
      <c r="B1421" t="s">
        <v>9040</v>
      </c>
      <c r="C1421" t="s">
        <v>15277</v>
      </c>
      <c r="D1421" t="s">
        <v>16199</v>
      </c>
      <c r="E1421" t="s">
        <v>16217</v>
      </c>
      <c r="F1421" t="s">
        <v>16222</v>
      </c>
      <c r="G1421" t="s">
        <v>16242</v>
      </c>
      <c r="H1421" t="s">
        <v>16242</v>
      </c>
      <c r="I1421" t="s">
        <v>16318</v>
      </c>
      <c r="J1421" t="s">
        <v>16387</v>
      </c>
      <c r="K1421">
        <v>0.098</v>
      </c>
      <c r="L1421">
        <v>4256</v>
      </c>
      <c r="N1421" t="s">
        <v>16392</v>
      </c>
      <c r="O1421" s="4">
        <v>69403</v>
      </c>
      <c r="P1421" s="4">
        <v>0</v>
      </c>
      <c r="Q1421" s="4">
        <v>69403</v>
      </c>
      <c r="R1421" s="4">
        <v>208209</v>
      </c>
      <c r="S1421" t="s">
        <v>17777</v>
      </c>
      <c r="X1421" t="s">
        <v>3</v>
      </c>
      <c r="AA1421" s="5" t="str">
        <f>HYPERLINK("https://www.zillow.com/homes/5140-MAIN-ST-DOWNERS-GROVE-IL-60515_rb/","check listing")</f>
        <v>check listing</v>
      </c>
      <c r="AB1421" s="5" t="str">
        <f>HYPERLINK("https://propertylookup.dupagecounty.gov/Datalets/Datalet.aspx?UseSearch=no&amp;mode=sales&amp;pin=0908305028","sales record")</f>
        <v>sales record</v>
      </c>
      <c r="AC1421" t="s">
        <v>3</v>
      </c>
      <c r="AD1421">
        <v>41.793119</v>
      </c>
      <c r="AE1421">
        <v>-88.01123200000001</v>
      </c>
      <c r="AF1421" s="5" t="str">
        <f>HYPERLINK("https://www.google.com/maps/search/?api=1&amp;query=41.793119,-88.011232","map")</f>
        <v>map</v>
      </c>
    </row>
    <row r="1422" spans="1:32">
      <c r="A1422" t="s">
        <v>1472</v>
      </c>
      <c r="B1422" t="s">
        <v>9041</v>
      </c>
      <c r="C1422" t="s">
        <v>15277</v>
      </c>
      <c r="D1422" t="s">
        <v>16199</v>
      </c>
      <c r="E1422" t="s">
        <v>16217</v>
      </c>
      <c r="F1422" t="s">
        <v>16222</v>
      </c>
      <c r="G1422" t="s">
        <v>16246</v>
      </c>
      <c r="H1422" t="s">
        <v>16246</v>
      </c>
      <c r="I1422" t="s">
        <v>16322</v>
      </c>
      <c r="J1422" t="s">
        <v>16387</v>
      </c>
      <c r="K1422">
        <v>0.097</v>
      </c>
      <c r="L1422">
        <v>4241</v>
      </c>
      <c r="N1422" t="s">
        <v>16392</v>
      </c>
      <c r="O1422" s="4">
        <v>61316</v>
      </c>
      <c r="P1422" s="4">
        <v>0</v>
      </c>
      <c r="Q1422" s="4">
        <v>61316</v>
      </c>
      <c r="R1422" s="4">
        <v>183948</v>
      </c>
      <c r="S1422" t="s">
        <v>17778</v>
      </c>
      <c r="T1422" s="6">
        <v>36281</v>
      </c>
      <c r="U1422" s="4">
        <v>25000</v>
      </c>
      <c r="X1422" t="s">
        <v>3</v>
      </c>
      <c r="AA1422" s="5" t="str">
        <f>HYPERLINK("https://www.zillow.com/homes/5100-MAIN-ST-DOWNERS-GROVE-IL-60515_rb/","check listing")</f>
        <v>check listing</v>
      </c>
      <c r="AB1422" s="5" t="str">
        <f>HYPERLINK("https://propertylookup.dupagecounty.gov/Datalets/Datalet.aspx?UseSearch=no&amp;mode=sales&amp;pin=0908129009","sales record")</f>
        <v>sales record</v>
      </c>
      <c r="AC1422" t="s">
        <v>27872</v>
      </c>
      <c r="AD1422">
        <v>41.79465</v>
      </c>
      <c r="AE1422">
        <v>-88.010767</v>
      </c>
      <c r="AF1422" s="5" t="str">
        <f>HYPERLINK("https://www.google.com/maps/search/?api=1&amp;query=41.79465,-88.010767","map")</f>
        <v>map</v>
      </c>
    </row>
    <row r="1423" spans="1:32">
      <c r="A1423" t="s">
        <v>1473</v>
      </c>
      <c r="B1423" t="s">
        <v>9014</v>
      </c>
      <c r="C1423" t="s">
        <v>15277</v>
      </c>
      <c r="D1423" t="s">
        <v>16199</v>
      </c>
      <c r="E1423" t="s">
        <v>16217</v>
      </c>
      <c r="F1423" t="s">
        <v>16222</v>
      </c>
      <c r="G1423" t="s">
        <v>16244</v>
      </c>
      <c r="H1423" t="s">
        <v>16244</v>
      </c>
      <c r="I1423" t="s">
        <v>16320</v>
      </c>
      <c r="J1423" t="s">
        <v>16387</v>
      </c>
      <c r="K1423">
        <v>0.092</v>
      </c>
      <c r="L1423">
        <v>4024</v>
      </c>
      <c r="N1423" t="s">
        <v>16393</v>
      </c>
      <c r="O1423" s="4">
        <v>29343</v>
      </c>
      <c r="P1423" s="4">
        <v>0</v>
      </c>
      <c r="Q1423" s="4">
        <v>29343</v>
      </c>
      <c r="R1423" s="4">
        <v>88029</v>
      </c>
      <c r="S1423" t="s">
        <v>17756</v>
      </c>
      <c r="X1423" t="s">
        <v>3</v>
      </c>
      <c r="AA1423" s="5" t="str">
        <f>HYPERLINK("https://www.zillow.com/homes/5009-WILCOX-AVE-DOWNERS-GROVE-IL-60515_rb/","check listing")</f>
        <v>check listing</v>
      </c>
      <c r="AB1423" s="5" t="str">
        <f>HYPERLINK("https://propertylookup.dupagecounty.gov/Datalets/Datalet.aspx?UseSearch=no&amp;mode=sales&amp;pin=0909110016","sales record")</f>
        <v>sales record</v>
      </c>
      <c r="AC1423" t="s">
        <v>27872</v>
      </c>
      <c r="AD1423">
        <v>41.796115</v>
      </c>
      <c r="AE1423">
        <v>-87.992819</v>
      </c>
      <c r="AF1423" s="5" t="str">
        <f>HYPERLINK("https://www.google.com/maps/search/?api=1&amp;query=41.796115,-87.992819","map")</f>
        <v>map</v>
      </c>
    </row>
    <row r="1424" spans="1:32">
      <c r="A1424" t="s">
        <v>1474</v>
      </c>
      <c r="B1424" t="s">
        <v>9027</v>
      </c>
      <c r="C1424" t="s">
        <v>15277</v>
      </c>
      <c r="D1424" t="s">
        <v>16199</v>
      </c>
      <c r="E1424" t="s">
        <v>16217</v>
      </c>
      <c r="F1424" t="s">
        <v>16222</v>
      </c>
      <c r="G1424" t="s">
        <v>16245</v>
      </c>
      <c r="H1424" t="s">
        <v>16245</v>
      </c>
      <c r="I1424" t="s">
        <v>16321</v>
      </c>
      <c r="J1424" t="s">
        <v>16387</v>
      </c>
      <c r="K1424">
        <v>0.089</v>
      </c>
      <c r="L1424">
        <v>3882</v>
      </c>
      <c r="N1424" t="s">
        <v>16392</v>
      </c>
      <c r="O1424" s="4">
        <v>9754</v>
      </c>
      <c r="P1424" s="4">
        <v>0</v>
      </c>
      <c r="Q1424" s="4">
        <v>9754</v>
      </c>
      <c r="R1424" s="4">
        <v>29262</v>
      </c>
      <c r="S1424" t="s">
        <v>17768</v>
      </c>
      <c r="X1424" t="s">
        <v>3</v>
      </c>
      <c r="AA1424" s="5" t="str">
        <f>HYPERLINK("https://www.zillow.com/homes/340-BURLINGTON-AVE-DOWNERS-GROVE-IL-60515_rb/","check listing")</f>
        <v>check listing</v>
      </c>
      <c r="AB1424" s="5" t="str">
        <f>HYPERLINK("https://propertylookup.dupagecounty.gov/Datalets/Datalet.aspx?UseSearch=no&amp;mode=sales&amp;pin=0909109017","sales record")</f>
        <v>sales record</v>
      </c>
      <c r="AC1424" t="s">
        <v>27872</v>
      </c>
      <c r="AD1424">
        <v>41.795908</v>
      </c>
      <c r="AE1424">
        <v>-87.993439</v>
      </c>
      <c r="AF1424" s="5" t="str">
        <f>HYPERLINK("https://www.google.com/maps/search/?api=1&amp;query=41.795908,-87.993439","map")</f>
        <v>map</v>
      </c>
    </row>
    <row r="1425" spans="1:32">
      <c r="A1425" t="s">
        <v>1475</v>
      </c>
      <c r="B1425" t="s">
        <v>9032</v>
      </c>
      <c r="C1425" t="s">
        <v>15277</v>
      </c>
      <c r="D1425" t="s">
        <v>16199</v>
      </c>
      <c r="E1425" t="s">
        <v>16217</v>
      </c>
      <c r="F1425" t="s">
        <v>16222</v>
      </c>
      <c r="G1425" t="s">
        <v>16244</v>
      </c>
      <c r="H1425" t="s">
        <v>16244</v>
      </c>
      <c r="I1425" t="s">
        <v>16320</v>
      </c>
      <c r="J1425" t="s">
        <v>16387</v>
      </c>
      <c r="K1425">
        <v>0.082</v>
      </c>
      <c r="L1425">
        <v>3576</v>
      </c>
      <c r="N1425" t="s">
        <v>16393</v>
      </c>
      <c r="O1425" s="4">
        <v>8227</v>
      </c>
      <c r="P1425" s="4">
        <v>0</v>
      </c>
      <c r="Q1425" s="4">
        <v>8227</v>
      </c>
      <c r="R1425" s="4">
        <v>24681</v>
      </c>
      <c r="S1425" t="s">
        <v>17779</v>
      </c>
      <c r="X1425" t="s">
        <v>3</v>
      </c>
      <c r="AA1425" s="5" t="str">
        <f>HYPERLINK("https://www.zillow.com/homes/450-ROGERS-ST-DOWNERS-GROVE-IL-60515_rb/","check listing")</f>
        <v>check listing</v>
      </c>
      <c r="AB1425" s="5" t="str">
        <f>HYPERLINK("https://propertylookup.dupagecounty.gov/Datalets/Datalet.aspx?UseSearch=no&amp;mode=sales&amp;pin=0908225018","sales record")</f>
        <v>sales record</v>
      </c>
      <c r="AC1425" t="s">
        <v>3</v>
      </c>
      <c r="AD1425">
        <v>41.796972</v>
      </c>
      <c r="AE1425">
        <v>-87.996489</v>
      </c>
      <c r="AF1425" s="5" t="str">
        <f>HYPERLINK("https://www.google.com/maps/search/?api=1&amp;query=41.796972,-87.996489","map")</f>
        <v>map</v>
      </c>
    </row>
    <row r="1426" spans="1:32">
      <c r="A1426" t="s">
        <v>1476</v>
      </c>
      <c r="B1426" t="s">
        <v>9032</v>
      </c>
      <c r="C1426" t="s">
        <v>15277</v>
      </c>
      <c r="D1426" t="s">
        <v>16199</v>
      </c>
      <c r="E1426" t="s">
        <v>16217</v>
      </c>
      <c r="F1426" t="s">
        <v>16222</v>
      </c>
      <c r="G1426" t="s">
        <v>16244</v>
      </c>
      <c r="H1426" t="s">
        <v>16244</v>
      </c>
      <c r="I1426" t="s">
        <v>16320</v>
      </c>
      <c r="J1426" t="s">
        <v>16387</v>
      </c>
      <c r="K1426">
        <v>0.082</v>
      </c>
      <c r="L1426">
        <v>3575</v>
      </c>
      <c r="N1426" t="s">
        <v>16393</v>
      </c>
      <c r="O1426" s="4">
        <v>8227</v>
      </c>
      <c r="P1426" s="4">
        <v>0</v>
      </c>
      <c r="Q1426" s="4">
        <v>8227</v>
      </c>
      <c r="R1426" s="4">
        <v>24681</v>
      </c>
      <c r="S1426" t="s">
        <v>17779</v>
      </c>
      <c r="X1426" t="s">
        <v>3</v>
      </c>
      <c r="AA1426" s="5" t="str">
        <f>HYPERLINK("https://www.zillow.com/homes/450-ROGERS-ST-DOWNERS-GROVE-IL-60515_rb/","check listing")</f>
        <v>check listing</v>
      </c>
      <c r="AB1426" s="5" t="str">
        <f>HYPERLINK("https://propertylookup.dupagecounty.gov/Datalets/Datalet.aspx?UseSearch=no&amp;mode=sales&amp;pin=0908225017","sales record")</f>
        <v>sales record</v>
      </c>
      <c r="AC1426" t="s">
        <v>3</v>
      </c>
      <c r="AD1426">
        <v>41.79697</v>
      </c>
      <c r="AE1426">
        <v>-87.99657999999999</v>
      </c>
      <c r="AF1426" s="5" t="str">
        <f>HYPERLINK("https://www.google.com/maps/search/?api=1&amp;query=41.79697,-87.99658","map")</f>
        <v>map</v>
      </c>
    </row>
    <row r="1427" spans="1:32">
      <c r="A1427" t="s">
        <v>1477</v>
      </c>
      <c r="B1427" t="s">
        <v>9032</v>
      </c>
      <c r="C1427" t="s">
        <v>15277</v>
      </c>
      <c r="D1427" t="s">
        <v>16199</v>
      </c>
      <c r="E1427" t="s">
        <v>16217</v>
      </c>
      <c r="F1427" t="s">
        <v>16222</v>
      </c>
      <c r="G1427" t="s">
        <v>16244</v>
      </c>
      <c r="H1427" t="s">
        <v>16244</v>
      </c>
      <c r="I1427" t="s">
        <v>16320</v>
      </c>
      <c r="J1427" t="s">
        <v>16387</v>
      </c>
      <c r="K1427">
        <v>0.082</v>
      </c>
      <c r="L1427">
        <v>3575</v>
      </c>
      <c r="N1427" t="s">
        <v>16393</v>
      </c>
      <c r="O1427" s="4">
        <v>8227</v>
      </c>
      <c r="P1427" s="4">
        <v>0</v>
      </c>
      <c r="Q1427" s="4">
        <v>8227</v>
      </c>
      <c r="R1427" s="4">
        <v>24681</v>
      </c>
      <c r="S1427" t="s">
        <v>17779</v>
      </c>
      <c r="X1427" t="s">
        <v>3</v>
      </c>
      <c r="AA1427" s="5" t="str">
        <f>HYPERLINK("https://www.zillow.com/homes/450-ROGERS-ST-DOWNERS-GROVE-IL-60515_rb/","check listing")</f>
        <v>check listing</v>
      </c>
      <c r="AB1427" s="5" t="str">
        <f>HYPERLINK("https://propertylookup.dupagecounty.gov/Datalets/Datalet.aspx?UseSearch=no&amp;mode=sales&amp;pin=0908225016","sales record")</f>
        <v>sales record</v>
      </c>
      <c r="AC1427" t="s">
        <v>3</v>
      </c>
      <c r="AD1427">
        <v>41.796968</v>
      </c>
      <c r="AE1427">
        <v>-87.996672</v>
      </c>
      <c r="AF1427" s="5" t="str">
        <f>HYPERLINK("https://www.google.com/maps/search/?api=1&amp;query=41.796968,-87.996672","map")</f>
        <v>map</v>
      </c>
    </row>
    <row r="1428" spans="1:32">
      <c r="A1428" t="s">
        <v>1478</v>
      </c>
      <c r="B1428" t="s">
        <v>9042</v>
      </c>
      <c r="C1428" t="s">
        <v>15277</v>
      </c>
      <c r="D1428" t="s">
        <v>16199</v>
      </c>
      <c r="E1428" t="s">
        <v>16217</v>
      </c>
      <c r="F1428" t="s">
        <v>16222</v>
      </c>
      <c r="G1428" t="s">
        <v>16243</v>
      </c>
      <c r="H1428" t="s">
        <v>16243</v>
      </c>
      <c r="I1428" t="s">
        <v>16319</v>
      </c>
      <c r="J1428" t="s">
        <v>16387</v>
      </c>
      <c r="K1428">
        <v>0.079</v>
      </c>
      <c r="L1428">
        <v>3437</v>
      </c>
      <c r="N1428" t="s">
        <v>16392</v>
      </c>
      <c r="O1428" s="4">
        <v>57407</v>
      </c>
      <c r="P1428" s="4">
        <v>0</v>
      </c>
      <c r="Q1428" s="4">
        <v>57407</v>
      </c>
      <c r="R1428" s="4">
        <v>172221</v>
      </c>
      <c r="S1428" t="s">
        <v>17780</v>
      </c>
      <c r="X1428" t="s">
        <v>3</v>
      </c>
      <c r="AA1428" s="5" t="str">
        <f>HYPERLINK("https://www.zillow.com/homes/5216-MAIN-ST-DOWNERS-GROVE-IL-60515_rb/","check listing")</f>
        <v>check listing</v>
      </c>
      <c r="AB1428" s="5" t="str">
        <f>HYPERLINK("https://propertylookup.dupagecounty.gov/Datalets/Datalet.aspx?UseSearch=no&amp;mode=sales&amp;pin=0908310040","sales record")</f>
        <v>sales record</v>
      </c>
      <c r="AC1428" t="s">
        <v>3</v>
      </c>
      <c r="AD1428">
        <v>41.791857</v>
      </c>
      <c r="AE1428">
        <v>-88.01067999999999</v>
      </c>
      <c r="AF1428" s="5" t="str">
        <f>HYPERLINK("https://www.google.com/maps/search/?api=1&amp;query=41.791857,-88.01068","map")</f>
        <v>map</v>
      </c>
    </row>
    <row r="1429" spans="1:32">
      <c r="A1429" t="s">
        <v>1479</v>
      </c>
      <c r="B1429" t="s">
        <v>9043</v>
      </c>
      <c r="C1429" t="s">
        <v>15277</v>
      </c>
      <c r="D1429" t="s">
        <v>16199</v>
      </c>
      <c r="E1429" t="s">
        <v>16217</v>
      </c>
      <c r="F1429" t="s">
        <v>16222</v>
      </c>
      <c r="G1429" t="s">
        <v>16245</v>
      </c>
      <c r="H1429" t="s">
        <v>16245</v>
      </c>
      <c r="I1429" t="s">
        <v>16321</v>
      </c>
      <c r="J1429" t="s">
        <v>16387</v>
      </c>
      <c r="K1429">
        <v>0.073</v>
      </c>
      <c r="L1429">
        <v>3190</v>
      </c>
      <c r="N1429" t="s">
        <v>16392</v>
      </c>
      <c r="O1429" s="4">
        <v>15423</v>
      </c>
      <c r="P1429" s="4">
        <v>0</v>
      </c>
      <c r="Q1429" s="4">
        <v>15423</v>
      </c>
      <c r="R1429" s="4">
        <v>46269</v>
      </c>
      <c r="S1429" t="s">
        <v>17781</v>
      </c>
      <c r="X1429" t="s">
        <v>3</v>
      </c>
      <c r="AA1429" s="5" t="str">
        <f>HYPERLINK("https://www.zillow.com/homes/433-MAPLE-AVE-DOWNERS-GROVE-IL-60515_rb/","check listing")</f>
        <v>check listing</v>
      </c>
      <c r="AB1429" s="5" t="str">
        <f>HYPERLINK("https://propertylookup.dupagecounty.gov/Datalets/Datalet.aspx?UseSearch=no&amp;mode=sales&amp;pin=0908227008","sales record")</f>
        <v>sales record</v>
      </c>
      <c r="AC1429" t="s">
        <v>27872</v>
      </c>
      <c r="AD1429">
        <v>41.795743</v>
      </c>
      <c r="AE1429">
        <v>-87.996962</v>
      </c>
      <c r="AF1429" s="5" t="str">
        <f>HYPERLINK("https://www.google.com/maps/search/?api=1&amp;query=41.795743,-87.996962","map")</f>
        <v>map</v>
      </c>
    </row>
    <row r="1430" spans="1:32">
      <c r="A1430" t="s">
        <v>1480</v>
      </c>
      <c r="B1430" t="s">
        <v>9044</v>
      </c>
      <c r="C1430" t="s">
        <v>15277</v>
      </c>
      <c r="D1430" t="s">
        <v>16199</v>
      </c>
      <c r="E1430" t="s">
        <v>16217</v>
      </c>
      <c r="F1430" t="s">
        <v>16222</v>
      </c>
      <c r="G1430" t="s">
        <v>16242</v>
      </c>
      <c r="H1430" t="s">
        <v>16242</v>
      </c>
      <c r="I1430" t="s">
        <v>16318</v>
      </c>
      <c r="J1430" t="s">
        <v>16387</v>
      </c>
      <c r="K1430">
        <v>0.066</v>
      </c>
      <c r="L1430">
        <v>2876</v>
      </c>
      <c r="N1430" t="s">
        <v>16393</v>
      </c>
      <c r="O1430" s="4">
        <v>7664</v>
      </c>
      <c r="P1430" s="4">
        <v>0</v>
      </c>
      <c r="Q1430" s="4">
        <v>7664</v>
      </c>
      <c r="R1430" s="4">
        <v>22992</v>
      </c>
      <c r="S1430" t="s">
        <v>17782</v>
      </c>
      <c r="T1430" s="6">
        <v>36373</v>
      </c>
      <c r="U1430" s="4">
        <v>180000</v>
      </c>
      <c r="X1430" t="s">
        <v>3</v>
      </c>
      <c r="AA1430" s="5" t="str">
        <f>HYPERLINK("https://www.zillow.com/homes/942-SUMMIT-ST-DOWNERS-GROVE-IL-60515_rb/","check listing")</f>
        <v>check listing</v>
      </c>
      <c r="AB1430" s="5" t="str">
        <f>HYPERLINK("https://propertylookup.dupagecounty.gov/Datalets/Datalet.aspx?UseSearch=no&amp;mode=sales&amp;pin=0908314025","sales record")</f>
        <v>sales record</v>
      </c>
      <c r="AC1430" t="s">
        <v>27872</v>
      </c>
      <c r="AD1430">
        <v>41.790033</v>
      </c>
      <c r="AE1430">
        <v>-88.00870399999999</v>
      </c>
      <c r="AF1430" s="5" t="str">
        <f>HYPERLINK("https://www.google.com/maps/search/?api=1&amp;query=41.790033,-88.008704","map")</f>
        <v>map</v>
      </c>
    </row>
    <row r="1431" spans="1:32">
      <c r="A1431" t="s">
        <v>1481</v>
      </c>
      <c r="B1431" t="s">
        <v>9042</v>
      </c>
      <c r="C1431" t="s">
        <v>15277</v>
      </c>
      <c r="D1431" t="s">
        <v>16199</v>
      </c>
      <c r="E1431" t="s">
        <v>16217</v>
      </c>
      <c r="F1431" t="s">
        <v>16222</v>
      </c>
      <c r="G1431" t="s">
        <v>16243</v>
      </c>
      <c r="H1431" t="s">
        <v>16243</v>
      </c>
      <c r="I1431" t="s">
        <v>16319</v>
      </c>
      <c r="J1431" t="s">
        <v>16387</v>
      </c>
      <c r="K1431">
        <v>0.066</v>
      </c>
      <c r="L1431">
        <v>2875</v>
      </c>
      <c r="N1431" t="s">
        <v>16392</v>
      </c>
      <c r="O1431" s="4">
        <v>54849</v>
      </c>
      <c r="P1431" s="4">
        <v>0</v>
      </c>
      <c r="Q1431" s="4">
        <v>54849</v>
      </c>
      <c r="R1431" s="4">
        <v>164547</v>
      </c>
      <c r="S1431" t="s">
        <v>17780</v>
      </c>
      <c r="T1431" s="6">
        <v>34366</v>
      </c>
      <c r="U1431" s="4">
        <v>400000</v>
      </c>
      <c r="X1431" t="s">
        <v>3</v>
      </c>
      <c r="AA1431" s="5" t="str">
        <f>HYPERLINK("https://www.zillow.com/homes/5216-MAIN-ST-DOWNERS-GROVE-IL-60515_rb/","check listing")</f>
        <v>check listing</v>
      </c>
      <c r="AB1431" s="5" t="str">
        <f>HYPERLINK("https://propertylookup.dupagecounty.gov/Datalets/Datalet.aspx?UseSearch=no&amp;mode=sales&amp;pin=0908310039","sales record")</f>
        <v>sales record</v>
      </c>
      <c r="AC1431" t="s">
        <v>3</v>
      </c>
      <c r="AD1431">
        <v>41.792009</v>
      </c>
      <c r="AE1431">
        <v>-88.01064700000001</v>
      </c>
      <c r="AF1431" s="5" t="str">
        <f>HYPERLINK("https://www.google.com/maps/search/?api=1&amp;query=41.792009,-88.010647","map")</f>
        <v>map</v>
      </c>
    </row>
    <row r="1432" spans="1:32">
      <c r="A1432" t="s">
        <v>1482</v>
      </c>
      <c r="B1432" t="s">
        <v>9045</v>
      </c>
      <c r="C1432" t="s">
        <v>15277</v>
      </c>
      <c r="D1432" t="s">
        <v>16199</v>
      </c>
      <c r="E1432" t="s">
        <v>16218</v>
      </c>
      <c r="F1432" t="s">
        <v>16220</v>
      </c>
      <c r="G1432" t="s">
        <v>16248</v>
      </c>
      <c r="H1432" t="s">
        <v>16248</v>
      </c>
      <c r="I1432" t="s">
        <v>16324</v>
      </c>
      <c r="J1432" t="s">
        <v>16387</v>
      </c>
      <c r="K1432">
        <v>0.382</v>
      </c>
      <c r="L1432">
        <v>16655</v>
      </c>
      <c r="M1432">
        <v>850</v>
      </c>
      <c r="N1432" t="s">
        <v>16393</v>
      </c>
      <c r="O1432" s="4">
        <v>47513</v>
      </c>
      <c r="P1432" s="4">
        <v>74861</v>
      </c>
      <c r="Q1432" s="4">
        <v>122374</v>
      </c>
      <c r="R1432" s="4">
        <v>367122</v>
      </c>
      <c r="S1432" t="s">
        <v>17783</v>
      </c>
      <c r="T1432" s="6">
        <v>42370</v>
      </c>
      <c r="U1432" s="4">
        <v>367000</v>
      </c>
      <c r="V1432" t="s">
        <v>23739</v>
      </c>
      <c r="W1432" t="s">
        <v>24434</v>
      </c>
      <c r="X1432" t="s">
        <v>3</v>
      </c>
      <c r="AA1432" s="5" t="str">
        <f>HYPERLINK("https://www.zillow.com/homes/4326-FLORENCE-AVE-DOWNERS-GROVE-IL-60515_rb/","check listing")</f>
        <v>check listing</v>
      </c>
      <c r="AB1432" s="5" t="str">
        <f>HYPERLINK("https://propertylookup.dupagecounty.gov/Datalets/Datalet.aspx?UseSearch=no&amp;mode=sales&amp;pin=0904300031","sales record")</f>
        <v>sales record</v>
      </c>
      <c r="AC1432" t="s">
        <v>3</v>
      </c>
      <c r="AD1432">
        <v>41.808475</v>
      </c>
      <c r="AE1432">
        <v>-87.993779</v>
      </c>
      <c r="AF1432" s="5" t="str">
        <f>HYPERLINK("https://www.google.com/maps/search/?api=1&amp;query=41.808475,-87.993779","map")</f>
        <v>map</v>
      </c>
    </row>
    <row r="1433" spans="1:32">
      <c r="A1433" t="s">
        <v>1483</v>
      </c>
      <c r="B1433" t="s">
        <v>9046</v>
      </c>
      <c r="C1433" t="s">
        <v>15300</v>
      </c>
      <c r="D1433" t="s">
        <v>16199</v>
      </c>
      <c r="E1433" t="s">
        <v>16218</v>
      </c>
      <c r="F1433" t="s">
        <v>16220</v>
      </c>
      <c r="G1433" t="s">
        <v>16248</v>
      </c>
      <c r="H1433" t="s">
        <v>16248</v>
      </c>
      <c r="I1433" t="s">
        <v>16324</v>
      </c>
      <c r="J1433" t="s">
        <v>16387</v>
      </c>
      <c r="K1433">
        <v>0.372</v>
      </c>
      <c r="L1433">
        <v>16183</v>
      </c>
      <c r="M1433">
        <v>1409</v>
      </c>
      <c r="N1433" t="s">
        <v>16393</v>
      </c>
      <c r="O1433" s="4">
        <v>17676</v>
      </c>
      <c r="P1433" s="4">
        <v>61632</v>
      </c>
      <c r="Q1433" s="4">
        <v>79308</v>
      </c>
      <c r="R1433" s="4">
        <v>237924</v>
      </c>
      <c r="S1433" t="s">
        <v>17784</v>
      </c>
      <c r="T1433" s="6">
        <v>45820</v>
      </c>
      <c r="U1433" s="4">
        <v>300000</v>
      </c>
      <c r="V1433" t="s">
        <v>23739</v>
      </c>
      <c r="W1433" t="s">
        <v>24435</v>
      </c>
      <c r="X1433" t="s">
        <v>3</v>
      </c>
      <c r="AA1433" s="5" t="str">
        <f>HYPERLINK("https://www.zillow.com/homes/417-2ND-ST-DOWNERS-GROVE-IL-605155281_rb/","check listing")</f>
        <v>check listing</v>
      </c>
      <c r="AB1433" s="5" t="str">
        <f>HYPERLINK("https://propertylookup.dupagecounty.gov/Datalets/Datalet.aspx?UseSearch=no&amp;mode=sales&amp;pin=0908411026","sales record")</f>
        <v>sales record</v>
      </c>
      <c r="AC1433" t="s">
        <v>3</v>
      </c>
      <c r="AD1433">
        <v>41.793874</v>
      </c>
      <c r="AE1433">
        <v>-87.995696</v>
      </c>
      <c r="AF1433" s="5" t="str">
        <f>HYPERLINK("https://www.google.com/maps/search/?api=1&amp;query=41.793874,-87.995696","map")</f>
        <v>map</v>
      </c>
    </row>
    <row r="1434" spans="1:32">
      <c r="A1434" t="s">
        <v>1484</v>
      </c>
      <c r="B1434" t="s">
        <v>9047</v>
      </c>
      <c r="C1434" t="s">
        <v>15301</v>
      </c>
      <c r="D1434" t="s">
        <v>16199</v>
      </c>
      <c r="E1434" t="s">
        <v>16218</v>
      </c>
      <c r="F1434" t="s">
        <v>16220</v>
      </c>
      <c r="G1434" t="s">
        <v>16248</v>
      </c>
      <c r="H1434" t="s">
        <v>16248</v>
      </c>
      <c r="I1434" t="s">
        <v>16324</v>
      </c>
      <c r="J1434" t="s">
        <v>16387</v>
      </c>
      <c r="K1434">
        <v>0.313</v>
      </c>
      <c r="L1434">
        <v>13628</v>
      </c>
      <c r="M1434">
        <v>6070</v>
      </c>
      <c r="N1434" t="s">
        <v>16393</v>
      </c>
      <c r="O1434" s="4">
        <v>61254</v>
      </c>
      <c r="P1434" s="4">
        <v>381329</v>
      </c>
      <c r="Q1434" s="4">
        <v>442583</v>
      </c>
      <c r="R1434" s="4">
        <v>1327749</v>
      </c>
      <c r="S1434" t="s">
        <v>17785</v>
      </c>
      <c r="T1434" s="6">
        <v>43831</v>
      </c>
      <c r="U1434" s="4">
        <v>1390000</v>
      </c>
      <c r="V1434" t="s">
        <v>23739</v>
      </c>
      <c r="W1434" t="s">
        <v>17785</v>
      </c>
      <c r="X1434" t="s">
        <v>3</v>
      </c>
      <c r="AA1434" s="5" t="str">
        <f>HYPERLINK("https://www.zillow.com/homes/4831-BELMONT-RD-DOWNERS-GROVE-IL-605153210_rb/","check listing")</f>
        <v>check listing</v>
      </c>
      <c r="AB1434" s="5" t="str">
        <f>HYPERLINK("https://propertylookup.dupagecounty.gov/Datalets/Datalet.aspx?UseSearch=no&amp;mode=sales&amp;pin=0812212009","sales record")</f>
        <v>sales record</v>
      </c>
      <c r="AC1434" t="s">
        <v>3</v>
      </c>
      <c r="AD1434">
        <v>41.79794</v>
      </c>
      <c r="AE1434">
        <v>-88.036777</v>
      </c>
      <c r="AF1434" s="5" t="str">
        <f>HYPERLINK("https://www.google.com/maps/search/?api=1&amp;query=41.79794,-88.036777","map")</f>
        <v>map</v>
      </c>
    </row>
    <row r="1435" spans="1:32">
      <c r="A1435" t="s">
        <v>1485</v>
      </c>
      <c r="B1435" t="s">
        <v>9048</v>
      </c>
      <c r="C1435" t="s">
        <v>15302</v>
      </c>
      <c r="D1435" t="s">
        <v>16199</v>
      </c>
      <c r="E1435" t="s">
        <v>16218</v>
      </c>
      <c r="F1435" t="s">
        <v>16220</v>
      </c>
      <c r="G1435" t="s">
        <v>16248</v>
      </c>
      <c r="H1435" t="s">
        <v>16248</v>
      </c>
      <c r="I1435" t="s">
        <v>16324</v>
      </c>
      <c r="J1435" t="s">
        <v>16387</v>
      </c>
      <c r="K1435">
        <v>0.302</v>
      </c>
      <c r="L1435">
        <v>13153</v>
      </c>
      <c r="M1435">
        <v>2118</v>
      </c>
      <c r="N1435" t="s">
        <v>16393</v>
      </c>
      <c r="O1435" s="4">
        <v>61480</v>
      </c>
      <c r="P1435" s="4">
        <v>43886</v>
      </c>
      <c r="Q1435" s="4">
        <v>105366</v>
      </c>
      <c r="R1435" s="4">
        <v>316098</v>
      </c>
      <c r="S1435" t="s">
        <v>17786</v>
      </c>
      <c r="T1435" s="6">
        <v>45335</v>
      </c>
      <c r="U1435" s="4">
        <v>255000</v>
      </c>
      <c r="V1435" t="s">
        <v>23739</v>
      </c>
      <c r="W1435" t="s">
        <v>24436</v>
      </c>
      <c r="X1435" t="s">
        <v>3</v>
      </c>
      <c r="AA1435" s="5" t="str">
        <f>HYPERLINK("https://www.zillow.com/homes/5005-FLORENCE-AVE-DOWNERS-GROVE-IL-605153931_rb/","check listing")</f>
        <v>check listing</v>
      </c>
      <c r="AB1435" s="5" t="str">
        <f>HYPERLINK("https://propertylookup.dupagecounty.gov/Datalets/Datalet.aspx?UseSearch=no&amp;mode=sales&amp;pin=0909111009","sales record")</f>
        <v>sales record</v>
      </c>
      <c r="AC1435" t="s">
        <v>3</v>
      </c>
      <c r="AD1435">
        <v>41.796496</v>
      </c>
      <c r="AE1435">
        <v>-87.99126099999999</v>
      </c>
      <c r="AF1435" s="5" t="str">
        <f>HYPERLINK("https://www.google.com/maps/search/?api=1&amp;query=41.796496,-87.991261","map")</f>
        <v>map</v>
      </c>
    </row>
    <row r="1436" spans="1:32">
      <c r="A1436" t="s">
        <v>1486</v>
      </c>
      <c r="B1436" t="s">
        <v>9049</v>
      </c>
      <c r="C1436" t="s">
        <v>15303</v>
      </c>
      <c r="D1436" t="s">
        <v>16199</v>
      </c>
      <c r="E1436" t="s">
        <v>16218</v>
      </c>
      <c r="F1436" t="s">
        <v>16220</v>
      </c>
      <c r="G1436" t="s">
        <v>16248</v>
      </c>
      <c r="H1436" t="s">
        <v>16248</v>
      </c>
      <c r="I1436" t="s">
        <v>16324</v>
      </c>
      <c r="J1436" t="s">
        <v>16387</v>
      </c>
      <c r="K1436">
        <v>0.194</v>
      </c>
      <c r="L1436">
        <v>8458</v>
      </c>
      <c r="M1436">
        <v>1076</v>
      </c>
      <c r="N1436" t="s">
        <v>16393</v>
      </c>
      <c r="O1436" s="4">
        <v>82126</v>
      </c>
      <c r="P1436" s="4">
        <v>151787</v>
      </c>
      <c r="Q1436" s="4">
        <v>233913</v>
      </c>
      <c r="R1436" s="4">
        <v>701739</v>
      </c>
      <c r="S1436" t="s">
        <v>17787</v>
      </c>
      <c r="T1436" s="6">
        <v>42461</v>
      </c>
      <c r="U1436" s="4">
        <v>70000</v>
      </c>
      <c r="V1436" t="s">
        <v>23739</v>
      </c>
      <c r="W1436" t="s">
        <v>24437</v>
      </c>
      <c r="X1436" t="s">
        <v>3</v>
      </c>
      <c r="AA1436" s="5" t="str">
        <f>HYPERLINK("https://www.zillow.com/homes/4943-HIGHLAND-AVE-DOWNERS-GROVE-IL-605153627_rb/","check listing")</f>
        <v>check listing</v>
      </c>
      <c r="AB1436" s="5" t="str">
        <f>HYPERLINK("https://propertylookup.dupagecounty.gov/Datalets/Datalet.aspx?UseSearch=no&amp;mode=sales&amp;pin=0908118008","sales record")</f>
        <v>sales record</v>
      </c>
      <c r="AC1436" t="s">
        <v>3</v>
      </c>
      <c r="AD1436">
        <v>41.796901</v>
      </c>
      <c r="AE1436">
        <v>-88.008967</v>
      </c>
      <c r="AF1436" s="5" t="str">
        <f>HYPERLINK("https://www.google.com/maps/search/?api=1&amp;query=41.796901,-88.008967","map")</f>
        <v>map</v>
      </c>
    </row>
    <row r="1437" spans="1:32">
      <c r="A1437" t="s">
        <v>1487</v>
      </c>
      <c r="B1437" t="s">
        <v>9050</v>
      </c>
      <c r="C1437" t="s">
        <v>15277</v>
      </c>
      <c r="D1437" t="s">
        <v>16199</v>
      </c>
      <c r="E1437" t="s">
        <v>16218</v>
      </c>
      <c r="F1437" t="s">
        <v>16220</v>
      </c>
      <c r="G1437" t="s">
        <v>16248</v>
      </c>
      <c r="H1437" t="s">
        <v>16248</v>
      </c>
      <c r="I1437" t="s">
        <v>16324</v>
      </c>
      <c r="J1437" t="s">
        <v>16387</v>
      </c>
      <c r="K1437">
        <v>0.184</v>
      </c>
      <c r="L1437">
        <v>8015</v>
      </c>
      <c r="M1437">
        <v>2010</v>
      </c>
      <c r="N1437" t="s">
        <v>16393</v>
      </c>
      <c r="O1437" s="4">
        <v>41145</v>
      </c>
      <c r="P1437" s="4">
        <v>56438</v>
      </c>
      <c r="Q1437" s="4">
        <v>97583</v>
      </c>
      <c r="R1437" s="4">
        <v>292749</v>
      </c>
      <c r="S1437" t="s">
        <v>17788</v>
      </c>
      <c r="T1437" s="6">
        <v>34121</v>
      </c>
      <c r="U1437" s="4">
        <v>128155</v>
      </c>
      <c r="X1437" t="s">
        <v>3</v>
      </c>
      <c r="AA1437" s="5" t="str">
        <f>HYPERLINK("https://www.zillow.com/homes/2320-BURLINGTON-AVE-DOWNERS-GROVE-IL-60515_rb/","check listing")</f>
        <v>check listing</v>
      </c>
      <c r="AB1437" s="5" t="str">
        <f>HYPERLINK("https://propertylookup.dupagecounty.gov/Datalets/Datalet.aspx?UseSearch=no&amp;mode=sales&amp;pin=0812209018","sales record")</f>
        <v>sales record</v>
      </c>
      <c r="AC1437" t="s">
        <v>3</v>
      </c>
      <c r="AD1437">
        <v>41.796193</v>
      </c>
      <c r="AE1437">
        <v>-88.041173</v>
      </c>
      <c r="AF1437" s="5" t="str">
        <f>HYPERLINK("https://www.google.com/maps/search/?api=1&amp;query=41.796193,-88.041173","map")</f>
        <v>map</v>
      </c>
    </row>
    <row r="1438" spans="1:32">
      <c r="A1438" t="s">
        <v>1488</v>
      </c>
      <c r="B1438" t="s">
        <v>9051</v>
      </c>
      <c r="C1438" t="s">
        <v>15304</v>
      </c>
      <c r="D1438" t="s">
        <v>16199</v>
      </c>
      <c r="E1438" t="s">
        <v>16218</v>
      </c>
      <c r="F1438" t="s">
        <v>16220</v>
      </c>
      <c r="G1438" t="s">
        <v>16248</v>
      </c>
      <c r="H1438" t="s">
        <v>16248</v>
      </c>
      <c r="I1438" t="s">
        <v>16324</v>
      </c>
      <c r="J1438" t="s">
        <v>16387</v>
      </c>
      <c r="K1438">
        <v>0.181</v>
      </c>
      <c r="L1438">
        <v>7872</v>
      </c>
      <c r="M1438">
        <v>2447</v>
      </c>
      <c r="N1438" t="s">
        <v>16393</v>
      </c>
      <c r="O1438" s="4">
        <v>75612</v>
      </c>
      <c r="P1438" s="4">
        <v>258445</v>
      </c>
      <c r="Q1438" s="4">
        <v>334057</v>
      </c>
      <c r="R1438" s="4">
        <v>1002171</v>
      </c>
      <c r="S1438" t="s">
        <v>17789</v>
      </c>
      <c r="T1438" s="6">
        <v>44740</v>
      </c>
      <c r="U1438" s="4">
        <v>825000</v>
      </c>
      <c r="V1438" t="s">
        <v>23741</v>
      </c>
      <c r="W1438" t="s">
        <v>24438</v>
      </c>
      <c r="X1438" t="s">
        <v>3</v>
      </c>
      <c r="AA1438" s="5" t="str">
        <f>HYPERLINK("https://www.zillow.com/homes/4932-WASHINGTON-ST-DOWNERS-GROVE-IL-605153752_rb/","check listing")</f>
        <v>check listing</v>
      </c>
      <c r="AB1438" s="5" t="str">
        <f>HYPERLINK("https://propertylookup.dupagecounty.gov/Datalets/Datalet.aspx?UseSearch=no&amp;mode=sales&amp;pin=0908119020","sales record")</f>
        <v>sales record</v>
      </c>
      <c r="AC1438" t="s">
        <v>3</v>
      </c>
      <c r="AD1438">
        <v>41.796985</v>
      </c>
      <c r="AE1438">
        <v>-88.007291</v>
      </c>
      <c r="AF1438" s="5" t="str">
        <f>HYPERLINK("https://www.google.com/maps/search/?api=1&amp;query=41.796985,-88.007291","map")</f>
        <v>map</v>
      </c>
    </row>
    <row r="1439" spans="1:32">
      <c r="A1439" t="s">
        <v>1489</v>
      </c>
      <c r="B1439" t="s">
        <v>9052</v>
      </c>
      <c r="C1439" t="s">
        <v>15305</v>
      </c>
      <c r="D1439" t="s">
        <v>16199</v>
      </c>
      <c r="E1439" t="s">
        <v>16218</v>
      </c>
      <c r="F1439" t="s">
        <v>16220</v>
      </c>
      <c r="G1439" t="s">
        <v>16248</v>
      </c>
      <c r="H1439" t="s">
        <v>16248</v>
      </c>
      <c r="I1439" t="s">
        <v>16324</v>
      </c>
      <c r="J1439" t="s">
        <v>16387</v>
      </c>
      <c r="K1439">
        <v>0.175</v>
      </c>
      <c r="L1439">
        <v>7611</v>
      </c>
      <c r="M1439">
        <v>1053</v>
      </c>
      <c r="N1439" t="s">
        <v>16393</v>
      </c>
      <c r="O1439" s="4">
        <v>84416</v>
      </c>
      <c r="P1439" s="4">
        <v>95518</v>
      </c>
      <c r="Q1439" s="4">
        <v>179934</v>
      </c>
      <c r="R1439" s="4">
        <v>539802</v>
      </c>
      <c r="S1439" t="s">
        <v>17790</v>
      </c>
      <c r="T1439" s="6">
        <v>46009</v>
      </c>
      <c r="U1439" s="4">
        <v>383000</v>
      </c>
      <c r="V1439" t="s">
        <v>16232</v>
      </c>
      <c r="W1439" t="s">
        <v>24439</v>
      </c>
      <c r="X1439" t="s">
        <v>3</v>
      </c>
      <c r="AA1439" s="5" t="str">
        <f>HYPERLINK("https://www.zillow.com/homes/4343-LINSCOTT-AVE-DOWNERS-GROVE-IL-605152745_rb/","check listing")</f>
        <v>check listing</v>
      </c>
      <c r="AB1439" s="5" t="str">
        <f>HYPERLINK("https://propertylookup.dupagecounty.gov/Datalets/Datalet.aspx?UseSearch=no&amp;mode=sales&amp;pin=0906408006","sales record")</f>
        <v>sales record</v>
      </c>
      <c r="AC1439" t="s">
        <v>3</v>
      </c>
      <c r="AD1439">
        <v>41.807473</v>
      </c>
      <c r="AE1439">
        <v>-88.01558</v>
      </c>
      <c r="AF1439" s="5" t="str">
        <f>HYPERLINK("https://www.google.com/maps/search/?api=1&amp;query=41.807473,-88.01558","map")</f>
        <v>map</v>
      </c>
    </row>
    <row r="1440" spans="1:32">
      <c r="A1440" t="s">
        <v>1490</v>
      </c>
      <c r="B1440" t="s">
        <v>9053</v>
      </c>
      <c r="C1440" t="s">
        <v>15305</v>
      </c>
      <c r="D1440" t="s">
        <v>16199</v>
      </c>
      <c r="E1440" t="s">
        <v>16218</v>
      </c>
      <c r="F1440" t="s">
        <v>16220</v>
      </c>
      <c r="G1440" t="s">
        <v>16248</v>
      </c>
      <c r="H1440" t="s">
        <v>16248</v>
      </c>
      <c r="I1440" t="s">
        <v>16324</v>
      </c>
      <c r="J1440" t="s">
        <v>16387</v>
      </c>
      <c r="K1440">
        <v>0.175</v>
      </c>
      <c r="L1440">
        <v>7610</v>
      </c>
      <c r="M1440">
        <v>942</v>
      </c>
      <c r="N1440" t="s">
        <v>16393</v>
      </c>
      <c r="O1440" s="4">
        <v>84486</v>
      </c>
      <c r="P1440" s="4">
        <v>149804</v>
      </c>
      <c r="Q1440" s="4">
        <v>234290</v>
      </c>
      <c r="R1440" s="4">
        <v>702870</v>
      </c>
      <c r="S1440" t="s">
        <v>17791</v>
      </c>
      <c r="T1440" s="6">
        <v>44256</v>
      </c>
      <c r="U1440" s="4">
        <v>400000</v>
      </c>
      <c r="V1440" t="s">
        <v>23739</v>
      </c>
      <c r="W1440" t="s">
        <v>24440</v>
      </c>
      <c r="X1440" t="s">
        <v>3</v>
      </c>
      <c r="AA1440" s="5" t="str">
        <f>HYPERLINK("https://www.zillow.com/homes/4339-LINSCOTT-AVE-DOWNERS-GROVE-IL-605152745_rb/","check listing")</f>
        <v>check listing</v>
      </c>
      <c r="AB1440" s="5" t="str">
        <f>HYPERLINK("https://propertylookup.dupagecounty.gov/Datalets/Datalet.aspx?UseSearch=no&amp;mode=sales&amp;pin=0906408005","sales record")</f>
        <v>sales record</v>
      </c>
      <c r="AC1440" t="s">
        <v>3</v>
      </c>
      <c r="AD1440">
        <v>41.807631</v>
      </c>
      <c r="AE1440">
        <v>-88.015586</v>
      </c>
      <c r="AF1440" s="5" t="str">
        <f>HYPERLINK("https://www.google.com/maps/search/?api=1&amp;query=41.807631,-88.015586","map")</f>
        <v>map</v>
      </c>
    </row>
    <row r="1441" spans="1:32">
      <c r="A1441" t="s">
        <v>1491</v>
      </c>
      <c r="B1441" t="s">
        <v>9054</v>
      </c>
      <c r="C1441" t="s">
        <v>15277</v>
      </c>
      <c r="D1441" t="s">
        <v>16199</v>
      </c>
      <c r="E1441" t="s">
        <v>16218</v>
      </c>
      <c r="F1441" t="s">
        <v>16220</v>
      </c>
      <c r="G1441" t="s">
        <v>16248</v>
      </c>
      <c r="H1441" t="s">
        <v>16248</v>
      </c>
      <c r="I1441" t="s">
        <v>16324</v>
      </c>
      <c r="J1441" t="s">
        <v>16387</v>
      </c>
      <c r="K1441">
        <v>0.175</v>
      </c>
      <c r="L1441">
        <v>7605</v>
      </c>
      <c r="M1441">
        <v>1483</v>
      </c>
      <c r="N1441" t="s">
        <v>16393</v>
      </c>
      <c r="O1441" s="4">
        <v>76035</v>
      </c>
      <c r="P1441" s="4">
        <v>66844</v>
      </c>
      <c r="Q1441" s="4">
        <v>142879</v>
      </c>
      <c r="R1441" s="4">
        <v>428637</v>
      </c>
      <c r="S1441" t="s">
        <v>17792</v>
      </c>
      <c r="T1441" s="6">
        <v>31809</v>
      </c>
      <c r="U1441" s="4">
        <v>77500</v>
      </c>
      <c r="X1441" t="s">
        <v>3</v>
      </c>
      <c r="AA1441" s="5" t="str">
        <f>HYPERLINK("https://www.zillow.com/homes/4338-SARATOGA-AVE-DOWNERS-GROVE-IL-60515_rb/","check listing")</f>
        <v>check listing</v>
      </c>
      <c r="AB1441" s="5" t="str">
        <f>HYPERLINK("https://propertylookup.dupagecounty.gov/Datalets/Datalet.aspx?UseSearch=no&amp;mode=sales&amp;pin=0906408009","sales record")</f>
        <v>sales record</v>
      </c>
      <c r="AC1441" t="s">
        <v>3</v>
      </c>
      <c r="AD1441">
        <v>41.807636</v>
      </c>
      <c r="AE1441">
        <v>-88.015102</v>
      </c>
      <c r="AF1441" s="5" t="str">
        <f>HYPERLINK("https://www.google.com/maps/search/?api=1&amp;query=41.807636,-88.015102","map")</f>
        <v>map</v>
      </c>
    </row>
    <row r="1442" spans="1:32">
      <c r="A1442" t="s">
        <v>1492</v>
      </c>
      <c r="B1442" t="s">
        <v>9055</v>
      </c>
      <c r="C1442" t="s">
        <v>15277</v>
      </c>
      <c r="D1442" t="s">
        <v>16199</v>
      </c>
      <c r="E1442" t="s">
        <v>16218</v>
      </c>
      <c r="F1442" t="s">
        <v>16220</v>
      </c>
      <c r="G1442" t="s">
        <v>16248</v>
      </c>
      <c r="H1442" t="s">
        <v>16248</v>
      </c>
      <c r="I1442" t="s">
        <v>16324</v>
      </c>
      <c r="J1442" t="s">
        <v>16387</v>
      </c>
      <c r="K1442">
        <v>0.16</v>
      </c>
      <c r="L1442">
        <v>6969</v>
      </c>
      <c r="M1442">
        <v>1176</v>
      </c>
      <c r="N1442" t="s">
        <v>16393</v>
      </c>
      <c r="O1442" s="4">
        <v>65178</v>
      </c>
      <c r="P1442" s="4">
        <v>110800</v>
      </c>
      <c r="Q1442" s="4">
        <v>175978</v>
      </c>
      <c r="R1442" s="4">
        <v>527934</v>
      </c>
      <c r="S1442" t="s">
        <v>17793</v>
      </c>
      <c r="T1442" s="6">
        <v>40940</v>
      </c>
      <c r="U1442" s="4">
        <v>262500</v>
      </c>
      <c r="V1442" t="s">
        <v>16232</v>
      </c>
      <c r="W1442" t="s">
        <v>24441</v>
      </c>
      <c r="X1442" t="s">
        <v>3</v>
      </c>
      <c r="AA1442" s="5" t="str">
        <f>HYPERLINK("https://www.zillow.com/homes/4945-HIGHLAND-AVE-DOWNERS-GROVE-IL-60515_rb/","check listing")</f>
        <v>check listing</v>
      </c>
      <c r="AB1442" s="5" t="str">
        <f>HYPERLINK("https://propertylookup.dupagecounty.gov/Datalets/Datalet.aspx?UseSearch=no&amp;mode=sales&amp;pin=0908118009","sales record")</f>
        <v>sales record</v>
      </c>
      <c r="AC1442" t="s">
        <v>3</v>
      </c>
      <c r="AD1442">
        <v>41.796734</v>
      </c>
      <c r="AE1442">
        <v>-88.00896</v>
      </c>
      <c r="AF1442" s="5" t="str">
        <f>HYPERLINK("https://www.google.com/maps/search/?api=1&amp;query=41.796734,-88.00896","map")</f>
        <v>map</v>
      </c>
    </row>
    <row r="1443" spans="1:32">
      <c r="A1443" t="s">
        <v>1493</v>
      </c>
      <c r="B1443" t="s">
        <v>9056</v>
      </c>
      <c r="C1443" t="s">
        <v>15304</v>
      </c>
      <c r="D1443" t="s">
        <v>16199</v>
      </c>
      <c r="E1443" t="s">
        <v>16218</v>
      </c>
      <c r="F1443" t="s">
        <v>16220</v>
      </c>
      <c r="G1443" t="s">
        <v>16248</v>
      </c>
      <c r="H1443" t="s">
        <v>16248</v>
      </c>
      <c r="I1443" t="s">
        <v>16324</v>
      </c>
      <c r="J1443" t="s">
        <v>16387</v>
      </c>
      <c r="K1443">
        <v>0.138</v>
      </c>
      <c r="L1443">
        <v>6022</v>
      </c>
      <c r="M1443">
        <v>1827</v>
      </c>
      <c r="N1443" t="s">
        <v>16393</v>
      </c>
      <c r="O1443" s="4">
        <v>56797</v>
      </c>
      <c r="P1443" s="4">
        <v>264454</v>
      </c>
      <c r="Q1443" s="4">
        <v>321251</v>
      </c>
      <c r="R1443" s="4">
        <v>963753</v>
      </c>
      <c r="S1443" t="s">
        <v>17794</v>
      </c>
      <c r="T1443" s="6">
        <v>45601</v>
      </c>
      <c r="U1443" s="4">
        <v>1070000</v>
      </c>
      <c r="V1443" t="s">
        <v>23739</v>
      </c>
      <c r="W1443" t="s">
        <v>24442</v>
      </c>
      <c r="X1443" t="s">
        <v>3</v>
      </c>
      <c r="AA1443" s="5" t="str">
        <f>HYPERLINK("https://www.zillow.com/homes/4936-WASHINGTON-ST-DOWNERS-GROVE-IL-605153752_rb/","check listing")</f>
        <v>check listing</v>
      </c>
      <c r="AB1443" s="5" t="str">
        <f>HYPERLINK("https://propertylookup.dupagecounty.gov/Datalets/Datalet.aspx?UseSearch=no&amp;mode=sales&amp;pin=0908119024","sales record")</f>
        <v>sales record</v>
      </c>
      <c r="AC1443" t="s">
        <v>3</v>
      </c>
      <c r="AD1443">
        <v>41.796845</v>
      </c>
      <c r="AE1443">
        <v>-88.007285</v>
      </c>
      <c r="AF1443" s="5" t="str">
        <f>HYPERLINK("https://www.google.com/maps/search/?api=1&amp;query=41.796845,-88.007285","map")</f>
        <v>map</v>
      </c>
    </row>
    <row r="1444" spans="1:32">
      <c r="A1444" t="s">
        <v>1494</v>
      </c>
      <c r="B1444" t="s">
        <v>9057</v>
      </c>
      <c r="C1444" t="s">
        <v>15304</v>
      </c>
      <c r="D1444" t="s">
        <v>16199</v>
      </c>
      <c r="E1444" t="s">
        <v>16218</v>
      </c>
      <c r="F1444" t="s">
        <v>16220</v>
      </c>
      <c r="G1444" t="s">
        <v>16248</v>
      </c>
      <c r="H1444" t="s">
        <v>16248</v>
      </c>
      <c r="I1444" t="s">
        <v>16324</v>
      </c>
      <c r="J1444" t="s">
        <v>16387</v>
      </c>
      <c r="K1444">
        <v>0.131</v>
      </c>
      <c r="L1444">
        <v>5710</v>
      </c>
      <c r="M1444">
        <v>1397</v>
      </c>
      <c r="N1444" t="s">
        <v>16393</v>
      </c>
      <c r="O1444" s="4">
        <v>56139</v>
      </c>
      <c r="P1444" s="4">
        <v>81892</v>
      </c>
      <c r="Q1444" s="4">
        <v>138031</v>
      </c>
      <c r="R1444" s="4">
        <v>414093</v>
      </c>
      <c r="S1444" t="s">
        <v>17795</v>
      </c>
      <c r="T1444" s="6">
        <v>44287</v>
      </c>
      <c r="U1444" s="4">
        <v>380000</v>
      </c>
      <c r="V1444" t="s">
        <v>23739</v>
      </c>
      <c r="W1444" t="s">
        <v>24443</v>
      </c>
      <c r="X1444" t="s">
        <v>3</v>
      </c>
      <c r="AA1444" s="5" t="str">
        <f>HYPERLINK("https://www.zillow.com/homes/4940-WASHINGTON-ST-DOWNERS-GROVE-IL-605153752_rb/","check listing")</f>
        <v>check listing</v>
      </c>
      <c r="AB1444" s="5" t="str">
        <f>HYPERLINK("https://propertylookup.dupagecounty.gov/Datalets/Datalet.aspx?UseSearch=no&amp;mode=sales&amp;pin=0908119022","sales record")</f>
        <v>sales record</v>
      </c>
      <c r="AC1444" t="s">
        <v>3</v>
      </c>
      <c r="AD1444">
        <v>41.796706</v>
      </c>
      <c r="AE1444">
        <v>-88.00727999999999</v>
      </c>
      <c r="AF1444" s="5" t="str">
        <f>HYPERLINK("https://www.google.com/maps/search/?api=1&amp;query=41.796706,-88.00728","map")</f>
        <v>map</v>
      </c>
    </row>
    <row r="1445" spans="1:32">
      <c r="A1445" t="s">
        <v>1495</v>
      </c>
      <c r="B1445" t="s">
        <v>9058</v>
      </c>
      <c r="C1445" t="s">
        <v>15306</v>
      </c>
      <c r="D1445" t="s">
        <v>16199</v>
      </c>
      <c r="E1445" t="s">
        <v>16217</v>
      </c>
      <c r="F1445" t="s">
        <v>16220</v>
      </c>
      <c r="G1445" t="s">
        <v>16248</v>
      </c>
      <c r="H1445" t="s">
        <v>16248</v>
      </c>
      <c r="I1445" t="s">
        <v>16324</v>
      </c>
      <c r="J1445" t="s">
        <v>16387</v>
      </c>
      <c r="K1445">
        <v>0.9</v>
      </c>
      <c r="L1445">
        <v>39202</v>
      </c>
      <c r="M1445">
        <v>3069</v>
      </c>
      <c r="N1445" t="s">
        <v>16393</v>
      </c>
      <c r="O1445" s="4">
        <v>188739</v>
      </c>
      <c r="P1445" s="4">
        <v>0</v>
      </c>
      <c r="Q1445" s="4">
        <v>188739</v>
      </c>
      <c r="R1445" s="4">
        <v>566217</v>
      </c>
      <c r="S1445" t="s">
        <v>17796</v>
      </c>
      <c r="X1445" t="s">
        <v>3</v>
      </c>
      <c r="AA1445" s="5" t="str">
        <f>HYPERLINK("https://www.zillow.com/homes/520004-FAIRVIEW-AVE-DOWNERS-GROVE-IL-605155252_rb/","check listing")</f>
        <v>check listing</v>
      </c>
      <c r="AB1445" s="5" t="str">
        <f>HYPERLINK("https://propertylookup.dupagecounty.gov/Datalets/Datalet.aspx?UseSearch=no&amp;mode=sales&amp;pin=0908411048","sales record")</f>
        <v>sales record</v>
      </c>
      <c r="AC1445" t="s">
        <v>11</v>
      </c>
      <c r="AD1445">
        <v>41.793101</v>
      </c>
      <c r="AE1445">
        <v>-87.995284</v>
      </c>
      <c r="AF1445" s="5" t="str">
        <f>HYPERLINK("https://www.google.com/maps/search/?api=1&amp;query=41.793101,-87.995284","map")</f>
        <v>map</v>
      </c>
    </row>
    <row r="1446" spans="1:32">
      <c r="A1446" t="s">
        <v>1496</v>
      </c>
      <c r="B1446" t="s">
        <v>9059</v>
      </c>
      <c r="C1446" t="s">
        <v>15277</v>
      </c>
      <c r="D1446" t="s">
        <v>16199</v>
      </c>
      <c r="E1446" t="s">
        <v>16217</v>
      </c>
      <c r="F1446" t="s">
        <v>16220</v>
      </c>
      <c r="G1446" t="s">
        <v>16248</v>
      </c>
      <c r="H1446" t="s">
        <v>16248</v>
      </c>
      <c r="I1446" t="s">
        <v>16324</v>
      </c>
      <c r="J1446" t="s">
        <v>16387</v>
      </c>
      <c r="K1446">
        <v>0.266</v>
      </c>
      <c r="L1446">
        <v>11597</v>
      </c>
      <c r="N1446" t="s">
        <v>16393</v>
      </c>
      <c r="O1446" s="4">
        <v>11963</v>
      </c>
      <c r="P1446" s="4">
        <v>0</v>
      </c>
      <c r="Q1446" s="4">
        <v>11963</v>
      </c>
      <c r="R1446" s="4">
        <v>35889</v>
      </c>
      <c r="S1446" t="s">
        <v>17797</v>
      </c>
      <c r="T1446" s="6">
        <v>41609</v>
      </c>
      <c r="U1446" s="4">
        <v>93600</v>
      </c>
      <c r="V1446" t="s">
        <v>23742</v>
      </c>
      <c r="W1446" t="s">
        <v>17797</v>
      </c>
      <c r="X1446" t="s">
        <v>3</v>
      </c>
      <c r="AA1446" s="5" t="str">
        <f>HYPERLINK("https://www.zillow.com/homes/4401-BELMONT-RD-DOWNERS-GROVE-IL-60515_rb/","check listing")</f>
        <v>check listing</v>
      </c>
      <c r="AB1446" s="5" t="str">
        <f>HYPERLINK("https://propertylookup.dupagecounty.gov/Datalets/Datalet.aspx?UseSearch=no&amp;mode=sales&amp;pin=0801405033","sales record")</f>
        <v>sales record</v>
      </c>
      <c r="AC1446" t="s">
        <v>3</v>
      </c>
      <c r="AD1446">
        <v>41.806264</v>
      </c>
      <c r="AE1446">
        <v>-88.03774199999999</v>
      </c>
      <c r="AF1446" s="5" t="str">
        <f>HYPERLINK("https://www.google.com/maps/search/?api=1&amp;query=41.806264,-88.037742","map")</f>
        <v>map</v>
      </c>
    </row>
    <row r="1447" spans="1:32">
      <c r="A1447" t="s">
        <v>1497</v>
      </c>
      <c r="B1447" t="s">
        <v>9059</v>
      </c>
      <c r="C1447" t="s">
        <v>15277</v>
      </c>
      <c r="D1447" t="s">
        <v>16199</v>
      </c>
      <c r="E1447" t="s">
        <v>16217</v>
      </c>
      <c r="F1447" t="s">
        <v>16220</v>
      </c>
      <c r="G1447" t="s">
        <v>16248</v>
      </c>
      <c r="H1447" t="s">
        <v>16248</v>
      </c>
      <c r="I1447" t="s">
        <v>16324</v>
      </c>
      <c r="J1447" t="s">
        <v>16387</v>
      </c>
      <c r="K1447">
        <v>0.221</v>
      </c>
      <c r="L1447">
        <v>9612</v>
      </c>
      <c r="N1447" t="s">
        <v>16393</v>
      </c>
      <c r="O1447" s="4">
        <v>15078</v>
      </c>
      <c r="P1447" s="4">
        <v>0</v>
      </c>
      <c r="Q1447" s="4">
        <v>15078</v>
      </c>
      <c r="R1447" s="4">
        <v>45234</v>
      </c>
      <c r="S1447" t="s">
        <v>17797</v>
      </c>
      <c r="X1447" t="s">
        <v>3</v>
      </c>
      <c r="AA1447" s="5" t="str">
        <f>HYPERLINK("https://www.zillow.com/homes/4401-BELMONT-RD-DOWNERS-GROVE-IL-60515_rb/","check listing")</f>
        <v>check listing</v>
      </c>
      <c r="AB1447" s="5" t="str">
        <f>HYPERLINK("https://propertylookup.dupagecounty.gov/Datalets/Datalet.aspx?UseSearch=no&amp;mode=sales&amp;pin=0801405034","sales record")</f>
        <v>sales record</v>
      </c>
      <c r="AC1447" t="s">
        <v>3</v>
      </c>
      <c r="AD1447">
        <v>41.806034</v>
      </c>
      <c r="AE1447">
        <v>-88.037869</v>
      </c>
      <c r="AF1447" s="5" t="str">
        <f>HYPERLINK("https://www.google.com/maps/search/?api=1&amp;query=41.806034,-88.037869","map")</f>
        <v>map</v>
      </c>
    </row>
    <row r="1448" spans="1:32">
      <c r="A1448" t="s">
        <v>1498</v>
      </c>
      <c r="B1448" t="s">
        <v>9059</v>
      </c>
      <c r="C1448" t="s">
        <v>15277</v>
      </c>
      <c r="D1448" t="s">
        <v>16199</v>
      </c>
      <c r="E1448" t="s">
        <v>16217</v>
      </c>
      <c r="F1448" t="s">
        <v>16220</v>
      </c>
      <c r="G1448" t="s">
        <v>16248</v>
      </c>
      <c r="H1448" t="s">
        <v>16248</v>
      </c>
      <c r="I1448" t="s">
        <v>16324</v>
      </c>
      <c r="J1448" t="s">
        <v>16387</v>
      </c>
      <c r="K1448">
        <v>0.219</v>
      </c>
      <c r="L1448">
        <v>9536</v>
      </c>
      <c r="N1448" t="s">
        <v>16393</v>
      </c>
      <c r="O1448" s="4">
        <v>15078</v>
      </c>
      <c r="P1448" s="4">
        <v>0</v>
      </c>
      <c r="Q1448" s="4">
        <v>15078</v>
      </c>
      <c r="R1448" s="4">
        <v>45234</v>
      </c>
      <c r="S1448" t="s">
        <v>17797</v>
      </c>
      <c r="X1448" t="s">
        <v>3</v>
      </c>
      <c r="AA1448" s="5" t="str">
        <f>HYPERLINK("https://www.zillow.com/homes/4401-BELMONT-RD-DOWNERS-GROVE-IL-60515_rb/","check listing")</f>
        <v>check listing</v>
      </c>
      <c r="AB1448" s="5" t="str">
        <f>HYPERLINK("https://propertylookup.dupagecounty.gov/Datalets/Datalet.aspx?UseSearch=no&amp;mode=sales&amp;pin=0801405035","sales record")</f>
        <v>sales record</v>
      </c>
      <c r="AC1448" t="s">
        <v>3</v>
      </c>
      <c r="AD1448">
        <v>41.805896</v>
      </c>
      <c r="AE1448">
        <v>-88.03784400000001</v>
      </c>
      <c r="AF1448" s="5" t="str">
        <f>HYPERLINK("https://www.google.com/maps/search/?api=1&amp;query=41.805896,-88.037844","map")</f>
        <v>map</v>
      </c>
    </row>
    <row r="1449" spans="1:32">
      <c r="A1449" t="s">
        <v>1499</v>
      </c>
      <c r="B1449" t="s">
        <v>9059</v>
      </c>
      <c r="C1449" t="s">
        <v>15277</v>
      </c>
      <c r="D1449" t="s">
        <v>16199</v>
      </c>
      <c r="E1449" t="s">
        <v>16217</v>
      </c>
      <c r="F1449" t="s">
        <v>16220</v>
      </c>
      <c r="G1449" t="s">
        <v>16248</v>
      </c>
      <c r="H1449" t="s">
        <v>16248</v>
      </c>
      <c r="I1449" t="s">
        <v>16324</v>
      </c>
      <c r="J1449" t="s">
        <v>16387</v>
      </c>
      <c r="K1449">
        <v>0.217</v>
      </c>
      <c r="L1449">
        <v>9456</v>
      </c>
      <c r="N1449" t="s">
        <v>16393</v>
      </c>
      <c r="O1449" s="4">
        <v>15078</v>
      </c>
      <c r="P1449" s="4">
        <v>0</v>
      </c>
      <c r="Q1449" s="4">
        <v>15078</v>
      </c>
      <c r="R1449" s="4">
        <v>45234</v>
      </c>
      <c r="S1449" t="s">
        <v>17797</v>
      </c>
      <c r="X1449" t="s">
        <v>3</v>
      </c>
      <c r="AA1449" s="5" t="str">
        <f>HYPERLINK("https://www.zillow.com/homes/4401-BELMONT-RD-DOWNERS-GROVE-IL-60515_rb/","check listing")</f>
        <v>check listing</v>
      </c>
      <c r="AB1449" s="5" t="str">
        <f>HYPERLINK("https://propertylookup.dupagecounty.gov/Datalets/Datalet.aspx?UseSearch=no&amp;mode=sales&amp;pin=0801405036","sales record")</f>
        <v>sales record</v>
      </c>
      <c r="AC1449" t="s">
        <v>3</v>
      </c>
      <c r="AD1449">
        <v>41.805758</v>
      </c>
      <c r="AE1449">
        <v>-88.037819</v>
      </c>
      <c r="AF1449" s="5" t="str">
        <f>HYPERLINK("https://www.google.com/maps/search/?api=1&amp;query=41.805758,-88.037819","map")</f>
        <v>map</v>
      </c>
    </row>
    <row r="1450" spans="1:32">
      <c r="A1450" t="s">
        <v>1500</v>
      </c>
      <c r="B1450" t="s">
        <v>9060</v>
      </c>
      <c r="C1450" t="s">
        <v>15277</v>
      </c>
      <c r="D1450" t="s">
        <v>16199</v>
      </c>
      <c r="E1450" t="s">
        <v>16217</v>
      </c>
      <c r="F1450" t="s">
        <v>16220</v>
      </c>
      <c r="G1450" t="s">
        <v>16248</v>
      </c>
      <c r="H1450" t="s">
        <v>16248</v>
      </c>
      <c r="I1450" t="s">
        <v>16324</v>
      </c>
      <c r="J1450" t="s">
        <v>16387</v>
      </c>
      <c r="K1450">
        <v>0.143</v>
      </c>
      <c r="L1450">
        <v>6250</v>
      </c>
      <c r="N1450" t="s">
        <v>16392</v>
      </c>
      <c r="O1450" s="4">
        <v>2709</v>
      </c>
      <c r="P1450" s="4">
        <v>0</v>
      </c>
      <c r="Q1450" s="4">
        <v>2709</v>
      </c>
      <c r="R1450" s="4">
        <v>8127</v>
      </c>
      <c r="S1450" t="s">
        <v>17798</v>
      </c>
      <c r="T1450" s="6">
        <v>45656</v>
      </c>
      <c r="U1450" s="4">
        <v>1050000</v>
      </c>
      <c r="V1450" t="s">
        <v>23739</v>
      </c>
      <c r="W1450" t="s">
        <v>17798</v>
      </c>
      <c r="X1450" t="s">
        <v>3</v>
      </c>
      <c r="AA1450" s="5" t="str">
        <f>HYPERLINK("https://www.zillow.com/homes/4900-FAIRVIEW-AVE-DOWNERS-GROVE-IL-60515_rb/","check listing")</f>
        <v>check listing</v>
      </c>
      <c r="AB1450" s="5" t="str">
        <f>HYPERLINK("https://propertylookup.dupagecounty.gov/Datalets/Datalet.aspx?UseSearch=no&amp;mode=sales&amp;pin=0908224028","sales record")</f>
        <v>sales record</v>
      </c>
      <c r="AC1450" t="s">
        <v>3</v>
      </c>
      <c r="AD1450">
        <v>41.798083</v>
      </c>
      <c r="AE1450">
        <v>-87.995159</v>
      </c>
      <c r="AF1450" s="5" t="str">
        <f>HYPERLINK("https://www.google.com/maps/search/?api=1&amp;query=41.798083,-87.995159","map")</f>
        <v>map</v>
      </c>
    </row>
    <row r="1451" spans="1:32">
      <c r="A1451" t="s">
        <v>1501</v>
      </c>
      <c r="B1451" t="s">
        <v>9061</v>
      </c>
      <c r="C1451" t="s">
        <v>15254</v>
      </c>
      <c r="D1451" t="s">
        <v>16199</v>
      </c>
      <c r="E1451" t="s">
        <v>16218</v>
      </c>
      <c r="F1451" t="s">
        <v>16221</v>
      </c>
      <c r="G1451" t="s">
        <v>16249</v>
      </c>
      <c r="H1451" t="s">
        <v>16249</v>
      </c>
      <c r="I1451" t="s">
        <v>16325</v>
      </c>
      <c r="J1451" t="s">
        <v>16385</v>
      </c>
      <c r="K1451">
        <v>0.861</v>
      </c>
      <c r="L1451">
        <v>37499</v>
      </c>
      <c r="M1451">
        <v>2314</v>
      </c>
      <c r="N1451" t="s">
        <v>16393</v>
      </c>
      <c r="O1451" s="4">
        <v>86856</v>
      </c>
      <c r="P1451" s="4">
        <v>40130</v>
      </c>
      <c r="Q1451" s="4">
        <v>126986</v>
      </c>
      <c r="R1451" s="4">
        <v>380958</v>
      </c>
      <c r="S1451" t="s">
        <v>17799</v>
      </c>
      <c r="X1451" t="s">
        <v>3</v>
      </c>
      <c r="AA1451" s="5" t="str">
        <f>HYPERLINK("https://www.zillow.com/homes/7050-MAIN-ST-DOWNERS-GROVE-IL-60516_rb/","check listing")</f>
        <v>check listing</v>
      </c>
      <c r="AB1451" s="5" t="str">
        <f>HYPERLINK("https://propertylookup.dupagecounty.gov/Datalets/Datalet.aspx?UseSearch=no&amp;mode=sales&amp;pin=0920302010","sales record")</f>
        <v>sales record</v>
      </c>
      <c r="AC1451" t="s">
        <v>3</v>
      </c>
      <c r="AD1451">
        <v>41.758745</v>
      </c>
      <c r="AE1451">
        <v>-88.008736</v>
      </c>
      <c r="AF1451" s="5" t="str">
        <f>HYPERLINK("https://www.google.com/maps/search/?api=1&amp;query=41.758745,-88.008736","map")</f>
        <v>map</v>
      </c>
    </row>
    <row r="1452" spans="1:32">
      <c r="A1452" t="s">
        <v>1502</v>
      </c>
      <c r="B1452" t="s">
        <v>9062</v>
      </c>
      <c r="C1452" t="s">
        <v>15254</v>
      </c>
      <c r="D1452" t="s">
        <v>16199</v>
      </c>
      <c r="E1452" t="s">
        <v>16218</v>
      </c>
      <c r="F1452" t="s">
        <v>16221</v>
      </c>
      <c r="G1452" t="s">
        <v>16249</v>
      </c>
      <c r="H1452" t="s">
        <v>16249</v>
      </c>
      <c r="I1452" t="s">
        <v>16325</v>
      </c>
      <c r="J1452" t="s">
        <v>16385</v>
      </c>
      <c r="K1452">
        <v>0.701</v>
      </c>
      <c r="L1452">
        <v>30540</v>
      </c>
      <c r="M1452">
        <v>2138</v>
      </c>
      <c r="N1452" t="s">
        <v>16393</v>
      </c>
      <c r="O1452" s="4">
        <v>66234</v>
      </c>
      <c r="P1452" s="4">
        <v>115894</v>
      </c>
      <c r="Q1452" s="4">
        <v>182128</v>
      </c>
      <c r="R1452" s="4">
        <v>546384</v>
      </c>
      <c r="S1452" t="s">
        <v>17800</v>
      </c>
      <c r="T1452" s="6">
        <v>33970</v>
      </c>
      <c r="U1452" s="4">
        <v>197139</v>
      </c>
      <c r="X1452" t="s">
        <v>3</v>
      </c>
      <c r="AA1452" s="5" t="str">
        <f>HYPERLINK("https://www.zillow.com/homes/7021-POWELL-CT-DOWNERS-GROVE-IL-60516_rb/","check listing")</f>
        <v>check listing</v>
      </c>
      <c r="AB1452" s="5" t="str">
        <f>HYPERLINK("https://propertylookup.dupagecounty.gov/Datalets/Datalet.aspx?UseSearch=no&amp;mode=sales&amp;pin=0919420017","sales record")</f>
        <v>sales record</v>
      </c>
      <c r="AC1452" t="s">
        <v>3</v>
      </c>
      <c r="AD1452">
        <v>41.758748</v>
      </c>
      <c r="AE1452">
        <v>-88.01712999999999</v>
      </c>
      <c r="AF1452" s="5" t="str">
        <f>HYPERLINK("https://www.google.com/maps/search/?api=1&amp;query=41.758748,-88.01713","map")</f>
        <v>map</v>
      </c>
    </row>
    <row r="1453" spans="1:32">
      <c r="A1453" t="s">
        <v>1503</v>
      </c>
      <c r="B1453" t="s">
        <v>9063</v>
      </c>
      <c r="C1453" t="s">
        <v>15254</v>
      </c>
      <c r="D1453" t="s">
        <v>16199</v>
      </c>
      <c r="E1453" t="s">
        <v>16218</v>
      </c>
      <c r="F1453" t="s">
        <v>16221</v>
      </c>
      <c r="G1453" t="s">
        <v>16249</v>
      </c>
      <c r="H1453" t="s">
        <v>16249</v>
      </c>
      <c r="I1453" t="s">
        <v>16325</v>
      </c>
      <c r="J1453" t="s">
        <v>16385</v>
      </c>
      <c r="K1453">
        <v>0.6889999999999999</v>
      </c>
      <c r="L1453">
        <v>30001</v>
      </c>
      <c r="M1453">
        <v>1845</v>
      </c>
      <c r="N1453" t="s">
        <v>16393</v>
      </c>
      <c r="O1453" s="4">
        <v>81750</v>
      </c>
      <c r="P1453" s="4">
        <v>54978</v>
      </c>
      <c r="Q1453" s="4">
        <v>136728</v>
      </c>
      <c r="R1453" s="4">
        <v>410184</v>
      </c>
      <c r="S1453" t="s">
        <v>17801</v>
      </c>
      <c r="T1453" s="6">
        <v>31260</v>
      </c>
      <c r="U1453" s="4">
        <v>68500</v>
      </c>
      <c r="X1453" t="s">
        <v>3</v>
      </c>
      <c r="AA1453" s="5" t="str">
        <f>HYPERLINK("https://www.zillow.com/homes/7028-MAIN-ST-DOWNERS-GROVE-IL-60516_rb/","check listing")</f>
        <v>check listing</v>
      </c>
      <c r="AB1453" s="5" t="str">
        <f>HYPERLINK("https://propertylookup.dupagecounty.gov/Datalets/Datalet.aspx?UseSearch=no&amp;mode=sales&amp;pin=0920302009","sales record")</f>
        <v>sales record</v>
      </c>
      <c r="AC1453" t="s">
        <v>3</v>
      </c>
      <c r="AD1453">
        <v>41.75914</v>
      </c>
      <c r="AE1453">
        <v>-88.00874899999999</v>
      </c>
      <c r="AF1453" s="5" t="str">
        <f>HYPERLINK("https://www.google.com/maps/search/?api=1&amp;query=41.75914,-88.008749","map")</f>
        <v>map</v>
      </c>
    </row>
    <row r="1454" spans="1:32">
      <c r="A1454" t="s">
        <v>1504</v>
      </c>
      <c r="B1454" t="s">
        <v>9064</v>
      </c>
      <c r="C1454" t="s">
        <v>15277</v>
      </c>
      <c r="D1454" t="s">
        <v>16199</v>
      </c>
      <c r="E1454" t="s">
        <v>16218</v>
      </c>
      <c r="F1454" t="s">
        <v>16221</v>
      </c>
      <c r="G1454" t="s">
        <v>16250</v>
      </c>
      <c r="H1454" t="s">
        <v>16250</v>
      </c>
      <c r="I1454" t="s">
        <v>16326</v>
      </c>
      <c r="J1454" t="s">
        <v>16385</v>
      </c>
      <c r="K1454">
        <v>0.606</v>
      </c>
      <c r="L1454">
        <v>26399</v>
      </c>
      <c r="M1454">
        <v>957</v>
      </c>
      <c r="N1454" t="s">
        <v>16393</v>
      </c>
      <c r="O1454" s="4">
        <v>137738</v>
      </c>
      <c r="P1454" s="4">
        <v>67443</v>
      </c>
      <c r="Q1454" s="4">
        <v>205181</v>
      </c>
      <c r="R1454" s="4">
        <v>615543</v>
      </c>
      <c r="S1454" t="s">
        <v>17802</v>
      </c>
      <c r="T1454" s="6">
        <v>41883</v>
      </c>
      <c r="U1454" s="4">
        <v>375000</v>
      </c>
      <c r="V1454" t="s">
        <v>23739</v>
      </c>
      <c r="W1454" t="s">
        <v>24444</v>
      </c>
      <c r="X1454" t="s">
        <v>3</v>
      </c>
      <c r="AA1454" s="5" t="str">
        <f>HYPERLINK("https://www.zillow.com/homes/1224-GILBERT-AVE-DOWNERS-GROVE-IL-60515_rb/","check listing")</f>
        <v>check listing</v>
      </c>
      <c r="AB1454" s="5" t="str">
        <f>HYPERLINK("https://propertylookup.dupagecounty.gov/Datalets/Datalet.aspx?UseSearch=no&amp;mode=sales&amp;pin=0907220024","sales record")</f>
        <v>sales record</v>
      </c>
      <c r="AC1454" t="s">
        <v>3</v>
      </c>
      <c r="AD1454">
        <v>41.794991</v>
      </c>
      <c r="AE1454">
        <v>-88.015581</v>
      </c>
      <c r="AF1454" s="5" t="str">
        <f>HYPERLINK("https://www.google.com/maps/search/?api=1&amp;query=41.794991,-88.015581","map")</f>
        <v>map</v>
      </c>
    </row>
    <row r="1455" spans="1:32">
      <c r="A1455" t="s">
        <v>1505</v>
      </c>
      <c r="B1455" t="s">
        <v>9065</v>
      </c>
      <c r="C1455" t="s">
        <v>15254</v>
      </c>
      <c r="D1455" t="s">
        <v>16199</v>
      </c>
      <c r="E1455" t="s">
        <v>16218</v>
      </c>
      <c r="F1455" t="s">
        <v>16221</v>
      </c>
      <c r="G1455" t="s">
        <v>16249</v>
      </c>
      <c r="H1455" t="s">
        <v>16249</v>
      </c>
      <c r="I1455" t="s">
        <v>16325</v>
      </c>
      <c r="J1455" t="s">
        <v>16385</v>
      </c>
      <c r="K1455">
        <v>0.572</v>
      </c>
      <c r="L1455">
        <v>24911</v>
      </c>
      <c r="M1455">
        <v>1760</v>
      </c>
      <c r="N1455" t="s">
        <v>16393</v>
      </c>
      <c r="O1455" s="4">
        <v>84028</v>
      </c>
      <c r="P1455" s="4">
        <v>111153</v>
      </c>
      <c r="Q1455" s="4">
        <v>195181</v>
      </c>
      <c r="R1455" s="4">
        <v>585543</v>
      </c>
      <c r="S1455" t="s">
        <v>17803</v>
      </c>
      <c r="T1455" s="6">
        <v>45271</v>
      </c>
      <c r="U1455" s="4">
        <v>520000</v>
      </c>
      <c r="V1455" t="s">
        <v>23739</v>
      </c>
      <c r="W1455" t="s">
        <v>24445</v>
      </c>
      <c r="X1455" t="s">
        <v>3</v>
      </c>
      <c r="AA1455" s="5" t="str">
        <f>HYPERLINK("https://www.zillow.com/homes/1713-WHITE-PL-DOWNERS-GROVE-IL-60516_rb/","check listing")</f>
        <v>check listing</v>
      </c>
      <c r="AB1455" s="5" t="str">
        <f>HYPERLINK("https://propertylookup.dupagecounty.gov/Datalets/Datalet.aspx?UseSearch=no&amp;mode=sales&amp;pin=0930106013","sales record")</f>
        <v>sales record</v>
      </c>
      <c r="AC1455" t="s">
        <v>3</v>
      </c>
      <c r="AD1455">
        <v>41.754243</v>
      </c>
      <c r="AE1455">
        <v>-88.025808</v>
      </c>
      <c r="AF1455" s="5" t="str">
        <f>HYPERLINK("https://www.google.com/maps/search/?api=1&amp;query=41.754243,-88.025808","map")</f>
        <v>map</v>
      </c>
    </row>
    <row r="1456" spans="1:32">
      <c r="A1456" t="s">
        <v>1506</v>
      </c>
      <c r="B1456" t="s">
        <v>9066</v>
      </c>
      <c r="C1456" t="s">
        <v>15307</v>
      </c>
      <c r="D1456" t="s">
        <v>16199</v>
      </c>
      <c r="E1456" t="s">
        <v>16218</v>
      </c>
      <c r="F1456" t="s">
        <v>16221</v>
      </c>
      <c r="G1456" t="s">
        <v>16250</v>
      </c>
      <c r="H1456" t="s">
        <v>16250</v>
      </c>
      <c r="I1456" t="s">
        <v>16326</v>
      </c>
      <c r="J1456" t="s">
        <v>16385</v>
      </c>
      <c r="K1456">
        <v>0.5679999999999999</v>
      </c>
      <c r="L1456">
        <v>24755</v>
      </c>
      <c r="M1456">
        <v>2431</v>
      </c>
      <c r="N1456" t="s">
        <v>16393</v>
      </c>
      <c r="O1456" s="4">
        <v>167598</v>
      </c>
      <c r="P1456" s="4">
        <v>137903</v>
      </c>
      <c r="Q1456" s="4">
        <v>305501</v>
      </c>
      <c r="R1456" s="4">
        <v>916503</v>
      </c>
      <c r="S1456" t="s">
        <v>17804</v>
      </c>
      <c r="T1456" s="6">
        <v>44317</v>
      </c>
      <c r="U1456" s="4">
        <v>740000</v>
      </c>
      <c r="V1456" t="s">
        <v>23739</v>
      </c>
      <c r="W1456" t="s">
        <v>24446</v>
      </c>
      <c r="X1456" t="s">
        <v>3</v>
      </c>
      <c r="AA1456" s="5" t="str">
        <f>HYPERLINK("https://www.zillow.com/homes/4932-HIGHLAND-AVE-DOWNERS-GROVE-IL-605153628_rb/","check listing")</f>
        <v>check listing</v>
      </c>
      <c r="AB1456" s="5" t="str">
        <f>HYPERLINK("https://propertylookup.dupagecounty.gov/Datalets/Datalet.aspx?UseSearch=no&amp;mode=sales&amp;pin=0908117019","sales record")</f>
        <v>sales record</v>
      </c>
      <c r="AC1456" t="s">
        <v>3</v>
      </c>
      <c r="AD1456">
        <v>41.797249</v>
      </c>
      <c r="AE1456">
        <v>-88.009878</v>
      </c>
      <c r="AF1456" s="5" t="str">
        <f>HYPERLINK("https://www.google.com/maps/search/?api=1&amp;query=41.797249,-88.009878","map")</f>
        <v>map</v>
      </c>
    </row>
    <row r="1457" spans="1:32">
      <c r="A1457" t="s">
        <v>1507</v>
      </c>
      <c r="B1457" t="s">
        <v>9067</v>
      </c>
      <c r="C1457" t="s">
        <v>15277</v>
      </c>
      <c r="D1457" t="s">
        <v>16199</v>
      </c>
      <c r="E1457" t="s">
        <v>16218</v>
      </c>
      <c r="F1457" t="s">
        <v>16221</v>
      </c>
      <c r="G1457" t="s">
        <v>16250</v>
      </c>
      <c r="H1457" t="s">
        <v>16250</v>
      </c>
      <c r="I1457" t="s">
        <v>16326</v>
      </c>
      <c r="J1457" t="s">
        <v>16385</v>
      </c>
      <c r="K1457">
        <v>0.541</v>
      </c>
      <c r="L1457">
        <v>23550</v>
      </c>
      <c r="M1457">
        <v>1573</v>
      </c>
      <c r="N1457" t="s">
        <v>16393</v>
      </c>
      <c r="O1457" s="4">
        <v>119463</v>
      </c>
      <c r="P1457" s="4">
        <v>135707</v>
      </c>
      <c r="Q1457" s="4">
        <v>255170</v>
      </c>
      <c r="R1457" s="4">
        <v>765510</v>
      </c>
      <c r="S1457" t="s">
        <v>17805</v>
      </c>
      <c r="T1457" s="6">
        <v>37803</v>
      </c>
      <c r="U1457" s="4">
        <v>492000</v>
      </c>
      <c r="V1457" t="s">
        <v>23739</v>
      </c>
      <c r="W1457" t="s">
        <v>24447</v>
      </c>
      <c r="X1457" t="s">
        <v>3</v>
      </c>
      <c r="AA1457" s="5" t="str">
        <f>HYPERLINK("https://www.zillow.com/homes/1210-GILBERT-AVE-DOWNERS-GROVE-IL-60515_rb/","check listing")</f>
        <v>check listing</v>
      </c>
      <c r="AB1457" s="5" t="str">
        <f>HYPERLINK("https://propertylookup.dupagecounty.gov/Datalets/Datalet.aspx?UseSearch=no&amp;mode=sales&amp;pin=0907220026","sales record")</f>
        <v>sales record</v>
      </c>
      <c r="AC1457" t="s">
        <v>3</v>
      </c>
      <c r="AD1457">
        <v>41.794997</v>
      </c>
      <c r="AE1457">
        <v>-88.01497000000001</v>
      </c>
      <c r="AF1457" s="5" t="str">
        <f>HYPERLINK("https://www.google.com/maps/search/?api=1&amp;query=41.794997,-88.01497","map")</f>
        <v>map</v>
      </c>
    </row>
    <row r="1458" spans="1:32">
      <c r="A1458" t="s">
        <v>1508</v>
      </c>
      <c r="B1458" t="s">
        <v>9068</v>
      </c>
      <c r="C1458" t="s">
        <v>15277</v>
      </c>
      <c r="D1458" t="s">
        <v>16199</v>
      </c>
      <c r="E1458" t="s">
        <v>16218</v>
      </c>
      <c r="F1458" t="s">
        <v>16221</v>
      </c>
      <c r="G1458" t="s">
        <v>16250</v>
      </c>
      <c r="H1458" t="s">
        <v>16250</v>
      </c>
      <c r="I1458" t="s">
        <v>16326</v>
      </c>
      <c r="J1458" t="s">
        <v>16385</v>
      </c>
      <c r="K1458">
        <v>0.507</v>
      </c>
      <c r="L1458">
        <v>22090</v>
      </c>
      <c r="M1458">
        <v>1217</v>
      </c>
      <c r="N1458" t="s">
        <v>16393</v>
      </c>
      <c r="O1458" s="4">
        <v>103453</v>
      </c>
      <c r="P1458" s="4">
        <v>136083</v>
      </c>
      <c r="Q1458" s="4">
        <v>239536</v>
      </c>
      <c r="R1458" s="4">
        <v>718608</v>
      </c>
      <c r="S1458" t="s">
        <v>17806</v>
      </c>
      <c r="X1458" t="s">
        <v>3</v>
      </c>
      <c r="AA1458" s="5" t="str">
        <f>HYPERLINK("https://www.zillow.com/homes/4237-LINDLEY-ST-DOWNERS-GROVE-IL-60515_rb/","check listing")</f>
        <v>check listing</v>
      </c>
      <c r="AB1458" s="5" t="str">
        <f>HYPERLINK("https://propertylookup.dupagecounty.gov/Datalets/Datalet.aspx?UseSearch=no&amp;mode=sales&amp;pin=0905119005","sales record")</f>
        <v>sales record</v>
      </c>
      <c r="AC1458" t="s">
        <v>3</v>
      </c>
      <c r="AD1458">
        <v>41.809922</v>
      </c>
      <c r="AE1458">
        <v>-88.007735</v>
      </c>
      <c r="AF1458" s="5" t="str">
        <f>HYPERLINK("https://www.google.com/maps/search/?api=1&amp;query=41.809922,-88.007735","map")</f>
        <v>map</v>
      </c>
    </row>
    <row r="1459" spans="1:32">
      <c r="A1459" t="s">
        <v>1509</v>
      </c>
      <c r="B1459" t="s">
        <v>9069</v>
      </c>
      <c r="C1459" t="s">
        <v>15254</v>
      </c>
      <c r="D1459" t="s">
        <v>16199</v>
      </c>
      <c r="E1459" t="s">
        <v>16218</v>
      </c>
      <c r="F1459" t="s">
        <v>16221</v>
      </c>
      <c r="G1459" t="s">
        <v>16249</v>
      </c>
      <c r="H1459" t="s">
        <v>16249</v>
      </c>
      <c r="I1459" t="s">
        <v>16325</v>
      </c>
      <c r="J1459" t="s">
        <v>16385</v>
      </c>
      <c r="K1459">
        <v>0.478</v>
      </c>
      <c r="L1459">
        <v>20807</v>
      </c>
      <c r="M1459">
        <v>1491</v>
      </c>
      <c r="N1459" t="s">
        <v>16393</v>
      </c>
      <c r="O1459" s="4">
        <v>56057</v>
      </c>
      <c r="P1459" s="4">
        <v>140297</v>
      </c>
      <c r="Q1459" s="4">
        <v>196354</v>
      </c>
      <c r="R1459" s="4">
        <v>589062</v>
      </c>
      <c r="S1459" t="s">
        <v>17807</v>
      </c>
      <c r="T1459" s="6">
        <v>38626</v>
      </c>
      <c r="U1459" s="4">
        <v>550000</v>
      </c>
      <c r="V1459" t="s">
        <v>23739</v>
      </c>
      <c r="W1459" t="s">
        <v>24448</v>
      </c>
      <c r="X1459" t="s">
        <v>3</v>
      </c>
      <c r="AA1459" s="5" t="str">
        <f>HYPERLINK("https://www.zillow.com/homes/1120-STANFORD-AVE-DOWNERS-GROVE-IL-60516_rb/","check listing")</f>
        <v>check listing</v>
      </c>
      <c r="AB1459" s="5" t="str">
        <f>HYPERLINK("https://propertylookup.dupagecounty.gov/Datalets/Datalet.aspx?UseSearch=no&amp;mode=sales&amp;pin=0929115008","sales record")</f>
        <v>sales record</v>
      </c>
      <c r="AC1459" t="s">
        <v>3</v>
      </c>
      <c r="AD1459">
        <v>41.75829</v>
      </c>
      <c r="AE1459">
        <v>-88.010717</v>
      </c>
      <c r="AF1459" s="5" t="str">
        <f>HYPERLINK("https://www.google.com/maps/search/?api=1&amp;query=41.75829,-88.010717","map")</f>
        <v>map</v>
      </c>
    </row>
    <row r="1460" spans="1:32">
      <c r="A1460" t="s">
        <v>1510</v>
      </c>
      <c r="B1460" t="s">
        <v>9070</v>
      </c>
      <c r="C1460" t="s">
        <v>15254</v>
      </c>
      <c r="D1460" t="s">
        <v>16199</v>
      </c>
      <c r="E1460" t="s">
        <v>16218</v>
      </c>
      <c r="F1460" t="s">
        <v>16221</v>
      </c>
      <c r="G1460" t="s">
        <v>16249</v>
      </c>
      <c r="H1460" t="s">
        <v>16249</v>
      </c>
      <c r="I1460" t="s">
        <v>16325</v>
      </c>
      <c r="J1460" t="s">
        <v>16385</v>
      </c>
      <c r="K1460">
        <v>0.474</v>
      </c>
      <c r="L1460">
        <v>20668</v>
      </c>
      <c r="M1460">
        <v>2681</v>
      </c>
      <c r="N1460" t="s">
        <v>16393</v>
      </c>
      <c r="O1460" s="4">
        <v>90460</v>
      </c>
      <c r="P1460" s="4">
        <v>215498</v>
      </c>
      <c r="Q1460" s="4">
        <v>305958</v>
      </c>
      <c r="R1460" s="4">
        <v>917874</v>
      </c>
      <c r="S1460" t="s">
        <v>17808</v>
      </c>
      <c r="T1460" s="6">
        <v>36861</v>
      </c>
      <c r="U1460" s="4">
        <v>458100</v>
      </c>
      <c r="V1460" t="s">
        <v>23739</v>
      </c>
      <c r="W1460" t="s">
        <v>17808</v>
      </c>
      <c r="X1460" t="s">
        <v>3</v>
      </c>
      <c r="AA1460" s="5" t="str">
        <f>HYPERLINK("https://www.zillow.com/homes/7109-MATTHIAS-RD-DOWNERS-GROVE-IL-60516_rb/","check listing")</f>
        <v>check listing</v>
      </c>
      <c r="AB1460" s="5" t="str">
        <f>HYPERLINK("https://propertylookup.dupagecounty.gov/Datalets/Datalet.aspx?UseSearch=no&amp;mode=sales&amp;pin=0929115009","sales record")</f>
        <v>sales record</v>
      </c>
      <c r="AC1460" t="s">
        <v>3</v>
      </c>
      <c r="AD1460">
        <v>41.75785</v>
      </c>
      <c r="AE1460">
        <v>-88.010811</v>
      </c>
      <c r="AF1460" s="5" t="str">
        <f>HYPERLINK("https://www.google.com/maps/search/?api=1&amp;query=41.75785,-88.010811","map")</f>
        <v>map</v>
      </c>
    </row>
    <row r="1461" spans="1:32">
      <c r="A1461" t="s">
        <v>1511</v>
      </c>
      <c r="B1461" t="s">
        <v>9071</v>
      </c>
      <c r="C1461" t="s">
        <v>15308</v>
      </c>
      <c r="D1461" t="s">
        <v>16199</v>
      </c>
      <c r="E1461" t="s">
        <v>16218</v>
      </c>
      <c r="F1461" t="s">
        <v>16221</v>
      </c>
      <c r="G1461" t="s">
        <v>16250</v>
      </c>
      <c r="H1461" t="s">
        <v>16250</v>
      </c>
      <c r="I1461" t="s">
        <v>16326</v>
      </c>
      <c r="J1461" t="s">
        <v>16385</v>
      </c>
      <c r="K1461">
        <v>0.467</v>
      </c>
      <c r="L1461">
        <v>20357</v>
      </c>
      <c r="M1461">
        <v>1640</v>
      </c>
      <c r="N1461" t="s">
        <v>16393</v>
      </c>
      <c r="O1461" s="4">
        <v>105401</v>
      </c>
      <c r="P1461" s="4">
        <v>145531</v>
      </c>
      <c r="Q1461" s="4">
        <v>250932</v>
      </c>
      <c r="R1461" s="4">
        <v>752796</v>
      </c>
      <c r="S1461" t="s">
        <v>17809</v>
      </c>
      <c r="T1461" s="6">
        <v>43891</v>
      </c>
      <c r="U1461" s="4">
        <v>795000</v>
      </c>
      <c r="V1461" t="s">
        <v>23739</v>
      </c>
      <c r="W1461" t="s">
        <v>24449</v>
      </c>
      <c r="X1461" t="s">
        <v>3</v>
      </c>
      <c r="AA1461" s="5" t="str">
        <f>HYPERLINK("https://www.zillow.com/homes/1216-GILBERT-AVE-DOWNERS-GROVE-IL-605154540_rb/","check listing")</f>
        <v>check listing</v>
      </c>
      <c r="AB1461" s="5" t="str">
        <f>HYPERLINK("https://propertylookup.dupagecounty.gov/Datalets/Datalet.aspx?UseSearch=no&amp;mode=sales&amp;pin=0907220025","sales record")</f>
        <v>sales record</v>
      </c>
      <c r="AC1461" t="s">
        <v>3</v>
      </c>
      <c r="AD1461">
        <v>41.794994</v>
      </c>
      <c r="AE1461">
        <v>-88.015264</v>
      </c>
      <c r="AF1461" s="5" t="str">
        <f>HYPERLINK("https://www.google.com/maps/search/?api=1&amp;query=41.794994,-88.015264","map")</f>
        <v>map</v>
      </c>
    </row>
    <row r="1462" spans="1:32">
      <c r="A1462" t="s">
        <v>1512</v>
      </c>
      <c r="B1462" t="s">
        <v>9072</v>
      </c>
      <c r="C1462" t="s">
        <v>15277</v>
      </c>
      <c r="D1462" t="s">
        <v>16199</v>
      </c>
      <c r="E1462" t="s">
        <v>16218</v>
      </c>
      <c r="F1462" t="s">
        <v>16221</v>
      </c>
      <c r="G1462" t="s">
        <v>16250</v>
      </c>
      <c r="H1462" t="s">
        <v>16250</v>
      </c>
      <c r="I1462" t="s">
        <v>16326</v>
      </c>
      <c r="J1462" t="s">
        <v>16385</v>
      </c>
      <c r="K1462">
        <v>0.392</v>
      </c>
      <c r="L1462">
        <v>17087</v>
      </c>
      <c r="M1462">
        <v>1496</v>
      </c>
      <c r="N1462" t="s">
        <v>16393</v>
      </c>
      <c r="O1462" s="4">
        <v>60366</v>
      </c>
      <c r="P1462" s="4">
        <v>76926</v>
      </c>
      <c r="Q1462" s="4">
        <v>137292</v>
      </c>
      <c r="R1462" s="4">
        <v>411876</v>
      </c>
      <c r="S1462" t="s">
        <v>17810</v>
      </c>
      <c r="T1462" s="6">
        <v>34851</v>
      </c>
      <c r="U1462" s="4">
        <v>147000</v>
      </c>
      <c r="X1462" t="s">
        <v>3</v>
      </c>
      <c r="AA1462" s="5" t="str">
        <f>HYPERLINK("https://www.zillow.com/homes/229-MAPLE-AVE-DOWNERS-GROVE-IL-60515_rb/","check listing")</f>
        <v>check listing</v>
      </c>
      <c r="AB1462" s="5" t="str">
        <f>HYPERLINK("https://propertylookup.dupagecounty.gov/Datalets/Datalet.aspx?UseSearch=no&amp;mode=sales&amp;pin=0909111005","sales record")</f>
        <v>sales record</v>
      </c>
      <c r="AC1462" t="s">
        <v>3</v>
      </c>
      <c r="AD1462">
        <v>41.797766</v>
      </c>
      <c r="AE1462">
        <v>-87.99083899999999</v>
      </c>
      <c r="AF1462" s="5" t="str">
        <f>HYPERLINK("https://www.google.com/maps/search/?api=1&amp;query=41.797766,-87.990839","map")</f>
        <v>map</v>
      </c>
    </row>
    <row r="1463" spans="1:32">
      <c r="A1463" t="s">
        <v>1513</v>
      </c>
      <c r="B1463" t="s">
        <v>9073</v>
      </c>
      <c r="C1463" t="s">
        <v>15309</v>
      </c>
      <c r="D1463" t="s">
        <v>16199</v>
      </c>
      <c r="E1463" t="s">
        <v>16218</v>
      </c>
      <c r="F1463" t="s">
        <v>16221</v>
      </c>
      <c r="G1463" t="s">
        <v>16250</v>
      </c>
      <c r="H1463" t="s">
        <v>16250</v>
      </c>
      <c r="I1463" t="s">
        <v>16326</v>
      </c>
      <c r="J1463" t="s">
        <v>16385</v>
      </c>
      <c r="K1463">
        <v>0.388</v>
      </c>
      <c r="L1463">
        <v>16910</v>
      </c>
      <c r="M1463">
        <v>1444</v>
      </c>
      <c r="N1463" t="s">
        <v>16393</v>
      </c>
      <c r="O1463" s="4">
        <v>60366</v>
      </c>
      <c r="P1463" s="4">
        <v>83453</v>
      </c>
      <c r="Q1463" s="4">
        <v>143819</v>
      </c>
      <c r="R1463" s="4">
        <v>431457</v>
      </c>
      <c r="S1463" t="s">
        <v>17811</v>
      </c>
      <c r="T1463" s="6">
        <v>34759</v>
      </c>
      <c r="U1463" s="4">
        <v>132500</v>
      </c>
      <c r="X1463" t="s">
        <v>3</v>
      </c>
      <c r="AA1463" s="5" t="str">
        <f>HYPERLINK("https://www.zillow.com/homes/233-MAPLE-AVE-DOWNERS-GROVE-IL-605153927_rb/","check listing")</f>
        <v>check listing</v>
      </c>
      <c r="AB1463" s="5" t="str">
        <f>HYPERLINK("https://propertylookup.dupagecounty.gov/Datalets/Datalet.aspx?UseSearch=no&amp;mode=sales&amp;pin=0909111004","sales record")</f>
        <v>sales record</v>
      </c>
      <c r="AC1463" t="s">
        <v>3</v>
      </c>
      <c r="AD1463">
        <v>41.797692</v>
      </c>
      <c r="AE1463">
        <v>-87.991045</v>
      </c>
      <c r="AF1463" s="5" t="str">
        <f>HYPERLINK("https://www.google.com/maps/search/?api=1&amp;query=41.797692,-87.991045","map")</f>
        <v>map</v>
      </c>
    </row>
    <row r="1464" spans="1:32">
      <c r="A1464" t="s">
        <v>1514</v>
      </c>
      <c r="B1464" t="s">
        <v>9074</v>
      </c>
      <c r="C1464" t="s">
        <v>15254</v>
      </c>
      <c r="D1464" t="s">
        <v>16199</v>
      </c>
      <c r="E1464" t="s">
        <v>16218</v>
      </c>
      <c r="F1464" t="s">
        <v>16221</v>
      </c>
      <c r="G1464" t="s">
        <v>16249</v>
      </c>
      <c r="H1464" t="s">
        <v>16249</v>
      </c>
      <c r="I1464" t="s">
        <v>16325</v>
      </c>
      <c r="J1464" t="s">
        <v>16385</v>
      </c>
      <c r="K1464">
        <v>0.388</v>
      </c>
      <c r="L1464">
        <v>16898</v>
      </c>
      <c r="M1464">
        <v>1478</v>
      </c>
      <c r="N1464" t="s">
        <v>16393</v>
      </c>
      <c r="O1464" s="4">
        <v>71692</v>
      </c>
      <c r="P1464" s="4">
        <v>104216</v>
      </c>
      <c r="Q1464" s="4">
        <v>175908</v>
      </c>
      <c r="R1464" s="4">
        <v>527724</v>
      </c>
      <c r="S1464" t="s">
        <v>17812</v>
      </c>
      <c r="T1464" s="6">
        <v>41760</v>
      </c>
      <c r="U1464" s="4">
        <v>354000</v>
      </c>
      <c r="V1464" t="s">
        <v>23739</v>
      </c>
      <c r="W1464" t="s">
        <v>24450</v>
      </c>
      <c r="X1464" t="s">
        <v>3</v>
      </c>
      <c r="AA1464" s="5" t="str">
        <f>HYPERLINK("https://www.zillow.com/homes/7409-TICONDEROGA-RD-DOWNERS-GROVE-IL-60516_rb/","check listing")</f>
        <v>check listing</v>
      </c>
      <c r="AB1464" s="5" t="str">
        <f>HYPERLINK("https://propertylookup.dupagecounty.gov/Datalets/Datalet.aspx?UseSearch=no&amp;mode=sales&amp;pin=0930105055","sales record")</f>
        <v>sales record</v>
      </c>
      <c r="AC1464" t="s">
        <v>3</v>
      </c>
      <c r="AD1464">
        <v>41.752183</v>
      </c>
      <c r="AE1464">
        <v>-88.022989</v>
      </c>
      <c r="AF1464" s="5" t="str">
        <f>HYPERLINK("https://www.google.com/maps/search/?api=1&amp;query=41.752183,-88.022989","map")</f>
        <v>map</v>
      </c>
    </row>
    <row r="1465" spans="1:32">
      <c r="A1465" t="s">
        <v>1515</v>
      </c>
      <c r="B1465" t="s">
        <v>9075</v>
      </c>
      <c r="C1465" t="s">
        <v>15277</v>
      </c>
      <c r="D1465" t="s">
        <v>16199</v>
      </c>
      <c r="E1465" t="s">
        <v>16218</v>
      </c>
      <c r="F1465" t="s">
        <v>16221</v>
      </c>
      <c r="G1465" t="s">
        <v>16250</v>
      </c>
      <c r="H1465" t="s">
        <v>16250</v>
      </c>
      <c r="I1465" t="s">
        <v>16326</v>
      </c>
      <c r="J1465" t="s">
        <v>16385</v>
      </c>
      <c r="K1465">
        <v>0.388</v>
      </c>
      <c r="L1465">
        <v>16885</v>
      </c>
      <c r="M1465">
        <v>3536</v>
      </c>
      <c r="N1465" t="s">
        <v>16393</v>
      </c>
      <c r="O1465" s="4">
        <v>141271</v>
      </c>
      <c r="P1465" s="4">
        <v>171765</v>
      </c>
      <c r="Q1465" s="4">
        <v>313036</v>
      </c>
      <c r="R1465" s="4">
        <v>939108</v>
      </c>
      <c r="S1465" t="s">
        <v>17813</v>
      </c>
      <c r="T1465" s="6">
        <v>35278</v>
      </c>
      <c r="U1465" s="4">
        <v>233000</v>
      </c>
      <c r="X1465" t="s">
        <v>3</v>
      </c>
      <c r="AA1465" s="5" t="str">
        <f>HYPERLINK("https://www.zillow.com/homes/4908-HIGHLAND-AVE-DOWNERS-GROVE-IL-60515_rb/","check listing")</f>
        <v>check listing</v>
      </c>
      <c r="AB1465" s="5" t="str">
        <f>HYPERLINK("https://propertylookup.dupagecounty.gov/Datalets/Datalet.aspx?UseSearch=no&amp;mode=sales&amp;pin=0908117015","sales record")</f>
        <v>sales record</v>
      </c>
      <c r="AC1465" t="s">
        <v>3</v>
      </c>
      <c r="AD1465">
        <v>41.797944</v>
      </c>
      <c r="AE1465">
        <v>-88.009804</v>
      </c>
      <c r="AF1465" s="5" t="str">
        <f>HYPERLINK("https://www.google.com/maps/search/?api=1&amp;query=41.797944,-88.009804","map")</f>
        <v>map</v>
      </c>
    </row>
    <row r="1466" spans="1:32">
      <c r="A1466" t="s">
        <v>1516</v>
      </c>
      <c r="B1466" t="s">
        <v>9076</v>
      </c>
      <c r="C1466" t="s">
        <v>15254</v>
      </c>
      <c r="D1466" t="s">
        <v>16199</v>
      </c>
      <c r="E1466" t="s">
        <v>16218</v>
      </c>
      <c r="F1466" t="s">
        <v>16221</v>
      </c>
      <c r="G1466" t="s">
        <v>16249</v>
      </c>
      <c r="H1466" t="s">
        <v>16249</v>
      </c>
      <c r="I1466" t="s">
        <v>16325</v>
      </c>
      <c r="J1466" t="s">
        <v>16385</v>
      </c>
      <c r="K1466">
        <v>0.385</v>
      </c>
      <c r="L1466">
        <v>16782</v>
      </c>
      <c r="M1466">
        <v>1421</v>
      </c>
      <c r="N1466" t="s">
        <v>16393</v>
      </c>
      <c r="O1466" s="4">
        <v>69638</v>
      </c>
      <c r="P1466" s="4">
        <v>113324</v>
      </c>
      <c r="Q1466" s="4">
        <v>182962</v>
      </c>
      <c r="R1466" s="4">
        <v>548886</v>
      </c>
      <c r="S1466" t="s">
        <v>17814</v>
      </c>
      <c r="T1466" s="6">
        <v>32356</v>
      </c>
      <c r="U1466" s="4">
        <v>152240</v>
      </c>
      <c r="X1466" t="s">
        <v>3</v>
      </c>
      <c r="AA1466" s="5" t="str">
        <f>HYPERLINK("https://www.zillow.com/homes/1731-HALL-PL-DOWNERS-GROVE-IL-60516_rb/","check listing")</f>
        <v>check listing</v>
      </c>
      <c r="AB1466" s="5" t="str">
        <f>HYPERLINK("https://propertylookup.dupagecounty.gov/Datalets/Datalet.aspx?UseSearch=no&amp;mode=sales&amp;pin=0930103043","sales record")</f>
        <v>sales record</v>
      </c>
      <c r="AC1466" t="s">
        <v>3</v>
      </c>
      <c r="AD1466">
        <v>41.752218</v>
      </c>
      <c r="AE1466">
        <v>-88.027111</v>
      </c>
      <c r="AF1466" s="5" t="str">
        <f>HYPERLINK("https://www.google.com/maps/search/?api=1&amp;query=41.752218,-88.027111","map")</f>
        <v>map</v>
      </c>
    </row>
    <row r="1467" spans="1:32">
      <c r="A1467" t="s">
        <v>1517</v>
      </c>
      <c r="B1467" t="s">
        <v>9077</v>
      </c>
      <c r="C1467" t="s">
        <v>15277</v>
      </c>
      <c r="D1467" t="s">
        <v>16199</v>
      </c>
      <c r="E1467" t="s">
        <v>16218</v>
      </c>
      <c r="F1467" t="s">
        <v>16221</v>
      </c>
      <c r="G1467" t="s">
        <v>16250</v>
      </c>
      <c r="H1467" t="s">
        <v>16250</v>
      </c>
      <c r="I1467" t="s">
        <v>16326</v>
      </c>
      <c r="J1467" t="s">
        <v>16385</v>
      </c>
      <c r="K1467">
        <v>0.384</v>
      </c>
      <c r="L1467">
        <v>16745</v>
      </c>
      <c r="M1467">
        <v>1022</v>
      </c>
      <c r="N1467" t="s">
        <v>16393</v>
      </c>
      <c r="O1467" s="4">
        <v>65542</v>
      </c>
      <c r="P1467" s="4">
        <v>62936</v>
      </c>
      <c r="Q1467" s="4">
        <v>128478</v>
      </c>
      <c r="R1467" s="4">
        <v>385434</v>
      </c>
      <c r="S1467" t="s">
        <v>17815</v>
      </c>
      <c r="T1467" s="6">
        <v>35947</v>
      </c>
      <c r="U1467" s="4">
        <v>167250</v>
      </c>
      <c r="X1467" t="s">
        <v>3</v>
      </c>
      <c r="AA1467" s="5" t="str">
        <f>HYPERLINK("https://www.zillow.com/homes/303-MAPLE-AVE-DOWNERS-GROVE-IL-60515_rb/","check listing")</f>
        <v>check listing</v>
      </c>
      <c r="AB1467" s="5" t="str">
        <f>HYPERLINK("https://propertylookup.dupagecounty.gov/Datalets/Datalet.aspx?UseSearch=no&amp;mode=sales&amp;pin=0909110008","sales record")</f>
        <v>sales record</v>
      </c>
      <c r="AC1467" t="s">
        <v>3</v>
      </c>
      <c r="AD1467">
        <v>41.797239</v>
      </c>
      <c r="AE1467">
        <v>-87.992373</v>
      </c>
      <c r="AF1467" s="5" t="str">
        <f>HYPERLINK("https://www.google.com/maps/search/?api=1&amp;query=41.797239,-87.992373","map")</f>
        <v>map</v>
      </c>
    </row>
    <row r="1468" spans="1:32">
      <c r="A1468" t="s">
        <v>1518</v>
      </c>
      <c r="B1468" t="s">
        <v>9078</v>
      </c>
      <c r="C1468" t="s">
        <v>15254</v>
      </c>
      <c r="D1468" t="s">
        <v>16199</v>
      </c>
      <c r="E1468" t="s">
        <v>16218</v>
      </c>
      <c r="F1468" t="s">
        <v>16221</v>
      </c>
      <c r="G1468" t="s">
        <v>16249</v>
      </c>
      <c r="H1468" t="s">
        <v>16249</v>
      </c>
      <c r="I1468" t="s">
        <v>16325</v>
      </c>
      <c r="J1468" t="s">
        <v>16385</v>
      </c>
      <c r="K1468">
        <v>0.384</v>
      </c>
      <c r="L1468">
        <v>16711</v>
      </c>
      <c r="M1468">
        <v>2020</v>
      </c>
      <c r="N1468" t="s">
        <v>16393</v>
      </c>
      <c r="O1468" s="4">
        <v>68523</v>
      </c>
      <c r="P1468" s="4">
        <v>112409</v>
      </c>
      <c r="Q1468" s="4">
        <v>180932</v>
      </c>
      <c r="R1468" s="4">
        <v>542796</v>
      </c>
      <c r="S1468" t="s">
        <v>17816</v>
      </c>
      <c r="T1468" s="6">
        <v>40695</v>
      </c>
      <c r="U1468" s="4">
        <v>322000</v>
      </c>
      <c r="V1468" t="s">
        <v>23739</v>
      </c>
      <c r="W1468" t="s">
        <v>24451</v>
      </c>
      <c r="X1468" t="s">
        <v>3</v>
      </c>
      <c r="AA1468" s="5" t="str">
        <f>HYPERLINK("https://www.zillow.com/homes/1731-BORMAN-PL-DOWNERS-GROVE-IL-60516_rb/","check listing")</f>
        <v>check listing</v>
      </c>
      <c r="AB1468" s="5" t="str">
        <f>HYPERLINK("https://propertylookup.dupagecounty.gov/Datalets/Datalet.aspx?UseSearch=no&amp;mode=sales&amp;pin=0930103054","sales record")</f>
        <v>sales record</v>
      </c>
      <c r="AC1468" t="s">
        <v>3</v>
      </c>
      <c r="AD1468">
        <v>41.751286</v>
      </c>
      <c r="AE1468">
        <v>-88.02709</v>
      </c>
      <c r="AF1468" s="5" t="str">
        <f>HYPERLINK("https://www.google.com/maps/search/?api=1&amp;query=41.751286,-88.02709","map")</f>
        <v>map</v>
      </c>
    </row>
    <row r="1469" spans="1:32">
      <c r="A1469" t="s">
        <v>1519</v>
      </c>
      <c r="B1469" t="s">
        <v>9079</v>
      </c>
      <c r="C1469" t="s">
        <v>15277</v>
      </c>
      <c r="D1469" t="s">
        <v>16199</v>
      </c>
      <c r="E1469" t="s">
        <v>16218</v>
      </c>
      <c r="F1469" t="s">
        <v>16221</v>
      </c>
      <c r="G1469" t="s">
        <v>16250</v>
      </c>
      <c r="H1469" t="s">
        <v>16250</v>
      </c>
      <c r="I1469" t="s">
        <v>16326</v>
      </c>
      <c r="J1469" t="s">
        <v>16385</v>
      </c>
      <c r="K1469">
        <v>0.382</v>
      </c>
      <c r="L1469">
        <v>16645</v>
      </c>
      <c r="M1469">
        <v>1291</v>
      </c>
      <c r="N1469" t="s">
        <v>16393</v>
      </c>
      <c r="O1469" s="4">
        <v>53100</v>
      </c>
      <c r="P1469" s="4">
        <v>69016</v>
      </c>
      <c r="Q1469" s="4">
        <v>122116</v>
      </c>
      <c r="R1469" s="4">
        <v>366348</v>
      </c>
      <c r="S1469" t="s">
        <v>17817</v>
      </c>
      <c r="X1469" t="s">
        <v>3</v>
      </c>
      <c r="AA1469" s="5" t="str">
        <f>HYPERLINK("https://www.zillow.com/homes/4332-FLORENCE-AVE-DOWNERS-GROVE-IL-60515_rb/","check listing")</f>
        <v>check listing</v>
      </c>
      <c r="AB1469" s="5" t="str">
        <f>HYPERLINK("https://propertylookup.dupagecounty.gov/Datalets/Datalet.aspx?UseSearch=no&amp;mode=sales&amp;pin=0904300045","sales record")</f>
        <v>sales record</v>
      </c>
      <c r="AC1469" t="s">
        <v>3</v>
      </c>
      <c r="AD1469">
        <v>41.808337</v>
      </c>
      <c r="AE1469">
        <v>-87.993774</v>
      </c>
      <c r="AF1469" s="5" t="str">
        <f>HYPERLINK("https://www.google.com/maps/search/?api=1&amp;query=41.808337,-87.993774","map")</f>
        <v>map</v>
      </c>
    </row>
    <row r="1470" spans="1:32">
      <c r="A1470" t="s">
        <v>1520</v>
      </c>
      <c r="B1470" t="s">
        <v>9080</v>
      </c>
      <c r="C1470" t="s">
        <v>15277</v>
      </c>
      <c r="D1470" t="s">
        <v>16199</v>
      </c>
      <c r="E1470" t="s">
        <v>16218</v>
      </c>
      <c r="F1470" t="s">
        <v>16221</v>
      </c>
      <c r="G1470" t="s">
        <v>16250</v>
      </c>
      <c r="H1470" t="s">
        <v>16250</v>
      </c>
      <c r="I1470" t="s">
        <v>16326</v>
      </c>
      <c r="J1470" t="s">
        <v>16385</v>
      </c>
      <c r="K1470">
        <v>0.382</v>
      </c>
      <c r="L1470">
        <v>16636</v>
      </c>
      <c r="M1470">
        <v>2203</v>
      </c>
      <c r="N1470" t="s">
        <v>16393</v>
      </c>
      <c r="O1470" s="4">
        <v>55893</v>
      </c>
      <c r="P1470" s="4">
        <v>32665</v>
      </c>
      <c r="Q1470" s="4">
        <v>88558</v>
      </c>
      <c r="R1470" s="4">
        <v>265674</v>
      </c>
      <c r="S1470" t="s">
        <v>17818</v>
      </c>
      <c r="T1470" s="6">
        <v>38687</v>
      </c>
      <c r="U1470" s="4">
        <v>273000</v>
      </c>
      <c r="V1470" t="s">
        <v>16232</v>
      </c>
      <c r="W1470" t="s">
        <v>17818</v>
      </c>
      <c r="X1470" t="s">
        <v>3</v>
      </c>
      <c r="AA1470" s="5" t="str">
        <f>HYPERLINK("https://www.zillow.com/homes/4336-FLORENCE-AVE-DOWNERS-GROVE-IL-60515_rb/","check listing")</f>
        <v>check listing</v>
      </c>
      <c r="AB1470" s="5" t="str">
        <f>HYPERLINK("https://propertylookup.dupagecounty.gov/Datalets/Datalet.aspx?UseSearch=no&amp;mode=sales&amp;pin=0904300046","sales record")</f>
        <v>sales record</v>
      </c>
      <c r="AC1470" t="s">
        <v>3</v>
      </c>
      <c r="AD1470">
        <v>41.8082</v>
      </c>
      <c r="AE1470">
        <v>-87.993768</v>
      </c>
      <c r="AF1470" s="5" t="str">
        <f>HYPERLINK("https://www.google.com/maps/search/?api=1&amp;query=41.8082,-87.993768","map")</f>
        <v>map</v>
      </c>
    </row>
    <row r="1471" spans="1:32">
      <c r="A1471" t="s">
        <v>1521</v>
      </c>
      <c r="B1471" t="s">
        <v>9081</v>
      </c>
      <c r="C1471" t="s">
        <v>15277</v>
      </c>
      <c r="D1471" t="s">
        <v>16199</v>
      </c>
      <c r="E1471" t="s">
        <v>16218</v>
      </c>
      <c r="F1471" t="s">
        <v>16221</v>
      </c>
      <c r="G1471" t="s">
        <v>16250</v>
      </c>
      <c r="H1471" t="s">
        <v>16250</v>
      </c>
      <c r="I1471" t="s">
        <v>16326</v>
      </c>
      <c r="J1471" t="s">
        <v>16385</v>
      </c>
      <c r="K1471">
        <v>0.38</v>
      </c>
      <c r="L1471">
        <v>16563</v>
      </c>
      <c r="M1471">
        <v>2342</v>
      </c>
      <c r="N1471" t="s">
        <v>16393</v>
      </c>
      <c r="O1471" s="4">
        <v>60366</v>
      </c>
      <c r="P1471" s="4">
        <v>74110</v>
      </c>
      <c r="Q1471" s="4">
        <v>134476</v>
      </c>
      <c r="R1471" s="4">
        <v>403428</v>
      </c>
      <c r="S1471" t="s">
        <v>17819</v>
      </c>
      <c r="T1471" s="6">
        <v>34394</v>
      </c>
      <c r="U1471" s="4">
        <v>154000</v>
      </c>
      <c r="X1471" t="s">
        <v>3</v>
      </c>
      <c r="AA1471" s="5" t="str">
        <f>HYPERLINK("https://www.zillow.com/homes/237-MAPLE-AVE-DOWNERS-GROVE-IL-60515_rb/","check listing")</f>
        <v>check listing</v>
      </c>
      <c r="AB1471" s="5" t="str">
        <f>HYPERLINK("https://propertylookup.dupagecounty.gov/Datalets/Datalet.aspx?UseSearch=no&amp;mode=sales&amp;pin=0909111003","sales record")</f>
        <v>sales record</v>
      </c>
      <c r="AC1471" t="s">
        <v>3</v>
      </c>
      <c r="AD1471">
        <v>41.797627</v>
      </c>
      <c r="AE1471">
        <v>-87.991247</v>
      </c>
      <c r="AF1471" s="5" t="str">
        <f>HYPERLINK("https://www.google.com/maps/search/?api=1&amp;query=41.797627,-87.991247","map")</f>
        <v>map</v>
      </c>
    </row>
    <row r="1472" spans="1:32">
      <c r="A1472" t="s">
        <v>1522</v>
      </c>
      <c r="B1472" t="s">
        <v>9082</v>
      </c>
      <c r="C1472" t="s">
        <v>15254</v>
      </c>
      <c r="D1472" t="s">
        <v>16199</v>
      </c>
      <c r="E1472" t="s">
        <v>16218</v>
      </c>
      <c r="F1472" t="s">
        <v>16221</v>
      </c>
      <c r="G1472" t="s">
        <v>16249</v>
      </c>
      <c r="H1472" t="s">
        <v>16249</v>
      </c>
      <c r="I1472" t="s">
        <v>16325</v>
      </c>
      <c r="J1472" t="s">
        <v>16385</v>
      </c>
      <c r="K1472">
        <v>0.378</v>
      </c>
      <c r="L1472">
        <v>16479</v>
      </c>
      <c r="M1472">
        <v>1728</v>
      </c>
      <c r="N1472" t="s">
        <v>16393</v>
      </c>
      <c r="O1472" s="4">
        <v>68992</v>
      </c>
      <c r="P1472" s="4">
        <v>107455</v>
      </c>
      <c r="Q1472" s="4">
        <v>176447</v>
      </c>
      <c r="R1472" s="4">
        <v>529341</v>
      </c>
      <c r="S1472" t="s">
        <v>17820</v>
      </c>
      <c r="T1472" s="6">
        <v>37288</v>
      </c>
      <c r="U1472" s="4">
        <v>280000</v>
      </c>
      <c r="V1472" t="s">
        <v>23739</v>
      </c>
      <c r="W1472" t="s">
        <v>24452</v>
      </c>
      <c r="X1472" t="s">
        <v>3</v>
      </c>
      <c r="AA1472" s="5" t="str">
        <f>HYPERLINK("https://www.zillow.com/homes/1729-GRAHAM-AVE-DOWNERS-GROVE-IL-60516_rb/","check listing")</f>
        <v>check listing</v>
      </c>
      <c r="AB1472" s="5" t="str">
        <f>HYPERLINK("https://propertylookup.dupagecounty.gov/Datalets/Datalet.aspx?UseSearch=no&amp;mode=sales&amp;pin=0930103032","sales record")</f>
        <v>sales record</v>
      </c>
      <c r="AC1472" t="s">
        <v>3</v>
      </c>
      <c r="AD1472">
        <v>41.753231</v>
      </c>
      <c r="AE1472">
        <v>-88.02698599999999</v>
      </c>
      <c r="AF1472" s="5" t="str">
        <f>HYPERLINK("https://www.google.com/maps/search/?api=1&amp;query=41.753231,-88.026986","map")</f>
        <v>map</v>
      </c>
    </row>
    <row r="1473" spans="1:32">
      <c r="A1473" t="s">
        <v>1523</v>
      </c>
      <c r="B1473" t="s">
        <v>9083</v>
      </c>
      <c r="C1473" t="s">
        <v>15254</v>
      </c>
      <c r="D1473" t="s">
        <v>16199</v>
      </c>
      <c r="E1473" t="s">
        <v>16218</v>
      </c>
      <c r="F1473" t="s">
        <v>16221</v>
      </c>
      <c r="G1473" t="s">
        <v>16249</v>
      </c>
      <c r="H1473" t="s">
        <v>16249</v>
      </c>
      <c r="I1473" t="s">
        <v>16325</v>
      </c>
      <c r="J1473" t="s">
        <v>16385</v>
      </c>
      <c r="K1473">
        <v>0.367</v>
      </c>
      <c r="L1473">
        <v>15966</v>
      </c>
      <c r="M1473">
        <v>1846</v>
      </c>
      <c r="N1473" t="s">
        <v>16393</v>
      </c>
      <c r="O1473" s="4">
        <v>69720</v>
      </c>
      <c r="P1473" s="4">
        <v>138782</v>
      </c>
      <c r="Q1473" s="4">
        <v>208502</v>
      </c>
      <c r="R1473" s="4">
        <v>625506</v>
      </c>
      <c r="S1473" t="s">
        <v>17821</v>
      </c>
      <c r="T1473" s="6">
        <v>31747</v>
      </c>
      <c r="U1473" s="4">
        <v>141160</v>
      </c>
      <c r="X1473" t="s">
        <v>3</v>
      </c>
      <c r="AA1473" s="5" t="str">
        <f>HYPERLINK("https://www.zillow.com/homes/1728-HALL-PL-DOWNERS-GROVE-IL-60516_rb/","check listing")</f>
        <v>check listing</v>
      </c>
      <c r="AB1473" s="5" t="str">
        <f>HYPERLINK("https://propertylookup.dupagecounty.gov/Datalets/Datalet.aspx?UseSearch=no&amp;mode=sales&amp;pin=0930103041","sales record")</f>
        <v>sales record</v>
      </c>
      <c r="AC1473" t="s">
        <v>3</v>
      </c>
      <c r="AD1473">
        <v>41.75275</v>
      </c>
      <c r="AE1473">
        <v>-88.026973</v>
      </c>
      <c r="AF1473" s="5" t="str">
        <f>HYPERLINK("https://www.google.com/maps/search/?api=1&amp;query=41.75275,-88.026973","map")</f>
        <v>map</v>
      </c>
    </row>
    <row r="1474" spans="1:32">
      <c r="A1474" t="s">
        <v>1524</v>
      </c>
      <c r="B1474" t="s">
        <v>9084</v>
      </c>
      <c r="C1474" t="s">
        <v>15254</v>
      </c>
      <c r="D1474" t="s">
        <v>16199</v>
      </c>
      <c r="E1474" t="s">
        <v>16218</v>
      </c>
      <c r="F1474" t="s">
        <v>16221</v>
      </c>
      <c r="G1474" t="s">
        <v>16249</v>
      </c>
      <c r="H1474" t="s">
        <v>16249</v>
      </c>
      <c r="I1474" t="s">
        <v>16325</v>
      </c>
      <c r="J1474" t="s">
        <v>16385</v>
      </c>
      <c r="K1474">
        <v>0.365</v>
      </c>
      <c r="L1474">
        <v>15898</v>
      </c>
      <c r="M1474">
        <v>1742</v>
      </c>
      <c r="N1474" t="s">
        <v>16393</v>
      </c>
      <c r="O1474" s="4">
        <v>72385</v>
      </c>
      <c r="P1474" s="4">
        <v>117632</v>
      </c>
      <c r="Q1474" s="4">
        <v>190017</v>
      </c>
      <c r="R1474" s="4">
        <v>570051</v>
      </c>
      <c r="S1474" t="s">
        <v>17822</v>
      </c>
      <c r="T1474" s="6">
        <v>31929</v>
      </c>
      <c r="U1474" s="4">
        <v>147039</v>
      </c>
      <c r="X1474" t="s">
        <v>3</v>
      </c>
      <c r="AA1474" s="5" t="str">
        <f>HYPERLINK("https://www.zillow.com/homes/7210-TICONDEROGA-PL-DOWNERS-GROVE-IL-60516_rb/","check listing")</f>
        <v>check listing</v>
      </c>
      <c r="AB1474" s="5" t="str">
        <f>HYPERLINK("https://propertylookup.dupagecounty.gov/Datalets/Datalet.aspx?UseSearch=no&amp;mode=sales&amp;pin=0930105035","sales record")</f>
        <v>sales record</v>
      </c>
      <c r="AC1474" t="s">
        <v>3</v>
      </c>
      <c r="AD1474">
        <v>41.755989</v>
      </c>
      <c r="AE1474">
        <v>-88.02412099999999</v>
      </c>
      <c r="AF1474" s="5" t="str">
        <f>HYPERLINK("https://www.google.com/maps/search/?api=1&amp;query=41.755989,-88.024121","map")</f>
        <v>map</v>
      </c>
    </row>
    <row r="1475" spans="1:32">
      <c r="A1475" t="s">
        <v>1525</v>
      </c>
      <c r="B1475" t="s">
        <v>9085</v>
      </c>
      <c r="C1475" t="s">
        <v>15254</v>
      </c>
      <c r="D1475" t="s">
        <v>16199</v>
      </c>
      <c r="E1475" t="s">
        <v>16218</v>
      </c>
      <c r="F1475" t="s">
        <v>16221</v>
      </c>
      <c r="G1475" t="s">
        <v>16249</v>
      </c>
      <c r="H1475" t="s">
        <v>16249</v>
      </c>
      <c r="I1475" t="s">
        <v>16325</v>
      </c>
      <c r="J1475" t="s">
        <v>16385</v>
      </c>
      <c r="K1475">
        <v>0.364</v>
      </c>
      <c r="L1475">
        <v>15852</v>
      </c>
      <c r="M1475">
        <v>2270</v>
      </c>
      <c r="N1475" t="s">
        <v>16393</v>
      </c>
      <c r="O1475" s="4">
        <v>72243</v>
      </c>
      <c r="P1475" s="4">
        <v>110718</v>
      </c>
      <c r="Q1475" s="4">
        <v>182961</v>
      </c>
      <c r="R1475" s="4">
        <v>548883</v>
      </c>
      <c r="S1475" t="s">
        <v>17823</v>
      </c>
      <c r="T1475" s="6">
        <v>36251</v>
      </c>
      <c r="U1475" s="4">
        <v>215000</v>
      </c>
      <c r="X1475" t="s">
        <v>3</v>
      </c>
      <c r="AA1475" s="5" t="str">
        <f>HYPERLINK("https://www.zillow.com/homes/7241-KIDWELL-RD-DOWNERS-GROVE-IL-60516_rb/","check listing")</f>
        <v>check listing</v>
      </c>
      <c r="AB1475" s="5" t="str">
        <f>HYPERLINK("https://propertylookup.dupagecounty.gov/Datalets/Datalet.aspx?UseSearch=no&amp;mode=sales&amp;pin=0930209020","sales record")</f>
        <v>sales record</v>
      </c>
      <c r="AC1475" t="s">
        <v>3</v>
      </c>
      <c r="AD1475">
        <v>41.754949</v>
      </c>
      <c r="AE1475">
        <v>-88.01325199999999</v>
      </c>
      <c r="AF1475" s="5" t="str">
        <f>HYPERLINK("https://www.google.com/maps/search/?api=1&amp;query=41.754949,-88.013252","map")</f>
        <v>map</v>
      </c>
    </row>
    <row r="1476" spans="1:32">
      <c r="A1476" t="s">
        <v>1526</v>
      </c>
      <c r="B1476" t="s">
        <v>9086</v>
      </c>
      <c r="C1476" t="s">
        <v>15254</v>
      </c>
      <c r="D1476" t="s">
        <v>16199</v>
      </c>
      <c r="E1476" t="s">
        <v>16218</v>
      </c>
      <c r="F1476" t="s">
        <v>16221</v>
      </c>
      <c r="G1476" t="s">
        <v>16249</v>
      </c>
      <c r="H1476" t="s">
        <v>16249</v>
      </c>
      <c r="I1476" t="s">
        <v>16325</v>
      </c>
      <c r="J1476" t="s">
        <v>16385</v>
      </c>
      <c r="K1476">
        <v>0.361</v>
      </c>
      <c r="L1476">
        <v>15716</v>
      </c>
      <c r="M1476">
        <v>1943</v>
      </c>
      <c r="N1476" t="s">
        <v>16393</v>
      </c>
      <c r="O1476" s="4">
        <v>68100</v>
      </c>
      <c r="P1476" s="4">
        <v>116459</v>
      </c>
      <c r="Q1476" s="4">
        <v>184559</v>
      </c>
      <c r="R1476" s="4">
        <v>553677</v>
      </c>
      <c r="S1476" t="s">
        <v>17824</v>
      </c>
      <c r="T1476" s="6">
        <v>39479</v>
      </c>
      <c r="U1476" s="4">
        <v>381500</v>
      </c>
      <c r="V1476" t="s">
        <v>23739</v>
      </c>
      <c r="W1476" t="s">
        <v>24453</v>
      </c>
      <c r="X1476" t="s">
        <v>3</v>
      </c>
      <c r="AA1476" s="5" t="str">
        <f>HYPERLINK("https://www.zillow.com/homes/1728-BORMAN-PL-DOWNERS-GROVE-IL-60516_rb/","check listing")</f>
        <v>check listing</v>
      </c>
      <c r="AB1476" s="5" t="str">
        <f>HYPERLINK("https://propertylookup.dupagecounty.gov/Datalets/Datalet.aspx?UseSearch=no&amp;mode=sales&amp;pin=0930103052","sales record")</f>
        <v>sales record</v>
      </c>
      <c r="AC1476" t="s">
        <v>3</v>
      </c>
      <c r="AD1476">
        <v>41.751829</v>
      </c>
      <c r="AE1476">
        <v>-88.02693499999999</v>
      </c>
      <c r="AF1476" s="5" t="str">
        <f>HYPERLINK("https://www.google.com/maps/search/?api=1&amp;query=41.751829,-88.026935","map")</f>
        <v>map</v>
      </c>
    </row>
    <row r="1477" spans="1:32">
      <c r="A1477" t="s">
        <v>1527</v>
      </c>
      <c r="B1477" t="s">
        <v>9087</v>
      </c>
      <c r="C1477" t="s">
        <v>15254</v>
      </c>
      <c r="D1477" t="s">
        <v>16199</v>
      </c>
      <c r="E1477" t="s">
        <v>16218</v>
      </c>
      <c r="F1477" t="s">
        <v>16221</v>
      </c>
      <c r="G1477" t="s">
        <v>16249</v>
      </c>
      <c r="H1477" t="s">
        <v>16249</v>
      </c>
      <c r="I1477" t="s">
        <v>16325</v>
      </c>
      <c r="J1477" t="s">
        <v>16385</v>
      </c>
      <c r="K1477">
        <v>0.35</v>
      </c>
      <c r="L1477">
        <v>15234</v>
      </c>
      <c r="M1477">
        <v>1694</v>
      </c>
      <c r="N1477" t="s">
        <v>16393</v>
      </c>
      <c r="O1477" s="4">
        <v>83547</v>
      </c>
      <c r="P1477" s="4">
        <v>114298</v>
      </c>
      <c r="Q1477" s="4">
        <v>197845</v>
      </c>
      <c r="R1477" s="4">
        <v>593535</v>
      </c>
      <c r="S1477" t="s">
        <v>17825</v>
      </c>
      <c r="T1477" s="6">
        <v>39630</v>
      </c>
      <c r="U1477" s="4">
        <v>385000</v>
      </c>
      <c r="V1477" t="s">
        <v>23739</v>
      </c>
      <c r="W1477" t="s">
        <v>24454</v>
      </c>
      <c r="X1477" t="s">
        <v>3</v>
      </c>
      <c r="AA1477" s="5" t="str">
        <f>HYPERLINK("https://www.zillow.com/homes/1501-71ST-ST-DOWNERS-GROVE-IL-60516_rb/","check listing")</f>
        <v>check listing</v>
      </c>
      <c r="AB1477" s="5" t="str">
        <f>HYPERLINK("https://propertylookup.dupagecounty.gov/Datalets/Datalet.aspx?UseSearch=no&amp;mode=sales&amp;pin=0919418021","sales record")</f>
        <v>sales record</v>
      </c>
      <c r="AC1477" t="s">
        <v>3</v>
      </c>
      <c r="AD1477">
        <v>41.758985</v>
      </c>
      <c r="AE1477">
        <v>-88.020813</v>
      </c>
      <c r="AF1477" s="5" t="str">
        <f>HYPERLINK("https://www.google.com/maps/search/?api=1&amp;query=41.758985,-88.020813","map")</f>
        <v>map</v>
      </c>
    </row>
    <row r="1478" spans="1:32">
      <c r="A1478" t="s">
        <v>1528</v>
      </c>
      <c r="B1478" t="s">
        <v>9088</v>
      </c>
      <c r="C1478" t="s">
        <v>15254</v>
      </c>
      <c r="D1478" t="s">
        <v>16199</v>
      </c>
      <c r="E1478" t="s">
        <v>16218</v>
      </c>
      <c r="F1478" t="s">
        <v>16221</v>
      </c>
      <c r="G1478" t="s">
        <v>16249</v>
      </c>
      <c r="H1478" t="s">
        <v>16249</v>
      </c>
      <c r="I1478" t="s">
        <v>16325</v>
      </c>
      <c r="J1478" t="s">
        <v>16385</v>
      </c>
      <c r="K1478">
        <v>0.348</v>
      </c>
      <c r="L1478">
        <v>15146</v>
      </c>
      <c r="M1478">
        <v>1801</v>
      </c>
      <c r="N1478" t="s">
        <v>16393</v>
      </c>
      <c r="O1478" s="4">
        <v>78911</v>
      </c>
      <c r="P1478" s="4">
        <v>105812</v>
      </c>
      <c r="Q1478" s="4">
        <v>184723</v>
      </c>
      <c r="R1478" s="4">
        <v>554169</v>
      </c>
      <c r="S1478" t="s">
        <v>17826</v>
      </c>
      <c r="T1478" s="6">
        <v>32082</v>
      </c>
      <c r="U1478" s="4">
        <v>138443</v>
      </c>
      <c r="X1478" t="s">
        <v>3</v>
      </c>
      <c r="AA1478" s="5" t="str">
        <f>HYPERLINK("https://www.zillow.com/homes/1617-DEVEREUX-RD-DOWNERS-GROVE-IL-60516_rb/","check listing")</f>
        <v>check listing</v>
      </c>
      <c r="AB1478" s="5" t="str">
        <f>HYPERLINK("https://propertylookup.dupagecounty.gov/Datalets/Datalet.aspx?UseSearch=no&amp;mode=sales&amp;pin=0930107018","sales record")</f>
        <v>sales record</v>
      </c>
      <c r="AC1478" t="s">
        <v>3</v>
      </c>
      <c r="AD1478">
        <v>41.753941</v>
      </c>
      <c r="AE1478">
        <v>-88.024143</v>
      </c>
      <c r="AF1478" s="5" t="str">
        <f>HYPERLINK("https://www.google.com/maps/search/?api=1&amp;query=41.753941,-88.024143","map")</f>
        <v>map</v>
      </c>
    </row>
    <row r="1479" spans="1:32">
      <c r="A1479" t="s">
        <v>1529</v>
      </c>
      <c r="B1479" t="s">
        <v>9089</v>
      </c>
      <c r="C1479" t="s">
        <v>15254</v>
      </c>
      <c r="D1479" t="s">
        <v>16199</v>
      </c>
      <c r="E1479" t="s">
        <v>16218</v>
      </c>
      <c r="F1479" t="s">
        <v>16221</v>
      </c>
      <c r="G1479" t="s">
        <v>16249</v>
      </c>
      <c r="H1479" t="s">
        <v>16249</v>
      </c>
      <c r="I1479" t="s">
        <v>16325</v>
      </c>
      <c r="J1479" t="s">
        <v>16385</v>
      </c>
      <c r="K1479">
        <v>0.346</v>
      </c>
      <c r="L1479">
        <v>15092</v>
      </c>
      <c r="M1479">
        <v>1908</v>
      </c>
      <c r="N1479" t="s">
        <v>16393</v>
      </c>
      <c r="O1479" s="4">
        <v>64989</v>
      </c>
      <c r="P1479" s="4">
        <v>109216</v>
      </c>
      <c r="Q1479" s="4">
        <v>174205</v>
      </c>
      <c r="R1479" s="4">
        <v>522615</v>
      </c>
      <c r="S1479" t="s">
        <v>17827</v>
      </c>
      <c r="T1479" s="6">
        <v>39295</v>
      </c>
      <c r="U1479" s="4">
        <v>415000</v>
      </c>
      <c r="V1479" t="s">
        <v>23739</v>
      </c>
      <c r="W1479" t="s">
        <v>24455</v>
      </c>
      <c r="X1479" t="s">
        <v>3</v>
      </c>
      <c r="AA1479" s="5" t="str">
        <f>HYPERLINK("https://www.zillow.com/homes/7031-POWELL-CT-DOWNERS-GROVE-IL-60516_rb/","check listing")</f>
        <v>check listing</v>
      </c>
      <c r="AB1479" s="5" t="str">
        <f>HYPERLINK("https://propertylookup.dupagecounty.gov/Datalets/Datalet.aspx?UseSearch=no&amp;mode=sales&amp;pin=0919420016","sales record")</f>
        <v>sales record</v>
      </c>
      <c r="AC1479" t="s">
        <v>3</v>
      </c>
      <c r="AD1479">
        <v>41.758947</v>
      </c>
      <c r="AE1479">
        <v>-88.01664599999999</v>
      </c>
      <c r="AF1479" s="5" t="str">
        <f>HYPERLINK("https://www.google.com/maps/search/?api=1&amp;query=41.758947,-88.016646","map")</f>
        <v>map</v>
      </c>
    </row>
    <row r="1480" spans="1:32">
      <c r="A1480" t="s">
        <v>1530</v>
      </c>
      <c r="B1480" t="s">
        <v>9090</v>
      </c>
      <c r="C1480" t="s">
        <v>15310</v>
      </c>
      <c r="D1480" t="s">
        <v>16199</v>
      </c>
      <c r="E1480" t="s">
        <v>16218</v>
      </c>
      <c r="F1480" t="s">
        <v>16221</v>
      </c>
      <c r="G1480" t="s">
        <v>16249</v>
      </c>
      <c r="H1480" t="s">
        <v>16249</v>
      </c>
      <c r="I1480" t="s">
        <v>16325</v>
      </c>
      <c r="J1480" t="s">
        <v>16385</v>
      </c>
      <c r="K1480">
        <v>0.346</v>
      </c>
      <c r="L1480">
        <v>15079</v>
      </c>
      <c r="M1480">
        <v>1699</v>
      </c>
      <c r="N1480" t="s">
        <v>16393</v>
      </c>
      <c r="O1480" s="4">
        <v>85870</v>
      </c>
      <c r="P1480" s="4">
        <v>109005</v>
      </c>
      <c r="Q1480" s="4">
        <v>194875</v>
      </c>
      <c r="R1480" s="4">
        <v>584625</v>
      </c>
      <c r="S1480" t="s">
        <v>17828</v>
      </c>
      <c r="T1480" s="6">
        <v>44044</v>
      </c>
      <c r="U1480" s="4">
        <v>390000</v>
      </c>
      <c r="V1480" t="s">
        <v>23739</v>
      </c>
      <c r="W1480" t="s">
        <v>24456</v>
      </c>
      <c r="X1480" t="s">
        <v>3</v>
      </c>
      <c r="AA1480" s="5" t="str">
        <f>HYPERLINK("https://www.zillow.com/homes/1710-GRAHAM-AVE-DOWNERS-GROVE-IL-605163736_rb/","check listing")</f>
        <v>check listing</v>
      </c>
      <c r="AB1480" s="5" t="str">
        <f>HYPERLINK("https://propertylookup.dupagecounty.gov/Datalets/Datalet.aspx?UseSearch=no&amp;mode=sales&amp;pin=0930106021","sales record")</f>
        <v>sales record</v>
      </c>
      <c r="AC1480" t="s">
        <v>3</v>
      </c>
      <c r="AD1480">
        <v>41.753606</v>
      </c>
      <c r="AE1480">
        <v>-88.02555700000001</v>
      </c>
      <c r="AF1480" s="5" t="str">
        <f>HYPERLINK("https://www.google.com/maps/search/?api=1&amp;query=41.753606,-88.025557","map")</f>
        <v>map</v>
      </c>
    </row>
    <row r="1481" spans="1:32">
      <c r="A1481" t="s">
        <v>1531</v>
      </c>
      <c r="B1481" t="s">
        <v>9091</v>
      </c>
      <c r="C1481" t="s">
        <v>15254</v>
      </c>
      <c r="D1481" t="s">
        <v>16199</v>
      </c>
      <c r="E1481" t="s">
        <v>16218</v>
      </c>
      <c r="F1481" t="s">
        <v>16221</v>
      </c>
      <c r="G1481" t="s">
        <v>16249</v>
      </c>
      <c r="H1481" t="s">
        <v>16249</v>
      </c>
      <c r="I1481" t="s">
        <v>16325</v>
      </c>
      <c r="J1481" t="s">
        <v>16385</v>
      </c>
      <c r="K1481">
        <v>0.344</v>
      </c>
      <c r="L1481">
        <v>14987</v>
      </c>
      <c r="M1481">
        <v>2700</v>
      </c>
      <c r="N1481" t="s">
        <v>16393</v>
      </c>
      <c r="O1481" s="4">
        <v>70542</v>
      </c>
      <c r="P1481" s="4">
        <v>190110</v>
      </c>
      <c r="Q1481" s="4">
        <v>260652</v>
      </c>
      <c r="R1481" s="4">
        <v>781956</v>
      </c>
      <c r="S1481" t="s">
        <v>17829</v>
      </c>
      <c r="T1481" s="6">
        <v>36465</v>
      </c>
      <c r="U1481" s="4">
        <v>332700</v>
      </c>
      <c r="X1481" t="s">
        <v>3</v>
      </c>
      <c r="AA1481" s="5" t="str">
        <f>HYPERLINK("https://www.zillow.com/homes/7121-DUNHAM-RD-DOWNERS-GROVE-IL-60516_rb/","check listing")</f>
        <v>check listing</v>
      </c>
      <c r="AB1481" s="5" t="str">
        <f>HYPERLINK("https://propertylookup.dupagecounty.gov/Datalets/Datalet.aspx?UseSearch=no&amp;mode=sales&amp;pin=0929116007","sales record")</f>
        <v>sales record</v>
      </c>
      <c r="AC1481" t="s">
        <v>3</v>
      </c>
      <c r="AD1481">
        <v>41.757225</v>
      </c>
      <c r="AE1481">
        <v>-88.01245900000001</v>
      </c>
      <c r="AF1481" s="5" t="str">
        <f>HYPERLINK("https://www.google.com/maps/search/?api=1&amp;query=41.757225,-88.012459","map")</f>
        <v>map</v>
      </c>
    </row>
    <row r="1482" spans="1:32">
      <c r="A1482" t="s">
        <v>1532</v>
      </c>
      <c r="B1482" t="s">
        <v>9092</v>
      </c>
      <c r="C1482" t="s">
        <v>15254</v>
      </c>
      <c r="D1482" t="s">
        <v>16199</v>
      </c>
      <c r="E1482" t="s">
        <v>16218</v>
      </c>
      <c r="F1482" t="s">
        <v>16221</v>
      </c>
      <c r="G1482" t="s">
        <v>16249</v>
      </c>
      <c r="H1482" t="s">
        <v>16249</v>
      </c>
      <c r="I1482" t="s">
        <v>16325</v>
      </c>
      <c r="J1482" t="s">
        <v>16385</v>
      </c>
      <c r="K1482">
        <v>0.343</v>
      </c>
      <c r="L1482">
        <v>14926</v>
      </c>
      <c r="M1482">
        <v>1802</v>
      </c>
      <c r="N1482" t="s">
        <v>16393</v>
      </c>
      <c r="O1482" s="4">
        <v>58663</v>
      </c>
      <c r="P1482" s="4">
        <v>107984</v>
      </c>
      <c r="Q1482" s="4">
        <v>166647</v>
      </c>
      <c r="R1482" s="4">
        <v>499941</v>
      </c>
      <c r="S1482" t="s">
        <v>17830</v>
      </c>
      <c r="T1482" s="6">
        <v>31898</v>
      </c>
      <c r="U1482" s="4">
        <v>146620</v>
      </c>
      <c r="X1482" t="s">
        <v>3</v>
      </c>
      <c r="AA1482" s="5" t="str">
        <f>HYPERLINK("https://www.zillow.com/homes/7264-SPRINGSIDE-AVE-DOWNERS-GROVE-IL-60516_rb/","check listing")</f>
        <v>check listing</v>
      </c>
      <c r="AB1482" s="5" t="str">
        <f>HYPERLINK("https://propertylookup.dupagecounty.gov/Datalets/Datalet.aspx?UseSearch=no&amp;mode=sales&amp;pin=0930202019","sales record")</f>
        <v>sales record</v>
      </c>
      <c r="AC1482" t="s">
        <v>3</v>
      </c>
      <c r="AD1482">
        <v>41.754866</v>
      </c>
      <c r="AE1482">
        <v>-88.02240399999999</v>
      </c>
      <c r="AF1482" s="5" t="str">
        <f>HYPERLINK("https://www.google.com/maps/search/?api=1&amp;query=41.754866,-88.022404","map")</f>
        <v>map</v>
      </c>
    </row>
    <row r="1483" spans="1:32">
      <c r="A1483" t="s">
        <v>1533</v>
      </c>
      <c r="B1483" t="s">
        <v>9093</v>
      </c>
      <c r="C1483" t="s">
        <v>15254</v>
      </c>
      <c r="D1483" t="s">
        <v>16199</v>
      </c>
      <c r="E1483" t="s">
        <v>16218</v>
      </c>
      <c r="F1483" t="s">
        <v>16221</v>
      </c>
      <c r="G1483" t="s">
        <v>16249</v>
      </c>
      <c r="H1483" t="s">
        <v>16249</v>
      </c>
      <c r="I1483" t="s">
        <v>16325</v>
      </c>
      <c r="J1483" t="s">
        <v>16385</v>
      </c>
      <c r="K1483">
        <v>0.341</v>
      </c>
      <c r="L1483">
        <v>14864</v>
      </c>
      <c r="M1483">
        <v>2441</v>
      </c>
      <c r="N1483" t="s">
        <v>16393</v>
      </c>
      <c r="O1483" s="4">
        <v>67607</v>
      </c>
      <c r="P1483" s="4">
        <v>183325</v>
      </c>
      <c r="Q1483" s="4">
        <v>250932</v>
      </c>
      <c r="R1483" s="4">
        <v>752796</v>
      </c>
      <c r="S1483" t="s">
        <v>17831</v>
      </c>
      <c r="T1483" s="6">
        <v>45127</v>
      </c>
      <c r="U1483" s="4">
        <v>765000</v>
      </c>
      <c r="V1483" t="s">
        <v>16232</v>
      </c>
      <c r="W1483" t="s">
        <v>24457</v>
      </c>
      <c r="X1483" t="s">
        <v>3</v>
      </c>
      <c r="AA1483" s="5" t="str">
        <f>HYPERLINK("https://www.zillow.com/homes/7120-MATTHIAS-RD-DOWNERS-GROVE-IL-60516_rb/","check listing")</f>
        <v>check listing</v>
      </c>
      <c r="AB1483" s="5" t="str">
        <f>HYPERLINK("https://propertylookup.dupagecounty.gov/Datalets/Datalet.aspx?UseSearch=no&amp;mode=sales&amp;pin=0929116016","sales record")</f>
        <v>sales record</v>
      </c>
      <c r="AC1483" t="s">
        <v>3</v>
      </c>
      <c r="AD1483">
        <v>41.757239</v>
      </c>
      <c r="AE1483">
        <v>-88.011656</v>
      </c>
      <c r="AF1483" s="5" t="str">
        <f>HYPERLINK("https://www.google.com/maps/search/?api=1&amp;query=41.757239,-88.011656","map")</f>
        <v>map</v>
      </c>
    </row>
    <row r="1484" spans="1:32">
      <c r="A1484" t="s">
        <v>1534</v>
      </c>
      <c r="B1484" t="s">
        <v>9094</v>
      </c>
      <c r="C1484" t="s">
        <v>15254</v>
      </c>
      <c r="D1484" t="s">
        <v>16199</v>
      </c>
      <c r="E1484" t="s">
        <v>16218</v>
      </c>
      <c r="F1484" t="s">
        <v>16221</v>
      </c>
      <c r="G1484" t="s">
        <v>16249</v>
      </c>
      <c r="H1484" t="s">
        <v>16249</v>
      </c>
      <c r="I1484" t="s">
        <v>16325</v>
      </c>
      <c r="J1484" t="s">
        <v>16385</v>
      </c>
      <c r="K1484">
        <v>0.341</v>
      </c>
      <c r="L1484">
        <v>14841</v>
      </c>
      <c r="M1484">
        <v>2389</v>
      </c>
      <c r="N1484" t="s">
        <v>16393</v>
      </c>
      <c r="O1484" s="4">
        <v>67607</v>
      </c>
      <c r="P1484" s="4">
        <v>189899</v>
      </c>
      <c r="Q1484" s="4">
        <v>257506</v>
      </c>
      <c r="R1484" s="4">
        <v>772518</v>
      </c>
      <c r="S1484" t="s">
        <v>17832</v>
      </c>
      <c r="T1484" s="6">
        <v>37681</v>
      </c>
      <c r="U1484" s="4">
        <v>467500</v>
      </c>
      <c r="V1484" t="s">
        <v>23739</v>
      </c>
      <c r="W1484" t="s">
        <v>24458</v>
      </c>
      <c r="X1484" t="s">
        <v>3</v>
      </c>
      <c r="AA1484" s="5" t="str">
        <f>HYPERLINK("https://www.zillow.com/homes/7117-DUNHAM-RD-DOWNERS-GROVE-IL-60516_rb/","check listing")</f>
        <v>check listing</v>
      </c>
      <c r="AB1484" s="5" t="str">
        <f>HYPERLINK("https://propertylookup.dupagecounty.gov/Datalets/Datalet.aspx?UseSearch=no&amp;mode=sales&amp;pin=0929116008","sales record")</f>
        <v>sales record</v>
      </c>
      <c r="AC1484" t="s">
        <v>3</v>
      </c>
      <c r="AD1484">
        <v>41.757411</v>
      </c>
      <c r="AE1484">
        <v>-88.01246500000001</v>
      </c>
      <c r="AF1484" s="5" t="str">
        <f>HYPERLINK("https://www.google.com/maps/search/?api=1&amp;query=41.757411,-88.012465","map")</f>
        <v>map</v>
      </c>
    </row>
    <row r="1485" spans="1:32">
      <c r="A1485" t="s">
        <v>1535</v>
      </c>
      <c r="B1485" t="s">
        <v>9095</v>
      </c>
      <c r="C1485" t="s">
        <v>15254</v>
      </c>
      <c r="D1485" t="s">
        <v>16199</v>
      </c>
      <c r="E1485" t="s">
        <v>16218</v>
      </c>
      <c r="F1485" t="s">
        <v>16221</v>
      </c>
      <c r="G1485" t="s">
        <v>16249</v>
      </c>
      <c r="H1485" t="s">
        <v>16249</v>
      </c>
      <c r="I1485" t="s">
        <v>16325</v>
      </c>
      <c r="J1485" t="s">
        <v>16385</v>
      </c>
      <c r="K1485">
        <v>0.341</v>
      </c>
      <c r="L1485">
        <v>14839</v>
      </c>
      <c r="M1485">
        <v>2860</v>
      </c>
      <c r="N1485" t="s">
        <v>16393</v>
      </c>
      <c r="O1485" s="4">
        <v>67584</v>
      </c>
      <c r="P1485" s="4">
        <v>144816</v>
      </c>
      <c r="Q1485" s="4">
        <v>212400</v>
      </c>
      <c r="R1485" s="4">
        <v>637200</v>
      </c>
      <c r="S1485" t="s">
        <v>17833</v>
      </c>
      <c r="T1485" s="6">
        <v>31321</v>
      </c>
      <c r="U1485" s="4">
        <v>144000</v>
      </c>
      <c r="X1485" t="s">
        <v>3</v>
      </c>
      <c r="AA1485" s="5" t="str">
        <f>HYPERLINK("https://www.zillow.com/homes/1432-WILLARD-PL-DOWNERS-GROVE-IL-60516_rb/","check listing")</f>
        <v>check listing</v>
      </c>
      <c r="AB1485" s="5" t="str">
        <f>HYPERLINK("https://propertylookup.dupagecounty.gov/Datalets/Datalet.aspx?UseSearch=no&amp;mode=sales&amp;pin=0930203043","sales record")</f>
        <v>sales record</v>
      </c>
      <c r="AC1485" t="s">
        <v>3</v>
      </c>
      <c r="AD1485">
        <v>41.755763</v>
      </c>
      <c r="AE1485">
        <v>-88.020133</v>
      </c>
      <c r="AF1485" s="5" t="str">
        <f>HYPERLINK("https://www.google.com/maps/search/?api=1&amp;query=41.755763,-88.020133","map")</f>
        <v>map</v>
      </c>
    </row>
    <row r="1486" spans="1:32">
      <c r="A1486" t="s">
        <v>1536</v>
      </c>
      <c r="B1486" t="s">
        <v>9096</v>
      </c>
      <c r="C1486" t="s">
        <v>15254</v>
      </c>
      <c r="D1486" t="s">
        <v>16199</v>
      </c>
      <c r="E1486" t="s">
        <v>16218</v>
      </c>
      <c r="F1486" t="s">
        <v>16221</v>
      </c>
      <c r="G1486" t="s">
        <v>16249</v>
      </c>
      <c r="H1486" t="s">
        <v>16249</v>
      </c>
      <c r="I1486" t="s">
        <v>16325</v>
      </c>
      <c r="J1486" t="s">
        <v>16385</v>
      </c>
      <c r="K1486">
        <v>0.338</v>
      </c>
      <c r="L1486">
        <v>14706</v>
      </c>
      <c r="M1486">
        <v>2535</v>
      </c>
      <c r="N1486" t="s">
        <v>16393</v>
      </c>
      <c r="O1486" s="4">
        <v>67607</v>
      </c>
      <c r="P1486" s="4">
        <v>185063</v>
      </c>
      <c r="Q1486" s="4">
        <v>252670</v>
      </c>
      <c r="R1486" s="4">
        <v>758010</v>
      </c>
      <c r="S1486" t="s">
        <v>17834</v>
      </c>
      <c r="T1486" s="6">
        <v>35977</v>
      </c>
      <c r="U1486" s="4">
        <v>353000</v>
      </c>
      <c r="X1486" t="s">
        <v>3</v>
      </c>
      <c r="AA1486" s="5" t="str">
        <f>HYPERLINK("https://www.zillow.com/homes/7116-MATTHIAS-RD-DOWNERS-GROVE-IL-60516_rb/","check listing")</f>
        <v>check listing</v>
      </c>
      <c r="AB1486" s="5" t="str">
        <f>HYPERLINK("https://propertylookup.dupagecounty.gov/Datalets/Datalet.aspx?UseSearch=no&amp;mode=sales&amp;pin=0929116015","sales record")</f>
        <v>sales record</v>
      </c>
      <c r="AC1486" t="s">
        <v>3</v>
      </c>
      <c r="AD1486">
        <v>41.757425</v>
      </c>
      <c r="AE1486">
        <v>-88.011662</v>
      </c>
      <c r="AF1486" s="5" t="str">
        <f>HYPERLINK("https://www.google.com/maps/search/?api=1&amp;query=41.757425,-88.011662","map")</f>
        <v>map</v>
      </c>
    </row>
    <row r="1487" spans="1:32">
      <c r="A1487" t="s">
        <v>1537</v>
      </c>
      <c r="B1487" t="s">
        <v>9097</v>
      </c>
      <c r="C1487" t="s">
        <v>15277</v>
      </c>
      <c r="D1487" t="s">
        <v>16199</v>
      </c>
      <c r="E1487" t="s">
        <v>16218</v>
      </c>
      <c r="F1487" t="s">
        <v>16221</v>
      </c>
      <c r="G1487" t="s">
        <v>16250</v>
      </c>
      <c r="H1487" t="s">
        <v>16250</v>
      </c>
      <c r="I1487" t="s">
        <v>16326</v>
      </c>
      <c r="J1487" t="s">
        <v>16385</v>
      </c>
      <c r="K1487">
        <v>0.337</v>
      </c>
      <c r="L1487">
        <v>14697</v>
      </c>
      <c r="M1487">
        <v>2036</v>
      </c>
      <c r="N1487" t="s">
        <v>16393</v>
      </c>
      <c r="O1487" s="4">
        <v>83547</v>
      </c>
      <c r="P1487" s="4">
        <v>107503</v>
      </c>
      <c r="Q1487" s="4">
        <v>191050</v>
      </c>
      <c r="R1487" s="4">
        <v>573150</v>
      </c>
      <c r="S1487" t="s">
        <v>17835</v>
      </c>
      <c r="T1487" s="6">
        <v>38869</v>
      </c>
      <c r="U1487" s="4">
        <v>405500</v>
      </c>
      <c r="V1487" t="s">
        <v>23739</v>
      </c>
      <c r="W1487" t="s">
        <v>24459</v>
      </c>
      <c r="X1487" t="s">
        <v>3</v>
      </c>
      <c r="AA1487" s="5" t="str">
        <f>HYPERLINK("https://www.zillow.com/homes/216-MAPLE-AVE-DOWNERS-GROVE-IL-60515_rb/","check listing")</f>
        <v>check listing</v>
      </c>
      <c r="AB1487" s="5" t="str">
        <f>HYPERLINK("https://propertylookup.dupagecounty.gov/Datalets/Datalet.aspx?UseSearch=no&amp;mode=sales&amp;pin=0909108012","sales record")</f>
        <v>sales record</v>
      </c>
      <c r="AC1487" t="s">
        <v>3</v>
      </c>
      <c r="AD1487">
        <v>41.798666</v>
      </c>
      <c r="AE1487">
        <v>-87.990371</v>
      </c>
      <c r="AF1487" s="5" t="str">
        <f>HYPERLINK("https://www.google.com/maps/search/?api=1&amp;query=41.798666,-87.990371","map")</f>
        <v>map</v>
      </c>
    </row>
    <row r="1488" spans="1:32">
      <c r="A1488" t="s">
        <v>1538</v>
      </c>
      <c r="B1488" t="s">
        <v>9098</v>
      </c>
      <c r="C1488" t="s">
        <v>15311</v>
      </c>
      <c r="D1488" t="s">
        <v>16199</v>
      </c>
      <c r="E1488" t="s">
        <v>16218</v>
      </c>
      <c r="F1488" t="s">
        <v>16221</v>
      </c>
      <c r="G1488" t="s">
        <v>16249</v>
      </c>
      <c r="H1488" t="s">
        <v>16249</v>
      </c>
      <c r="I1488" t="s">
        <v>16325</v>
      </c>
      <c r="J1488" t="s">
        <v>16385</v>
      </c>
      <c r="K1488">
        <v>0.336</v>
      </c>
      <c r="L1488">
        <v>14650</v>
      </c>
      <c r="M1488">
        <v>2000</v>
      </c>
      <c r="N1488" t="s">
        <v>16393</v>
      </c>
      <c r="O1488" s="4">
        <v>62877</v>
      </c>
      <c r="P1488" s="4">
        <v>141259</v>
      </c>
      <c r="Q1488" s="4">
        <v>204136</v>
      </c>
      <c r="R1488" s="4">
        <v>612408</v>
      </c>
      <c r="S1488" t="s">
        <v>17836</v>
      </c>
      <c r="T1488" s="6">
        <v>34547</v>
      </c>
      <c r="U1488" s="4">
        <v>226500</v>
      </c>
      <c r="X1488" t="s">
        <v>3</v>
      </c>
      <c r="AA1488" s="5" t="str">
        <f>HYPERLINK("https://www.zillow.com/homes/1300-HUGHES-AVE-DOWNERS-GROVE-IL-605163772_rb/","check listing")</f>
        <v>check listing</v>
      </c>
      <c r="AB1488" s="5" t="str">
        <f>HYPERLINK("https://propertylookup.dupagecounty.gov/Datalets/Datalet.aspx?UseSearch=no&amp;mode=sales&amp;pin=0930206031","sales record")</f>
        <v>sales record</v>
      </c>
      <c r="AC1488" t="s">
        <v>3</v>
      </c>
      <c r="AD1488">
        <v>41.757233</v>
      </c>
      <c r="AE1488">
        <v>-88.014532</v>
      </c>
      <c r="AF1488" s="5" t="str">
        <f>HYPERLINK("https://www.google.com/maps/search/?api=1&amp;query=41.757233,-88.014532","map")</f>
        <v>map</v>
      </c>
    </row>
    <row r="1489" spans="1:32">
      <c r="A1489" t="s">
        <v>1539</v>
      </c>
      <c r="B1489" t="s">
        <v>9099</v>
      </c>
      <c r="C1489" t="s">
        <v>15254</v>
      </c>
      <c r="D1489" t="s">
        <v>16199</v>
      </c>
      <c r="E1489" t="s">
        <v>16218</v>
      </c>
      <c r="F1489" t="s">
        <v>16221</v>
      </c>
      <c r="G1489" t="s">
        <v>16249</v>
      </c>
      <c r="H1489" t="s">
        <v>16249</v>
      </c>
      <c r="I1489" t="s">
        <v>16325</v>
      </c>
      <c r="J1489" t="s">
        <v>16385</v>
      </c>
      <c r="K1489">
        <v>0.335</v>
      </c>
      <c r="L1489">
        <v>14577</v>
      </c>
      <c r="M1489">
        <v>2174</v>
      </c>
      <c r="N1489" t="s">
        <v>16393</v>
      </c>
      <c r="O1489" s="4">
        <v>59813</v>
      </c>
      <c r="P1489" s="4">
        <v>116188</v>
      </c>
      <c r="Q1489" s="4">
        <v>176001</v>
      </c>
      <c r="R1489" s="4">
        <v>528003</v>
      </c>
      <c r="S1489" t="s">
        <v>17837</v>
      </c>
      <c r="T1489" s="6">
        <v>31959</v>
      </c>
      <c r="U1489" s="4">
        <v>157198</v>
      </c>
      <c r="X1489" t="s">
        <v>3</v>
      </c>
      <c r="AA1489" s="5" t="str">
        <f>HYPERLINK("https://www.zillow.com/homes/1200-KLEIN-AVE-DOWNERS-GROVE-IL-60516_rb/","check listing")</f>
        <v>check listing</v>
      </c>
      <c r="AB1489" s="5" t="str">
        <f>HYPERLINK("https://propertylookup.dupagecounty.gov/Datalets/Datalet.aspx?UseSearch=no&amp;mode=sales&amp;pin=0930209004","sales record")</f>
        <v>sales record</v>
      </c>
      <c r="AC1489" t="s">
        <v>3</v>
      </c>
      <c r="AD1489">
        <v>41.757982</v>
      </c>
      <c r="AE1489">
        <v>-88.01354000000001</v>
      </c>
      <c r="AF1489" s="5" t="str">
        <f>HYPERLINK("https://www.google.com/maps/search/?api=1&amp;query=41.757982,-88.01354","map")</f>
        <v>map</v>
      </c>
    </row>
    <row r="1490" spans="1:32">
      <c r="A1490" t="s">
        <v>1540</v>
      </c>
      <c r="B1490" t="s">
        <v>9100</v>
      </c>
      <c r="C1490" t="s">
        <v>15254</v>
      </c>
      <c r="D1490" t="s">
        <v>16199</v>
      </c>
      <c r="E1490" t="s">
        <v>16218</v>
      </c>
      <c r="F1490" t="s">
        <v>16221</v>
      </c>
      <c r="G1490" t="s">
        <v>16249</v>
      </c>
      <c r="H1490" t="s">
        <v>16249</v>
      </c>
      <c r="I1490" t="s">
        <v>16325</v>
      </c>
      <c r="J1490" t="s">
        <v>16385</v>
      </c>
      <c r="K1490">
        <v>0.332</v>
      </c>
      <c r="L1490">
        <v>14467</v>
      </c>
      <c r="N1490" t="s">
        <v>16393</v>
      </c>
      <c r="O1490" s="4">
        <v>84723</v>
      </c>
      <c r="P1490" s="4">
        <v>208966</v>
      </c>
      <c r="Q1490" s="4">
        <v>293689</v>
      </c>
      <c r="R1490" s="4">
        <v>881067</v>
      </c>
      <c r="S1490" t="s">
        <v>17838</v>
      </c>
      <c r="X1490" t="s">
        <v>3</v>
      </c>
      <c r="AA1490" s="5" t="str">
        <f>HYPERLINK("https://www.zillow.com/homes/7124-MATTHIAS-RD-DOWNERS-GROVE-IL-60516_rb/","check listing")</f>
        <v>check listing</v>
      </c>
      <c r="AB1490" s="5" t="str">
        <f>HYPERLINK("https://propertylookup.dupagecounty.gov/Datalets/Datalet.aspx?UseSearch=no&amp;mode=sales&amp;pin=0929116020","sales record")</f>
        <v>sales record</v>
      </c>
      <c r="AC1490" t="s">
        <v>3</v>
      </c>
      <c r="AD1490">
        <v>41.75704</v>
      </c>
      <c r="AE1490">
        <v>-88.011591</v>
      </c>
      <c r="AF1490" s="5" t="str">
        <f>HYPERLINK("https://www.google.com/maps/search/?api=1&amp;query=41.75704,-88.011591","map")</f>
        <v>map</v>
      </c>
    </row>
    <row r="1491" spans="1:32">
      <c r="A1491" t="s">
        <v>1541</v>
      </c>
      <c r="B1491" t="s">
        <v>9101</v>
      </c>
      <c r="C1491" t="s">
        <v>15254</v>
      </c>
      <c r="D1491" t="s">
        <v>16199</v>
      </c>
      <c r="E1491" t="s">
        <v>16218</v>
      </c>
      <c r="F1491" t="s">
        <v>16221</v>
      </c>
      <c r="G1491" t="s">
        <v>16249</v>
      </c>
      <c r="H1491" t="s">
        <v>16249</v>
      </c>
      <c r="I1491" t="s">
        <v>16325</v>
      </c>
      <c r="J1491" t="s">
        <v>16385</v>
      </c>
      <c r="K1491">
        <v>0.332</v>
      </c>
      <c r="L1491">
        <v>14457</v>
      </c>
      <c r="M1491">
        <v>1816</v>
      </c>
      <c r="N1491" t="s">
        <v>16393</v>
      </c>
      <c r="O1491" s="4">
        <v>79931</v>
      </c>
      <c r="P1491" s="4">
        <v>99356</v>
      </c>
      <c r="Q1491" s="4">
        <v>179287</v>
      </c>
      <c r="R1491" s="4">
        <v>537861</v>
      </c>
      <c r="S1491" t="s">
        <v>17839</v>
      </c>
      <c r="T1491" s="6">
        <v>41944</v>
      </c>
      <c r="U1491" s="4">
        <v>258000</v>
      </c>
      <c r="V1491" t="s">
        <v>23740</v>
      </c>
      <c r="W1491" t="s">
        <v>17839</v>
      </c>
      <c r="X1491" t="s">
        <v>3</v>
      </c>
      <c r="AA1491" s="5" t="str">
        <f>HYPERLINK("https://www.zillow.com/homes/7318-SELIG-PL-DOWNERS-GROVE-IL-60516_rb/","check listing")</f>
        <v>check listing</v>
      </c>
      <c r="AB1491" s="5" t="str">
        <f>HYPERLINK("https://propertylookup.dupagecounty.gov/Datalets/Datalet.aspx?UseSearch=no&amp;mode=sales&amp;pin=0930107001","sales record")</f>
        <v>sales record</v>
      </c>
      <c r="AC1491" t="s">
        <v>3</v>
      </c>
      <c r="AD1491">
        <v>41.753419</v>
      </c>
      <c r="AE1491">
        <v>-88.024946</v>
      </c>
      <c r="AF1491" s="5" t="str">
        <f>HYPERLINK("https://www.google.com/maps/search/?api=1&amp;query=41.753419,-88.024946","map")</f>
        <v>map</v>
      </c>
    </row>
    <row r="1492" spans="1:32">
      <c r="A1492" t="s">
        <v>1542</v>
      </c>
      <c r="B1492" t="s">
        <v>9102</v>
      </c>
      <c r="C1492" t="s">
        <v>15254</v>
      </c>
      <c r="D1492" t="s">
        <v>16199</v>
      </c>
      <c r="E1492" t="s">
        <v>16218</v>
      </c>
      <c r="F1492" t="s">
        <v>16221</v>
      </c>
      <c r="G1492" t="s">
        <v>16249</v>
      </c>
      <c r="H1492" t="s">
        <v>16249</v>
      </c>
      <c r="I1492" t="s">
        <v>16325</v>
      </c>
      <c r="J1492" t="s">
        <v>16385</v>
      </c>
      <c r="K1492">
        <v>0.332</v>
      </c>
      <c r="L1492">
        <v>14451</v>
      </c>
      <c r="N1492" t="s">
        <v>16393</v>
      </c>
      <c r="O1492" s="4">
        <v>84730</v>
      </c>
      <c r="P1492" s="4">
        <v>220941</v>
      </c>
      <c r="Q1492" s="4">
        <v>305671</v>
      </c>
      <c r="R1492" s="4">
        <v>917013</v>
      </c>
      <c r="S1492" t="s">
        <v>17840</v>
      </c>
      <c r="X1492" t="s">
        <v>3</v>
      </c>
      <c r="AA1492" s="5" t="str">
        <f>HYPERLINK("https://www.zillow.com/homes/7128-MATTHIAS-RD-DOWNERS-GROVE-IL-60516_rb/","check listing")</f>
        <v>check listing</v>
      </c>
      <c r="AB1492" s="5" t="str">
        <f>HYPERLINK("https://propertylookup.dupagecounty.gov/Datalets/Datalet.aspx?UseSearch=no&amp;mode=sales&amp;pin=0929116021","sales record")</f>
        <v>sales record</v>
      </c>
      <c r="AC1492" t="s">
        <v>3</v>
      </c>
      <c r="AD1492">
        <v>41.756827</v>
      </c>
      <c r="AE1492">
        <v>-88.011585</v>
      </c>
      <c r="AF1492" s="5" t="str">
        <f>HYPERLINK("https://www.google.com/maps/search/?api=1&amp;query=41.756827,-88.011585","map")</f>
        <v>map</v>
      </c>
    </row>
    <row r="1493" spans="1:32">
      <c r="A1493" t="s">
        <v>1543</v>
      </c>
      <c r="B1493" t="s">
        <v>9103</v>
      </c>
      <c r="C1493" t="s">
        <v>15254</v>
      </c>
      <c r="D1493" t="s">
        <v>16199</v>
      </c>
      <c r="E1493" t="s">
        <v>16218</v>
      </c>
      <c r="F1493" t="s">
        <v>16221</v>
      </c>
      <c r="G1493" t="s">
        <v>16249</v>
      </c>
      <c r="H1493" t="s">
        <v>16249</v>
      </c>
      <c r="I1493" t="s">
        <v>16325</v>
      </c>
      <c r="J1493" t="s">
        <v>16385</v>
      </c>
      <c r="K1493">
        <v>0.33</v>
      </c>
      <c r="L1493">
        <v>14366</v>
      </c>
      <c r="M1493">
        <v>1683</v>
      </c>
      <c r="N1493" t="s">
        <v>16393</v>
      </c>
      <c r="O1493" s="4">
        <v>69885</v>
      </c>
      <c r="P1493" s="4">
        <v>114041</v>
      </c>
      <c r="Q1493" s="4">
        <v>183926</v>
      </c>
      <c r="R1493" s="4">
        <v>551778</v>
      </c>
      <c r="S1493" t="s">
        <v>17841</v>
      </c>
      <c r="T1493" s="6">
        <v>31929</v>
      </c>
      <c r="U1493" s="4">
        <v>139150</v>
      </c>
      <c r="X1493" t="s">
        <v>3</v>
      </c>
      <c r="AA1493" s="5" t="str">
        <f>HYPERLINK("https://www.zillow.com/homes/7207-TICONDEROGA-PL-DOWNERS-GROVE-IL-60516_rb/","check listing")</f>
        <v>check listing</v>
      </c>
      <c r="AB1493" s="5" t="str">
        <f>HYPERLINK("https://propertylookup.dupagecounty.gov/Datalets/Datalet.aspx?UseSearch=no&amp;mode=sales&amp;pin=0930105037","sales record")</f>
        <v>sales record</v>
      </c>
      <c r="AC1493" t="s">
        <v>3</v>
      </c>
      <c r="AD1493">
        <v>41.755951</v>
      </c>
      <c r="AE1493">
        <v>-88.02331599999999</v>
      </c>
      <c r="AF1493" s="5" t="str">
        <f>HYPERLINK("https://www.google.com/maps/search/?api=1&amp;query=41.755951,-88.023316","map")</f>
        <v>map</v>
      </c>
    </row>
    <row r="1494" spans="1:32">
      <c r="A1494" t="s">
        <v>1544</v>
      </c>
      <c r="B1494" t="s">
        <v>9104</v>
      </c>
      <c r="C1494" t="s">
        <v>15312</v>
      </c>
      <c r="D1494" t="s">
        <v>16199</v>
      </c>
      <c r="E1494" t="s">
        <v>16218</v>
      </c>
      <c r="F1494" t="s">
        <v>16221</v>
      </c>
      <c r="G1494" t="s">
        <v>16250</v>
      </c>
      <c r="H1494" t="s">
        <v>16250</v>
      </c>
      <c r="I1494" t="s">
        <v>16326</v>
      </c>
      <c r="J1494" t="s">
        <v>16385</v>
      </c>
      <c r="K1494">
        <v>0.321</v>
      </c>
      <c r="L1494">
        <v>13989</v>
      </c>
      <c r="M1494">
        <v>1001</v>
      </c>
      <c r="N1494" t="s">
        <v>16393</v>
      </c>
      <c r="O1494" s="4">
        <v>73159</v>
      </c>
      <c r="P1494" s="4">
        <v>58957</v>
      </c>
      <c r="Q1494" s="4">
        <v>132116</v>
      </c>
      <c r="R1494" s="4">
        <v>396348</v>
      </c>
      <c r="S1494" t="s">
        <v>17842</v>
      </c>
      <c r="T1494" s="6">
        <v>33786</v>
      </c>
      <c r="U1494" s="4">
        <v>116000</v>
      </c>
      <c r="X1494" t="s">
        <v>3</v>
      </c>
      <c r="AA1494" s="5" t="str">
        <f>HYPERLINK("https://www.zillow.com/homes/4940-CUMNOR-RD-DOWNERS-GROVE-IL-605153939_rb/","check listing")</f>
        <v>check listing</v>
      </c>
      <c r="AB1494" s="5" t="str">
        <f>HYPERLINK("https://propertylookup.dupagecounty.gov/Datalets/Datalet.aspx?UseSearch=no&amp;mode=sales&amp;pin=0909111018","sales record")</f>
        <v>sales record</v>
      </c>
      <c r="AC1494" t="s">
        <v>3</v>
      </c>
      <c r="AD1494">
        <v>41.797452</v>
      </c>
      <c r="AE1494">
        <v>-87.990251</v>
      </c>
      <c r="AF1494" s="5" t="str">
        <f>HYPERLINK("https://www.google.com/maps/search/?api=1&amp;query=41.797452,-87.990251","map")</f>
        <v>map</v>
      </c>
    </row>
    <row r="1495" spans="1:32">
      <c r="A1495" t="s">
        <v>1545</v>
      </c>
      <c r="B1495" t="s">
        <v>9105</v>
      </c>
      <c r="C1495" t="s">
        <v>15313</v>
      </c>
      <c r="D1495" t="s">
        <v>16199</v>
      </c>
      <c r="E1495" t="s">
        <v>16218</v>
      </c>
      <c r="F1495" t="s">
        <v>16221</v>
      </c>
      <c r="G1495" t="s">
        <v>16249</v>
      </c>
      <c r="H1495" t="s">
        <v>16249</v>
      </c>
      <c r="I1495" t="s">
        <v>16325</v>
      </c>
      <c r="J1495" t="s">
        <v>16385</v>
      </c>
      <c r="K1495">
        <v>0.321</v>
      </c>
      <c r="L1495">
        <v>13975</v>
      </c>
      <c r="M1495">
        <v>2584</v>
      </c>
      <c r="N1495" t="s">
        <v>16393</v>
      </c>
      <c r="O1495" s="4">
        <v>64298</v>
      </c>
      <c r="P1495" s="4">
        <v>121763</v>
      </c>
      <c r="Q1495" s="4">
        <v>186061</v>
      </c>
      <c r="R1495" s="4">
        <v>558183</v>
      </c>
      <c r="S1495" t="s">
        <v>17843</v>
      </c>
      <c r="T1495" s="6">
        <v>41913</v>
      </c>
      <c r="U1495" s="4">
        <v>345000</v>
      </c>
      <c r="V1495" t="s">
        <v>23739</v>
      </c>
      <c r="W1495" t="s">
        <v>24460</v>
      </c>
      <c r="X1495" t="s">
        <v>3</v>
      </c>
      <c r="AA1495" s="5" t="str">
        <f>HYPERLINK("https://www.zillow.com/homes/1557-71ST-TER-DOWNERS-GROVE-IL-605163135_rb/","check listing")</f>
        <v>check listing</v>
      </c>
      <c r="AB1495" s="5" t="str">
        <f>HYPERLINK("https://propertylookup.dupagecounty.gov/Datalets/Datalet.aspx?UseSearch=no&amp;mode=sales&amp;pin=0930200016","sales record")</f>
        <v>sales record</v>
      </c>
      <c r="AC1495" t="s">
        <v>3</v>
      </c>
      <c r="AD1495">
        <v>41.757965</v>
      </c>
      <c r="AE1495">
        <v>-88.02254499999999</v>
      </c>
      <c r="AF1495" s="5" t="str">
        <f>HYPERLINK("https://www.google.com/maps/search/?api=1&amp;query=41.757965,-88.022545","map")</f>
        <v>map</v>
      </c>
    </row>
    <row r="1496" spans="1:32">
      <c r="A1496" t="s">
        <v>1546</v>
      </c>
      <c r="B1496" t="s">
        <v>9106</v>
      </c>
      <c r="C1496" t="s">
        <v>15254</v>
      </c>
      <c r="D1496" t="s">
        <v>16199</v>
      </c>
      <c r="E1496" t="s">
        <v>16218</v>
      </c>
      <c r="F1496" t="s">
        <v>16221</v>
      </c>
      <c r="G1496" t="s">
        <v>16249</v>
      </c>
      <c r="H1496" t="s">
        <v>16249</v>
      </c>
      <c r="I1496" t="s">
        <v>16325</v>
      </c>
      <c r="J1496" t="s">
        <v>16385</v>
      </c>
      <c r="K1496">
        <v>0.311</v>
      </c>
      <c r="L1496">
        <v>13544</v>
      </c>
      <c r="M1496">
        <v>1827</v>
      </c>
      <c r="N1496" t="s">
        <v>16393</v>
      </c>
      <c r="O1496" s="4">
        <v>65494</v>
      </c>
      <c r="P1496" s="4">
        <v>105906</v>
      </c>
      <c r="Q1496" s="4">
        <v>171400</v>
      </c>
      <c r="R1496" s="4">
        <v>514200</v>
      </c>
      <c r="S1496" t="s">
        <v>17844</v>
      </c>
      <c r="T1496" s="6">
        <v>45670</v>
      </c>
      <c r="U1496" s="4">
        <v>480000</v>
      </c>
      <c r="V1496" t="s">
        <v>16232</v>
      </c>
      <c r="W1496" t="s">
        <v>24461</v>
      </c>
      <c r="X1496" t="s">
        <v>3</v>
      </c>
      <c r="AA1496" s="5" t="str">
        <f>HYPERLINK("https://www.zillow.com/homes/7331-SELIG-PL-DOWNERS-GROVE-IL-60516_rb/","check listing")</f>
        <v>check listing</v>
      </c>
      <c r="AB1496" s="5" t="str">
        <f>HYPERLINK("https://propertylookup.dupagecounty.gov/Datalets/Datalet.aspx?UseSearch=no&amp;mode=sales&amp;pin=0930107023","sales record")</f>
        <v>sales record</v>
      </c>
      <c r="AC1496" t="s">
        <v>3</v>
      </c>
      <c r="AD1496">
        <v>41.753001</v>
      </c>
      <c r="AE1496">
        <v>-88.024353</v>
      </c>
      <c r="AF1496" s="5" t="str">
        <f>HYPERLINK("https://www.google.com/maps/search/?api=1&amp;query=41.753001,-88.024353","map")</f>
        <v>map</v>
      </c>
    </row>
    <row r="1497" spans="1:32">
      <c r="A1497" t="s">
        <v>1547</v>
      </c>
      <c r="B1497" t="s">
        <v>9107</v>
      </c>
      <c r="C1497" t="s">
        <v>15254</v>
      </c>
      <c r="D1497" t="s">
        <v>16199</v>
      </c>
      <c r="E1497" t="s">
        <v>16218</v>
      </c>
      <c r="F1497" t="s">
        <v>16221</v>
      </c>
      <c r="G1497" t="s">
        <v>16249</v>
      </c>
      <c r="H1497" t="s">
        <v>16249</v>
      </c>
      <c r="I1497" t="s">
        <v>16325</v>
      </c>
      <c r="J1497" t="s">
        <v>16385</v>
      </c>
      <c r="K1497">
        <v>0.309</v>
      </c>
      <c r="L1497">
        <v>13445</v>
      </c>
      <c r="M1497">
        <v>1579</v>
      </c>
      <c r="N1497" t="s">
        <v>16393</v>
      </c>
      <c r="O1497" s="4">
        <v>62208</v>
      </c>
      <c r="P1497" s="4">
        <v>104955</v>
      </c>
      <c r="Q1497" s="4">
        <v>167163</v>
      </c>
      <c r="R1497" s="4">
        <v>501489</v>
      </c>
      <c r="S1497" t="s">
        <v>17845</v>
      </c>
      <c r="T1497" s="6">
        <v>31898</v>
      </c>
      <c r="U1497" s="4">
        <v>126825</v>
      </c>
      <c r="X1497" t="s">
        <v>3</v>
      </c>
      <c r="AA1497" s="5" t="str">
        <f>HYPERLINK("https://www.zillow.com/homes/1717-WHITE-PL-DOWNERS-GROVE-IL-60516_rb/","check listing")</f>
        <v>check listing</v>
      </c>
      <c r="AB1497" s="5" t="str">
        <f>HYPERLINK("https://propertylookup.dupagecounty.gov/Datalets/Datalet.aspx?UseSearch=no&amp;mode=sales&amp;pin=0930106012","sales record")</f>
        <v>sales record</v>
      </c>
      <c r="AC1497" t="s">
        <v>3</v>
      </c>
      <c r="AD1497">
        <v>41.754381</v>
      </c>
      <c r="AE1497">
        <v>-88.026043</v>
      </c>
      <c r="AF1497" s="5" t="str">
        <f>HYPERLINK("https://www.google.com/maps/search/?api=1&amp;query=41.754381,-88.026043","map")</f>
        <v>map</v>
      </c>
    </row>
    <row r="1498" spans="1:32">
      <c r="A1498" t="s">
        <v>1548</v>
      </c>
      <c r="B1498" t="s">
        <v>9108</v>
      </c>
      <c r="C1498" t="s">
        <v>15254</v>
      </c>
      <c r="D1498" t="s">
        <v>16199</v>
      </c>
      <c r="E1498" t="s">
        <v>16218</v>
      </c>
      <c r="F1498" t="s">
        <v>16221</v>
      </c>
      <c r="G1498" t="s">
        <v>16249</v>
      </c>
      <c r="H1498" t="s">
        <v>16249</v>
      </c>
      <c r="I1498" t="s">
        <v>16325</v>
      </c>
      <c r="J1498" t="s">
        <v>16385</v>
      </c>
      <c r="K1498">
        <v>0.308</v>
      </c>
      <c r="L1498">
        <v>13417</v>
      </c>
      <c r="M1498">
        <v>2288</v>
      </c>
      <c r="N1498" t="s">
        <v>16393</v>
      </c>
      <c r="O1498" s="4">
        <v>70436</v>
      </c>
      <c r="P1498" s="4">
        <v>104510</v>
      </c>
      <c r="Q1498" s="4">
        <v>174946</v>
      </c>
      <c r="R1498" s="4">
        <v>524838</v>
      </c>
      <c r="S1498" t="s">
        <v>17846</v>
      </c>
      <c r="T1498" s="6">
        <v>32112</v>
      </c>
      <c r="U1498" s="4">
        <v>144380</v>
      </c>
      <c r="X1498" t="s">
        <v>3</v>
      </c>
      <c r="AA1498" s="5" t="str">
        <f>HYPERLINK("https://www.zillow.com/homes/7240-POWELL-PL-DOWNERS-GROVE-IL-60516_rb/","check listing")</f>
        <v>check listing</v>
      </c>
      <c r="AB1498" s="5" t="str">
        <f>HYPERLINK("https://propertylookup.dupagecounty.gov/Datalets/Datalet.aspx?UseSearch=no&amp;mode=sales&amp;pin=0930204035","sales record")</f>
        <v>sales record</v>
      </c>
      <c r="AC1498" t="s">
        <v>3</v>
      </c>
      <c r="AD1498">
        <v>41.754907</v>
      </c>
      <c r="AE1498">
        <v>-88.017529</v>
      </c>
      <c r="AF1498" s="5" t="str">
        <f>HYPERLINK("https://www.google.com/maps/search/?api=1&amp;query=41.754907,-88.017529","map")</f>
        <v>map</v>
      </c>
    </row>
    <row r="1499" spans="1:32">
      <c r="A1499" t="s">
        <v>1549</v>
      </c>
      <c r="B1499" t="s">
        <v>9109</v>
      </c>
      <c r="C1499" t="s">
        <v>15254</v>
      </c>
      <c r="D1499" t="s">
        <v>16199</v>
      </c>
      <c r="E1499" t="s">
        <v>16218</v>
      </c>
      <c r="F1499" t="s">
        <v>16221</v>
      </c>
      <c r="G1499" t="s">
        <v>16249</v>
      </c>
      <c r="H1499" t="s">
        <v>16249</v>
      </c>
      <c r="I1499" t="s">
        <v>16325</v>
      </c>
      <c r="J1499" t="s">
        <v>16385</v>
      </c>
      <c r="K1499">
        <v>0.308</v>
      </c>
      <c r="L1499">
        <v>13402</v>
      </c>
      <c r="M1499">
        <v>2519</v>
      </c>
      <c r="N1499" t="s">
        <v>16393</v>
      </c>
      <c r="O1499" s="4">
        <v>60049</v>
      </c>
      <c r="P1499" s="4">
        <v>160004</v>
      </c>
      <c r="Q1499" s="4">
        <v>220053</v>
      </c>
      <c r="R1499" s="4">
        <v>660159</v>
      </c>
      <c r="S1499" t="s">
        <v>17847</v>
      </c>
      <c r="T1499" s="6">
        <v>36678</v>
      </c>
      <c r="U1499" s="4">
        <v>375000</v>
      </c>
      <c r="V1499" t="s">
        <v>23739</v>
      </c>
      <c r="W1499" t="s">
        <v>24462</v>
      </c>
      <c r="X1499" t="s">
        <v>3</v>
      </c>
      <c r="AA1499" s="5" t="str">
        <f>HYPERLINK("https://www.zillow.com/homes/1425-WILLARD-PL-DOWNERS-GROVE-IL-60516_rb/","check listing")</f>
        <v>check listing</v>
      </c>
      <c r="AB1499" s="5" t="str">
        <f>HYPERLINK("https://propertylookup.dupagecounty.gov/Datalets/Datalet.aspx?UseSearch=no&amp;mode=sales&amp;pin=0930203044","sales record")</f>
        <v>sales record</v>
      </c>
      <c r="AC1499" t="s">
        <v>3</v>
      </c>
      <c r="AD1499">
        <v>41.755721</v>
      </c>
      <c r="AE1499">
        <v>-88.019829</v>
      </c>
      <c r="AF1499" s="5" t="str">
        <f>HYPERLINK("https://www.google.com/maps/search/?api=1&amp;query=41.755721,-88.019829","map")</f>
        <v>map</v>
      </c>
    </row>
    <row r="1500" spans="1:32">
      <c r="A1500" t="s">
        <v>1550</v>
      </c>
      <c r="B1500" t="s">
        <v>9110</v>
      </c>
      <c r="C1500" t="s">
        <v>15254</v>
      </c>
      <c r="D1500" t="s">
        <v>16199</v>
      </c>
      <c r="E1500" t="s">
        <v>16218</v>
      </c>
      <c r="F1500" t="s">
        <v>16221</v>
      </c>
      <c r="G1500" t="s">
        <v>16249</v>
      </c>
      <c r="H1500" t="s">
        <v>16249</v>
      </c>
      <c r="I1500" t="s">
        <v>16325</v>
      </c>
      <c r="J1500" t="s">
        <v>16385</v>
      </c>
      <c r="K1500">
        <v>0.305</v>
      </c>
      <c r="L1500">
        <v>13270</v>
      </c>
      <c r="M1500">
        <v>2083</v>
      </c>
      <c r="N1500" t="s">
        <v>16393</v>
      </c>
      <c r="O1500" s="4">
        <v>73757</v>
      </c>
      <c r="P1500" s="4">
        <v>133172</v>
      </c>
      <c r="Q1500" s="4">
        <v>206929</v>
      </c>
      <c r="R1500" s="4">
        <v>620787</v>
      </c>
      <c r="S1500" t="s">
        <v>17848</v>
      </c>
      <c r="T1500" s="6">
        <v>31717</v>
      </c>
      <c r="U1500" s="4">
        <v>166410</v>
      </c>
      <c r="X1500" t="s">
        <v>3</v>
      </c>
      <c r="AA1500" s="5" t="str">
        <f>HYPERLINK("https://www.zillow.com/homes/1400-WILLARD-PL-DOWNERS-GROVE-IL-60516_rb/","check listing")</f>
        <v>check listing</v>
      </c>
      <c r="AB1500" s="5" t="str">
        <f>HYPERLINK("https://propertylookup.dupagecounty.gov/Datalets/Datalet.aspx?UseSearch=no&amp;mode=sales&amp;pin=0930203039","sales record")</f>
        <v>sales record</v>
      </c>
      <c r="AC1500" t="s">
        <v>3</v>
      </c>
      <c r="AD1500">
        <v>41.756392</v>
      </c>
      <c r="AE1500">
        <v>-88.01925</v>
      </c>
      <c r="AF1500" s="5" t="str">
        <f>HYPERLINK("https://www.google.com/maps/search/?api=1&amp;query=41.756392,-88.01925","map")</f>
        <v>map</v>
      </c>
    </row>
    <row r="1501" spans="1:32">
      <c r="A1501" t="s">
        <v>1551</v>
      </c>
      <c r="B1501" t="s">
        <v>9111</v>
      </c>
      <c r="C1501" t="s">
        <v>15277</v>
      </c>
      <c r="D1501" t="s">
        <v>16199</v>
      </c>
      <c r="E1501" t="s">
        <v>16218</v>
      </c>
      <c r="F1501" t="s">
        <v>16221</v>
      </c>
      <c r="G1501" t="s">
        <v>16250</v>
      </c>
      <c r="H1501" t="s">
        <v>16250</v>
      </c>
      <c r="I1501" t="s">
        <v>16326</v>
      </c>
      <c r="J1501" t="s">
        <v>16385</v>
      </c>
      <c r="K1501">
        <v>0.303</v>
      </c>
      <c r="L1501">
        <v>13198</v>
      </c>
      <c r="M1501">
        <v>1830</v>
      </c>
      <c r="N1501" t="s">
        <v>16393</v>
      </c>
      <c r="O1501" s="4">
        <v>61480</v>
      </c>
      <c r="P1501" s="4">
        <v>62842</v>
      </c>
      <c r="Q1501" s="4">
        <v>124322</v>
      </c>
      <c r="R1501" s="4">
        <v>372966</v>
      </c>
      <c r="S1501" t="s">
        <v>17849</v>
      </c>
      <c r="T1501" s="6">
        <v>45734</v>
      </c>
      <c r="U1501" s="4">
        <v>537000</v>
      </c>
      <c r="V1501" t="s">
        <v>23739</v>
      </c>
      <c r="W1501" t="s">
        <v>24463</v>
      </c>
      <c r="X1501" t="s">
        <v>3</v>
      </c>
      <c r="AA1501" s="5" t="str">
        <f>HYPERLINK("https://www.zillow.com/homes/4953-FLORENCE-AVE-DOWNERS-GROVE-IL-60515_rb/","check listing")</f>
        <v>check listing</v>
      </c>
      <c r="AB1501" s="5" t="str">
        <f>HYPERLINK("https://propertylookup.dupagecounty.gov/Datalets/Datalet.aspx?UseSearch=no&amp;mode=sales&amp;pin=0909111007","sales record")</f>
        <v>sales record</v>
      </c>
      <c r="AC1501" t="s">
        <v>3</v>
      </c>
      <c r="AD1501">
        <v>41.796825</v>
      </c>
      <c r="AE1501">
        <v>-87.991275</v>
      </c>
      <c r="AF1501" s="5" t="str">
        <f>HYPERLINK("https://www.google.com/maps/search/?api=1&amp;query=41.796825,-87.991275","map")</f>
        <v>map</v>
      </c>
    </row>
    <row r="1502" spans="1:32">
      <c r="A1502" t="s">
        <v>1552</v>
      </c>
      <c r="B1502" t="s">
        <v>9112</v>
      </c>
      <c r="C1502" t="s">
        <v>15314</v>
      </c>
      <c r="D1502" t="s">
        <v>16199</v>
      </c>
      <c r="E1502" t="s">
        <v>16218</v>
      </c>
      <c r="F1502" t="s">
        <v>16221</v>
      </c>
      <c r="G1502" t="s">
        <v>16249</v>
      </c>
      <c r="H1502" t="s">
        <v>16249</v>
      </c>
      <c r="I1502" t="s">
        <v>16325</v>
      </c>
      <c r="J1502" t="s">
        <v>16385</v>
      </c>
      <c r="K1502">
        <v>0.303</v>
      </c>
      <c r="L1502">
        <v>13187</v>
      </c>
      <c r="M1502">
        <v>1621</v>
      </c>
      <c r="N1502" t="s">
        <v>16393</v>
      </c>
      <c r="O1502" s="4">
        <v>52419</v>
      </c>
      <c r="P1502" s="4">
        <v>132891</v>
      </c>
      <c r="Q1502" s="4">
        <v>185310</v>
      </c>
      <c r="R1502" s="4">
        <v>555930</v>
      </c>
      <c r="S1502" t="s">
        <v>17850</v>
      </c>
      <c r="T1502" s="6">
        <v>34213</v>
      </c>
      <c r="U1502" s="4">
        <v>249500</v>
      </c>
      <c r="X1502" t="s">
        <v>3</v>
      </c>
      <c r="AA1502" s="5" t="str">
        <f>HYPERLINK("https://www.zillow.com/homes/1130-STANFORD-AVE-DOWNERS-GROVE-IL-605163346_rb/","check listing")</f>
        <v>check listing</v>
      </c>
      <c r="AB1502" s="5" t="str">
        <f>HYPERLINK("https://propertylookup.dupagecounty.gov/Datalets/Datalet.aspx?UseSearch=no&amp;mode=sales&amp;pin=0929115007","sales record")</f>
        <v>sales record</v>
      </c>
      <c r="AC1502" t="s">
        <v>3</v>
      </c>
      <c r="AD1502">
        <v>41.758308</v>
      </c>
      <c r="AE1502">
        <v>-88.01109</v>
      </c>
      <c r="AF1502" s="5" t="str">
        <f>HYPERLINK("https://www.google.com/maps/search/?api=1&amp;query=41.758308,-88.01109","map")</f>
        <v>map</v>
      </c>
    </row>
    <row r="1503" spans="1:32">
      <c r="A1503" t="s">
        <v>1553</v>
      </c>
      <c r="B1503" t="s">
        <v>9113</v>
      </c>
      <c r="C1503" t="s">
        <v>15254</v>
      </c>
      <c r="D1503" t="s">
        <v>16199</v>
      </c>
      <c r="E1503" t="s">
        <v>16218</v>
      </c>
      <c r="F1503" t="s">
        <v>16221</v>
      </c>
      <c r="G1503" t="s">
        <v>16249</v>
      </c>
      <c r="H1503" t="s">
        <v>16249</v>
      </c>
      <c r="I1503" t="s">
        <v>16325</v>
      </c>
      <c r="J1503" t="s">
        <v>16385</v>
      </c>
      <c r="K1503">
        <v>0.303</v>
      </c>
      <c r="L1503">
        <v>13186</v>
      </c>
      <c r="M1503">
        <v>1846</v>
      </c>
      <c r="N1503" t="s">
        <v>16393</v>
      </c>
      <c r="O1503" s="4">
        <v>62960</v>
      </c>
      <c r="P1503" s="4">
        <v>107713</v>
      </c>
      <c r="Q1503" s="4">
        <v>170673</v>
      </c>
      <c r="R1503" s="4">
        <v>512019</v>
      </c>
      <c r="S1503" t="s">
        <v>17851</v>
      </c>
      <c r="T1503" s="6">
        <v>32203</v>
      </c>
      <c r="U1503" s="4">
        <v>150626</v>
      </c>
      <c r="X1503" t="s">
        <v>3</v>
      </c>
      <c r="AA1503" s="5" t="str">
        <f>HYPERLINK("https://www.zillow.com/homes/1716-WHITE-PL-DOWNERS-GROVE-IL-60516_rb/","check listing")</f>
        <v>check listing</v>
      </c>
      <c r="AB1503" s="5" t="str">
        <f>HYPERLINK("https://propertylookup.dupagecounty.gov/Datalets/Datalet.aspx?UseSearch=no&amp;mode=sales&amp;pin=0930106011","sales record")</f>
        <v>sales record</v>
      </c>
      <c r="AC1503" t="s">
        <v>3</v>
      </c>
      <c r="AD1503">
        <v>41.754841</v>
      </c>
      <c r="AE1503">
        <v>-88.026115</v>
      </c>
      <c r="AF1503" s="5" t="str">
        <f>HYPERLINK("https://www.google.com/maps/search/?api=1&amp;query=41.754841,-88.026115","map")</f>
        <v>map</v>
      </c>
    </row>
    <row r="1504" spans="1:32">
      <c r="A1504" t="s">
        <v>1554</v>
      </c>
      <c r="B1504" t="s">
        <v>9114</v>
      </c>
      <c r="C1504" t="s">
        <v>15277</v>
      </c>
      <c r="D1504" t="s">
        <v>16199</v>
      </c>
      <c r="E1504" t="s">
        <v>16218</v>
      </c>
      <c r="F1504" t="s">
        <v>16221</v>
      </c>
      <c r="G1504" t="s">
        <v>16250</v>
      </c>
      <c r="H1504" t="s">
        <v>16250</v>
      </c>
      <c r="I1504" t="s">
        <v>16326</v>
      </c>
      <c r="J1504" t="s">
        <v>16385</v>
      </c>
      <c r="K1504">
        <v>0.302</v>
      </c>
      <c r="L1504">
        <v>13176</v>
      </c>
      <c r="N1504" t="s">
        <v>16393</v>
      </c>
      <c r="O1504" s="4">
        <v>61480</v>
      </c>
      <c r="P1504" s="4">
        <v>31374</v>
      </c>
      <c r="Q1504" s="4">
        <v>92854</v>
      </c>
      <c r="R1504" s="4">
        <v>278562</v>
      </c>
      <c r="S1504" t="s">
        <v>17852</v>
      </c>
      <c r="T1504" s="6">
        <v>34366</v>
      </c>
      <c r="U1504" s="4">
        <v>95700</v>
      </c>
      <c r="X1504" t="s">
        <v>3</v>
      </c>
      <c r="AA1504" s="5" t="str">
        <f>HYPERLINK("https://www.zillow.com/homes/5001-FLORENCE-AVE-DOWNERS-GROVE-IL-60515_rb/","check listing")</f>
        <v>check listing</v>
      </c>
      <c r="AB1504" s="5" t="str">
        <f>HYPERLINK("https://propertylookup.dupagecounty.gov/Datalets/Datalet.aspx?UseSearch=no&amp;mode=sales&amp;pin=0909111008","sales record")</f>
        <v>sales record</v>
      </c>
      <c r="AC1504" t="s">
        <v>3</v>
      </c>
      <c r="AD1504">
        <v>41.796629</v>
      </c>
      <c r="AE1504">
        <v>-87.991266</v>
      </c>
      <c r="AF1504" s="5" t="str">
        <f>HYPERLINK("https://www.google.com/maps/search/?api=1&amp;query=41.796629,-87.991266","map")</f>
        <v>map</v>
      </c>
    </row>
    <row r="1505" spans="1:32">
      <c r="A1505" t="s">
        <v>1555</v>
      </c>
      <c r="B1505" t="s">
        <v>9115</v>
      </c>
      <c r="C1505" t="s">
        <v>15277</v>
      </c>
      <c r="D1505" t="s">
        <v>16199</v>
      </c>
      <c r="E1505" t="s">
        <v>16218</v>
      </c>
      <c r="F1505" t="s">
        <v>16221</v>
      </c>
      <c r="G1505" t="s">
        <v>16250</v>
      </c>
      <c r="H1505" t="s">
        <v>16250</v>
      </c>
      <c r="I1505" t="s">
        <v>16326</v>
      </c>
      <c r="J1505" t="s">
        <v>16385</v>
      </c>
      <c r="K1505">
        <v>0.3</v>
      </c>
      <c r="L1505">
        <v>13075</v>
      </c>
      <c r="M1505">
        <v>1021</v>
      </c>
      <c r="N1505" t="s">
        <v>16393</v>
      </c>
      <c r="O1505" s="4">
        <v>61480</v>
      </c>
      <c r="P1505" s="4">
        <v>48135</v>
      </c>
      <c r="Q1505" s="4">
        <v>109615</v>
      </c>
      <c r="R1505" s="4">
        <v>328845</v>
      </c>
      <c r="S1505" t="s">
        <v>17853</v>
      </c>
      <c r="T1505" s="6">
        <v>37316</v>
      </c>
      <c r="U1505" s="4">
        <v>179000</v>
      </c>
      <c r="V1505" t="s">
        <v>23739</v>
      </c>
      <c r="W1505" t="s">
        <v>17853</v>
      </c>
      <c r="X1505" t="s">
        <v>3</v>
      </c>
      <c r="AA1505" s="5" t="str">
        <f>HYPERLINK("https://www.zillow.com/homes/4952-CUMNOR-RD-DOWNERS-GROVE-IL-60515_rb/","check listing")</f>
        <v>check listing</v>
      </c>
      <c r="AB1505" s="5" t="str">
        <f>HYPERLINK("https://propertylookup.dupagecounty.gov/Datalets/Datalet.aspx?UseSearch=no&amp;mode=sales&amp;pin=0909111021","sales record")</f>
        <v>sales record</v>
      </c>
      <c r="AC1505" t="s">
        <v>3</v>
      </c>
      <c r="AD1505">
        <v>41.796843</v>
      </c>
      <c r="AE1505">
        <v>-87.990471</v>
      </c>
      <c r="AF1505" s="5" t="str">
        <f>HYPERLINK("https://www.google.com/maps/search/?api=1&amp;query=41.796843,-87.990471","map")</f>
        <v>map</v>
      </c>
    </row>
    <row r="1506" spans="1:32">
      <c r="A1506" t="s">
        <v>1556</v>
      </c>
      <c r="B1506" t="s">
        <v>9116</v>
      </c>
      <c r="C1506" t="s">
        <v>15254</v>
      </c>
      <c r="D1506" t="s">
        <v>16199</v>
      </c>
      <c r="E1506" t="s">
        <v>16218</v>
      </c>
      <c r="F1506" t="s">
        <v>16221</v>
      </c>
      <c r="G1506" t="s">
        <v>16249</v>
      </c>
      <c r="H1506" t="s">
        <v>16249</v>
      </c>
      <c r="I1506" t="s">
        <v>16325</v>
      </c>
      <c r="J1506" t="s">
        <v>16385</v>
      </c>
      <c r="K1506">
        <v>0.296</v>
      </c>
      <c r="L1506">
        <v>12915</v>
      </c>
      <c r="M1506">
        <v>1737</v>
      </c>
      <c r="N1506" t="s">
        <v>16393</v>
      </c>
      <c r="O1506" s="4">
        <v>65107</v>
      </c>
      <c r="P1506" s="4">
        <v>103699</v>
      </c>
      <c r="Q1506" s="4">
        <v>168806</v>
      </c>
      <c r="R1506" s="4">
        <v>506418</v>
      </c>
      <c r="S1506" t="s">
        <v>17854</v>
      </c>
      <c r="T1506" s="6">
        <v>35370</v>
      </c>
      <c r="U1506" s="4">
        <v>179000</v>
      </c>
      <c r="X1506" t="s">
        <v>3</v>
      </c>
      <c r="AA1506" s="5" t="str">
        <f>HYPERLINK("https://www.zillow.com/homes/1610-DEVEREUX-RD-DOWNERS-GROVE-IL-60516_rb/","check listing")</f>
        <v>check listing</v>
      </c>
      <c r="AB1506" s="5" t="str">
        <f>HYPERLINK("https://propertylookup.dupagecounty.gov/Datalets/Datalet.aspx?UseSearch=no&amp;mode=sales&amp;pin=0930105030","sales record")</f>
        <v>sales record</v>
      </c>
      <c r="AC1506" t="s">
        <v>3</v>
      </c>
      <c r="AD1506">
        <v>41.754676</v>
      </c>
      <c r="AE1506">
        <v>-88.02373</v>
      </c>
      <c r="AF1506" s="5" t="str">
        <f>HYPERLINK("https://www.google.com/maps/search/?api=1&amp;query=41.754676,-88.02373","map")</f>
        <v>map</v>
      </c>
    </row>
    <row r="1507" spans="1:32">
      <c r="A1507" t="s">
        <v>1557</v>
      </c>
      <c r="B1507" t="s">
        <v>9117</v>
      </c>
      <c r="C1507" t="s">
        <v>15277</v>
      </c>
      <c r="D1507" t="s">
        <v>16199</v>
      </c>
      <c r="E1507" t="s">
        <v>16218</v>
      </c>
      <c r="F1507" t="s">
        <v>16221</v>
      </c>
      <c r="G1507" t="s">
        <v>16250</v>
      </c>
      <c r="H1507" t="s">
        <v>16250</v>
      </c>
      <c r="I1507" t="s">
        <v>16326</v>
      </c>
      <c r="J1507" t="s">
        <v>16385</v>
      </c>
      <c r="K1507">
        <v>0.296</v>
      </c>
      <c r="L1507">
        <v>12908</v>
      </c>
      <c r="M1507">
        <v>933</v>
      </c>
      <c r="N1507" t="s">
        <v>16393</v>
      </c>
      <c r="O1507" s="4">
        <v>80378</v>
      </c>
      <c r="P1507" s="4">
        <v>104698</v>
      </c>
      <c r="Q1507" s="4">
        <v>185076</v>
      </c>
      <c r="R1507" s="4">
        <v>555228</v>
      </c>
      <c r="S1507" t="s">
        <v>17855</v>
      </c>
      <c r="T1507" s="6">
        <v>40299</v>
      </c>
      <c r="U1507" s="4">
        <v>357000</v>
      </c>
      <c r="V1507" t="s">
        <v>23739</v>
      </c>
      <c r="W1507" t="s">
        <v>24464</v>
      </c>
      <c r="X1507" t="s">
        <v>3</v>
      </c>
      <c r="AA1507" s="5" t="str">
        <f>HYPERLINK("https://www.zillow.com/homes/323-MAPLE-AVE-DOWNERS-GROVE-IL-60515_rb/","check listing")</f>
        <v>check listing</v>
      </c>
      <c r="AB1507" s="5" t="str">
        <f>HYPERLINK("https://propertylookup.dupagecounty.gov/Datalets/Datalet.aspx?UseSearch=no&amp;mode=sales&amp;pin=0909110001","sales record")</f>
        <v>sales record</v>
      </c>
      <c r="AC1507" t="s">
        <v>3</v>
      </c>
      <c r="AD1507">
        <v>41.797261</v>
      </c>
      <c r="AE1507">
        <v>-87.992874</v>
      </c>
      <c r="AF1507" s="5" t="str">
        <f>HYPERLINK("https://www.google.com/maps/search/?api=1&amp;query=41.797261,-87.992874","map")</f>
        <v>map</v>
      </c>
    </row>
    <row r="1508" spans="1:32">
      <c r="A1508" t="s">
        <v>1558</v>
      </c>
      <c r="B1508" t="s">
        <v>9118</v>
      </c>
      <c r="C1508" t="s">
        <v>15254</v>
      </c>
      <c r="D1508" t="s">
        <v>16199</v>
      </c>
      <c r="E1508" t="s">
        <v>16218</v>
      </c>
      <c r="F1508" t="s">
        <v>16221</v>
      </c>
      <c r="G1508" t="s">
        <v>16249</v>
      </c>
      <c r="H1508" t="s">
        <v>16249</v>
      </c>
      <c r="I1508" t="s">
        <v>16325</v>
      </c>
      <c r="J1508" t="s">
        <v>16385</v>
      </c>
      <c r="K1508">
        <v>0.296</v>
      </c>
      <c r="L1508">
        <v>12908</v>
      </c>
      <c r="M1508">
        <v>1593</v>
      </c>
      <c r="N1508" t="s">
        <v>16393</v>
      </c>
      <c r="O1508" s="4">
        <v>82960</v>
      </c>
      <c r="P1508" s="4">
        <v>113300</v>
      </c>
      <c r="Q1508" s="4">
        <v>196260</v>
      </c>
      <c r="R1508" s="4">
        <v>588780</v>
      </c>
      <c r="S1508" t="s">
        <v>17856</v>
      </c>
      <c r="T1508" s="6">
        <v>35827</v>
      </c>
      <c r="U1508" s="4">
        <v>212000</v>
      </c>
      <c r="X1508" t="s">
        <v>3</v>
      </c>
      <c r="AA1508" s="5" t="str">
        <f>HYPERLINK("https://www.zillow.com/homes/7306-TICONDEROGA-RD-DOWNERS-GROVE-IL-60516_rb/","check listing")</f>
        <v>check listing</v>
      </c>
      <c r="AB1508" s="5" t="str">
        <f>HYPERLINK("https://propertylookup.dupagecounty.gov/Datalets/Datalet.aspx?UseSearch=no&amp;mode=sales&amp;pin=0930107017","sales record")</f>
        <v>sales record</v>
      </c>
      <c r="AC1508" t="s">
        <v>3</v>
      </c>
      <c r="AD1508">
        <v>41.754159</v>
      </c>
      <c r="AE1508">
        <v>-88.023764</v>
      </c>
      <c r="AF1508" s="5" t="str">
        <f>HYPERLINK("https://www.google.com/maps/search/?api=1&amp;query=41.754159,-88.023764","map")</f>
        <v>map</v>
      </c>
    </row>
    <row r="1509" spans="1:32">
      <c r="A1509" t="s">
        <v>1559</v>
      </c>
      <c r="B1509" t="s">
        <v>9119</v>
      </c>
      <c r="C1509" t="s">
        <v>15315</v>
      </c>
      <c r="D1509" t="s">
        <v>16199</v>
      </c>
      <c r="E1509" t="s">
        <v>16218</v>
      </c>
      <c r="F1509" t="s">
        <v>16221</v>
      </c>
      <c r="G1509" t="s">
        <v>16249</v>
      </c>
      <c r="H1509" t="s">
        <v>16249</v>
      </c>
      <c r="I1509" t="s">
        <v>16325</v>
      </c>
      <c r="J1509" t="s">
        <v>16385</v>
      </c>
      <c r="K1509">
        <v>0.296</v>
      </c>
      <c r="L1509">
        <v>12898</v>
      </c>
      <c r="M1509">
        <v>1759</v>
      </c>
      <c r="N1509" t="s">
        <v>16393</v>
      </c>
      <c r="O1509" s="4">
        <v>59414</v>
      </c>
      <c r="P1509" s="4">
        <v>114944</v>
      </c>
      <c r="Q1509" s="4">
        <v>174358</v>
      </c>
      <c r="R1509" s="4">
        <v>523074</v>
      </c>
      <c r="S1509" t="s">
        <v>17857</v>
      </c>
      <c r="T1509" s="6">
        <v>44470</v>
      </c>
      <c r="U1509" s="4">
        <v>525000</v>
      </c>
      <c r="V1509" t="s">
        <v>23739</v>
      </c>
      <c r="W1509" t="s">
        <v>24465</v>
      </c>
      <c r="X1509" t="s">
        <v>3</v>
      </c>
      <c r="AA1509" s="5" t="str">
        <f>HYPERLINK("https://www.zillow.com/homes/7327-SELIG-PL-DOWNERS-GROVE-IL-605163729_rb/","check listing")</f>
        <v>check listing</v>
      </c>
      <c r="AB1509" s="5" t="str">
        <f>HYPERLINK("https://propertylookup.dupagecounty.gov/Datalets/Datalet.aspx?UseSearch=no&amp;mode=sales&amp;pin=0930107022","sales record")</f>
        <v>sales record</v>
      </c>
      <c r="AC1509" t="s">
        <v>3</v>
      </c>
      <c r="AD1509">
        <v>41.75312</v>
      </c>
      <c r="AE1509">
        <v>-88.024134</v>
      </c>
      <c r="AF1509" s="5" t="str">
        <f>HYPERLINK("https://www.google.com/maps/search/?api=1&amp;query=41.75312,-88.024134","map")</f>
        <v>map</v>
      </c>
    </row>
    <row r="1510" spans="1:32">
      <c r="A1510" t="s">
        <v>1560</v>
      </c>
      <c r="B1510" t="s">
        <v>9120</v>
      </c>
      <c r="C1510" t="s">
        <v>15316</v>
      </c>
      <c r="D1510" t="s">
        <v>16199</v>
      </c>
      <c r="E1510" t="s">
        <v>16218</v>
      </c>
      <c r="F1510" t="s">
        <v>16221</v>
      </c>
      <c r="G1510" t="s">
        <v>16249</v>
      </c>
      <c r="H1510" t="s">
        <v>16249</v>
      </c>
      <c r="I1510" t="s">
        <v>16325</v>
      </c>
      <c r="J1510" t="s">
        <v>16385</v>
      </c>
      <c r="K1510">
        <v>0.293</v>
      </c>
      <c r="L1510">
        <v>12780</v>
      </c>
      <c r="M1510">
        <v>1929</v>
      </c>
      <c r="N1510" t="s">
        <v>16393</v>
      </c>
      <c r="O1510" s="4">
        <v>56480</v>
      </c>
      <c r="P1510" s="4">
        <v>99169</v>
      </c>
      <c r="Q1510" s="4">
        <v>155649</v>
      </c>
      <c r="R1510" s="4">
        <v>466947</v>
      </c>
      <c r="S1510" t="s">
        <v>17858</v>
      </c>
      <c r="T1510" s="6">
        <v>42461</v>
      </c>
      <c r="U1510" s="4">
        <v>294000</v>
      </c>
      <c r="V1510" t="s">
        <v>23739</v>
      </c>
      <c r="W1510" t="s">
        <v>24466</v>
      </c>
      <c r="X1510" t="s">
        <v>3</v>
      </c>
      <c r="AA1510" s="5" t="str">
        <f>HYPERLINK("https://www.zillow.com/homes/1732-BORMAN-PL-DOWNERS-GROVE-IL-605163743_rb/","check listing")</f>
        <v>check listing</v>
      </c>
      <c r="AB1510" s="5" t="str">
        <f>HYPERLINK("https://propertylookup.dupagecounty.gov/Datalets/Datalet.aspx?UseSearch=no&amp;mode=sales&amp;pin=0930103053","sales record")</f>
        <v>sales record</v>
      </c>
      <c r="AC1510" t="s">
        <v>3</v>
      </c>
      <c r="AD1510">
        <v>41.751793</v>
      </c>
      <c r="AE1510">
        <v>-88.027193</v>
      </c>
      <c r="AF1510" s="5" t="str">
        <f>HYPERLINK("https://www.google.com/maps/search/?api=1&amp;query=41.751793,-88.027193","map")</f>
        <v>map</v>
      </c>
    </row>
    <row r="1511" spans="1:32">
      <c r="A1511" t="s">
        <v>1561</v>
      </c>
      <c r="B1511" t="s">
        <v>9121</v>
      </c>
      <c r="C1511" t="s">
        <v>15254</v>
      </c>
      <c r="D1511" t="s">
        <v>16199</v>
      </c>
      <c r="E1511" t="s">
        <v>16218</v>
      </c>
      <c r="F1511" t="s">
        <v>16221</v>
      </c>
      <c r="G1511" t="s">
        <v>16249</v>
      </c>
      <c r="H1511" t="s">
        <v>16249</v>
      </c>
      <c r="I1511" t="s">
        <v>16325</v>
      </c>
      <c r="J1511" t="s">
        <v>16385</v>
      </c>
      <c r="K1511">
        <v>0.293</v>
      </c>
      <c r="L1511">
        <v>12771</v>
      </c>
      <c r="M1511">
        <v>2562</v>
      </c>
      <c r="N1511" t="s">
        <v>16393</v>
      </c>
      <c r="O1511" s="4">
        <v>68288</v>
      </c>
      <c r="P1511" s="4">
        <v>126611</v>
      </c>
      <c r="Q1511" s="4">
        <v>194899</v>
      </c>
      <c r="R1511" s="4">
        <v>584697</v>
      </c>
      <c r="S1511" t="s">
        <v>17859</v>
      </c>
      <c r="T1511" s="6">
        <v>38108</v>
      </c>
      <c r="U1511" s="4">
        <v>355000</v>
      </c>
      <c r="V1511" t="s">
        <v>23739</v>
      </c>
      <c r="W1511" t="s">
        <v>24467</v>
      </c>
      <c r="X1511" t="s">
        <v>3</v>
      </c>
      <c r="AA1511" s="5" t="str">
        <f>HYPERLINK("https://www.zillow.com/homes/7100-DEXTER-RD-DOWNERS-GROVE-IL-60516_rb/","check listing")</f>
        <v>check listing</v>
      </c>
      <c r="AB1511" s="5" t="str">
        <f>HYPERLINK("https://propertylookup.dupagecounty.gov/Datalets/Datalet.aspx?UseSearch=no&amp;mode=sales&amp;pin=0919417003","sales record")</f>
        <v>sales record</v>
      </c>
      <c r="AC1511" t="s">
        <v>3</v>
      </c>
      <c r="AD1511">
        <v>41.758774</v>
      </c>
      <c r="AE1511">
        <v>-88.021463</v>
      </c>
      <c r="AF1511" s="5" t="str">
        <f>HYPERLINK("https://www.google.com/maps/search/?api=1&amp;query=41.758774,-88.021463","map")</f>
        <v>map</v>
      </c>
    </row>
    <row r="1512" spans="1:32">
      <c r="A1512" t="s">
        <v>1562</v>
      </c>
      <c r="B1512" t="s">
        <v>9122</v>
      </c>
      <c r="C1512" t="s">
        <v>15254</v>
      </c>
      <c r="D1512" t="s">
        <v>16199</v>
      </c>
      <c r="E1512" t="s">
        <v>16218</v>
      </c>
      <c r="F1512" t="s">
        <v>16221</v>
      </c>
      <c r="G1512" t="s">
        <v>16249</v>
      </c>
      <c r="H1512" t="s">
        <v>16249</v>
      </c>
      <c r="I1512" t="s">
        <v>16325</v>
      </c>
      <c r="J1512" t="s">
        <v>16385</v>
      </c>
      <c r="K1512">
        <v>0.292</v>
      </c>
      <c r="L1512">
        <v>12726</v>
      </c>
      <c r="M1512">
        <v>1856</v>
      </c>
      <c r="N1512" t="s">
        <v>16393</v>
      </c>
      <c r="O1512" s="4">
        <v>68969</v>
      </c>
      <c r="P1512" s="4">
        <v>122550</v>
      </c>
      <c r="Q1512" s="4">
        <v>191519</v>
      </c>
      <c r="R1512" s="4">
        <v>574557</v>
      </c>
      <c r="S1512" t="s">
        <v>17860</v>
      </c>
      <c r="T1512" s="6">
        <v>32021</v>
      </c>
      <c r="U1512" s="4">
        <v>140282</v>
      </c>
      <c r="X1512" t="s">
        <v>3</v>
      </c>
      <c r="AA1512" s="5" t="str">
        <f>HYPERLINK("https://www.zillow.com/homes/7315-SELIG-PL-DOWNERS-GROVE-IL-60516_rb/","check listing")</f>
        <v>check listing</v>
      </c>
      <c r="AB1512" s="5" t="str">
        <f>HYPERLINK("https://propertylookup.dupagecounty.gov/Datalets/Datalet.aspx?UseSearch=no&amp;mode=sales&amp;pin=0930107019","sales record")</f>
        <v>sales record</v>
      </c>
      <c r="AC1512" t="s">
        <v>3</v>
      </c>
      <c r="AD1512">
        <v>41.753856</v>
      </c>
      <c r="AE1512">
        <v>-88.024479</v>
      </c>
      <c r="AF1512" s="5" t="str">
        <f>HYPERLINK("https://www.google.com/maps/search/?api=1&amp;query=41.753856,-88.024479","map")</f>
        <v>map</v>
      </c>
    </row>
    <row r="1513" spans="1:32">
      <c r="A1513" t="s">
        <v>1563</v>
      </c>
      <c r="B1513" t="s">
        <v>9123</v>
      </c>
      <c r="C1513" t="s">
        <v>15254</v>
      </c>
      <c r="D1513" t="s">
        <v>16199</v>
      </c>
      <c r="E1513" t="s">
        <v>16218</v>
      </c>
      <c r="F1513" t="s">
        <v>16221</v>
      </c>
      <c r="G1513" t="s">
        <v>16249</v>
      </c>
      <c r="H1513" t="s">
        <v>16249</v>
      </c>
      <c r="I1513" t="s">
        <v>16325</v>
      </c>
      <c r="J1513" t="s">
        <v>16385</v>
      </c>
      <c r="K1513">
        <v>0.292</v>
      </c>
      <c r="L1513">
        <v>12725</v>
      </c>
      <c r="M1513">
        <v>1543</v>
      </c>
      <c r="N1513" t="s">
        <v>16393</v>
      </c>
      <c r="O1513" s="4">
        <v>56233</v>
      </c>
      <c r="P1513" s="4">
        <v>133630</v>
      </c>
      <c r="Q1513" s="4">
        <v>189863</v>
      </c>
      <c r="R1513" s="4">
        <v>569589</v>
      </c>
      <c r="S1513" t="s">
        <v>17861</v>
      </c>
      <c r="T1513" s="6">
        <v>41791</v>
      </c>
      <c r="U1513" s="4">
        <v>360000</v>
      </c>
      <c r="V1513" t="s">
        <v>23740</v>
      </c>
      <c r="W1513" t="s">
        <v>17861</v>
      </c>
      <c r="X1513" t="s">
        <v>3</v>
      </c>
      <c r="AA1513" s="5" t="str">
        <f>HYPERLINK("https://www.zillow.com/homes/7111-TERRACE-DR-DOWNERS-GROVE-IL-60516_rb/","check listing")</f>
        <v>check listing</v>
      </c>
      <c r="AB1513" s="5" t="str">
        <f>HYPERLINK("https://propertylookup.dupagecounty.gov/Datalets/Datalet.aspx?UseSearch=no&amp;mode=sales&amp;pin=0919418018","sales record")</f>
        <v>sales record</v>
      </c>
      <c r="AC1513" t="s">
        <v>3</v>
      </c>
      <c r="AD1513">
        <v>41.758983</v>
      </c>
      <c r="AE1513">
        <v>-88.01800900000001</v>
      </c>
      <c r="AF1513" s="5" t="str">
        <f>HYPERLINK("https://www.google.com/maps/search/?api=1&amp;query=41.758983,-88.018009","map")</f>
        <v>map</v>
      </c>
    </row>
    <row r="1514" spans="1:32">
      <c r="A1514" t="s">
        <v>1564</v>
      </c>
      <c r="B1514" t="s">
        <v>9124</v>
      </c>
      <c r="C1514" t="s">
        <v>15254</v>
      </c>
      <c r="D1514" t="s">
        <v>16199</v>
      </c>
      <c r="E1514" t="s">
        <v>16218</v>
      </c>
      <c r="F1514" t="s">
        <v>16221</v>
      </c>
      <c r="G1514" t="s">
        <v>16249</v>
      </c>
      <c r="H1514" t="s">
        <v>16249</v>
      </c>
      <c r="I1514" t="s">
        <v>16325</v>
      </c>
      <c r="J1514" t="s">
        <v>16385</v>
      </c>
      <c r="K1514">
        <v>0.292</v>
      </c>
      <c r="L1514">
        <v>12708</v>
      </c>
      <c r="M1514">
        <v>2057</v>
      </c>
      <c r="N1514" t="s">
        <v>16393</v>
      </c>
      <c r="O1514" s="4">
        <v>87549</v>
      </c>
      <c r="P1514" s="4">
        <v>163372</v>
      </c>
      <c r="Q1514" s="4">
        <v>250921</v>
      </c>
      <c r="R1514" s="4">
        <v>752763</v>
      </c>
      <c r="S1514" t="s">
        <v>17862</v>
      </c>
      <c r="T1514" s="6">
        <v>36008</v>
      </c>
      <c r="U1514" s="4">
        <v>336000</v>
      </c>
      <c r="X1514" t="s">
        <v>3</v>
      </c>
      <c r="AA1514" s="5" t="str">
        <f>HYPERLINK("https://www.zillow.com/homes/1151-STANFORD-AVE-DOWNERS-GROVE-IL-60516_rb/","check listing")</f>
        <v>check listing</v>
      </c>
      <c r="AB1514" s="5" t="str">
        <f>HYPERLINK("https://propertylookup.dupagecounty.gov/Datalets/Datalet.aspx?UseSearch=no&amp;mode=sales&amp;pin=0929116014","sales record")</f>
        <v>sales record</v>
      </c>
      <c r="AC1514" t="s">
        <v>3</v>
      </c>
      <c r="AD1514">
        <v>41.757702</v>
      </c>
      <c r="AE1514">
        <v>-88.01148999999999</v>
      </c>
      <c r="AF1514" s="5" t="str">
        <f>HYPERLINK("https://www.google.com/maps/search/?api=1&amp;query=41.757702,-88.01149","map")</f>
        <v>map</v>
      </c>
    </row>
    <row r="1515" spans="1:32">
      <c r="A1515" t="s">
        <v>1565</v>
      </c>
      <c r="B1515" t="s">
        <v>9125</v>
      </c>
      <c r="C1515" t="s">
        <v>15254</v>
      </c>
      <c r="D1515" t="s">
        <v>16199</v>
      </c>
      <c r="E1515" t="s">
        <v>16218</v>
      </c>
      <c r="F1515" t="s">
        <v>16221</v>
      </c>
      <c r="G1515" t="s">
        <v>16249</v>
      </c>
      <c r="H1515" t="s">
        <v>16249</v>
      </c>
      <c r="I1515" t="s">
        <v>16325</v>
      </c>
      <c r="J1515" t="s">
        <v>16385</v>
      </c>
      <c r="K1515">
        <v>0.291</v>
      </c>
      <c r="L1515">
        <v>12685</v>
      </c>
      <c r="M1515">
        <v>1571</v>
      </c>
      <c r="N1515" t="s">
        <v>16393</v>
      </c>
      <c r="O1515" s="4">
        <v>70987</v>
      </c>
      <c r="P1515" s="4">
        <v>108254</v>
      </c>
      <c r="Q1515" s="4">
        <v>179241</v>
      </c>
      <c r="R1515" s="4">
        <v>537723</v>
      </c>
      <c r="S1515" t="s">
        <v>17863</v>
      </c>
      <c r="T1515" s="6">
        <v>31382</v>
      </c>
      <c r="U1515" s="4">
        <v>117189</v>
      </c>
      <c r="X1515" t="s">
        <v>3</v>
      </c>
      <c r="AA1515" s="5" t="str">
        <f>HYPERLINK("https://www.zillow.com/homes/7304-CAMDEN-RD-DOWNERS-GROVE-IL-60516_rb/","check listing")</f>
        <v>check listing</v>
      </c>
      <c r="AB1515" s="5" t="str">
        <f>HYPERLINK("https://propertylookup.dupagecounty.gov/Datalets/Datalet.aspx?UseSearch=no&amp;mode=sales&amp;pin=0930106017","sales record")</f>
        <v>sales record</v>
      </c>
      <c r="AC1515" t="s">
        <v>3</v>
      </c>
      <c r="AD1515">
        <v>41.754279</v>
      </c>
      <c r="AE1515">
        <v>-88.024722</v>
      </c>
      <c r="AF1515" s="5" t="str">
        <f>HYPERLINK("https://www.google.com/maps/search/?api=1&amp;query=41.754279,-88.024722","map")</f>
        <v>map</v>
      </c>
    </row>
    <row r="1516" spans="1:32">
      <c r="A1516" t="s">
        <v>1566</v>
      </c>
      <c r="B1516" t="s">
        <v>9126</v>
      </c>
      <c r="C1516" t="s">
        <v>15254</v>
      </c>
      <c r="D1516" t="s">
        <v>16199</v>
      </c>
      <c r="E1516" t="s">
        <v>16218</v>
      </c>
      <c r="F1516" t="s">
        <v>16221</v>
      </c>
      <c r="G1516" t="s">
        <v>16249</v>
      </c>
      <c r="H1516" t="s">
        <v>16249</v>
      </c>
      <c r="I1516" t="s">
        <v>16325</v>
      </c>
      <c r="J1516" t="s">
        <v>16385</v>
      </c>
      <c r="K1516">
        <v>0.291</v>
      </c>
      <c r="L1516">
        <v>12680</v>
      </c>
      <c r="M1516">
        <v>2590</v>
      </c>
      <c r="N1516" t="s">
        <v>16393</v>
      </c>
      <c r="O1516" s="4">
        <v>75518</v>
      </c>
      <c r="P1516" s="4">
        <v>191883</v>
      </c>
      <c r="Q1516" s="4">
        <v>267401</v>
      </c>
      <c r="R1516" s="4">
        <v>802203</v>
      </c>
      <c r="S1516" t="s">
        <v>17864</v>
      </c>
      <c r="T1516" s="6">
        <v>38626</v>
      </c>
      <c r="U1516" s="4">
        <v>562500</v>
      </c>
      <c r="V1516" t="s">
        <v>23739</v>
      </c>
      <c r="W1516" t="s">
        <v>24468</v>
      </c>
      <c r="X1516" t="s">
        <v>3</v>
      </c>
      <c r="AA1516" s="5" t="str">
        <f>HYPERLINK("https://www.zillow.com/homes/7205-MATTHIAS-RD-DOWNERS-GROVE-IL-60516_rb/","check listing")</f>
        <v>check listing</v>
      </c>
      <c r="AB1516" s="5" t="str">
        <f>HYPERLINK("https://propertylookup.dupagecounty.gov/Datalets/Datalet.aspx?UseSearch=no&amp;mode=sales&amp;pin=0929117002","sales record")</f>
        <v>sales record</v>
      </c>
      <c r="AC1516" t="s">
        <v>3</v>
      </c>
      <c r="AD1516">
        <v>41.756612</v>
      </c>
      <c r="AE1516">
        <v>-88.010722</v>
      </c>
      <c r="AF1516" s="5" t="str">
        <f>HYPERLINK("https://www.google.com/maps/search/?api=1&amp;query=41.756612,-88.010722","map")</f>
        <v>map</v>
      </c>
    </row>
    <row r="1517" spans="1:32">
      <c r="A1517" t="s">
        <v>1567</v>
      </c>
      <c r="B1517" t="s">
        <v>9127</v>
      </c>
      <c r="C1517" t="s">
        <v>15317</v>
      </c>
      <c r="D1517" t="s">
        <v>16199</v>
      </c>
      <c r="E1517" t="s">
        <v>16218</v>
      </c>
      <c r="F1517" t="s">
        <v>16221</v>
      </c>
      <c r="G1517" t="s">
        <v>16250</v>
      </c>
      <c r="H1517" t="s">
        <v>16250</v>
      </c>
      <c r="I1517" t="s">
        <v>16326</v>
      </c>
      <c r="J1517" t="s">
        <v>16385</v>
      </c>
      <c r="K1517">
        <v>0.29</v>
      </c>
      <c r="L1517">
        <v>12648</v>
      </c>
      <c r="M1517">
        <v>1871</v>
      </c>
      <c r="N1517" t="s">
        <v>16393</v>
      </c>
      <c r="O1517" s="4">
        <v>143384</v>
      </c>
      <c r="P1517" s="4">
        <v>305395</v>
      </c>
      <c r="Q1517" s="4">
        <v>448779</v>
      </c>
      <c r="R1517" s="4">
        <v>1346337</v>
      </c>
      <c r="S1517" t="s">
        <v>17865</v>
      </c>
      <c r="T1517" s="6">
        <v>42917</v>
      </c>
      <c r="U1517" s="4">
        <v>1080000</v>
      </c>
      <c r="V1517" t="s">
        <v>23739</v>
      </c>
      <c r="W1517" t="s">
        <v>17865</v>
      </c>
      <c r="X1517" t="s">
        <v>3</v>
      </c>
      <c r="AA1517" s="5" t="str">
        <f>HYPERLINK("https://www.zillow.com/homes/4916-SARATOGA-AVE-DOWNERS-GROVE-IL-605153531_rb/","check listing")</f>
        <v>check listing</v>
      </c>
      <c r="AB1517" s="5" t="str">
        <f>HYPERLINK("https://propertylookup.dupagecounty.gov/Datalets/Datalet.aspx?UseSearch=no&amp;mode=sales&amp;pin=0908114004","sales record")</f>
        <v>sales record</v>
      </c>
      <c r="AC1517" t="s">
        <v>3</v>
      </c>
      <c r="AD1517">
        <v>41.79767</v>
      </c>
      <c r="AE1517">
        <v>-88.014214</v>
      </c>
      <c r="AF1517" s="5" t="str">
        <f>HYPERLINK("https://www.google.com/maps/search/?api=1&amp;query=41.79767,-88.014214","map")</f>
        <v>map</v>
      </c>
    </row>
    <row r="1518" spans="1:32">
      <c r="A1518" t="s">
        <v>1568</v>
      </c>
      <c r="B1518" t="s">
        <v>9128</v>
      </c>
      <c r="C1518" t="s">
        <v>15254</v>
      </c>
      <c r="D1518" t="s">
        <v>16199</v>
      </c>
      <c r="E1518" t="s">
        <v>16218</v>
      </c>
      <c r="F1518" t="s">
        <v>16221</v>
      </c>
      <c r="G1518" t="s">
        <v>16249</v>
      </c>
      <c r="H1518" t="s">
        <v>16249</v>
      </c>
      <c r="I1518" t="s">
        <v>16325</v>
      </c>
      <c r="J1518" t="s">
        <v>16385</v>
      </c>
      <c r="K1518">
        <v>0.29</v>
      </c>
      <c r="L1518">
        <v>12643</v>
      </c>
      <c r="M1518">
        <v>1279</v>
      </c>
      <c r="N1518" t="s">
        <v>16393</v>
      </c>
      <c r="O1518" s="4">
        <v>59661</v>
      </c>
      <c r="P1518" s="4">
        <v>131482</v>
      </c>
      <c r="Q1518" s="4">
        <v>191143</v>
      </c>
      <c r="R1518" s="4">
        <v>573429</v>
      </c>
      <c r="S1518" t="s">
        <v>17866</v>
      </c>
      <c r="T1518" s="6">
        <v>37104</v>
      </c>
      <c r="U1518" s="4">
        <v>269900</v>
      </c>
      <c r="V1518" t="s">
        <v>23739</v>
      </c>
      <c r="W1518" t="s">
        <v>24469</v>
      </c>
      <c r="X1518" t="s">
        <v>3</v>
      </c>
      <c r="AA1518" s="5" t="str">
        <f>HYPERLINK("https://www.zillow.com/homes/7233-POWELL-PL-DOWNERS-GROVE-IL-60516_rb/","check listing")</f>
        <v>check listing</v>
      </c>
      <c r="AB1518" s="5" t="str">
        <f>HYPERLINK("https://propertylookup.dupagecounty.gov/Datalets/Datalet.aspx?UseSearch=no&amp;mode=sales&amp;pin=0930204037","sales record")</f>
        <v>sales record</v>
      </c>
      <c r="AC1518" t="s">
        <v>3</v>
      </c>
      <c r="AD1518">
        <v>41.754901</v>
      </c>
      <c r="AE1518">
        <v>-88.016885</v>
      </c>
      <c r="AF1518" s="5" t="str">
        <f>HYPERLINK("https://www.google.com/maps/search/?api=1&amp;query=41.754901,-88.016885","map")</f>
        <v>map</v>
      </c>
    </row>
    <row r="1519" spans="1:32">
      <c r="A1519" t="s">
        <v>1569</v>
      </c>
      <c r="B1519" t="s">
        <v>9129</v>
      </c>
      <c r="C1519" t="s">
        <v>15254</v>
      </c>
      <c r="D1519" t="s">
        <v>16199</v>
      </c>
      <c r="E1519" t="s">
        <v>16218</v>
      </c>
      <c r="F1519" t="s">
        <v>16221</v>
      </c>
      <c r="G1519" t="s">
        <v>16249</v>
      </c>
      <c r="H1519" t="s">
        <v>16249</v>
      </c>
      <c r="I1519" t="s">
        <v>16325</v>
      </c>
      <c r="J1519" t="s">
        <v>16385</v>
      </c>
      <c r="K1519">
        <v>0.29</v>
      </c>
      <c r="L1519">
        <v>12635</v>
      </c>
      <c r="M1519">
        <v>1876</v>
      </c>
      <c r="N1519" t="s">
        <v>16393</v>
      </c>
      <c r="O1519" s="4">
        <v>58253</v>
      </c>
      <c r="P1519" s="4">
        <v>85119</v>
      </c>
      <c r="Q1519" s="4">
        <v>143372</v>
      </c>
      <c r="R1519" s="4">
        <v>430116</v>
      </c>
      <c r="S1519" t="s">
        <v>17867</v>
      </c>
      <c r="T1519" s="6">
        <v>38018</v>
      </c>
      <c r="U1519" s="4">
        <v>323500</v>
      </c>
      <c r="V1519" t="s">
        <v>23739</v>
      </c>
      <c r="W1519" t="s">
        <v>24470</v>
      </c>
      <c r="X1519" t="s">
        <v>3</v>
      </c>
      <c r="AA1519" s="5" t="str">
        <f>HYPERLINK("https://www.zillow.com/homes/1517-BAKER-PL-DOWNERS-GROVE-IL-60516_rb/","check listing")</f>
        <v>check listing</v>
      </c>
      <c r="AB1519" s="5" t="str">
        <f>HYPERLINK("https://propertylookup.dupagecounty.gov/Datalets/Datalet.aspx?UseSearch=no&amp;mode=sales&amp;pin=0930203003","sales record")</f>
        <v>sales record</v>
      </c>
      <c r="AC1519" t="s">
        <v>3</v>
      </c>
      <c r="AD1519">
        <v>41.757107</v>
      </c>
      <c r="AE1519">
        <v>-88.01976999999999</v>
      </c>
      <c r="AF1519" s="5" t="str">
        <f>HYPERLINK("https://www.google.com/maps/search/?api=1&amp;query=41.757107,-88.01977","map")</f>
        <v>map</v>
      </c>
    </row>
    <row r="1520" spans="1:32">
      <c r="A1520" t="s">
        <v>1570</v>
      </c>
      <c r="B1520" t="s">
        <v>9130</v>
      </c>
      <c r="C1520" t="s">
        <v>15254</v>
      </c>
      <c r="D1520" t="s">
        <v>16199</v>
      </c>
      <c r="E1520" t="s">
        <v>16218</v>
      </c>
      <c r="F1520" t="s">
        <v>16221</v>
      </c>
      <c r="G1520" t="s">
        <v>16249</v>
      </c>
      <c r="H1520" t="s">
        <v>16249</v>
      </c>
      <c r="I1520" t="s">
        <v>16325</v>
      </c>
      <c r="J1520" t="s">
        <v>16385</v>
      </c>
      <c r="K1520">
        <v>0.289</v>
      </c>
      <c r="L1520">
        <v>12585</v>
      </c>
      <c r="M1520">
        <v>1736</v>
      </c>
      <c r="N1520" t="s">
        <v>16393</v>
      </c>
      <c r="O1520" s="4">
        <v>58217</v>
      </c>
      <c r="P1520" s="4">
        <v>130531</v>
      </c>
      <c r="Q1520" s="4">
        <v>188748</v>
      </c>
      <c r="R1520" s="4">
        <v>566244</v>
      </c>
      <c r="S1520" t="s">
        <v>17868</v>
      </c>
      <c r="T1520" s="6">
        <v>43221</v>
      </c>
      <c r="U1520" s="4">
        <v>368000</v>
      </c>
      <c r="V1520" t="s">
        <v>23740</v>
      </c>
      <c r="W1520" t="s">
        <v>24471</v>
      </c>
      <c r="X1520" t="s">
        <v>3</v>
      </c>
      <c r="AA1520" s="5" t="str">
        <f>HYPERLINK("https://www.zillow.com/homes/1732-HALL-PL-DOWNERS-GROVE-IL-60516_rb/","check listing")</f>
        <v>check listing</v>
      </c>
      <c r="AB1520" s="5" t="str">
        <f>HYPERLINK("https://propertylookup.dupagecounty.gov/Datalets/Datalet.aspx?UseSearch=no&amp;mode=sales&amp;pin=0930103042","sales record")</f>
        <v>sales record</v>
      </c>
      <c r="AC1520" t="s">
        <v>3</v>
      </c>
      <c r="AD1520">
        <v>41.752597</v>
      </c>
      <c r="AE1520">
        <v>-88.02710500000001</v>
      </c>
      <c r="AF1520" s="5" t="str">
        <f>HYPERLINK("https://www.google.com/maps/search/?api=1&amp;query=41.752597,-88.027105","map")</f>
        <v>map</v>
      </c>
    </row>
    <row r="1521" spans="1:32">
      <c r="A1521" t="s">
        <v>1571</v>
      </c>
      <c r="B1521" t="s">
        <v>9131</v>
      </c>
      <c r="C1521" t="s">
        <v>15318</v>
      </c>
      <c r="D1521" t="s">
        <v>16199</v>
      </c>
      <c r="E1521" t="s">
        <v>16218</v>
      </c>
      <c r="F1521" t="s">
        <v>16221</v>
      </c>
      <c r="G1521" t="s">
        <v>16250</v>
      </c>
      <c r="H1521" t="s">
        <v>16250</v>
      </c>
      <c r="I1521" t="s">
        <v>16326</v>
      </c>
      <c r="J1521" t="s">
        <v>16385</v>
      </c>
      <c r="K1521">
        <v>0.289</v>
      </c>
      <c r="L1521">
        <v>12579</v>
      </c>
      <c r="M1521">
        <v>1167</v>
      </c>
      <c r="N1521" t="s">
        <v>16393</v>
      </c>
      <c r="O1521" s="4">
        <v>143384</v>
      </c>
      <c r="P1521" s="4">
        <v>169241</v>
      </c>
      <c r="Q1521" s="4">
        <v>312625</v>
      </c>
      <c r="R1521" s="4">
        <v>937875</v>
      </c>
      <c r="S1521" t="s">
        <v>17869</v>
      </c>
      <c r="T1521" s="6">
        <v>31959</v>
      </c>
      <c r="U1521" s="4">
        <v>235000</v>
      </c>
      <c r="X1521" t="s">
        <v>3</v>
      </c>
      <c r="AA1521" s="5" t="str">
        <f>HYPERLINK("https://www.zillow.com/homes/1205-FRANKLIN-ST-DOWNERS-GROVE-IL-605153566_rb/","check listing")</f>
        <v>check listing</v>
      </c>
      <c r="AB1521" s="5" t="str">
        <f>HYPERLINK("https://propertylookup.dupagecounty.gov/Datalets/Datalet.aspx?UseSearch=no&amp;mode=sales&amp;pin=0908114001","sales record")</f>
        <v>sales record</v>
      </c>
      <c r="AC1521" t="s">
        <v>3</v>
      </c>
      <c r="AD1521">
        <v>41.798219</v>
      </c>
      <c r="AE1521">
        <v>-88.014233</v>
      </c>
      <c r="AF1521" s="5" t="str">
        <f>HYPERLINK("https://www.google.com/maps/search/?api=1&amp;query=41.798219,-88.014233","map")</f>
        <v>map</v>
      </c>
    </row>
    <row r="1522" spans="1:32">
      <c r="A1522" t="s">
        <v>1572</v>
      </c>
      <c r="B1522" t="s">
        <v>9132</v>
      </c>
      <c r="C1522" t="s">
        <v>15254</v>
      </c>
      <c r="D1522" t="s">
        <v>16199</v>
      </c>
      <c r="E1522" t="s">
        <v>16218</v>
      </c>
      <c r="F1522" t="s">
        <v>16221</v>
      </c>
      <c r="G1522" t="s">
        <v>16249</v>
      </c>
      <c r="H1522" t="s">
        <v>16249</v>
      </c>
      <c r="I1522" t="s">
        <v>16325</v>
      </c>
      <c r="J1522" t="s">
        <v>16385</v>
      </c>
      <c r="K1522">
        <v>0.288</v>
      </c>
      <c r="L1522">
        <v>12557</v>
      </c>
      <c r="M1522">
        <v>2150</v>
      </c>
      <c r="N1522" t="s">
        <v>16393</v>
      </c>
      <c r="O1522" s="4">
        <v>58241</v>
      </c>
      <c r="P1522" s="4">
        <v>153724</v>
      </c>
      <c r="Q1522" s="4">
        <v>211965</v>
      </c>
      <c r="R1522" s="4">
        <v>635895</v>
      </c>
      <c r="S1522" t="s">
        <v>17870</v>
      </c>
      <c r="T1522" s="6">
        <v>37681</v>
      </c>
      <c r="U1522" s="4">
        <v>358000</v>
      </c>
      <c r="V1522" t="s">
        <v>23739</v>
      </c>
      <c r="W1522" t="s">
        <v>24472</v>
      </c>
      <c r="X1522" t="s">
        <v>3</v>
      </c>
      <c r="AA1522" s="5" t="str">
        <f>HYPERLINK("https://www.zillow.com/homes/7217-BATEMAN-ST-DOWNERS-GROVE-IL-60516_rb/","check listing")</f>
        <v>check listing</v>
      </c>
      <c r="AB1522" s="5" t="str">
        <f>HYPERLINK("https://propertylookup.dupagecounty.gov/Datalets/Datalet.aspx?UseSearch=no&amp;mode=sales&amp;pin=0930207019","sales record")</f>
        <v>sales record</v>
      </c>
      <c r="AC1522" t="s">
        <v>3</v>
      </c>
      <c r="AD1522">
        <v>41.756324</v>
      </c>
      <c r="AE1522">
        <v>-88.015342</v>
      </c>
      <c r="AF1522" s="5" t="str">
        <f>HYPERLINK("https://www.google.com/maps/search/?api=1&amp;query=41.756324,-88.015342","map")</f>
        <v>map</v>
      </c>
    </row>
    <row r="1523" spans="1:32">
      <c r="A1523" t="s">
        <v>1573</v>
      </c>
      <c r="B1523" t="s">
        <v>9133</v>
      </c>
      <c r="C1523" t="s">
        <v>15319</v>
      </c>
      <c r="D1523" t="s">
        <v>16199</v>
      </c>
      <c r="E1523" t="s">
        <v>16218</v>
      </c>
      <c r="F1523" t="s">
        <v>16221</v>
      </c>
      <c r="G1523" t="s">
        <v>16249</v>
      </c>
      <c r="H1523" t="s">
        <v>16249</v>
      </c>
      <c r="I1523" t="s">
        <v>16325</v>
      </c>
      <c r="J1523" t="s">
        <v>16385</v>
      </c>
      <c r="K1523">
        <v>0.287</v>
      </c>
      <c r="L1523">
        <v>12522</v>
      </c>
      <c r="M1523">
        <v>1332</v>
      </c>
      <c r="N1523" t="s">
        <v>16393</v>
      </c>
      <c r="O1523" s="4">
        <v>67349</v>
      </c>
      <c r="P1523" s="4">
        <v>98336</v>
      </c>
      <c r="Q1523" s="4">
        <v>165685</v>
      </c>
      <c r="R1523" s="4">
        <v>497055</v>
      </c>
      <c r="S1523" t="s">
        <v>17871</v>
      </c>
      <c r="T1523" s="6">
        <v>44682</v>
      </c>
      <c r="U1523" s="4">
        <v>420000</v>
      </c>
      <c r="V1523" t="s">
        <v>23739</v>
      </c>
      <c r="W1523" t="s">
        <v>24473</v>
      </c>
      <c r="X1523" t="s">
        <v>3</v>
      </c>
      <c r="AA1523" s="5" t="str">
        <f>HYPERLINK("https://www.zillow.com/homes/7402-DEVEREUX-RD-DOWNERS-GROVE-IL-605163741_rb/","check listing")</f>
        <v>check listing</v>
      </c>
      <c r="AB1523" s="5" t="str">
        <f>HYPERLINK("https://propertylookup.dupagecounty.gov/Datalets/Datalet.aspx?UseSearch=no&amp;mode=sales&amp;pin=0930103038","sales record")</f>
        <v>sales record</v>
      </c>
      <c r="AC1523" t="s">
        <v>3</v>
      </c>
      <c r="AD1523">
        <v>41.75266</v>
      </c>
      <c r="AE1523">
        <v>-88.025975</v>
      </c>
      <c r="AF1523" s="5" t="str">
        <f>HYPERLINK("https://www.google.com/maps/search/?api=1&amp;query=41.75266,-88.025975","map")</f>
        <v>map</v>
      </c>
    </row>
    <row r="1524" spans="1:32">
      <c r="A1524" t="s">
        <v>1574</v>
      </c>
      <c r="B1524" t="s">
        <v>9134</v>
      </c>
      <c r="C1524" t="s">
        <v>15254</v>
      </c>
      <c r="D1524" t="s">
        <v>16199</v>
      </c>
      <c r="E1524" t="s">
        <v>16218</v>
      </c>
      <c r="F1524" t="s">
        <v>16221</v>
      </c>
      <c r="G1524" t="s">
        <v>16249</v>
      </c>
      <c r="H1524" t="s">
        <v>16249</v>
      </c>
      <c r="I1524" t="s">
        <v>16325</v>
      </c>
      <c r="J1524" t="s">
        <v>16385</v>
      </c>
      <c r="K1524">
        <v>0.287</v>
      </c>
      <c r="L1524">
        <v>12480</v>
      </c>
      <c r="M1524">
        <v>1874</v>
      </c>
      <c r="N1524" t="s">
        <v>16393</v>
      </c>
      <c r="O1524" s="4">
        <v>66704</v>
      </c>
      <c r="P1524" s="4">
        <v>106575</v>
      </c>
      <c r="Q1524" s="4">
        <v>173279</v>
      </c>
      <c r="R1524" s="4">
        <v>519837</v>
      </c>
      <c r="S1524" t="s">
        <v>17872</v>
      </c>
      <c r="T1524" s="6">
        <v>39203</v>
      </c>
      <c r="U1524" s="4">
        <v>374000</v>
      </c>
      <c r="V1524" t="s">
        <v>23739</v>
      </c>
      <c r="W1524" t="s">
        <v>24474</v>
      </c>
      <c r="X1524" t="s">
        <v>3</v>
      </c>
      <c r="AA1524" s="5" t="str">
        <f>HYPERLINK("https://www.zillow.com/homes/7229-POWELL-PL-DOWNERS-GROVE-IL-60516_rb/","check listing")</f>
        <v>check listing</v>
      </c>
      <c r="AB1524" s="5" t="str">
        <f>HYPERLINK("https://propertylookup.dupagecounty.gov/Datalets/Datalet.aspx?UseSearch=no&amp;mode=sales&amp;pin=0930204038","sales record")</f>
        <v>sales record</v>
      </c>
      <c r="AC1524" t="s">
        <v>3</v>
      </c>
      <c r="AD1524">
        <v>41.755072</v>
      </c>
      <c r="AE1524">
        <v>-88.01667</v>
      </c>
      <c r="AF1524" s="5" t="str">
        <f>HYPERLINK("https://www.google.com/maps/search/?api=1&amp;query=41.755072,-88.01667","map")</f>
        <v>map</v>
      </c>
    </row>
    <row r="1525" spans="1:32">
      <c r="A1525" t="s">
        <v>1575</v>
      </c>
      <c r="B1525" t="s">
        <v>9135</v>
      </c>
      <c r="C1525" t="s">
        <v>15254</v>
      </c>
      <c r="D1525" t="s">
        <v>16199</v>
      </c>
      <c r="E1525" t="s">
        <v>16218</v>
      </c>
      <c r="F1525" t="s">
        <v>16221</v>
      </c>
      <c r="G1525" t="s">
        <v>16249</v>
      </c>
      <c r="H1525" t="s">
        <v>16249</v>
      </c>
      <c r="I1525" t="s">
        <v>16325</v>
      </c>
      <c r="J1525" t="s">
        <v>16385</v>
      </c>
      <c r="K1525">
        <v>0.284</v>
      </c>
      <c r="L1525">
        <v>12360</v>
      </c>
      <c r="M1525">
        <v>2056</v>
      </c>
      <c r="N1525" t="s">
        <v>16393</v>
      </c>
      <c r="O1525" s="4">
        <v>57067</v>
      </c>
      <c r="P1525" s="4">
        <v>135273</v>
      </c>
      <c r="Q1525" s="4">
        <v>192340</v>
      </c>
      <c r="R1525" s="4">
        <v>577020</v>
      </c>
      <c r="S1525" t="s">
        <v>17873</v>
      </c>
      <c r="T1525" s="6">
        <v>43435</v>
      </c>
      <c r="U1525" s="4">
        <v>395000</v>
      </c>
      <c r="V1525" t="s">
        <v>23739</v>
      </c>
      <c r="W1525" t="s">
        <v>24475</v>
      </c>
      <c r="X1525" t="s">
        <v>3</v>
      </c>
      <c r="AA1525" s="5" t="str">
        <f>HYPERLINK("https://www.zillow.com/homes/1524-BAKER-PL-DOWNERS-GROVE-IL-60516_rb/","check listing")</f>
        <v>check listing</v>
      </c>
      <c r="AB1525" s="5" t="str">
        <f>HYPERLINK("https://propertylookup.dupagecounty.gov/Datalets/Datalet.aspx?UseSearch=no&amp;mode=sales&amp;pin=0930203005","sales record")</f>
        <v>sales record</v>
      </c>
      <c r="AC1525" t="s">
        <v>3</v>
      </c>
      <c r="AD1525">
        <v>41.756665</v>
      </c>
      <c r="AE1525">
        <v>-88.019924</v>
      </c>
      <c r="AF1525" s="5" t="str">
        <f>HYPERLINK("https://www.google.com/maps/search/?api=1&amp;query=41.756665,-88.019924","map")</f>
        <v>map</v>
      </c>
    </row>
    <row r="1526" spans="1:32">
      <c r="A1526" t="s">
        <v>1576</v>
      </c>
      <c r="B1526" t="s">
        <v>9136</v>
      </c>
      <c r="C1526" t="s">
        <v>15320</v>
      </c>
      <c r="D1526" t="s">
        <v>16199</v>
      </c>
      <c r="E1526" t="s">
        <v>16218</v>
      </c>
      <c r="F1526" t="s">
        <v>16221</v>
      </c>
      <c r="G1526" t="s">
        <v>16249</v>
      </c>
      <c r="H1526" t="s">
        <v>16249</v>
      </c>
      <c r="I1526" t="s">
        <v>16325</v>
      </c>
      <c r="J1526" t="s">
        <v>16385</v>
      </c>
      <c r="K1526">
        <v>0.279</v>
      </c>
      <c r="L1526">
        <v>12160</v>
      </c>
      <c r="M1526">
        <v>2502</v>
      </c>
      <c r="N1526" t="s">
        <v>16393</v>
      </c>
      <c r="O1526" s="4">
        <v>58182</v>
      </c>
      <c r="P1526" s="4">
        <v>120061</v>
      </c>
      <c r="Q1526" s="4">
        <v>178243</v>
      </c>
      <c r="R1526" s="4">
        <v>534729</v>
      </c>
      <c r="S1526" t="s">
        <v>17874</v>
      </c>
      <c r="T1526" s="6">
        <v>32203</v>
      </c>
      <c r="U1526" s="4">
        <v>167476</v>
      </c>
      <c r="X1526" t="s">
        <v>3</v>
      </c>
      <c r="AA1526" s="5" t="str">
        <f>HYPERLINK("https://www.zillow.com/homes/1201-HAWKINS-AVE-DOWNERS-GROVE-IL-605163787_rb/","check listing")</f>
        <v>check listing</v>
      </c>
      <c r="AB1526" s="5" t="str">
        <f>HYPERLINK("https://propertylookup.dupagecounty.gov/Datalets/Datalet.aspx?UseSearch=no&amp;mode=sales&amp;pin=0930209021","sales record")</f>
        <v>sales record</v>
      </c>
      <c r="AC1526" t="s">
        <v>3</v>
      </c>
      <c r="AD1526">
        <v>41.754925</v>
      </c>
      <c r="AE1526">
        <v>-88.01358999999999</v>
      </c>
      <c r="AF1526" s="5" t="str">
        <f>HYPERLINK("https://www.google.com/maps/search/?api=1&amp;query=41.754925,-88.01359","map")</f>
        <v>map</v>
      </c>
    </row>
    <row r="1527" spans="1:32">
      <c r="A1527" t="s">
        <v>1577</v>
      </c>
      <c r="B1527" t="s">
        <v>9137</v>
      </c>
      <c r="C1527" t="s">
        <v>15254</v>
      </c>
      <c r="D1527" t="s">
        <v>16199</v>
      </c>
      <c r="E1527" t="s">
        <v>16218</v>
      </c>
      <c r="F1527" t="s">
        <v>16221</v>
      </c>
      <c r="G1527" t="s">
        <v>16249</v>
      </c>
      <c r="H1527" t="s">
        <v>16249</v>
      </c>
      <c r="I1527" t="s">
        <v>16325</v>
      </c>
      <c r="J1527" t="s">
        <v>16385</v>
      </c>
      <c r="K1527">
        <v>0.278</v>
      </c>
      <c r="L1527">
        <v>12114</v>
      </c>
      <c r="M1527">
        <v>2009</v>
      </c>
      <c r="N1527" t="s">
        <v>16393</v>
      </c>
      <c r="O1527" s="4">
        <v>60647</v>
      </c>
      <c r="P1527" s="4">
        <v>135132</v>
      </c>
      <c r="Q1527" s="4">
        <v>195779</v>
      </c>
      <c r="R1527" s="4">
        <v>587337</v>
      </c>
      <c r="S1527" t="s">
        <v>17875</v>
      </c>
      <c r="T1527" s="6">
        <v>32448</v>
      </c>
      <c r="U1527" s="4">
        <v>147335</v>
      </c>
      <c r="X1527" t="s">
        <v>3</v>
      </c>
      <c r="AA1527" s="5" t="str">
        <f>HYPERLINK("https://www.zillow.com/homes/7318-BINDER-RD-DOWNERS-GROVE-IL-60516_rb/","check listing")</f>
        <v>check listing</v>
      </c>
      <c r="AB1527" s="5" t="str">
        <f>HYPERLINK("https://propertylookup.dupagecounty.gov/Datalets/Datalet.aspx?UseSearch=no&amp;mode=sales&amp;pin=0930103031","sales record")</f>
        <v>sales record</v>
      </c>
      <c r="AC1527" t="s">
        <v>3</v>
      </c>
      <c r="AD1527">
        <v>41.753269</v>
      </c>
      <c r="AE1527">
        <v>-88.02723899999999</v>
      </c>
      <c r="AF1527" s="5" t="str">
        <f>HYPERLINK("https://www.google.com/maps/search/?api=1&amp;query=41.753269,-88.027239","map")</f>
        <v>map</v>
      </c>
    </row>
    <row r="1528" spans="1:32">
      <c r="A1528" t="s">
        <v>1578</v>
      </c>
      <c r="B1528" t="s">
        <v>9138</v>
      </c>
      <c r="C1528" t="s">
        <v>15254</v>
      </c>
      <c r="D1528" t="s">
        <v>16199</v>
      </c>
      <c r="E1528" t="s">
        <v>16218</v>
      </c>
      <c r="F1528" t="s">
        <v>16221</v>
      </c>
      <c r="G1528" t="s">
        <v>16249</v>
      </c>
      <c r="H1528" t="s">
        <v>16249</v>
      </c>
      <c r="I1528" t="s">
        <v>16325</v>
      </c>
      <c r="J1528" t="s">
        <v>16385</v>
      </c>
      <c r="K1528">
        <v>0.278</v>
      </c>
      <c r="L1528">
        <v>12113</v>
      </c>
      <c r="M1528">
        <v>1870</v>
      </c>
      <c r="N1528" t="s">
        <v>16393</v>
      </c>
      <c r="O1528" s="4">
        <v>56938</v>
      </c>
      <c r="P1528" s="4">
        <v>126118</v>
      </c>
      <c r="Q1528" s="4">
        <v>183056</v>
      </c>
      <c r="R1528" s="4">
        <v>549168</v>
      </c>
      <c r="S1528" t="s">
        <v>17876</v>
      </c>
      <c r="T1528" s="6">
        <v>32082</v>
      </c>
      <c r="U1528" s="4">
        <v>137040</v>
      </c>
      <c r="X1528" t="s">
        <v>3</v>
      </c>
      <c r="AA1528" s="5" t="str">
        <f>HYPERLINK("https://www.zillow.com/homes/1730-HAWKINS-AVE-DOWNERS-GROVE-IL-60516_rb/","check listing")</f>
        <v>check listing</v>
      </c>
      <c r="AB1528" s="5" t="str">
        <f>HYPERLINK("https://propertylookup.dupagecounty.gov/Datalets/Datalet.aspx?UseSearch=no&amp;mode=sales&amp;pin=0930103021","sales record")</f>
        <v>sales record</v>
      </c>
      <c r="AC1528" t="s">
        <v>3</v>
      </c>
      <c r="AD1528">
        <v>41.755532</v>
      </c>
      <c r="AE1528">
        <v>-88.027045</v>
      </c>
      <c r="AF1528" s="5" t="str">
        <f>HYPERLINK("https://www.google.com/maps/search/?api=1&amp;query=41.755532,-88.027045","map")</f>
        <v>map</v>
      </c>
    </row>
    <row r="1529" spans="1:32">
      <c r="A1529" t="s">
        <v>1579</v>
      </c>
      <c r="B1529" t="s">
        <v>9139</v>
      </c>
      <c r="C1529" t="s">
        <v>15254</v>
      </c>
      <c r="D1529" t="s">
        <v>16199</v>
      </c>
      <c r="E1529" t="s">
        <v>16218</v>
      </c>
      <c r="F1529" t="s">
        <v>16221</v>
      </c>
      <c r="G1529" t="s">
        <v>16249</v>
      </c>
      <c r="H1529" t="s">
        <v>16249</v>
      </c>
      <c r="I1529" t="s">
        <v>16325</v>
      </c>
      <c r="J1529" t="s">
        <v>16385</v>
      </c>
      <c r="K1529">
        <v>0.278</v>
      </c>
      <c r="L1529">
        <v>12098</v>
      </c>
      <c r="M1529">
        <v>1840</v>
      </c>
      <c r="N1529" t="s">
        <v>16393</v>
      </c>
      <c r="O1529" s="4">
        <v>57818</v>
      </c>
      <c r="P1529" s="4">
        <v>118865</v>
      </c>
      <c r="Q1529" s="4">
        <v>176683</v>
      </c>
      <c r="R1529" s="4">
        <v>530049</v>
      </c>
      <c r="S1529" t="s">
        <v>17877</v>
      </c>
      <c r="T1529" s="6">
        <v>42917</v>
      </c>
      <c r="U1529" s="4">
        <v>435000</v>
      </c>
      <c r="V1529" t="s">
        <v>23739</v>
      </c>
      <c r="W1529" t="s">
        <v>24476</v>
      </c>
      <c r="X1529" t="s">
        <v>3</v>
      </c>
      <c r="AA1529" s="5" t="str">
        <f>HYPERLINK("https://www.zillow.com/homes/1525-BAKER-PL-DOWNERS-GROVE-IL-60516_rb/","check listing")</f>
        <v>check listing</v>
      </c>
      <c r="AB1529" s="5" t="str">
        <f>HYPERLINK("https://propertylookup.dupagecounty.gov/Datalets/Datalet.aspx?UseSearch=no&amp;mode=sales&amp;pin=0930203004","sales record")</f>
        <v>sales record</v>
      </c>
      <c r="AC1529" t="s">
        <v>3</v>
      </c>
      <c r="AD1529">
        <v>41.756796</v>
      </c>
      <c r="AE1529">
        <v>-88.019752</v>
      </c>
      <c r="AF1529" s="5" t="str">
        <f>HYPERLINK("https://www.google.com/maps/search/?api=1&amp;query=41.756796,-88.019752","map")</f>
        <v>map</v>
      </c>
    </row>
    <row r="1530" spans="1:32">
      <c r="A1530" t="s">
        <v>1580</v>
      </c>
      <c r="B1530" t="s">
        <v>9140</v>
      </c>
      <c r="C1530" t="s">
        <v>15254</v>
      </c>
      <c r="D1530" t="s">
        <v>16199</v>
      </c>
      <c r="E1530" t="s">
        <v>16218</v>
      </c>
      <c r="F1530" t="s">
        <v>16221</v>
      </c>
      <c r="G1530" t="s">
        <v>16249</v>
      </c>
      <c r="H1530" t="s">
        <v>16249</v>
      </c>
      <c r="I1530" t="s">
        <v>16325</v>
      </c>
      <c r="J1530" t="s">
        <v>16385</v>
      </c>
      <c r="K1530">
        <v>0.277</v>
      </c>
      <c r="L1530">
        <v>12069</v>
      </c>
      <c r="M1530">
        <v>1501</v>
      </c>
      <c r="N1530" t="s">
        <v>16393</v>
      </c>
      <c r="O1530" s="4">
        <v>58147</v>
      </c>
      <c r="P1530" s="4">
        <v>107068</v>
      </c>
      <c r="Q1530" s="4">
        <v>165215</v>
      </c>
      <c r="R1530" s="4">
        <v>495645</v>
      </c>
      <c r="S1530" t="s">
        <v>17878</v>
      </c>
      <c r="T1530" s="6">
        <v>31625</v>
      </c>
      <c r="U1530" s="4">
        <v>122038</v>
      </c>
      <c r="X1530" t="s">
        <v>3</v>
      </c>
      <c r="AA1530" s="5" t="str">
        <f>HYPERLINK("https://www.zillow.com/homes/7211-TICONDERGA-PL-DOWNERS-GROVE-IL-60516_rb/","check listing")</f>
        <v>check listing</v>
      </c>
      <c r="AB1530" s="5" t="str">
        <f>HYPERLINK("https://propertylookup.dupagecounty.gov/Datalets/Datalet.aspx?UseSearch=no&amp;mode=sales&amp;pin=0930105038","sales record")</f>
        <v>sales record</v>
      </c>
      <c r="AC1530" t="s">
        <v>3</v>
      </c>
      <c r="AD1530">
        <v>41.755912</v>
      </c>
      <c r="AE1530">
        <v>-88.023021</v>
      </c>
      <c r="AF1530" s="5" t="str">
        <f>HYPERLINK("https://www.google.com/maps/search/?api=1&amp;query=41.755912,-88.023021","map")</f>
        <v>map</v>
      </c>
    </row>
    <row r="1531" spans="1:32">
      <c r="A1531" t="s">
        <v>1581</v>
      </c>
      <c r="B1531" t="s">
        <v>9141</v>
      </c>
      <c r="C1531" t="s">
        <v>15254</v>
      </c>
      <c r="D1531" t="s">
        <v>16199</v>
      </c>
      <c r="E1531" t="s">
        <v>16218</v>
      </c>
      <c r="F1531" t="s">
        <v>16221</v>
      </c>
      <c r="G1531" t="s">
        <v>16249</v>
      </c>
      <c r="H1531" t="s">
        <v>16249</v>
      </c>
      <c r="I1531" t="s">
        <v>16325</v>
      </c>
      <c r="J1531" t="s">
        <v>16385</v>
      </c>
      <c r="K1531">
        <v>0.277</v>
      </c>
      <c r="L1531">
        <v>12066</v>
      </c>
      <c r="M1531">
        <v>2293</v>
      </c>
      <c r="N1531" t="s">
        <v>16393</v>
      </c>
      <c r="O1531" s="4">
        <v>73793</v>
      </c>
      <c r="P1531" s="4">
        <v>127432</v>
      </c>
      <c r="Q1531" s="4">
        <v>201225</v>
      </c>
      <c r="R1531" s="4">
        <v>603675</v>
      </c>
      <c r="S1531" t="s">
        <v>17879</v>
      </c>
      <c r="T1531" s="6">
        <v>38777</v>
      </c>
      <c r="U1531" s="4">
        <v>443000</v>
      </c>
      <c r="V1531" t="s">
        <v>23739</v>
      </c>
      <c r="W1531" t="s">
        <v>24477</v>
      </c>
      <c r="X1531" t="s">
        <v>3</v>
      </c>
      <c r="AA1531" s="5" t="str">
        <f>HYPERLINK("https://www.zillow.com/homes/7225-POWELL-ST-DOWNERS-GROVE-IL-60516_rb/","check listing")</f>
        <v>check listing</v>
      </c>
      <c r="AB1531" s="5" t="str">
        <f>HYPERLINK("https://propertylookup.dupagecounty.gov/Datalets/Datalet.aspx?UseSearch=no&amp;mode=sales&amp;pin=0930208004","sales record")</f>
        <v>sales record</v>
      </c>
      <c r="AC1531" t="s">
        <v>3</v>
      </c>
      <c r="AD1531">
        <v>41.755439</v>
      </c>
      <c r="AE1531">
        <v>-88.016508</v>
      </c>
      <c r="AF1531" s="5" t="str">
        <f>HYPERLINK("https://www.google.com/maps/search/?api=1&amp;query=41.755439,-88.016508","map")</f>
        <v>map</v>
      </c>
    </row>
    <row r="1532" spans="1:32">
      <c r="A1532" t="s">
        <v>1582</v>
      </c>
      <c r="B1532" t="s">
        <v>9142</v>
      </c>
      <c r="C1532" t="s">
        <v>15321</v>
      </c>
      <c r="D1532" t="s">
        <v>16199</v>
      </c>
      <c r="E1532" t="s">
        <v>16218</v>
      </c>
      <c r="F1532" t="s">
        <v>16221</v>
      </c>
      <c r="G1532" t="s">
        <v>16249</v>
      </c>
      <c r="H1532" t="s">
        <v>16249</v>
      </c>
      <c r="I1532" t="s">
        <v>16325</v>
      </c>
      <c r="J1532" t="s">
        <v>16385</v>
      </c>
      <c r="K1532">
        <v>0.277</v>
      </c>
      <c r="L1532">
        <v>12047</v>
      </c>
      <c r="M1532">
        <v>2602</v>
      </c>
      <c r="N1532" t="s">
        <v>16393</v>
      </c>
      <c r="O1532" s="4">
        <v>66692</v>
      </c>
      <c r="P1532" s="4">
        <v>188655</v>
      </c>
      <c r="Q1532" s="4">
        <v>255347</v>
      </c>
      <c r="R1532" s="4">
        <v>766041</v>
      </c>
      <c r="S1532" t="s">
        <v>17880</v>
      </c>
      <c r="T1532" s="6">
        <v>44803</v>
      </c>
      <c r="U1532" s="4">
        <v>660000</v>
      </c>
      <c r="V1532" t="s">
        <v>23739</v>
      </c>
      <c r="W1532" t="s">
        <v>24478</v>
      </c>
      <c r="X1532" t="s">
        <v>3</v>
      </c>
      <c r="AA1532" s="5" t="str">
        <f>HYPERLINK("https://www.zillow.com/homes/1709-WHITE-PL-DOWNERS-GROVE-IL-605163728_rb/","check listing")</f>
        <v>check listing</v>
      </c>
      <c r="AB1532" s="5" t="str">
        <f>HYPERLINK("https://propertylookup.dupagecounty.gov/Datalets/Datalet.aspx?UseSearch=no&amp;mode=sales&amp;pin=0930106014","sales record")</f>
        <v>sales record</v>
      </c>
      <c r="AC1532" t="s">
        <v>3</v>
      </c>
      <c r="AD1532">
        <v>41.754295</v>
      </c>
      <c r="AE1532">
        <v>-88.025448</v>
      </c>
      <c r="AF1532" s="5" t="str">
        <f>HYPERLINK("https://www.google.com/maps/search/?api=1&amp;query=41.754295,-88.025448","map")</f>
        <v>map</v>
      </c>
    </row>
    <row r="1533" spans="1:32">
      <c r="A1533" t="s">
        <v>1583</v>
      </c>
      <c r="B1533" t="s">
        <v>9143</v>
      </c>
      <c r="C1533" t="s">
        <v>15254</v>
      </c>
      <c r="D1533" t="s">
        <v>16199</v>
      </c>
      <c r="E1533" t="s">
        <v>16218</v>
      </c>
      <c r="F1533" t="s">
        <v>16221</v>
      </c>
      <c r="G1533" t="s">
        <v>16249</v>
      </c>
      <c r="H1533" t="s">
        <v>16249</v>
      </c>
      <c r="I1533" t="s">
        <v>16325</v>
      </c>
      <c r="J1533" t="s">
        <v>16385</v>
      </c>
      <c r="K1533">
        <v>0.277</v>
      </c>
      <c r="L1533">
        <v>12046</v>
      </c>
      <c r="M1533">
        <v>1656</v>
      </c>
      <c r="N1533" t="s">
        <v>16393</v>
      </c>
      <c r="O1533" s="4">
        <v>57137</v>
      </c>
      <c r="P1533" s="4">
        <v>143877</v>
      </c>
      <c r="Q1533" s="4">
        <v>201014</v>
      </c>
      <c r="R1533" s="4">
        <v>603042</v>
      </c>
      <c r="S1533" t="s">
        <v>17881</v>
      </c>
      <c r="T1533" s="6">
        <v>31533</v>
      </c>
      <c r="U1533" s="4">
        <v>124377</v>
      </c>
      <c r="X1533" t="s">
        <v>3</v>
      </c>
      <c r="AA1533" s="5" t="str">
        <f>HYPERLINK("https://www.zillow.com/homes/7206-TICONDEROGA-PL-DOWNERS-GROVE-IL-60516_rb/","check listing")</f>
        <v>check listing</v>
      </c>
      <c r="AB1533" s="5" t="str">
        <f>HYPERLINK("https://propertylookup.dupagecounty.gov/Datalets/Datalet.aspx?UseSearch=no&amp;mode=sales&amp;pin=0930105036","sales record")</f>
        <v>sales record</v>
      </c>
      <c r="AC1533" t="s">
        <v>3</v>
      </c>
      <c r="AD1533">
        <v>41.755995</v>
      </c>
      <c r="AE1533">
        <v>-88.023762</v>
      </c>
      <c r="AF1533" s="5" t="str">
        <f>HYPERLINK("https://www.google.com/maps/search/?api=1&amp;query=41.755995,-88.023762","map")</f>
        <v>map</v>
      </c>
    </row>
    <row r="1534" spans="1:32">
      <c r="A1534" t="s">
        <v>1584</v>
      </c>
      <c r="B1534" t="s">
        <v>9144</v>
      </c>
      <c r="C1534" t="s">
        <v>15254</v>
      </c>
      <c r="D1534" t="s">
        <v>16199</v>
      </c>
      <c r="E1534" t="s">
        <v>16218</v>
      </c>
      <c r="F1534" t="s">
        <v>16221</v>
      </c>
      <c r="G1534" t="s">
        <v>16249</v>
      </c>
      <c r="H1534" t="s">
        <v>16249</v>
      </c>
      <c r="I1534" t="s">
        <v>16325</v>
      </c>
      <c r="J1534" t="s">
        <v>16385</v>
      </c>
      <c r="K1534">
        <v>0.272</v>
      </c>
      <c r="L1534">
        <v>11829</v>
      </c>
      <c r="M1534">
        <v>1893</v>
      </c>
      <c r="N1534" t="s">
        <v>16393</v>
      </c>
      <c r="O1534" s="4">
        <v>58793</v>
      </c>
      <c r="P1534" s="4">
        <v>106786</v>
      </c>
      <c r="Q1534" s="4">
        <v>165579</v>
      </c>
      <c r="R1534" s="4">
        <v>496737</v>
      </c>
      <c r="S1534" t="s">
        <v>17882</v>
      </c>
      <c r="T1534" s="6">
        <v>44999</v>
      </c>
      <c r="U1534" s="4">
        <v>485000</v>
      </c>
      <c r="V1534" t="s">
        <v>23739</v>
      </c>
      <c r="W1534" t="s">
        <v>24479</v>
      </c>
      <c r="X1534" t="s">
        <v>3</v>
      </c>
      <c r="AA1534" s="5" t="str">
        <f>HYPERLINK("https://www.zillow.com/homes/1714-GRAHAM-AVE-DOWNERS-GROVE-IL-60516_rb/","check listing")</f>
        <v>check listing</v>
      </c>
      <c r="AB1534" s="5" t="str">
        <f>HYPERLINK("https://propertylookup.dupagecounty.gov/Datalets/Datalet.aspx?UseSearch=no&amp;mode=sales&amp;pin=0930106022","sales record")</f>
        <v>sales record</v>
      </c>
      <c r="AC1534" t="s">
        <v>3</v>
      </c>
      <c r="AD1534">
        <v>41.7537</v>
      </c>
      <c r="AE1534">
        <v>-88.02590600000001</v>
      </c>
      <c r="AF1534" s="5" t="str">
        <f>HYPERLINK("https://www.google.com/maps/search/?api=1&amp;query=41.7537,-88.025906","map")</f>
        <v>map</v>
      </c>
    </row>
    <row r="1535" spans="1:32">
      <c r="A1535" t="s">
        <v>1585</v>
      </c>
      <c r="B1535" t="s">
        <v>9145</v>
      </c>
      <c r="C1535" t="s">
        <v>15322</v>
      </c>
      <c r="D1535" t="s">
        <v>16199</v>
      </c>
      <c r="E1535" t="s">
        <v>16218</v>
      </c>
      <c r="F1535" t="s">
        <v>16221</v>
      </c>
      <c r="G1535" t="s">
        <v>16249</v>
      </c>
      <c r="H1535" t="s">
        <v>16249</v>
      </c>
      <c r="I1535" t="s">
        <v>16325</v>
      </c>
      <c r="J1535" t="s">
        <v>16385</v>
      </c>
      <c r="K1535">
        <v>0.271</v>
      </c>
      <c r="L1535">
        <v>11801</v>
      </c>
      <c r="M1535">
        <v>1739</v>
      </c>
      <c r="N1535" t="s">
        <v>16393</v>
      </c>
      <c r="O1535" s="4">
        <v>57724</v>
      </c>
      <c r="P1535" s="4">
        <v>117831</v>
      </c>
      <c r="Q1535" s="4">
        <v>175555</v>
      </c>
      <c r="R1535" s="4">
        <v>526665</v>
      </c>
      <c r="S1535" t="s">
        <v>17883</v>
      </c>
      <c r="T1535" s="6">
        <v>44531</v>
      </c>
      <c r="U1535" s="4">
        <v>400000</v>
      </c>
      <c r="V1535" t="s">
        <v>23739</v>
      </c>
      <c r="W1535" t="s">
        <v>24480</v>
      </c>
      <c r="X1535" t="s">
        <v>3</v>
      </c>
      <c r="AA1535" s="5" t="str">
        <f>HYPERLINK("https://www.zillow.com/homes/7218-BINDER-RD-DOWNERS-GROVE-IL-605163732_rb/","check listing")</f>
        <v>check listing</v>
      </c>
      <c r="AB1535" s="5" t="str">
        <f>HYPERLINK("https://propertylookup.dupagecounty.gov/Datalets/Datalet.aspx?UseSearch=no&amp;mode=sales&amp;pin=0930103022","sales record")</f>
        <v>sales record</v>
      </c>
      <c r="AC1535" t="s">
        <v>3</v>
      </c>
      <c r="AD1535">
        <v>41.755501</v>
      </c>
      <c r="AE1535">
        <v>-88.027314</v>
      </c>
      <c r="AF1535" s="5" t="str">
        <f>HYPERLINK("https://www.google.com/maps/search/?api=1&amp;query=41.755501,-88.027314","map")</f>
        <v>map</v>
      </c>
    </row>
    <row r="1536" spans="1:32">
      <c r="A1536" t="s">
        <v>1586</v>
      </c>
      <c r="B1536" t="s">
        <v>9146</v>
      </c>
      <c r="C1536" t="s">
        <v>15254</v>
      </c>
      <c r="D1536" t="s">
        <v>16199</v>
      </c>
      <c r="E1536" t="s">
        <v>16218</v>
      </c>
      <c r="F1536" t="s">
        <v>16221</v>
      </c>
      <c r="G1536" t="s">
        <v>16249</v>
      </c>
      <c r="H1536" t="s">
        <v>16249</v>
      </c>
      <c r="I1536" t="s">
        <v>16325</v>
      </c>
      <c r="J1536" t="s">
        <v>16385</v>
      </c>
      <c r="K1536">
        <v>0.268</v>
      </c>
      <c r="L1536">
        <v>11676</v>
      </c>
      <c r="M1536">
        <v>2124</v>
      </c>
      <c r="N1536" t="s">
        <v>16393</v>
      </c>
      <c r="O1536" s="4">
        <v>67631</v>
      </c>
      <c r="P1536" s="4">
        <v>127867</v>
      </c>
      <c r="Q1536" s="4">
        <v>195498</v>
      </c>
      <c r="R1536" s="4">
        <v>586494</v>
      </c>
      <c r="S1536" t="s">
        <v>17884</v>
      </c>
      <c r="T1536" s="6">
        <v>42430</v>
      </c>
      <c r="U1536" s="4">
        <v>333000</v>
      </c>
      <c r="V1536" t="s">
        <v>23739</v>
      </c>
      <c r="W1536" t="s">
        <v>24481</v>
      </c>
      <c r="X1536" t="s">
        <v>3</v>
      </c>
      <c r="AA1536" s="5" t="str">
        <f>HYPERLINK("https://www.zillow.com/homes/1553-71ST-TERRACE-DOWNERS-GROVE-IL-60516_rb/","check listing")</f>
        <v>check listing</v>
      </c>
      <c r="AB1536" s="5" t="str">
        <f>HYPERLINK("https://propertylookup.dupagecounty.gov/Datalets/Datalet.aspx?UseSearch=no&amp;mode=sales&amp;pin=0930200017","sales record")</f>
        <v>sales record</v>
      </c>
      <c r="AC1536" t="s">
        <v>3</v>
      </c>
      <c r="AD1536">
        <v>41.75784</v>
      </c>
      <c r="AE1536">
        <v>-88.022403</v>
      </c>
      <c r="AF1536" s="5" t="str">
        <f>HYPERLINK("https://www.google.com/maps/search/?api=1&amp;query=41.75784,-88.022403","map")</f>
        <v>map</v>
      </c>
    </row>
    <row r="1537" spans="1:32">
      <c r="A1537" t="s">
        <v>1587</v>
      </c>
      <c r="B1537" t="s">
        <v>9147</v>
      </c>
      <c r="C1537" t="s">
        <v>15254</v>
      </c>
      <c r="D1537" t="s">
        <v>16199</v>
      </c>
      <c r="E1537" t="s">
        <v>16218</v>
      </c>
      <c r="F1537" t="s">
        <v>16221</v>
      </c>
      <c r="G1537" t="s">
        <v>16249</v>
      </c>
      <c r="H1537" t="s">
        <v>16249</v>
      </c>
      <c r="I1537" t="s">
        <v>16325</v>
      </c>
      <c r="J1537" t="s">
        <v>16385</v>
      </c>
      <c r="K1537">
        <v>0.267</v>
      </c>
      <c r="L1537">
        <v>11625</v>
      </c>
      <c r="M1537">
        <v>2199</v>
      </c>
      <c r="N1537" t="s">
        <v>16393</v>
      </c>
      <c r="O1537" s="4">
        <v>59086</v>
      </c>
      <c r="P1537" s="4">
        <v>120906</v>
      </c>
      <c r="Q1537" s="4">
        <v>179992</v>
      </c>
      <c r="R1537" s="4">
        <v>539976</v>
      </c>
      <c r="S1537" t="s">
        <v>17885</v>
      </c>
      <c r="T1537" s="6">
        <v>30987</v>
      </c>
      <c r="U1537" s="4">
        <v>139700</v>
      </c>
      <c r="X1537" t="s">
        <v>3</v>
      </c>
      <c r="AA1537" s="5" t="str">
        <f>HYPERLINK("https://www.zillow.com/homes/1409-WILLARD-PL-DOWNERS-GROVE-IL-60516_rb/","check listing")</f>
        <v>check listing</v>
      </c>
      <c r="AB1537" s="5" t="str">
        <f>HYPERLINK("https://propertylookup.dupagecounty.gov/Datalets/Datalet.aspx?UseSearch=no&amp;mode=sales&amp;pin=0930203046","sales record")</f>
        <v>sales record</v>
      </c>
      <c r="AC1537" t="s">
        <v>3</v>
      </c>
      <c r="AD1537">
        <v>41.755831</v>
      </c>
      <c r="AE1537">
        <v>-88.019218</v>
      </c>
      <c r="AF1537" s="5" t="str">
        <f>HYPERLINK("https://www.google.com/maps/search/?api=1&amp;query=41.755831,-88.019218","map")</f>
        <v>map</v>
      </c>
    </row>
    <row r="1538" spans="1:32">
      <c r="A1538" t="s">
        <v>1588</v>
      </c>
      <c r="B1538" t="s">
        <v>9148</v>
      </c>
      <c r="C1538" t="s">
        <v>15312</v>
      </c>
      <c r="D1538" t="s">
        <v>16199</v>
      </c>
      <c r="E1538" t="s">
        <v>16218</v>
      </c>
      <c r="F1538" t="s">
        <v>16221</v>
      </c>
      <c r="G1538" t="s">
        <v>16250</v>
      </c>
      <c r="H1538" t="s">
        <v>16250</v>
      </c>
      <c r="I1538" t="s">
        <v>16326</v>
      </c>
      <c r="J1538" t="s">
        <v>16385</v>
      </c>
      <c r="K1538">
        <v>0.266</v>
      </c>
      <c r="L1538">
        <v>11605</v>
      </c>
      <c r="M1538">
        <v>1792</v>
      </c>
      <c r="N1538" t="s">
        <v>16393</v>
      </c>
      <c r="O1538" s="4">
        <v>61574</v>
      </c>
      <c r="P1538" s="4">
        <v>65554</v>
      </c>
      <c r="Q1538" s="4">
        <v>127128</v>
      </c>
      <c r="R1538" s="4">
        <v>381384</v>
      </c>
      <c r="S1538" t="s">
        <v>17886</v>
      </c>
      <c r="T1538" s="6">
        <v>43405</v>
      </c>
      <c r="U1538" s="4">
        <v>220000</v>
      </c>
      <c r="V1538" t="s">
        <v>23739</v>
      </c>
      <c r="W1538" t="s">
        <v>17886</v>
      </c>
      <c r="X1538" t="s">
        <v>3</v>
      </c>
      <c r="AA1538" s="5" t="str">
        <f>HYPERLINK("https://www.zillow.com/homes/4908-CUMNOR-RD-DOWNERS-GROVE-IL-605153939_rb/","check listing")</f>
        <v>check listing</v>
      </c>
      <c r="AB1538" s="5" t="str">
        <f>HYPERLINK("https://propertylookup.dupagecounty.gov/Datalets/Datalet.aspx?UseSearch=no&amp;mode=sales&amp;pin=0909111013","sales record")</f>
        <v>sales record</v>
      </c>
      <c r="AC1538" t="s">
        <v>3</v>
      </c>
      <c r="AD1538">
        <v>41.798181</v>
      </c>
      <c r="AE1538">
        <v>-87.990437</v>
      </c>
      <c r="AF1538" s="5" t="str">
        <f>HYPERLINK("https://www.google.com/maps/search/?api=1&amp;query=41.798181,-87.990437","map")</f>
        <v>map</v>
      </c>
    </row>
    <row r="1539" spans="1:32">
      <c r="A1539" t="s">
        <v>1589</v>
      </c>
      <c r="B1539" t="s">
        <v>9149</v>
      </c>
      <c r="C1539" t="s">
        <v>15254</v>
      </c>
      <c r="D1539" t="s">
        <v>16199</v>
      </c>
      <c r="E1539" t="s">
        <v>16218</v>
      </c>
      <c r="F1539" t="s">
        <v>16221</v>
      </c>
      <c r="G1539" t="s">
        <v>16249</v>
      </c>
      <c r="H1539" t="s">
        <v>16249</v>
      </c>
      <c r="I1539" t="s">
        <v>16325</v>
      </c>
      <c r="J1539" t="s">
        <v>16385</v>
      </c>
      <c r="K1539">
        <v>0.265</v>
      </c>
      <c r="L1539">
        <v>11543</v>
      </c>
      <c r="M1539">
        <v>1670</v>
      </c>
      <c r="N1539" t="s">
        <v>16393</v>
      </c>
      <c r="O1539" s="4">
        <v>56621</v>
      </c>
      <c r="P1539" s="4">
        <v>113559</v>
      </c>
      <c r="Q1539" s="4">
        <v>170180</v>
      </c>
      <c r="R1539" s="4">
        <v>510540</v>
      </c>
      <c r="S1539" t="s">
        <v>17887</v>
      </c>
      <c r="T1539" s="6">
        <v>32660</v>
      </c>
      <c r="U1539" s="4">
        <v>182541</v>
      </c>
      <c r="X1539" t="s">
        <v>3</v>
      </c>
      <c r="AA1539" s="5" t="str">
        <f>HYPERLINK("https://www.zillow.com/homes/7196-SPRINGSIDE-AVE-DOWNERS-GROVE-IL-60516_rb/","check listing")</f>
        <v>check listing</v>
      </c>
      <c r="AB1539" s="5" t="str">
        <f>HYPERLINK("https://propertylookup.dupagecounty.gov/Datalets/Datalet.aspx?UseSearch=no&amp;mode=sales&amp;pin=0930202010","sales record")</f>
        <v>sales record</v>
      </c>
      <c r="AC1539" t="s">
        <v>3</v>
      </c>
      <c r="AD1539">
        <v>41.756902</v>
      </c>
      <c r="AE1539">
        <v>-88.02236000000001</v>
      </c>
      <c r="AF1539" s="5" t="str">
        <f>HYPERLINK("https://www.google.com/maps/search/?api=1&amp;query=41.756902,-88.02236","map")</f>
        <v>map</v>
      </c>
    </row>
    <row r="1540" spans="1:32">
      <c r="A1540" t="s">
        <v>1590</v>
      </c>
      <c r="B1540" t="s">
        <v>9150</v>
      </c>
      <c r="C1540" t="s">
        <v>15323</v>
      </c>
      <c r="D1540" t="s">
        <v>16199</v>
      </c>
      <c r="E1540" t="s">
        <v>16218</v>
      </c>
      <c r="F1540" t="s">
        <v>16221</v>
      </c>
      <c r="G1540" t="s">
        <v>16249</v>
      </c>
      <c r="H1540" t="s">
        <v>16249</v>
      </c>
      <c r="I1540" t="s">
        <v>16325</v>
      </c>
      <c r="J1540" t="s">
        <v>16385</v>
      </c>
      <c r="K1540">
        <v>0.264</v>
      </c>
      <c r="L1540">
        <v>11515</v>
      </c>
      <c r="M1540">
        <v>2201</v>
      </c>
      <c r="N1540" t="s">
        <v>16393</v>
      </c>
      <c r="O1540" s="4">
        <v>57361</v>
      </c>
      <c r="P1540" s="4">
        <v>157668</v>
      </c>
      <c r="Q1540" s="4">
        <v>215029</v>
      </c>
      <c r="R1540" s="4">
        <v>645087</v>
      </c>
      <c r="S1540" t="s">
        <v>17888</v>
      </c>
      <c r="T1540" s="6">
        <v>30987</v>
      </c>
      <c r="U1540" s="4">
        <v>120000</v>
      </c>
      <c r="X1540" t="s">
        <v>3</v>
      </c>
      <c r="AA1540" s="5" t="str">
        <f>HYPERLINK("https://www.zillow.com/homes/7225-DEXTER-RD-WOODRIDGE-IL-60517_rb/","check listing")</f>
        <v>check listing</v>
      </c>
      <c r="AB1540" s="5" t="str">
        <f>HYPERLINK("https://propertylookup.dupagecounty.gov/Datalets/Datalet.aspx?UseSearch=no&amp;mode=sales&amp;pin=0930204013","sales record")</f>
        <v>sales record</v>
      </c>
      <c r="AC1540" t="s">
        <v>3</v>
      </c>
      <c r="AD1540">
        <v>41.755849</v>
      </c>
      <c r="AE1540">
        <v>-88.01791</v>
      </c>
      <c r="AF1540" s="5" t="str">
        <f>HYPERLINK("https://www.google.com/maps/search/?api=1&amp;query=41.755849,-88.01791","map")</f>
        <v>map</v>
      </c>
    </row>
    <row r="1541" spans="1:32">
      <c r="A1541" t="s">
        <v>1591</v>
      </c>
      <c r="B1541" t="s">
        <v>9151</v>
      </c>
      <c r="C1541" t="s">
        <v>15254</v>
      </c>
      <c r="D1541" t="s">
        <v>16199</v>
      </c>
      <c r="E1541" t="s">
        <v>16218</v>
      </c>
      <c r="F1541" t="s">
        <v>16221</v>
      </c>
      <c r="G1541" t="s">
        <v>16249</v>
      </c>
      <c r="H1541" t="s">
        <v>16249</v>
      </c>
      <c r="I1541" t="s">
        <v>16325</v>
      </c>
      <c r="J1541" t="s">
        <v>16385</v>
      </c>
      <c r="K1541">
        <v>0.264</v>
      </c>
      <c r="L1541">
        <v>11495</v>
      </c>
      <c r="M1541">
        <v>1985</v>
      </c>
      <c r="N1541" t="s">
        <v>16393</v>
      </c>
      <c r="O1541" s="4">
        <v>55294</v>
      </c>
      <c r="P1541" s="4">
        <v>147257</v>
      </c>
      <c r="Q1541" s="4">
        <v>202551</v>
      </c>
      <c r="R1541" s="4">
        <v>607653</v>
      </c>
      <c r="S1541" t="s">
        <v>17889</v>
      </c>
      <c r="T1541" s="6">
        <v>31260</v>
      </c>
      <c r="U1541" s="4">
        <v>125400</v>
      </c>
      <c r="X1541" t="s">
        <v>3</v>
      </c>
      <c r="AA1541" s="5" t="str">
        <f>HYPERLINK("https://www.zillow.com/homes/7200-KELLY-PL-DOWNERS-GROVE-IL-60516_rb/","check listing")</f>
        <v>check listing</v>
      </c>
      <c r="AB1541" s="5" t="str">
        <f>HYPERLINK("https://propertylookup.dupagecounty.gov/Datalets/Datalet.aspx?UseSearch=no&amp;mode=sales&amp;pin=0930203019","sales record")</f>
        <v>sales record</v>
      </c>
      <c r="AC1541" t="s">
        <v>3</v>
      </c>
      <c r="AD1541">
        <v>41.756435</v>
      </c>
      <c r="AE1541">
        <v>-88.02087</v>
      </c>
      <c r="AF1541" s="5" t="str">
        <f>HYPERLINK("https://www.google.com/maps/search/?api=1&amp;query=41.756435,-88.02087","map")</f>
        <v>map</v>
      </c>
    </row>
    <row r="1542" spans="1:32">
      <c r="A1542" t="s">
        <v>1592</v>
      </c>
      <c r="B1542" t="s">
        <v>9152</v>
      </c>
      <c r="C1542" t="s">
        <v>15254</v>
      </c>
      <c r="D1542" t="s">
        <v>16199</v>
      </c>
      <c r="E1542" t="s">
        <v>16218</v>
      </c>
      <c r="F1542" t="s">
        <v>16221</v>
      </c>
      <c r="G1542" t="s">
        <v>16249</v>
      </c>
      <c r="H1542" t="s">
        <v>16249</v>
      </c>
      <c r="I1542" t="s">
        <v>16325</v>
      </c>
      <c r="J1542" t="s">
        <v>16385</v>
      </c>
      <c r="K1542">
        <v>0.263</v>
      </c>
      <c r="L1542">
        <v>11478</v>
      </c>
      <c r="M1542">
        <v>1846</v>
      </c>
      <c r="N1542" t="s">
        <v>16393</v>
      </c>
      <c r="O1542" s="4">
        <v>55448</v>
      </c>
      <c r="P1542" s="4">
        <v>108278</v>
      </c>
      <c r="Q1542" s="4">
        <v>163726</v>
      </c>
      <c r="R1542" s="4">
        <v>491178</v>
      </c>
      <c r="S1542" t="s">
        <v>17890</v>
      </c>
      <c r="T1542" s="6">
        <v>31656</v>
      </c>
      <c r="U1542" s="4">
        <v>123811</v>
      </c>
      <c r="X1542" t="s">
        <v>3</v>
      </c>
      <c r="AA1542" s="5" t="str">
        <f>HYPERLINK("https://www.zillow.com/homes/1712-WHITE-PL-DOWNERS-GROVE-IL-60516_rb/","check listing")</f>
        <v>check listing</v>
      </c>
      <c r="AB1542" s="5" t="str">
        <f>HYPERLINK("https://propertylookup.dupagecounty.gov/Datalets/Datalet.aspx?UseSearch=no&amp;mode=sales&amp;pin=0930106010","sales record")</f>
        <v>sales record</v>
      </c>
      <c r="AC1542" t="s">
        <v>3</v>
      </c>
      <c r="AD1542">
        <v>41.75486</v>
      </c>
      <c r="AE1542">
        <v>-88.02581499999999</v>
      </c>
      <c r="AF1542" s="5" t="str">
        <f>HYPERLINK("https://www.google.com/maps/search/?api=1&amp;query=41.75486,-88.025815","map")</f>
        <v>map</v>
      </c>
    </row>
    <row r="1543" spans="1:32">
      <c r="A1543" t="s">
        <v>1593</v>
      </c>
      <c r="B1543" t="s">
        <v>9153</v>
      </c>
      <c r="C1543" t="s">
        <v>15254</v>
      </c>
      <c r="D1543" t="s">
        <v>16199</v>
      </c>
      <c r="E1543" t="s">
        <v>16218</v>
      </c>
      <c r="F1543" t="s">
        <v>16221</v>
      </c>
      <c r="G1543" t="s">
        <v>16249</v>
      </c>
      <c r="H1543" t="s">
        <v>16249</v>
      </c>
      <c r="I1543" t="s">
        <v>16325</v>
      </c>
      <c r="J1543" t="s">
        <v>16385</v>
      </c>
      <c r="K1543">
        <v>0.263</v>
      </c>
      <c r="L1543">
        <v>11475</v>
      </c>
      <c r="M1543">
        <v>1707</v>
      </c>
      <c r="N1543" t="s">
        <v>16393</v>
      </c>
      <c r="O1543" s="4">
        <v>65647</v>
      </c>
      <c r="P1543" s="4">
        <v>124780</v>
      </c>
      <c r="Q1543" s="4">
        <v>190427</v>
      </c>
      <c r="R1543" s="4">
        <v>571281</v>
      </c>
      <c r="S1543" t="s">
        <v>17891</v>
      </c>
      <c r="T1543" s="6">
        <v>31990</v>
      </c>
      <c r="U1543" s="4">
        <v>144805</v>
      </c>
      <c r="X1543" t="s">
        <v>3</v>
      </c>
      <c r="AA1543" s="5" t="str">
        <f>HYPERLINK("https://www.zillow.com/homes/7310-BINDER-RD-DOWNERS-GROVE-IL-60516_rb/","check listing")</f>
        <v>check listing</v>
      </c>
      <c r="AB1543" s="5" t="str">
        <f>HYPERLINK("https://propertylookup.dupagecounty.gov/Datalets/Datalet.aspx?UseSearch=no&amp;mode=sales&amp;pin=0930103029","sales record")</f>
        <v>sales record</v>
      </c>
      <c r="AC1543" t="s">
        <v>3</v>
      </c>
      <c r="AD1543">
        <v>41.753847</v>
      </c>
      <c r="AE1543">
        <v>-88.027128</v>
      </c>
      <c r="AF1543" s="5" t="str">
        <f>HYPERLINK("https://www.google.com/maps/search/?api=1&amp;query=41.753847,-88.027128","map")</f>
        <v>map</v>
      </c>
    </row>
    <row r="1544" spans="1:32">
      <c r="A1544" t="s">
        <v>1594</v>
      </c>
      <c r="B1544" t="s">
        <v>9154</v>
      </c>
      <c r="C1544" t="s">
        <v>15254</v>
      </c>
      <c r="D1544" t="s">
        <v>16199</v>
      </c>
      <c r="E1544" t="s">
        <v>16218</v>
      </c>
      <c r="F1544" t="s">
        <v>16221</v>
      </c>
      <c r="G1544" t="s">
        <v>16249</v>
      </c>
      <c r="H1544" t="s">
        <v>16249</v>
      </c>
      <c r="I1544" t="s">
        <v>16325</v>
      </c>
      <c r="J1544" t="s">
        <v>16385</v>
      </c>
      <c r="K1544">
        <v>0.263</v>
      </c>
      <c r="L1544">
        <v>11474</v>
      </c>
      <c r="M1544">
        <v>2317</v>
      </c>
      <c r="N1544" t="s">
        <v>16393</v>
      </c>
      <c r="O1544" s="4">
        <v>65647</v>
      </c>
      <c r="P1544" s="4">
        <v>115824</v>
      </c>
      <c r="Q1544" s="4">
        <v>181471</v>
      </c>
      <c r="R1544" s="4">
        <v>544413</v>
      </c>
      <c r="S1544" t="s">
        <v>17892</v>
      </c>
      <c r="T1544" s="6">
        <v>31959</v>
      </c>
      <c r="U1544" s="4">
        <v>127980</v>
      </c>
      <c r="X1544" t="s">
        <v>3</v>
      </c>
      <c r="AA1544" s="5" t="str">
        <f>HYPERLINK("https://www.zillow.com/homes/7302-BINDER-RD-DOWNERS-GROVE-IL-60516_rb/","check listing")</f>
        <v>check listing</v>
      </c>
      <c r="AB1544" s="5" t="str">
        <f>HYPERLINK("https://propertylookup.dupagecounty.gov/Datalets/Datalet.aspx?UseSearch=no&amp;mode=sales&amp;pin=0930103027","sales record")</f>
        <v>sales record</v>
      </c>
      <c r="AC1544" t="s">
        <v>3</v>
      </c>
      <c r="AD1544">
        <v>41.754278</v>
      </c>
      <c r="AE1544">
        <v>-88.027141</v>
      </c>
      <c r="AF1544" s="5" t="str">
        <f>HYPERLINK("https://www.google.com/maps/search/?api=1&amp;query=41.754278,-88.027141","map")</f>
        <v>map</v>
      </c>
    </row>
    <row r="1545" spans="1:32">
      <c r="A1545" t="s">
        <v>1595</v>
      </c>
      <c r="B1545" t="s">
        <v>9155</v>
      </c>
      <c r="C1545" t="s">
        <v>15254</v>
      </c>
      <c r="D1545" t="s">
        <v>16199</v>
      </c>
      <c r="E1545" t="s">
        <v>16218</v>
      </c>
      <c r="F1545" t="s">
        <v>16221</v>
      </c>
      <c r="G1545" t="s">
        <v>16249</v>
      </c>
      <c r="H1545" t="s">
        <v>16249</v>
      </c>
      <c r="I1545" t="s">
        <v>16325</v>
      </c>
      <c r="J1545" t="s">
        <v>16385</v>
      </c>
      <c r="K1545">
        <v>0.263</v>
      </c>
      <c r="L1545">
        <v>11474</v>
      </c>
      <c r="M1545">
        <v>1351</v>
      </c>
      <c r="N1545" t="s">
        <v>16393</v>
      </c>
      <c r="O1545" s="4">
        <v>65647</v>
      </c>
      <c r="P1545" s="4">
        <v>93570</v>
      </c>
      <c r="Q1545" s="4">
        <v>159217</v>
      </c>
      <c r="R1545" s="4">
        <v>477651</v>
      </c>
      <c r="S1545" t="s">
        <v>17893</v>
      </c>
      <c r="T1545" s="6">
        <v>44838</v>
      </c>
      <c r="U1545" s="4">
        <v>385000</v>
      </c>
      <c r="V1545" t="s">
        <v>23739</v>
      </c>
      <c r="W1545" t="s">
        <v>24482</v>
      </c>
      <c r="X1545" t="s">
        <v>3</v>
      </c>
      <c r="AA1545" s="5" t="str">
        <f>HYPERLINK("https://www.zillow.com/homes/7232-BINDER-RD-DOWNERS-GROVE-IL-60516_rb/","check listing")</f>
        <v>check listing</v>
      </c>
      <c r="AB1545" s="5" t="str">
        <f>HYPERLINK("https://propertylookup.dupagecounty.gov/Datalets/Datalet.aspx?UseSearch=no&amp;mode=sales&amp;pin=0930103025","sales record")</f>
        <v>sales record</v>
      </c>
      <c r="AC1545" t="s">
        <v>3</v>
      </c>
      <c r="AD1545">
        <v>41.754708</v>
      </c>
      <c r="AE1545">
        <v>-88.02715499999999</v>
      </c>
      <c r="AF1545" s="5" t="str">
        <f>HYPERLINK("https://www.google.com/maps/search/?api=1&amp;query=41.754708,-88.027155","map")</f>
        <v>map</v>
      </c>
    </row>
    <row r="1546" spans="1:32">
      <c r="A1546" t="s">
        <v>1596</v>
      </c>
      <c r="B1546" t="s">
        <v>9156</v>
      </c>
      <c r="C1546" t="s">
        <v>15254</v>
      </c>
      <c r="D1546" t="s">
        <v>16199</v>
      </c>
      <c r="E1546" t="s">
        <v>16218</v>
      </c>
      <c r="F1546" t="s">
        <v>16221</v>
      </c>
      <c r="G1546" t="s">
        <v>16249</v>
      </c>
      <c r="H1546" t="s">
        <v>16249</v>
      </c>
      <c r="I1546" t="s">
        <v>16325</v>
      </c>
      <c r="J1546" t="s">
        <v>16385</v>
      </c>
      <c r="K1546">
        <v>0.263</v>
      </c>
      <c r="L1546">
        <v>11448</v>
      </c>
      <c r="M1546">
        <v>2001</v>
      </c>
      <c r="N1546" t="s">
        <v>16393</v>
      </c>
      <c r="O1546" s="4">
        <v>50869</v>
      </c>
      <c r="P1546" s="4">
        <v>87760</v>
      </c>
      <c r="Q1546" s="4">
        <v>138629</v>
      </c>
      <c r="R1546" s="4">
        <v>415887</v>
      </c>
      <c r="S1546" t="s">
        <v>17894</v>
      </c>
      <c r="T1546" s="6">
        <v>43983</v>
      </c>
      <c r="U1546" s="4">
        <v>340000</v>
      </c>
      <c r="V1546" t="s">
        <v>23739</v>
      </c>
      <c r="W1546" t="s">
        <v>24483</v>
      </c>
      <c r="X1546" t="s">
        <v>3</v>
      </c>
      <c r="AA1546" s="5" t="str">
        <f>HYPERLINK("https://www.zillow.com/homes/1549-RICHARDS-AVE-DOWNERS-GROVE-IL-60516_rb/","check listing")</f>
        <v>check listing</v>
      </c>
      <c r="AB1546" s="5" t="str">
        <f>HYPERLINK("https://propertylookup.dupagecounty.gov/Datalets/Datalet.aspx?UseSearch=no&amp;mode=sales&amp;pin=0930202020","sales record")</f>
        <v>sales record</v>
      </c>
      <c r="AC1546" t="s">
        <v>3</v>
      </c>
      <c r="AD1546">
        <v>41.754856</v>
      </c>
      <c r="AE1546">
        <v>-88.022071</v>
      </c>
      <c r="AF1546" s="5" t="str">
        <f>HYPERLINK("https://www.google.com/maps/search/?api=1&amp;query=41.754856,-88.022071","map")</f>
        <v>map</v>
      </c>
    </row>
    <row r="1547" spans="1:32">
      <c r="A1547" t="s">
        <v>1597</v>
      </c>
      <c r="B1547" t="s">
        <v>9157</v>
      </c>
      <c r="C1547" t="s">
        <v>15254</v>
      </c>
      <c r="D1547" t="s">
        <v>16199</v>
      </c>
      <c r="E1547" t="s">
        <v>16218</v>
      </c>
      <c r="F1547" t="s">
        <v>16221</v>
      </c>
      <c r="G1547" t="s">
        <v>16249</v>
      </c>
      <c r="H1547" t="s">
        <v>16249</v>
      </c>
      <c r="I1547" t="s">
        <v>16325</v>
      </c>
      <c r="J1547" t="s">
        <v>16385</v>
      </c>
      <c r="K1547">
        <v>0.263</v>
      </c>
      <c r="L1547">
        <v>11441</v>
      </c>
      <c r="M1547">
        <v>1742</v>
      </c>
      <c r="N1547" t="s">
        <v>16393</v>
      </c>
      <c r="O1547" s="4">
        <v>59368</v>
      </c>
      <c r="P1547" s="4">
        <v>109005</v>
      </c>
      <c r="Q1547" s="4">
        <v>168373</v>
      </c>
      <c r="R1547" s="4">
        <v>505119</v>
      </c>
      <c r="S1547" t="s">
        <v>17895</v>
      </c>
      <c r="T1547" s="6">
        <v>32994</v>
      </c>
      <c r="U1547" s="4">
        <v>173000</v>
      </c>
      <c r="X1547" t="s">
        <v>3</v>
      </c>
      <c r="AA1547" s="5" t="str">
        <f>HYPERLINK("https://www.zillow.com/homes/7334-DEVEREUX-RD-DOWNERS-GROVE-IL-60516_rb/","check listing")</f>
        <v>check listing</v>
      </c>
      <c r="AB1547" s="5" t="str">
        <f>HYPERLINK("https://propertylookup.dupagecounty.gov/Datalets/Datalet.aspx?UseSearch=no&amp;mode=sales&amp;pin=0930103037","sales record")</f>
        <v>sales record</v>
      </c>
      <c r="AC1547" t="s">
        <v>3</v>
      </c>
      <c r="AD1547">
        <v>41.752879</v>
      </c>
      <c r="AE1547">
        <v>-88.025959</v>
      </c>
      <c r="AF1547" s="5" t="str">
        <f>HYPERLINK("https://www.google.com/maps/search/?api=1&amp;query=41.752879,-88.025959","map")</f>
        <v>map</v>
      </c>
    </row>
    <row r="1548" spans="1:32">
      <c r="A1548" t="s">
        <v>1598</v>
      </c>
      <c r="B1548" t="s">
        <v>9158</v>
      </c>
      <c r="C1548" t="s">
        <v>15254</v>
      </c>
      <c r="D1548" t="s">
        <v>16199</v>
      </c>
      <c r="E1548" t="s">
        <v>16218</v>
      </c>
      <c r="F1548" t="s">
        <v>16221</v>
      </c>
      <c r="G1548" t="s">
        <v>16249</v>
      </c>
      <c r="H1548" t="s">
        <v>16249</v>
      </c>
      <c r="I1548" t="s">
        <v>16325</v>
      </c>
      <c r="J1548" t="s">
        <v>16385</v>
      </c>
      <c r="K1548">
        <v>0.263</v>
      </c>
      <c r="L1548">
        <v>11438</v>
      </c>
      <c r="M1548">
        <v>1778</v>
      </c>
      <c r="N1548" t="s">
        <v>16393</v>
      </c>
      <c r="O1548" s="4">
        <v>69356</v>
      </c>
      <c r="P1548" s="4">
        <v>111270</v>
      </c>
      <c r="Q1548" s="4">
        <v>180626</v>
      </c>
      <c r="R1548" s="4">
        <v>541878</v>
      </c>
      <c r="S1548" t="s">
        <v>17896</v>
      </c>
      <c r="T1548" s="6">
        <v>41456</v>
      </c>
      <c r="U1548" s="4">
        <v>337000</v>
      </c>
      <c r="V1548" t="s">
        <v>23739</v>
      </c>
      <c r="W1548" t="s">
        <v>24484</v>
      </c>
      <c r="X1548" t="s">
        <v>3</v>
      </c>
      <c r="AA1548" s="5" t="str">
        <f>HYPERLINK("https://www.zillow.com/homes/1720-HALL-PL-DOWNERS-GROVE-IL-60516_rb/","check listing")</f>
        <v>check listing</v>
      </c>
      <c r="AB1548" s="5" t="str">
        <f>HYPERLINK("https://propertylookup.dupagecounty.gov/Datalets/Datalet.aspx?UseSearch=no&amp;mode=sales&amp;pin=0930103039","sales record")</f>
        <v>sales record</v>
      </c>
      <c r="AC1548" t="s">
        <v>3</v>
      </c>
      <c r="AD1548">
        <v>41.752694</v>
      </c>
      <c r="AE1548">
        <v>-88.02635600000001</v>
      </c>
      <c r="AF1548" s="5" t="str">
        <f>HYPERLINK("https://www.google.com/maps/search/?api=1&amp;query=41.752694,-88.026356","map")</f>
        <v>map</v>
      </c>
    </row>
    <row r="1549" spans="1:32">
      <c r="A1549" t="s">
        <v>1599</v>
      </c>
      <c r="B1549" t="s">
        <v>9159</v>
      </c>
      <c r="C1549" t="s">
        <v>15254</v>
      </c>
      <c r="D1549" t="s">
        <v>16199</v>
      </c>
      <c r="E1549" t="s">
        <v>16218</v>
      </c>
      <c r="F1549" t="s">
        <v>16221</v>
      </c>
      <c r="G1549" t="s">
        <v>16249</v>
      </c>
      <c r="H1549" t="s">
        <v>16249</v>
      </c>
      <c r="I1549" t="s">
        <v>16325</v>
      </c>
      <c r="J1549" t="s">
        <v>16385</v>
      </c>
      <c r="K1549">
        <v>0.262</v>
      </c>
      <c r="L1549">
        <v>11397</v>
      </c>
      <c r="M1549">
        <v>2564</v>
      </c>
      <c r="N1549" t="s">
        <v>16393</v>
      </c>
      <c r="O1549" s="4">
        <v>55037</v>
      </c>
      <c r="P1549" s="4">
        <v>119522</v>
      </c>
      <c r="Q1549" s="4">
        <v>174559</v>
      </c>
      <c r="R1549" s="4">
        <v>523677</v>
      </c>
      <c r="S1549" t="s">
        <v>17897</v>
      </c>
      <c r="T1549" s="6">
        <v>37712</v>
      </c>
      <c r="U1549" s="4">
        <v>260000</v>
      </c>
      <c r="V1549" t="s">
        <v>23739</v>
      </c>
      <c r="W1549" t="s">
        <v>24485</v>
      </c>
      <c r="X1549" t="s">
        <v>3</v>
      </c>
      <c r="AA1549" s="5" t="str">
        <f>HYPERLINK("https://www.zillow.com/homes/7237-POWELL-PL-DOWNERS-GROVE-IL-60516_rb/","check listing")</f>
        <v>check listing</v>
      </c>
      <c r="AB1549" s="5" t="str">
        <f>HYPERLINK("https://propertylookup.dupagecounty.gov/Datalets/Datalet.aspx?UseSearch=no&amp;mode=sales&amp;pin=0930204036","sales record")</f>
        <v>sales record</v>
      </c>
      <c r="AC1549" t="s">
        <v>3</v>
      </c>
      <c r="AD1549">
        <v>41.754842</v>
      </c>
      <c r="AE1549">
        <v>-88.017242</v>
      </c>
      <c r="AF1549" s="5" t="str">
        <f>HYPERLINK("https://www.google.com/maps/search/?api=1&amp;query=41.754842,-88.017242","map")</f>
        <v>map</v>
      </c>
    </row>
    <row r="1550" spans="1:32">
      <c r="A1550" t="s">
        <v>1600</v>
      </c>
      <c r="B1550" t="s">
        <v>9160</v>
      </c>
      <c r="C1550" t="s">
        <v>15254</v>
      </c>
      <c r="D1550" t="s">
        <v>16199</v>
      </c>
      <c r="E1550" t="s">
        <v>16218</v>
      </c>
      <c r="F1550" t="s">
        <v>16221</v>
      </c>
      <c r="G1550" t="s">
        <v>16249</v>
      </c>
      <c r="H1550" t="s">
        <v>16249</v>
      </c>
      <c r="I1550" t="s">
        <v>16325</v>
      </c>
      <c r="J1550" t="s">
        <v>16385</v>
      </c>
      <c r="K1550">
        <v>0.261</v>
      </c>
      <c r="L1550">
        <v>11381</v>
      </c>
      <c r="M1550">
        <v>1704</v>
      </c>
      <c r="N1550" t="s">
        <v>16393</v>
      </c>
      <c r="O1550" s="4">
        <v>65753</v>
      </c>
      <c r="P1550" s="4">
        <v>114674</v>
      </c>
      <c r="Q1550" s="4">
        <v>180427</v>
      </c>
      <c r="R1550" s="4">
        <v>541281</v>
      </c>
      <c r="S1550" t="s">
        <v>17898</v>
      </c>
      <c r="T1550" s="6">
        <v>42186</v>
      </c>
      <c r="U1550" s="4">
        <v>377500</v>
      </c>
      <c r="V1550" t="s">
        <v>23740</v>
      </c>
      <c r="W1550" t="s">
        <v>24486</v>
      </c>
      <c r="X1550" t="s">
        <v>3</v>
      </c>
      <c r="AA1550" s="5" t="str">
        <f>HYPERLINK("https://www.zillow.com/homes/1400-RICHARDS-AVE-DOWNERS-GROVE-IL-60516_rb/","check listing")</f>
        <v>check listing</v>
      </c>
      <c r="AB1550" s="5" t="str">
        <f>HYPERLINK("https://propertylookup.dupagecounty.gov/Datalets/Datalet.aspx?UseSearch=no&amp;mode=sales&amp;pin=0930203055","sales record")</f>
        <v>sales record</v>
      </c>
      <c r="AC1550" t="s">
        <v>3</v>
      </c>
      <c r="AD1550">
        <v>41.755463</v>
      </c>
      <c r="AE1550">
        <v>-88.01856600000001</v>
      </c>
      <c r="AF1550" s="5" t="str">
        <f>HYPERLINK("https://www.google.com/maps/search/?api=1&amp;query=41.755463,-88.018566","map")</f>
        <v>map</v>
      </c>
    </row>
    <row r="1551" spans="1:32">
      <c r="A1551" t="s">
        <v>1601</v>
      </c>
      <c r="B1551" t="s">
        <v>9161</v>
      </c>
      <c r="C1551" t="s">
        <v>15254</v>
      </c>
      <c r="D1551" t="s">
        <v>16199</v>
      </c>
      <c r="E1551" t="s">
        <v>16218</v>
      </c>
      <c r="F1551" t="s">
        <v>16221</v>
      </c>
      <c r="G1551" t="s">
        <v>16249</v>
      </c>
      <c r="H1551" t="s">
        <v>16249</v>
      </c>
      <c r="I1551" t="s">
        <v>16325</v>
      </c>
      <c r="J1551" t="s">
        <v>16385</v>
      </c>
      <c r="K1551">
        <v>0.261</v>
      </c>
      <c r="L1551">
        <v>11356</v>
      </c>
      <c r="M1551">
        <v>2804</v>
      </c>
      <c r="N1551" t="s">
        <v>16393</v>
      </c>
      <c r="O1551" s="4">
        <v>54978</v>
      </c>
      <c r="P1551" s="4">
        <v>133007</v>
      </c>
      <c r="Q1551" s="4">
        <v>187985</v>
      </c>
      <c r="R1551" s="4">
        <v>563955</v>
      </c>
      <c r="S1551" t="s">
        <v>17899</v>
      </c>
      <c r="T1551" s="6">
        <v>44893</v>
      </c>
      <c r="U1551" s="4">
        <v>410000</v>
      </c>
      <c r="V1551" t="s">
        <v>23741</v>
      </c>
      <c r="W1551" t="s">
        <v>24487</v>
      </c>
      <c r="X1551" t="s">
        <v>3</v>
      </c>
      <c r="AA1551" s="5" t="str">
        <f>HYPERLINK("https://www.zillow.com/homes/1549-71ST-TERR-DOWNERS-GROVE-IL-60516_rb/","check listing")</f>
        <v>check listing</v>
      </c>
      <c r="AB1551" s="5" t="str">
        <f>HYPERLINK("https://propertylookup.dupagecounty.gov/Datalets/Datalet.aspx?UseSearch=no&amp;mode=sales&amp;pin=0930200018","sales record")</f>
        <v>sales record</v>
      </c>
      <c r="AC1551" t="s">
        <v>3</v>
      </c>
      <c r="AD1551">
        <v>41.757698</v>
      </c>
      <c r="AE1551">
        <v>-88.02215</v>
      </c>
      <c r="AF1551" s="5" t="str">
        <f>HYPERLINK("https://www.google.com/maps/search/?api=1&amp;query=41.757698,-88.02215","map")</f>
        <v>map</v>
      </c>
    </row>
    <row r="1552" spans="1:32">
      <c r="A1552" t="s">
        <v>1602</v>
      </c>
      <c r="B1552" t="s">
        <v>9162</v>
      </c>
      <c r="C1552" t="s">
        <v>15254</v>
      </c>
      <c r="D1552" t="s">
        <v>16199</v>
      </c>
      <c r="E1552" t="s">
        <v>16218</v>
      </c>
      <c r="F1552" t="s">
        <v>16221</v>
      </c>
      <c r="G1552" t="s">
        <v>16249</v>
      </c>
      <c r="H1552" t="s">
        <v>16249</v>
      </c>
      <c r="I1552" t="s">
        <v>16325</v>
      </c>
      <c r="J1552" t="s">
        <v>16385</v>
      </c>
      <c r="K1552">
        <v>0.261</v>
      </c>
      <c r="L1552">
        <v>11356</v>
      </c>
      <c r="M1552">
        <v>2429</v>
      </c>
      <c r="N1552" t="s">
        <v>16393</v>
      </c>
      <c r="O1552" s="4">
        <v>54978</v>
      </c>
      <c r="P1552" s="4">
        <v>140825</v>
      </c>
      <c r="Q1552" s="4">
        <v>195803</v>
      </c>
      <c r="R1552" s="4">
        <v>587409</v>
      </c>
      <c r="S1552" t="s">
        <v>17900</v>
      </c>
      <c r="T1552" s="6">
        <v>33909</v>
      </c>
      <c r="U1552" s="4">
        <v>217000</v>
      </c>
      <c r="X1552" t="s">
        <v>3</v>
      </c>
      <c r="AA1552" s="5" t="str">
        <f>HYPERLINK("https://www.zillow.com/homes/1541-71ST-TERR-DOWNERS-GROVE-IL-60516_rb/","check listing")</f>
        <v>check listing</v>
      </c>
      <c r="AB1552" s="5" t="str">
        <f>HYPERLINK("https://propertylookup.dupagecounty.gov/Datalets/Datalet.aspx?UseSearch=no&amp;mode=sales&amp;pin=0930200020","sales record")</f>
        <v>sales record</v>
      </c>
      <c r="AC1552" t="s">
        <v>3</v>
      </c>
      <c r="AD1552">
        <v>41.757885</v>
      </c>
      <c r="AE1552">
        <v>-88.02160600000001</v>
      </c>
      <c r="AF1552" s="5" t="str">
        <f>HYPERLINK("https://www.google.com/maps/search/?api=1&amp;query=41.757885,-88.021606","map")</f>
        <v>map</v>
      </c>
    </row>
    <row r="1553" spans="1:32">
      <c r="A1553" t="s">
        <v>1603</v>
      </c>
      <c r="B1553" t="s">
        <v>9163</v>
      </c>
      <c r="C1553" t="s">
        <v>15313</v>
      </c>
      <c r="D1553" t="s">
        <v>16199</v>
      </c>
      <c r="E1553" t="s">
        <v>16218</v>
      </c>
      <c r="F1553" t="s">
        <v>16221</v>
      </c>
      <c r="G1553" t="s">
        <v>16249</v>
      </c>
      <c r="H1553" t="s">
        <v>16249</v>
      </c>
      <c r="I1553" t="s">
        <v>16325</v>
      </c>
      <c r="J1553" t="s">
        <v>16385</v>
      </c>
      <c r="K1553">
        <v>0.261</v>
      </c>
      <c r="L1553">
        <v>11354</v>
      </c>
      <c r="M1553">
        <v>2396</v>
      </c>
      <c r="N1553" t="s">
        <v>16393</v>
      </c>
      <c r="O1553" s="4">
        <v>54978</v>
      </c>
      <c r="P1553" s="4">
        <v>112937</v>
      </c>
      <c r="Q1553" s="4">
        <v>167915</v>
      </c>
      <c r="R1553" s="4">
        <v>503745</v>
      </c>
      <c r="S1553" t="s">
        <v>17901</v>
      </c>
      <c r="T1553" s="6">
        <v>43770</v>
      </c>
      <c r="U1553" s="4">
        <v>300000</v>
      </c>
      <c r="V1553" t="s">
        <v>23739</v>
      </c>
      <c r="W1553" t="s">
        <v>24488</v>
      </c>
      <c r="X1553" t="s">
        <v>3</v>
      </c>
      <c r="AA1553" s="5" t="str">
        <f>HYPERLINK("https://www.zillow.com/homes/1545-71ST-TER-DOWNERS-GROVE-IL-605163135_rb/","check listing")</f>
        <v>check listing</v>
      </c>
      <c r="AB1553" s="5" t="str">
        <f>HYPERLINK("https://propertylookup.dupagecounty.gov/Datalets/Datalet.aspx?UseSearch=no&amp;mode=sales&amp;pin=0930200019","sales record")</f>
        <v>sales record</v>
      </c>
      <c r="AC1553" t="s">
        <v>3</v>
      </c>
      <c r="AD1553">
        <v>41.757571</v>
      </c>
      <c r="AE1553">
        <v>-88.021818</v>
      </c>
      <c r="AF1553" s="5" t="str">
        <f>HYPERLINK("https://www.google.com/maps/search/?api=1&amp;query=41.757571,-88.021818","map")</f>
        <v>map</v>
      </c>
    </row>
    <row r="1554" spans="1:32">
      <c r="A1554" t="s">
        <v>1604</v>
      </c>
      <c r="B1554" t="s">
        <v>9164</v>
      </c>
      <c r="C1554" t="s">
        <v>15254</v>
      </c>
      <c r="D1554" t="s">
        <v>16199</v>
      </c>
      <c r="E1554" t="s">
        <v>16218</v>
      </c>
      <c r="F1554" t="s">
        <v>16221</v>
      </c>
      <c r="G1554" t="s">
        <v>16249</v>
      </c>
      <c r="H1554" t="s">
        <v>16249</v>
      </c>
      <c r="I1554" t="s">
        <v>16325</v>
      </c>
      <c r="J1554" t="s">
        <v>16385</v>
      </c>
      <c r="K1554">
        <v>0.26</v>
      </c>
      <c r="L1554">
        <v>11342</v>
      </c>
      <c r="M1554">
        <v>2100</v>
      </c>
      <c r="N1554" t="s">
        <v>16393</v>
      </c>
      <c r="O1554" s="4">
        <v>55470</v>
      </c>
      <c r="P1554" s="4">
        <v>101270</v>
      </c>
      <c r="Q1554" s="4">
        <v>156740</v>
      </c>
      <c r="R1554" s="4">
        <v>470220</v>
      </c>
      <c r="S1554" t="s">
        <v>17902</v>
      </c>
      <c r="T1554" s="6">
        <v>35582</v>
      </c>
      <c r="U1554" s="4">
        <v>188000</v>
      </c>
      <c r="X1554" t="s">
        <v>3</v>
      </c>
      <c r="AA1554" s="5" t="str">
        <f>HYPERLINK("https://www.zillow.com/homes/7208-KELLY-PL-DOWNERS-GROVE-IL-60516_rb/","check listing")</f>
        <v>check listing</v>
      </c>
      <c r="AB1554" s="5" t="str">
        <f>HYPERLINK("https://propertylookup.dupagecounty.gov/Datalets/Datalet.aspx?UseSearch=no&amp;mode=sales&amp;pin=0930203020","sales record")</f>
        <v>sales record</v>
      </c>
      <c r="AC1554" t="s">
        <v>3</v>
      </c>
      <c r="AD1554">
        <v>41.756372</v>
      </c>
      <c r="AE1554">
        <v>-88.021242</v>
      </c>
      <c r="AF1554" s="5" t="str">
        <f>HYPERLINK("https://www.google.com/maps/search/?api=1&amp;query=41.756372,-88.021242","map")</f>
        <v>map</v>
      </c>
    </row>
    <row r="1555" spans="1:32">
      <c r="A1555" t="s">
        <v>1605</v>
      </c>
      <c r="B1555" t="s">
        <v>9165</v>
      </c>
      <c r="C1555" t="s">
        <v>15254</v>
      </c>
      <c r="D1555" t="s">
        <v>16199</v>
      </c>
      <c r="E1555" t="s">
        <v>16218</v>
      </c>
      <c r="F1555" t="s">
        <v>16221</v>
      </c>
      <c r="G1555" t="s">
        <v>16249</v>
      </c>
      <c r="H1555" t="s">
        <v>16249</v>
      </c>
      <c r="I1555" t="s">
        <v>16325</v>
      </c>
      <c r="J1555" t="s">
        <v>16385</v>
      </c>
      <c r="K1555">
        <v>0.259</v>
      </c>
      <c r="L1555">
        <v>11300</v>
      </c>
      <c r="M1555">
        <v>1806</v>
      </c>
      <c r="N1555" t="s">
        <v>16393</v>
      </c>
      <c r="O1555" s="4">
        <v>67020</v>
      </c>
      <c r="P1555" s="4">
        <v>103805</v>
      </c>
      <c r="Q1555" s="4">
        <v>170825</v>
      </c>
      <c r="R1555" s="4">
        <v>512475</v>
      </c>
      <c r="S1555" t="s">
        <v>17903</v>
      </c>
      <c r="T1555" s="6">
        <v>36586</v>
      </c>
      <c r="U1555" s="4">
        <v>233500</v>
      </c>
      <c r="V1555" t="s">
        <v>23739</v>
      </c>
      <c r="W1555" t="s">
        <v>24489</v>
      </c>
      <c r="X1555" t="s">
        <v>3</v>
      </c>
      <c r="AA1555" s="5" t="str">
        <f>HYPERLINK("https://www.zillow.com/homes/1717-GRAHAM-AVE-DOWNERS-GROVE-IL-60516_rb/","check listing")</f>
        <v>check listing</v>
      </c>
      <c r="AB1555" s="5" t="str">
        <f>HYPERLINK("https://propertylookup.dupagecounty.gov/Datalets/Datalet.aspx?UseSearch=no&amp;mode=sales&amp;pin=0930103035","sales record")</f>
        <v>sales record</v>
      </c>
      <c r="AC1555" t="s">
        <v>3</v>
      </c>
      <c r="AD1555">
        <v>41.753159</v>
      </c>
      <c r="AE1555">
        <v>-88.026088</v>
      </c>
      <c r="AF1555" s="5" t="str">
        <f>HYPERLINK("https://www.google.com/maps/search/?api=1&amp;query=41.753159,-88.026088","map")</f>
        <v>map</v>
      </c>
    </row>
    <row r="1556" spans="1:32">
      <c r="A1556" t="s">
        <v>1606</v>
      </c>
      <c r="B1556" t="s">
        <v>9166</v>
      </c>
      <c r="C1556" t="s">
        <v>15254</v>
      </c>
      <c r="D1556" t="s">
        <v>16199</v>
      </c>
      <c r="E1556" t="s">
        <v>16218</v>
      </c>
      <c r="F1556" t="s">
        <v>16221</v>
      </c>
      <c r="G1556" t="s">
        <v>16249</v>
      </c>
      <c r="H1556" t="s">
        <v>16249</v>
      </c>
      <c r="I1556" t="s">
        <v>16325</v>
      </c>
      <c r="J1556" t="s">
        <v>16385</v>
      </c>
      <c r="K1556">
        <v>0.259</v>
      </c>
      <c r="L1556">
        <v>11277</v>
      </c>
      <c r="M1556">
        <v>1665</v>
      </c>
      <c r="N1556" t="s">
        <v>16393</v>
      </c>
      <c r="O1556" s="4">
        <v>61057</v>
      </c>
      <c r="P1556" s="4">
        <v>107150</v>
      </c>
      <c r="Q1556" s="4">
        <v>168207</v>
      </c>
      <c r="R1556" s="4">
        <v>504621</v>
      </c>
      <c r="S1556" t="s">
        <v>17904</v>
      </c>
      <c r="T1556" s="6">
        <v>45644</v>
      </c>
      <c r="U1556" s="4">
        <v>491000</v>
      </c>
      <c r="V1556" t="s">
        <v>23739</v>
      </c>
      <c r="W1556" t="s">
        <v>24490</v>
      </c>
      <c r="X1556" t="s">
        <v>3</v>
      </c>
      <c r="AA1556" s="5" t="str">
        <f>HYPERLINK("https://www.zillow.com/homes/7232-CAMDEN-RD-DOWNERS-GROVE-IL-60516_rb/","check listing")</f>
        <v>check listing</v>
      </c>
      <c r="AB1556" s="5" t="str">
        <f>HYPERLINK("https://propertylookup.dupagecounty.gov/Datalets/Datalet.aspx?UseSearch=no&amp;mode=sales&amp;pin=0930106016","sales record")</f>
        <v>sales record</v>
      </c>
      <c r="AC1556" t="s">
        <v>3</v>
      </c>
      <c r="AD1556">
        <v>41.754537</v>
      </c>
      <c r="AE1556">
        <v>-88.024838</v>
      </c>
      <c r="AF1556" s="5" t="str">
        <f>HYPERLINK("https://www.google.com/maps/search/?api=1&amp;query=41.754537,-88.024838","map")</f>
        <v>map</v>
      </c>
    </row>
    <row r="1557" spans="1:32">
      <c r="A1557" t="s">
        <v>1607</v>
      </c>
      <c r="B1557" t="s">
        <v>9167</v>
      </c>
      <c r="C1557" t="s">
        <v>15254</v>
      </c>
      <c r="D1557" t="s">
        <v>16199</v>
      </c>
      <c r="E1557" t="s">
        <v>16218</v>
      </c>
      <c r="F1557" t="s">
        <v>16221</v>
      </c>
      <c r="G1557" t="s">
        <v>16249</v>
      </c>
      <c r="H1557" t="s">
        <v>16249</v>
      </c>
      <c r="I1557" t="s">
        <v>16325</v>
      </c>
      <c r="J1557" t="s">
        <v>16385</v>
      </c>
      <c r="K1557">
        <v>0.259</v>
      </c>
      <c r="L1557">
        <v>11269</v>
      </c>
      <c r="M1557">
        <v>2217</v>
      </c>
      <c r="N1557" t="s">
        <v>16393</v>
      </c>
      <c r="O1557" s="4">
        <v>64286</v>
      </c>
      <c r="P1557" s="4">
        <v>117280</v>
      </c>
      <c r="Q1557" s="4">
        <v>181566</v>
      </c>
      <c r="R1557" s="4">
        <v>544698</v>
      </c>
      <c r="S1557" t="s">
        <v>17905</v>
      </c>
      <c r="T1557" s="6">
        <v>36281</v>
      </c>
      <c r="U1557" s="4">
        <v>242500</v>
      </c>
      <c r="X1557" t="s">
        <v>3</v>
      </c>
      <c r="AA1557" s="5" t="str">
        <f>HYPERLINK("https://www.zillow.com/homes/7100-TERRACE-CT-DOWNERS-GROVE-IL-60516_rb/","check listing")</f>
        <v>check listing</v>
      </c>
      <c r="AB1557" s="5" t="str">
        <f>HYPERLINK("https://propertylookup.dupagecounty.gov/Datalets/Datalet.aspx?UseSearch=no&amp;mode=sales&amp;pin=0919418014","sales record")</f>
        <v>sales record</v>
      </c>
      <c r="AC1557" t="s">
        <v>3</v>
      </c>
      <c r="AD1557">
        <v>41.759306</v>
      </c>
      <c r="AE1557">
        <v>-88.0189</v>
      </c>
      <c r="AF1557" s="5" t="str">
        <f>HYPERLINK("https://www.google.com/maps/search/?api=1&amp;query=41.759306,-88.0189","map")</f>
        <v>map</v>
      </c>
    </row>
    <row r="1558" spans="1:32">
      <c r="A1558" t="s">
        <v>1608</v>
      </c>
      <c r="B1558" t="s">
        <v>9168</v>
      </c>
      <c r="C1558" t="s">
        <v>15254</v>
      </c>
      <c r="D1558" t="s">
        <v>16199</v>
      </c>
      <c r="E1558" t="s">
        <v>16218</v>
      </c>
      <c r="F1558" t="s">
        <v>16221</v>
      </c>
      <c r="G1558" t="s">
        <v>16249</v>
      </c>
      <c r="H1558" t="s">
        <v>16249</v>
      </c>
      <c r="I1558" t="s">
        <v>16325</v>
      </c>
      <c r="J1558" t="s">
        <v>16385</v>
      </c>
      <c r="K1558">
        <v>0.258</v>
      </c>
      <c r="L1558">
        <v>11251</v>
      </c>
      <c r="M1558">
        <v>1775</v>
      </c>
      <c r="N1558" t="s">
        <v>16393</v>
      </c>
      <c r="O1558" s="4">
        <v>66410</v>
      </c>
      <c r="P1558" s="4">
        <v>104005</v>
      </c>
      <c r="Q1558" s="4">
        <v>170415</v>
      </c>
      <c r="R1558" s="4">
        <v>511245</v>
      </c>
      <c r="S1558" t="s">
        <v>17906</v>
      </c>
      <c r="T1558" s="6">
        <v>35612</v>
      </c>
      <c r="U1558" s="4">
        <v>192900</v>
      </c>
      <c r="X1558" t="s">
        <v>3</v>
      </c>
      <c r="AA1558" s="5" t="str">
        <f>HYPERLINK("https://www.zillow.com/homes/1721-HAWKINS-AVE-DOWNERS-GROVE-IL-60516_rb/","check listing")</f>
        <v>check listing</v>
      </c>
      <c r="AB1558" s="5" t="str">
        <f>HYPERLINK("https://propertylookup.dupagecounty.gov/Datalets/Datalet.aspx?UseSearch=no&amp;mode=sales&amp;pin=0930106001","sales record")</f>
        <v>sales record</v>
      </c>
      <c r="AC1558" t="s">
        <v>3</v>
      </c>
      <c r="AD1558">
        <v>41.755092</v>
      </c>
      <c r="AE1558">
        <v>-88.026498</v>
      </c>
      <c r="AF1558" s="5" t="str">
        <f>HYPERLINK("https://www.google.com/maps/search/?api=1&amp;query=41.755092,-88.026498","map")</f>
        <v>map</v>
      </c>
    </row>
    <row r="1559" spans="1:32">
      <c r="A1559" t="s">
        <v>1609</v>
      </c>
      <c r="B1559" t="s">
        <v>9169</v>
      </c>
      <c r="C1559" t="s">
        <v>15254</v>
      </c>
      <c r="D1559" t="s">
        <v>16199</v>
      </c>
      <c r="E1559" t="s">
        <v>16218</v>
      </c>
      <c r="F1559" t="s">
        <v>16221</v>
      </c>
      <c r="G1559" t="s">
        <v>16249</v>
      </c>
      <c r="H1559" t="s">
        <v>16249</v>
      </c>
      <c r="I1559" t="s">
        <v>16325</v>
      </c>
      <c r="J1559" t="s">
        <v>16385</v>
      </c>
      <c r="K1559">
        <v>0.258</v>
      </c>
      <c r="L1559">
        <v>11242</v>
      </c>
      <c r="M1559">
        <v>2034</v>
      </c>
      <c r="N1559" t="s">
        <v>16393</v>
      </c>
      <c r="O1559" s="4">
        <v>68828</v>
      </c>
      <c r="P1559" s="4">
        <v>126470</v>
      </c>
      <c r="Q1559" s="4">
        <v>195298</v>
      </c>
      <c r="R1559" s="4">
        <v>585894</v>
      </c>
      <c r="S1559" t="s">
        <v>17907</v>
      </c>
      <c r="T1559" s="6">
        <v>31868</v>
      </c>
      <c r="U1559" s="4">
        <v>153038</v>
      </c>
      <c r="X1559" t="s">
        <v>3</v>
      </c>
      <c r="AA1559" s="5" t="str">
        <f>HYPERLINK("https://www.zillow.com/homes/7331-DEVEREUX-RD-DOWNERS-GROVE-IL-60516_rb/","check listing")</f>
        <v>check listing</v>
      </c>
      <c r="AB1559" s="5" t="str">
        <f>HYPERLINK("https://propertylookup.dupagecounty.gov/Datalets/Datalet.aspx?UseSearch=no&amp;mode=sales&amp;pin=0930107003","sales record")</f>
        <v>sales record</v>
      </c>
      <c r="AC1559" t="s">
        <v>3</v>
      </c>
      <c r="AD1559">
        <v>41.752947</v>
      </c>
      <c r="AE1559">
        <v>-88.025148</v>
      </c>
      <c r="AF1559" s="5" t="str">
        <f>HYPERLINK("https://www.google.com/maps/search/?api=1&amp;query=41.752947,-88.025148","map")</f>
        <v>map</v>
      </c>
    </row>
    <row r="1560" spans="1:32">
      <c r="A1560" t="s">
        <v>1610</v>
      </c>
      <c r="B1560" t="s">
        <v>9170</v>
      </c>
      <c r="C1560" t="s">
        <v>15277</v>
      </c>
      <c r="D1560" t="s">
        <v>16199</v>
      </c>
      <c r="E1560" t="s">
        <v>16218</v>
      </c>
      <c r="F1560" t="s">
        <v>16221</v>
      </c>
      <c r="G1560" t="s">
        <v>16250</v>
      </c>
      <c r="H1560" t="s">
        <v>16250</v>
      </c>
      <c r="I1560" t="s">
        <v>16326</v>
      </c>
      <c r="J1560" t="s">
        <v>16385</v>
      </c>
      <c r="K1560">
        <v>0.258</v>
      </c>
      <c r="L1560">
        <v>11234</v>
      </c>
      <c r="M1560">
        <v>1339</v>
      </c>
      <c r="N1560" t="s">
        <v>16393</v>
      </c>
      <c r="O1560" s="4">
        <v>31996</v>
      </c>
      <c r="P1560" s="4">
        <v>106457</v>
      </c>
      <c r="Q1560" s="4">
        <v>138453</v>
      </c>
      <c r="R1560" s="4">
        <v>415359</v>
      </c>
      <c r="S1560" t="s">
        <v>17908</v>
      </c>
      <c r="T1560" s="6">
        <v>45695</v>
      </c>
      <c r="U1560" s="4">
        <v>400000</v>
      </c>
      <c r="V1560" t="s">
        <v>23741</v>
      </c>
      <c r="W1560" t="s">
        <v>24491</v>
      </c>
      <c r="X1560" t="s">
        <v>3</v>
      </c>
      <c r="AA1560" s="5" t="str">
        <f>HYPERLINK("https://www.zillow.com/homes/6125-LANE-PL-DOWNERS-GROVE-IL-60515_rb/","check listing")</f>
        <v>check listing</v>
      </c>
      <c r="AB1560" s="5" t="str">
        <f>HYPERLINK("https://propertylookup.dupagecounty.gov/Datalets/Datalet.aspx?UseSearch=no&amp;mode=sales&amp;pin=0917308006","sales record")</f>
        <v>sales record</v>
      </c>
      <c r="AC1560" t="s">
        <v>3</v>
      </c>
      <c r="AD1560">
        <v>41.77494</v>
      </c>
      <c r="AE1560">
        <v>-88.009091</v>
      </c>
      <c r="AF1560" s="5" t="str">
        <f>HYPERLINK("https://www.google.com/maps/search/?api=1&amp;query=41.77494,-88.009091","map")</f>
        <v>map</v>
      </c>
    </row>
    <row r="1561" spans="1:32">
      <c r="A1561" t="s">
        <v>1611</v>
      </c>
      <c r="B1561" t="s">
        <v>9171</v>
      </c>
      <c r="C1561" t="s">
        <v>15254</v>
      </c>
      <c r="D1561" t="s">
        <v>16199</v>
      </c>
      <c r="E1561" t="s">
        <v>16218</v>
      </c>
      <c r="F1561" t="s">
        <v>16221</v>
      </c>
      <c r="G1561" t="s">
        <v>16250</v>
      </c>
      <c r="H1561" t="s">
        <v>16250</v>
      </c>
      <c r="I1561" t="s">
        <v>16326</v>
      </c>
      <c r="J1561" t="s">
        <v>16385</v>
      </c>
      <c r="K1561">
        <v>0.258</v>
      </c>
      <c r="L1561">
        <v>11232</v>
      </c>
      <c r="M1561">
        <v>1164</v>
      </c>
      <c r="N1561" t="s">
        <v>16393</v>
      </c>
      <c r="O1561" s="4">
        <v>31996</v>
      </c>
      <c r="P1561" s="4">
        <v>106457</v>
      </c>
      <c r="Q1561" s="4">
        <v>138453</v>
      </c>
      <c r="R1561" s="4">
        <v>415359</v>
      </c>
      <c r="S1561" t="s">
        <v>17909</v>
      </c>
      <c r="T1561" s="6">
        <v>32813</v>
      </c>
      <c r="U1561" s="4">
        <v>135000</v>
      </c>
      <c r="X1561" t="s">
        <v>3</v>
      </c>
      <c r="AA1561" s="5" t="str">
        <f>HYPERLINK("https://www.zillow.com/homes/61079-LANE-PL-DOWNERS-GROVE-IL-60516_rb/","check listing")</f>
        <v>check listing</v>
      </c>
      <c r="AB1561" s="5" t="str">
        <f>HYPERLINK("https://propertylookup.dupagecounty.gov/Datalets/Datalet.aspx?UseSearch=no&amp;mode=sales&amp;pin=0917308002","sales record")</f>
        <v>sales record</v>
      </c>
      <c r="AC1561" t="s">
        <v>3</v>
      </c>
      <c r="AD1561">
        <v>41.775762</v>
      </c>
      <c r="AE1561">
        <v>-88.009117</v>
      </c>
      <c r="AF1561" s="5" t="str">
        <f>HYPERLINK("https://www.google.com/maps/search/?api=1&amp;query=41.775762,-88.009117","map")</f>
        <v>map</v>
      </c>
    </row>
    <row r="1562" spans="1:32">
      <c r="A1562" t="s">
        <v>1612</v>
      </c>
      <c r="B1562" t="s">
        <v>9172</v>
      </c>
      <c r="C1562" t="s">
        <v>15254</v>
      </c>
      <c r="D1562" t="s">
        <v>16199</v>
      </c>
      <c r="E1562" t="s">
        <v>16218</v>
      </c>
      <c r="F1562" t="s">
        <v>16221</v>
      </c>
      <c r="G1562" t="s">
        <v>16249</v>
      </c>
      <c r="H1562" t="s">
        <v>16249</v>
      </c>
      <c r="I1562" t="s">
        <v>16325</v>
      </c>
      <c r="J1562" t="s">
        <v>16385</v>
      </c>
      <c r="K1562">
        <v>0.257</v>
      </c>
      <c r="L1562">
        <v>11215</v>
      </c>
      <c r="M1562">
        <v>2264</v>
      </c>
      <c r="N1562" t="s">
        <v>16393</v>
      </c>
      <c r="O1562" s="4">
        <v>53828</v>
      </c>
      <c r="P1562" s="4">
        <v>104510</v>
      </c>
      <c r="Q1562" s="4">
        <v>158338</v>
      </c>
      <c r="R1562" s="4">
        <v>475014</v>
      </c>
      <c r="S1562" t="s">
        <v>17910</v>
      </c>
      <c r="X1562" t="s">
        <v>3</v>
      </c>
      <c r="AA1562" s="5" t="str">
        <f>HYPERLINK("https://www.zillow.com/homes/7236-POWELL-PL-DOWNERS-GROVE-IL-60516_rb/","check listing")</f>
        <v>check listing</v>
      </c>
      <c r="AB1562" s="5" t="str">
        <f>HYPERLINK("https://propertylookup.dupagecounty.gov/Datalets/Datalet.aspx?UseSearch=no&amp;mode=sales&amp;pin=0930204034","sales record")</f>
        <v>sales record</v>
      </c>
      <c r="AC1562" t="s">
        <v>3</v>
      </c>
      <c r="AD1562">
        <v>41.755346</v>
      </c>
      <c r="AE1562">
        <v>-88.017571</v>
      </c>
      <c r="AF1562" s="5" t="str">
        <f>HYPERLINK("https://www.google.com/maps/search/?api=1&amp;query=41.755346,-88.017571","map")</f>
        <v>map</v>
      </c>
    </row>
    <row r="1563" spans="1:32">
      <c r="A1563" t="s">
        <v>1613</v>
      </c>
      <c r="B1563" t="s">
        <v>9173</v>
      </c>
      <c r="C1563" t="s">
        <v>15324</v>
      </c>
      <c r="D1563" t="s">
        <v>16199</v>
      </c>
      <c r="E1563" t="s">
        <v>16218</v>
      </c>
      <c r="F1563" t="s">
        <v>16221</v>
      </c>
      <c r="G1563" t="s">
        <v>16249</v>
      </c>
      <c r="H1563" t="s">
        <v>16249</v>
      </c>
      <c r="I1563" t="s">
        <v>16325</v>
      </c>
      <c r="J1563" t="s">
        <v>16385</v>
      </c>
      <c r="K1563">
        <v>0.256</v>
      </c>
      <c r="L1563">
        <v>11147</v>
      </c>
      <c r="M1563">
        <v>2478</v>
      </c>
      <c r="N1563" t="s">
        <v>16393</v>
      </c>
      <c r="O1563" s="4">
        <v>61856</v>
      </c>
      <c r="P1563" s="4">
        <v>117045</v>
      </c>
      <c r="Q1563" s="4">
        <v>178901</v>
      </c>
      <c r="R1563" s="4">
        <v>536703</v>
      </c>
      <c r="S1563" t="s">
        <v>17911</v>
      </c>
      <c r="T1563" s="6">
        <v>45512</v>
      </c>
      <c r="U1563" s="4">
        <v>549000</v>
      </c>
      <c r="V1563" t="s">
        <v>23739</v>
      </c>
      <c r="W1563" t="s">
        <v>24492</v>
      </c>
      <c r="X1563" t="s">
        <v>3</v>
      </c>
      <c r="AA1563" s="5" t="str">
        <f>HYPERLINK("https://www.zillow.com/homes/7108-DEXTER-RD-DOWNERS-GROVE-IL-605163796_rb/","check listing")</f>
        <v>check listing</v>
      </c>
      <c r="AB1563" s="5" t="str">
        <f>HYPERLINK("https://propertylookup.dupagecounty.gov/Datalets/Datalet.aspx?UseSearch=no&amp;mode=sales&amp;pin=0919417004","sales record")</f>
        <v>sales record</v>
      </c>
      <c r="AC1563" t="s">
        <v>3</v>
      </c>
      <c r="AD1563">
        <v>41.758587</v>
      </c>
      <c r="AE1563">
        <v>-88.021289</v>
      </c>
      <c r="AF1563" s="5" t="str">
        <f>HYPERLINK("https://www.google.com/maps/search/?api=1&amp;query=41.758587,-88.021289","map")</f>
        <v>map</v>
      </c>
    </row>
    <row r="1564" spans="1:32">
      <c r="A1564" t="s">
        <v>1614</v>
      </c>
      <c r="B1564" t="s">
        <v>9174</v>
      </c>
      <c r="C1564" t="s">
        <v>15325</v>
      </c>
      <c r="D1564" t="s">
        <v>16199</v>
      </c>
      <c r="E1564" t="s">
        <v>16218</v>
      </c>
      <c r="F1564" t="s">
        <v>16221</v>
      </c>
      <c r="G1564" t="s">
        <v>16249</v>
      </c>
      <c r="H1564" t="s">
        <v>16249</v>
      </c>
      <c r="I1564" t="s">
        <v>16325</v>
      </c>
      <c r="J1564" t="s">
        <v>16385</v>
      </c>
      <c r="K1564">
        <v>0.256</v>
      </c>
      <c r="L1564">
        <v>11147</v>
      </c>
      <c r="M1564">
        <v>1761</v>
      </c>
      <c r="N1564" t="s">
        <v>16393</v>
      </c>
      <c r="O1564" s="4">
        <v>53463</v>
      </c>
      <c r="P1564" s="4">
        <v>93394</v>
      </c>
      <c r="Q1564" s="4">
        <v>146857</v>
      </c>
      <c r="R1564" s="4">
        <v>440571</v>
      </c>
      <c r="S1564" t="s">
        <v>17912</v>
      </c>
      <c r="T1564" s="6">
        <v>45695</v>
      </c>
      <c r="U1564" s="4">
        <v>449000</v>
      </c>
      <c r="V1564" t="s">
        <v>23741</v>
      </c>
      <c r="W1564" t="s">
        <v>24493</v>
      </c>
      <c r="X1564" t="s">
        <v>3</v>
      </c>
      <c r="AA1564" s="5" t="str">
        <f>HYPERLINK("https://www.zillow.com/homes/7110-TERRACE-DR-DOWNERS-GROVE-IL-605163238_rb/","check listing")</f>
        <v>check listing</v>
      </c>
      <c r="AB1564" s="5" t="str">
        <f>HYPERLINK("https://propertylookup.dupagecounty.gov/Datalets/Datalet.aspx?UseSearch=no&amp;mode=sales&amp;pin=0919418015","sales record")</f>
        <v>sales record</v>
      </c>
      <c r="AC1564" t="s">
        <v>3</v>
      </c>
      <c r="AD1564">
        <v>41.758943</v>
      </c>
      <c r="AE1564">
        <v>-88.018923</v>
      </c>
      <c r="AF1564" s="5" t="str">
        <f>HYPERLINK("https://www.google.com/maps/search/?api=1&amp;query=41.758943,-88.018923","map")</f>
        <v>map</v>
      </c>
    </row>
    <row r="1565" spans="1:32">
      <c r="A1565" t="s">
        <v>1615</v>
      </c>
      <c r="B1565" t="s">
        <v>9175</v>
      </c>
      <c r="C1565" t="s">
        <v>15254</v>
      </c>
      <c r="D1565" t="s">
        <v>16199</v>
      </c>
      <c r="E1565" t="s">
        <v>16218</v>
      </c>
      <c r="F1565" t="s">
        <v>16221</v>
      </c>
      <c r="G1565" t="s">
        <v>16249</v>
      </c>
      <c r="H1565" t="s">
        <v>16249</v>
      </c>
      <c r="I1565" t="s">
        <v>16325</v>
      </c>
      <c r="J1565" t="s">
        <v>16385</v>
      </c>
      <c r="K1565">
        <v>0.256</v>
      </c>
      <c r="L1565">
        <v>11143</v>
      </c>
      <c r="M1565">
        <v>2371</v>
      </c>
      <c r="N1565" t="s">
        <v>16393</v>
      </c>
      <c r="O1565" s="4">
        <v>50200</v>
      </c>
      <c r="P1565" s="4">
        <v>139734</v>
      </c>
      <c r="Q1565" s="4">
        <v>189934</v>
      </c>
      <c r="R1565" s="4">
        <v>569802</v>
      </c>
      <c r="S1565" t="s">
        <v>17913</v>
      </c>
      <c r="T1565" s="6">
        <v>45064</v>
      </c>
      <c r="U1565" s="4">
        <v>494000</v>
      </c>
      <c r="V1565" t="s">
        <v>16232</v>
      </c>
      <c r="W1565" t="s">
        <v>24494</v>
      </c>
      <c r="X1565" t="s">
        <v>3</v>
      </c>
      <c r="AA1565" s="5" t="str">
        <f>HYPERLINK("https://www.zillow.com/homes/1516-BAKER-PL-DOWNERS-GROVE-IL-60516_rb/","check listing")</f>
        <v>check listing</v>
      </c>
      <c r="AB1565" s="5" t="str">
        <f>HYPERLINK("https://propertylookup.dupagecounty.gov/Datalets/Datalet.aspx?UseSearch=no&amp;mode=sales&amp;pin=0930203006","sales record")</f>
        <v>sales record</v>
      </c>
      <c r="AC1565" t="s">
        <v>3</v>
      </c>
      <c r="AD1565">
        <v>41.756638</v>
      </c>
      <c r="AE1565">
        <v>-88.020274</v>
      </c>
      <c r="AF1565" s="5" t="str">
        <f>HYPERLINK("https://www.google.com/maps/search/?api=1&amp;query=41.756638,-88.020274","map")</f>
        <v>map</v>
      </c>
    </row>
    <row r="1566" spans="1:32">
      <c r="A1566" t="s">
        <v>1616</v>
      </c>
      <c r="B1566" t="s">
        <v>9176</v>
      </c>
      <c r="C1566" t="s">
        <v>15254</v>
      </c>
      <c r="D1566" t="s">
        <v>16199</v>
      </c>
      <c r="E1566" t="s">
        <v>16218</v>
      </c>
      <c r="F1566" t="s">
        <v>16221</v>
      </c>
      <c r="G1566" t="s">
        <v>16249</v>
      </c>
      <c r="H1566" t="s">
        <v>16249</v>
      </c>
      <c r="I1566" t="s">
        <v>16325</v>
      </c>
      <c r="J1566" t="s">
        <v>16385</v>
      </c>
      <c r="K1566">
        <v>0.256</v>
      </c>
      <c r="L1566">
        <v>11136</v>
      </c>
      <c r="M1566">
        <v>1695</v>
      </c>
      <c r="N1566" t="s">
        <v>16393</v>
      </c>
      <c r="O1566" s="4">
        <v>67877</v>
      </c>
      <c r="P1566" s="4">
        <v>107773</v>
      </c>
      <c r="Q1566" s="4">
        <v>175650</v>
      </c>
      <c r="R1566" s="4">
        <v>526950</v>
      </c>
      <c r="S1566" t="s">
        <v>17914</v>
      </c>
      <c r="T1566" s="6">
        <v>32143</v>
      </c>
      <c r="U1566" s="4">
        <v>137240</v>
      </c>
      <c r="X1566" t="s">
        <v>3</v>
      </c>
      <c r="AA1566" s="5" t="str">
        <f>HYPERLINK("https://www.zillow.com/homes/1706-HALL-ST-DOWNERS-GROVE-IL-60516_rb/","check listing")</f>
        <v>check listing</v>
      </c>
      <c r="AB1566" s="5" t="str">
        <f>HYPERLINK("https://propertylookup.dupagecounty.gov/Datalets/Datalet.aspx?UseSearch=no&amp;mode=sales&amp;pin=0930107004","sales record")</f>
        <v>sales record</v>
      </c>
      <c r="AC1566" t="s">
        <v>3</v>
      </c>
      <c r="AD1566">
        <v>41.75265</v>
      </c>
      <c r="AE1566">
        <v>-88.0253</v>
      </c>
      <c r="AF1566" s="5" t="str">
        <f>HYPERLINK("https://www.google.com/maps/search/?api=1&amp;query=41.75265,-88.0253","map")</f>
        <v>map</v>
      </c>
    </row>
    <row r="1567" spans="1:32">
      <c r="A1567" t="s">
        <v>1617</v>
      </c>
      <c r="B1567" t="s">
        <v>9177</v>
      </c>
      <c r="C1567" t="s">
        <v>15254</v>
      </c>
      <c r="D1567" t="s">
        <v>16199</v>
      </c>
      <c r="E1567" t="s">
        <v>16218</v>
      </c>
      <c r="F1567" t="s">
        <v>16221</v>
      </c>
      <c r="G1567" t="s">
        <v>16249</v>
      </c>
      <c r="H1567" t="s">
        <v>16249</v>
      </c>
      <c r="I1567" t="s">
        <v>16325</v>
      </c>
      <c r="J1567" t="s">
        <v>16385</v>
      </c>
      <c r="K1567">
        <v>0.256</v>
      </c>
      <c r="L1567">
        <v>11134</v>
      </c>
      <c r="M1567">
        <v>1785</v>
      </c>
      <c r="N1567" t="s">
        <v>16393</v>
      </c>
      <c r="O1567" s="4">
        <v>57924</v>
      </c>
      <c r="P1567" s="4">
        <v>106423</v>
      </c>
      <c r="Q1567" s="4">
        <v>164347</v>
      </c>
      <c r="R1567" s="4">
        <v>493041</v>
      </c>
      <c r="S1567" t="s">
        <v>17915</v>
      </c>
      <c r="T1567" s="6">
        <v>42917</v>
      </c>
      <c r="U1567" s="4">
        <v>415000</v>
      </c>
      <c r="V1567" t="s">
        <v>23739</v>
      </c>
      <c r="W1567" t="s">
        <v>24495</v>
      </c>
      <c r="X1567" t="s">
        <v>3</v>
      </c>
      <c r="AA1567" s="5" t="str">
        <f>HYPERLINK("https://www.zillow.com/homes/7218-TICONDEROGA-PL-DOWNERS-GROVE-IL-60516_rb/","check listing")</f>
        <v>check listing</v>
      </c>
      <c r="AB1567" s="5" t="str">
        <f>HYPERLINK("https://propertylookup.dupagecounty.gov/Datalets/Datalet.aspx?UseSearch=no&amp;mode=sales&amp;pin=0930105033","sales record")</f>
        <v>sales record</v>
      </c>
      <c r="AC1567" t="s">
        <v>3</v>
      </c>
      <c r="AD1567">
        <v>41.755408</v>
      </c>
      <c r="AE1567">
        <v>-88.023867</v>
      </c>
      <c r="AF1567" s="5" t="str">
        <f>HYPERLINK("https://www.google.com/maps/search/?api=1&amp;query=41.755408,-88.023867","map")</f>
        <v>map</v>
      </c>
    </row>
    <row r="1568" spans="1:32">
      <c r="A1568" t="s">
        <v>1618</v>
      </c>
      <c r="B1568" t="s">
        <v>9178</v>
      </c>
      <c r="C1568" t="s">
        <v>15254</v>
      </c>
      <c r="D1568" t="s">
        <v>16199</v>
      </c>
      <c r="E1568" t="s">
        <v>16218</v>
      </c>
      <c r="F1568" t="s">
        <v>16221</v>
      </c>
      <c r="G1568" t="s">
        <v>16249</v>
      </c>
      <c r="H1568" t="s">
        <v>16249</v>
      </c>
      <c r="I1568" t="s">
        <v>16325</v>
      </c>
      <c r="J1568" t="s">
        <v>16385</v>
      </c>
      <c r="K1568">
        <v>0.255</v>
      </c>
      <c r="L1568">
        <v>11087</v>
      </c>
      <c r="M1568">
        <v>1823</v>
      </c>
      <c r="N1568" t="s">
        <v>16393</v>
      </c>
      <c r="O1568" s="4">
        <v>64286</v>
      </c>
      <c r="P1568" s="4">
        <v>115590</v>
      </c>
      <c r="Q1568" s="4">
        <v>179876</v>
      </c>
      <c r="R1568" s="4">
        <v>539628</v>
      </c>
      <c r="S1568" t="s">
        <v>17916</v>
      </c>
      <c r="T1568" s="6">
        <v>41091</v>
      </c>
      <c r="U1568" s="4">
        <v>370000</v>
      </c>
      <c r="V1568" t="s">
        <v>23739</v>
      </c>
      <c r="W1568" t="s">
        <v>24496</v>
      </c>
      <c r="X1568" t="s">
        <v>3</v>
      </c>
      <c r="AA1568" s="5" t="str">
        <f>HYPERLINK("https://www.zillow.com/homes/7249-KELLY-PL-DOWNERS-GROVE-IL-60516_rb/","check listing")</f>
        <v>check listing</v>
      </c>
      <c r="AB1568" s="5" t="str">
        <f>HYPERLINK("https://propertylookup.dupagecounty.gov/Datalets/Datalet.aspx?UseSearch=no&amp;mode=sales&amp;pin=0930203031","sales record")</f>
        <v>sales record</v>
      </c>
      <c r="AC1568" t="s">
        <v>3</v>
      </c>
      <c r="AD1568">
        <v>41.755345</v>
      </c>
      <c r="AE1568">
        <v>-88.020549</v>
      </c>
      <c r="AF1568" s="5" t="str">
        <f>HYPERLINK("https://www.google.com/maps/search/?api=1&amp;query=41.755345,-88.020549","map")</f>
        <v>map</v>
      </c>
    </row>
    <row r="1569" spans="1:32">
      <c r="A1569" t="s">
        <v>1619</v>
      </c>
      <c r="B1569" t="s">
        <v>9179</v>
      </c>
      <c r="C1569" t="s">
        <v>15254</v>
      </c>
      <c r="D1569" t="s">
        <v>16199</v>
      </c>
      <c r="E1569" t="s">
        <v>16218</v>
      </c>
      <c r="F1569" t="s">
        <v>16221</v>
      </c>
      <c r="G1569" t="s">
        <v>16249</v>
      </c>
      <c r="H1569" t="s">
        <v>16249</v>
      </c>
      <c r="I1569" t="s">
        <v>16325</v>
      </c>
      <c r="J1569" t="s">
        <v>16385</v>
      </c>
      <c r="K1569">
        <v>0.254</v>
      </c>
      <c r="L1569">
        <v>11083</v>
      </c>
      <c r="M1569">
        <v>2622</v>
      </c>
      <c r="N1569" t="s">
        <v>16393</v>
      </c>
      <c r="O1569" s="4">
        <v>68452</v>
      </c>
      <c r="P1569" s="4">
        <v>115789</v>
      </c>
      <c r="Q1569" s="4">
        <v>184241</v>
      </c>
      <c r="R1569" s="4">
        <v>552723</v>
      </c>
      <c r="S1569" t="s">
        <v>17917</v>
      </c>
      <c r="T1569" s="6">
        <v>32387</v>
      </c>
      <c r="U1569" s="4">
        <v>160000</v>
      </c>
      <c r="X1569" t="s">
        <v>3</v>
      </c>
      <c r="AA1569" s="5" t="str">
        <f>HYPERLINK("https://www.zillow.com/homes/1508-BAKER-PL-DOWNERS-GROVE-IL-60516_rb/","check listing")</f>
        <v>check listing</v>
      </c>
      <c r="AB1569" s="5" t="str">
        <f>HYPERLINK("https://propertylookup.dupagecounty.gov/Datalets/Datalet.aspx?UseSearch=no&amp;mode=sales&amp;pin=0930203007","sales record")</f>
        <v>sales record</v>
      </c>
      <c r="AC1569" t="s">
        <v>3</v>
      </c>
      <c r="AD1569">
        <v>41.756729</v>
      </c>
      <c r="AE1569">
        <v>-88.02056399999999</v>
      </c>
      <c r="AF1569" s="5" t="str">
        <f>HYPERLINK("https://www.google.com/maps/search/?api=1&amp;query=41.756729,-88.020564","map")</f>
        <v>map</v>
      </c>
    </row>
    <row r="1570" spans="1:32">
      <c r="A1570" t="s">
        <v>1620</v>
      </c>
      <c r="B1570" t="s">
        <v>9180</v>
      </c>
      <c r="C1570" t="s">
        <v>15277</v>
      </c>
      <c r="D1570" t="s">
        <v>16199</v>
      </c>
      <c r="E1570" t="s">
        <v>16218</v>
      </c>
      <c r="F1570" t="s">
        <v>16221</v>
      </c>
      <c r="G1570" t="s">
        <v>16250</v>
      </c>
      <c r="H1570" t="s">
        <v>16250</v>
      </c>
      <c r="I1570" t="s">
        <v>16326</v>
      </c>
      <c r="J1570" t="s">
        <v>16385</v>
      </c>
      <c r="K1570">
        <v>0.254</v>
      </c>
      <c r="L1570">
        <v>11069</v>
      </c>
      <c r="M1570">
        <v>1574</v>
      </c>
      <c r="N1570" t="s">
        <v>16393</v>
      </c>
      <c r="O1570" s="4">
        <v>106892</v>
      </c>
      <c r="P1570" s="4">
        <v>129147</v>
      </c>
      <c r="Q1570" s="4">
        <v>236039</v>
      </c>
      <c r="R1570" s="4">
        <v>708117</v>
      </c>
      <c r="S1570" t="s">
        <v>17918</v>
      </c>
      <c r="T1570" s="6">
        <v>45049</v>
      </c>
      <c r="U1570" s="4">
        <v>485000</v>
      </c>
      <c r="V1570" t="s">
        <v>23739</v>
      </c>
      <c r="W1570" t="s">
        <v>24497</v>
      </c>
      <c r="X1570" t="s">
        <v>3</v>
      </c>
      <c r="AA1570" s="5" t="str">
        <f>HYPERLINK("https://www.zillow.com/homes/4914-HIGHLAND-AVE-DOWNERS-GROVE-IL-60515_rb/","check listing")</f>
        <v>check listing</v>
      </c>
      <c r="AB1570" s="5" t="str">
        <f>HYPERLINK("https://propertylookup.dupagecounty.gov/Datalets/Datalet.aspx?UseSearch=no&amp;mode=sales&amp;pin=0908117016","sales record")</f>
        <v>sales record</v>
      </c>
      <c r="AC1570" t="s">
        <v>3</v>
      </c>
      <c r="AD1570">
        <v>41.797757</v>
      </c>
      <c r="AE1570">
        <v>-88.009739</v>
      </c>
      <c r="AF1570" s="5" t="str">
        <f>HYPERLINK("https://www.google.com/maps/search/?api=1&amp;query=41.797757,-88.009739","map")</f>
        <v>map</v>
      </c>
    </row>
    <row r="1571" spans="1:32">
      <c r="A1571" t="s">
        <v>1621</v>
      </c>
      <c r="B1571" t="s">
        <v>9181</v>
      </c>
      <c r="C1571" t="s">
        <v>15326</v>
      </c>
      <c r="D1571" t="s">
        <v>16199</v>
      </c>
      <c r="E1571" t="s">
        <v>16218</v>
      </c>
      <c r="F1571" t="s">
        <v>16221</v>
      </c>
      <c r="G1571" t="s">
        <v>16249</v>
      </c>
      <c r="H1571" t="s">
        <v>16249</v>
      </c>
      <c r="I1571" t="s">
        <v>16325</v>
      </c>
      <c r="J1571" t="s">
        <v>16385</v>
      </c>
      <c r="K1571">
        <v>0.254</v>
      </c>
      <c r="L1571">
        <v>11066</v>
      </c>
      <c r="M1571">
        <v>2461</v>
      </c>
      <c r="N1571" t="s">
        <v>16393</v>
      </c>
      <c r="O1571" s="4">
        <v>66093</v>
      </c>
      <c r="P1571" s="4">
        <v>120285</v>
      </c>
      <c r="Q1571" s="4">
        <v>186378</v>
      </c>
      <c r="R1571" s="4">
        <v>559134</v>
      </c>
      <c r="S1571" t="s">
        <v>17919</v>
      </c>
      <c r="T1571" s="6">
        <v>31686</v>
      </c>
      <c r="U1571" s="4">
        <v>148850</v>
      </c>
      <c r="X1571" t="s">
        <v>3</v>
      </c>
      <c r="AA1571" s="5" t="str">
        <f>HYPERLINK("https://www.zillow.com/homes/1401-WILLARD-PL-DOWNERS-GROVE-IL-605163701_rb/","check listing")</f>
        <v>check listing</v>
      </c>
      <c r="AB1571" s="5" t="str">
        <f>HYPERLINK("https://propertylookup.dupagecounty.gov/Datalets/Datalet.aspx?UseSearch=no&amp;mode=sales&amp;pin=0930203047","sales record")</f>
        <v>sales record</v>
      </c>
      <c r="AC1571" t="s">
        <v>3</v>
      </c>
      <c r="AD1571">
        <v>41.755924</v>
      </c>
      <c r="AE1571">
        <v>-88.01892100000001</v>
      </c>
      <c r="AF1571" s="5" t="str">
        <f>HYPERLINK("https://www.google.com/maps/search/?api=1&amp;query=41.755924,-88.018921","map")</f>
        <v>map</v>
      </c>
    </row>
    <row r="1572" spans="1:32">
      <c r="A1572" t="s">
        <v>1622</v>
      </c>
      <c r="B1572" t="s">
        <v>9182</v>
      </c>
      <c r="C1572" t="s">
        <v>15254</v>
      </c>
      <c r="D1572" t="s">
        <v>16199</v>
      </c>
      <c r="E1572" t="s">
        <v>16218</v>
      </c>
      <c r="F1572" t="s">
        <v>16221</v>
      </c>
      <c r="G1572" t="s">
        <v>16249</v>
      </c>
      <c r="H1572" t="s">
        <v>16249</v>
      </c>
      <c r="I1572" t="s">
        <v>16325</v>
      </c>
      <c r="J1572" t="s">
        <v>16385</v>
      </c>
      <c r="K1572">
        <v>0.254</v>
      </c>
      <c r="L1572">
        <v>11065</v>
      </c>
      <c r="M1572">
        <v>1458</v>
      </c>
      <c r="N1572" t="s">
        <v>16393</v>
      </c>
      <c r="O1572" s="4">
        <v>63100</v>
      </c>
      <c r="P1572" s="4">
        <v>96692</v>
      </c>
      <c r="Q1572" s="4">
        <v>159792</v>
      </c>
      <c r="R1572" s="4">
        <v>479376</v>
      </c>
      <c r="S1572" t="s">
        <v>17920</v>
      </c>
      <c r="T1572" s="6">
        <v>31291</v>
      </c>
      <c r="U1572" s="4">
        <v>103600</v>
      </c>
      <c r="X1572" t="s">
        <v>3</v>
      </c>
      <c r="AA1572" s="5" t="str">
        <f>HYPERLINK("https://www.zillow.com/homes/1713-GRAHAM-AVE-DOWNERS-GROVE-IL-60516_rb/","check listing")</f>
        <v>check listing</v>
      </c>
      <c r="AB1572" s="5" t="str">
        <f>HYPERLINK("https://propertylookup.dupagecounty.gov/Datalets/Datalet.aspx?UseSearch=no&amp;mode=sales&amp;pin=0930103036","sales record")</f>
        <v>sales record</v>
      </c>
      <c r="AC1572" t="s">
        <v>3</v>
      </c>
      <c r="AD1572">
        <v>41.753067</v>
      </c>
      <c r="AE1572">
        <v>-88.025795</v>
      </c>
      <c r="AF1572" s="5" t="str">
        <f>HYPERLINK("https://www.google.com/maps/search/?api=1&amp;query=41.753067,-88.025795","map")</f>
        <v>map</v>
      </c>
    </row>
    <row r="1573" spans="1:32">
      <c r="A1573" t="s">
        <v>1623</v>
      </c>
      <c r="B1573" t="s">
        <v>9183</v>
      </c>
      <c r="C1573" t="s">
        <v>15254</v>
      </c>
      <c r="D1573" t="s">
        <v>16199</v>
      </c>
      <c r="E1573" t="s">
        <v>16218</v>
      </c>
      <c r="F1573" t="s">
        <v>16221</v>
      </c>
      <c r="G1573" t="s">
        <v>16249</v>
      </c>
      <c r="H1573" t="s">
        <v>16249</v>
      </c>
      <c r="I1573" t="s">
        <v>16325</v>
      </c>
      <c r="J1573" t="s">
        <v>16385</v>
      </c>
      <c r="K1573">
        <v>0.254</v>
      </c>
      <c r="L1573">
        <v>11064</v>
      </c>
      <c r="M1573">
        <v>1923</v>
      </c>
      <c r="N1573" t="s">
        <v>16393</v>
      </c>
      <c r="O1573" s="4">
        <v>61610</v>
      </c>
      <c r="P1573" s="4">
        <v>105213</v>
      </c>
      <c r="Q1573" s="4">
        <v>166823</v>
      </c>
      <c r="R1573" s="4">
        <v>500469</v>
      </c>
      <c r="S1573" t="s">
        <v>17921</v>
      </c>
      <c r="T1573" s="6">
        <v>30560</v>
      </c>
      <c r="U1573" s="4">
        <v>105509</v>
      </c>
      <c r="X1573" t="s">
        <v>3</v>
      </c>
      <c r="AA1573" s="5" t="str">
        <f>HYPERLINK("https://www.zillow.com/homes/7200-SPRINGSIDE-AVE-DOWNERS-GROVE-IL-60516_rb/","check listing")</f>
        <v>check listing</v>
      </c>
      <c r="AB1573" s="5" t="str">
        <f>HYPERLINK("https://propertylookup.dupagecounty.gov/Datalets/Datalet.aspx?UseSearch=no&amp;mode=sales&amp;pin=0930202011","sales record")</f>
        <v>sales record</v>
      </c>
      <c r="AC1573" t="s">
        <v>3</v>
      </c>
      <c r="AD1573">
        <v>41.756694</v>
      </c>
      <c r="AE1573">
        <v>-88.022408</v>
      </c>
      <c r="AF1573" s="5" t="str">
        <f>HYPERLINK("https://www.google.com/maps/search/?api=1&amp;query=41.756694,-88.022408","map")</f>
        <v>map</v>
      </c>
    </row>
    <row r="1574" spans="1:32">
      <c r="A1574" t="s">
        <v>1624</v>
      </c>
      <c r="B1574" t="s">
        <v>9184</v>
      </c>
      <c r="C1574" t="s">
        <v>15254</v>
      </c>
      <c r="D1574" t="s">
        <v>16199</v>
      </c>
      <c r="E1574" t="s">
        <v>16218</v>
      </c>
      <c r="F1574" t="s">
        <v>16221</v>
      </c>
      <c r="G1574" t="s">
        <v>16249</v>
      </c>
      <c r="H1574" t="s">
        <v>16249</v>
      </c>
      <c r="I1574" t="s">
        <v>16325</v>
      </c>
      <c r="J1574" t="s">
        <v>16385</v>
      </c>
      <c r="K1574">
        <v>0.254</v>
      </c>
      <c r="L1574">
        <v>11051</v>
      </c>
      <c r="M1574">
        <v>3057</v>
      </c>
      <c r="N1574" t="s">
        <v>16393</v>
      </c>
      <c r="O1574" s="4">
        <v>64286</v>
      </c>
      <c r="P1574" s="4">
        <v>111751</v>
      </c>
      <c r="Q1574" s="4">
        <v>176037</v>
      </c>
      <c r="R1574" s="4">
        <v>528111</v>
      </c>
      <c r="S1574" t="s">
        <v>17922</v>
      </c>
      <c r="T1574" s="6">
        <v>32295</v>
      </c>
      <c r="U1574" s="4">
        <v>161700</v>
      </c>
      <c r="X1574" t="s">
        <v>3</v>
      </c>
      <c r="AA1574" s="5" t="str">
        <f>HYPERLINK("https://www.zillow.com/homes/1529-71ST-TERR-DOWNERS-GROVE-IL-60516_rb/","check listing")</f>
        <v>check listing</v>
      </c>
      <c r="AB1574" s="5" t="str">
        <f>HYPERLINK("https://propertylookup.dupagecounty.gov/Datalets/Datalet.aspx?UseSearch=no&amp;mode=sales&amp;pin=0919417001","sales record")</f>
        <v>sales record</v>
      </c>
      <c r="AC1574" t="s">
        <v>3</v>
      </c>
      <c r="AD1574">
        <v>41.758487</v>
      </c>
      <c r="AE1574">
        <v>-88.021961</v>
      </c>
      <c r="AF1574" s="5" t="str">
        <f>HYPERLINK("https://www.google.com/maps/search/?api=1&amp;query=41.758487,-88.021961","map")</f>
        <v>map</v>
      </c>
    </row>
    <row r="1575" spans="1:32">
      <c r="A1575" t="s">
        <v>1625</v>
      </c>
      <c r="B1575" t="s">
        <v>9185</v>
      </c>
      <c r="C1575" t="s">
        <v>15277</v>
      </c>
      <c r="D1575" t="s">
        <v>16199</v>
      </c>
      <c r="E1575" t="s">
        <v>16218</v>
      </c>
      <c r="F1575" t="s">
        <v>16221</v>
      </c>
      <c r="G1575" t="s">
        <v>16250</v>
      </c>
      <c r="H1575" t="s">
        <v>16250</v>
      </c>
      <c r="I1575" t="s">
        <v>16326</v>
      </c>
      <c r="J1575" t="s">
        <v>16385</v>
      </c>
      <c r="K1575">
        <v>0.253</v>
      </c>
      <c r="L1575">
        <v>11011</v>
      </c>
      <c r="M1575">
        <v>1759</v>
      </c>
      <c r="N1575" t="s">
        <v>16393</v>
      </c>
      <c r="O1575" s="4">
        <v>72666</v>
      </c>
      <c r="P1575" s="4">
        <v>89462</v>
      </c>
      <c r="Q1575" s="4">
        <v>162128</v>
      </c>
      <c r="R1575" s="4">
        <v>486384</v>
      </c>
      <c r="S1575" t="s">
        <v>17923</v>
      </c>
      <c r="T1575" s="6">
        <v>42522</v>
      </c>
      <c r="U1575" s="4">
        <v>329900</v>
      </c>
      <c r="V1575" t="s">
        <v>23740</v>
      </c>
      <c r="W1575" t="s">
        <v>24498</v>
      </c>
      <c r="X1575" t="s">
        <v>3</v>
      </c>
      <c r="AA1575" s="5" t="str">
        <f>HYPERLINK("https://www.zillow.com/homes/4948-FLORENCE-AVE-DOWNERS-GROVE-IL-60515_rb/","check listing")</f>
        <v>check listing</v>
      </c>
      <c r="AB1575" s="5" t="str">
        <f>HYPERLINK("https://propertylookup.dupagecounty.gov/Datalets/Datalet.aspx?UseSearch=no&amp;mode=sales&amp;pin=0909110023","sales record")</f>
        <v>sales record</v>
      </c>
      <c r="AC1575" t="s">
        <v>3</v>
      </c>
      <c r="AD1575">
        <v>41.797172</v>
      </c>
      <c r="AE1575">
        <v>-87.99209</v>
      </c>
      <c r="AF1575" s="5" t="str">
        <f>HYPERLINK("https://www.google.com/maps/search/?api=1&amp;query=41.797172,-87.99209","map")</f>
        <v>map</v>
      </c>
    </row>
    <row r="1576" spans="1:32">
      <c r="A1576" t="s">
        <v>1626</v>
      </c>
      <c r="B1576" t="s">
        <v>9186</v>
      </c>
      <c r="C1576" t="s">
        <v>15254</v>
      </c>
      <c r="D1576" t="s">
        <v>16199</v>
      </c>
      <c r="E1576" t="s">
        <v>16218</v>
      </c>
      <c r="F1576" t="s">
        <v>16221</v>
      </c>
      <c r="G1576" t="s">
        <v>16249</v>
      </c>
      <c r="H1576" t="s">
        <v>16249</v>
      </c>
      <c r="I1576" t="s">
        <v>16325</v>
      </c>
      <c r="J1576" t="s">
        <v>16385</v>
      </c>
      <c r="K1576">
        <v>0.253</v>
      </c>
      <c r="L1576">
        <v>11007</v>
      </c>
      <c r="M1576">
        <v>1695</v>
      </c>
      <c r="N1576" t="s">
        <v>16393</v>
      </c>
      <c r="O1576" s="4">
        <v>69661</v>
      </c>
      <c r="P1576" s="4">
        <v>131517</v>
      </c>
      <c r="Q1576" s="4">
        <v>201178</v>
      </c>
      <c r="R1576" s="4">
        <v>603534</v>
      </c>
      <c r="S1576" t="s">
        <v>17924</v>
      </c>
      <c r="T1576" s="6">
        <v>31533</v>
      </c>
      <c r="U1576" s="4">
        <v>121227</v>
      </c>
      <c r="X1576" t="s">
        <v>3</v>
      </c>
      <c r="AA1576" s="5" t="str">
        <f>HYPERLINK("https://www.zillow.com/homes/1705-HALL-ST-DOWNERS-GROVE-IL-60516_rb/","check listing")</f>
        <v>check listing</v>
      </c>
      <c r="AB1576" s="5" t="str">
        <f>HYPERLINK("https://propertylookup.dupagecounty.gov/Datalets/Datalet.aspx?UseSearch=no&amp;mode=sales&amp;pin=0930105063","sales record")</f>
        <v>sales record</v>
      </c>
      <c r="AC1576" t="s">
        <v>3</v>
      </c>
      <c r="AD1576">
        <v>41.752176</v>
      </c>
      <c r="AE1576">
        <v>-88.025282</v>
      </c>
      <c r="AF1576" s="5" t="str">
        <f>HYPERLINK("https://www.google.com/maps/search/?api=1&amp;query=41.752176,-88.025282","map")</f>
        <v>map</v>
      </c>
    </row>
    <row r="1577" spans="1:32">
      <c r="A1577" t="s">
        <v>1627</v>
      </c>
      <c r="B1577" t="s">
        <v>9187</v>
      </c>
      <c r="C1577" t="s">
        <v>15254</v>
      </c>
      <c r="D1577" t="s">
        <v>16199</v>
      </c>
      <c r="E1577" t="s">
        <v>16218</v>
      </c>
      <c r="F1577" t="s">
        <v>16221</v>
      </c>
      <c r="G1577" t="s">
        <v>16249</v>
      </c>
      <c r="H1577" t="s">
        <v>16249</v>
      </c>
      <c r="I1577" t="s">
        <v>16325</v>
      </c>
      <c r="J1577" t="s">
        <v>16385</v>
      </c>
      <c r="K1577">
        <v>0.251</v>
      </c>
      <c r="L1577">
        <v>10915</v>
      </c>
      <c r="M1577">
        <v>2191</v>
      </c>
      <c r="N1577" t="s">
        <v>16393</v>
      </c>
      <c r="O1577" s="4">
        <v>66786</v>
      </c>
      <c r="P1577" s="4">
        <v>115297</v>
      </c>
      <c r="Q1577" s="4">
        <v>182083</v>
      </c>
      <c r="R1577" s="4">
        <v>546249</v>
      </c>
      <c r="S1577" t="s">
        <v>17925</v>
      </c>
      <c r="T1577" s="6">
        <v>36495</v>
      </c>
      <c r="U1577" s="4">
        <v>255000</v>
      </c>
      <c r="X1577" t="s">
        <v>3</v>
      </c>
      <c r="AA1577" s="5" t="str">
        <f>HYPERLINK("https://www.zillow.com/homes/7132-SPRINGSIDE-AVE-DOWNERS-GROVE-IL-60516_rb/","check listing")</f>
        <v>check listing</v>
      </c>
      <c r="AB1577" s="5" t="str">
        <f>HYPERLINK("https://propertylookup.dupagecounty.gov/Datalets/Datalet.aspx?UseSearch=no&amp;mode=sales&amp;pin=0930202002","sales record")</f>
        <v>sales record</v>
      </c>
      <c r="AC1577" t="s">
        <v>3</v>
      </c>
      <c r="AD1577">
        <v>41.757915</v>
      </c>
      <c r="AE1577">
        <v>-88.02056399999999</v>
      </c>
      <c r="AF1577" s="5" t="str">
        <f>HYPERLINK("https://www.google.com/maps/search/?api=1&amp;query=41.757915,-88.020564","map")</f>
        <v>map</v>
      </c>
    </row>
    <row r="1578" spans="1:32">
      <c r="A1578" t="s">
        <v>1628</v>
      </c>
      <c r="B1578" t="s">
        <v>9188</v>
      </c>
      <c r="C1578" t="s">
        <v>15277</v>
      </c>
      <c r="D1578" t="s">
        <v>16199</v>
      </c>
      <c r="E1578" t="s">
        <v>16218</v>
      </c>
      <c r="F1578" t="s">
        <v>16221</v>
      </c>
      <c r="G1578" t="s">
        <v>16250</v>
      </c>
      <c r="H1578" t="s">
        <v>16250</v>
      </c>
      <c r="I1578" t="s">
        <v>16326</v>
      </c>
      <c r="J1578" t="s">
        <v>16385</v>
      </c>
      <c r="K1578">
        <v>0.25</v>
      </c>
      <c r="L1578">
        <v>10906</v>
      </c>
      <c r="M1578">
        <v>3456</v>
      </c>
      <c r="N1578" t="s">
        <v>16393</v>
      </c>
      <c r="O1578" s="4">
        <v>91411</v>
      </c>
      <c r="P1578" s="4">
        <v>162046</v>
      </c>
      <c r="Q1578" s="4">
        <v>253457</v>
      </c>
      <c r="R1578" s="4">
        <v>760371</v>
      </c>
      <c r="S1578" t="s">
        <v>17926</v>
      </c>
      <c r="T1578" s="6">
        <v>37530</v>
      </c>
      <c r="U1578" s="4">
        <v>740750</v>
      </c>
      <c r="V1578" t="s">
        <v>23739</v>
      </c>
      <c r="W1578" t="s">
        <v>24499</v>
      </c>
      <c r="X1578" t="s">
        <v>3</v>
      </c>
      <c r="AA1578" s="5" t="str">
        <f>HYPERLINK("https://www.zillow.com/homes/4900-HIGHLAND-AVE-DOWNERS-GROVE-IL-60515_rb/","check listing")</f>
        <v>check listing</v>
      </c>
      <c r="AB1578" s="5" t="str">
        <f>HYPERLINK("https://propertylookup.dupagecounty.gov/Datalets/Datalet.aspx?UseSearch=no&amp;mode=sales&amp;pin=0908117013","sales record")</f>
        <v>sales record</v>
      </c>
      <c r="AC1578" t="s">
        <v>3</v>
      </c>
      <c r="AD1578">
        <v>41.798395</v>
      </c>
      <c r="AE1578">
        <v>-88.00982</v>
      </c>
      <c r="AF1578" s="5" t="str">
        <f>HYPERLINK("https://www.google.com/maps/search/?api=1&amp;query=41.798395,-88.00982","map")</f>
        <v>map</v>
      </c>
    </row>
    <row r="1579" spans="1:32">
      <c r="A1579" t="s">
        <v>1629</v>
      </c>
      <c r="B1579" t="s">
        <v>9189</v>
      </c>
      <c r="C1579" t="s">
        <v>15254</v>
      </c>
      <c r="D1579" t="s">
        <v>16199</v>
      </c>
      <c r="E1579" t="s">
        <v>16218</v>
      </c>
      <c r="F1579" t="s">
        <v>16221</v>
      </c>
      <c r="G1579" t="s">
        <v>16249</v>
      </c>
      <c r="H1579" t="s">
        <v>16249</v>
      </c>
      <c r="I1579" t="s">
        <v>16325</v>
      </c>
      <c r="J1579" t="s">
        <v>16385</v>
      </c>
      <c r="K1579">
        <v>0.25</v>
      </c>
      <c r="L1579">
        <v>10901</v>
      </c>
      <c r="M1579">
        <v>1825</v>
      </c>
      <c r="N1579" t="s">
        <v>16393</v>
      </c>
      <c r="O1579" s="4">
        <v>59697</v>
      </c>
      <c r="P1579" s="4">
        <v>117104</v>
      </c>
      <c r="Q1579" s="4">
        <v>176801</v>
      </c>
      <c r="R1579" s="4">
        <v>530403</v>
      </c>
      <c r="S1579" t="s">
        <v>17927</v>
      </c>
      <c r="T1579" s="6">
        <v>36312</v>
      </c>
      <c r="U1579" s="4">
        <v>210000</v>
      </c>
      <c r="X1579" t="s">
        <v>3</v>
      </c>
      <c r="AA1579" s="5" t="str">
        <f>HYPERLINK("https://www.zillow.com/homes/1711-BORMAN-PL-DOWNERS-GROVE-IL-60516_rb/","check listing")</f>
        <v>check listing</v>
      </c>
      <c r="AB1579" s="5" t="str">
        <f>HYPERLINK("https://propertylookup.dupagecounty.gov/Datalets/Datalet.aspx?UseSearch=no&amp;mode=sales&amp;pin=0930103059","sales record")</f>
        <v>sales record</v>
      </c>
      <c r="AC1579" t="s">
        <v>3</v>
      </c>
      <c r="AD1579">
        <v>41.751322</v>
      </c>
      <c r="AE1579">
        <v>-88.025598</v>
      </c>
      <c r="AF1579" s="5" t="str">
        <f>HYPERLINK("https://www.google.com/maps/search/?api=1&amp;query=41.751322,-88.025598","map")</f>
        <v>map</v>
      </c>
    </row>
    <row r="1580" spans="1:32">
      <c r="A1580" t="s">
        <v>1630</v>
      </c>
      <c r="B1580" t="s">
        <v>9190</v>
      </c>
      <c r="C1580" t="s">
        <v>15254</v>
      </c>
      <c r="D1580" t="s">
        <v>16199</v>
      </c>
      <c r="E1580" t="s">
        <v>16218</v>
      </c>
      <c r="F1580" t="s">
        <v>16221</v>
      </c>
      <c r="G1580" t="s">
        <v>16249</v>
      </c>
      <c r="H1580" t="s">
        <v>16249</v>
      </c>
      <c r="I1580" t="s">
        <v>16325</v>
      </c>
      <c r="J1580" t="s">
        <v>16385</v>
      </c>
      <c r="K1580">
        <v>0.25</v>
      </c>
      <c r="L1580">
        <v>10883</v>
      </c>
      <c r="M1580">
        <v>3841</v>
      </c>
      <c r="N1580" t="s">
        <v>16393</v>
      </c>
      <c r="O1580" s="4">
        <v>56610</v>
      </c>
      <c r="P1580" s="4">
        <v>205648</v>
      </c>
      <c r="Q1580" s="4">
        <v>262258</v>
      </c>
      <c r="R1580" s="4">
        <v>786774</v>
      </c>
      <c r="S1580" t="s">
        <v>17928</v>
      </c>
      <c r="T1580" s="6">
        <v>44817</v>
      </c>
      <c r="U1580" s="4">
        <v>720000</v>
      </c>
      <c r="V1580" t="s">
        <v>23739</v>
      </c>
      <c r="W1580" t="s">
        <v>24500</v>
      </c>
      <c r="X1580" t="s">
        <v>3</v>
      </c>
      <c r="AA1580" s="5" t="str">
        <f>HYPERLINK("https://www.zillow.com/homes/7217-DEXTER-RD-DOWNERS-GROVE-IL-60516_rb/","check listing")</f>
        <v>check listing</v>
      </c>
      <c r="AB1580" s="5" t="str">
        <f>HYPERLINK("https://propertylookup.dupagecounty.gov/Datalets/Datalet.aspx?UseSearch=no&amp;mode=sales&amp;pin=0930204012","sales record")</f>
        <v>sales record</v>
      </c>
      <c r="AC1580" t="s">
        <v>3</v>
      </c>
      <c r="AD1580">
        <v>41.756058</v>
      </c>
      <c r="AE1580">
        <v>-88.018047</v>
      </c>
      <c r="AF1580" s="5" t="str">
        <f>HYPERLINK("https://www.google.com/maps/search/?api=1&amp;query=41.756058,-88.018047","map")</f>
        <v>map</v>
      </c>
    </row>
    <row r="1581" spans="1:32">
      <c r="A1581" t="s">
        <v>1631</v>
      </c>
      <c r="B1581" t="s">
        <v>9191</v>
      </c>
      <c r="C1581" t="s">
        <v>15254</v>
      </c>
      <c r="D1581" t="s">
        <v>16199</v>
      </c>
      <c r="E1581" t="s">
        <v>16218</v>
      </c>
      <c r="F1581" t="s">
        <v>16221</v>
      </c>
      <c r="G1581" t="s">
        <v>16249</v>
      </c>
      <c r="H1581" t="s">
        <v>16249</v>
      </c>
      <c r="I1581" t="s">
        <v>16325</v>
      </c>
      <c r="J1581" t="s">
        <v>16385</v>
      </c>
      <c r="K1581">
        <v>0.249</v>
      </c>
      <c r="L1581">
        <v>10848</v>
      </c>
      <c r="M1581">
        <v>1575</v>
      </c>
      <c r="N1581" t="s">
        <v>16393</v>
      </c>
      <c r="O1581" s="4">
        <v>64238</v>
      </c>
      <c r="P1581" s="4">
        <v>108875</v>
      </c>
      <c r="Q1581" s="4">
        <v>173113</v>
      </c>
      <c r="R1581" s="4">
        <v>519339</v>
      </c>
      <c r="S1581" t="s">
        <v>17929</v>
      </c>
      <c r="T1581" s="6">
        <v>31686</v>
      </c>
      <c r="U1581" s="4">
        <v>120200</v>
      </c>
      <c r="X1581" t="s">
        <v>3</v>
      </c>
      <c r="AA1581" s="5" t="str">
        <f>HYPERLINK("https://www.zillow.com/homes/7301-TICONDEROGA-PL-DOWNERS-GROVE-IL-60516_rb/","check listing")</f>
        <v>check listing</v>
      </c>
      <c r="AB1581" s="5" t="str">
        <f>HYPERLINK("https://propertylookup.dupagecounty.gov/Datalets/Datalet.aspx?UseSearch=no&amp;mode=sales&amp;pin=0930105044","sales record")</f>
        <v>sales record</v>
      </c>
      <c r="AC1581" t="s">
        <v>3</v>
      </c>
      <c r="AD1581">
        <v>41.754551</v>
      </c>
      <c r="AE1581">
        <v>-88.02308499999999</v>
      </c>
      <c r="AF1581" s="5" t="str">
        <f>HYPERLINK("https://www.google.com/maps/search/?api=1&amp;query=41.754551,-88.023085","map")</f>
        <v>map</v>
      </c>
    </row>
    <row r="1582" spans="1:32">
      <c r="A1582" t="s">
        <v>1632</v>
      </c>
      <c r="B1582" t="s">
        <v>9192</v>
      </c>
      <c r="C1582" t="s">
        <v>15254</v>
      </c>
      <c r="D1582" t="s">
        <v>16199</v>
      </c>
      <c r="E1582" t="s">
        <v>16218</v>
      </c>
      <c r="F1582" t="s">
        <v>16221</v>
      </c>
      <c r="G1582" t="s">
        <v>16249</v>
      </c>
      <c r="H1582" t="s">
        <v>16249</v>
      </c>
      <c r="I1582" t="s">
        <v>16325</v>
      </c>
      <c r="J1582" t="s">
        <v>16385</v>
      </c>
      <c r="K1582">
        <v>0.248</v>
      </c>
      <c r="L1582">
        <v>10813</v>
      </c>
      <c r="M1582">
        <v>1557</v>
      </c>
      <c r="N1582" t="s">
        <v>16393</v>
      </c>
      <c r="O1582" s="4">
        <v>52936</v>
      </c>
      <c r="P1582" s="4">
        <v>113876</v>
      </c>
      <c r="Q1582" s="4">
        <v>166812</v>
      </c>
      <c r="R1582" s="4">
        <v>500436</v>
      </c>
      <c r="S1582" t="s">
        <v>17930</v>
      </c>
      <c r="T1582" s="6">
        <v>31809</v>
      </c>
      <c r="U1582" s="4">
        <v>142494</v>
      </c>
      <c r="X1582" t="s">
        <v>3</v>
      </c>
      <c r="AA1582" s="5" t="str">
        <f>HYPERLINK("https://www.zillow.com/homes/7201-O-NEILL-RD-DOWNERS-GROVE-IL-60516_rb/","check listing")</f>
        <v>check listing</v>
      </c>
      <c r="AB1582" s="5" t="str">
        <f>HYPERLINK("https://propertylookup.dupagecounty.gov/Datalets/Datalet.aspx?UseSearch=no&amp;mode=sales&amp;pin=0930206030","sales record")</f>
        <v>sales record</v>
      </c>
      <c r="AC1582" t="s">
        <v>3</v>
      </c>
      <c r="AD1582">
        <v>41.757108</v>
      </c>
      <c r="AE1582">
        <v>-88.01436</v>
      </c>
      <c r="AF1582" s="5" t="str">
        <f>HYPERLINK("https://www.google.com/maps/search/?api=1&amp;query=41.757108,-88.01436","map")</f>
        <v>map</v>
      </c>
    </row>
    <row r="1583" spans="1:32">
      <c r="A1583" t="s">
        <v>1633</v>
      </c>
      <c r="B1583" t="s">
        <v>9193</v>
      </c>
      <c r="C1583" t="s">
        <v>15327</v>
      </c>
      <c r="D1583" t="s">
        <v>16199</v>
      </c>
      <c r="E1583" t="s">
        <v>16218</v>
      </c>
      <c r="F1583" t="s">
        <v>16221</v>
      </c>
      <c r="G1583" t="s">
        <v>16249</v>
      </c>
      <c r="H1583" t="s">
        <v>16249</v>
      </c>
      <c r="I1583" t="s">
        <v>16325</v>
      </c>
      <c r="J1583" t="s">
        <v>16385</v>
      </c>
      <c r="K1583">
        <v>0.248</v>
      </c>
      <c r="L1583">
        <v>10809</v>
      </c>
      <c r="M1583">
        <v>2039</v>
      </c>
      <c r="N1583" t="s">
        <v>16393</v>
      </c>
      <c r="O1583" s="4">
        <v>58651</v>
      </c>
      <c r="P1583" s="4">
        <v>129768</v>
      </c>
      <c r="Q1583" s="4">
        <v>188419</v>
      </c>
      <c r="R1583" s="4">
        <v>565257</v>
      </c>
      <c r="S1583" t="s">
        <v>17931</v>
      </c>
      <c r="T1583" s="6">
        <v>34731</v>
      </c>
      <c r="U1583" s="4">
        <v>193000</v>
      </c>
      <c r="X1583" t="s">
        <v>3</v>
      </c>
      <c r="AA1583" s="5" t="str">
        <f>HYPERLINK("https://www.zillow.com/homes/7255-DEXTER-RD-DOWNERS-GROVE-IL-605163708_rb/","check listing")</f>
        <v>check listing</v>
      </c>
      <c r="AB1583" s="5" t="str">
        <f>HYPERLINK("https://propertylookup.dupagecounty.gov/Datalets/Datalet.aspx?UseSearch=no&amp;mode=sales&amp;pin=0930204017","sales record")</f>
        <v>sales record</v>
      </c>
      <c r="AC1583" t="s">
        <v>3</v>
      </c>
      <c r="AD1583">
        <v>41.754908</v>
      </c>
      <c r="AE1583">
        <v>-88.01791900000001</v>
      </c>
      <c r="AF1583" s="5" t="str">
        <f>HYPERLINK("https://www.google.com/maps/search/?api=1&amp;query=41.754908,-88.017919","map")</f>
        <v>map</v>
      </c>
    </row>
    <row r="1584" spans="1:32">
      <c r="A1584" t="s">
        <v>1634</v>
      </c>
      <c r="B1584" t="s">
        <v>9194</v>
      </c>
      <c r="C1584" t="s">
        <v>15254</v>
      </c>
      <c r="D1584" t="s">
        <v>16199</v>
      </c>
      <c r="E1584" t="s">
        <v>16218</v>
      </c>
      <c r="F1584" t="s">
        <v>16221</v>
      </c>
      <c r="G1584" t="s">
        <v>16249</v>
      </c>
      <c r="H1584" t="s">
        <v>16249</v>
      </c>
      <c r="I1584" t="s">
        <v>16325</v>
      </c>
      <c r="J1584" t="s">
        <v>16385</v>
      </c>
      <c r="K1584">
        <v>0.247</v>
      </c>
      <c r="L1584">
        <v>10778</v>
      </c>
      <c r="M1584">
        <v>1783</v>
      </c>
      <c r="N1584" t="s">
        <v>16393</v>
      </c>
      <c r="O1584" s="4">
        <v>55236</v>
      </c>
      <c r="P1584" s="4">
        <v>126822</v>
      </c>
      <c r="Q1584" s="4">
        <v>182058</v>
      </c>
      <c r="R1584" s="4">
        <v>546174</v>
      </c>
      <c r="S1584" t="s">
        <v>17932</v>
      </c>
      <c r="T1584" s="6">
        <v>41852</v>
      </c>
      <c r="U1584" s="4">
        <v>350000</v>
      </c>
      <c r="V1584" t="s">
        <v>23739</v>
      </c>
      <c r="W1584" t="s">
        <v>24501</v>
      </c>
      <c r="X1584" t="s">
        <v>3</v>
      </c>
      <c r="AA1584" s="5" t="str">
        <f>HYPERLINK("https://www.zillow.com/homes/1417-WILLARD-PL-DOWNERS-GROVE-IL-60516_rb/","check listing")</f>
        <v>check listing</v>
      </c>
      <c r="AB1584" s="5" t="str">
        <f>HYPERLINK("https://propertylookup.dupagecounty.gov/Datalets/Datalet.aspx?UseSearch=no&amp;mode=sales&amp;pin=0930203045","sales record")</f>
        <v>sales record</v>
      </c>
      <c r="AC1584" t="s">
        <v>3</v>
      </c>
      <c r="AD1584">
        <v>41.755725</v>
      </c>
      <c r="AE1584">
        <v>-88.019462</v>
      </c>
      <c r="AF1584" s="5" t="str">
        <f>HYPERLINK("https://www.google.com/maps/search/?api=1&amp;query=41.755725,-88.019462","map")</f>
        <v>map</v>
      </c>
    </row>
    <row r="1585" spans="1:32">
      <c r="A1585" t="s">
        <v>1635</v>
      </c>
      <c r="B1585" t="s">
        <v>9195</v>
      </c>
      <c r="C1585" t="s">
        <v>15315</v>
      </c>
      <c r="D1585" t="s">
        <v>16199</v>
      </c>
      <c r="E1585" t="s">
        <v>16218</v>
      </c>
      <c r="F1585" t="s">
        <v>16221</v>
      </c>
      <c r="G1585" t="s">
        <v>16249</v>
      </c>
      <c r="H1585" t="s">
        <v>16249</v>
      </c>
      <c r="I1585" t="s">
        <v>16325</v>
      </c>
      <c r="J1585" t="s">
        <v>16385</v>
      </c>
      <c r="K1585">
        <v>0.246</v>
      </c>
      <c r="L1585">
        <v>10715</v>
      </c>
      <c r="M1585">
        <v>1843</v>
      </c>
      <c r="N1585" t="s">
        <v>16393</v>
      </c>
      <c r="O1585" s="4">
        <v>54955</v>
      </c>
      <c r="P1585" s="4">
        <v>107010</v>
      </c>
      <c r="Q1585" s="4">
        <v>161965</v>
      </c>
      <c r="R1585" s="4">
        <v>485895</v>
      </c>
      <c r="S1585" t="s">
        <v>17933</v>
      </c>
      <c r="T1585" s="6">
        <v>44440</v>
      </c>
      <c r="U1585" s="4">
        <v>445000</v>
      </c>
      <c r="V1585" t="s">
        <v>23740</v>
      </c>
      <c r="W1585" t="s">
        <v>17933</v>
      </c>
      <c r="X1585" t="s">
        <v>3</v>
      </c>
      <c r="AA1585" s="5" t="str">
        <f>HYPERLINK("https://www.zillow.com/homes/7323-SELIG-PL-DOWNERS-GROVE-IL-605163729_rb/","check listing")</f>
        <v>check listing</v>
      </c>
      <c r="AB1585" s="5" t="str">
        <f>HYPERLINK("https://propertylookup.dupagecounty.gov/Datalets/Datalet.aspx?UseSearch=no&amp;mode=sales&amp;pin=0930107021","sales record")</f>
        <v>sales record</v>
      </c>
      <c r="AC1585" t="s">
        <v>3</v>
      </c>
      <c r="AD1585">
        <v>41.753554</v>
      </c>
      <c r="AE1585">
        <v>-88.02409</v>
      </c>
      <c r="AF1585" s="5" t="str">
        <f>HYPERLINK("https://www.google.com/maps/search/?api=1&amp;query=41.753554,-88.02409","map")</f>
        <v>map</v>
      </c>
    </row>
    <row r="1586" spans="1:32">
      <c r="A1586" t="s">
        <v>1636</v>
      </c>
      <c r="B1586" t="s">
        <v>9196</v>
      </c>
      <c r="C1586" t="s">
        <v>15254</v>
      </c>
      <c r="D1586" t="s">
        <v>16199</v>
      </c>
      <c r="E1586" t="s">
        <v>16218</v>
      </c>
      <c r="F1586" t="s">
        <v>16221</v>
      </c>
      <c r="G1586" t="s">
        <v>16249</v>
      </c>
      <c r="H1586" t="s">
        <v>16249</v>
      </c>
      <c r="I1586" t="s">
        <v>16325</v>
      </c>
      <c r="J1586" t="s">
        <v>16385</v>
      </c>
      <c r="K1586">
        <v>0.245</v>
      </c>
      <c r="L1586">
        <v>10686</v>
      </c>
      <c r="M1586">
        <v>3304</v>
      </c>
      <c r="N1586" t="s">
        <v>16393</v>
      </c>
      <c r="O1586" s="4">
        <v>55706</v>
      </c>
      <c r="P1586" s="4">
        <v>141529</v>
      </c>
      <c r="Q1586" s="4">
        <v>197235</v>
      </c>
      <c r="R1586" s="4">
        <v>591705</v>
      </c>
      <c r="S1586" t="s">
        <v>17934</v>
      </c>
      <c r="T1586" s="6">
        <v>35886</v>
      </c>
      <c r="U1586" s="4">
        <v>223000</v>
      </c>
      <c r="X1586" t="s">
        <v>3</v>
      </c>
      <c r="AA1586" s="5" t="str">
        <f>HYPERLINK("https://www.zillow.com/homes/1408-WILLARD-PL-DOWNERS-GROVE-IL-60516_rb/","check listing")</f>
        <v>check listing</v>
      </c>
      <c r="AB1586" s="5" t="str">
        <f>HYPERLINK("https://propertylookup.dupagecounty.gov/Datalets/Datalet.aspx?UseSearch=no&amp;mode=sales&amp;pin=0930203040","sales record")</f>
        <v>sales record</v>
      </c>
      <c r="AC1586" t="s">
        <v>3</v>
      </c>
      <c r="AD1586">
        <v>41.756353</v>
      </c>
      <c r="AE1586">
        <v>-88.01955700000001</v>
      </c>
      <c r="AF1586" s="5" t="str">
        <f>HYPERLINK("https://www.google.com/maps/search/?api=1&amp;query=41.756353,-88.019557","map")</f>
        <v>map</v>
      </c>
    </row>
    <row r="1587" spans="1:32">
      <c r="A1587" t="s">
        <v>1637</v>
      </c>
      <c r="B1587" t="s">
        <v>9197</v>
      </c>
      <c r="C1587" t="s">
        <v>15254</v>
      </c>
      <c r="D1587" t="s">
        <v>16199</v>
      </c>
      <c r="E1587" t="s">
        <v>16218</v>
      </c>
      <c r="F1587" t="s">
        <v>16221</v>
      </c>
      <c r="G1587" t="s">
        <v>16249</v>
      </c>
      <c r="H1587" t="s">
        <v>16249</v>
      </c>
      <c r="I1587" t="s">
        <v>16325</v>
      </c>
      <c r="J1587" t="s">
        <v>16385</v>
      </c>
      <c r="K1587">
        <v>0.245</v>
      </c>
      <c r="L1587">
        <v>10681</v>
      </c>
      <c r="M1587">
        <v>1831</v>
      </c>
      <c r="N1587" t="s">
        <v>16393</v>
      </c>
      <c r="O1587" s="4">
        <v>56774</v>
      </c>
      <c r="P1587" s="4">
        <v>122561</v>
      </c>
      <c r="Q1587" s="4">
        <v>179335</v>
      </c>
      <c r="R1587" s="4">
        <v>538005</v>
      </c>
      <c r="S1587" t="s">
        <v>17935</v>
      </c>
      <c r="T1587" s="6">
        <v>31625</v>
      </c>
      <c r="U1587" s="4">
        <v>141262</v>
      </c>
      <c r="X1587" t="s">
        <v>3</v>
      </c>
      <c r="AA1587" s="5" t="str">
        <f>HYPERLINK("https://www.zillow.com/homes/7222-TICONDEROGA-PL-DOWNERS-GROVE-IL-60516_rb/","check listing")</f>
        <v>check listing</v>
      </c>
      <c r="AB1587" s="5" t="str">
        <f>HYPERLINK("https://propertylookup.dupagecounty.gov/Datalets/Datalet.aspx?UseSearch=no&amp;mode=sales&amp;pin=0930105032","sales record")</f>
        <v>sales record</v>
      </c>
      <c r="AC1587" t="s">
        <v>3</v>
      </c>
      <c r="AD1587">
        <v>41.755211</v>
      </c>
      <c r="AE1587">
        <v>-88.023849</v>
      </c>
      <c r="AF1587" s="5" t="str">
        <f>HYPERLINK("https://www.google.com/maps/search/?api=1&amp;query=41.755211,-88.023849","map")</f>
        <v>map</v>
      </c>
    </row>
    <row r="1588" spans="1:32">
      <c r="A1588" t="s">
        <v>1638</v>
      </c>
      <c r="B1588" t="s">
        <v>9198</v>
      </c>
      <c r="C1588" t="s">
        <v>15326</v>
      </c>
      <c r="D1588" t="s">
        <v>16199</v>
      </c>
      <c r="E1588" t="s">
        <v>16218</v>
      </c>
      <c r="F1588" t="s">
        <v>16221</v>
      </c>
      <c r="G1588" t="s">
        <v>16249</v>
      </c>
      <c r="H1588" t="s">
        <v>16249</v>
      </c>
      <c r="I1588" t="s">
        <v>16325</v>
      </c>
      <c r="J1588" t="s">
        <v>16385</v>
      </c>
      <c r="K1588">
        <v>0.243</v>
      </c>
      <c r="L1588">
        <v>10586</v>
      </c>
      <c r="M1588">
        <v>1709</v>
      </c>
      <c r="N1588" t="s">
        <v>16393</v>
      </c>
      <c r="O1588" s="4">
        <v>51938</v>
      </c>
      <c r="P1588" s="4">
        <v>119146</v>
      </c>
      <c r="Q1588" s="4">
        <v>171084</v>
      </c>
      <c r="R1588" s="4">
        <v>513252</v>
      </c>
      <c r="S1588" t="s">
        <v>17936</v>
      </c>
      <c r="T1588" s="6">
        <v>44166</v>
      </c>
      <c r="U1588" s="4">
        <v>430000</v>
      </c>
      <c r="V1588" t="s">
        <v>23739</v>
      </c>
      <c r="W1588" t="s">
        <v>24502</v>
      </c>
      <c r="X1588" t="s">
        <v>3</v>
      </c>
      <c r="AA1588" s="5" t="str">
        <f>HYPERLINK("https://www.zillow.com/homes/1424-WILLARD-PL-DOWNERS-GROVE-IL-605163701_rb/","check listing")</f>
        <v>check listing</v>
      </c>
      <c r="AB1588" s="5" t="str">
        <f>HYPERLINK("https://propertylookup.dupagecounty.gov/Datalets/Datalet.aspx?UseSearch=no&amp;mode=sales&amp;pin=0930203042","sales record")</f>
        <v>sales record</v>
      </c>
      <c r="AC1588" t="s">
        <v>3</v>
      </c>
      <c r="AD1588">
        <v>41.75626</v>
      </c>
      <c r="AE1588">
        <v>-88.020099</v>
      </c>
      <c r="AF1588" s="5" t="str">
        <f>HYPERLINK("https://www.google.com/maps/search/?api=1&amp;query=41.75626,-88.020099","map")</f>
        <v>map</v>
      </c>
    </row>
    <row r="1589" spans="1:32">
      <c r="A1589" t="s">
        <v>1639</v>
      </c>
      <c r="B1589" t="s">
        <v>9199</v>
      </c>
      <c r="C1589" t="s">
        <v>15254</v>
      </c>
      <c r="D1589" t="s">
        <v>16199</v>
      </c>
      <c r="E1589" t="s">
        <v>16218</v>
      </c>
      <c r="F1589" t="s">
        <v>16221</v>
      </c>
      <c r="G1589" t="s">
        <v>16249</v>
      </c>
      <c r="H1589" t="s">
        <v>16249</v>
      </c>
      <c r="I1589" t="s">
        <v>16325</v>
      </c>
      <c r="J1589" t="s">
        <v>16385</v>
      </c>
      <c r="K1589">
        <v>0.243</v>
      </c>
      <c r="L1589">
        <v>10578</v>
      </c>
      <c r="M1589">
        <v>3150</v>
      </c>
      <c r="N1589" t="s">
        <v>16393</v>
      </c>
      <c r="O1589" s="4">
        <v>61304</v>
      </c>
      <c r="P1589" s="4">
        <v>122620</v>
      </c>
      <c r="Q1589" s="4">
        <v>183924</v>
      </c>
      <c r="R1589" s="4">
        <v>551772</v>
      </c>
      <c r="S1589" t="s">
        <v>17937</v>
      </c>
      <c r="T1589" s="6">
        <v>43344</v>
      </c>
      <c r="U1589" s="4">
        <v>330000</v>
      </c>
      <c r="V1589" t="s">
        <v>23739</v>
      </c>
      <c r="W1589" t="s">
        <v>24503</v>
      </c>
      <c r="X1589" t="s">
        <v>3</v>
      </c>
      <c r="AA1589" s="5" t="str">
        <f>HYPERLINK("https://www.zillow.com/homes/7101-TERRACE-DR-DOWNERS-GROVE-IL-60516_rb/","check listing")</f>
        <v>check listing</v>
      </c>
      <c r="AB1589" s="5" t="str">
        <f>HYPERLINK("https://propertylookup.dupagecounty.gov/Datalets/Datalet.aspx?UseSearch=no&amp;mode=sales&amp;pin=0919418019","sales record")</f>
        <v>sales record</v>
      </c>
      <c r="AC1589" t="s">
        <v>3</v>
      </c>
      <c r="AD1589">
        <v>41.759326</v>
      </c>
      <c r="AE1589">
        <v>-88.01809</v>
      </c>
      <c r="AF1589" s="5" t="str">
        <f>HYPERLINK("https://www.google.com/maps/search/?api=1&amp;query=41.759326,-88.01809","map")</f>
        <v>map</v>
      </c>
    </row>
    <row r="1590" spans="1:32">
      <c r="A1590" t="s">
        <v>1640</v>
      </c>
      <c r="B1590" t="s">
        <v>9200</v>
      </c>
      <c r="C1590" t="s">
        <v>15254</v>
      </c>
      <c r="D1590" t="s">
        <v>16199</v>
      </c>
      <c r="E1590" t="s">
        <v>16218</v>
      </c>
      <c r="F1590" t="s">
        <v>16221</v>
      </c>
      <c r="G1590" t="s">
        <v>16249</v>
      </c>
      <c r="H1590" t="s">
        <v>16249</v>
      </c>
      <c r="I1590" t="s">
        <v>16325</v>
      </c>
      <c r="J1590" t="s">
        <v>16385</v>
      </c>
      <c r="K1590">
        <v>0.242</v>
      </c>
      <c r="L1590">
        <v>10558</v>
      </c>
      <c r="M1590">
        <v>1679</v>
      </c>
      <c r="N1590" t="s">
        <v>16393</v>
      </c>
      <c r="O1590" s="4">
        <v>63922</v>
      </c>
      <c r="P1590" s="4">
        <v>107209</v>
      </c>
      <c r="Q1590" s="4">
        <v>171131</v>
      </c>
      <c r="R1590" s="4">
        <v>513393</v>
      </c>
      <c r="S1590" t="s">
        <v>17938</v>
      </c>
      <c r="T1590" s="6">
        <v>35339</v>
      </c>
      <c r="U1590" s="4">
        <v>210000</v>
      </c>
      <c r="X1590" t="s">
        <v>3</v>
      </c>
      <c r="AA1590" s="5" t="str">
        <f>HYPERLINK("https://www.zillow.com/homes/7231-CAMDEN-RD-DOWNERS-GROVE-IL-60516_rb/","check listing")</f>
        <v>check listing</v>
      </c>
      <c r="AB1590" s="5" t="str">
        <f>HYPERLINK("https://propertylookup.dupagecounty.gov/Datalets/Datalet.aspx?UseSearch=no&amp;mode=sales&amp;pin=0930105029","sales record")</f>
        <v>sales record</v>
      </c>
      <c r="AC1590" t="s">
        <v>3</v>
      </c>
      <c r="AD1590">
        <v>41.754568</v>
      </c>
      <c r="AE1590">
        <v>-88.024097</v>
      </c>
      <c r="AF1590" s="5" t="str">
        <f>HYPERLINK("https://www.google.com/maps/search/?api=1&amp;query=41.754568,-88.024097","map")</f>
        <v>map</v>
      </c>
    </row>
    <row r="1591" spans="1:32">
      <c r="A1591" t="s">
        <v>1641</v>
      </c>
      <c r="B1591" t="s">
        <v>9201</v>
      </c>
      <c r="C1591" t="s">
        <v>15254</v>
      </c>
      <c r="D1591" t="s">
        <v>16199</v>
      </c>
      <c r="E1591" t="s">
        <v>16218</v>
      </c>
      <c r="F1591" t="s">
        <v>16221</v>
      </c>
      <c r="G1591" t="s">
        <v>16249</v>
      </c>
      <c r="H1591" t="s">
        <v>16249</v>
      </c>
      <c r="I1591" t="s">
        <v>16325</v>
      </c>
      <c r="J1591" t="s">
        <v>16385</v>
      </c>
      <c r="K1591">
        <v>0.242</v>
      </c>
      <c r="L1591">
        <v>10532</v>
      </c>
      <c r="M1591">
        <v>1885</v>
      </c>
      <c r="N1591" t="s">
        <v>16393</v>
      </c>
      <c r="O1591" s="4">
        <v>73476</v>
      </c>
      <c r="P1591" s="4">
        <v>173878</v>
      </c>
      <c r="Q1591" s="4">
        <v>247354</v>
      </c>
      <c r="R1591" s="4">
        <v>742062</v>
      </c>
      <c r="S1591" t="s">
        <v>17939</v>
      </c>
      <c r="T1591" s="6">
        <v>37500</v>
      </c>
      <c r="U1591" s="4">
        <v>421260</v>
      </c>
      <c r="V1591" t="s">
        <v>23739</v>
      </c>
      <c r="W1591" t="s">
        <v>17939</v>
      </c>
      <c r="X1591" t="s">
        <v>3</v>
      </c>
      <c r="AA1591" s="5" t="str">
        <f>HYPERLINK("https://www.zillow.com/homes/7109-DUNHAM-RD-DOWNERS-GROVE-IL-60516_rb/","check listing")</f>
        <v>check listing</v>
      </c>
      <c r="AB1591" s="5" t="str">
        <f>HYPERLINK("https://propertylookup.dupagecounty.gov/Datalets/Datalet.aspx?UseSearch=no&amp;mode=sales&amp;pin=0929116010","sales record")</f>
        <v>sales record</v>
      </c>
      <c r="AC1591" t="s">
        <v>3</v>
      </c>
      <c r="AD1591">
        <v>41.757782</v>
      </c>
      <c r="AE1591">
        <v>-88.01262199999999</v>
      </c>
      <c r="AF1591" s="5" t="str">
        <f>HYPERLINK("https://www.google.com/maps/search/?api=1&amp;query=41.757782,-88.012622","map")</f>
        <v>map</v>
      </c>
    </row>
    <row r="1592" spans="1:32">
      <c r="A1592" t="s">
        <v>1642</v>
      </c>
      <c r="B1592" t="s">
        <v>9202</v>
      </c>
      <c r="C1592" t="s">
        <v>15254</v>
      </c>
      <c r="D1592" t="s">
        <v>16199</v>
      </c>
      <c r="E1592" t="s">
        <v>16218</v>
      </c>
      <c r="F1592" t="s">
        <v>16221</v>
      </c>
      <c r="G1592" t="s">
        <v>16249</v>
      </c>
      <c r="H1592" t="s">
        <v>16249</v>
      </c>
      <c r="I1592" t="s">
        <v>16325</v>
      </c>
      <c r="J1592" t="s">
        <v>16385</v>
      </c>
      <c r="K1592">
        <v>0.241</v>
      </c>
      <c r="L1592">
        <v>10512</v>
      </c>
      <c r="M1592">
        <v>1839</v>
      </c>
      <c r="N1592" t="s">
        <v>16393</v>
      </c>
      <c r="O1592" s="4">
        <v>61480</v>
      </c>
      <c r="P1592" s="4">
        <v>108101</v>
      </c>
      <c r="Q1592" s="4">
        <v>169581</v>
      </c>
      <c r="R1592" s="4">
        <v>508743</v>
      </c>
      <c r="S1592" t="s">
        <v>17940</v>
      </c>
      <c r="T1592" s="6">
        <v>31717</v>
      </c>
      <c r="U1592" s="4">
        <v>119139</v>
      </c>
      <c r="X1592" t="s">
        <v>3</v>
      </c>
      <c r="AA1592" s="5" t="str">
        <f>HYPERLINK("https://www.zillow.com/homes/1713-HALL-PL-DOWNERS-GROVE-IL-60516_rb/","check listing")</f>
        <v>check listing</v>
      </c>
      <c r="AB1592" s="5" t="str">
        <f>HYPERLINK("https://propertylookup.dupagecounty.gov/Datalets/Datalet.aspx?UseSearch=no&amp;mode=sales&amp;pin=0930103047","sales record")</f>
        <v>sales record</v>
      </c>
      <c r="AC1592" t="s">
        <v>3</v>
      </c>
      <c r="AD1592">
        <v>41.752141</v>
      </c>
      <c r="AE1592">
        <v>-88.025873</v>
      </c>
      <c r="AF1592" s="5" t="str">
        <f>HYPERLINK("https://www.google.com/maps/search/?api=1&amp;query=41.752141,-88.025873","map")</f>
        <v>map</v>
      </c>
    </row>
    <row r="1593" spans="1:32">
      <c r="A1593" t="s">
        <v>1643</v>
      </c>
      <c r="B1593" t="s">
        <v>9203</v>
      </c>
      <c r="C1593" t="s">
        <v>15254</v>
      </c>
      <c r="D1593" t="s">
        <v>16199</v>
      </c>
      <c r="E1593" t="s">
        <v>16218</v>
      </c>
      <c r="F1593" t="s">
        <v>16221</v>
      </c>
      <c r="G1593" t="s">
        <v>16249</v>
      </c>
      <c r="H1593" t="s">
        <v>16249</v>
      </c>
      <c r="I1593" t="s">
        <v>16325</v>
      </c>
      <c r="J1593" t="s">
        <v>16385</v>
      </c>
      <c r="K1593">
        <v>0.241</v>
      </c>
      <c r="L1593">
        <v>10483</v>
      </c>
      <c r="M1593">
        <v>1830</v>
      </c>
      <c r="N1593" t="s">
        <v>16393</v>
      </c>
      <c r="O1593" s="4">
        <v>65811</v>
      </c>
      <c r="P1593" s="4">
        <v>110730</v>
      </c>
      <c r="Q1593" s="4">
        <v>176541</v>
      </c>
      <c r="R1593" s="4">
        <v>529623</v>
      </c>
      <c r="S1593" t="s">
        <v>17941</v>
      </c>
      <c r="T1593" s="6">
        <v>39600</v>
      </c>
      <c r="U1593" s="4">
        <v>396000</v>
      </c>
      <c r="V1593" t="s">
        <v>23739</v>
      </c>
      <c r="W1593" t="s">
        <v>24504</v>
      </c>
      <c r="X1593" t="s">
        <v>3</v>
      </c>
      <c r="AA1593" s="5" t="str">
        <f>HYPERLINK("https://www.zillow.com/homes/7164-SPRINGSIDE-AVE-DOWNERS-GROVE-IL-60516_rb/","check listing")</f>
        <v>check listing</v>
      </c>
      <c r="AB1593" s="5" t="str">
        <f>HYPERLINK("https://propertylookup.dupagecounty.gov/Datalets/Datalet.aspx?UseSearch=no&amp;mode=sales&amp;pin=0930202006","sales record")</f>
        <v>sales record</v>
      </c>
      <c r="AC1593" t="s">
        <v>3</v>
      </c>
      <c r="AD1593">
        <v>41.757293</v>
      </c>
      <c r="AE1593">
        <v>-88.02127900000001</v>
      </c>
      <c r="AF1593" s="5" t="str">
        <f>HYPERLINK("https://www.google.com/maps/search/?api=1&amp;query=41.757293,-88.021279","map")</f>
        <v>map</v>
      </c>
    </row>
    <row r="1594" spans="1:32">
      <c r="A1594" t="s">
        <v>1644</v>
      </c>
      <c r="B1594" t="s">
        <v>9204</v>
      </c>
      <c r="C1594" t="s">
        <v>15254</v>
      </c>
      <c r="D1594" t="s">
        <v>16199</v>
      </c>
      <c r="E1594" t="s">
        <v>16218</v>
      </c>
      <c r="F1594" t="s">
        <v>16221</v>
      </c>
      <c r="G1594" t="s">
        <v>16249</v>
      </c>
      <c r="H1594" t="s">
        <v>16249</v>
      </c>
      <c r="I1594" t="s">
        <v>16325</v>
      </c>
      <c r="J1594" t="s">
        <v>16385</v>
      </c>
      <c r="K1594">
        <v>0.24</v>
      </c>
      <c r="L1594">
        <v>10475</v>
      </c>
      <c r="M1594">
        <v>2379</v>
      </c>
      <c r="N1594" t="s">
        <v>16393</v>
      </c>
      <c r="O1594" s="4">
        <v>59391</v>
      </c>
      <c r="P1594" s="4">
        <v>117632</v>
      </c>
      <c r="Q1594" s="4">
        <v>177023</v>
      </c>
      <c r="R1594" s="4">
        <v>531069</v>
      </c>
      <c r="S1594" t="s">
        <v>17942</v>
      </c>
      <c r="T1594" s="6">
        <v>35217</v>
      </c>
      <c r="U1594" s="4">
        <v>219900</v>
      </c>
      <c r="X1594" t="s">
        <v>3</v>
      </c>
      <c r="AA1594" s="5" t="str">
        <f>HYPERLINK("https://www.zillow.com/homes/7109-DEXTER-RD-DOWNERS-GROVE-IL-60516_rb/","check listing")</f>
        <v>check listing</v>
      </c>
      <c r="AB1594" s="5" t="str">
        <f>HYPERLINK("https://propertylookup.dupagecounty.gov/Datalets/Datalet.aspx?UseSearch=no&amp;mode=sales&amp;pin=0919418022","sales record")</f>
        <v>sales record</v>
      </c>
      <c r="AC1594" t="s">
        <v>3</v>
      </c>
      <c r="AD1594">
        <v>41.758757</v>
      </c>
      <c r="AE1594">
        <v>-88.020533</v>
      </c>
      <c r="AF1594" s="5" t="str">
        <f>HYPERLINK("https://www.google.com/maps/search/?api=1&amp;query=41.758757,-88.020533","map")</f>
        <v>map</v>
      </c>
    </row>
    <row r="1595" spans="1:32">
      <c r="A1595" t="s">
        <v>1645</v>
      </c>
      <c r="B1595" t="s">
        <v>9205</v>
      </c>
      <c r="C1595" t="s">
        <v>15254</v>
      </c>
      <c r="D1595" t="s">
        <v>16199</v>
      </c>
      <c r="E1595" t="s">
        <v>16218</v>
      </c>
      <c r="F1595" t="s">
        <v>16221</v>
      </c>
      <c r="G1595" t="s">
        <v>16249</v>
      </c>
      <c r="H1595" t="s">
        <v>16249</v>
      </c>
      <c r="I1595" t="s">
        <v>16325</v>
      </c>
      <c r="J1595" t="s">
        <v>16385</v>
      </c>
      <c r="K1595">
        <v>0.24</v>
      </c>
      <c r="L1595">
        <v>10474</v>
      </c>
      <c r="M1595">
        <v>2290</v>
      </c>
      <c r="N1595" t="s">
        <v>16393</v>
      </c>
      <c r="O1595" s="4">
        <v>50881</v>
      </c>
      <c r="P1595" s="4">
        <v>105589</v>
      </c>
      <c r="Q1595" s="4">
        <v>156470</v>
      </c>
      <c r="R1595" s="4">
        <v>469410</v>
      </c>
      <c r="S1595" t="s">
        <v>17943</v>
      </c>
      <c r="T1595" s="6">
        <v>44980</v>
      </c>
      <c r="U1595" s="4">
        <v>460000</v>
      </c>
      <c r="V1595" t="s">
        <v>23739</v>
      </c>
      <c r="W1595" t="s">
        <v>24505</v>
      </c>
      <c r="X1595" t="s">
        <v>3</v>
      </c>
      <c r="AA1595" s="5" t="str">
        <f>HYPERLINK("https://www.zillow.com/homes/7209-KELLY-PL-DOWNERS-GROVE-IL-60516_rb/","check listing")</f>
        <v>check listing</v>
      </c>
      <c r="AB1595" s="5" t="str">
        <f>HYPERLINK("https://propertylookup.dupagecounty.gov/Datalets/Datalet.aspx?UseSearch=no&amp;mode=sales&amp;pin=0930203026","sales record")</f>
        <v>sales record</v>
      </c>
      <c r="AC1595" t="s">
        <v>3</v>
      </c>
      <c r="AD1595">
        <v>41.756449</v>
      </c>
      <c r="AE1595">
        <v>-88.020532</v>
      </c>
      <c r="AF1595" s="5" t="str">
        <f>HYPERLINK("https://www.google.com/maps/search/?api=1&amp;query=41.756449,-88.020532","map")</f>
        <v>map</v>
      </c>
    </row>
    <row r="1596" spans="1:32">
      <c r="A1596" t="s">
        <v>1646</v>
      </c>
      <c r="B1596" t="s">
        <v>9206</v>
      </c>
      <c r="C1596" t="s">
        <v>15254</v>
      </c>
      <c r="D1596" t="s">
        <v>16199</v>
      </c>
      <c r="E1596" t="s">
        <v>16218</v>
      </c>
      <c r="F1596" t="s">
        <v>16221</v>
      </c>
      <c r="G1596" t="s">
        <v>16249</v>
      </c>
      <c r="H1596" t="s">
        <v>16249</v>
      </c>
      <c r="I1596" t="s">
        <v>16325</v>
      </c>
      <c r="J1596" t="s">
        <v>16385</v>
      </c>
      <c r="K1596">
        <v>0.24</v>
      </c>
      <c r="L1596">
        <v>10459</v>
      </c>
      <c r="M1596">
        <v>1772</v>
      </c>
      <c r="N1596" t="s">
        <v>16393</v>
      </c>
      <c r="O1596" s="4">
        <v>54192</v>
      </c>
      <c r="P1596" s="4">
        <v>120801</v>
      </c>
      <c r="Q1596" s="4">
        <v>174993</v>
      </c>
      <c r="R1596" s="4">
        <v>524979</v>
      </c>
      <c r="S1596" t="s">
        <v>17944</v>
      </c>
      <c r="T1596" s="6">
        <v>34151</v>
      </c>
      <c r="U1596" s="4">
        <v>195000</v>
      </c>
      <c r="X1596" t="s">
        <v>3</v>
      </c>
      <c r="AA1596" s="5" t="str">
        <f>HYPERLINK("https://www.zillow.com/homes/1727-BORMAN-PL-DOWNERS-GROVE-IL-60516_rb/","check listing")</f>
        <v>check listing</v>
      </c>
      <c r="AB1596" s="5" t="str">
        <f>HYPERLINK("https://propertylookup.dupagecounty.gov/Datalets/Datalet.aspx?UseSearch=no&amp;mode=sales&amp;pin=0930103055","sales record")</f>
        <v>sales record</v>
      </c>
      <c r="AC1596" t="s">
        <v>3</v>
      </c>
      <c r="AD1596">
        <v>41.751279</v>
      </c>
      <c r="AE1596">
        <v>-88.02672</v>
      </c>
      <c r="AF1596" s="5" t="str">
        <f>HYPERLINK("https://www.google.com/maps/search/?api=1&amp;query=41.751279,-88.02672","map")</f>
        <v>map</v>
      </c>
    </row>
    <row r="1597" spans="1:32">
      <c r="A1597" t="s">
        <v>1647</v>
      </c>
      <c r="B1597" t="s">
        <v>9207</v>
      </c>
      <c r="C1597" t="s">
        <v>15254</v>
      </c>
      <c r="D1597" t="s">
        <v>16199</v>
      </c>
      <c r="E1597" t="s">
        <v>16218</v>
      </c>
      <c r="F1597" t="s">
        <v>16221</v>
      </c>
      <c r="G1597" t="s">
        <v>16249</v>
      </c>
      <c r="H1597" t="s">
        <v>16249</v>
      </c>
      <c r="I1597" t="s">
        <v>16325</v>
      </c>
      <c r="J1597" t="s">
        <v>16385</v>
      </c>
      <c r="K1597">
        <v>0.238</v>
      </c>
      <c r="L1597">
        <v>10387</v>
      </c>
      <c r="M1597">
        <v>2386</v>
      </c>
      <c r="N1597" t="s">
        <v>16393</v>
      </c>
      <c r="O1597" s="4">
        <v>53417</v>
      </c>
      <c r="P1597" s="4">
        <v>121048</v>
      </c>
      <c r="Q1597" s="4">
        <v>174465</v>
      </c>
      <c r="R1597" s="4">
        <v>523395</v>
      </c>
      <c r="S1597" t="s">
        <v>17945</v>
      </c>
      <c r="T1597" s="6">
        <v>30498</v>
      </c>
      <c r="U1597" s="4">
        <v>129064</v>
      </c>
      <c r="X1597" t="s">
        <v>3</v>
      </c>
      <c r="AA1597" s="5" t="str">
        <f>HYPERLINK("https://www.zillow.com/homes/7120-TERRACE-CT-DOWNERS-GROVE-IL-60516_rb/","check listing")</f>
        <v>check listing</v>
      </c>
      <c r="AB1597" s="5" t="str">
        <f>HYPERLINK("https://propertylookup.dupagecounty.gov/Datalets/Datalet.aspx?UseSearch=no&amp;mode=sales&amp;pin=0919418016","sales record")</f>
        <v>sales record</v>
      </c>
      <c r="AC1597" t="s">
        <v>3</v>
      </c>
      <c r="AD1597">
        <v>41.758936</v>
      </c>
      <c r="AE1597">
        <v>-88.018647</v>
      </c>
      <c r="AF1597" s="5" t="str">
        <f>HYPERLINK("https://www.google.com/maps/search/?api=1&amp;query=41.758936,-88.018647","map")</f>
        <v>map</v>
      </c>
    </row>
    <row r="1598" spans="1:32">
      <c r="A1598" t="s">
        <v>1648</v>
      </c>
      <c r="B1598" t="s">
        <v>9208</v>
      </c>
      <c r="C1598" t="s">
        <v>15254</v>
      </c>
      <c r="D1598" t="s">
        <v>16199</v>
      </c>
      <c r="E1598" t="s">
        <v>16218</v>
      </c>
      <c r="F1598" t="s">
        <v>16221</v>
      </c>
      <c r="G1598" t="s">
        <v>16249</v>
      </c>
      <c r="H1598" t="s">
        <v>16249</v>
      </c>
      <c r="I1598" t="s">
        <v>16325</v>
      </c>
      <c r="J1598" t="s">
        <v>16385</v>
      </c>
      <c r="K1598">
        <v>0.238</v>
      </c>
      <c r="L1598">
        <v>10385</v>
      </c>
      <c r="M1598">
        <v>1586</v>
      </c>
      <c r="N1598" t="s">
        <v>16393</v>
      </c>
      <c r="O1598" s="4">
        <v>49308</v>
      </c>
      <c r="P1598" s="4">
        <v>87467</v>
      </c>
      <c r="Q1598" s="4">
        <v>136775</v>
      </c>
      <c r="R1598" s="4">
        <v>410325</v>
      </c>
      <c r="S1598" t="s">
        <v>17946</v>
      </c>
      <c r="T1598" s="6">
        <v>32660</v>
      </c>
      <c r="U1598" s="4">
        <v>153000</v>
      </c>
      <c r="X1598" t="s">
        <v>3</v>
      </c>
      <c r="AA1598" s="5" t="str">
        <f>HYPERLINK("https://www.zillow.com/homes/7121-TERRACE-DR-DOWNERS-GROVE-IL-60516_rb/","check listing")</f>
        <v>check listing</v>
      </c>
      <c r="AB1598" s="5" t="str">
        <f>HYPERLINK("https://propertylookup.dupagecounty.gov/Datalets/Datalet.aspx?UseSearch=no&amp;mode=sales&amp;pin=0919418017","sales record")</f>
        <v>sales record</v>
      </c>
      <c r="AC1598" t="s">
        <v>3</v>
      </c>
      <c r="AD1598">
        <v>41.758947</v>
      </c>
      <c r="AE1598">
        <v>-88.018304</v>
      </c>
      <c r="AF1598" s="5" t="str">
        <f>HYPERLINK("https://www.google.com/maps/search/?api=1&amp;query=41.758947,-88.018304","map")</f>
        <v>map</v>
      </c>
    </row>
    <row r="1599" spans="1:32">
      <c r="A1599" t="s">
        <v>1649</v>
      </c>
      <c r="B1599" t="s">
        <v>9209</v>
      </c>
      <c r="C1599" t="s">
        <v>15277</v>
      </c>
      <c r="D1599" t="s">
        <v>16199</v>
      </c>
      <c r="E1599" t="s">
        <v>16218</v>
      </c>
      <c r="F1599" t="s">
        <v>16221</v>
      </c>
      <c r="G1599" t="s">
        <v>16250</v>
      </c>
      <c r="H1599" t="s">
        <v>16250</v>
      </c>
      <c r="I1599" t="s">
        <v>16326</v>
      </c>
      <c r="J1599" t="s">
        <v>16385</v>
      </c>
      <c r="K1599">
        <v>0.238</v>
      </c>
      <c r="L1599">
        <v>10353</v>
      </c>
      <c r="M1599">
        <v>743</v>
      </c>
      <c r="N1599" t="s">
        <v>16393</v>
      </c>
      <c r="O1599" s="4">
        <v>81023</v>
      </c>
      <c r="P1599" s="4">
        <v>81856</v>
      </c>
      <c r="Q1599" s="4">
        <v>162879</v>
      </c>
      <c r="R1599" s="4">
        <v>488637</v>
      </c>
      <c r="S1599" t="s">
        <v>17947</v>
      </c>
      <c r="T1599" s="6">
        <v>31472</v>
      </c>
      <c r="U1599" s="4">
        <v>74500</v>
      </c>
      <c r="X1599" t="s">
        <v>3</v>
      </c>
      <c r="AA1599" s="5" t="str">
        <f>HYPERLINK("https://www.zillow.com/homes/617-MAPLE-AVE-DOWNERS-GROVE-IL-60515_rb/","check listing")</f>
        <v>check listing</v>
      </c>
      <c r="AB1599" s="5" t="str">
        <f>HYPERLINK("https://propertylookup.dupagecounty.gov/Datalets/Datalet.aspx?UseSearch=no&amp;mode=sales&amp;pin=0908405002","sales record")</f>
        <v>sales record</v>
      </c>
      <c r="AC1599" t="s">
        <v>3</v>
      </c>
      <c r="AD1599">
        <v>41.794636</v>
      </c>
      <c r="AE1599">
        <v>-87.999942</v>
      </c>
      <c r="AF1599" s="5" t="str">
        <f>HYPERLINK("https://www.google.com/maps/search/?api=1&amp;query=41.794636,-87.999942","map")</f>
        <v>map</v>
      </c>
    </row>
    <row r="1600" spans="1:32">
      <c r="A1600" t="s">
        <v>1650</v>
      </c>
      <c r="B1600" t="s">
        <v>9210</v>
      </c>
      <c r="C1600" t="s">
        <v>15328</v>
      </c>
      <c r="D1600" t="s">
        <v>16199</v>
      </c>
      <c r="E1600" t="s">
        <v>16218</v>
      </c>
      <c r="F1600" t="s">
        <v>16221</v>
      </c>
      <c r="G1600" t="s">
        <v>16249</v>
      </c>
      <c r="H1600" t="s">
        <v>16249</v>
      </c>
      <c r="I1600" t="s">
        <v>16325</v>
      </c>
      <c r="J1600" t="s">
        <v>16385</v>
      </c>
      <c r="K1600">
        <v>0.238</v>
      </c>
      <c r="L1600">
        <v>10351</v>
      </c>
      <c r="M1600">
        <v>2411</v>
      </c>
      <c r="N1600" t="s">
        <v>16393</v>
      </c>
      <c r="O1600" s="4">
        <v>57349</v>
      </c>
      <c r="P1600" s="4">
        <v>115966</v>
      </c>
      <c r="Q1600" s="4">
        <v>173315</v>
      </c>
      <c r="R1600" s="4">
        <v>519945</v>
      </c>
      <c r="S1600" t="s">
        <v>17948</v>
      </c>
      <c r="T1600" s="6">
        <v>31837</v>
      </c>
      <c r="U1600" s="4">
        <v>142500</v>
      </c>
      <c r="X1600" t="s">
        <v>3</v>
      </c>
      <c r="AA1600" s="5" t="str">
        <f>HYPERLINK("https://www.zillow.com/homes/1401-RICHARDS-AVE-DOWNERS-GROVE-IL-605163705_rb/","check listing")</f>
        <v>check listing</v>
      </c>
      <c r="AB1600" s="5" t="str">
        <f>HYPERLINK("https://propertylookup.dupagecounty.gov/Datalets/Datalet.aspx?UseSearch=no&amp;mode=sales&amp;pin=0930202033","sales record")</f>
        <v>sales record</v>
      </c>
      <c r="AC1600" t="s">
        <v>3</v>
      </c>
      <c r="AD1600">
        <v>41.75493</v>
      </c>
      <c r="AE1600">
        <v>-88.018546</v>
      </c>
      <c r="AF1600" s="5" t="str">
        <f>HYPERLINK("https://www.google.com/maps/search/?api=1&amp;query=41.75493,-88.018546","map")</f>
        <v>map</v>
      </c>
    </row>
    <row r="1601" spans="1:32">
      <c r="A1601" t="s">
        <v>1651</v>
      </c>
      <c r="B1601" t="s">
        <v>9211</v>
      </c>
      <c r="C1601" t="s">
        <v>15254</v>
      </c>
      <c r="D1601" t="s">
        <v>16199</v>
      </c>
      <c r="E1601" t="s">
        <v>16218</v>
      </c>
      <c r="F1601" t="s">
        <v>16221</v>
      </c>
      <c r="G1601" t="s">
        <v>16249</v>
      </c>
      <c r="H1601" t="s">
        <v>16249</v>
      </c>
      <c r="I1601" t="s">
        <v>16325</v>
      </c>
      <c r="J1601" t="s">
        <v>16385</v>
      </c>
      <c r="K1601">
        <v>0.237</v>
      </c>
      <c r="L1601">
        <v>10309</v>
      </c>
      <c r="M1601">
        <v>2591</v>
      </c>
      <c r="N1601" t="s">
        <v>16393</v>
      </c>
      <c r="O1601" s="4">
        <v>63711</v>
      </c>
      <c r="P1601" s="4">
        <v>110954</v>
      </c>
      <c r="Q1601" s="4">
        <v>174665</v>
      </c>
      <c r="R1601" s="4">
        <v>523995</v>
      </c>
      <c r="S1601" t="s">
        <v>17949</v>
      </c>
      <c r="T1601" s="6">
        <v>36373</v>
      </c>
      <c r="U1601" s="4">
        <v>253000</v>
      </c>
      <c r="X1601" t="s">
        <v>3</v>
      </c>
      <c r="AA1601" s="5" t="str">
        <f>HYPERLINK("https://www.zillow.com/homes/7105-KIDWELL-RD-DOWNERS-GROVE-IL-60516_rb/","check listing")</f>
        <v>check listing</v>
      </c>
      <c r="AB1601" s="5" t="str">
        <f>HYPERLINK("https://propertylookup.dupagecounty.gov/Datalets/Datalet.aspx?UseSearch=no&amp;mode=sales&amp;pin=0930209005","sales record")</f>
        <v>sales record</v>
      </c>
      <c r="AC1601" t="s">
        <v>3</v>
      </c>
      <c r="AD1601">
        <v>41.757933</v>
      </c>
      <c r="AE1601">
        <v>-88.013307</v>
      </c>
      <c r="AF1601" s="5" t="str">
        <f>HYPERLINK("https://www.google.com/maps/search/?api=1&amp;query=41.757933,-88.013307","map")</f>
        <v>map</v>
      </c>
    </row>
    <row r="1602" spans="1:32">
      <c r="A1602" t="s">
        <v>1652</v>
      </c>
      <c r="B1602" t="s">
        <v>9212</v>
      </c>
      <c r="C1602" t="s">
        <v>15329</v>
      </c>
      <c r="D1602" t="s">
        <v>16199</v>
      </c>
      <c r="E1602" t="s">
        <v>16218</v>
      </c>
      <c r="F1602" t="s">
        <v>16221</v>
      </c>
      <c r="G1602" t="s">
        <v>16249</v>
      </c>
      <c r="H1602" t="s">
        <v>16249</v>
      </c>
      <c r="I1602" t="s">
        <v>16325</v>
      </c>
      <c r="J1602" t="s">
        <v>16385</v>
      </c>
      <c r="K1602">
        <v>0.236</v>
      </c>
      <c r="L1602">
        <v>10294</v>
      </c>
      <c r="M1602">
        <v>1845</v>
      </c>
      <c r="N1602" t="s">
        <v>16393</v>
      </c>
      <c r="O1602" s="4">
        <v>55224</v>
      </c>
      <c r="P1602" s="4">
        <v>112561</v>
      </c>
      <c r="Q1602" s="4">
        <v>167785</v>
      </c>
      <c r="R1602" s="4">
        <v>503355</v>
      </c>
      <c r="S1602" t="s">
        <v>17950</v>
      </c>
      <c r="T1602" s="6">
        <v>41061</v>
      </c>
      <c r="U1602" s="4">
        <v>350000</v>
      </c>
      <c r="V1602" t="s">
        <v>23739</v>
      </c>
      <c r="W1602" t="s">
        <v>24506</v>
      </c>
      <c r="X1602" t="s">
        <v>3</v>
      </c>
      <c r="AA1602" s="5" t="str">
        <f>HYPERLINK("https://www.zillow.com/homes/1605-HALL-ST-DOWNERS-GROVE-IL-605163745_rb/","check listing")</f>
        <v>check listing</v>
      </c>
      <c r="AB1602" s="5" t="str">
        <f>HYPERLINK("https://propertylookup.dupagecounty.gov/Datalets/Datalet.aspx?UseSearch=no&amp;mode=sales&amp;pin=0930105056","sales record")</f>
        <v>sales record</v>
      </c>
      <c r="AC1602" t="s">
        <v>3</v>
      </c>
      <c r="AD1602">
        <v>41.75217</v>
      </c>
      <c r="AE1602">
        <v>-88.02335600000001</v>
      </c>
      <c r="AF1602" s="5" t="str">
        <f>HYPERLINK("https://www.google.com/maps/search/?api=1&amp;query=41.75217,-88.023356","map")</f>
        <v>map</v>
      </c>
    </row>
    <row r="1603" spans="1:32">
      <c r="A1603" t="s">
        <v>1653</v>
      </c>
      <c r="B1603" t="s">
        <v>9213</v>
      </c>
      <c r="C1603" t="s">
        <v>15254</v>
      </c>
      <c r="D1603" t="s">
        <v>16199</v>
      </c>
      <c r="E1603" t="s">
        <v>16218</v>
      </c>
      <c r="F1603" t="s">
        <v>16221</v>
      </c>
      <c r="G1603" t="s">
        <v>16249</v>
      </c>
      <c r="H1603" t="s">
        <v>16249</v>
      </c>
      <c r="I1603" t="s">
        <v>16325</v>
      </c>
      <c r="J1603" t="s">
        <v>16385</v>
      </c>
      <c r="K1603">
        <v>0.236</v>
      </c>
      <c r="L1603">
        <v>10292</v>
      </c>
      <c r="M1603">
        <v>2066</v>
      </c>
      <c r="N1603" t="s">
        <v>16393</v>
      </c>
      <c r="O1603" s="4">
        <v>60037</v>
      </c>
      <c r="P1603" s="4">
        <v>108113</v>
      </c>
      <c r="Q1603" s="4">
        <v>168150</v>
      </c>
      <c r="R1603" s="4">
        <v>504450</v>
      </c>
      <c r="S1603" t="s">
        <v>17951</v>
      </c>
      <c r="T1603" s="6">
        <v>32143</v>
      </c>
      <c r="U1603" s="4">
        <v>142572</v>
      </c>
      <c r="X1603" t="s">
        <v>3</v>
      </c>
      <c r="AA1603" s="5" t="str">
        <f>HYPERLINK("https://www.zillow.com/homes/1325-HAWKINS-AVE-DOWNERS-GROVE-IL-60516_rb/","check listing")</f>
        <v>check listing</v>
      </c>
      <c r="AB1603" s="5" t="str">
        <f>HYPERLINK("https://propertylookup.dupagecounty.gov/Datalets/Datalet.aspx?UseSearch=no&amp;mode=sales&amp;pin=0930204039","sales record")</f>
        <v>sales record</v>
      </c>
      <c r="AC1603" t="s">
        <v>3</v>
      </c>
      <c r="AD1603">
        <v>41.754932</v>
      </c>
      <c r="AE1603">
        <v>-88.016369</v>
      </c>
      <c r="AF1603" s="5" t="str">
        <f>HYPERLINK("https://www.google.com/maps/search/?api=1&amp;query=41.754932,-88.016369","map")</f>
        <v>map</v>
      </c>
    </row>
    <row r="1604" spans="1:32">
      <c r="A1604" t="s">
        <v>1654</v>
      </c>
      <c r="B1604" t="s">
        <v>9214</v>
      </c>
      <c r="C1604" t="s">
        <v>15327</v>
      </c>
      <c r="D1604" t="s">
        <v>16199</v>
      </c>
      <c r="E1604" t="s">
        <v>16218</v>
      </c>
      <c r="F1604" t="s">
        <v>16221</v>
      </c>
      <c r="G1604" t="s">
        <v>16249</v>
      </c>
      <c r="H1604" t="s">
        <v>16249</v>
      </c>
      <c r="I1604" t="s">
        <v>16325</v>
      </c>
      <c r="J1604" t="s">
        <v>16385</v>
      </c>
      <c r="K1604">
        <v>0.235</v>
      </c>
      <c r="L1604">
        <v>10250</v>
      </c>
      <c r="M1604">
        <v>2080</v>
      </c>
      <c r="N1604" t="s">
        <v>16393</v>
      </c>
      <c r="O1604" s="4">
        <v>63124</v>
      </c>
      <c r="P1604" s="4">
        <v>108218</v>
      </c>
      <c r="Q1604" s="4">
        <v>171342</v>
      </c>
      <c r="R1604" s="4">
        <v>514026</v>
      </c>
      <c r="S1604" t="s">
        <v>17952</v>
      </c>
      <c r="T1604" s="6">
        <v>30895</v>
      </c>
      <c r="U1604" s="4">
        <v>114375</v>
      </c>
      <c r="X1604" t="s">
        <v>3</v>
      </c>
      <c r="AA1604" s="5" t="str">
        <f>HYPERLINK("https://www.zillow.com/homes/7201-DEXTER-RD-DOWNERS-GROVE-IL-605163708_rb/","check listing")</f>
        <v>check listing</v>
      </c>
      <c r="AB1604" s="5" t="str">
        <f>HYPERLINK("https://propertylookup.dupagecounty.gov/Datalets/Datalet.aspx?UseSearch=no&amp;mode=sales&amp;pin=0930204010","sales record")</f>
        <v>sales record</v>
      </c>
      <c r="AC1604" t="s">
        <v>3</v>
      </c>
      <c r="AD1604">
        <v>41.756278</v>
      </c>
      <c r="AE1604">
        <v>-88.018513</v>
      </c>
      <c r="AF1604" s="5" t="str">
        <f>HYPERLINK("https://www.google.com/maps/search/?api=1&amp;query=41.756278,-88.018513","map")</f>
        <v>map</v>
      </c>
    </row>
    <row r="1605" spans="1:32">
      <c r="A1605" t="s">
        <v>1655</v>
      </c>
      <c r="B1605" t="s">
        <v>9215</v>
      </c>
      <c r="C1605" t="s">
        <v>15254</v>
      </c>
      <c r="D1605" t="s">
        <v>16199</v>
      </c>
      <c r="E1605" t="s">
        <v>16218</v>
      </c>
      <c r="F1605" t="s">
        <v>16221</v>
      </c>
      <c r="G1605" t="s">
        <v>16249</v>
      </c>
      <c r="H1605" t="s">
        <v>16249</v>
      </c>
      <c r="I1605" t="s">
        <v>16325</v>
      </c>
      <c r="J1605" t="s">
        <v>16385</v>
      </c>
      <c r="K1605">
        <v>0.235</v>
      </c>
      <c r="L1605">
        <v>10224</v>
      </c>
      <c r="M1605">
        <v>1387</v>
      </c>
      <c r="N1605" t="s">
        <v>16393</v>
      </c>
      <c r="O1605" s="4">
        <v>61550</v>
      </c>
      <c r="P1605" s="4">
        <v>98500</v>
      </c>
      <c r="Q1605" s="4">
        <v>160050</v>
      </c>
      <c r="R1605" s="4">
        <v>480150</v>
      </c>
      <c r="S1605" t="s">
        <v>17953</v>
      </c>
      <c r="T1605" s="6">
        <v>36373</v>
      </c>
      <c r="U1605" s="4">
        <v>214000</v>
      </c>
      <c r="X1605" t="s">
        <v>3</v>
      </c>
      <c r="AA1605" s="5" t="str">
        <f>HYPERLINK("https://www.zillow.com/homes/1610-HALL-ST-DOWNERS-GROVE-IL-60516_rb/","check listing")</f>
        <v>check listing</v>
      </c>
      <c r="AB1605" s="5" t="str">
        <f>HYPERLINK("https://propertylookup.dupagecounty.gov/Datalets/Datalet.aspx?UseSearch=no&amp;mode=sales&amp;pin=0930107010","sales record")</f>
        <v>sales record</v>
      </c>
      <c r="AC1605" t="s">
        <v>3</v>
      </c>
      <c r="AD1605">
        <v>41.752686</v>
      </c>
      <c r="AE1605">
        <v>-88.02365399999999</v>
      </c>
      <c r="AF1605" s="5" t="str">
        <f>HYPERLINK("https://www.google.com/maps/search/?api=1&amp;query=41.752686,-88.023654","map")</f>
        <v>map</v>
      </c>
    </row>
    <row r="1606" spans="1:32">
      <c r="A1606" t="s">
        <v>1656</v>
      </c>
      <c r="B1606" t="s">
        <v>9216</v>
      </c>
      <c r="C1606" t="s">
        <v>15316</v>
      </c>
      <c r="D1606" t="s">
        <v>16199</v>
      </c>
      <c r="E1606" t="s">
        <v>16218</v>
      </c>
      <c r="F1606" t="s">
        <v>16221</v>
      </c>
      <c r="G1606" t="s">
        <v>16249</v>
      </c>
      <c r="H1606" t="s">
        <v>16249</v>
      </c>
      <c r="I1606" t="s">
        <v>16325</v>
      </c>
      <c r="J1606" t="s">
        <v>16385</v>
      </c>
      <c r="K1606">
        <v>0.235</v>
      </c>
      <c r="L1606">
        <v>10218</v>
      </c>
      <c r="M1606">
        <v>1486</v>
      </c>
      <c r="N1606" t="s">
        <v>16393</v>
      </c>
      <c r="O1606" s="4">
        <v>65025</v>
      </c>
      <c r="P1606" s="4">
        <v>100871</v>
      </c>
      <c r="Q1606" s="4">
        <v>165896</v>
      </c>
      <c r="R1606" s="4">
        <v>497688</v>
      </c>
      <c r="S1606" t="s">
        <v>17954</v>
      </c>
      <c r="T1606" s="6">
        <v>44256</v>
      </c>
      <c r="U1606" s="4">
        <v>314000</v>
      </c>
      <c r="V1606" t="s">
        <v>23740</v>
      </c>
      <c r="W1606" t="s">
        <v>17954</v>
      </c>
      <c r="X1606" t="s">
        <v>3</v>
      </c>
      <c r="AA1606" s="5" t="str">
        <f>HYPERLINK("https://www.zillow.com/homes/1712-BORMAN-PL-DOWNERS-GROVE-IL-605163743_rb/","check listing")</f>
        <v>check listing</v>
      </c>
      <c r="AB1606" s="5" t="str">
        <f>HYPERLINK("https://propertylookup.dupagecounty.gov/Datalets/Datalet.aspx?UseSearch=no&amp;mode=sales&amp;pin=0930103048","sales record")</f>
        <v>sales record</v>
      </c>
      <c r="AC1606" t="s">
        <v>3</v>
      </c>
      <c r="AD1606">
        <v>41.751847</v>
      </c>
      <c r="AE1606">
        <v>-88.02575899999999</v>
      </c>
      <c r="AF1606" s="5" t="str">
        <f>HYPERLINK("https://www.google.com/maps/search/?api=1&amp;query=41.751847,-88.025759","map")</f>
        <v>map</v>
      </c>
    </row>
    <row r="1607" spans="1:32">
      <c r="A1607" t="s">
        <v>1657</v>
      </c>
      <c r="B1607" t="s">
        <v>9217</v>
      </c>
      <c r="C1607" t="s">
        <v>15254</v>
      </c>
      <c r="D1607" t="s">
        <v>16199</v>
      </c>
      <c r="E1607" t="s">
        <v>16218</v>
      </c>
      <c r="F1607" t="s">
        <v>16221</v>
      </c>
      <c r="G1607" t="s">
        <v>16249</v>
      </c>
      <c r="H1607" t="s">
        <v>16249</v>
      </c>
      <c r="I1607" t="s">
        <v>16325</v>
      </c>
      <c r="J1607" t="s">
        <v>16385</v>
      </c>
      <c r="K1607">
        <v>0.234</v>
      </c>
      <c r="L1607">
        <v>10212</v>
      </c>
      <c r="M1607">
        <v>1722</v>
      </c>
      <c r="N1607" t="s">
        <v>16393</v>
      </c>
      <c r="O1607" s="4">
        <v>58523</v>
      </c>
      <c r="P1607" s="4">
        <v>108454</v>
      </c>
      <c r="Q1607" s="4">
        <v>166977</v>
      </c>
      <c r="R1607" s="4">
        <v>500931</v>
      </c>
      <c r="S1607" t="s">
        <v>17955</v>
      </c>
      <c r="T1607" s="6">
        <v>32051</v>
      </c>
      <c r="U1607" s="4">
        <v>135184</v>
      </c>
      <c r="X1607" t="s">
        <v>3</v>
      </c>
      <c r="AA1607" s="5" t="str">
        <f>HYPERLINK("https://www.zillow.com/homes/1725-HALL-PL-DOWNERS-GROVE-IL-60516_rb/","check listing")</f>
        <v>check listing</v>
      </c>
      <c r="AB1607" s="5" t="str">
        <f>HYPERLINK("https://propertylookup.dupagecounty.gov/Datalets/Datalet.aspx?UseSearch=no&amp;mode=sales&amp;pin=0930103044","sales record")</f>
        <v>sales record</v>
      </c>
      <c r="AC1607" t="s">
        <v>3</v>
      </c>
      <c r="AD1607">
        <v>41.752212</v>
      </c>
      <c r="AE1607">
        <v>-88.026734</v>
      </c>
      <c r="AF1607" s="5" t="str">
        <f>HYPERLINK("https://www.google.com/maps/search/?api=1&amp;query=41.752212,-88.026734","map")</f>
        <v>map</v>
      </c>
    </row>
    <row r="1608" spans="1:32">
      <c r="A1608" t="s">
        <v>1658</v>
      </c>
      <c r="B1608" t="s">
        <v>9218</v>
      </c>
      <c r="C1608" t="s">
        <v>15254</v>
      </c>
      <c r="D1608" t="s">
        <v>16199</v>
      </c>
      <c r="E1608" t="s">
        <v>16218</v>
      </c>
      <c r="F1608" t="s">
        <v>16221</v>
      </c>
      <c r="G1608" t="s">
        <v>16249</v>
      </c>
      <c r="H1608" t="s">
        <v>16249</v>
      </c>
      <c r="I1608" t="s">
        <v>16325</v>
      </c>
      <c r="J1608" t="s">
        <v>16385</v>
      </c>
      <c r="K1608">
        <v>0.234</v>
      </c>
      <c r="L1608">
        <v>10210</v>
      </c>
      <c r="M1608">
        <v>1018</v>
      </c>
      <c r="N1608" t="s">
        <v>16393</v>
      </c>
      <c r="O1608" s="4">
        <v>55201</v>
      </c>
      <c r="P1608" s="4">
        <v>92807</v>
      </c>
      <c r="Q1608" s="4">
        <v>148008</v>
      </c>
      <c r="R1608" s="4">
        <v>444024</v>
      </c>
      <c r="S1608" t="s">
        <v>17956</v>
      </c>
      <c r="T1608" s="6">
        <v>31321</v>
      </c>
      <c r="U1608" s="4">
        <v>105609</v>
      </c>
      <c r="X1608" t="s">
        <v>3</v>
      </c>
      <c r="AA1608" s="5" t="str">
        <f>HYPERLINK("https://www.zillow.com/homes/1718-GRAHAM-AVE-DOWNERS-GROVE-IL-60516_rb/","check listing")</f>
        <v>check listing</v>
      </c>
      <c r="AB1608" s="5" t="str">
        <f>HYPERLINK("https://propertylookup.dupagecounty.gov/Datalets/Datalet.aspx?UseSearch=no&amp;mode=sales&amp;pin=0930106023","sales record")</f>
        <v>sales record</v>
      </c>
      <c r="AC1608" t="s">
        <v>3</v>
      </c>
      <c r="AD1608">
        <v>41.75373</v>
      </c>
      <c r="AE1608">
        <v>-88.026195</v>
      </c>
      <c r="AF1608" s="5" t="str">
        <f>HYPERLINK("https://www.google.com/maps/search/?api=1&amp;query=41.75373,-88.026195","map")</f>
        <v>map</v>
      </c>
    </row>
    <row r="1609" spans="1:32">
      <c r="A1609" t="s">
        <v>1659</v>
      </c>
      <c r="B1609" t="s">
        <v>9219</v>
      </c>
      <c r="C1609" t="s">
        <v>15254</v>
      </c>
      <c r="D1609" t="s">
        <v>16199</v>
      </c>
      <c r="E1609" t="s">
        <v>16218</v>
      </c>
      <c r="F1609" t="s">
        <v>16221</v>
      </c>
      <c r="G1609" t="s">
        <v>16249</v>
      </c>
      <c r="H1609" t="s">
        <v>16249</v>
      </c>
      <c r="I1609" t="s">
        <v>16325</v>
      </c>
      <c r="J1609" t="s">
        <v>16385</v>
      </c>
      <c r="K1609">
        <v>0.234</v>
      </c>
      <c r="L1609">
        <v>10206</v>
      </c>
      <c r="M1609">
        <v>1961</v>
      </c>
      <c r="N1609" t="s">
        <v>16393</v>
      </c>
      <c r="O1609" s="4">
        <v>49907</v>
      </c>
      <c r="P1609" s="4">
        <v>110225</v>
      </c>
      <c r="Q1609" s="4">
        <v>160132</v>
      </c>
      <c r="R1609" s="4">
        <v>480396</v>
      </c>
      <c r="S1609" t="s">
        <v>17957</v>
      </c>
      <c r="T1609" s="6">
        <v>38930</v>
      </c>
      <c r="U1609" s="4">
        <v>360000</v>
      </c>
      <c r="V1609" t="s">
        <v>23739</v>
      </c>
      <c r="W1609" t="s">
        <v>24507</v>
      </c>
      <c r="X1609" t="s">
        <v>3</v>
      </c>
      <c r="AA1609" s="5" t="str">
        <f>HYPERLINK("https://www.zillow.com/homes/7213-BATEMAN-ST-DOWNERS-GROVE-IL-60516_rb/","check listing")</f>
        <v>check listing</v>
      </c>
      <c r="AB1609" s="5" t="str">
        <f>HYPERLINK("https://propertylookup.dupagecounty.gov/Datalets/Datalet.aspx?UseSearch=no&amp;mode=sales&amp;pin=0930207020","sales record")</f>
        <v>sales record</v>
      </c>
      <c r="AC1609" t="s">
        <v>3</v>
      </c>
      <c r="AD1609">
        <v>41.75645</v>
      </c>
      <c r="AE1609">
        <v>-88.01558300000001</v>
      </c>
      <c r="AF1609" s="5" t="str">
        <f>HYPERLINK("https://www.google.com/maps/search/?api=1&amp;query=41.75645,-88.015583","map")</f>
        <v>map</v>
      </c>
    </row>
    <row r="1610" spans="1:32">
      <c r="A1610" t="s">
        <v>1660</v>
      </c>
      <c r="B1610" t="s">
        <v>9220</v>
      </c>
      <c r="C1610" t="s">
        <v>15254</v>
      </c>
      <c r="D1610" t="s">
        <v>16199</v>
      </c>
      <c r="E1610" t="s">
        <v>16218</v>
      </c>
      <c r="F1610" t="s">
        <v>16221</v>
      </c>
      <c r="G1610" t="s">
        <v>16249</v>
      </c>
      <c r="H1610" t="s">
        <v>16249</v>
      </c>
      <c r="I1610" t="s">
        <v>16325</v>
      </c>
      <c r="J1610" t="s">
        <v>16385</v>
      </c>
      <c r="K1610">
        <v>0.234</v>
      </c>
      <c r="L1610">
        <v>10191</v>
      </c>
      <c r="M1610">
        <v>2372</v>
      </c>
      <c r="N1610" t="s">
        <v>16393</v>
      </c>
      <c r="O1610" s="4">
        <v>54813</v>
      </c>
      <c r="P1610" s="4">
        <v>117421</v>
      </c>
      <c r="Q1610" s="4">
        <v>172234</v>
      </c>
      <c r="R1610" s="4">
        <v>516702</v>
      </c>
      <c r="S1610" t="s">
        <v>17958</v>
      </c>
      <c r="T1610" s="6">
        <v>45892</v>
      </c>
      <c r="U1610" s="4">
        <v>200000</v>
      </c>
      <c r="V1610" t="s">
        <v>23741</v>
      </c>
      <c r="W1610" t="s">
        <v>24508</v>
      </c>
      <c r="X1610" t="s">
        <v>3</v>
      </c>
      <c r="AA1610" s="5" t="str">
        <f>HYPERLINK("https://www.zillow.com/homes/7173-DEXTER-RD-DOWNERS-GROVE-IL-60516_rb/","check listing")</f>
        <v>check listing</v>
      </c>
      <c r="AB1610" s="5" t="str">
        <f>HYPERLINK("https://propertylookup.dupagecounty.gov/Datalets/Datalet.aspx?UseSearch=no&amp;mode=sales&amp;pin=0930204007","sales record")</f>
        <v>sales record</v>
      </c>
      <c r="AC1610" t="s">
        <v>3</v>
      </c>
      <c r="AD1610">
        <v>41.757669</v>
      </c>
      <c r="AE1610">
        <v>-88.018575</v>
      </c>
      <c r="AF1610" s="5" t="str">
        <f>HYPERLINK("https://www.google.com/maps/search/?api=1&amp;query=41.757669,-88.018575","map")</f>
        <v>map</v>
      </c>
    </row>
    <row r="1611" spans="1:32">
      <c r="A1611" t="s">
        <v>1661</v>
      </c>
      <c r="B1611" t="s">
        <v>9221</v>
      </c>
      <c r="C1611" t="s">
        <v>15254</v>
      </c>
      <c r="D1611" t="s">
        <v>16199</v>
      </c>
      <c r="E1611" t="s">
        <v>16218</v>
      </c>
      <c r="F1611" t="s">
        <v>16221</v>
      </c>
      <c r="G1611" t="s">
        <v>16249</v>
      </c>
      <c r="H1611" t="s">
        <v>16249</v>
      </c>
      <c r="I1611" t="s">
        <v>16325</v>
      </c>
      <c r="J1611" t="s">
        <v>16385</v>
      </c>
      <c r="K1611">
        <v>0.234</v>
      </c>
      <c r="L1611">
        <v>10185</v>
      </c>
      <c r="M1611">
        <v>1799</v>
      </c>
      <c r="N1611" t="s">
        <v>16393</v>
      </c>
      <c r="O1611" s="4">
        <v>63523</v>
      </c>
      <c r="P1611" s="4">
        <v>111435</v>
      </c>
      <c r="Q1611" s="4">
        <v>174958</v>
      </c>
      <c r="R1611" s="4">
        <v>524874</v>
      </c>
      <c r="S1611" t="s">
        <v>17959</v>
      </c>
      <c r="T1611" s="6">
        <v>31168</v>
      </c>
      <c r="U1611" s="4">
        <v>123247</v>
      </c>
      <c r="X1611" t="s">
        <v>3</v>
      </c>
      <c r="AA1611" s="5" t="str">
        <f>HYPERLINK("https://www.zillow.com/homes/1501-BAKER-PL-DOWNERS-GROVE-IL-60516_rb/","check listing")</f>
        <v>check listing</v>
      </c>
      <c r="AB1611" s="5" t="str">
        <f>HYPERLINK("https://propertylookup.dupagecounty.gov/Datalets/Datalet.aspx?UseSearch=no&amp;mode=sales&amp;pin=0930203001","sales record")</f>
        <v>sales record</v>
      </c>
      <c r="AC1611" t="s">
        <v>3</v>
      </c>
      <c r="AD1611">
        <v>41.757372</v>
      </c>
      <c r="AE1611">
        <v>-88.02028799999999</v>
      </c>
      <c r="AF1611" s="5" t="str">
        <f>HYPERLINK("https://www.google.com/maps/search/?api=1&amp;query=41.757372,-88.020288","map")</f>
        <v>map</v>
      </c>
    </row>
    <row r="1612" spans="1:32">
      <c r="A1612" t="s">
        <v>1662</v>
      </c>
      <c r="B1612" t="s">
        <v>9222</v>
      </c>
      <c r="C1612" t="s">
        <v>15254</v>
      </c>
      <c r="D1612" t="s">
        <v>16199</v>
      </c>
      <c r="E1612" t="s">
        <v>16218</v>
      </c>
      <c r="F1612" t="s">
        <v>16221</v>
      </c>
      <c r="G1612" t="s">
        <v>16249</v>
      </c>
      <c r="H1612" t="s">
        <v>16249</v>
      </c>
      <c r="I1612" t="s">
        <v>16325</v>
      </c>
      <c r="J1612" t="s">
        <v>16385</v>
      </c>
      <c r="K1612">
        <v>0.234</v>
      </c>
      <c r="L1612">
        <v>10182</v>
      </c>
      <c r="M1612">
        <v>1651</v>
      </c>
      <c r="N1612" t="s">
        <v>16393</v>
      </c>
      <c r="O1612" s="4">
        <v>59837</v>
      </c>
      <c r="P1612" s="4">
        <v>98747</v>
      </c>
      <c r="Q1612" s="4">
        <v>158584</v>
      </c>
      <c r="R1612" s="4">
        <v>475752</v>
      </c>
      <c r="S1612" t="s">
        <v>17960</v>
      </c>
      <c r="T1612" s="6">
        <v>32933</v>
      </c>
      <c r="U1612" s="4">
        <v>155000</v>
      </c>
      <c r="X1612" t="s">
        <v>3</v>
      </c>
      <c r="AA1612" s="5" t="str">
        <f>HYPERLINK("https://www.zillow.com/homes/7327-DEVEREUX-RD-DOWNERS-GROVE-IL-60516_rb/","check listing")</f>
        <v>check listing</v>
      </c>
      <c r="AB1612" s="5" t="str">
        <f>HYPERLINK("https://propertylookup.dupagecounty.gov/Datalets/Datalet.aspx?UseSearch=no&amp;mode=sales&amp;pin=0930107002","sales record")</f>
        <v>sales record</v>
      </c>
      <c r="AC1612" t="s">
        <v>3</v>
      </c>
      <c r="AD1612">
        <v>41.753131</v>
      </c>
      <c r="AE1612">
        <v>-88.02507</v>
      </c>
      <c r="AF1612" s="5" t="str">
        <f>HYPERLINK("https://www.google.com/maps/search/?api=1&amp;query=41.753131,-88.02507","map")</f>
        <v>map</v>
      </c>
    </row>
    <row r="1613" spans="1:32">
      <c r="A1613" t="s">
        <v>1663</v>
      </c>
      <c r="B1613" t="s">
        <v>9223</v>
      </c>
      <c r="C1613" t="s">
        <v>15254</v>
      </c>
      <c r="D1613" t="s">
        <v>16199</v>
      </c>
      <c r="E1613" t="s">
        <v>16218</v>
      </c>
      <c r="F1613" t="s">
        <v>16221</v>
      </c>
      <c r="G1613" t="s">
        <v>16249</v>
      </c>
      <c r="H1613" t="s">
        <v>16249</v>
      </c>
      <c r="I1613" t="s">
        <v>16325</v>
      </c>
      <c r="J1613" t="s">
        <v>16385</v>
      </c>
      <c r="K1613">
        <v>0.233</v>
      </c>
      <c r="L1613">
        <v>10146</v>
      </c>
      <c r="M1613">
        <v>2337</v>
      </c>
      <c r="N1613" t="s">
        <v>16393</v>
      </c>
      <c r="O1613" s="4">
        <v>75260</v>
      </c>
      <c r="P1613" s="4">
        <v>133654</v>
      </c>
      <c r="Q1613" s="4">
        <v>208914</v>
      </c>
      <c r="R1613" s="4">
        <v>626742</v>
      </c>
      <c r="S1613" t="s">
        <v>17961</v>
      </c>
      <c r="T1613" s="6">
        <v>28795</v>
      </c>
      <c r="U1613" s="4">
        <v>95540</v>
      </c>
      <c r="X1613" t="s">
        <v>3</v>
      </c>
      <c r="AA1613" s="5" t="str">
        <f>HYPERLINK("https://www.zillow.com/homes/7189-SPRINGSIDE-AVE-DOWNERS-GROVE-IL-60516_rb/","check listing")</f>
        <v>check listing</v>
      </c>
      <c r="AB1613" s="5" t="str">
        <f>HYPERLINK("https://propertylookup.dupagecounty.gov/Datalets/Datalet.aspx?UseSearch=no&amp;mode=sales&amp;pin=0930203012","sales record")</f>
        <v>sales record</v>
      </c>
      <c r="AC1613" t="s">
        <v>3</v>
      </c>
      <c r="AD1613">
        <v>41.756582</v>
      </c>
      <c r="AE1613">
        <v>-88.021669</v>
      </c>
      <c r="AF1613" s="5" t="str">
        <f>HYPERLINK("https://www.google.com/maps/search/?api=1&amp;query=41.756582,-88.021669","map")</f>
        <v>map</v>
      </c>
    </row>
    <row r="1614" spans="1:32">
      <c r="A1614" t="s">
        <v>1664</v>
      </c>
      <c r="B1614" t="s">
        <v>9224</v>
      </c>
      <c r="C1614" t="s">
        <v>15254</v>
      </c>
      <c r="D1614" t="s">
        <v>16199</v>
      </c>
      <c r="E1614" t="s">
        <v>16218</v>
      </c>
      <c r="F1614" t="s">
        <v>16221</v>
      </c>
      <c r="G1614" t="s">
        <v>16249</v>
      </c>
      <c r="H1614" t="s">
        <v>16249</v>
      </c>
      <c r="I1614" t="s">
        <v>16325</v>
      </c>
      <c r="J1614" t="s">
        <v>16385</v>
      </c>
      <c r="K1614">
        <v>0.233</v>
      </c>
      <c r="L1614">
        <v>10133</v>
      </c>
      <c r="M1614">
        <v>884</v>
      </c>
      <c r="N1614" t="s">
        <v>16393</v>
      </c>
      <c r="O1614" s="4">
        <v>59216</v>
      </c>
      <c r="P1614" s="4">
        <v>87491</v>
      </c>
      <c r="Q1614" s="4">
        <v>146707</v>
      </c>
      <c r="R1614" s="4">
        <v>440121</v>
      </c>
      <c r="S1614" t="s">
        <v>17962</v>
      </c>
      <c r="T1614" s="6">
        <v>44970</v>
      </c>
      <c r="U1614" s="4">
        <v>375000</v>
      </c>
      <c r="V1614" t="s">
        <v>23739</v>
      </c>
      <c r="W1614" t="s">
        <v>24509</v>
      </c>
      <c r="X1614" t="s">
        <v>3</v>
      </c>
      <c r="AA1614" s="5" t="str">
        <f>HYPERLINK("https://www.zillow.com/homes/1722-GRAHAM-AVE-DOWNERS-GROVE-IL-60516_rb/","check listing")</f>
        <v>check listing</v>
      </c>
      <c r="AB1614" s="5" t="str">
        <f>HYPERLINK("https://propertylookup.dupagecounty.gov/Datalets/Datalet.aspx?UseSearch=no&amp;mode=sales&amp;pin=0930106024","sales record")</f>
        <v>sales record</v>
      </c>
      <c r="AC1614" t="s">
        <v>3</v>
      </c>
      <c r="AD1614">
        <v>41.753728</v>
      </c>
      <c r="AE1614">
        <v>-88.026488</v>
      </c>
      <c r="AF1614" s="5" t="str">
        <f>HYPERLINK("https://www.google.com/maps/search/?api=1&amp;query=41.753728,-88.026488","map")</f>
        <v>map</v>
      </c>
    </row>
    <row r="1615" spans="1:32">
      <c r="A1615" t="s">
        <v>1665</v>
      </c>
      <c r="B1615" t="s">
        <v>9225</v>
      </c>
      <c r="C1615" t="s">
        <v>15254</v>
      </c>
      <c r="D1615" t="s">
        <v>16199</v>
      </c>
      <c r="E1615" t="s">
        <v>16218</v>
      </c>
      <c r="F1615" t="s">
        <v>16221</v>
      </c>
      <c r="G1615" t="s">
        <v>16249</v>
      </c>
      <c r="H1615" t="s">
        <v>16249</v>
      </c>
      <c r="I1615" t="s">
        <v>16325</v>
      </c>
      <c r="J1615" t="s">
        <v>16385</v>
      </c>
      <c r="K1615">
        <v>0.232</v>
      </c>
      <c r="L1615">
        <v>10127</v>
      </c>
      <c r="N1615" t="s">
        <v>16393</v>
      </c>
      <c r="O1615" s="4">
        <v>18181</v>
      </c>
      <c r="P1615" s="4">
        <v>163666</v>
      </c>
      <c r="Q1615" s="4">
        <v>181847</v>
      </c>
      <c r="R1615" s="4">
        <v>545541</v>
      </c>
      <c r="S1615" t="s">
        <v>17963</v>
      </c>
      <c r="T1615" s="6">
        <v>43891</v>
      </c>
      <c r="U1615" s="4">
        <v>450000</v>
      </c>
      <c r="V1615" t="s">
        <v>23739</v>
      </c>
      <c r="W1615" t="s">
        <v>24510</v>
      </c>
      <c r="X1615" t="s">
        <v>3</v>
      </c>
      <c r="AA1615" s="5" t="str">
        <f>HYPERLINK("https://www.zillow.com/homes/1129-CRYSTAL-AVE-DOWNERS-GROVE-IL-60516_rb/","check listing")</f>
        <v>check listing</v>
      </c>
      <c r="AB1615" s="5" t="str">
        <f>HYPERLINK("https://propertylookup.dupagecounty.gov/Datalets/Datalet.aspx?UseSearch=no&amp;mode=sales&amp;pin=0929100131","sales record")</f>
        <v>sales record</v>
      </c>
      <c r="AC1615" t="s">
        <v>3</v>
      </c>
      <c r="AD1615">
        <v>41.755981</v>
      </c>
      <c r="AE1615">
        <v>-88.010942</v>
      </c>
      <c r="AF1615" s="5" t="str">
        <f>HYPERLINK("https://www.google.com/maps/search/?api=1&amp;query=41.755981,-88.010942","map")</f>
        <v>map</v>
      </c>
    </row>
    <row r="1616" spans="1:32">
      <c r="A1616" t="s">
        <v>1666</v>
      </c>
      <c r="B1616" t="s">
        <v>9226</v>
      </c>
      <c r="C1616" t="s">
        <v>15254</v>
      </c>
      <c r="D1616" t="s">
        <v>16199</v>
      </c>
      <c r="E1616" t="s">
        <v>16218</v>
      </c>
      <c r="F1616" t="s">
        <v>16221</v>
      </c>
      <c r="G1616" t="s">
        <v>16249</v>
      </c>
      <c r="H1616" t="s">
        <v>16249</v>
      </c>
      <c r="I1616" t="s">
        <v>16325</v>
      </c>
      <c r="J1616" t="s">
        <v>16385</v>
      </c>
      <c r="K1616">
        <v>0.232</v>
      </c>
      <c r="L1616">
        <v>10126</v>
      </c>
      <c r="M1616">
        <v>1019</v>
      </c>
      <c r="N1616" t="s">
        <v>16393</v>
      </c>
      <c r="O1616" s="4">
        <v>55212</v>
      </c>
      <c r="P1616" s="4">
        <v>96551</v>
      </c>
      <c r="Q1616" s="4">
        <v>151763</v>
      </c>
      <c r="R1616" s="4">
        <v>455289</v>
      </c>
      <c r="S1616" t="s">
        <v>17964</v>
      </c>
      <c r="T1616" s="6">
        <v>32629</v>
      </c>
      <c r="U1616" s="4">
        <v>155000</v>
      </c>
      <c r="X1616" t="s">
        <v>3</v>
      </c>
      <c r="AA1616" s="5" t="str">
        <f>HYPERLINK("https://www.zillow.com/homes/7319-SELIG-PL-DOWNERS-GROVE-IL-60516_rb/","check listing")</f>
        <v>check listing</v>
      </c>
      <c r="AB1616" s="5" t="str">
        <f>HYPERLINK("https://propertylookup.dupagecounty.gov/Datalets/Datalet.aspx?UseSearch=no&amp;mode=sales&amp;pin=0930107020","sales record")</f>
        <v>sales record</v>
      </c>
      <c r="AC1616" t="s">
        <v>3</v>
      </c>
      <c r="AD1616">
        <v>41.753735</v>
      </c>
      <c r="AE1616">
        <v>-88.024237</v>
      </c>
      <c r="AF1616" s="5" t="str">
        <f>HYPERLINK("https://www.google.com/maps/search/?api=1&amp;query=41.753735,-88.024237","map")</f>
        <v>map</v>
      </c>
    </row>
    <row r="1617" spans="1:32">
      <c r="A1617" t="s">
        <v>1667</v>
      </c>
      <c r="B1617" t="s">
        <v>9227</v>
      </c>
      <c r="C1617" t="s">
        <v>15254</v>
      </c>
      <c r="D1617" t="s">
        <v>16199</v>
      </c>
      <c r="E1617" t="s">
        <v>16218</v>
      </c>
      <c r="F1617" t="s">
        <v>16221</v>
      </c>
      <c r="G1617" t="s">
        <v>16249</v>
      </c>
      <c r="H1617" t="s">
        <v>16249</v>
      </c>
      <c r="I1617" t="s">
        <v>16325</v>
      </c>
      <c r="J1617" t="s">
        <v>16385</v>
      </c>
      <c r="K1617">
        <v>0.232</v>
      </c>
      <c r="L1617">
        <v>10124</v>
      </c>
      <c r="M1617">
        <v>1956</v>
      </c>
      <c r="N1617" t="s">
        <v>16393</v>
      </c>
      <c r="O1617" s="4">
        <v>56187</v>
      </c>
      <c r="P1617" s="4">
        <v>131294</v>
      </c>
      <c r="Q1617" s="4">
        <v>187481</v>
      </c>
      <c r="R1617" s="4">
        <v>562443</v>
      </c>
      <c r="S1617" t="s">
        <v>17965</v>
      </c>
      <c r="T1617" s="6">
        <v>33025</v>
      </c>
      <c r="U1617" s="4">
        <v>187750</v>
      </c>
      <c r="X1617" t="s">
        <v>3</v>
      </c>
      <c r="AA1617" s="5" t="str">
        <f>HYPERLINK("https://www.zillow.com/homes/7233-KELLY-PL-DOWNERS-GROVE-IL-60516_rb/","check listing")</f>
        <v>check listing</v>
      </c>
      <c r="AB1617" s="5" t="str">
        <f>HYPERLINK("https://propertylookup.dupagecounty.gov/Datalets/Datalet.aspx?UseSearch=no&amp;mode=sales&amp;pin=0930203029","sales record")</f>
        <v>sales record</v>
      </c>
      <c r="AC1617" t="s">
        <v>3</v>
      </c>
      <c r="AD1617">
        <v>41.755758</v>
      </c>
      <c r="AE1617">
        <v>-88.020546</v>
      </c>
      <c r="AF1617" s="5" t="str">
        <f>HYPERLINK("https://www.google.com/maps/search/?api=1&amp;query=41.755758,-88.020546","map")</f>
        <v>map</v>
      </c>
    </row>
    <row r="1618" spans="1:32">
      <c r="A1618" t="s">
        <v>1668</v>
      </c>
      <c r="B1618" t="s">
        <v>9228</v>
      </c>
      <c r="C1618" t="s">
        <v>15254</v>
      </c>
      <c r="D1618" t="s">
        <v>16199</v>
      </c>
      <c r="E1618" t="s">
        <v>16218</v>
      </c>
      <c r="F1618" t="s">
        <v>16221</v>
      </c>
      <c r="G1618" t="s">
        <v>16249</v>
      </c>
      <c r="H1618" t="s">
        <v>16249</v>
      </c>
      <c r="I1618" t="s">
        <v>16325</v>
      </c>
      <c r="J1618" t="s">
        <v>16385</v>
      </c>
      <c r="K1618">
        <v>0.232</v>
      </c>
      <c r="L1618">
        <v>10106</v>
      </c>
      <c r="M1618">
        <v>2094</v>
      </c>
      <c r="N1618" t="s">
        <v>16393</v>
      </c>
      <c r="O1618" s="4">
        <v>61351</v>
      </c>
      <c r="P1618" s="4">
        <v>174194</v>
      </c>
      <c r="Q1618" s="4">
        <v>235545</v>
      </c>
      <c r="R1618" s="4">
        <v>706635</v>
      </c>
      <c r="S1618" t="s">
        <v>17966</v>
      </c>
      <c r="T1618" s="6">
        <v>38838</v>
      </c>
      <c r="U1618" s="4">
        <v>530000</v>
      </c>
      <c r="V1618" t="s">
        <v>23739</v>
      </c>
      <c r="W1618" t="s">
        <v>24511</v>
      </c>
      <c r="X1618" t="s">
        <v>3</v>
      </c>
      <c r="AA1618" s="5" t="str">
        <f>HYPERLINK("https://www.zillow.com/homes/1140-CRYSTAL-AVE-DOWNERS-GROVE-IL-60516_rb/","check listing")</f>
        <v>check listing</v>
      </c>
      <c r="AB1618" s="5" t="str">
        <f>HYPERLINK("https://propertylookup.dupagecounty.gov/Datalets/Datalet.aspx?UseSearch=no&amp;mode=sales&amp;pin=0929116005","sales record")</f>
        <v>sales record</v>
      </c>
      <c r="AC1618" t="s">
        <v>3</v>
      </c>
      <c r="AD1618">
        <v>41.756554</v>
      </c>
      <c r="AE1618">
        <v>-88.011646</v>
      </c>
      <c r="AF1618" s="5" t="str">
        <f>HYPERLINK("https://www.google.com/maps/search/?api=1&amp;query=41.756554,-88.011646","map")</f>
        <v>map</v>
      </c>
    </row>
    <row r="1619" spans="1:32">
      <c r="A1619" t="s">
        <v>1669</v>
      </c>
      <c r="B1619" t="s">
        <v>9229</v>
      </c>
      <c r="C1619" t="s">
        <v>15254</v>
      </c>
      <c r="D1619" t="s">
        <v>16199</v>
      </c>
      <c r="E1619" t="s">
        <v>16218</v>
      </c>
      <c r="F1619" t="s">
        <v>16221</v>
      </c>
      <c r="G1619" t="s">
        <v>16249</v>
      </c>
      <c r="H1619" t="s">
        <v>16249</v>
      </c>
      <c r="I1619" t="s">
        <v>16325</v>
      </c>
      <c r="J1619" t="s">
        <v>16385</v>
      </c>
      <c r="K1619">
        <v>0.232</v>
      </c>
      <c r="L1619">
        <v>10104</v>
      </c>
      <c r="M1619">
        <v>2376</v>
      </c>
      <c r="N1619" t="s">
        <v>16393</v>
      </c>
      <c r="O1619" s="4">
        <v>61809</v>
      </c>
      <c r="P1619" s="4">
        <v>184066</v>
      </c>
      <c r="Q1619" s="4">
        <v>245875</v>
      </c>
      <c r="R1619" s="4">
        <v>737625</v>
      </c>
      <c r="S1619" t="s">
        <v>17967</v>
      </c>
      <c r="T1619" s="6">
        <v>36100</v>
      </c>
      <c r="U1619" s="4">
        <v>322000</v>
      </c>
      <c r="X1619" t="s">
        <v>3</v>
      </c>
      <c r="AA1619" s="5" t="str">
        <f>HYPERLINK("https://www.zillow.com/homes/1160-CRYSTAL-AVE-DOWNERS-GROVE-IL-60516_rb/","check listing")</f>
        <v>check listing</v>
      </c>
      <c r="AB1619" s="5" t="str">
        <f>HYPERLINK("https://propertylookup.dupagecounty.gov/Datalets/Datalet.aspx?UseSearch=no&amp;mode=sales&amp;pin=0929116004","sales record")</f>
        <v>sales record</v>
      </c>
      <c r="AC1619" t="s">
        <v>3</v>
      </c>
      <c r="AD1619">
        <v>41.756549</v>
      </c>
      <c r="AE1619">
        <v>-88.011954</v>
      </c>
      <c r="AF1619" s="5" t="str">
        <f>HYPERLINK("https://www.google.com/maps/search/?api=1&amp;query=41.756549,-88.011954","map")</f>
        <v>map</v>
      </c>
    </row>
    <row r="1620" spans="1:32">
      <c r="A1620" t="s">
        <v>1670</v>
      </c>
      <c r="B1620" t="s">
        <v>9230</v>
      </c>
      <c r="C1620" t="s">
        <v>15254</v>
      </c>
      <c r="D1620" t="s">
        <v>16199</v>
      </c>
      <c r="E1620" t="s">
        <v>16218</v>
      </c>
      <c r="F1620" t="s">
        <v>16221</v>
      </c>
      <c r="G1620" t="s">
        <v>16249</v>
      </c>
      <c r="H1620" t="s">
        <v>16249</v>
      </c>
      <c r="I1620" t="s">
        <v>16325</v>
      </c>
      <c r="J1620" t="s">
        <v>16385</v>
      </c>
      <c r="K1620">
        <v>0.232</v>
      </c>
      <c r="L1620">
        <v>10089</v>
      </c>
      <c r="M1620">
        <v>1520</v>
      </c>
      <c r="N1620" t="s">
        <v>16393</v>
      </c>
      <c r="O1620" s="4">
        <v>60530</v>
      </c>
      <c r="P1620" s="4">
        <v>125413</v>
      </c>
      <c r="Q1620" s="4">
        <v>185943</v>
      </c>
      <c r="R1620" s="4">
        <v>557829</v>
      </c>
      <c r="S1620" t="s">
        <v>17968</v>
      </c>
      <c r="T1620" s="6">
        <v>36373</v>
      </c>
      <c r="U1620" s="4">
        <v>240000</v>
      </c>
      <c r="X1620" t="s">
        <v>3</v>
      </c>
      <c r="AA1620" s="5" t="str">
        <f>HYPERLINK("https://www.zillow.com/homes/1702-HAWKINS-AVE-DOWNERS-GROVE-IL-60516_rb/","check listing")</f>
        <v>check listing</v>
      </c>
      <c r="AB1620" s="5" t="str">
        <f>HYPERLINK("https://propertylookup.dupagecounty.gov/Datalets/Datalet.aspx?UseSearch=no&amp;mode=sales&amp;pin=0930103014","sales record")</f>
        <v>sales record</v>
      </c>
      <c r="AC1620" t="s">
        <v>3</v>
      </c>
      <c r="AD1620">
        <v>41.755829</v>
      </c>
      <c r="AE1620">
        <v>-88.02515</v>
      </c>
      <c r="AF1620" s="5" t="str">
        <f>HYPERLINK("https://www.google.com/maps/search/?api=1&amp;query=41.755829,-88.02515","map")</f>
        <v>map</v>
      </c>
    </row>
    <row r="1621" spans="1:32">
      <c r="A1621" t="s">
        <v>1671</v>
      </c>
      <c r="B1621" t="s">
        <v>9231</v>
      </c>
      <c r="C1621" t="s">
        <v>15254</v>
      </c>
      <c r="D1621" t="s">
        <v>16199</v>
      </c>
      <c r="E1621" t="s">
        <v>16218</v>
      </c>
      <c r="F1621" t="s">
        <v>16221</v>
      </c>
      <c r="G1621" t="s">
        <v>16249</v>
      </c>
      <c r="H1621" t="s">
        <v>16249</v>
      </c>
      <c r="I1621" t="s">
        <v>16325</v>
      </c>
      <c r="J1621" t="s">
        <v>16385</v>
      </c>
      <c r="K1621">
        <v>0.231</v>
      </c>
      <c r="L1621">
        <v>10070</v>
      </c>
      <c r="M1621">
        <v>2041</v>
      </c>
      <c r="N1621" t="s">
        <v>16393</v>
      </c>
      <c r="O1621" s="4">
        <v>55870</v>
      </c>
      <c r="P1621" s="4">
        <v>131705</v>
      </c>
      <c r="Q1621" s="4">
        <v>187575</v>
      </c>
      <c r="R1621" s="4">
        <v>562725</v>
      </c>
      <c r="S1621" t="s">
        <v>17969</v>
      </c>
      <c r="T1621" s="6">
        <v>30742</v>
      </c>
      <c r="U1621" s="4">
        <v>113914</v>
      </c>
      <c r="X1621" t="s">
        <v>3</v>
      </c>
      <c r="AA1621" s="5" t="str">
        <f>HYPERLINK("https://www.zillow.com/homes/7225-KELLY-PL-DOWNERS-GROVE-IL-60516_rb/","check listing")</f>
        <v>check listing</v>
      </c>
      <c r="AB1621" s="5" t="str">
        <f>HYPERLINK("https://propertylookup.dupagecounty.gov/Datalets/Datalet.aspx?UseSearch=no&amp;mode=sales&amp;pin=0930203028","sales record")</f>
        <v>sales record</v>
      </c>
      <c r="AC1621" t="s">
        <v>3</v>
      </c>
      <c r="AD1621">
        <v>41.755918</v>
      </c>
      <c r="AE1621">
        <v>-88.020538</v>
      </c>
      <c r="AF1621" s="5" t="str">
        <f>HYPERLINK("https://www.google.com/maps/search/?api=1&amp;query=41.755918,-88.020538","map")</f>
        <v>map</v>
      </c>
    </row>
    <row r="1622" spans="1:32">
      <c r="A1622" t="s">
        <v>1672</v>
      </c>
      <c r="B1622" t="s">
        <v>9232</v>
      </c>
      <c r="C1622" t="s">
        <v>15254</v>
      </c>
      <c r="D1622" t="s">
        <v>16199</v>
      </c>
      <c r="E1622" t="s">
        <v>16218</v>
      </c>
      <c r="F1622" t="s">
        <v>16221</v>
      </c>
      <c r="G1622" t="s">
        <v>16249</v>
      </c>
      <c r="H1622" t="s">
        <v>16249</v>
      </c>
      <c r="I1622" t="s">
        <v>16325</v>
      </c>
      <c r="J1622" t="s">
        <v>16385</v>
      </c>
      <c r="K1622">
        <v>0.231</v>
      </c>
      <c r="L1622">
        <v>10069</v>
      </c>
      <c r="M1622">
        <v>1667</v>
      </c>
      <c r="N1622" t="s">
        <v>16393</v>
      </c>
      <c r="O1622" s="4">
        <v>60741</v>
      </c>
      <c r="P1622" s="4">
        <v>117421</v>
      </c>
      <c r="Q1622" s="4">
        <v>178162</v>
      </c>
      <c r="R1622" s="4">
        <v>534486</v>
      </c>
      <c r="S1622" t="s">
        <v>17970</v>
      </c>
      <c r="T1622" s="6">
        <v>36373</v>
      </c>
      <c r="U1622" s="4">
        <v>200000</v>
      </c>
      <c r="X1622" t="s">
        <v>3</v>
      </c>
      <c r="AA1622" s="5" t="str">
        <f>HYPERLINK("https://www.zillow.com/homes/7100-POWELL-ST-DOWNERS-GROVE-IL-60516_rb/","check listing")</f>
        <v>check listing</v>
      </c>
      <c r="AB1622" s="5" t="str">
        <f>HYPERLINK("https://propertylookup.dupagecounty.gov/Datalets/Datalet.aspx?UseSearch=no&amp;mode=sales&amp;pin=0930204019","sales record")</f>
        <v>sales record</v>
      </c>
      <c r="AC1622" t="s">
        <v>3</v>
      </c>
      <c r="AD1622">
        <v>41.758067</v>
      </c>
      <c r="AE1622">
        <v>-88.016516</v>
      </c>
      <c r="AF1622" s="5" t="str">
        <f>HYPERLINK("https://www.google.com/maps/search/?api=1&amp;query=41.758067,-88.016516","map")</f>
        <v>map</v>
      </c>
    </row>
    <row r="1623" spans="1:32">
      <c r="A1623" t="s">
        <v>1673</v>
      </c>
      <c r="B1623" t="s">
        <v>9233</v>
      </c>
      <c r="C1623" t="s">
        <v>15254</v>
      </c>
      <c r="D1623" t="s">
        <v>16199</v>
      </c>
      <c r="E1623" t="s">
        <v>16218</v>
      </c>
      <c r="F1623" t="s">
        <v>16221</v>
      </c>
      <c r="G1623" t="s">
        <v>16249</v>
      </c>
      <c r="H1623" t="s">
        <v>16249</v>
      </c>
      <c r="I1623" t="s">
        <v>16325</v>
      </c>
      <c r="J1623" t="s">
        <v>16385</v>
      </c>
      <c r="K1623">
        <v>0.231</v>
      </c>
      <c r="L1623">
        <v>10052</v>
      </c>
      <c r="M1623">
        <v>1728</v>
      </c>
      <c r="N1623" t="s">
        <v>16393</v>
      </c>
      <c r="O1623" s="4">
        <v>49062</v>
      </c>
      <c r="P1623" s="4">
        <v>111165</v>
      </c>
      <c r="Q1623" s="4">
        <v>160227</v>
      </c>
      <c r="R1623" s="4">
        <v>480681</v>
      </c>
      <c r="S1623" t="s">
        <v>17971</v>
      </c>
      <c r="T1623" s="6">
        <v>37104</v>
      </c>
      <c r="U1623" s="4">
        <v>271750</v>
      </c>
      <c r="V1623" t="s">
        <v>23739</v>
      </c>
      <c r="W1623" t="s">
        <v>24512</v>
      </c>
      <c r="X1623" t="s">
        <v>3</v>
      </c>
      <c r="AA1623" s="5" t="str">
        <f>HYPERLINK("https://www.zillow.com/homes/7332-SELIG-PL-DOWNERS-GROVE-IL-60516_rb/","check listing")</f>
        <v>check listing</v>
      </c>
      <c r="AB1623" s="5" t="str">
        <f>HYPERLINK("https://propertylookup.dupagecounty.gov/Datalets/Datalet.aspx?UseSearch=no&amp;mode=sales&amp;pin=0930107024","sales record")</f>
        <v>sales record</v>
      </c>
      <c r="AC1623" t="s">
        <v>3</v>
      </c>
      <c r="AD1623">
        <v>41.753059</v>
      </c>
      <c r="AE1623">
        <v>-88.02470599999999</v>
      </c>
      <c r="AF1623" s="5" t="str">
        <f>HYPERLINK("https://www.google.com/maps/search/?api=1&amp;query=41.753059,-88.024706","map")</f>
        <v>map</v>
      </c>
    </row>
    <row r="1624" spans="1:32">
      <c r="A1624" t="s">
        <v>1674</v>
      </c>
      <c r="B1624" t="s">
        <v>9234</v>
      </c>
      <c r="C1624" t="s">
        <v>15254</v>
      </c>
      <c r="D1624" t="s">
        <v>16199</v>
      </c>
      <c r="E1624" t="s">
        <v>16218</v>
      </c>
      <c r="F1624" t="s">
        <v>16221</v>
      </c>
      <c r="G1624" t="s">
        <v>16249</v>
      </c>
      <c r="H1624" t="s">
        <v>16249</v>
      </c>
      <c r="I1624" t="s">
        <v>16325</v>
      </c>
      <c r="J1624" t="s">
        <v>16385</v>
      </c>
      <c r="K1624">
        <v>0.23</v>
      </c>
      <c r="L1624">
        <v>10024</v>
      </c>
      <c r="M1624">
        <v>1718</v>
      </c>
      <c r="N1624" t="s">
        <v>16393</v>
      </c>
      <c r="O1624" s="4">
        <v>59450</v>
      </c>
      <c r="P1624" s="4">
        <v>111669</v>
      </c>
      <c r="Q1624" s="4">
        <v>171119</v>
      </c>
      <c r="R1624" s="4">
        <v>513357</v>
      </c>
      <c r="S1624" t="s">
        <v>17972</v>
      </c>
      <c r="T1624" s="6">
        <v>33695</v>
      </c>
      <c r="U1624" s="4">
        <v>183500</v>
      </c>
      <c r="X1624" t="s">
        <v>3</v>
      </c>
      <c r="AA1624" s="5" t="str">
        <f>HYPERLINK("https://www.zillow.com/homes/7157-SPRINGSIDE-AVE-DOWNERS-GROVE-IL-60516_rb/","check listing")</f>
        <v>check listing</v>
      </c>
      <c r="AB1624" s="5" t="str">
        <f>HYPERLINK("https://propertylookup.dupagecounty.gov/Datalets/Datalet.aspx?UseSearch=no&amp;mode=sales&amp;pin=0930203008","sales record")</f>
        <v>sales record</v>
      </c>
      <c r="AC1624" t="s">
        <v>3</v>
      </c>
      <c r="AD1624">
        <v>41.757019</v>
      </c>
      <c r="AE1624">
        <v>-88.020653</v>
      </c>
      <c r="AF1624" s="5" t="str">
        <f>HYPERLINK("https://www.google.com/maps/search/?api=1&amp;query=41.757019,-88.020653","map")</f>
        <v>map</v>
      </c>
    </row>
    <row r="1625" spans="1:32">
      <c r="A1625" t="s">
        <v>1675</v>
      </c>
      <c r="B1625" t="s">
        <v>9235</v>
      </c>
      <c r="C1625" t="s">
        <v>15254</v>
      </c>
      <c r="D1625" t="s">
        <v>16199</v>
      </c>
      <c r="E1625" t="s">
        <v>16218</v>
      </c>
      <c r="F1625" t="s">
        <v>16221</v>
      </c>
      <c r="G1625" t="s">
        <v>16249</v>
      </c>
      <c r="H1625" t="s">
        <v>16249</v>
      </c>
      <c r="I1625" t="s">
        <v>16325</v>
      </c>
      <c r="J1625" t="s">
        <v>16385</v>
      </c>
      <c r="K1625">
        <v>0.23</v>
      </c>
      <c r="L1625">
        <v>10012</v>
      </c>
      <c r="M1625">
        <v>2317</v>
      </c>
      <c r="N1625" t="s">
        <v>16393</v>
      </c>
      <c r="O1625" s="4">
        <v>60753</v>
      </c>
      <c r="P1625" s="4">
        <v>130766</v>
      </c>
      <c r="Q1625" s="4">
        <v>191519</v>
      </c>
      <c r="R1625" s="4">
        <v>574557</v>
      </c>
      <c r="S1625" t="s">
        <v>17973</v>
      </c>
      <c r="T1625" s="6">
        <v>44802</v>
      </c>
      <c r="U1625" s="4">
        <v>402000</v>
      </c>
      <c r="V1625" t="s">
        <v>23739</v>
      </c>
      <c r="W1625" t="s">
        <v>24513</v>
      </c>
      <c r="X1625" t="s">
        <v>3</v>
      </c>
      <c r="AA1625" s="5" t="str">
        <f>HYPERLINK("https://www.zillow.com/homes/7125-DEXTER-RD-DOWNERS-GROVE-IL-60516_rb/","check listing")</f>
        <v>check listing</v>
      </c>
      <c r="AB1625" s="5" t="str">
        <f>HYPERLINK("https://propertylookup.dupagecounty.gov/Datalets/Datalet.aspx?UseSearch=no&amp;mode=sales&amp;pin=0930204001","sales record")</f>
        <v>sales record</v>
      </c>
      <c r="AC1625" t="s">
        <v>3</v>
      </c>
      <c r="AD1625">
        <v>41.75819</v>
      </c>
      <c r="AE1625">
        <v>-88.02010799999999</v>
      </c>
      <c r="AF1625" s="5" t="str">
        <f>HYPERLINK("https://www.google.com/maps/search/?api=1&amp;query=41.75819,-88.020108","map")</f>
        <v>map</v>
      </c>
    </row>
    <row r="1626" spans="1:32">
      <c r="A1626" t="s">
        <v>1676</v>
      </c>
      <c r="B1626" t="s">
        <v>9236</v>
      </c>
      <c r="C1626" t="s">
        <v>15330</v>
      </c>
      <c r="D1626" t="s">
        <v>16199</v>
      </c>
      <c r="E1626" t="s">
        <v>16218</v>
      </c>
      <c r="F1626" t="s">
        <v>16221</v>
      </c>
      <c r="G1626" t="s">
        <v>16249</v>
      </c>
      <c r="H1626" t="s">
        <v>16249</v>
      </c>
      <c r="I1626" t="s">
        <v>16325</v>
      </c>
      <c r="J1626" t="s">
        <v>16385</v>
      </c>
      <c r="K1626">
        <v>0.23</v>
      </c>
      <c r="L1626">
        <v>10001</v>
      </c>
      <c r="M1626">
        <v>1299</v>
      </c>
      <c r="N1626" t="s">
        <v>16393</v>
      </c>
      <c r="O1626" s="4">
        <v>59216</v>
      </c>
      <c r="P1626" s="4">
        <v>118454</v>
      </c>
      <c r="Q1626" s="4">
        <v>177670</v>
      </c>
      <c r="R1626" s="4">
        <v>533010</v>
      </c>
      <c r="S1626" t="s">
        <v>17974</v>
      </c>
      <c r="T1626" s="6">
        <v>43313</v>
      </c>
      <c r="U1626" s="4">
        <v>415000</v>
      </c>
      <c r="V1626" t="s">
        <v>23740</v>
      </c>
      <c r="W1626" t="s">
        <v>24514</v>
      </c>
      <c r="X1626" t="s">
        <v>3</v>
      </c>
      <c r="AA1626" s="5" t="str">
        <f>HYPERLINK("https://www.zillow.com/homes/7305-TICONDEROGA-RD-DOWNERS-GROVE-IL-605163755_rb/","check listing")</f>
        <v>check listing</v>
      </c>
      <c r="AB1626" s="5" t="str">
        <f>HYPERLINK("https://propertylookup.dupagecounty.gov/Datalets/Datalet.aspx?UseSearch=no&amp;mode=sales&amp;pin=0930105045","sales record")</f>
        <v>sales record</v>
      </c>
      <c r="AC1626" t="s">
        <v>3</v>
      </c>
      <c r="AD1626">
        <v>41.754322</v>
      </c>
      <c r="AE1626">
        <v>-88.023078</v>
      </c>
      <c r="AF1626" s="5" t="str">
        <f>HYPERLINK("https://www.google.com/maps/search/?api=1&amp;query=41.754322,-88.023078","map")</f>
        <v>map</v>
      </c>
    </row>
    <row r="1627" spans="1:32">
      <c r="A1627" t="s">
        <v>1677</v>
      </c>
      <c r="B1627" t="s">
        <v>9237</v>
      </c>
      <c r="C1627" t="s">
        <v>15277</v>
      </c>
      <c r="D1627" t="s">
        <v>16199</v>
      </c>
      <c r="E1627" t="s">
        <v>16218</v>
      </c>
      <c r="F1627" t="s">
        <v>16221</v>
      </c>
      <c r="G1627" t="s">
        <v>16250</v>
      </c>
      <c r="H1627" t="s">
        <v>16250</v>
      </c>
      <c r="I1627" t="s">
        <v>16326</v>
      </c>
      <c r="J1627" t="s">
        <v>16385</v>
      </c>
      <c r="K1627">
        <v>0.229</v>
      </c>
      <c r="L1627">
        <v>9997</v>
      </c>
      <c r="M1627">
        <v>959</v>
      </c>
      <c r="N1627" t="s">
        <v>16393</v>
      </c>
      <c r="O1627" s="4">
        <v>43545</v>
      </c>
      <c r="P1627" s="4">
        <v>42137</v>
      </c>
      <c r="Q1627" s="4">
        <v>85682</v>
      </c>
      <c r="R1627" s="4">
        <v>257046</v>
      </c>
      <c r="S1627" t="s">
        <v>17975</v>
      </c>
      <c r="T1627" s="6">
        <v>38930</v>
      </c>
      <c r="U1627" s="4">
        <v>249000</v>
      </c>
      <c r="V1627" t="s">
        <v>23740</v>
      </c>
      <c r="W1627" t="s">
        <v>17975</v>
      </c>
      <c r="X1627" t="s">
        <v>3</v>
      </c>
      <c r="AA1627" s="5" t="str">
        <f>HYPERLINK("https://www.zillow.com/homes/4329-FAIRVIEW-AVE-DOWNERS-GROVE-IL-60515_rb/","check listing")</f>
        <v>check listing</v>
      </c>
      <c r="AB1627" s="5" t="str">
        <f>HYPERLINK("https://propertylookup.dupagecounty.gov/Datalets/Datalet.aspx?UseSearch=no&amp;mode=sales&amp;pin=0904300013","sales record")</f>
        <v>sales record</v>
      </c>
      <c r="AC1627" t="s">
        <v>3</v>
      </c>
      <c r="AD1627">
        <v>41.808451</v>
      </c>
      <c r="AE1627">
        <v>-87.99475700000001</v>
      </c>
      <c r="AF1627" s="5" t="str">
        <f>HYPERLINK("https://www.google.com/maps/search/?api=1&amp;query=41.808451,-87.994757","map")</f>
        <v>map</v>
      </c>
    </row>
    <row r="1628" spans="1:32">
      <c r="A1628" t="s">
        <v>1678</v>
      </c>
      <c r="B1628" t="s">
        <v>9238</v>
      </c>
      <c r="C1628" t="s">
        <v>15254</v>
      </c>
      <c r="D1628" t="s">
        <v>16199</v>
      </c>
      <c r="E1628" t="s">
        <v>16218</v>
      </c>
      <c r="F1628" t="s">
        <v>16221</v>
      </c>
      <c r="G1628" t="s">
        <v>16249</v>
      </c>
      <c r="H1628" t="s">
        <v>16249</v>
      </c>
      <c r="I1628" t="s">
        <v>16325</v>
      </c>
      <c r="J1628" t="s">
        <v>16385</v>
      </c>
      <c r="K1628">
        <v>0.229</v>
      </c>
      <c r="L1628">
        <v>9996</v>
      </c>
      <c r="M1628">
        <v>2598</v>
      </c>
      <c r="N1628" t="s">
        <v>16393</v>
      </c>
      <c r="O1628" s="4">
        <v>61832</v>
      </c>
      <c r="P1628" s="4">
        <v>141611</v>
      </c>
      <c r="Q1628" s="4">
        <v>203443</v>
      </c>
      <c r="R1628" s="4">
        <v>610329</v>
      </c>
      <c r="S1628" t="s">
        <v>17976</v>
      </c>
      <c r="T1628" s="6">
        <v>35977</v>
      </c>
      <c r="U1628" s="4">
        <v>251000</v>
      </c>
      <c r="X1628" t="s">
        <v>3</v>
      </c>
      <c r="AA1628" s="5" t="str">
        <f>HYPERLINK("https://www.zillow.com/homes/7224-POWELL-ST-DOWNERS-GROVE-IL-60516_rb/","check listing")</f>
        <v>check listing</v>
      </c>
      <c r="AB1628" s="5" t="str">
        <f>HYPERLINK("https://propertylookup.dupagecounty.gov/Datalets/Datalet.aspx?UseSearch=no&amp;mode=sales&amp;pin=0930204031","sales record")</f>
        <v>sales record</v>
      </c>
      <c r="AC1628" t="s">
        <v>3</v>
      </c>
      <c r="AD1628">
        <v>41.755715</v>
      </c>
      <c r="AE1628">
        <v>-88.017017</v>
      </c>
      <c r="AF1628" s="5" t="str">
        <f>HYPERLINK("https://www.google.com/maps/search/?api=1&amp;query=41.755715,-88.017017","map")</f>
        <v>map</v>
      </c>
    </row>
    <row r="1629" spans="1:32">
      <c r="A1629" t="s">
        <v>1679</v>
      </c>
      <c r="B1629" t="s">
        <v>9239</v>
      </c>
      <c r="C1629" t="s">
        <v>15254</v>
      </c>
      <c r="D1629" t="s">
        <v>16199</v>
      </c>
      <c r="E1629" t="s">
        <v>16218</v>
      </c>
      <c r="F1629" t="s">
        <v>16221</v>
      </c>
      <c r="G1629" t="s">
        <v>16249</v>
      </c>
      <c r="H1629" t="s">
        <v>16249</v>
      </c>
      <c r="I1629" t="s">
        <v>16325</v>
      </c>
      <c r="J1629" t="s">
        <v>16385</v>
      </c>
      <c r="K1629">
        <v>0.229</v>
      </c>
      <c r="L1629">
        <v>9984</v>
      </c>
      <c r="M1629">
        <v>1676</v>
      </c>
      <c r="N1629" t="s">
        <v>16393</v>
      </c>
      <c r="O1629" s="4">
        <v>55612</v>
      </c>
      <c r="P1629" s="4">
        <v>112198</v>
      </c>
      <c r="Q1629" s="4">
        <v>167810</v>
      </c>
      <c r="R1629" s="4">
        <v>503430</v>
      </c>
      <c r="S1629" t="s">
        <v>17977</v>
      </c>
      <c r="T1629" s="6">
        <v>30895</v>
      </c>
      <c r="U1629" s="4">
        <v>119751</v>
      </c>
      <c r="X1629" t="s">
        <v>3</v>
      </c>
      <c r="AA1629" s="5" t="str">
        <f>HYPERLINK("https://www.zillow.com/homes/7116-DEXTER-RD-DOWNERS-GROVE-IL-60516_rb/","check listing")</f>
        <v>check listing</v>
      </c>
      <c r="AB1629" s="5" t="str">
        <f>HYPERLINK("https://propertylookup.dupagecounty.gov/Datalets/Datalet.aspx?UseSearch=no&amp;mode=sales&amp;pin=0919417005","sales record")</f>
        <v>sales record</v>
      </c>
      <c r="AC1629" t="s">
        <v>3</v>
      </c>
      <c r="AD1629">
        <v>41.758427</v>
      </c>
      <c r="AE1629">
        <v>-88.021131</v>
      </c>
      <c r="AF1629" s="5" t="str">
        <f>HYPERLINK("https://www.google.com/maps/search/?api=1&amp;query=41.758427,-88.021131","map")</f>
        <v>map</v>
      </c>
    </row>
    <row r="1630" spans="1:32">
      <c r="A1630" t="s">
        <v>1680</v>
      </c>
      <c r="B1630" t="s">
        <v>9240</v>
      </c>
      <c r="C1630" t="s">
        <v>15254</v>
      </c>
      <c r="D1630" t="s">
        <v>16199</v>
      </c>
      <c r="E1630" t="s">
        <v>16218</v>
      </c>
      <c r="F1630" t="s">
        <v>16221</v>
      </c>
      <c r="G1630" t="s">
        <v>16249</v>
      </c>
      <c r="H1630" t="s">
        <v>16249</v>
      </c>
      <c r="I1630" t="s">
        <v>16325</v>
      </c>
      <c r="J1630" t="s">
        <v>16385</v>
      </c>
      <c r="K1630">
        <v>0.229</v>
      </c>
      <c r="L1630">
        <v>9979</v>
      </c>
      <c r="M1630">
        <v>1807</v>
      </c>
      <c r="N1630" t="s">
        <v>16393</v>
      </c>
      <c r="O1630" s="4">
        <v>55388</v>
      </c>
      <c r="P1630" s="4">
        <v>129428</v>
      </c>
      <c r="Q1630" s="4">
        <v>184816</v>
      </c>
      <c r="R1630" s="4">
        <v>554448</v>
      </c>
      <c r="S1630" t="s">
        <v>17978</v>
      </c>
      <c r="T1630" s="6">
        <v>31959</v>
      </c>
      <c r="U1630" s="4">
        <v>135304</v>
      </c>
      <c r="X1630" t="s">
        <v>3</v>
      </c>
      <c r="AA1630" s="5" t="str">
        <f>HYPERLINK("https://www.zillow.com/homes/7316-DEVEREUX-RD-DOWNERS-GROVE-IL-60516_rb/","check listing")</f>
        <v>check listing</v>
      </c>
      <c r="AB1630" s="5" t="str">
        <f>HYPERLINK("https://propertylookup.dupagecounty.gov/Datalets/Datalet.aspx?UseSearch=no&amp;mode=sales&amp;pin=0930106020","sales record")</f>
        <v>sales record</v>
      </c>
      <c r="AC1630" t="s">
        <v>3</v>
      </c>
      <c r="AD1630">
        <v>41.753836</v>
      </c>
      <c r="AE1630">
        <v>-88.025397</v>
      </c>
      <c r="AF1630" s="5" t="str">
        <f>HYPERLINK("https://www.google.com/maps/search/?api=1&amp;query=41.753836,-88.025397","map")</f>
        <v>map</v>
      </c>
    </row>
    <row r="1631" spans="1:32">
      <c r="A1631" t="s">
        <v>1681</v>
      </c>
      <c r="B1631" t="s">
        <v>9241</v>
      </c>
      <c r="C1631" t="s">
        <v>15331</v>
      </c>
      <c r="D1631" t="s">
        <v>16199</v>
      </c>
      <c r="E1631" t="s">
        <v>16218</v>
      </c>
      <c r="F1631" t="s">
        <v>16221</v>
      </c>
      <c r="G1631" t="s">
        <v>16249</v>
      </c>
      <c r="H1631" t="s">
        <v>16249</v>
      </c>
      <c r="I1631" t="s">
        <v>16325</v>
      </c>
      <c r="J1631" t="s">
        <v>16385</v>
      </c>
      <c r="K1631">
        <v>0.229</v>
      </c>
      <c r="L1631">
        <v>9959</v>
      </c>
      <c r="M1631">
        <v>1727</v>
      </c>
      <c r="N1631" t="s">
        <v>16393</v>
      </c>
      <c r="O1631" s="4">
        <v>62032</v>
      </c>
      <c r="P1631" s="4">
        <v>110355</v>
      </c>
      <c r="Q1631" s="4">
        <v>172387</v>
      </c>
      <c r="R1631" s="4">
        <v>517161</v>
      </c>
      <c r="S1631" t="s">
        <v>17979</v>
      </c>
      <c r="T1631" s="6">
        <v>32082</v>
      </c>
      <c r="U1631" s="4">
        <v>153612</v>
      </c>
      <c r="X1631" t="s">
        <v>3</v>
      </c>
      <c r="AA1631" s="5" t="str">
        <f>HYPERLINK("https://www.zillow.com/homes/7208-POWELL-ST-DOWNERS-GROVE-IL-605163781_rb/","check listing")</f>
        <v>check listing</v>
      </c>
      <c r="AB1631" s="5" t="str">
        <f>HYPERLINK("https://propertylookup.dupagecounty.gov/Datalets/Datalet.aspx?UseSearch=no&amp;mode=sales&amp;pin=0930204027","sales record")</f>
        <v>sales record</v>
      </c>
      <c r="AC1631" t="s">
        <v>3</v>
      </c>
      <c r="AD1631">
        <v>41.756524</v>
      </c>
      <c r="AE1631">
        <v>-88.016513</v>
      </c>
      <c r="AF1631" s="5" t="str">
        <f>HYPERLINK("https://www.google.com/maps/search/?api=1&amp;query=41.756524,-88.016513","map")</f>
        <v>map</v>
      </c>
    </row>
    <row r="1632" spans="1:32">
      <c r="A1632" t="s">
        <v>1682</v>
      </c>
      <c r="B1632" t="s">
        <v>9242</v>
      </c>
      <c r="C1632" t="s">
        <v>15254</v>
      </c>
      <c r="D1632" t="s">
        <v>16199</v>
      </c>
      <c r="E1632" t="s">
        <v>16218</v>
      </c>
      <c r="F1632" t="s">
        <v>16221</v>
      </c>
      <c r="G1632" t="s">
        <v>16249</v>
      </c>
      <c r="H1632" t="s">
        <v>16249</v>
      </c>
      <c r="I1632" t="s">
        <v>16325</v>
      </c>
      <c r="J1632" t="s">
        <v>16385</v>
      </c>
      <c r="K1632">
        <v>0.229</v>
      </c>
      <c r="L1632">
        <v>9957</v>
      </c>
      <c r="M1632">
        <v>1798</v>
      </c>
      <c r="N1632" t="s">
        <v>16393</v>
      </c>
      <c r="O1632" s="4">
        <v>57419</v>
      </c>
      <c r="P1632" s="4">
        <v>133759</v>
      </c>
      <c r="Q1632" s="4">
        <v>191178</v>
      </c>
      <c r="R1632" s="4">
        <v>573534</v>
      </c>
      <c r="S1632" t="s">
        <v>17980</v>
      </c>
      <c r="T1632" s="6">
        <v>40269</v>
      </c>
      <c r="U1632" s="4">
        <v>341000</v>
      </c>
      <c r="V1632" t="s">
        <v>23739</v>
      </c>
      <c r="W1632" t="s">
        <v>24515</v>
      </c>
      <c r="X1632" t="s">
        <v>3</v>
      </c>
      <c r="AA1632" s="5" t="str">
        <f>HYPERLINK("https://www.zillow.com/homes/7229-CAMDEN-RD-DOWNERS-GROVE-IL-60516_rb/","check listing")</f>
        <v>check listing</v>
      </c>
      <c r="AB1632" s="5" t="str">
        <f>HYPERLINK("https://propertylookup.dupagecounty.gov/Datalets/Datalet.aspx?UseSearch=no&amp;mode=sales&amp;pin=0930105028","sales record")</f>
        <v>sales record</v>
      </c>
      <c r="AC1632" t="s">
        <v>3</v>
      </c>
      <c r="AD1632">
        <v>41.754792</v>
      </c>
      <c r="AE1632">
        <v>-88.024213</v>
      </c>
      <c r="AF1632" s="5" t="str">
        <f>HYPERLINK("https://www.google.com/maps/search/?api=1&amp;query=41.754792,-88.024213","map")</f>
        <v>map</v>
      </c>
    </row>
    <row r="1633" spans="1:32">
      <c r="A1633" t="s">
        <v>1683</v>
      </c>
      <c r="B1633" t="s">
        <v>9243</v>
      </c>
      <c r="C1633" t="s">
        <v>15254</v>
      </c>
      <c r="D1633" t="s">
        <v>16199</v>
      </c>
      <c r="E1633" t="s">
        <v>16218</v>
      </c>
      <c r="F1633" t="s">
        <v>16221</v>
      </c>
      <c r="G1633" t="s">
        <v>16249</v>
      </c>
      <c r="H1633" t="s">
        <v>16249</v>
      </c>
      <c r="I1633" t="s">
        <v>16325</v>
      </c>
      <c r="J1633" t="s">
        <v>16385</v>
      </c>
      <c r="K1633">
        <v>0.228</v>
      </c>
      <c r="L1633">
        <v>9947</v>
      </c>
      <c r="M1633">
        <v>2134</v>
      </c>
      <c r="N1633" t="s">
        <v>16393</v>
      </c>
      <c r="O1633" s="4">
        <v>68311</v>
      </c>
      <c r="P1633" s="4">
        <v>105766</v>
      </c>
      <c r="Q1633" s="4">
        <v>174077</v>
      </c>
      <c r="R1633" s="4">
        <v>522231</v>
      </c>
      <c r="S1633" t="s">
        <v>17981</v>
      </c>
      <c r="T1633" s="6">
        <v>46079</v>
      </c>
      <c r="U1633" s="4">
        <v>571000</v>
      </c>
      <c r="V1633" t="s">
        <v>16232</v>
      </c>
      <c r="W1633" t="s">
        <v>24516</v>
      </c>
      <c r="X1633" t="s">
        <v>3</v>
      </c>
      <c r="AA1633" s="5" t="str">
        <f>HYPERLINK("https://www.zillow.com/homes/7164-DEXTER-RD-DOWNERS-GROVE-IL-60516_rb/","check listing")</f>
        <v>check listing</v>
      </c>
      <c r="AB1633" s="5" t="str">
        <f>HYPERLINK("https://propertylookup.dupagecounty.gov/Datalets/Datalet.aspx?UseSearch=no&amp;mode=sales&amp;pin=0930203035","sales record")</f>
        <v>sales record</v>
      </c>
      <c r="AC1633" t="s">
        <v>3</v>
      </c>
      <c r="AD1633">
        <v>41.757277</v>
      </c>
      <c r="AE1633">
        <v>-88.01932100000001</v>
      </c>
      <c r="AF1633" s="5" t="str">
        <f>HYPERLINK("https://www.google.com/maps/search/?api=1&amp;query=41.757277,-88.019321","map")</f>
        <v>map</v>
      </c>
    </row>
    <row r="1634" spans="1:32">
      <c r="A1634" t="s">
        <v>1684</v>
      </c>
      <c r="B1634" t="s">
        <v>9244</v>
      </c>
      <c r="C1634" t="s">
        <v>15277</v>
      </c>
      <c r="D1634" t="s">
        <v>16199</v>
      </c>
      <c r="E1634" t="s">
        <v>16218</v>
      </c>
      <c r="F1634" t="s">
        <v>16221</v>
      </c>
      <c r="G1634" t="s">
        <v>16250</v>
      </c>
      <c r="H1634" t="s">
        <v>16250</v>
      </c>
      <c r="I1634" t="s">
        <v>16326</v>
      </c>
      <c r="J1634" t="s">
        <v>16385</v>
      </c>
      <c r="K1634">
        <v>0.228</v>
      </c>
      <c r="L1634">
        <v>9924</v>
      </c>
      <c r="M1634">
        <v>935</v>
      </c>
      <c r="N1634" t="s">
        <v>16393</v>
      </c>
      <c r="O1634" s="4">
        <v>58347</v>
      </c>
      <c r="P1634" s="4">
        <v>61069</v>
      </c>
      <c r="Q1634" s="4">
        <v>119416</v>
      </c>
      <c r="R1634" s="4">
        <v>358248</v>
      </c>
      <c r="S1634" t="s">
        <v>17982</v>
      </c>
      <c r="T1634" s="6">
        <v>40695</v>
      </c>
      <c r="U1634" s="4">
        <v>176000</v>
      </c>
      <c r="V1634" t="s">
        <v>16232</v>
      </c>
      <c r="W1634" t="s">
        <v>24517</v>
      </c>
      <c r="X1634" t="s">
        <v>3</v>
      </c>
      <c r="AA1634" s="5" t="str">
        <f>HYPERLINK("https://www.zillow.com/homes/4914-CUMNOR-RD-DOWNERS-GROVE-IL-60515_rb/","check listing")</f>
        <v>check listing</v>
      </c>
      <c r="AB1634" s="5" t="str">
        <f>HYPERLINK("https://propertylookup.dupagecounty.gov/Datalets/Datalet.aspx?UseSearch=no&amp;mode=sales&amp;pin=0909111014","sales record")</f>
        <v>sales record</v>
      </c>
      <c r="AC1634" t="s">
        <v>3</v>
      </c>
      <c r="AD1634">
        <v>41.798009</v>
      </c>
      <c r="AE1634">
        <v>-87.99043</v>
      </c>
      <c r="AF1634" s="5" t="str">
        <f>HYPERLINK("https://www.google.com/maps/search/?api=1&amp;query=41.798009,-87.99043","map")</f>
        <v>map</v>
      </c>
    </row>
    <row r="1635" spans="1:32">
      <c r="A1635" t="s">
        <v>1685</v>
      </c>
      <c r="B1635" t="s">
        <v>9245</v>
      </c>
      <c r="C1635" t="s">
        <v>15254</v>
      </c>
      <c r="D1635" t="s">
        <v>16199</v>
      </c>
      <c r="E1635" t="s">
        <v>16218</v>
      </c>
      <c r="F1635" t="s">
        <v>16221</v>
      </c>
      <c r="G1635" t="s">
        <v>16249</v>
      </c>
      <c r="H1635" t="s">
        <v>16249</v>
      </c>
      <c r="I1635" t="s">
        <v>16325</v>
      </c>
      <c r="J1635" t="s">
        <v>16385</v>
      </c>
      <c r="K1635">
        <v>0.228</v>
      </c>
      <c r="L1635">
        <v>9923</v>
      </c>
      <c r="M1635">
        <v>2384</v>
      </c>
      <c r="N1635" t="s">
        <v>16393</v>
      </c>
      <c r="O1635" s="4">
        <v>52020</v>
      </c>
      <c r="P1635" s="4">
        <v>117232</v>
      </c>
      <c r="Q1635" s="4">
        <v>169252</v>
      </c>
      <c r="R1635" s="4">
        <v>507756</v>
      </c>
      <c r="S1635" t="s">
        <v>17983</v>
      </c>
      <c r="T1635" s="6">
        <v>30498</v>
      </c>
      <c r="U1635" s="4">
        <v>118500</v>
      </c>
      <c r="X1635" t="s">
        <v>3</v>
      </c>
      <c r="AA1635" s="5" t="str">
        <f>HYPERLINK("https://www.zillow.com/homes/1537-71ST-TERR-DOWNERS-GROVE-IL-60516_rb/","check listing")</f>
        <v>check listing</v>
      </c>
      <c r="AB1635" s="5" t="str">
        <f>HYPERLINK("https://propertylookup.dupagecounty.gov/Datalets/Datalet.aspx?UseSearch=no&amp;mode=sales&amp;pin=0930200021","sales record")</f>
        <v>sales record</v>
      </c>
      <c r="AC1635" t="s">
        <v>3</v>
      </c>
      <c r="AD1635">
        <v>41.758189</v>
      </c>
      <c r="AE1635">
        <v>-88.02160600000001</v>
      </c>
      <c r="AF1635" s="5" t="str">
        <f>HYPERLINK("https://www.google.com/maps/search/?api=1&amp;query=41.758189,-88.021606","map")</f>
        <v>map</v>
      </c>
    </row>
    <row r="1636" spans="1:32">
      <c r="A1636" t="s">
        <v>1686</v>
      </c>
      <c r="B1636" t="s">
        <v>9246</v>
      </c>
      <c r="C1636" t="s">
        <v>15277</v>
      </c>
      <c r="D1636" t="s">
        <v>16199</v>
      </c>
      <c r="E1636" t="s">
        <v>16218</v>
      </c>
      <c r="F1636" t="s">
        <v>16221</v>
      </c>
      <c r="G1636" t="s">
        <v>16250</v>
      </c>
      <c r="H1636" t="s">
        <v>16250</v>
      </c>
      <c r="I1636" t="s">
        <v>16326</v>
      </c>
      <c r="J1636" t="s">
        <v>16385</v>
      </c>
      <c r="K1636">
        <v>0.228</v>
      </c>
      <c r="L1636">
        <v>9918</v>
      </c>
      <c r="M1636">
        <v>1480</v>
      </c>
      <c r="N1636" t="s">
        <v>16393</v>
      </c>
      <c r="O1636" s="4">
        <v>58347</v>
      </c>
      <c r="P1636" s="4">
        <v>63382</v>
      </c>
      <c r="Q1636" s="4">
        <v>121729</v>
      </c>
      <c r="R1636" s="4">
        <v>365187</v>
      </c>
      <c r="S1636" t="s">
        <v>17984</v>
      </c>
      <c r="T1636" s="6">
        <v>38961</v>
      </c>
      <c r="U1636" s="4">
        <v>322000</v>
      </c>
      <c r="V1636" t="s">
        <v>23739</v>
      </c>
      <c r="W1636" t="s">
        <v>24518</v>
      </c>
      <c r="X1636" t="s">
        <v>3</v>
      </c>
      <c r="AA1636" s="5" t="str">
        <f>HYPERLINK("https://www.zillow.com/homes/4920-CUMNOR-RD-DOWNERS-GROVE-IL-60515_rb/","check listing")</f>
        <v>check listing</v>
      </c>
      <c r="AB1636" s="5" t="str">
        <f>HYPERLINK("https://propertylookup.dupagecounty.gov/Datalets/Datalet.aspx?UseSearch=no&amp;mode=sales&amp;pin=0909111015","sales record")</f>
        <v>sales record</v>
      </c>
      <c r="AC1636" t="s">
        <v>27873</v>
      </c>
      <c r="AD1636">
        <v>41.79785</v>
      </c>
      <c r="AE1636">
        <v>-87.990424</v>
      </c>
      <c r="AF1636" s="5" t="str">
        <f>HYPERLINK("https://www.google.com/maps/search/?api=1&amp;query=41.79785,-87.990424","map")</f>
        <v>map</v>
      </c>
    </row>
    <row r="1637" spans="1:32">
      <c r="A1637" t="s">
        <v>1687</v>
      </c>
      <c r="B1637" t="s">
        <v>9247</v>
      </c>
      <c r="C1637" t="s">
        <v>15312</v>
      </c>
      <c r="D1637" t="s">
        <v>16199</v>
      </c>
      <c r="E1637" t="s">
        <v>16218</v>
      </c>
      <c r="F1637" t="s">
        <v>16221</v>
      </c>
      <c r="G1637" t="s">
        <v>16250</v>
      </c>
      <c r="H1637" t="s">
        <v>16250</v>
      </c>
      <c r="I1637" t="s">
        <v>16326</v>
      </c>
      <c r="J1637" t="s">
        <v>16385</v>
      </c>
      <c r="K1637">
        <v>0.228</v>
      </c>
      <c r="L1637">
        <v>9916</v>
      </c>
      <c r="M1637">
        <v>1531</v>
      </c>
      <c r="N1637" t="s">
        <v>16393</v>
      </c>
      <c r="O1637" s="4">
        <v>58347</v>
      </c>
      <c r="P1637" s="4">
        <v>69755</v>
      </c>
      <c r="Q1637" s="4">
        <v>128102</v>
      </c>
      <c r="R1637" s="4">
        <v>384306</v>
      </c>
      <c r="S1637" t="s">
        <v>17985</v>
      </c>
      <c r="T1637" s="6">
        <v>43891</v>
      </c>
      <c r="U1637" s="4">
        <v>320000</v>
      </c>
      <c r="V1637" t="s">
        <v>23739</v>
      </c>
      <c r="W1637" t="s">
        <v>24519</v>
      </c>
      <c r="X1637" t="s">
        <v>3</v>
      </c>
      <c r="AA1637" s="5" t="str">
        <f>HYPERLINK("https://www.zillow.com/homes/4926-CUMNOR-RD-DOWNERS-GROVE-IL-605153939_rb/","check listing")</f>
        <v>check listing</v>
      </c>
      <c r="AB1637" s="5" t="str">
        <f>HYPERLINK("https://propertylookup.dupagecounty.gov/Datalets/Datalet.aspx?UseSearch=no&amp;mode=sales&amp;pin=0909111016","sales record")</f>
        <v>sales record</v>
      </c>
      <c r="AC1637" t="s">
        <v>27873</v>
      </c>
      <c r="AD1637">
        <v>41.797691</v>
      </c>
      <c r="AE1637">
        <v>-87.99041699999999</v>
      </c>
      <c r="AF1637" s="5" t="str">
        <f>HYPERLINK("https://www.google.com/maps/search/?api=1&amp;query=41.797691,-87.990417","map")</f>
        <v>map</v>
      </c>
    </row>
    <row r="1638" spans="1:32">
      <c r="A1638" t="s">
        <v>1688</v>
      </c>
      <c r="B1638" t="s">
        <v>9248</v>
      </c>
      <c r="C1638" t="s">
        <v>15332</v>
      </c>
      <c r="D1638" t="s">
        <v>16199</v>
      </c>
      <c r="E1638" t="s">
        <v>16218</v>
      </c>
      <c r="F1638" t="s">
        <v>16221</v>
      </c>
      <c r="G1638" t="s">
        <v>16249</v>
      </c>
      <c r="H1638" t="s">
        <v>16249</v>
      </c>
      <c r="I1638" t="s">
        <v>16325</v>
      </c>
      <c r="J1638" t="s">
        <v>16385</v>
      </c>
      <c r="K1638">
        <v>0.227</v>
      </c>
      <c r="L1638">
        <v>9907</v>
      </c>
      <c r="M1638">
        <v>2540</v>
      </c>
      <c r="N1638" t="s">
        <v>16393</v>
      </c>
      <c r="O1638" s="4">
        <v>48006</v>
      </c>
      <c r="P1638" s="4">
        <v>122597</v>
      </c>
      <c r="Q1638" s="4">
        <v>170603</v>
      </c>
      <c r="R1638" s="4">
        <v>511809</v>
      </c>
      <c r="S1638" t="s">
        <v>17986</v>
      </c>
      <c r="T1638" s="6">
        <v>38899</v>
      </c>
      <c r="U1638" s="4">
        <v>362000</v>
      </c>
      <c r="V1638" t="s">
        <v>23739</v>
      </c>
      <c r="W1638" t="s">
        <v>24520</v>
      </c>
      <c r="X1638" t="s">
        <v>3</v>
      </c>
      <c r="AA1638" s="5" t="str">
        <f>HYPERLINK("https://www.zillow.com/homes/7201-POWELL-ST-DOWNERS-GROVE-IL-605163780_rb/","check listing")</f>
        <v>check listing</v>
      </c>
      <c r="AB1638" s="5" t="str">
        <f>HYPERLINK("https://propertylookup.dupagecounty.gov/Datalets/Datalet.aspx?UseSearch=no&amp;mode=sales&amp;pin=0930207001","sales record")</f>
        <v>sales record</v>
      </c>
      <c r="AC1638" t="s">
        <v>3</v>
      </c>
      <c r="AD1638">
        <v>41.756844</v>
      </c>
      <c r="AE1638">
        <v>-88.01585300000001</v>
      </c>
      <c r="AF1638" s="5" t="str">
        <f>HYPERLINK("https://www.google.com/maps/search/?api=1&amp;query=41.756844,-88.015853","map")</f>
        <v>map</v>
      </c>
    </row>
    <row r="1639" spans="1:32">
      <c r="A1639" t="s">
        <v>1689</v>
      </c>
      <c r="B1639" t="s">
        <v>9249</v>
      </c>
      <c r="C1639" t="s">
        <v>15277</v>
      </c>
      <c r="D1639" t="s">
        <v>16199</v>
      </c>
      <c r="E1639" t="s">
        <v>16218</v>
      </c>
      <c r="F1639" t="s">
        <v>16221</v>
      </c>
      <c r="G1639" t="s">
        <v>16250</v>
      </c>
      <c r="H1639" t="s">
        <v>16250</v>
      </c>
      <c r="I1639" t="s">
        <v>16326</v>
      </c>
      <c r="J1639" t="s">
        <v>16385</v>
      </c>
      <c r="K1639">
        <v>0.227</v>
      </c>
      <c r="L1639">
        <v>9906</v>
      </c>
      <c r="M1639">
        <v>924</v>
      </c>
      <c r="N1639" t="s">
        <v>16393</v>
      </c>
      <c r="O1639" s="4">
        <v>56339</v>
      </c>
      <c r="P1639" s="4">
        <v>61738</v>
      </c>
      <c r="Q1639" s="4">
        <v>118077</v>
      </c>
      <c r="R1639" s="4">
        <v>354231</v>
      </c>
      <c r="S1639" t="s">
        <v>17987</v>
      </c>
      <c r="X1639" t="s">
        <v>3</v>
      </c>
      <c r="AA1639" s="5" t="str">
        <f>HYPERLINK("https://www.zillow.com/homes/4932-CUMNOR-RD-DOWNERS-GROVE-IL-60515_rb/","check listing")</f>
        <v>check listing</v>
      </c>
      <c r="AB1639" s="5" t="str">
        <f>HYPERLINK("https://propertylookup.dupagecounty.gov/Datalets/Datalet.aspx?UseSearch=no&amp;mode=sales&amp;pin=0909111017","sales record")</f>
        <v>sales record</v>
      </c>
      <c r="AC1639" t="s">
        <v>3</v>
      </c>
      <c r="AD1639">
        <v>41.797532</v>
      </c>
      <c r="AE1639">
        <v>-87.99041099999999</v>
      </c>
      <c r="AF1639" s="5" t="str">
        <f>HYPERLINK("https://www.google.com/maps/search/?api=1&amp;query=41.797532,-87.990411","map")</f>
        <v>map</v>
      </c>
    </row>
    <row r="1640" spans="1:32">
      <c r="A1640" t="s">
        <v>1690</v>
      </c>
      <c r="B1640" t="s">
        <v>9250</v>
      </c>
      <c r="C1640" t="s">
        <v>15254</v>
      </c>
      <c r="D1640" t="s">
        <v>16199</v>
      </c>
      <c r="E1640" t="s">
        <v>16218</v>
      </c>
      <c r="F1640" t="s">
        <v>16221</v>
      </c>
      <c r="G1640" t="s">
        <v>16249</v>
      </c>
      <c r="H1640" t="s">
        <v>16249</v>
      </c>
      <c r="I1640" t="s">
        <v>16325</v>
      </c>
      <c r="J1640" t="s">
        <v>16385</v>
      </c>
      <c r="K1640">
        <v>0.227</v>
      </c>
      <c r="L1640">
        <v>9897</v>
      </c>
      <c r="M1640">
        <v>2278</v>
      </c>
      <c r="N1640" t="s">
        <v>16393</v>
      </c>
      <c r="O1640" s="4">
        <v>58253</v>
      </c>
      <c r="P1640" s="4">
        <v>108594</v>
      </c>
      <c r="Q1640" s="4">
        <v>166847</v>
      </c>
      <c r="R1640" s="4">
        <v>500541</v>
      </c>
      <c r="S1640" t="s">
        <v>17988</v>
      </c>
      <c r="T1640" s="6">
        <v>35674</v>
      </c>
      <c r="U1640" s="4">
        <v>215000</v>
      </c>
      <c r="X1640" t="s">
        <v>3</v>
      </c>
      <c r="AA1640" s="5" t="str">
        <f>HYPERLINK("https://www.zillow.com/homes/7220-POWELL-ST-DOWNERS-GROVE-IL-60516_rb/","check listing")</f>
        <v>check listing</v>
      </c>
      <c r="AB1640" s="5" t="str">
        <f>HYPERLINK("https://propertylookup.dupagecounty.gov/Datalets/Datalet.aspx?UseSearch=no&amp;mode=sales&amp;pin=0930204030","sales record")</f>
        <v>sales record</v>
      </c>
      <c r="AC1640" t="s">
        <v>3</v>
      </c>
      <c r="AD1640">
        <v>41.755975</v>
      </c>
      <c r="AE1640">
        <v>-88.016851</v>
      </c>
      <c r="AF1640" s="5" t="str">
        <f>HYPERLINK("https://www.google.com/maps/search/?api=1&amp;query=41.755975,-88.016851","map")</f>
        <v>map</v>
      </c>
    </row>
    <row r="1641" spans="1:32">
      <c r="A1641" t="s">
        <v>1691</v>
      </c>
      <c r="B1641" t="s">
        <v>9251</v>
      </c>
      <c r="C1641" t="s">
        <v>15254</v>
      </c>
      <c r="D1641" t="s">
        <v>16199</v>
      </c>
      <c r="E1641" t="s">
        <v>16218</v>
      </c>
      <c r="F1641" t="s">
        <v>16221</v>
      </c>
      <c r="G1641" t="s">
        <v>16249</v>
      </c>
      <c r="H1641" t="s">
        <v>16249</v>
      </c>
      <c r="I1641" t="s">
        <v>16325</v>
      </c>
      <c r="J1641" t="s">
        <v>16385</v>
      </c>
      <c r="K1641">
        <v>0.227</v>
      </c>
      <c r="L1641">
        <v>9876</v>
      </c>
      <c r="M1641">
        <v>2509</v>
      </c>
      <c r="N1641" t="s">
        <v>16393</v>
      </c>
      <c r="O1641" s="4">
        <v>60178</v>
      </c>
      <c r="P1641" s="4">
        <v>122456</v>
      </c>
      <c r="Q1641" s="4">
        <v>182634</v>
      </c>
      <c r="R1641" s="4">
        <v>547902</v>
      </c>
      <c r="S1641" t="s">
        <v>17989</v>
      </c>
      <c r="T1641" s="6">
        <v>35186</v>
      </c>
      <c r="U1641" s="4">
        <v>230500</v>
      </c>
      <c r="X1641" t="s">
        <v>3</v>
      </c>
      <c r="AA1641" s="5" t="str">
        <f>HYPERLINK("https://www.zillow.com/homes/7249-SPRINGSIDE-AVE-DOWNERS-GROVE-IL-60516_rb/","check listing")</f>
        <v>check listing</v>
      </c>
      <c r="AB1641" s="5" t="str">
        <f>HYPERLINK("https://propertylookup.dupagecounty.gov/Datalets/Datalet.aspx?UseSearch=no&amp;mode=sales&amp;pin=0930203018","sales record")</f>
        <v>sales record</v>
      </c>
      <c r="AC1641" t="s">
        <v>3</v>
      </c>
      <c r="AD1641">
        <v>41.755323</v>
      </c>
      <c r="AE1641">
        <v>-88.021664</v>
      </c>
      <c r="AF1641" s="5" t="str">
        <f>HYPERLINK("https://www.google.com/maps/search/?api=1&amp;query=41.755323,-88.021664","map")</f>
        <v>map</v>
      </c>
    </row>
    <row r="1642" spans="1:32">
      <c r="A1642" t="s">
        <v>1692</v>
      </c>
      <c r="B1642" t="s">
        <v>9252</v>
      </c>
      <c r="C1642" t="s">
        <v>15254</v>
      </c>
      <c r="D1642" t="s">
        <v>16199</v>
      </c>
      <c r="E1642" t="s">
        <v>16218</v>
      </c>
      <c r="F1642" t="s">
        <v>16221</v>
      </c>
      <c r="G1642" t="s">
        <v>16249</v>
      </c>
      <c r="H1642" t="s">
        <v>16249</v>
      </c>
      <c r="I1642" t="s">
        <v>16325</v>
      </c>
      <c r="J1642" t="s">
        <v>16385</v>
      </c>
      <c r="K1642">
        <v>0.226</v>
      </c>
      <c r="L1642">
        <v>9855</v>
      </c>
      <c r="M1642">
        <v>1842</v>
      </c>
      <c r="N1642" t="s">
        <v>16393</v>
      </c>
      <c r="O1642" s="4">
        <v>55624</v>
      </c>
      <c r="P1642" s="4">
        <v>109498</v>
      </c>
      <c r="Q1642" s="4">
        <v>165122</v>
      </c>
      <c r="R1642" s="4">
        <v>495366</v>
      </c>
      <c r="S1642" t="s">
        <v>17990</v>
      </c>
      <c r="T1642" s="6">
        <v>31382</v>
      </c>
      <c r="U1642" s="4">
        <v>114335</v>
      </c>
      <c r="X1642" t="s">
        <v>3</v>
      </c>
      <c r="AA1642" s="5" t="str">
        <f>HYPERLINK("https://www.zillow.com/homes/1721-GRAHAM-AVE-DOWNERS-GROVE-IL-60516_rb/","check listing")</f>
        <v>check listing</v>
      </c>
      <c r="AB1642" s="5" t="str">
        <f>HYPERLINK("https://propertylookup.dupagecounty.gov/Datalets/Datalet.aspx?UseSearch=no&amp;mode=sales&amp;pin=0930103034","sales record")</f>
        <v>sales record</v>
      </c>
      <c r="AC1642" t="s">
        <v>3</v>
      </c>
      <c r="AD1642">
        <v>41.753187</v>
      </c>
      <c r="AE1642">
        <v>-88.02637300000001</v>
      </c>
      <c r="AF1642" s="5" t="str">
        <f>HYPERLINK("https://www.google.com/maps/search/?api=1&amp;query=41.753187,-88.026373","map")</f>
        <v>map</v>
      </c>
    </row>
    <row r="1643" spans="1:32">
      <c r="A1643" t="s">
        <v>1693</v>
      </c>
      <c r="B1643" t="s">
        <v>9253</v>
      </c>
      <c r="C1643" t="s">
        <v>15254</v>
      </c>
      <c r="D1643" t="s">
        <v>16199</v>
      </c>
      <c r="E1643" t="s">
        <v>16218</v>
      </c>
      <c r="F1643" t="s">
        <v>16221</v>
      </c>
      <c r="G1643" t="s">
        <v>16249</v>
      </c>
      <c r="H1643" t="s">
        <v>16249</v>
      </c>
      <c r="I1643" t="s">
        <v>16325</v>
      </c>
      <c r="J1643" t="s">
        <v>16385</v>
      </c>
      <c r="K1643">
        <v>0.226</v>
      </c>
      <c r="L1643">
        <v>9853</v>
      </c>
      <c r="M1643">
        <v>2155</v>
      </c>
      <c r="N1643" t="s">
        <v>16393</v>
      </c>
      <c r="O1643" s="4">
        <v>55283</v>
      </c>
      <c r="P1643" s="4">
        <v>120601</v>
      </c>
      <c r="Q1643" s="4">
        <v>175884</v>
      </c>
      <c r="R1643" s="4">
        <v>527652</v>
      </c>
      <c r="S1643" t="s">
        <v>17991</v>
      </c>
      <c r="T1643" s="6">
        <v>31533</v>
      </c>
      <c r="U1643" s="4">
        <v>119579</v>
      </c>
      <c r="X1643" t="s">
        <v>3</v>
      </c>
      <c r="AA1643" s="5" t="str">
        <f>HYPERLINK("https://www.zillow.com/homes/7213-CAMDEN-RD-DOWNERS-GROVE-IL-60516_rb/","check listing")</f>
        <v>check listing</v>
      </c>
      <c r="AB1643" s="5" t="str">
        <f>HYPERLINK("https://propertylookup.dupagecounty.gov/Datalets/Datalet.aspx?UseSearch=no&amp;mode=sales&amp;pin=0930105024","sales record")</f>
        <v>sales record</v>
      </c>
      <c r="AC1643" t="s">
        <v>3</v>
      </c>
      <c r="AD1643">
        <v>41.755564</v>
      </c>
      <c r="AE1643">
        <v>-88.024432</v>
      </c>
      <c r="AF1643" s="5" t="str">
        <f>HYPERLINK("https://www.google.com/maps/search/?api=1&amp;query=41.755564,-88.024432","map")</f>
        <v>map</v>
      </c>
    </row>
    <row r="1644" spans="1:32">
      <c r="A1644" t="s">
        <v>1694</v>
      </c>
      <c r="B1644" t="s">
        <v>9254</v>
      </c>
      <c r="C1644" t="s">
        <v>15254</v>
      </c>
      <c r="D1644" t="s">
        <v>16199</v>
      </c>
      <c r="E1644" t="s">
        <v>16218</v>
      </c>
      <c r="F1644" t="s">
        <v>16221</v>
      </c>
      <c r="G1644" t="s">
        <v>16249</v>
      </c>
      <c r="H1644" t="s">
        <v>16249</v>
      </c>
      <c r="I1644" t="s">
        <v>16325</v>
      </c>
      <c r="J1644" t="s">
        <v>16385</v>
      </c>
      <c r="K1644">
        <v>0.226</v>
      </c>
      <c r="L1644">
        <v>9853</v>
      </c>
      <c r="M1644">
        <v>2639</v>
      </c>
      <c r="N1644" t="s">
        <v>16393</v>
      </c>
      <c r="O1644" s="4">
        <v>55072</v>
      </c>
      <c r="P1644" s="4">
        <v>120812</v>
      </c>
      <c r="Q1644" s="4">
        <v>175884</v>
      </c>
      <c r="R1644" s="4">
        <v>527652</v>
      </c>
      <c r="S1644" t="s">
        <v>17992</v>
      </c>
      <c r="T1644" s="6">
        <v>45892</v>
      </c>
      <c r="U1644" s="4">
        <v>535000</v>
      </c>
      <c r="V1644" t="s">
        <v>23739</v>
      </c>
      <c r="W1644" t="s">
        <v>24521</v>
      </c>
      <c r="X1644" t="s">
        <v>3</v>
      </c>
      <c r="AA1644" s="5" t="str">
        <f>HYPERLINK("https://www.zillow.com/homes/1445-71ST-ST-DOWNERS-GROVE-IL-60516_rb/","check listing")</f>
        <v>check listing</v>
      </c>
      <c r="AB1644" s="5" t="str">
        <f>HYPERLINK("https://propertylookup.dupagecounty.gov/Datalets/Datalet.aspx?UseSearch=no&amp;mode=sales&amp;pin=0919418008","sales record")</f>
        <v>sales record</v>
      </c>
      <c r="AC1644" t="s">
        <v>3</v>
      </c>
      <c r="AD1644">
        <v>41.7591</v>
      </c>
      <c r="AE1644">
        <v>-88.02053100000001</v>
      </c>
      <c r="AF1644" s="5" t="str">
        <f>HYPERLINK("https://www.google.com/maps/search/?api=1&amp;query=41.7591,-88.020531","map")</f>
        <v>map</v>
      </c>
    </row>
    <row r="1645" spans="1:32">
      <c r="A1645" t="s">
        <v>1695</v>
      </c>
      <c r="B1645" t="s">
        <v>9255</v>
      </c>
      <c r="C1645" t="s">
        <v>15254</v>
      </c>
      <c r="D1645" t="s">
        <v>16199</v>
      </c>
      <c r="E1645" t="s">
        <v>16218</v>
      </c>
      <c r="F1645" t="s">
        <v>16221</v>
      </c>
      <c r="G1645" t="s">
        <v>16249</v>
      </c>
      <c r="H1645" t="s">
        <v>16249</v>
      </c>
      <c r="I1645" t="s">
        <v>16325</v>
      </c>
      <c r="J1645" t="s">
        <v>16385</v>
      </c>
      <c r="K1645">
        <v>0.225</v>
      </c>
      <c r="L1645">
        <v>9813</v>
      </c>
      <c r="M1645">
        <v>2126</v>
      </c>
      <c r="N1645" t="s">
        <v>16393</v>
      </c>
      <c r="O1645" s="4">
        <v>63992</v>
      </c>
      <c r="P1645" s="4">
        <v>111575</v>
      </c>
      <c r="Q1645" s="4">
        <v>175567</v>
      </c>
      <c r="R1645" s="4">
        <v>526701</v>
      </c>
      <c r="S1645" t="s">
        <v>17993</v>
      </c>
      <c r="T1645" s="6">
        <v>36800</v>
      </c>
      <c r="U1645" s="4">
        <v>260000</v>
      </c>
      <c r="V1645" t="s">
        <v>23740</v>
      </c>
      <c r="W1645" t="s">
        <v>24522</v>
      </c>
      <c r="X1645" t="s">
        <v>3</v>
      </c>
      <c r="AA1645" s="5" t="str">
        <f>HYPERLINK("https://www.zillow.com/homes/7224-BATEMAN-ST-DOWNERS-GROVE-IL-60516_rb/","check listing")</f>
        <v>check listing</v>
      </c>
      <c r="AB1645" s="5" t="str">
        <f>HYPERLINK("https://propertylookup.dupagecounty.gov/Datalets/Datalet.aspx?UseSearch=no&amp;mode=sales&amp;pin=0930208009","sales record")</f>
        <v>sales record</v>
      </c>
      <c r="AC1645" t="s">
        <v>3</v>
      </c>
      <c r="AD1645">
        <v>41.756051</v>
      </c>
      <c r="AE1645">
        <v>-88.015863</v>
      </c>
      <c r="AF1645" s="5" t="str">
        <f>HYPERLINK("https://www.google.com/maps/search/?api=1&amp;query=41.756051,-88.015863","map")</f>
        <v>map</v>
      </c>
    </row>
    <row r="1646" spans="1:32">
      <c r="A1646" t="s">
        <v>1696</v>
      </c>
      <c r="B1646" t="s">
        <v>9256</v>
      </c>
      <c r="C1646" t="s">
        <v>15254</v>
      </c>
      <c r="D1646" t="s">
        <v>16199</v>
      </c>
      <c r="E1646" t="s">
        <v>16218</v>
      </c>
      <c r="F1646" t="s">
        <v>16221</v>
      </c>
      <c r="G1646" t="s">
        <v>16249</v>
      </c>
      <c r="H1646" t="s">
        <v>16249</v>
      </c>
      <c r="I1646" t="s">
        <v>16325</v>
      </c>
      <c r="J1646" t="s">
        <v>16385</v>
      </c>
      <c r="K1646">
        <v>0.225</v>
      </c>
      <c r="L1646">
        <v>9783</v>
      </c>
      <c r="M1646">
        <v>1651</v>
      </c>
      <c r="N1646" t="s">
        <v>16393</v>
      </c>
      <c r="O1646" s="4">
        <v>57443</v>
      </c>
      <c r="P1646" s="4">
        <v>106082</v>
      </c>
      <c r="Q1646" s="4">
        <v>163525</v>
      </c>
      <c r="R1646" s="4">
        <v>490575</v>
      </c>
      <c r="S1646" t="s">
        <v>17994</v>
      </c>
      <c r="T1646" s="6">
        <v>31686</v>
      </c>
      <c r="U1646" s="4">
        <v>125505</v>
      </c>
      <c r="X1646" t="s">
        <v>3</v>
      </c>
      <c r="AA1646" s="5" t="str">
        <f>HYPERLINK("https://www.zillow.com/homes/1705-WHITE-PL-DOWNERS-GROVE-IL-60516_rb/","check listing")</f>
        <v>check listing</v>
      </c>
      <c r="AB1646" s="5" t="str">
        <f>HYPERLINK("https://propertylookup.dupagecounty.gov/Datalets/Datalet.aspx?UseSearch=no&amp;mode=sales&amp;pin=0930106015","sales record")</f>
        <v>sales record</v>
      </c>
      <c r="AC1646" t="s">
        <v>3</v>
      </c>
      <c r="AD1646">
        <v>41.754464</v>
      </c>
      <c r="AE1646">
        <v>-88.025212</v>
      </c>
      <c r="AF1646" s="5" t="str">
        <f>HYPERLINK("https://www.google.com/maps/search/?api=1&amp;query=41.754464,-88.025212","map")</f>
        <v>map</v>
      </c>
    </row>
    <row r="1647" spans="1:32">
      <c r="A1647" t="s">
        <v>1697</v>
      </c>
      <c r="B1647" t="s">
        <v>9257</v>
      </c>
      <c r="C1647" t="s">
        <v>15254</v>
      </c>
      <c r="D1647" t="s">
        <v>16199</v>
      </c>
      <c r="E1647" t="s">
        <v>16218</v>
      </c>
      <c r="F1647" t="s">
        <v>16221</v>
      </c>
      <c r="G1647" t="s">
        <v>16249</v>
      </c>
      <c r="H1647" t="s">
        <v>16249</v>
      </c>
      <c r="I1647" t="s">
        <v>16325</v>
      </c>
      <c r="J1647" t="s">
        <v>16385</v>
      </c>
      <c r="K1647">
        <v>0.224</v>
      </c>
      <c r="L1647">
        <v>9776</v>
      </c>
      <c r="M1647">
        <v>1765</v>
      </c>
      <c r="N1647" t="s">
        <v>16393</v>
      </c>
      <c r="O1647" s="4">
        <v>60178</v>
      </c>
      <c r="P1647" s="4">
        <v>107268</v>
      </c>
      <c r="Q1647" s="4">
        <v>167446</v>
      </c>
      <c r="R1647" s="4">
        <v>502338</v>
      </c>
      <c r="S1647" t="s">
        <v>17995</v>
      </c>
      <c r="T1647" s="6">
        <v>31959</v>
      </c>
      <c r="U1647" s="4">
        <v>129658</v>
      </c>
      <c r="X1647" t="s">
        <v>3</v>
      </c>
      <c r="AA1647" s="5" t="str">
        <f>HYPERLINK("https://www.zillow.com/homes/1701-HAWKINS-AVE-DOWNERS-GROVE-IL-60516_rb/","check listing")</f>
        <v>check listing</v>
      </c>
      <c r="AB1647" s="5" t="str">
        <f>HYPERLINK("https://propertylookup.dupagecounty.gov/Datalets/Datalet.aspx?UseSearch=no&amp;mode=sales&amp;pin=0930106006","sales record")</f>
        <v>sales record</v>
      </c>
      <c r="AC1647" t="s">
        <v>3</v>
      </c>
      <c r="AD1647">
        <v>41.75531</v>
      </c>
      <c r="AE1647">
        <v>-88.02502200000001</v>
      </c>
      <c r="AF1647" s="5" t="str">
        <f>HYPERLINK("https://www.google.com/maps/search/?api=1&amp;query=41.75531,-88.025022","map")</f>
        <v>map</v>
      </c>
    </row>
    <row r="1648" spans="1:32">
      <c r="A1648" t="s">
        <v>1698</v>
      </c>
      <c r="B1648" t="s">
        <v>9258</v>
      </c>
      <c r="C1648" t="s">
        <v>15333</v>
      </c>
      <c r="D1648" t="s">
        <v>16199</v>
      </c>
      <c r="E1648" t="s">
        <v>16218</v>
      </c>
      <c r="F1648" t="s">
        <v>16221</v>
      </c>
      <c r="G1648" t="s">
        <v>16249</v>
      </c>
      <c r="H1648" t="s">
        <v>16249</v>
      </c>
      <c r="I1648" t="s">
        <v>16325</v>
      </c>
      <c r="J1648" t="s">
        <v>16385</v>
      </c>
      <c r="K1648">
        <v>0.224</v>
      </c>
      <c r="L1648">
        <v>9775</v>
      </c>
      <c r="M1648">
        <v>2436</v>
      </c>
      <c r="N1648" t="s">
        <v>16393</v>
      </c>
      <c r="O1648" s="4">
        <v>60178</v>
      </c>
      <c r="P1648" s="4">
        <v>122350</v>
      </c>
      <c r="Q1648" s="4">
        <v>182528</v>
      </c>
      <c r="R1648" s="4">
        <v>547584</v>
      </c>
      <c r="S1648" t="s">
        <v>17996</v>
      </c>
      <c r="T1648" s="6">
        <v>43739</v>
      </c>
      <c r="U1648" s="4">
        <v>345000</v>
      </c>
      <c r="V1648" t="s">
        <v>23739</v>
      </c>
      <c r="W1648" t="s">
        <v>24523</v>
      </c>
      <c r="X1648" t="s">
        <v>3</v>
      </c>
      <c r="AA1648" s="5" t="str">
        <f>HYPERLINK("https://www.zillow.com/homes/1713-HAWKINS-AVE-DOWNERS-GROVE-IL-605163731_rb/","check listing")</f>
        <v>check listing</v>
      </c>
      <c r="AB1648" s="5" t="str">
        <f>HYPERLINK("https://propertylookup.dupagecounty.gov/Datalets/Datalet.aspx?UseSearch=no&amp;mode=sales&amp;pin=0930106003","sales record")</f>
        <v>sales record</v>
      </c>
      <c r="AC1648" t="s">
        <v>3</v>
      </c>
      <c r="AD1648">
        <v>41.755183</v>
      </c>
      <c r="AE1648">
        <v>-88.02586700000001</v>
      </c>
      <c r="AF1648" s="5" t="str">
        <f>HYPERLINK("https://www.google.com/maps/search/?api=1&amp;query=41.755183,-88.025867","map")</f>
        <v>map</v>
      </c>
    </row>
    <row r="1649" spans="1:32">
      <c r="A1649" t="s">
        <v>1699</v>
      </c>
      <c r="B1649" t="s">
        <v>9259</v>
      </c>
      <c r="C1649" t="s">
        <v>15334</v>
      </c>
      <c r="D1649" t="s">
        <v>16199</v>
      </c>
      <c r="E1649" t="s">
        <v>16218</v>
      </c>
      <c r="F1649" t="s">
        <v>16221</v>
      </c>
      <c r="G1649" t="s">
        <v>16249</v>
      </c>
      <c r="H1649" t="s">
        <v>16249</v>
      </c>
      <c r="I1649" t="s">
        <v>16325</v>
      </c>
      <c r="J1649" t="s">
        <v>16385</v>
      </c>
      <c r="K1649">
        <v>0.224</v>
      </c>
      <c r="L1649">
        <v>9775</v>
      </c>
      <c r="M1649">
        <v>2289</v>
      </c>
      <c r="N1649" t="s">
        <v>16393</v>
      </c>
      <c r="O1649" s="4">
        <v>60178</v>
      </c>
      <c r="P1649" s="4">
        <v>116822</v>
      </c>
      <c r="Q1649" s="4">
        <v>177000</v>
      </c>
      <c r="R1649" s="4">
        <v>531000</v>
      </c>
      <c r="S1649" t="s">
        <v>17997</v>
      </c>
      <c r="T1649" s="6">
        <v>44652</v>
      </c>
      <c r="U1649" s="4">
        <v>455500</v>
      </c>
      <c r="V1649" t="s">
        <v>23739</v>
      </c>
      <c r="W1649" t="s">
        <v>24524</v>
      </c>
      <c r="X1649" t="s">
        <v>3</v>
      </c>
      <c r="AA1649" s="5" t="str">
        <f>HYPERLINK("https://www.zillow.com/homes/7248-KELLY-PL-DOWNERS-GROVE-IL-605163706_rb/","check listing")</f>
        <v>check listing</v>
      </c>
      <c r="AB1649" s="5" t="str">
        <f>HYPERLINK("https://propertylookup.dupagecounty.gov/Datalets/Datalet.aspx?UseSearch=no&amp;mode=sales&amp;pin=0930203025","sales record")</f>
        <v>sales record</v>
      </c>
      <c r="AC1649" t="s">
        <v>3</v>
      </c>
      <c r="AD1649">
        <v>41.755331</v>
      </c>
      <c r="AE1649">
        <v>-88.021241</v>
      </c>
      <c r="AF1649" s="5" t="str">
        <f>HYPERLINK("https://www.google.com/maps/search/?api=1&amp;query=41.755331,-88.021241","map")</f>
        <v>map</v>
      </c>
    </row>
    <row r="1650" spans="1:32">
      <c r="A1650" t="s">
        <v>1700</v>
      </c>
      <c r="B1650" t="s">
        <v>9260</v>
      </c>
      <c r="C1650" t="s">
        <v>15254</v>
      </c>
      <c r="D1650" t="s">
        <v>16199</v>
      </c>
      <c r="E1650" t="s">
        <v>16218</v>
      </c>
      <c r="F1650" t="s">
        <v>16221</v>
      </c>
      <c r="G1650" t="s">
        <v>16249</v>
      </c>
      <c r="H1650" t="s">
        <v>16249</v>
      </c>
      <c r="I1650" t="s">
        <v>16325</v>
      </c>
      <c r="J1650" t="s">
        <v>16385</v>
      </c>
      <c r="K1650">
        <v>0.224</v>
      </c>
      <c r="L1650">
        <v>9774</v>
      </c>
      <c r="M1650">
        <v>2226</v>
      </c>
      <c r="N1650" t="s">
        <v>16393</v>
      </c>
      <c r="O1650" s="4">
        <v>60178</v>
      </c>
      <c r="P1650" s="4">
        <v>110519</v>
      </c>
      <c r="Q1650" s="4">
        <v>170697</v>
      </c>
      <c r="R1650" s="4">
        <v>512091</v>
      </c>
      <c r="S1650" t="s">
        <v>17998</v>
      </c>
      <c r="T1650" s="6">
        <v>31929</v>
      </c>
      <c r="U1650" s="4">
        <v>135179</v>
      </c>
      <c r="X1650" t="s">
        <v>3</v>
      </c>
      <c r="AA1650" s="5" t="str">
        <f>HYPERLINK("https://www.zillow.com/homes/1700-WHITE-PL-DOWNERS-GROVE-IL-60516_rb/","check listing")</f>
        <v>check listing</v>
      </c>
      <c r="AB1650" s="5" t="str">
        <f>HYPERLINK("https://propertylookup.dupagecounty.gov/Datalets/Datalet.aspx?UseSearch=no&amp;mode=sales&amp;pin=0930106007","sales record")</f>
        <v>sales record</v>
      </c>
      <c r="AC1650" t="s">
        <v>3</v>
      </c>
      <c r="AD1650">
        <v>41.755</v>
      </c>
      <c r="AE1650">
        <v>-88.02494</v>
      </c>
      <c r="AF1650" s="5" t="str">
        <f>HYPERLINK("https://www.google.com/maps/search/?api=1&amp;query=41.755,-88.02494","map")</f>
        <v>map</v>
      </c>
    </row>
    <row r="1651" spans="1:32">
      <c r="A1651" t="s">
        <v>1701</v>
      </c>
      <c r="B1651" t="s">
        <v>9261</v>
      </c>
      <c r="C1651" t="s">
        <v>15254</v>
      </c>
      <c r="D1651" t="s">
        <v>16199</v>
      </c>
      <c r="E1651" t="s">
        <v>16218</v>
      </c>
      <c r="F1651" t="s">
        <v>16221</v>
      </c>
      <c r="G1651" t="s">
        <v>16249</v>
      </c>
      <c r="H1651" t="s">
        <v>16249</v>
      </c>
      <c r="I1651" t="s">
        <v>16325</v>
      </c>
      <c r="J1651" t="s">
        <v>16385</v>
      </c>
      <c r="K1651">
        <v>0.224</v>
      </c>
      <c r="L1651">
        <v>9774</v>
      </c>
      <c r="M1651">
        <v>1820</v>
      </c>
      <c r="N1651" t="s">
        <v>16393</v>
      </c>
      <c r="O1651" s="4">
        <v>60178</v>
      </c>
      <c r="P1651" s="4">
        <v>112044</v>
      </c>
      <c r="Q1651" s="4">
        <v>172222</v>
      </c>
      <c r="R1651" s="4">
        <v>516666</v>
      </c>
      <c r="S1651" t="s">
        <v>17999</v>
      </c>
      <c r="T1651" s="6">
        <v>32021</v>
      </c>
      <c r="U1651" s="4">
        <v>135696</v>
      </c>
      <c r="X1651" t="s">
        <v>3</v>
      </c>
      <c r="AA1651" s="5" t="str">
        <f>HYPERLINK("https://www.zillow.com/homes/1717-HAWKINS-AVE-DOWNERS-GROVE-IL-60516_rb/","check listing")</f>
        <v>check listing</v>
      </c>
      <c r="AB1651" s="5" t="str">
        <f>HYPERLINK("https://propertylookup.dupagecounty.gov/Datalets/Datalet.aspx?UseSearch=no&amp;mode=sales&amp;pin=0930106002","sales record")</f>
        <v>sales record</v>
      </c>
      <c r="AC1651" t="s">
        <v>3</v>
      </c>
      <c r="AD1651">
        <v>41.755138</v>
      </c>
      <c r="AE1651">
        <v>-88.026172</v>
      </c>
      <c r="AF1651" s="5" t="str">
        <f>HYPERLINK("https://www.google.com/maps/search/?api=1&amp;query=41.755138,-88.026172","map")</f>
        <v>map</v>
      </c>
    </row>
    <row r="1652" spans="1:32">
      <c r="A1652" t="s">
        <v>1702</v>
      </c>
      <c r="B1652" t="s">
        <v>9262</v>
      </c>
      <c r="C1652" t="s">
        <v>15335</v>
      </c>
      <c r="D1652" t="s">
        <v>16199</v>
      </c>
      <c r="E1652" t="s">
        <v>16218</v>
      </c>
      <c r="F1652" t="s">
        <v>16221</v>
      </c>
      <c r="G1652" t="s">
        <v>16249</v>
      </c>
      <c r="H1652" t="s">
        <v>16249</v>
      </c>
      <c r="I1652" t="s">
        <v>16325</v>
      </c>
      <c r="J1652" t="s">
        <v>16385</v>
      </c>
      <c r="K1652">
        <v>0.224</v>
      </c>
      <c r="L1652">
        <v>9762</v>
      </c>
      <c r="M1652">
        <v>1880</v>
      </c>
      <c r="N1652" t="s">
        <v>16393</v>
      </c>
      <c r="O1652" s="4">
        <v>60178</v>
      </c>
      <c r="P1652" s="4">
        <v>127010</v>
      </c>
      <c r="Q1652" s="4">
        <v>187188</v>
      </c>
      <c r="R1652" s="4">
        <v>561564</v>
      </c>
      <c r="S1652" t="s">
        <v>18000</v>
      </c>
      <c r="T1652" s="6">
        <v>31929</v>
      </c>
      <c r="U1652" s="4">
        <v>165582</v>
      </c>
      <c r="X1652" t="s">
        <v>3</v>
      </c>
      <c r="AA1652" s="5" t="str">
        <f>HYPERLINK("https://www.zillow.com/homes/1300-KLEIN-AVE-DOWNERS-GROVE-IL-605163760_rb/","check listing")</f>
        <v>check listing</v>
      </c>
      <c r="AB1652" s="5" t="str">
        <f>HYPERLINK("https://propertylookup.dupagecounty.gov/Datalets/Datalet.aspx?UseSearch=no&amp;mode=sales&amp;pin=0930205005","sales record")</f>
        <v>sales record</v>
      </c>
      <c r="AC1652" t="s">
        <v>3</v>
      </c>
      <c r="AD1652">
        <v>41.758089</v>
      </c>
      <c r="AE1652">
        <v>-88.01485700000001</v>
      </c>
      <c r="AF1652" s="5" t="str">
        <f>HYPERLINK("https://www.google.com/maps/search/?api=1&amp;query=41.758089,-88.014857","map")</f>
        <v>map</v>
      </c>
    </row>
    <row r="1653" spans="1:32">
      <c r="A1653" t="s">
        <v>1703</v>
      </c>
      <c r="B1653" t="s">
        <v>9263</v>
      </c>
      <c r="C1653" t="s">
        <v>15254</v>
      </c>
      <c r="D1653" t="s">
        <v>16199</v>
      </c>
      <c r="E1653" t="s">
        <v>16218</v>
      </c>
      <c r="F1653" t="s">
        <v>16221</v>
      </c>
      <c r="G1653" t="s">
        <v>16249</v>
      </c>
      <c r="H1653" t="s">
        <v>16249</v>
      </c>
      <c r="I1653" t="s">
        <v>16325</v>
      </c>
      <c r="J1653" t="s">
        <v>16385</v>
      </c>
      <c r="K1653">
        <v>0.224</v>
      </c>
      <c r="L1653">
        <v>9756</v>
      </c>
      <c r="M1653">
        <v>1955</v>
      </c>
      <c r="N1653" t="s">
        <v>16393</v>
      </c>
      <c r="O1653" s="4">
        <v>62818</v>
      </c>
      <c r="P1653" s="4">
        <v>93687</v>
      </c>
      <c r="Q1653" s="4">
        <v>156505</v>
      </c>
      <c r="R1653" s="4">
        <v>469515</v>
      </c>
      <c r="S1653" t="s">
        <v>18001</v>
      </c>
      <c r="T1653" s="6">
        <v>33270</v>
      </c>
      <c r="U1653" s="4">
        <v>147000</v>
      </c>
      <c r="X1653" t="s">
        <v>3</v>
      </c>
      <c r="AA1653" s="5" t="str">
        <f>HYPERLINK("https://www.zillow.com/homes/7209-SPRINGSIDE-AVE-DOWNERS-GROVE-IL-60516_rb/","check listing")</f>
        <v>check listing</v>
      </c>
      <c r="AB1653" s="5" t="str">
        <f>HYPERLINK("https://propertylookup.dupagecounty.gov/Datalets/Datalet.aspx?UseSearch=no&amp;mode=sales&amp;pin=0930203013","sales record")</f>
        <v>sales record</v>
      </c>
      <c r="AC1653" t="s">
        <v>3</v>
      </c>
      <c r="AD1653">
        <v>41.756373</v>
      </c>
      <c r="AE1653">
        <v>-88.021699</v>
      </c>
      <c r="AF1653" s="5" t="str">
        <f>HYPERLINK("https://www.google.com/maps/search/?api=1&amp;query=41.756373,-88.021699","map")</f>
        <v>map</v>
      </c>
    </row>
    <row r="1654" spans="1:32">
      <c r="A1654" t="s">
        <v>1704</v>
      </c>
      <c r="B1654" t="s">
        <v>9264</v>
      </c>
      <c r="C1654" t="s">
        <v>15336</v>
      </c>
      <c r="D1654" t="s">
        <v>16199</v>
      </c>
      <c r="E1654" t="s">
        <v>16218</v>
      </c>
      <c r="F1654" t="s">
        <v>16221</v>
      </c>
      <c r="G1654" t="s">
        <v>16249</v>
      </c>
      <c r="H1654" t="s">
        <v>16249</v>
      </c>
      <c r="I1654" t="s">
        <v>16325</v>
      </c>
      <c r="J1654" t="s">
        <v>16385</v>
      </c>
      <c r="K1654">
        <v>0.224</v>
      </c>
      <c r="L1654">
        <v>9741</v>
      </c>
      <c r="M1654">
        <v>1140</v>
      </c>
      <c r="N1654" t="s">
        <v>16393</v>
      </c>
      <c r="O1654" s="4">
        <v>61586</v>
      </c>
      <c r="P1654" s="4">
        <v>137891</v>
      </c>
      <c r="Q1654" s="4">
        <v>199477</v>
      </c>
      <c r="R1654" s="4">
        <v>598431</v>
      </c>
      <c r="S1654" t="s">
        <v>18002</v>
      </c>
      <c r="T1654" s="6">
        <v>32417</v>
      </c>
      <c r="U1654" s="4">
        <v>206994</v>
      </c>
      <c r="X1654" t="s">
        <v>3</v>
      </c>
      <c r="AA1654" s="5" t="str">
        <f>HYPERLINK("https://www.zillow.com/homes/7204-ONEILL-RD-DOWNERS-GROVE-IL-605163768_rb/","check listing")</f>
        <v>check listing</v>
      </c>
      <c r="AB1654" s="5" t="str">
        <f>HYPERLINK("https://propertylookup.dupagecounty.gov/Datalets/Datalet.aspx?UseSearch=no&amp;mode=sales&amp;pin=0930207005","sales record")</f>
        <v>sales record</v>
      </c>
      <c r="AC1654" t="s">
        <v>3</v>
      </c>
      <c r="AD1654">
        <v>41.756857</v>
      </c>
      <c r="AE1654">
        <v>-88.01495199999999</v>
      </c>
      <c r="AF1654" s="5" t="str">
        <f>HYPERLINK("https://www.google.com/maps/search/?api=1&amp;query=41.756857,-88.014952","map")</f>
        <v>map</v>
      </c>
    </row>
    <row r="1655" spans="1:32">
      <c r="A1655" t="s">
        <v>1705</v>
      </c>
      <c r="B1655" t="s">
        <v>9265</v>
      </c>
      <c r="C1655" t="s">
        <v>15254</v>
      </c>
      <c r="D1655" t="s">
        <v>16199</v>
      </c>
      <c r="E1655" t="s">
        <v>16218</v>
      </c>
      <c r="F1655" t="s">
        <v>16221</v>
      </c>
      <c r="G1655" t="s">
        <v>16249</v>
      </c>
      <c r="H1655" t="s">
        <v>16249</v>
      </c>
      <c r="I1655" t="s">
        <v>16325</v>
      </c>
      <c r="J1655" t="s">
        <v>16385</v>
      </c>
      <c r="K1655">
        <v>0.224</v>
      </c>
      <c r="L1655">
        <v>9738</v>
      </c>
      <c r="M1655">
        <v>2001</v>
      </c>
      <c r="N1655" t="s">
        <v>16393</v>
      </c>
      <c r="O1655" s="4">
        <v>53205</v>
      </c>
      <c r="P1655" s="4">
        <v>100660</v>
      </c>
      <c r="Q1655" s="4">
        <v>153865</v>
      </c>
      <c r="R1655" s="4">
        <v>461595</v>
      </c>
      <c r="S1655" t="s">
        <v>18003</v>
      </c>
      <c r="T1655" s="6">
        <v>41487</v>
      </c>
      <c r="U1655" s="4">
        <v>326000</v>
      </c>
      <c r="V1655" t="s">
        <v>23739</v>
      </c>
      <c r="W1655" t="s">
        <v>24525</v>
      </c>
      <c r="X1655" t="s">
        <v>3</v>
      </c>
      <c r="AA1655" s="5" t="str">
        <f>HYPERLINK("https://www.zillow.com/homes/7233-DEXTER-RD-DOWNERS-GROVE-IL-60516_rb/","check listing")</f>
        <v>check listing</v>
      </c>
      <c r="AB1655" s="5" t="str">
        <f>HYPERLINK("https://propertylookup.dupagecounty.gov/Datalets/Datalet.aspx?UseSearch=no&amp;mode=sales&amp;pin=0930204014","sales record")</f>
        <v>sales record</v>
      </c>
      <c r="AC1655" t="s">
        <v>3</v>
      </c>
      <c r="AD1655">
        <v>41.755586</v>
      </c>
      <c r="AE1655">
        <v>-88.017951</v>
      </c>
      <c r="AF1655" s="5" t="str">
        <f>HYPERLINK("https://www.google.com/maps/search/?api=1&amp;query=41.755586,-88.017951","map")</f>
        <v>map</v>
      </c>
    </row>
    <row r="1656" spans="1:32">
      <c r="A1656" t="s">
        <v>1706</v>
      </c>
      <c r="B1656" t="s">
        <v>9266</v>
      </c>
      <c r="C1656" t="s">
        <v>15254</v>
      </c>
      <c r="D1656" t="s">
        <v>16199</v>
      </c>
      <c r="E1656" t="s">
        <v>16218</v>
      </c>
      <c r="F1656" t="s">
        <v>16221</v>
      </c>
      <c r="G1656" t="s">
        <v>16249</v>
      </c>
      <c r="H1656" t="s">
        <v>16249</v>
      </c>
      <c r="I1656" t="s">
        <v>16325</v>
      </c>
      <c r="J1656" t="s">
        <v>16385</v>
      </c>
      <c r="K1656">
        <v>0.223</v>
      </c>
      <c r="L1656">
        <v>9730</v>
      </c>
      <c r="M1656">
        <v>1985</v>
      </c>
      <c r="N1656" t="s">
        <v>16393</v>
      </c>
      <c r="O1656" s="4">
        <v>60178</v>
      </c>
      <c r="P1656" s="4">
        <v>87795</v>
      </c>
      <c r="Q1656" s="4">
        <v>147973</v>
      </c>
      <c r="R1656" s="4">
        <v>443919</v>
      </c>
      <c r="S1656" t="s">
        <v>18004</v>
      </c>
      <c r="T1656" s="6">
        <v>37043</v>
      </c>
      <c r="U1656" s="4">
        <v>232000</v>
      </c>
      <c r="V1656" t="s">
        <v>23739</v>
      </c>
      <c r="W1656" t="s">
        <v>24526</v>
      </c>
      <c r="X1656" t="s">
        <v>3</v>
      </c>
      <c r="AA1656" s="5" t="str">
        <f>HYPERLINK("https://www.zillow.com/homes/1316-KLEIN-AVE-DOWNERS-GROVE-IL-60516_rb/","check listing")</f>
        <v>check listing</v>
      </c>
      <c r="AB1656" s="5" t="str">
        <f>HYPERLINK("https://propertylookup.dupagecounty.gov/Datalets/Datalet.aspx?UseSearch=no&amp;mode=sales&amp;pin=0930205001","sales record")</f>
        <v>sales record</v>
      </c>
      <c r="AC1656" t="s">
        <v>3</v>
      </c>
      <c r="AD1656">
        <v>41.758065</v>
      </c>
      <c r="AE1656">
        <v>-88.01596000000001</v>
      </c>
      <c r="AF1656" s="5" t="str">
        <f>HYPERLINK("https://www.google.com/maps/search/?api=1&amp;query=41.758065,-88.01596","map")</f>
        <v>map</v>
      </c>
    </row>
    <row r="1657" spans="1:32">
      <c r="A1657" t="s">
        <v>1707</v>
      </c>
      <c r="B1657" t="s">
        <v>9267</v>
      </c>
      <c r="C1657" t="s">
        <v>15254</v>
      </c>
      <c r="D1657" t="s">
        <v>16199</v>
      </c>
      <c r="E1657" t="s">
        <v>16218</v>
      </c>
      <c r="F1657" t="s">
        <v>16221</v>
      </c>
      <c r="G1657" t="s">
        <v>16249</v>
      </c>
      <c r="H1657" t="s">
        <v>16249</v>
      </c>
      <c r="I1657" t="s">
        <v>16325</v>
      </c>
      <c r="J1657" t="s">
        <v>16385</v>
      </c>
      <c r="K1657">
        <v>0.223</v>
      </c>
      <c r="L1657">
        <v>9721</v>
      </c>
      <c r="M1657">
        <v>2725</v>
      </c>
      <c r="N1657" t="s">
        <v>16393</v>
      </c>
      <c r="O1657" s="4">
        <v>55612</v>
      </c>
      <c r="P1657" s="4">
        <v>142985</v>
      </c>
      <c r="Q1657" s="4">
        <v>198597</v>
      </c>
      <c r="R1657" s="4">
        <v>595791</v>
      </c>
      <c r="S1657" t="s">
        <v>18005</v>
      </c>
      <c r="T1657" s="6">
        <v>44802</v>
      </c>
      <c r="U1657" s="4">
        <v>510000</v>
      </c>
      <c r="V1657" t="s">
        <v>23739</v>
      </c>
      <c r="W1657" t="s">
        <v>24527</v>
      </c>
      <c r="X1657" t="s">
        <v>3</v>
      </c>
      <c r="AA1657" s="5" t="str">
        <f>HYPERLINK("https://www.zillow.com/homes/7306-BINDER-RD-DOWNERS-GROVE-IL-60516_rb/","check listing")</f>
        <v>check listing</v>
      </c>
      <c r="AB1657" s="5" t="str">
        <f>HYPERLINK("https://propertylookup.dupagecounty.gov/Datalets/Datalet.aspx?UseSearch=no&amp;mode=sales&amp;pin=0930103028","sales record")</f>
        <v>sales record</v>
      </c>
      <c r="AC1657" t="s">
        <v>3</v>
      </c>
      <c r="AD1657">
        <v>41.754062</v>
      </c>
      <c r="AE1657">
        <v>-88.027135</v>
      </c>
      <c r="AF1657" s="5" t="str">
        <f>HYPERLINK("https://www.google.com/maps/search/?api=1&amp;query=41.754062,-88.027135","map")</f>
        <v>map</v>
      </c>
    </row>
    <row r="1658" spans="1:32">
      <c r="A1658" t="s">
        <v>1708</v>
      </c>
      <c r="B1658" t="s">
        <v>9268</v>
      </c>
      <c r="C1658" t="s">
        <v>15322</v>
      </c>
      <c r="D1658" t="s">
        <v>16199</v>
      </c>
      <c r="E1658" t="s">
        <v>16218</v>
      </c>
      <c r="F1658" t="s">
        <v>16221</v>
      </c>
      <c r="G1658" t="s">
        <v>16249</v>
      </c>
      <c r="H1658" t="s">
        <v>16249</v>
      </c>
      <c r="I1658" t="s">
        <v>16325</v>
      </c>
      <c r="J1658" t="s">
        <v>16385</v>
      </c>
      <c r="K1658">
        <v>0.223</v>
      </c>
      <c r="L1658">
        <v>9720</v>
      </c>
      <c r="M1658">
        <v>2802</v>
      </c>
      <c r="N1658" t="s">
        <v>16393</v>
      </c>
      <c r="O1658" s="4">
        <v>55612</v>
      </c>
      <c r="P1658" s="4">
        <v>89134</v>
      </c>
      <c r="Q1658" s="4">
        <v>144746</v>
      </c>
      <c r="R1658" s="4">
        <v>434238</v>
      </c>
      <c r="S1658" t="s">
        <v>18006</v>
      </c>
      <c r="T1658" s="6">
        <v>44621</v>
      </c>
      <c r="U1658" s="4">
        <v>370000</v>
      </c>
      <c r="V1658" t="s">
        <v>23740</v>
      </c>
      <c r="W1658" t="s">
        <v>24528</v>
      </c>
      <c r="X1658" t="s">
        <v>3</v>
      </c>
      <c r="AA1658" s="5" t="str">
        <f>HYPERLINK("https://www.zillow.com/homes/7236-BINDER-RD-DOWNERS-GROVE-IL-605163732_rb/","check listing")</f>
        <v>check listing</v>
      </c>
      <c r="AB1658" s="5" t="str">
        <f>HYPERLINK("https://propertylookup.dupagecounty.gov/Datalets/Datalet.aspx?UseSearch=no&amp;mode=sales&amp;pin=0930103026","sales record")</f>
        <v>sales record</v>
      </c>
      <c r="AC1658" t="s">
        <v>3</v>
      </c>
      <c r="AD1658">
        <v>41.754493</v>
      </c>
      <c r="AE1658">
        <v>-88.027148</v>
      </c>
      <c r="AF1658" s="5" t="str">
        <f>HYPERLINK("https://www.google.com/maps/search/?api=1&amp;query=41.754493,-88.027148","map")</f>
        <v>map</v>
      </c>
    </row>
    <row r="1659" spans="1:32">
      <c r="A1659" t="s">
        <v>1709</v>
      </c>
      <c r="B1659" t="s">
        <v>9269</v>
      </c>
      <c r="C1659" t="s">
        <v>15254</v>
      </c>
      <c r="D1659" t="s">
        <v>16199</v>
      </c>
      <c r="E1659" t="s">
        <v>16218</v>
      </c>
      <c r="F1659" t="s">
        <v>16221</v>
      </c>
      <c r="G1659" t="s">
        <v>16249</v>
      </c>
      <c r="H1659" t="s">
        <v>16249</v>
      </c>
      <c r="I1659" t="s">
        <v>16325</v>
      </c>
      <c r="J1659" t="s">
        <v>16385</v>
      </c>
      <c r="K1659">
        <v>0.223</v>
      </c>
      <c r="L1659">
        <v>9718</v>
      </c>
      <c r="M1659">
        <v>2161</v>
      </c>
      <c r="N1659" t="s">
        <v>16393</v>
      </c>
      <c r="O1659" s="4">
        <v>55612</v>
      </c>
      <c r="P1659" s="4">
        <v>130461</v>
      </c>
      <c r="Q1659" s="4">
        <v>186073</v>
      </c>
      <c r="R1659" s="4">
        <v>558219</v>
      </c>
      <c r="S1659" t="s">
        <v>18007</v>
      </c>
      <c r="T1659" s="6">
        <v>37865</v>
      </c>
      <c r="U1659" s="4">
        <v>322500</v>
      </c>
      <c r="V1659" t="s">
        <v>23739</v>
      </c>
      <c r="W1659" t="s">
        <v>24529</v>
      </c>
      <c r="X1659" t="s">
        <v>3</v>
      </c>
      <c r="AA1659" s="5" t="str">
        <f>HYPERLINK("https://www.zillow.com/homes/7228-BINDER-RD-DOWNERS-GROVE-IL-60516_rb/","check listing")</f>
        <v>check listing</v>
      </c>
      <c r="AB1659" s="5" t="str">
        <f>HYPERLINK("https://propertylookup.dupagecounty.gov/Datalets/Datalet.aspx?UseSearch=no&amp;mode=sales&amp;pin=0930103024","sales record")</f>
        <v>sales record</v>
      </c>
      <c r="AC1659" t="s">
        <v>3</v>
      </c>
      <c r="AD1659">
        <v>41.754924</v>
      </c>
      <c r="AE1659">
        <v>-88.027162</v>
      </c>
      <c r="AF1659" s="5" t="str">
        <f>HYPERLINK("https://www.google.com/maps/search/?api=1&amp;query=41.754924,-88.027162","map")</f>
        <v>map</v>
      </c>
    </row>
    <row r="1660" spans="1:32">
      <c r="A1660" t="s">
        <v>1710</v>
      </c>
      <c r="B1660" t="s">
        <v>9270</v>
      </c>
      <c r="C1660" t="s">
        <v>15337</v>
      </c>
      <c r="D1660" t="s">
        <v>16199</v>
      </c>
      <c r="E1660" t="s">
        <v>16218</v>
      </c>
      <c r="F1660" t="s">
        <v>16221</v>
      </c>
      <c r="G1660" t="s">
        <v>16249</v>
      </c>
      <c r="H1660" t="s">
        <v>16249</v>
      </c>
      <c r="I1660" t="s">
        <v>16325</v>
      </c>
      <c r="J1660" t="s">
        <v>16385</v>
      </c>
      <c r="K1660">
        <v>0.223</v>
      </c>
      <c r="L1660">
        <v>9713</v>
      </c>
      <c r="M1660">
        <v>1832</v>
      </c>
      <c r="N1660" t="s">
        <v>16393</v>
      </c>
      <c r="O1660" s="4">
        <v>61386</v>
      </c>
      <c r="P1660" s="4">
        <v>97597</v>
      </c>
      <c r="Q1660" s="4">
        <v>158983</v>
      </c>
      <c r="R1660" s="4">
        <v>476949</v>
      </c>
      <c r="S1660" t="s">
        <v>18008</v>
      </c>
      <c r="T1660" s="6">
        <v>38169</v>
      </c>
      <c r="U1660" s="4">
        <v>313500</v>
      </c>
      <c r="V1660" t="s">
        <v>23739</v>
      </c>
      <c r="W1660" t="s">
        <v>24530</v>
      </c>
      <c r="X1660" t="s">
        <v>3</v>
      </c>
      <c r="AA1660" s="5" t="str">
        <f>HYPERLINK("https://www.zillow.com/homes/7233-BATEMAN-ST-DOWNERS-GROVE-IL-605163793_rb/","check listing")</f>
        <v>check listing</v>
      </c>
      <c r="AB1660" s="5" t="str">
        <f>HYPERLINK("https://propertylookup.dupagecounty.gov/Datalets/Datalet.aspx?UseSearch=no&amp;mode=sales&amp;pin=0930207014","sales record")</f>
        <v>sales record</v>
      </c>
      <c r="AC1660" t="s">
        <v>3</v>
      </c>
      <c r="AD1660">
        <v>41.755341</v>
      </c>
      <c r="AE1660">
        <v>-88.015308</v>
      </c>
      <c r="AF1660" s="5" t="str">
        <f>HYPERLINK("https://www.google.com/maps/search/?api=1&amp;query=41.755341,-88.015308","map")</f>
        <v>map</v>
      </c>
    </row>
    <row r="1661" spans="1:32">
      <c r="A1661" t="s">
        <v>1711</v>
      </c>
      <c r="B1661" t="s">
        <v>9271</v>
      </c>
      <c r="C1661" t="s">
        <v>15338</v>
      </c>
      <c r="D1661" t="s">
        <v>16199</v>
      </c>
      <c r="E1661" t="s">
        <v>16218</v>
      </c>
      <c r="F1661" t="s">
        <v>16221</v>
      </c>
      <c r="G1661" t="s">
        <v>16249</v>
      </c>
      <c r="H1661" t="s">
        <v>16249</v>
      </c>
      <c r="I1661" t="s">
        <v>16325</v>
      </c>
      <c r="J1661" t="s">
        <v>16385</v>
      </c>
      <c r="K1661">
        <v>0.223</v>
      </c>
      <c r="L1661">
        <v>9711</v>
      </c>
      <c r="M1661">
        <v>1884</v>
      </c>
      <c r="N1661" t="s">
        <v>16393</v>
      </c>
      <c r="O1661" s="4">
        <v>61384</v>
      </c>
      <c r="P1661" s="4">
        <v>118251</v>
      </c>
      <c r="Q1661" s="4">
        <v>179635</v>
      </c>
      <c r="R1661" s="4">
        <v>538905</v>
      </c>
      <c r="S1661" t="s">
        <v>18009</v>
      </c>
      <c r="T1661" s="6">
        <v>43586</v>
      </c>
      <c r="U1661" s="4">
        <v>364900</v>
      </c>
      <c r="V1661" t="s">
        <v>23739</v>
      </c>
      <c r="W1661" t="s">
        <v>24531</v>
      </c>
      <c r="X1661" t="s">
        <v>3</v>
      </c>
      <c r="AA1661" s="5" t="str">
        <f>HYPERLINK("https://www.zillow.com/homes/7236-O-NEILL-RD-DOWNERS-GROVE-IL-605163770_rb/","check listing")</f>
        <v>check listing</v>
      </c>
      <c r="AB1661" s="5" t="str">
        <f>HYPERLINK("https://propertylookup.dupagecounty.gov/Datalets/Datalet.aspx?UseSearch=no&amp;mode=sales&amp;pin=0930207013","sales record")</f>
        <v>sales record</v>
      </c>
      <c r="AC1661" t="s">
        <v>3</v>
      </c>
      <c r="AD1661">
        <v>41.755353</v>
      </c>
      <c r="AE1661">
        <v>-88.01490099999999</v>
      </c>
      <c r="AF1661" s="5" t="str">
        <f>HYPERLINK("https://www.google.com/maps/search/?api=1&amp;query=41.755353,-88.014901","map")</f>
        <v>map</v>
      </c>
    </row>
    <row r="1662" spans="1:32">
      <c r="A1662" t="s">
        <v>1712</v>
      </c>
      <c r="B1662" t="s">
        <v>9272</v>
      </c>
      <c r="C1662" t="s">
        <v>15254</v>
      </c>
      <c r="D1662" t="s">
        <v>16199</v>
      </c>
      <c r="E1662" t="s">
        <v>16218</v>
      </c>
      <c r="F1662" t="s">
        <v>16221</v>
      </c>
      <c r="G1662" t="s">
        <v>16249</v>
      </c>
      <c r="H1662" t="s">
        <v>16249</v>
      </c>
      <c r="I1662" t="s">
        <v>16325</v>
      </c>
      <c r="J1662" t="s">
        <v>16385</v>
      </c>
      <c r="K1662">
        <v>0.223</v>
      </c>
      <c r="L1662">
        <v>9703</v>
      </c>
      <c r="M1662">
        <v>1508</v>
      </c>
      <c r="N1662" t="s">
        <v>16393</v>
      </c>
      <c r="O1662" s="4">
        <v>54450</v>
      </c>
      <c r="P1662" s="4">
        <v>123712</v>
      </c>
      <c r="Q1662" s="4">
        <v>178162</v>
      </c>
      <c r="R1662" s="4">
        <v>534486</v>
      </c>
      <c r="S1662" t="s">
        <v>18010</v>
      </c>
      <c r="T1662" s="6">
        <v>34547</v>
      </c>
      <c r="U1662" s="4">
        <v>225000</v>
      </c>
      <c r="X1662" t="s">
        <v>3</v>
      </c>
      <c r="AA1662" s="5" t="str">
        <f>HYPERLINK("https://www.zillow.com/homes/7209-CAMDEN-RD-DOWNERS-GROVE-IL-60516_rb/","check listing")</f>
        <v>check listing</v>
      </c>
      <c r="AB1662" s="5" t="str">
        <f>HYPERLINK("https://propertylookup.dupagecounty.gov/Datalets/Datalet.aspx?UseSearch=no&amp;mode=sales&amp;pin=0930105023","sales record")</f>
        <v>sales record</v>
      </c>
      <c r="AC1662" t="s">
        <v>3</v>
      </c>
      <c r="AD1662">
        <v>41.75576</v>
      </c>
      <c r="AE1662">
        <v>-88.024484</v>
      </c>
      <c r="AF1662" s="5" t="str">
        <f>HYPERLINK("https://www.google.com/maps/search/?api=1&amp;query=41.75576,-88.024484","map")</f>
        <v>map</v>
      </c>
    </row>
    <row r="1663" spans="1:32">
      <c r="A1663" t="s">
        <v>1713</v>
      </c>
      <c r="B1663" t="s">
        <v>9273</v>
      </c>
      <c r="C1663" t="s">
        <v>15254</v>
      </c>
      <c r="D1663" t="s">
        <v>16199</v>
      </c>
      <c r="E1663" t="s">
        <v>16218</v>
      </c>
      <c r="F1663" t="s">
        <v>16221</v>
      </c>
      <c r="G1663" t="s">
        <v>16249</v>
      </c>
      <c r="H1663" t="s">
        <v>16249</v>
      </c>
      <c r="I1663" t="s">
        <v>16325</v>
      </c>
      <c r="J1663" t="s">
        <v>16385</v>
      </c>
      <c r="K1663">
        <v>0.222</v>
      </c>
      <c r="L1663">
        <v>9691</v>
      </c>
      <c r="M1663">
        <v>2007</v>
      </c>
      <c r="N1663" t="s">
        <v>16393</v>
      </c>
      <c r="O1663" s="4">
        <v>55376</v>
      </c>
      <c r="P1663" s="4">
        <v>83054</v>
      </c>
      <c r="Q1663" s="4">
        <v>138430</v>
      </c>
      <c r="R1663" s="4">
        <v>415290</v>
      </c>
      <c r="S1663" t="s">
        <v>18011</v>
      </c>
      <c r="T1663" s="6">
        <v>36678</v>
      </c>
      <c r="U1663" s="4">
        <v>204000</v>
      </c>
      <c r="V1663" t="s">
        <v>23739</v>
      </c>
      <c r="W1663" t="s">
        <v>24532</v>
      </c>
      <c r="X1663" t="s">
        <v>3</v>
      </c>
      <c r="AA1663" s="5" t="str">
        <f>HYPERLINK("https://www.zillow.com/homes/7216-DEXTER-RD-DOWNERS-GROVE-IL-60516_rb/","check listing")</f>
        <v>check listing</v>
      </c>
      <c r="AB1663" s="5" t="str">
        <f>HYPERLINK("https://propertylookup.dupagecounty.gov/Datalets/Datalet.aspx?UseSearch=no&amp;mode=sales&amp;pin=0930203048","sales record")</f>
        <v>sales record</v>
      </c>
      <c r="AC1663" t="s">
        <v>3</v>
      </c>
      <c r="AD1663">
        <v>41.755725</v>
      </c>
      <c r="AE1663">
        <v>-88.01875200000001</v>
      </c>
      <c r="AF1663" s="5" t="str">
        <f>HYPERLINK("https://www.google.com/maps/search/?api=1&amp;query=41.755725,-88.018752","map")</f>
        <v>map</v>
      </c>
    </row>
    <row r="1664" spans="1:32">
      <c r="A1664" t="s">
        <v>1714</v>
      </c>
      <c r="B1664" t="s">
        <v>9274</v>
      </c>
      <c r="C1664" t="s">
        <v>15254</v>
      </c>
      <c r="D1664" t="s">
        <v>16199</v>
      </c>
      <c r="E1664" t="s">
        <v>16218</v>
      </c>
      <c r="F1664" t="s">
        <v>16221</v>
      </c>
      <c r="G1664" t="s">
        <v>16249</v>
      </c>
      <c r="H1664" t="s">
        <v>16249</v>
      </c>
      <c r="I1664" t="s">
        <v>16325</v>
      </c>
      <c r="J1664" t="s">
        <v>16385</v>
      </c>
      <c r="K1664">
        <v>0.222</v>
      </c>
      <c r="L1664">
        <v>9691</v>
      </c>
      <c r="M1664">
        <v>1664</v>
      </c>
      <c r="N1664" t="s">
        <v>16393</v>
      </c>
      <c r="O1664" s="4">
        <v>55470</v>
      </c>
      <c r="P1664" s="4">
        <v>102514</v>
      </c>
      <c r="Q1664" s="4">
        <v>157984</v>
      </c>
      <c r="R1664" s="4">
        <v>473952</v>
      </c>
      <c r="S1664" t="s">
        <v>18012</v>
      </c>
      <c r="T1664" s="6">
        <v>39630</v>
      </c>
      <c r="U1664" s="4">
        <v>340000</v>
      </c>
      <c r="V1664" t="s">
        <v>23739</v>
      </c>
      <c r="W1664" t="s">
        <v>24533</v>
      </c>
      <c r="X1664" t="s">
        <v>3</v>
      </c>
      <c r="AA1664" s="5" t="str">
        <f>HYPERLINK("https://www.zillow.com/homes/7314-BINDER-RD-DOWNERS-GROVE-IL-60516_rb/","check listing")</f>
        <v>check listing</v>
      </c>
      <c r="AB1664" s="5" t="str">
        <f>HYPERLINK("https://propertylookup.dupagecounty.gov/Datalets/Datalet.aspx?UseSearch=no&amp;mode=sales&amp;pin=0930103030","sales record")</f>
        <v>sales record</v>
      </c>
      <c r="AC1664" t="s">
        <v>3</v>
      </c>
      <c r="AD1664">
        <v>41.753644</v>
      </c>
      <c r="AE1664">
        <v>-88.02712200000001</v>
      </c>
      <c r="AF1664" s="5" t="str">
        <f>HYPERLINK("https://www.google.com/maps/search/?api=1&amp;query=41.753644,-88.027122","map")</f>
        <v>map</v>
      </c>
    </row>
    <row r="1665" spans="1:32">
      <c r="A1665" t="s">
        <v>1715</v>
      </c>
      <c r="B1665" t="s">
        <v>9275</v>
      </c>
      <c r="C1665" t="s">
        <v>15326</v>
      </c>
      <c r="D1665" t="s">
        <v>16199</v>
      </c>
      <c r="E1665" t="s">
        <v>16218</v>
      </c>
      <c r="F1665" t="s">
        <v>16221</v>
      </c>
      <c r="G1665" t="s">
        <v>16249</v>
      </c>
      <c r="H1665" t="s">
        <v>16249</v>
      </c>
      <c r="I1665" t="s">
        <v>16325</v>
      </c>
      <c r="J1665" t="s">
        <v>16385</v>
      </c>
      <c r="K1665">
        <v>0.222</v>
      </c>
      <c r="L1665">
        <v>9672</v>
      </c>
      <c r="M1665">
        <v>2291</v>
      </c>
      <c r="N1665" t="s">
        <v>16393</v>
      </c>
      <c r="O1665" s="4">
        <v>50623</v>
      </c>
      <c r="P1665" s="4">
        <v>119135</v>
      </c>
      <c r="Q1665" s="4">
        <v>169758</v>
      </c>
      <c r="R1665" s="4">
        <v>509274</v>
      </c>
      <c r="S1665" t="s">
        <v>18013</v>
      </c>
      <c r="T1665" s="6">
        <v>28795</v>
      </c>
      <c r="U1665" s="4">
        <v>90640</v>
      </c>
      <c r="X1665" t="s">
        <v>3</v>
      </c>
      <c r="AA1665" s="5" t="str">
        <f>HYPERLINK("https://www.zillow.com/homes/1416-WILLARD-PL-DOWNERS-GROVE-IL-605163701_rb/","check listing")</f>
        <v>check listing</v>
      </c>
      <c r="AB1665" s="5" t="str">
        <f>HYPERLINK("https://propertylookup.dupagecounty.gov/Datalets/Datalet.aspx?UseSearch=no&amp;mode=sales&amp;pin=0930203041","sales record")</f>
        <v>sales record</v>
      </c>
      <c r="AC1665" t="s">
        <v>3</v>
      </c>
      <c r="AD1665">
        <v>41.756294</v>
      </c>
      <c r="AE1665">
        <v>-88.019851</v>
      </c>
      <c r="AF1665" s="5" t="str">
        <f>HYPERLINK("https://www.google.com/maps/search/?api=1&amp;query=41.756294,-88.019851","map")</f>
        <v>map</v>
      </c>
    </row>
    <row r="1666" spans="1:32">
      <c r="A1666" t="s">
        <v>1716</v>
      </c>
      <c r="B1666" t="s">
        <v>9276</v>
      </c>
      <c r="C1666" t="s">
        <v>15254</v>
      </c>
      <c r="D1666" t="s">
        <v>16199</v>
      </c>
      <c r="E1666" t="s">
        <v>16218</v>
      </c>
      <c r="F1666" t="s">
        <v>16221</v>
      </c>
      <c r="G1666" t="s">
        <v>16249</v>
      </c>
      <c r="H1666" t="s">
        <v>16249</v>
      </c>
      <c r="I1666" t="s">
        <v>16325</v>
      </c>
      <c r="J1666" t="s">
        <v>16385</v>
      </c>
      <c r="K1666">
        <v>0.222</v>
      </c>
      <c r="L1666">
        <v>9654</v>
      </c>
      <c r="M1666">
        <v>1609</v>
      </c>
      <c r="N1666" t="s">
        <v>16393</v>
      </c>
      <c r="O1666" s="4">
        <v>56879</v>
      </c>
      <c r="P1666" s="4">
        <v>115297</v>
      </c>
      <c r="Q1666" s="4">
        <v>172176</v>
      </c>
      <c r="R1666" s="4">
        <v>516528</v>
      </c>
      <c r="S1666" t="s">
        <v>18014</v>
      </c>
      <c r="T1666" s="6">
        <v>32021</v>
      </c>
      <c r="U1666" s="4">
        <v>134985</v>
      </c>
      <c r="X1666" t="s">
        <v>3</v>
      </c>
      <c r="AA1666" s="5" t="str">
        <f>HYPERLINK("https://www.zillow.com/homes/7225-CAMDEN-RD-DOWNERS-GROVE-IL-60516_rb/","check listing")</f>
        <v>check listing</v>
      </c>
      <c r="AB1666" s="5" t="str">
        <f>HYPERLINK("https://propertylookup.dupagecounty.gov/Datalets/Datalet.aspx?UseSearch=no&amp;mode=sales&amp;pin=0930105027","sales record")</f>
        <v>sales record</v>
      </c>
      <c r="AC1666" t="s">
        <v>3</v>
      </c>
      <c r="AD1666">
        <v>41.754982</v>
      </c>
      <c r="AE1666">
        <v>-88.024288</v>
      </c>
      <c r="AF1666" s="5" t="str">
        <f>HYPERLINK("https://www.google.com/maps/search/?api=1&amp;query=41.754982,-88.024288","map")</f>
        <v>map</v>
      </c>
    </row>
    <row r="1667" spans="1:32">
      <c r="A1667" t="s">
        <v>1717</v>
      </c>
      <c r="B1667" t="s">
        <v>9277</v>
      </c>
      <c r="C1667" t="s">
        <v>15254</v>
      </c>
      <c r="D1667" t="s">
        <v>16199</v>
      </c>
      <c r="E1667" t="s">
        <v>16218</v>
      </c>
      <c r="F1667" t="s">
        <v>16221</v>
      </c>
      <c r="G1667" t="s">
        <v>16249</v>
      </c>
      <c r="H1667" t="s">
        <v>16249</v>
      </c>
      <c r="I1667" t="s">
        <v>16325</v>
      </c>
      <c r="J1667" t="s">
        <v>16385</v>
      </c>
      <c r="K1667">
        <v>0.221</v>
      </c>
      <c r="L1667">
        <v>9644</v>
      </c>
      <c r="M1667">
        <v>1859</v>
      </c>
      <c r="N1667" t="s">
        <v>16393</v>
      </c>
      <c r="O1667" s="4">
        <v>51903</v>
      </c>
      <c r="P1667" s="4">
        <v>94556</v>
      </c>
      <c r="Q1667" s="4">
        <v>146459</v>
      </c>
      <c r="R1667" s="4">
        <v>439377</v>
      </c>
      <c r="S1667" t="s">
        <v>18015</v>
      </c>
      <c r="T1667" s="6">
        <v>38838</v>
      </c>
      <c r="U1667" s="4">
        <v>384000</v>
      </c>
      <c r="V1667" t="s">
        <v>23739</v>
      </c>
      <c r="W1667" t="s">
        <v>18015</v>
      </c>
      <c r="X1667" t="s">
        <v>3</v>
      </c>
      <c r="AA1667" s="5" t="str">
        <f>HYPERLINK("https://www.zillow.com/homes/7217-KELLY-PL-DOWNERS-GROVE-IL-60516_rb/","check listing")</f>
        <v>check listing</v>
      </c>
      <c r="AB1667" s="5" t="str">
        <f>HYPERLINK("https://propertylookup.dupagecounty.gov/Datalets/Datalet.aspx?UseSearch=no&amp;mode=sales&amp;pin=0930203027","sales record")</f>
        <v>sales record</v>
      </c>
      <c r="AC1667" t="s">
        <v>3</v>
      </c>
      <c r="AD1667">
        <v>41.756289</v>
      </c>
      <c r="AE1667">
        <v>-88.020324</v>
      </c>
      <c r="AF1667" s="5" t="str">
        <f>HYPERLINK("https://www.google.com/maps/search/?api=1&amp;query=41.756289,-88.020324","map")</f>
        <v>map</v>
      </c>
    </row>
    <row r="1668" spans="1:32">
      <c r="A1668" t="s">
        <v>1718</v>
      </c>
      <c r="B1668" t="s">
        <v>9278</v>
      </c>
      <c r="C1668" t="s">
        <v>15254</v>
      </c>
      <c r="D1668" t="s">
        <v>16199</v>
      </c>
      <c r="E1668" t="s">
        <v>16218</v>
      </c>
      <c r="F1668" t="s">
        <v>16221</v>
      </c>
      <c r="G1668" t="s">
        <v>16249</v>
      </c>
      <c r="H1668" t="s">
        <v>16249</v>
      </c>
      <c r="I1668" t="s">
        <v>16325</v>
      </c>
      <c r="J1668" t="s">
        <v>16385</v>
      </c>
      <c r="K1668">
        <v>0.221</v>
      </c>
      <c r="L1668">
        <v>9639</v>
      </c>
      <c r="M1668">
        <v>2105</v>
      </c>
      <c r="N1668" t="s">
        <v>16393</v>
      </c>
      <c r="O1668" s="4">
        <v>60178</v>
      </c>
      <c r="P1668" s="4">
        <v>96622</v>
      </c>
      <c r="Q1668" s="4">
        <v>156800</v>
      </c>
      <c r="R1668" s="4">
        <v>470400</v>
      </c>
      <c r="S1668" t="s">
        <v>18016</v>
      </c>
      <c r="T1668" s="6">
        <v>40817</v>
      </c>
      <c r="U1668" s="4">
        <v>210000</v>
      </c>
      <c r="V1668" t="s">
        <v>23739</v>
      </c>
      <c r="W1668" t="s">
        <v>18016</v>
      </c>
      <c r="X1668" t="s">
        <v>3</v>
      </c>
      <c r="AA1668" s="5" t="str">
        <f>HYPERLINK("https://www.zillow.com/homes/1316-HAWKINS-AVE-DOWNERS-GROVE-IL-60516_rb/","check listing")</f>
        <v>check listing</v>
      </c>
      <c r="AB1668" s="5" t="str">
        <f>HYPERLINK("https://propertylookup.dupagecounty.gov/Datalets/Datalet.aspx?UseSearch=no&amp;mode=sales&amp;pin=0930208006","sales record")</f>
        <v>sales record</v>
      </c>
      <c r="AC1668" t="s">
        <v>3</v>
      </c>
      <c r="AD1668">
        <v>41.755371</v>
      </c>
      <c r="AE1668">
        <v>-88.015851</v>
      </c>
      <c r="AF1668" s="5" t="str">
        <f>HYPERLINK("https://www.google.com/maps/search/?api=1&amp;query=41.755371,-88.015851","map")</f>
        <v>map</v>
      </c>
    </row>
    <row r="1669" spans="1:32">
      <c r="A1669" t="s">
        <v>1719</v>
      </c>
      <c r="B1669" t="s">
        <v>9279</v>
      </c>
      <c r="C1669" t="s">
        <v>15254</v>
      </c>
      <c r="D1669" t="s">
        <v>16199</v>
      </c>
      <c r="E1669" t="s">
        <v>16218</v>
      </c>
      <c r="F1669" t="s">
        <v>16221</v>
      </c>
      <c r="G1669" t="s">
        <v>16249</v>
      </c>
      <c r="H1669" t="s">
        <v>16249</v>
      </c>
      <c r="I1669" t="s">
        <v>16325</v>
      </c>
      <c r="J1669" t="s">
        <v>16385</v>
      </c>
      <c r="K1669">
        <v>0.221</v>
      </c>
      <c r="L1669">
        <v>9632</v>
      </c>
      <c r="M1669">
        <v>1796</v>
      </c>
      <c r="N1669" t="s">
        <v>16393</v>
      </c>
      <c r="O1669" s="4">
        <v>54450</v>
      </c>
      <c r="P1669" s="4">
        <v>110624</v>
      </c>
      <c r="Q1669" s="4">
        <v>165074</v>
      </c>
      <c r="R1669" s="4">
        <v>495222</v>
      </c>
      <c r="S1669" t="s">
        <v>18017</v>
      </c>
      <c r="T1669" s="6">
        <v>37834</v>
      </c>
      <c r="U1669" s="4">
        <v>315500</v>
      </c>
      <c r="V1669" t="s">
        <v>23739</v>
      </c>
      <c r="W1669" t="s">
        <v>18017</v>
      </c>
      <c r="X1669" t="s">
        <v>3</v>
      </c>
      <c r="AA1669" s="5" t="str">
        <f>HYPERLINK("https://www.zillow.com/homes/7205-CAMDEN-RD-DOWNERS-GROVE-IL-60516_rb/","check listing")</f>
        <v>check listing</v>
      </c>
      <c r="AB1669" s="5" t="str">
        <f>HYPERLINK("https://propertylookup.dupagecounty.gov/Datalets/Datalet.aspx?UseSearch=no&amp;mode=sales&amp;pin=0930105022","sales record")</f>
        <v>sales record</v>
      </c>
      <c r="AC1669" t="s">
        <v>3</v>
      </c>
      <c r="AD1669">
        <v>41.755924</v>
      </c>
      <c r="AE1669">
        <v>-88.02452599999999</v>
      </c>
      <c r="AF1669" s="5" t="str">
        <f>HYPERLINK("https://www.google.com/maps/search/?api=1&amp;query=41.755924,-88.024526","map")</f>
        <v>map</v>
      </c>
    </row>
    <row r="1670" spans="1:32">
      <c r="A1670" t="s">
        <v>1720</v>
      </c>
      <c r="B1670" t="s">
        <v>9280</v>
      </c>
      <c r="C1670" t="s">
        <v>15254</v>
      </c>
      <c r="D1670" t="s">
        <v>16199</v>
      </c>
      <c r="E1670" t="s">
        <v>16218</v>
      </c>
      <c r="F1670" t="s">
        <v>16221</v>
      </c>
      <c r="G1670" t="s">
        <v>16249</v>
      </c>
      <c r="H1670" t="s">
        <v>16249</v>
      </c>
      <c r="I1670" t="s">
        <v>16325</v>
      </c>
      <c r="J1670" t="s">
        <v>16385</v>
      </c>
      <c r="K1670">
        <v>0.221</v>
      </c>
      <c r="L1670">
        <v>9621</v>
      </c>
      <c r="M1670">
        <v>1700</v>
      </c>
      <c r="N1670" t="s">
        <v>16393</v>
      </c>
      <c r="O1670" s="4">
        <v>51245</v>
      </c>
      <c r="P1670" s="4">
        <v>114592</v>
      </c>
      <c r="Q1670" s="4">
        <v>165837</v>
      </c>
      <c r="R1670" s="4">
        <v>497511</v>
      </c>
      <c r="S1670" t="s">
        <v>18018</v>
      </c>
      <c r="T1670" s="6">
        <v>34425</v>
      </c>
      <c r="U1670" s="4">
        <v>220000</v>
      </c>
      <c r="X1670" t="s">
        <v>3</v>
      </c>
      <c r="AA1670" s="5" t="str">
        <f>HYPERLINK("https://www.zillow.com/homes/1309-HUGHES-AVE-DOWNERS-GROVE-IL-60516_rb/","check listing")</f>
        <v>check listing</v>
      </c>
      <c r="AB1670" s="5" t="str">
        <f>HYPERLINK("https://propertylookup.dupagecounty.gov/Datalets/Datalet.aspx?UseSearch=no&amp;mode=sales&amp;pin=0930207003","sales record")</f>
        <v>sales record</v>
      </c>
      <c r="AC1670" t="s">
        <v>3</v>
      </c>
      <c r="AD1670">
        <v>41.756882</v>
      </c>
      <c r="AE1670">
        <v>-88.015513</v>
      </c>
      <c r="AF1670" s="5" t="str">
        <f>HYPERLINK("https://www.google.com/maps/search/?api=1&amp;query=41.756882,-88.015513","map")</f>
        <v>map</v>
      </c>
    </row>
    <row r="1671" spans="1:32">
      <c r="A1671" t="s">
        <v>1721</v>
      </c>
      <c r="B1671" t="s">
        <v>9281</v>
      </c>
      <c r="C1671" t="s">
        <v>15254</v>
      </c>
      <c r="D1671" t="s">
        <v>16199</v>
      </c>
      <c r="E1671" t="s">
        <v>16218</v>
      </c>
      <c r="F1671" t="s">
        <v>16221</v>
      </c>
      <c r="G1671" t="s">
        <v>16249</v>
      </c>
      <c r="H1671" t="s">
        <v>16249</v>
      </c>
      <c r="I1671" t="s">
        <v>16325</v>
      </c>
      <c r="J1671" t="s">
        <v>16385</v>
      </c>
      <c r="K1671">
        <v>0.221</v>
      </c>
      <c r="L1671">
        <v>9620</v>
      </c>
      <c r="M1671">
        <v>1600</v>
      </c>
      <c r="N1671" t="s">
        <v>16393</v>
      </c>
      <c r="O1671" s="4">
        <v>51245</v>
      </c>
      <c r="P1671" s="4">
        <v>111693</v>
      </c>
      <c r="Q1671" s="4">
        <v>162938</v>
      </c>
      <c r="R1671" s="4">
        <v>488814</v>
      </c>
      <c r="S1671" t="s">
        <v>18019</v>
      </c>
      <c r="T1671" s="6">
        <v>42430</v>
      </c>
      <c r="U1671" s="4">
        <v>345000</v>
      </c>
      <c r="V1671" t="s">
        <v>23740</v>
      </c>
      <c r="W1671" t="s">
        <v>24534</v>
      </c>
      <c r="X1671" t="s">
        <v>3</v>
      </c>
      <c r="AA1671" s="5" t="str">
        <f>HYPERLINK("https://www.zillow.com/homes/1305-HUGHES-AVE-DOWNERS-GROVE-IL-60516_rb/","check listing")</f>
        <v>check listing</v>
      </c>
      <c r="AB1671" s="5" t="str">
        <f>HYPERLINK("https://propertylookup.dupagecounty.gov/Datalets/Datalet.aspx?UseSearch=no&amp;mode=sales&amp;pin=0930207004","sales record")</f>
        <v>sales record</v>
      </c>
      <c r="AC1671" t="s">
        <v>3</v>
      </c>
      <c r="AD1671">
        <v>41.756881</v>
      </c>
      <c r="AE1671">
        <v>-88.015275</v>
      </c>
      <c r="AF1671" s="5" t="str">
        <f>HYPERLINK("https://www.google.com/maps/search/?api=1&amp;query=41.756881,-88.015275","map")</f>
        <v>map</v>
      </c>
    </row>
    <row r="1672" spans="1:32">
      <c r="A1672" t="s">
        <v>1722</v>
      </c>
      <c r="B1672" t="s">
        <v>9282</v>
      </c>
      <c r="C1672" t="s">
        <v>15254</v>
      </c>
      <c r="D1672" t="s">
        <v>16199</v>
      </c>
      <c r="E1672" t="s">
        <v>16218</v>
      </c>
      <c r="F1672" t="s">
        <v>16221</v>
      </c>
      <c r="G1672" t="s">
        <v>16249</v>
      </c>
      <c r="H1672" t="s">
        <v>16249</v>
      </c>
      <c r="I1672" t="s">
        <v>16325</v>
      </c>
      <c r="J1672" t="s">
        <v>16385</v>
      </c>
      <c r="K1672">
        <v>0.221</v>
      </c>
      <c r="L1672">
        <v>9614</v>
      </c>
      <c r="M1672">
        <v>3102</v>
      </c>
      <c r="N1672" t="s">
        <v>16393</v>
      </c>
      <c r="O1672" s="4">
        <v>53792</v>
      </c>
      <c r="P1672" s="4">
        <v>159581</v>
      </c>
      <c r="Q1672" s="4">
        <v>213373</v>
      </c>
      <c r="R1672" s="4">
        <v>640119</v>
      </c>
      <c r="S1672" t="s">
        <v>18020</v>
      </c>
      <c r="T1672" s="6">
        <v>33848</v>
      </c>
      <c r="U1672" s="4">
        <v>163500</v>
      </c>
      <c r="X1672" t="s">
        <v>3</v>
      </c>
      <c r="AA1672" s="5" t="str">
        <f>HYPERLINK("https://www.zillow.com/homes/7209-DEXTER-RD-DOWNERS-GROVE-IL-60516_rb/","check listing")</f>
        <v>check listing</v>
      </c>
      <c r="AB1672" s="5" t="str">
        <f>HYPERLINK("https://propertylookup.dupagecounty.gov/Datalets/Datalet.aspx?UseSearch=no&amp;mode=sales&amp;pin=0930204011","sales record")</f>
        <v>sales record</v>
      </c>
      <c r="AC1672" t="s">
        <v>3</v>
      </c>
      <c r="AD1672">
        <v>41.756116</v>
      </c>
      <c r="AE1672">
        <v>-88.01830200000001</v>
      </c>
      <c r="AF1672" s="5" t="str">
        <f>HYPERLINK("https://www.google.com/maps/search/?api=1&amp;query=41.756116,-88.018302","map")</f>
        <v>map</v>
      </c>
    </row>
    <row r="1673" spans="1:32">
      <c r="A1673" t="s">
        <v>1723</v>
      </c>
      <c r="B1673" t="s">
        <v>9283</v>
      </c>
      <c r="C1673" t="s">
        <v>15254</v>
      </c>
      <c r="D1673" t="s">
        <v>16199</v>
      </c>
      <c r="E1673" t="s">
        <v>16218</v>
      </c>
      <c r="F1673" t="s">
        <v>16221</v>
      </c>
      <c r="G1673" t="s">
        <v>16249</v>
      </c>
      <c r="H1673" t="s">
        <v>16249</v>
      </c>
      <c r="I1673" t="s">
        <v>16325</v>
      </c>
      <c r="J1673" t="s">
        <v>16385</v>
      </c>
      <c r="K1673">
        <v>0.22</v>
      </c>
      <c r="L1673">
        <v>9603</v>
      </c>
      <c r="M1673">
        <v>2421</v>
      </c>
      <c r="N1673" t="s">
        <v>16393</v>
      </c>
      <c r="O1673" s="4">
        <v>60694</v>
      </c>
      <c r="P1673" s="4">
        <v>120742</v>
      </c>
      <c r="Q1673" s="4">
        <v>181436</v>
      </c>
      <c r="R1673" s="4">
        <v>544308</v>
      </c>
      <c r="S1673" t="s">
        <v>18021</v>
      </c>
      <c r="T1673" s="6">
        <v>36617</v>
      </c>
      <c r="U1673" s="4">
        <v>243500</v>
      </c>
      <c r="V1673" t="s">
        <v>23740</v>
      </c>
      <c r="W1673" t="s">
        <v>24535</v>
      </c>
      <c r="X1673" t="s">
        <v>3</v>
      </c>
      <c r="AA1673" s="5" t="str">
        <f>HYPERLINK("https://www.zillow.com/homes/7232-KIDWELL-RD-DOWNERS-GROVE-IL-60516_rb/","check listing")</f>
        <v>check listing</v>
      </c>
      <c r="AB1673" s="5" t="str">
        <f>HYPERLINK("https://propertylookup.dupagecounty.gov/Datalets/Datalet.aspx?UseSearch=no&amp;mode=sales&amp;pin=0930206020","sales record")</f>
        <v>sales record</v>
      </c>
      <c r="AC1673" t="s">
        <v>3</v>
      </c>
      <c r="AD1673">
        <v>41.75537</v>
      </c>
      <c r="AE1673">
        <v>-88.01390499999999</v>
      </c>
      <c r="AF1673" s="5" t="str">
        <f>HYPERLINK("https://www.google.com/maps/search/?api=1&amp;query=41.75537,-88.013905","map")</f>
        <v>map</v>
      </c>
    </row>
    <row r="1674" spans="1:32">
      <c r="A1674" t="s">
        <v>1724</v>
      </c>
      <c r="B1674" t="s">
        <v>9284</v>
      </c>
      <c r="C1674" t="s">
        <v>15254</v>
      </c>
      <c r="D1674" t="s">
        <v>16199</v>
      </c>
      <c r="E1674" t="s">
        <v>16218</v>
      </c>
      <c r="F1674" t="s">
        <v>16221</v>
      </c>
      <c r="G1674" t="s">
        <v>16249</v>
      </c>
      <c r="H1674" t="s">
        <v>16249</v>
      </c>
      <c r="I1674" t="s">
        <v>16325</v>
      </c>
      <c r="J1674" t="s">
        <v>16385</v>
      </c>
      <c r="K1674">
        <v>0.22</v>
      </c>
      <c r="L1674">
        <v>9601</v>
      </c>
      <c r="M1674">
        <v>1381</v>
      </c>
      <c r="N1674" t="s">
        <v>16393</v>
      </c>
      <c r="O1674" s="4">
        <v>54450</v>
      </c>
      <c r="P1674" s="4">
        <v>105213</v>
      </c>
      <c r="Q1674" s="4">
        <v>159663</v>
      </c>
      <c r="R1674" s="4">
        <v>478989</v>
      </c>
      <c r="S1674" t="s">
        <v>18022</v>
      </c>
      <c r="T1674" s="6">
        <v>37438</v>
      </c>
      <c r="U1674" s="4">
        <v>287000</v>
      </c>
      <c r="V1674" t="s">
        <v>23739</v>
      </c>
      <c r="W1674" t="s">
        <v>18022</v>
      </c>
      <c r="X1674" t="s">
        <v>3</v>
      </c>
      <c r="AA1674" s="5" t="str">
        <f>HYPERLINK("https://www.zillow.com/homes/7226-TICONDEROGA-PL-DOWNERS-GROVE-IL-60516_rb/","check listing")</f>
        <v>check listing</v>
      </c>
      <c r="AB1674" s="5" t="str">
        <f>HYPERLINK("https://propertylookup.dupagecounty.gov/Datalets/Datalet.aspx?UseSearch=no&amp;mode=sales&amp;pin=0930105031","sales record")</f>
        <v>sales record</v>
      </c>
      <c r="AC1674" t="s">
        <v>3</v>
      </c>
      <c r="AD1674">
        <v>41.755014</v>
      </c>
      <c r="AE1674">
        <v>-88.023816</v>
      </c>
      <c r="AF1674" s="5" t="str">
        <f>HYPERLINK("https://www.google.com/maps/search/?api=1&amp;query=41.755014,-88.023816","map")</f>
        <v>map</v>
      </c>
    </row>
    <row r="1675" spans="1:32">
      <c r="A1675" t="s">
        <v>1725</v>
      </c>
      <c r="B1675" t="s">
        <v>9285</v>
      </c>
      <c r="C1675" t="s">
        <v>15254</v>
      </c>
      <c r="D1675" t="s">
        <v>16199</v>
      </c>
      <c r="E1675" t="s">
        <v>16218</v>
      </c>
      <c r="F1675" t="s">
        <v>16221</v>
      </c>
      <c r="G1675" t="s">
        <v>16249</v>
      </c>
      <c r="H1675" t="s">
        <v>16249</v>
      </c>
      <c r="I1675" t="s">
        <v>16325</v>
      </c>
      <c r="J1675" t="s">
        <v>16385</v>
      </c>
      <c r="K1675">
        <v>0.22</v>
      </c>
      <c r="L1675">
        <v>9600</v>
      </c>
      <c r="M1675">
        <v>2012</v>
      </c>
      <c r="N1675" t="s">
        <v>16393</v>
      </c>
      <c r="O1675" s="4">
        <v>60694</v>
      </c>
      <c r="P1675" s="4">
        <v>104157</v>
      </c>
      <c r="Q1675" s="4">
        <v>164851</v>
      </c>
      <c r="R1675" s="4">
        <v>494553</v>
      </c>
      <c r="S1675" t="s">
        <v>18023</v>
      </c>
      <c r="T1675" s="6">
        <v>36312</v>
      </c>
      <c r="U1675" s="4">
        <v>215000</v>
      </c>
      <c r="X1675" t="s">
        <v>3</v>
      </c>
      <c r="AA1675" s="5" t="str">
        <f>HYPERLINK("https://www.zillow.com/homes/7237-O-NEILL-RD-DOWNERS-GROVE-IL-60516_rb/","check listing")</f>
        <v>check listing</v>
      </c>
      <c r="AB1675" s="5" t="str">
        <f>HYPERLINK("https://propertylookup.dupagecounty.gov/Datalets/Datalet.aspx?UseSearch=no&amp;mode=sales&amp;pin=0930206021","sales record")</f>
        <v>sales record</v>
      </c>
      <c r="AC1675" t="s">
        <v>3</v>
      </c>
      <c r="AD1675">
        <v>41.755358</v>
      </c>
      <c r="AE1675">
        <v>-88.01431100000001</v>
      </c>
      <c r="AF1675" s="5" t="str">
        <f>HYPERLINK("https://www.google.com/maps/search/?api=1&amp;query=41.755358,-88.014311","map")</f>
        <v>map</v>
      </c>
    </row>
    <row r="1676" spans="1:32">
      <c r="A1676" t="s">
        <v>1726</v>
      </c>
      <c r="B1676" t="s">
        <v>9286</v>
      </c>
      <c r="C1676" t="s">
        <v>15339</v>
      </c>
      <c r="D1676" t="s">
        <v>16199</v>
      </c>
      <c r="E1676" t="s">
        <v>16218</v>
      </c>
      <c r="F1676" t="s">
        <v>16221</v>
      </c>
      <c r="G1676" t="s">
        <v>16249</v>
      </c>
      <c r="H1676" t="s">
        <v>16249</v>
      </c>
      <c r="I1676" t="s">
        <v>16325</v>
      </c>
      <c r="J1676" t="s">
        <v>16385</v>
      </c>
      <c r="K1676">
        <v>0.22</v>
      </c>
      <c r="L1676">
        <v>9598</v>
      </c>
      <c r="M1676">
        <v>1456</v>
      </c>
      <c r="N1676" t="s">
        <v>16393</v>
      </c>
      <c r="O1676" s="4">
        <v>54450</v>
      </c>
      <c r="P1676" s="4">
        <v>88006</v>
      </c>
      <c r="Q1676" s="4">
        <v>142456</v>
      </c>
      <c r="R1676" s="4">
        <v>427368</v>
      </c>
      <c r="S1676" t="s">
        <v>18024</v>
      </c>
      <c r="T1676" s="6">
        <v>30225</v>
      </c>
      <c r="U1676" s="4">
        <v>102339</v>
      </c>
      <c r="X1676" t="s">
        <v>3</v>
      </c>
      <c r="AA1676" s="5" t="str">
        <f>HYPERLINK("https://www.zillow.com/homes/7124-DEXTER-RD-DOWNERS-GROVE-IL-60546_rb/","check listing")</f>
        <v>check listing</v>
      </c>
      <c r="AB1676" s="5" t="str">
        <f>HYPERLINK("https://propertylookup.dupagecounty.gov/Datalets/Datalet.aspx?UseSearch=no&amp;mode=sales&amp;pin=0919417006","sales record")</f>
        <v>sales record</v>
      </c>
      <c r="AC1676" t="s">
        <v>3</v>
      </c>
      <c r="AD1676">
        <v>41.758276</v>
      </c>
      <c r="AE1676">
        <v>-88.020956</v>
      </c>
      <c r="AF1676" s="5" t="str">
        <f>HYPERLINK("https://www.google.com/maps/search/?api=1&amp;query=41.758276,-88.020956","map")</f>
        <v>map</v>
      </c>
    </row>
    <row r="1677" spans="1:32">
      <c r="A1677" t="s">
        <v>1727</v>
      </c>
      <c r="B1677" t="s">
        <v>9287</v>
      </c>
      <c r="C1677" t="s">
        <v>15254</v>
      </c>
      <c r="D1677" t="s">
        <v>16199</v>
      </c>
      <c r="E1677" t="s">
        <v>16218</v>
      </c>
      <c r="F1677" t="s">
        <v>16221</v>
      </c>
      <c r="G1677" t="s">
        <v>16249</v>
      </c>
      <c r="H1677" t="s">
        <v>16249</v>
      </c>
      <c r="I1677" t="s">
        <v>16325</v>
      </c>
      <c r="J1677" t="s">
        <v>16385</v>
      </c>
      <c r="K1677">
        <v>0.219</v>
      </c>
      <c r="L1677">
        <v>9558</v>
      </c>
      <c r="M1677">
        <v>2103</v>
      </c>
      <c r="N1677" t="s">
        <v>16393</v>
      </c>
      <c r="O1677" s="4">
        <v>57267</v>
      </c>
      <c r="P1677" s="4">
        <v>98078</v>
      </c>
      <c r="Q1677" s="4">
        <v>155345</v>
      </c>
      <c r="R1677" s="4">
        <v>466035</v>
      </c>
      <c r="S1677" t="s">
        <v>18025</v>
      </c>
      <c r="T1677" s="6">
        <v>31959</v>
      </c>
      <c r="U1677" s="4">
        <v>139900</v>
      </c>
      <c r="X1677" t="s">
        <v>3</v>
      </c>
      <c r="AA1677" s="5" t="str">
        <f>HYPERLINK("https://www.zillow.com/homes/7140-DEXTER-RD-DOWNERS-GROVE-IL-60516_rb/","check listing")</f>
        <v>check listing</v>
      </c>
      <c r="AB1677" s="5" t="str">
        <f>HYPERLINK("https://propertylookup.dupagecounty.gov/Datalets/Datalet.aspx?UseSearch=no&amp;mode=sales&amp;pin=0930203032","sales record")</f>
        <v>sales record</v>
      </c>
      <c r="AC1677" t="s">
        <v>3</v>
      </c>
      <c r="AD1677">
        <v>41.75758</v>
      </c>
      <c r="AE1677">
        <v>-88.020093</v>
      </c>
      <c r="AF1677" s="5" t="str">
        <f>HYPERLINK("https://www.google.com/maps/search/?api=1&amp;query=41.75758,-88.020093","map")</f>
        <v>map</v>
      </c>
    </row>
    <row r="1678" spans="1:32">
      <c r="A1678" t="s">
        <v>1728</v>
      </c>
      <c r="B1678" t="s">
        <v>9288</v>
      </c>
      <c r="C1678" t="s">
        <v>15254</v>
      </c>
      <c r="D1678" t="s">
        <v>16199</v>
      </c>
      <c r="E1678" t="s">
        <v>16218</v>
      </c>
      <c r="F1678" t="s">
        <v>16221</v>
      </c>
      <c r="G1678" t="s">
        <v>16249</v>
      </c>
      <c r="H1678" t="s">
        <v>16249</v>
      </c>
      <c r="I1678" t="s">
        <v>16325</v>
      </c>
      <c r="J1678" t="s">
        <v>16385</v>
      </c>
      <c r="K1678">
        <v>0.219</v>
      </c>
      <c r="L1678">
        <v>9544</v>
      </c>
      <c r="M1678">
        <v>1564</v>
      </c>
      <c r="N1678" t="s">
        <v>16393</v>
      </c>
      <c r="O1678" s="4">
        <v>56139</v>
      </c>
      <c r="P1678" s="4">
        <v>111012</v>
      </c>
      <c r="Q1678" s="4">
        <v>167151</v>
      </c>
      <c r="R1678" s="4">
        <v>501453</v>
      </c>
      <c r="S1678" t="s">
        <v>18026</v>
      </c>
      <c r="T1678" s="6">
        <v>45153</v>
      </c>
      <c r="U1678" s="4">
        <v>430000</v>
      </c>
      <c r="V1678" t="s">
        <v>23741</v>
      </c>
      <c r="W1678" t="s">
        <v>24536</v>
      </c>
      <c r="X1678" t="s">
        <v>3</v>
      </c>
      <c r="AA1678" s="5" t="str">
        <f>HYPERLINK("https://www.zillow.com/homes/7222-BINDER-RD-DOWNERS-GROVE-IL-60516_rb/","check listing")</f>
        <v>check listing</v>
      </c>
      <c r="AB1678" s="5" t="str">
        <f>HYPERLINK("https://propertylookup.dupagecounty.gov/Datalets/Datalet.aspx?UseSearch=no&amp;mode=sales&amp;pin=0930103023","sales record")</f>
        <v>sales record</v>
      </c>
      <c r="AC1678" t="s">
        <v>3</v>
      </c>
      <c r="AD1678">
        <v>41.755078</v>
      </c>
      <c r="AE1678">
        <v>-88.02716599999999</v>
      </c>
      <c r="AF1678" s="5" t="str">
        <f>HYPERLINK("https://www.google.com/maps/search/?api=1&amp;query=41.755078,-88.027166","map")</f>
        <v>map</v>
      </c>
    </row>
    <row r="1679" spans="1:32">
      <c r="A1679" t="s">
        <v>1729</v>
      </c>
      <c r="B1679" t="s">
        <v>9289</v>
      </c>
      <c r="C1679" t="s">
        <v>15254</v>
      </c>
      <c r="D1679" t="s">
        <v>16199</v>
      </c>
      <c r="E1679" t="s">
        <v>16218</v>
      </c>
      <c r="F1679" t="s">
        <v>16221</v>
      </c>
      <c r="G1679" t="s">
        <v>16249</v>
      </c>
      <c r="H1679" t="s">
        <v>16249</v>
      </c>
      <c r="I1679" t="s">
        <v>16325</v>
      </c>
      <c r="J1679" t="s">
        <v>16385</v>
      </c>
      <c r="K1679">
        <v>0.219</v>
      </c>
      <c r="L1679">
        <v>9541</v>
      </c>
      <c r="M1679">
        <v>2088</v>
      </c>
      <c r="N1679" t="s">
        <v>16393</v>
      </c>
      <c r="O1679" s="4">
        <v>58769</v>
      </c>
      <c r="P1679" s="4">
        <v>98266</v>
      </c>
      <c r="Q1679" s="4">
        <v>157035</v>
      </c>
      <c r="R1679" s="4">
        <v>471105</v>
      </c>
      <c r="S1679" t="s">
        <v>18027</v>
      </c>
      <c r="T1679" s="6">
        <v>36039</v>
      </c>
      <c r="U1679" s="4">
        <v>221000</v>
      </c>
      <c r="X1679" t="s">
        <v>3</v>
      </c>
      <c r="AA1679" s="5" t="str">
        <f>HYPERLINK("https://www.zillow.com/homes/1212-KLEIN-AVE-DOWNERS-GROVE-IL-60516_rb/","check listing")</f>
        <v>check listing</v>
      </c>
      <c r="AB1679" s="5" t="str">
        <f>HYPERLINK("https://propertylookup.dupagecounty.gov/Datalets/Datalet.aspx?UseSearch=no&amp;mode=sales&amp;pin=0930209001","sales record")</f>
        <v>sales record</v>
      </c>
      <c r="AC1679" t="s">
        <v>3</v>
      </c>
      <c r="AD1679">
        <v>41.758095</v>
      </c>
      <c r="AE1679">
        <v>-88.014366</v>
      </c>
      <c r="AF1679" s="5" t="str">
        <f>HYPERLINK("https://www.google.com/maps/search/?api=1&amp;query=41.758095,-88.014366","map")</f>
        <v>map</v>
      </c>
    </row>
    <row r="1680" spans="1:32">
      <c r="A1680" t="s">
        <v>1730</v>
      </c>
      <c r="B1680" t="s">
        <v>9290</v>
      </c>
      <c r="C1680" t="s">
        <v>15254</v>
      </c>
      <c r="D1680" t="s">
        <v>16199</v>
      </c>
      <c r="E1680" t="s">
        <v>16218</v>
      </c>
      <c r="F1680" t="s">
        <v>16221</v>
      </c>
      <c r="G1680" t="s">
        <v>16249</v>
      </c>
      <c r="H1680" t="s">
        <v>16249</v>
      </c>
      <c r="I1680" t="s">
        <v>16325</v>
      </c>
      <c r="J1680" t="s">
        <v>16385</v>
      </c>
      <c r="K1680">
        <v>0.219</v>
      </c>
      <c r="L1680">
        <v>9520</v>
      </c>
      <c r="M1680">
        <v>2513</v>
      </c>
      <c r="N1680" t="s">
        <v>16393</v>
      </c>
      <c r="O1680" s="4">
        <v>60201</v>
      </c>
      <c r="P1680" s="4">
        <v>125648</v>
      </c>
      <c r="Q1680" s="4">
        <v>185849</v>
      </c>
      <c r="R1680" s="4">
        <v>557547</v>
      </c>
      <c r="S1680" t="s">
        <v>18028</v>
      </c>
      <c r="T1680" s="6">
        <v>46027</v>
      </c>
      <c r="U1680" s="4">
        <v>580000</v>
      </c>
      <c r="V1680" t="s">
        <v>23739</v>
      </c>
      <c r="W1680" t="s">
        <v>24537</v>
      </c>
      <c r="X1680" t="s">
        <v>3</v>
      </c>
      <c r="AA1680" s="5" t="str">
        <f>HYPERLINK("https://www.zillow.com/homes/7104-KIDWELL-RD-DOWNERS-GROVE-IL-60516_rb/","check listing")</f>
        <v>check listing</v>
      </c>
      <c r="AB1680" s="5" t="str">
        <f>HYPERLINK("https://propertylookup.dupagecounty.gov/Datalets/Datalet.aspx?UseSearch=no&amp;mode=sales&amp;pin=0930206008","sales record")</f>
        <v>sales record</v>
      </c>
      <c r="AC1680" t="s">
        <v>3</v>
      </c>
      <c r="AD1680">
        <v>41.757625</v>
      </c>
      <c r="AE1680">
        <v>-88.01398</v>
      </c>
      <c r="AF1680" s="5" t="str">
        <f>HYPERLINK("https://www.google.com/maps/search/?api=1&amp;query=41.757625,-88.01398","map")</f>
        <v>map</v>
      </c>
    </row>
    <row r="1681" spans="1:32">
      <c r="A1681" t="s">
        <v>1731</v>
      </c>
      <c r="B1681" t="s">
        <v>9291</v>
      </c>
      <c r="C1681" t="s">
        <v>15254</v>
      </c>
      <c r="D1681" t="s">
        <v>16199</v>
      </c>
      <c r="E1681" t="s">
        <v>16218</v>
      </c>
      <c r="F1681" t="s">
        <v>16221</v>
      </c>
      <c r="G1681" t="s">
        <v>16249</v>
      </c>
      <c r="H1681" t="s">
        <v>16249</v>
      </c>
      <c r="I1681" t="s">
        <v>16325</v>
      </c>
      <c r="J1681" t="s">
        <v>16385</v>
      </c>
      <c r="K1681">
        <v>0.218</v>
      </c>
      <c r="L1681">
        <v>9509</v>
      </c>
      <c r="M1681">
        <v>2060</v>
      </c>
      <c r="N1681" t="s">
        <v>16393</v>
      </c>
      <c r="O1681" s="4">
        <v>54450</v>
      </c>
      <c r="P1681" s="4">
        <v>90965</v>
      </c>
      <c r="Q1681" s="4">
        <v>145415</v>
      </c>
      <c r="R1681" s="4">
        <v>436245</v>
      </c>
      <c r="S1681" t="s">
        <v>18029</v>
      </c>
      <c r="T1681" s="6">
        <v>36708</v>
      </c>
      <c r="U1681" s="4">
        <v>217000</v>
      </c>
      <c r="V1681" t="s">
        <v>23739</v>
      </c>
      <c r="W1681" t="s">
        <v>24538</v>
      </c>
      <c r="X1681" t="s">
        <v>3</v>
      </c>
      <c r="AA1681" s="5" t="str">
        <f>HYPERLINK("https://www.zillow.com/homes/7241-KELLY-PL-DOWNERS-GROVE-IL-60516_rb/","check listing")</f>
        <v>check listing</v>
      </c>
      <c r="AB1681" s="5" t="str">
        <f>HYPERLINK("https://propertylookup.dupagecounty.gov/Datalets/Datalet.aspx?UseSearch=no&amp;mode=sales&amp;pin=0930203030","sales record")</f>
        <v>sales record</v>
      </c>
      <c r="AC1681" t="s">
        <v>3</v>
      </c>
      <c r="AD1681">
        <v>41.755602</v>
      </c>
      <c r="AE1681">
        <v>-88.020554</v>
      </c>
      <c r="AF1681" s="5" t="str">
        <f>HYPERLINK("https://www.google.com/maps/search/?api=1&amp;query=41.755602,-88.020554","map")</f>
        <v>map</v>
      </c>
    </row>
    <row r="1682" spans="1:32">
      <c r="A1682" t="s">
        <v>1732</v>
      </c>
      <c r="B1682" t="s">
        <v>9292</v>
      </c>
      <c r="C1682" t="s">
        <v>15340</v>
      </c>
      <c r="D1682" t="s">
        <v>16199</v>
      </c>
      <c r="E1682" t="s">
        <v>16218</v>
      </c>
      <c r="F1682" t="s">
        <v>16221</v>
      </c>
      <c r="G1682" t="s">
        <v>16249</v>
      </c>
      <c r="H1682" t="s">
        <v>16249</v>
      </c>
      <c r="I1682" t="s">
        <v>16325</v>
      </c>
      <c r="J1682" t="s">
        <v>16385</v>
      </c>
      <c r="K1682">
        <v>0.218</v>
      </c>
      <c r="L1682">
        <v>9508</v>
      </c>
      <c r="M1682">
        <v>2174</v>
      </c>
      <c r="N1682" t="s">
        <v>16393</v>
      </c>
      <c r="O1682" s="4">
        <v>54238</v>
      </c>
      <c r="P1682" s="4">
        <v>131669</v>
      </c>
      <c r="Q1682" s="4">
        <v>185907</v>
      </c>
      <c r="R1682" s="4">
        <v>557721</v>
      </c>
      <c r="S1682" t="s">
        <v>18030</v>
      </c>
      <c r="T1682" s="6">
        <v>45540</v>
      </c>
      <c r="U1682" s="4">
        <v>575000</v>
      </c>
      <c r="V1682" t="s">
        <v>23741</v>
      </c>
      <c r="W1682" t="s">
        <v>24539</v>
      </c>
      <c r="X1682" t="s">
        <v>3</v>
      </c>
      <c r="AA1682" s="5" t="str">
        <f>HYPERLINK("https://www.zillow.com/homes/1441-71ST-ST-DOWNERS-GROVE-IL-605163237_rb/","check listing")</f>
        <v>check listing</v>
      </c>
      <c r="AB1682" s="5" t="str">
        <f>HYPERLINK("https://propertylookup.dupagecounty.gov/Datalets/Datalet.aspx?UseSearch=no&amp;mode=sales&amp;pin=0919418009","sales record")</f>
        <v>sales record</v>
      </c>
      <c r="AC1682" t="s">
        <v>3</v>
      </c>
      <c r="AD1682">
        <v>41.759158</v>
      </c>
      <c r="AE1682">
        <v>-88.020285</v>
      </c>
      <c r="AF1682" s="5" t="str">
        <f>HYPERLINK("https://www.google.com/maps/search/?api=1&amp;query=41.759158,-88.020285","map")</f>
        <v>map</v>
      </c>
    </row>
    <row r="1683" spans="1:32">
      <c r="A1683" t="s">
        <v>1733</v>
      </c>
      <c r="B1683" t="s">
        <v>9293</v>
      </c>
      <c r="C1683" t="s">
        <v>15254</v>
      </c>
      <c r="D1683" t="s">
        <v>16199</v>
      </c>
      <c r="E1683" t="s">
        <v>16218</v>
      </c>
      <c r="F1683" t="s">
        <v>16221</v>
      </c>
      <c r="G1683" t="s">
        <v>16249</v>
      </c>
      <c r="H1683" t="s">
        <v>16249</v>
      </c>
      <c r="I1683" t="s">
        <v>16325</v>
      </c>
      <c r="J1683" t="s">
        <v>16385</v>
      </c>
      <c r="K1683">
        <v>0.218</v>
      </c>
      <c r="L1683">
        <v>9488</v>
      </c>
      <c r="M1683">
        <v>1766</v>
      </c>
      <c r="N1683" t="s">
        <v>16393</v>
      </c>
      <c r="O1683" s="4">
        <v>62701</v>
      </c>
      <c r="P1683" s="4">
        <v>117080</v>
      </c>
      <c r="Q1683" s="4">
        <v>179781</v>
      </c>
      <c r="R1683" s="4">
        <v>539343</v>
      </c>
      <c r="S1683" t="s">
        <v>18031</v>
      </c>
      <c r="T1683" s="6">
        <v>32051</v>
      </c>
      <c r="U1683" s="4">
        <v>145240</v>
      </c>
      <c r="X1683" t="s">
        <v>3</v>
      </c>
      <c r="AA1683" s="5" t="str">
        <f>HYPERLINK("https://www.zillow.com/homes/7209-BATEMAN-ST-DOWNERS-GROVE-IL-60516_rb/","check listing")</f>
        <v>check listing</v>
      </c>
      <c r="AB1683" s="5" t="str">
        <f>HYPERLINK("https://propertylookup.dupagecounty.gov/Datalets/Datalet.aspx?UseSearch=no&amp;mode=sales&amp;pin=0930207021","sales record")</f>
        <v>sales record</v>
      </c>
      <c r="AC1683" t="s">
        <v>3</v>
      </c>
      <c r="AD1683">
        <v>41.756432</v>
      </c>
      <c r="AE1683">
        <v>-88.015939</v>
      </c>
      <c r="AF1683" s="5" t="str">
        <f>HYPERLINK("https://www.google.com/maps/search/?api=1&amp;query=41.756432,-88.015939","map")</f>
        <v>map</v>
      </c>
    </row>
    <row r="1684" spans="1:32">
      <c r="A1684" t="s">
        <v>1734</v>
      </c>
      <c r="B1684" t="s">
        <v>9294</v>
      </c>
      <c r="C1684" t="s">
        <v>15254</v>
      </c>
      <c r="D1684" t="s">
        <v>16199</v>
      </c>
      <c r="E1684" t="s">
        <v>16218</v>
      </c>
      <c r="F1684" t="s">
        <v>16221</v>
      </c>
      <c r="G1684" t="s">
        <v>16249</v>
      </c>
      <c r="H1684" t="s">
        <v>16249</v>
      </c>
      <c r="I1684" t="s">
        <v>16325</v>
      </c>
      <c r="J1684" t="s">
        <v>16385</v>
      </c>
      <c r="K1684">
        <v>0.218</v>
      </c>
      <c r="L1684">
        <v>9478</v>
      </c>
      <c r="M1684">
        <v>1809</v>
      </c>
      <c r="N1684" t="s">
        <v>16393</v>
      </c>
      <c r="O1684" s="4">
        <v>54450</v>
      </c>
      <c r="P1684" s="4">
        <v>125954</v>
      </c>
      <c r="Q1684" s="4">
        <v>180404</v>
      </c>
      <c r="R1684" s="4">
        <v>541212</v>
      </c>
      <c r="S1684" t="s">
        <v>18032</v>
      </c>
      <c r="T1684" s="6">
        <v>37408</v>
      </c>
      <c r="U1684" s="4">
        <v>339000</v>
      </c>
      <c r="V1684" t="s">
        <v>23739</v>
      </c>
      <c r="W1684" t="s">
        <v>18032</v>
      </c>
      <c r="X1684" t="s">
        <v>3</v>
      </c>
      <c r="AA1684" s="5" t="str">
        <f>HYPERLINK("https://www.zillow.com/homes/7217-CAMDEN-RD-DOWNERS-GROVE-IL-60516_rb/","check listing")</f>
        <v>check listing</v>
      </c>
      <c r="AB1684" s="5" t="str">
        <f>HYPERLINK("https://propertylookup.dupagecounty.gov/Datalets/Datalet.aspx?UseSearch=no&amp;mode=sales&amp;pin=0930105025","sales record")</f>
        <v>sales record</v>
      </c>
      <c r="AC1684" t="s">
        <v>3</v>
      </c>
      <c r="AD1684">
        <v>41.755367</v>
      </c>
      <c r="AE1684">
        <v>-88.024388</v>
      </c>
      <c r="AF1684" s="5" t="str">
        <f>HYPERLINK("https://www.google.com/maps/search/?api=1&amp;query=41.755367,-88.024388","map")</f>
        <v>map</v>
      </c>
    </row>
    <row r="1685" spans="1:32">
      <c r="A1685" t="s">
        <v>1735</v>
      </c>
      <c r="B1685" t="s">
        <v>9295</v>
      </c>
      <c r="C1685" t="s">
        <v>15341</v>
      </c>
      <c r="D1685" t="s">
        <v>16199</v>
      </c>
      <c r="E1685" t="s">
        <v>16218</v>
      </c>
      <c r="F1685" t="s">
        <v>16221</v>
      </c>
      <c r="G1685" t="s">
        <v>16249</v>
      </c>
      <c r="H1685" t="s">
        <v>16249</v>
      </c>
      <c r="I1685" t="s">
        <v>16325</v>
      </c>
      <c r="J1685" t="s">
        <v>16385</v>
      </c>
      <c r="K1685">
        <v>0.217</v>
      </c>
      <c r="L1685">
        <v>9471</v>
      </c>
      <c r="M1685">
        <v>2693</v>
      </c>
      <c r="N1685" t="s">
        <v>16393</v>
      </c>
      <c r="O1685" s="4">
        <v>57888</v>
      </c>
      <c r="P1685" s="4">
        <v>126142</v>
      </c>
      <c r="Q1685" s="4">
        <v>184030</v>
      </c>
      <c r="R1685" s="4">
        <v>552090</v>
      </c>
      <c r="S1685" t="s">
        <v>18033</v>
      </c>
      <c r="T1685" s="6">
        <v>37500</v>
      </c>
      <c r="U1685" s="4">
        <v>300000</v>
      </c>
      <c r="V1685" t="s">
        <v>23739</v>
      </c>
      <c r="W1685" t="s">
        <v>24540</v>
      </c>
      <c r="X1685" t="s">
        <v>3</v>
      </c>
      <c r="AA1685" s="5" t="str">
        <f>HYPERLINK("https://www.zillow.com/homes/7133-DEXTER-RD-DOWNERS-GROVE-IL-605163710_rb/","check listing")</f>
        <v>check listing</v>
      </c>
      <c r="AB1685" s="5" t="str">
        <f>HYPERLINK("https://propertylookup.dupagecounty.gov/Datalets/Datalet.aspx?UseSearch=no&amp;mode=sales&amp;pin=0930204002","sales record")</f>
        <v>sales record</v>
      </c>
      <c r="AC1685" t="s">
        <v>3</v>
      </c>
      <c r="AD1685">
        <v>41.758077</v>
      </c>
      <c r="AE1685">
        <v>-88.019841</v>
      </c>
      <c r="AF1685" s="5" t="str">
        <f>HYPERLINK("https://www.google.com/maps/search/?api=1&amp;query=41.758077,-88.019841","map")</f>
        <v>map</v>
      </c>
    </row>
    <row r="1686" spans="1:32">
      <c r="A1686" t="s">
        <v>1736</v>
      </c>
      <c r="B1686" t="s">
        <v>9296</v>
      </c>
      <c r="C1686" t="s">
        <v>15277</v>
      </c>
      <c r="D1686" t="s">
        <v>16199</v>
      </c>
      <c r="E1686" t="s">
        <v>16218</v>
      </c>
      <c r="F1686" t="s">
        <v>16221</v>
      </c>
      <c r="G1686" t="s">
        <v>16250</v>
      </c>
      <c r="H1686" t="s">
        <v>16250</v>
      </c>
      <c r="I1686" t="s">
        <v>16326</v>
      </c>
      <c r="J1686" t="s">
        <v>16385</v>
      </c>
      <c r="K1686">
        <v>0.217</v>
      </c>
      <c r="L1686">
        <v>9456</v>
      </c>
      <c r="M1686">
        <v>2473</v>
      </c>
      <c r="N1686" t="s">
        <v>16393</v>
      </c>
      <c r="O1686" s="4">
        <v>107537</v>
      </c>
      <c r="P1686" s="4">
        <v>328435</v>
      </c>
      <c r="Q1686" s="4">
        <v>435972</v>
      </c>
      <c r="R1686" s="4">
        <v>1307916</v>
      </c>
      <c r="S1686" t="s">
        <v>18034</v>
      </c>
      <c r="X1686" t="s">
        <v>3</v>
      </c>
      <c r="AA1686" s="5" t="str">
        <f>HYPERLINK("https://www.zillow.com/homes/4908-SARATOGA-AVE-DOWNERS-GROVE-IL-60515_rb/","check listing")</f>
        <v>check listing</v>
      </c>
      <c r="AB1686" s="5" t="str">
        <f>HYPERLINK("https://propertylookup.dupagecounty.gov/Datalets/Datalet.aspx?UseSearch=no&amp;mode=sales&amp;pin=0908114014","sales record")</f>
        <v>sales record</v>
      </c>
      <c r="AC1686" t="s">
        <v>3</v>
      </c>
      <c r="AD1686">
        <v>41.798013</v>
      </c>
      <c r="AE1686">
        <v>-88.01422599999999</v>
      </c>
      <c r="AF1686" s="5" t="str">
        <f>HYPERLINK("https://www.google.com/maps/search/?api=1&amp;query=41.798013,-88.014226","map")</f>
        <v>map</v>
      </c>
    </row>
    <row r="1687" spans="1:32">
      <c r="A1687" t="s">
        <v>1737</v>
      </c>
      <c r="B1687" t="s">
        <v>9297</v>
      </c>
      <c r="C1687" t="s">
        <v>15254</v>
      </c>
      <c r="D1687" t="s">
        <v>16199</v>
      </c>
      <c r="E1687" t="s">
        <v>16218</v>
      </c>
      <c r="F1687" t="s">
        <v>16221</v>
      </c>
      <c r="G1687" t="s">
        <v>16249</v>
      </c>
      <c r="H1687" t="s">
        <v>16249</v>
      </c>
      <c r="I1687" t="s">
        <v>16325</v>
      </c>
      <c r="J1687" t="s">
        <v>16385</v>
      </c>
      <c r="K1687">
        <v>0.216</v>
      </c>
      <c r="L1687">
        <v>9418</v>
      </c>
      <c r="M1687">
        <v>1840</v>
      </c>
      <c r="N1687" t="s">
        <v>16393</v>
      </c>
      <c r="O1687" s="4">
        <v>65776</v>
      </c>
      <c r="P1687" s="4">
        <v>107855</v>
      </c>
      <c r="Q1687" s="4">
        <v>173631</v>
      </c>
      <c r="R1687" s="4">
        <v>520893</v>
      </c>
      <c r="S1687" t="s">
        <v>18035</v>
      </c>
      <c r="T1687" s="6">
        <v>45398</v>
      </c>
      <c r="U1687" s="4">
        <v>424000</v>
      </c>
      <c r="V1687" t="s">
        <v>23739</v>
      </c>
      <c r="W1687" t="s">
        <v>24541</v>
      </c>
      <c r="X1687" t="s">
        <v>3</v>
      </c>
      <c r="AA1687" s="5" t="str">
        <f>HYPERLINK("https://www.zillow.com/homes/7213-POWELL-ST-DOWNERS-GROVE-IL-60516_rb/","check listing")</f>
        <v>check listing</v>
      </c>
      <c r="AB1687" s="5" t="str">
        <f>HYPERLINK("https://propertylookup.dupagecounty.gov/Datalets/Datalet.aspx?UseSearch=no&amp;mode=sales&amp;pin=0930208001","sales record")</f>
        <v>sales record</v>
      </c>
      <c r="AC1687" t="s">
        <v>3</v>
      </c>
      <c r="AD1687">
        <v>41.756008</v>
      </c>
      <c r="AE1687">
        <v>-88.01621900000001</v>
      </c>
      <c r="AF1687" s="5" t="str">
        <f>HYPERLINK("https://www.google.com/maps/search/?api=1&amp;query=41.756008,-88.016219","map")</f>
        <v>map</v>
      </c>
    </row>
    <row r="1688" spans="1:32">
      <c r="A1688" t="s">
        <v>1738</v>
      </c>
      <c r="B1688" t="s">
        <v>9298</v>
      </c>
      <c r="C1688" t="s">
        <v>15254</v>
      </c>
      <c r="D1688" t="s">
        <v>16199</v>
      </c>
      <c r="E1688" t="s">
        <v>16218</v>
      </c>
      <c r="F1688" t="s">
        <v>16221</v>
      </c>
      <c r="G1688" t="s">
        <v>16249</v>
      </c>
      <c r="H1688" t="s">
        <v>16249</v>
      </c>
      <c r="I1688" t="s">
        <v>16325</v>
      </c>
      <c r="J1688" t="s">
        <v>16385</v>
      </c>
      <c r="K1688">
        <v>0.215</v>
      </c>
      <c r="L1688">
        <v>9364</v>
      </c>
      <c r="M1688">
        <v>2317</v>
      </c>
      <c r="N1688" t="s">
        <v>16393</v>
      </c>
      <c r="O1688" s="4">
        <v>62385</v>
      </c>
      <c r="P1688" s="4">
        <v>117867</v>
      </c>
      <c r="Q1688" s="4">
        <v>180252</v>
      </c>
      <c r="R1688" s="4">
        <v>540756</v>
      </c>
      <c r="S1688" t="s">
        <v>18036</v>
      </c>
      <c r="T1688" s="6">
        <v>32051</v>
      </c>
      <c r="U1688" s="4">
        <v>167227</v>
      </c>
      <c r="X1688" t="s">
        <v>3</v>
      </c>
      <c r="AA1688" s="5" t="str">
        <f>HYPERLINK("https://www.zillow.com/homes/1320-HAWKINS-AVE-DOWNERS-GROVE-IL-60516_rb/","check listing")</f>
        <v>check listing</v>
      </c>
      <c r="AB1688" s="5" t="str">
        <f>HYPERLINK("https://propertylookup.dupagecounty.gov/Datalets/Datalet.aspx?UseSearch=no&amp;mode=sales&amp;pin=0930208005","sales record")</f>
        <v>sales record</v>
      </c>
      <c r="AC1688" t="s">
        <v>3</v>
      </c>
      <c r="AD1688">
        <v>41.755364</v>
      </c>
      <c r="AE1688">
        <v>-88.01616</v>
      </c>
      <c r="AF1688" s="5" t="str">
        <f>HYPERLINK("https://www.google.com/maps/search/?api=1&amp;query=41.755364,-88.01616","map")</f>
        <v>map</v>
      </c>
    </row>
    <row r="1689" spans="1:32">
      <c r="A1689" t="s">
        <v>1739</v>
      </c>
      <c r="B1689" t="s">
        <v>9299</v>
      </c>
      <c r="C1689" t="s">
        <v>15254</v>
      </c>
      <c r="D1689" t="s">
        <v>16199</v>
      </c>
      <c r="E1689" t="s">
        <v>16218</v>
      </c>
      <c r="F1689" t="s">
        <v>16221</v>
      </c>
      <c r="G1689" t="s">
        <v>16249</v>
      </c>
      <c r="H1689" t="s">
        <v>16249</v>
      </c>
      <c r="I1689" t="s">
        <v>16325</v>
      </c>
      <c r="J1689" t="s">
        <v>16385</v>
      </c>
      <c r="K1689">
        <v>0.215</v>
      </c>
      <c r="L1689">
        <v>9359</v>
      </c>
      <c r="M1689">
        <v>2288</v>
      </c>
      <c r="N1689" t="s">
        <v>16393</v>
      </c>
      <c r="O1689" s="4">
        <v>54309</v>
      </c>
      <c r="P1689" s="4">
        <v>120789</v>
      </c>
      <c r="Q1689" s="4">
        <v>175098</v>
      </c>
      <c r="R1689" s="4">
        <v>525294</v>
      </c>
      <c r="S1689" t="s">
        <v>18037</v>
      </c>
      <c r="T1689" s="6">
        <v>36739</v>
      </c>
      <c r="U1689" s="4">
        <v>250000</v>
      </c>
      <c r="V1689" t="s">
        <v>23739</v>
      </c>
      <c r="W1689" t="s">
        <v>24542</v>
      </c>
      <c r="X1689" t="s">
        <v>3</v>
      </c>
      <c r="AA1689" s="5" t="str">
        <f>HYPERLINK("https://www.zillow.com/homes/7208-SPRINGSIDE-AVE-DOWNERS-GROVE-IL-60516_rb/","check listing")</f>
        <v>check listing</v>
      </c>
      <c r="AB1689" s="5" t="str">
        <f>HYPERLINK("https://propertylookup.dupagecounty.gov/Datalets/Datalet.aspx?UseSearch=no&amp;mode=sales&amp;pin=0930202012","sales record")</f>
        <v>sales record</v>
      </c>
      <c r="AC1689" t="s">
        <v>3</v>
      </c>
      <c r="AD1689">
        <v>41.756378</v>
      </c>
      <c r="AE1689">
        <v>-88.022381</v>
      </c>
      <c r="AF1689" s="5" t="str">
        <f>HYPERLINK("https://www.google.com/maps/search/?api=1&amp;query=41.756378,-88.022381","map")</f>
        <v>map</v>
      </c>
    </row>
    <row r="1690" spans="1:32">
      <c r="A1690" t="s">
        <v>1740</v>
      </c>
      <c r="B1690" t="s">
        <v>9300</v>
      </c>
      <c r="C1690" t="s">
        <v>15254</v>
      </c>
      <c r="D1690" t="s">
        <v>16199</v>
      </c>
      <c r="E1690" t="s">
        <v>16218</v>
      </c>
      <c r="F1690" t="s">
        <v>16221</v>
      </c>
      <c r="G1690" t="s">
        <v>16249</v>
      </c>
      <c r="H1690" t="s">
        <v>16249</v>
      </c>
      <c r="I1690" t="s">
        <v>16325</v>
      </c>
      <c r="J1690" t="s">
        <v>16385</v>
      </c>
      <c r="K1690">
        <v>0.215</v>
      </c>
      <c r="L1690">
        <v>9355</v>
      </c>
      <c r="M1690">
        <v>1753</v>
      </c>
      <c r="N1690" t="s">
        <v>16393</v>
      </c>
      <c r="O1690" s="4">
        <v>54895</v>
      </c>
      <c r="P1690" s="4">
        <v>111939</v>
      </c>
      <c r="Q1690" s="4">
        <v>166834</v>
      </c>
      <c r="R1690" s="4">
        <v>500502</v>
      </c>
      <c r="S1690" t="s">
        <v>18038</v>
      </c>
      <c r="T1690" s="6">
        <v>35612</v>
      </c>
      <c r="U1690" s="4">
        <v>209500</v>
      </c>
      <c r="X1690" t="s">
        <v>3</v>
      </c>
      <c r="AA1690" s="5" t="str">
        <f>HYPERLINK("https://www.zillow.com/homes/7214-TICONDEROGA-PL-DOWNERS-GROVE-IL-60516_rb/","check listing")</f>
        <v>check listing</v>
      </c>
      <c r="AB1690" s="5" t="str">
        <f>HYPERLINK("https://propertylookup.dupagecounty.gov/Datalets/Datalet.aspx?UseSearch=no&amp;mode=sales&amp;pin=0930105034","sales record")</f>
        <v>sales record</v>
      </c>
      <c r="AC1690" t="s">
        <v>3</v>
      </c>
      <c r="AD1690">
        <v>41.755598</v>
      </c>
      <c r="AE1690">
        <v>-88.02396</v>
      </c>
      <c r="AF1690" s="5" t="str">
        <f>HYPERLINK("https://www.google.com/maps/search/?api=1&amp;query=41.755598,-88.02396","map")</f>
        <v>map</v>
      </c>
    </row>
    <row r="1691" spans="1:32">
      <c r="A1691" t="s">
        <v>1741</v>
      </c>
      <c r="B1691" t="s">
        <v>9301</v>
      </c>
      <c r="C1691" t="s">
        <v>15341</v>
      </c>
      <c r="D1691" t="s">
        <v>16199</v>
      </c>
      <c r="E1691" t="s">
        <v>16218</v>
      </c>
      <c r="F1691" t="s">
        <v>16221</v>
      </c>
      <c r="G1691" t="s">
        <v>16249</v>
      </c>
      <c r="H1691" t="s">
        <v>16249</v>
      </c>
      <c r="I1691" t="s">
        <v>16325</v>
      </c>
      <c r="J1691" t="s">
        <v>16385</v>
      </c>
      <c r="K1691">
        <v>0.214</v>
      </c>
      <c r="L1691">
        <v>9311</v>
      </c>
      <c r="M1691">
        <v>2391</v>
      </c>
      <c r="N1691" t="s">
        <v>16393</v>
      </c>
      <c r="O1691" s="4">
        <v>52794</v>
      </c>
      <c r="P1691" s="4">
        <v>120003</v>
      </c>
      <c r="Q1691" s="4">
        <v>172797</v>
      </c>
      <c r="R1691" s="4">
        <v>518391</v>
      </c>
      <c r="S1691" t="s">
        <v>18039</v>
      </c>
      <c r="T1691" s="6">
        <v>36312</v>
      </c>
      <c r="U1691" s="4">
        <v>248000</v>
      </c>
      <c r="X1691" t="s">
        <v>3</v>
      </c>
      <c r="AA1691" s="5" t="str">
        <f>HYPERLINK("https://www.zillow.com/homes/7165-DEXTER-RD-DOWNERS-GROVE-IL-605163710_rb/","check listing")</f>
        <v>check listing</v>
      </c>
      <c r="AB1691" s="5" t="str">
        <f>HYPERLINK("https://propertylookup.dupagecounty.gov/Datalets/Datalet.aspx?UseSearch=no&amp;mode=sales&amp;pin=0930204006","sales record")</f>
        <v>sales record</v>
      </c>
      <c r="AC1691" t="s">
        <v>3</v>
      </c>
      <c r="AD1691">
        <v>41.757701</v>
      </c>
      <c r="AE1691">
        <v>-88.018815</v>
      </c>
      <c r="AF1691" s="5" t="str">
        <f>HYPERLINK("https://www.google.com/maps/search/?api=1&amp;query=41.757701,-88.018815","map")</f>
        <v>map</v>
      </c>
    </row>
    <row r="1692" spans="1:32">
      <c r="A1692" t="s">
        <v>1742</v>
      </c>
      <c r="B1692" t="s">
        <v>9302</v>
      </c>
      <c r="C1692" t="s">
        <v>15254</v>
      </c>
      <c r="D1692" t="s">
        <v>16199</v>
      </c>
      <c r="E1692" t="s">
        <v>16218</v>
      </c>
      <c r="F1692" t="s">
        <v>16221</v>
      </c>
      <c r="G1692" t="s">
        <v>16249</v>
      </c>
      <c r="H1692" t="s">
        <v>16249</v>
      </c>
      <c r="I1692" t="s">
        <v>16325</v>
      </c>
      <c r="J1692" t="s">
        <v>16385</v>
      </c>
      <c r="K1692">
        <v>0.214</v>
      </c>
      <c r="L1692">
        <v>9310</v>
      </c>
      <c r="M1692">
        <v>1935</v>
      </c>
      <c r="N1692" t="s">
        <v>16393</v>
      </c>
      <c r="O1692" s="4">
        <v>52654</v>
      </c>
      <c r="P1692" s="4">
        <v>110578</v>
      </c>
      <c r="Q1692" s="4">
        <v>163232</v>
      </c>
      <c r="R1692" s="4">
        <v>489696</v>
      </c>
      <c r="S1692" t="s">
        <v>18040</v>
      </c>
      <c r="T1692" s="6">
        <v>31229</v>
      </c>
      <c r="U1692" s="4">
        <v>118171</v>
      </c>
      <c r="X1692" t="s">
        <v>3</v>
      </c>
      <c r="AA1692" s="5" t="str">
        <f>HYPERLINK("https://www.zillow.com/homes/1721-HALL-PL-DOWNERS-GROVE-IL-60516_rb/","check listing")</f>
        <v>check listing</v>
      </c>
      <c r="AB1692" s="5" t="str">
        <f>HYPERLINK("https://propertylookup.dupagecounty.gov/Datalets/Datalet.aspx?UseSearch=no&amp;mode=sales&amp;pin=0930103045","sales record")</f>
        <v>sales record</v>
      </c>
      <c r="AC1692" t="s">
        <v>3</v>
      </c>
      <c r="AD1692">
        <v>41.752206</v>
      </c>
      <c r="AE1692">
        <v>-88.026437</v>
      </c>
      <c r="AF1692" s="5" t="str">
        <f>HYPERLINK("https://www.google.com/maps/search/?api=1&amp;query=41.752206,-88.026437","map")</f>
        <v>map</v>
      </c>
    </row>
    <row r="1693" spans="1:32">
      <c r="A1693" t="s">
        <v>1743</v>
      </c>
      <c r="B1693" t="s">
        <v>9303</v>
      </c>
      <c r="C1693" t="s">
        <v>15254</v>
      </c>
      <c r="D1693" t="s">
        <v>16199</v>
      </c>
      <c r="E1693" t="s">
        <v>16218</v>
      </c>
      <c r="F1693" t="s">
        <v>16221</v>
      </c>
      <c r="G1693" t="s">
        <v>16249</v>
      </c>
      <c r="H1693" t="s">
        <v>16249</v>
      </c>
      <c r="I1693" t="s">
        <v>16325</v>
      </c>
      <c r="J1693" t="s">
        <v>16385</v>
      </c>
      <c r="K1693">
        <v>0.214</v>
      </c>
      <c r="L1693">
        <v>9305</v>
      </c>
      <c r="M1693">
        <v>2885</v>
      </c>
      <c r="N1693" t="s">
        <v>16393</v>
      </c>
      <c r="O1693" s="4">
        <v>53863</v>
      </c>
      <c r="P1693" s="4">
        <v>136681</v>
      </c>
      <c r="Q1693" s="4">
        <v>190544</v>
      </c>
      <c r="R1693" s="4">
        <v>571632</v>
      </c>
      <c r="S1693" t="s">
        <v>18041</v>
      </c>
      <c r="T1693" s="6">
        <v>38322</v>
      </c>
      <c r="U1693" s="4">
        <v>405000</v>
      </c>
      <c r="V1693" t="s">
        <v>23739</v>
      </c>
      <c r="W1693" t="s">
        <v>24543</v>
      </c>
      <c r="X1693" t="s">
        <v>3</v>
      </c>
      <c r="AA1693" s="5" t="str">
        <f>HYPERLINK("https://www.zillow.com/homes/1433-71ST-ST-DOWNERS-GROVE-IL-60516_rb/","check listing")</f>
        <v>check listing</v>
      </c>
      <c r="AB1693" s="5" t="str">
        <f>HYPERLINK("https://propertylookup.dupagecounty.gov/Datalets/Datalet.aspx?UseSearch=no&amp;mode=sales&amp;pin=0919418011","sales record")</f>
        <v>sales record</v>
      </c>
      <c r="AC1693" t="s">
        <v>3</v>
      </c>
      <c r="AD1693">
        <v>41.759224</v>
      </c>
      <c r="AE1693">
        <v>-88.019774</v>
      </c>
      <c r="AF1693" s="5" t="str">
        <f>HYPERLINK("https://www.google.com/maps/search/?api=1&amp;query=41.759224,-88.019774","map")</f>
        <v>map</v>
      </c>
    </row>
    <row r="1694" spans="1:32">
      <c r="A1694" t="s">
        <v>1744</v>
      </c>
      <c r="B1694" t="s">
        <v>9304</v>
      </c>
      <c r="C1694" t="s">
        <v>15254</v>
      </c>
      <c r="D1694" t="s">
        <v>16199</v>
      </c>
      <c r="E1694" t="s">
        <v>16218</v>
      </c>
      <c r="F1694" t="s">
        <v>16221</v>
      </c>
      <c r="G1694" t="s">
        <v>16249</v>
      </c>
      <c r="H1694" t="s">
        <v>16249</v>
      </c>
      <c r="I1694" t="s">
        <v>16325</v>
      </c>
      <c r="J1694" t="s">
        <v>16385</v>
      </c>
      <c r="K1694">
        <v>0.214</v>
      </c>
      <c r="L1694">
        <v>9303</v>
      </c>
      <c r="M1694">
        <v>2081</v>
      </c>
      <c r="N1694" t="s">
        <v>16393</v>
      </c>
      <c r="O1694" s="4">
        <v>54414</v>
      </c>
      <c r="P1694" s="4">
        <v>91610</v>
      </c>
      <c r="Q1694" s="4">
        <v>146024</v>
      </c>
      <c r="R1694" s="4">
        <v>438072</v>
      </c>
      <c r="S1694" t="s">
        <v>18042</v>
      </c>
      <c r="T1694" s="6">
        <v>38869</v>
      </c>
      <c r="U1694" s="4">
        <v>330000</v>
      </c>
      <c r="V1694" t="s">
        <v>23739</v>
      </c>
      <c r="W1694" t="s">
        <v>18042</v>
      </c>
      <c r="X1694" t="s">
        <v>3</v>
      </c>
      <c r="AA1694" s="5" t="str">
        <f>HYPERLINK("https://www.zillow.com/homes/1437-71ST-ST-DOWNERS-GROVE-IL-60516_rb/","check listing")</f>
        <v>check listing</v>
      </c>
      <c r="AB1694" s="5" t="str">
        <f>HYPERLINK("https://propertylookup.dupagecounty.gov/Datalets/Datalet.aspx?UseSearch=no&amp;mode=sales&amp;pin=0919418010","sales record")</f>
        <v>sales record</v>
      </c>
      <c r="AC1694" t="s">
        <v>3</v>
      </c>
      <c r="AD1694">
        <v>41.759205</v>
      </c>
      <c r="AE1694">
        <v>-88.020034</v>
      </c>
      <c r="AF1694" s="5" t="str">
        <f>HYPERLINK("https://www.google.com/maps/search/?api=1&amp;query=41.759205,-88.020034","map")</f>
        <v>map</v>
      </c>
    </row>
    <row r="1695" spans="1:32">
      <c r="A1695" t="s">
        <v>1745</v>
      </c>
      <c r="B1695" t="s">
        <v>9305</v>
      </c>
      <c r="C1695" t="s">
        <v>15254</v>
      </c>
      <c r="D1695" t="s">
        <v>16199</v>
      </c>
      <c r="E1695" t="s">
        <v>16218</v>
      </c>
      <c r="F1695" t="s">
        <v>16221</v>
      </c>
      <c r="G1695" t="s">
        <v>16249</v>
      </c>
      <c r="H1695" t="s">
        <v>16249</v>
      </c>
      <c r="I1695" t="s">
        <v>16325</v>
      </c>
      <c r="J1695" t="s">
        <v>16385</v>
      </c>
      <c r="K1695">
        <v>0.213</v>
      </c>
      <c r="L1695">
        <v>9300</v>
      </c>
      <c r="M1695">
        <v>2687</v>
      </c>
      <c r="N1695" t="s">
        <v>16393</v>
      </c>
      <c r="O1695" s="4">
        <v>58816</v>
      </c>
      <c r="P1695" s="4">
        <v>122010</v>
      </c>
      <c r="Q1695" s="4">
        <v>180826</v>
      </c>
      <c r="R1695" s="4">
        <v>542478</v>
      </c>
      <c r="S1695" t="s">
        <v>18043</v>
      </c>
      <c r="T1695" s="6">
        <v>43221</v>
      </c>
      <c r="U1695" s="4">
        <v>384600</v>
      </c>
      <c r="V1695" t="s">
        <v>23739</v>
      </c>
      <c r="W1695" t="s">
        <v>24544</v>
      </c>
      <c r="X1695" t="s">
        <v>3</v>
      </c>
      <c r="AA1695" s="5" t="str">
        <f>HYPERLINK("https://www.zillow.com/homes/1320-HUGHES-AVE-DOWNERS-GROVE-IL-60516_rb/","check listing")</f>
        <v>check listing</v>
      </c>
      <c r="AB1695" s="5" t="str">
        <f>HYPERLINK("https://propertylookup.dupagecounty.gov/Datalets/Datalet.aspx?UseSearch=no&amp;mode=sales&amp;pin=0930206036","sales record")</f>
        <v>sales record</v>
      </c>
      <c r="AC1695" t="s">
        <v>3</v>
      </c>
      <c r="AD1695">
        <v>41.757311</v>
      </c>
      <c r="AE1695">
        <v>-88.015935</v>
      </c>
      <c r="AF1695" s="5" t="str">
        <f>HYPERLINK("https://www.google.com/maps/search/?api=1&amp;query=41.757311,-88.015935","map")</f>
        <v>map</v>
      </c>
    </row>
    <row r="1696" spans="1:32">
      <c r="A1696" t="s">
        <v>1746</v>
      </c>
      <c r="B1696" t="s">
        <v>9306</v>
      </c>
      <c r="C1696" t="s">
        <v>15254</v>
      </c>
      <c r="D1696" t="s">
        <v>16199</v>
      </c>
      <c r="E1696" t="s">
        <v>16218</v>
      </c>
      <c r="F1696" t="s">
        <v>16221</v>
      </c>
      <c r="G1696" t="s">
        <v>16249</v>
      </c>
      <c r="H1696" t="s">
        <v>16249</v>
      </c>
      <c r="I1696" t="s">
        <v>16325</v>
      </c>
      <c r="J1696" t="s">
        <v>16385</v>
      </c>
      <c r="K1696">
        <v>0.213</v>
      </c>
      <c r="L1696">
        <v>9298</v>
      </c>
      <c r="M1696">
        <v>2140</v>
      </c>
      <c r="N1696" t="s">
        <v>16393</v>
      </c>
      <c r="O1696" s="4">
        <v>58816</v>
      </c>
      <c r="P1696" s="4">
        <v>139452</v>
      </c>
      <c r="Q1696" s="4">
        <v>198268</v>
      </c>
      <c r="R1696" s="4">
        <v>594804</v>
      </c>
      <c r="S1696" t="s">
        <v>18044</v>
      </c>
      <c r="T1696" s="6">
        <v>42552</v>
      </c>
      <c r="U1696" s="4">
        <v>335000</v>
      </c>
      <c r="V1696" t="s">
        <v>23740</v>
      </c>
      <c r="W1696" t="s">
        <v>18044</v>
      </c>
      <c r="X1696" t="s">
        <v>3</v>
      </c>
      <c r="AA1696" s="5" t="str">
        <f>HYPERLINK("https://www.zillow.com/homes/1317-KLEIN-AVE-DOWNERS-GROVE-IL-60516_rb/","check listing")</f>
        <v>check listing</v>
      </c>
      <c r="AB1696" s="5" t="str">
        <f>HYPERLINK("https://propertylookup.dupagecounty.gov/Datalets/Datalet.aspx?UseSearch=no&amp;mode=sales&amp;pin=0930206001","sales record")</f>
        <v>sales record</v>
      </c>
      <c r="AC1696" t="s">
        <v>3</v>
      </c>
      <c r="AD1696">
        <v>41.757551</v>
      </c>
      <c r="AE1696">
        <v>-88.01594299999999</v>
      </c>
      <c r="AF1696" s="5" t="str">
        <f>HYPERLINK("https://www.google.com/maps/search/?api=1&amp;query=41.757551,-88.015943","map")</f>
        <v>map</v>
      </c>
    </row>
    <row r="1697" spans="1:32">
      <c r="A1697" t="s">
        <v>1747</v>
      </c>
      <c r="B1697" t="s">
        <v>9307</v>
      </c>
      <c r="C1697" t="s">
        <v>15254</v>
      </c>
      <c r="D1697" t="s">
        <v>16199</v>
      </c>
      <c r="E1697" t="s">
        <v>16218</v>
      </c>
      <c r="F1697" t="s">
        <v>16221</v>
      </c>
      <c r="G1697" t="s">
        <v>16249</v>
      </c>
      <c r="H1697" t="s">
        <v>16249</v>
      </c>
      <c r="I1697" t="s">
        <v>16325</v>
      </c>
      <c r="J1697" t="s">
        <v>16385</v>
      </c>
      <c r="K1697">
        <v>0.213</v>
      </c>
      <c r="L1697">
        <v>9291</v>
      </c>
      <c r="M1697">
        <v>2282</v>
      </c>
      <c r="N1697" t="s">
        <v>16393</v>
      </c>
      <c r="O1697" s="4">
        <v>50717</v>
      </c>
      <c r="P1697" s="4">
        <v>130590</v>
      </c>
      <c r="Q1697" s="4">
        <v>181307</v>
      </c>
      <c r="R1697" s="4">
        <v>543921</v>
      </c>
      <c r="S1697" t="s">
        <v>18045</v>
      </c>
      <c r="T1697" s="6">
        <v>38139</v>
      </c>
      <c r="U1697" s="4">
        <v>360000</v>
      </c>
      <c r="V1697" t="s">
        <v>23739</v>
      </c>
      <c r="W1697" t="s">
        <v>18045</v>
      </c>
      <c r="X1697" t="s">
        <v>3</v>
      </c>
      <c r="AA1697" s="5" t="str">
        <f>HYPERLINK("https://www.zillow.com/homes/7216-KELLY-PL-DOWNERS-GROVE-IL-60516_rb/","check listing")</f>
        <v>check listing</v>
      </c>
      <c r="AB1697" s="5" t="str">
        <f>HYPERLINK("https://propertylookup.dupagecounty.gov/Datalets/Datalet.aspx?UseSearch=no&amp;mode=sales&amp;pin=0930203021","sales record")</f>
        <v>sales record</v>
      </c>
      <c r="AC1697" t="s">
        <v>3</v>
      </c>
      <c r="AD1697">
        <v>41.756185</v>
      </c>
      <c r="AE1697">
        <v>-88.02127400000001</v>
      </c>
      <c r="AF1697" s="5" t="str">
        <f>HYPERLINK("https://www.google.com/maps/search/?api=1&amp;query=41.756185,-88.021274","map")</f>
        <v>map</v>
      </c>
    </row>
    <row r="1698" spans="1:32">
      <c r="A1698" t="s">
        <v>1748</v>
      </c>
      <c r="B1698" t="s">
        <v>9308</v>
      </c>
      <c r="C1698" t="s">
        <v>15307</v>
      </c>
      <c r="D1698" t="s">
        <v>16199</v>
      </c>
      <c r="E1698" t="s">
        <v>16218</v>
      </c>
      <c r="F1698" t="s">
        <v>16221</v>
      </c>
      <c r="G1698" t="s">
        <v>16250</v>
      </c>
      <c r="H1698" t="s">
        <v>16250</v>
      </c>
      <c r="I1698" t="s">
        <v>16326</v>
      </c>
      <c r="J1698" t="s">
        <v>16385</v>
      </c>
      <c r="K1698">
        <v>0.213</v>
      </c>
      <c r="L1698">
        <v>9274</v>
      </c>
      <c r="M1698">
        <v>2210</v>
      </c>
      <c r="N1698" t="s">
        <v>16393</v>
      </c>
      <c r="O1698" s="4">
        <v>77561</v>
      </c>
      <c r="P1698" s="4">
        <v>294796</v>
      </c>
      <c r="Q1698" s="4">
        <v>372357</v>
      </c>
      <c r="R1698" s="4">
        <v>1117071</v>
      </c>
      <c r="S1698" t="s">
        <v>18046</v>
      </c>
      <c r="T1698" s="6">
        <v>45510</v>
      </c>
      <c r="U1698" s="4">
        <v>1350000</v>
      </c>
      <c r="V1698" t="s">
        <v>23739</v>
      </c>
      <c r="W1698" t="s">
        <v>24545</v>
      </c>
      <c r="X1698" t="s">
        <v>3</v>
      </c>
      <c r="AA1698" s="5" t="str">
        <f>HYPERLINK("https://www.zillow.com/homes/4904-HIGHLAND-AVE-DOWNERS-GROVE-IL-605153628_rb/","check listing")</f>
        <v>check listing</v>
      </c>
      <c r="AB1698" s="5" t="str">
        <f>HYPERLINK("https://propertylookup.dupagecounty.gov/Datalets/Datalet.aspx?UseSearch=no&amp;mode=sales&amp;pin=0908117014","sales record")</f>
        <v>sales record</v>
      </c>
      <c r="AC1698" t="s">
        <v>3</v>
      </c>
      <c r="AD1698">
        <v>41.798228</v>
      </c>
      <c r="AE1698">
        <v>-88.00981400000001</v>
      </c>
      <c r="AF1698" s="5" t="str">
        <f>HYPERLINK("https://www.google.com/maps/search/?api=1&amp;query=41.798228,-88.009814","map")</f>
        <v>map</v>
      </c>
    </row>
    <row r="1699" spans="1:32">
      <c r="A1699" t="s">
        <v>1749</v>
      </c>
      <c r="B1699" t="s">
        <v>9309</v>
      </c>
      <c r="C1699" t="s">
        <v>15341</v>
      </c>
      <c r="D1699" t="s">
        <v>16199</v>
      </c>
      <c r="E1699" t="s">
        <v>16218</v>
      </c>
      <c r="F1699" t="s">
        <v>16221</v>
      </c>
      <c r="G1699" t="s">
        <v>16249</v>
      </c>
      <c r="H1699" t="s">
        <v>16249</v>
      </c>
      <c r="I1699" t="s">
        <v>16325</v>
      </c>
      <c r="J1699" t="s">
        <v>16385</v>
      </c>
      <c r="K1699">
        <v>0.211</v>
      </c>
      <c r="L1699">
        <v>9211</v>
      </c>
      <c r="M1699">
        <v>2447</v>
      </c>
      <c r="N1699" t="s">
        <v>16393</v>
      </c>
      <c r="O1699" s="4">
        <v>54086</v>
      </c>
      <c r="P1699" s="4">
        <v>116529</v>
      </c>
      <c r="Q1699" s="4">
        <v>170615</v>
      </c>
      <c r="R1699" s="4">
        <v>511845</v>
      </c>
      <c r="S1699" t="s">
        <v>18047</v>
      </c>
      <c r="T1699" s="6">
        <v>44440</v>
      </c>
      <c r="U1699" s="4">
        <v>450000</v>
      </c>
      <c r="V1699" t="s">
        <v>16232</v>
      </c>
      <c r="W1699" t="s">
        <v>18047</v>
      </c>
      <c r="X1699" t="s">
        <v>3</v>
      </c>
      <c r="AA1699" s="5" t="str">
        <f>HYPERLINK("https://www.zillow.com/homes/7179-DEXTER-RD-DOWNERS-GROVE-IL-605163710_rb/","check listing")</f>
        <v>check listing</v>
      </c>
      <c r="AB1699" s="5" t="str">
        <f>HYPERLINK("https://propertylookup.dupagecounty.gov/Datalets/Datalet.aspx?UseSearch=no&amp;mode=sales&amp;pin=0930204008","sales record")</f>
        <v>sales record</v>
      </c>
      <c r="AC1699" t="s">
        <v>3</v>
      </c>
      <c r="AD1699">
        <v>41.757288</v>
      </c>
      <c r="AE1699">
        <v>-88.018646</v>
      </c>
      <c r="AF1699" s="5" t="str">
        <f>HYPERLINK("https://www.google.com/maps/search/?api=1&amp;query=41.757288,-88.018646","map")</f>
        <v>map</v>
      </c>
    </row>
    <row r="1700" spans="1:32">
      <c r="A1700" t="s">
        <v>1750</v>
      </c>
      <c r="B1700" t="s">
        <v>9310</v>
      </c>
      <c r="C1700" t="s">
        <v>15254</v>
      </c>
      <c r="D1700" t="s">
        <v>16199</v>
      </c>
      <c r="E1700" t="s">
        <v>16218</v>
      </c>
      <c r="F1700" t="s">
        <v>16221</v>
      </c>
      <c r="G1700" t="s">
        <v>16249</v>
      </c>
      <c r="H1700" t="s">
        <v>16249</v>
      </c>
      <c r="I1700" t="s">
        <v>16325</v>
      </c>
      <c r="J1700" t="s">
        <v>16385</v>
      </c>
      <c r="K1700">
        <v>0.211</v>
      </c>
      <c r="L1700">
        <v>9210</v>
      </c>
      <c r="M1700">
        <v>2149</v>
      </c>
      <c r="N1700" t="s">
        <v>16393</v>
      </c>
      <c r="O1700" s="4">
        <v>64016</v>
      </c>
      <c r="P1700" s="4">
        <v>178948</v>
      </c>
      <c r="Q1700" s="4">
        <v>242964</v>
      </c>
      <c r="R1700" s="4">
        <v>728892</v>
      </c>
      <c r="S1700" t="s">
        <v>18048</v>
      </c>
      <c r="T1700" s="6">
        <v>35217</v>
      </c>
      <c r="U1700" s="4">
        <v>275000</v>
      </c>
      <c r="X1700" t="s">
        <v>3</v>
      </c>
      <c r="AA1700" s="5" t="str">
        <f>HYPERLINK("https://www.zillow.com/homes/7209-MATTHIAS-RD-DOWNERS-GROVE-IL-60516_rb/","check listing")</f>
        <v>check listing</v>
      </c>
      <c r="AB1700" s="5" t="str">
        <f>HYPERLINK("https://propertylookup.dupagecounty.gov/Datalets/Datalet.aspx?UseSearch=no&amp;mode=sales&amp;pin=0929117001","sales record")</f>
        <v>sales record</v>
      </c>
      <c r="AC1700" t="s">
        <v>3</v>
      </c>
      <c r="AD1700">
        <v>41.756398</v>
      </c>
      <c r="AE1700">
        <v>-88.010715</v>
      </c>
      <c r="AF1700" s="5" t="str">
        <f>HYPERLINK("https://www.google.com/maps/search/?api=1&amp;query=41.756398,-88.010715","map")</f>
        <v>map</v>
      </c>
    </row>
    <row r="1701" spans="1:32">
      <c r="A1701" t="s">
        <v>1751</v>
      </c>
      <c r="B1701" t="s">
        <v>9311</v>
      </c>
      <c r="C1701" t="s">
        <v>15254</v>
      </c>
      <c r="D1701" t="s">
        <v>16199</v>
      </c>
      <c r="E1701" t="s">
        <v>16218</v>
      </c>
      <c r="F1701" t="s">
        <v>16221</v>
      </c>
      <c r="G1701" t="s">
        <v>16249</v>
      </c>
      <c r="H1701" t="s">
        <v>16249</v>
      </c>
      <c r="I1701" t="s">
        <v>16325</v>
      </c>
      <c r="J1701" t="s">
        <v>16385</v>
      </c>
      <c r="K1701">
        <v>0.211</v>
      </c>
      <c r="L1701">
        <v>9208</v>
      </c>
      <c r="M1701">
        <v>1847</v>
      </c>
      <c r="N1701" t="s">
        <v>16393</v>
      </c>
      <c r="O1701" s="4">
        <v>53839</v>
      </c>
      <c r="P1701" s="4">
        <v>107691</v>
      </c>
      <c r="Q1701" s="4">
        <v>161530</v>
      </c>
      <c r="R1701" s="4">
        <v>484590</v>
      </c>
      <c r="S1701" t="s">
        <v>18049</v>
      </c>
      <c r="T1701" s="6">
        <v>35612</v>
      </c>
      <c r="U1701" s="4">
        <v>203000</v>
      </c>
      <c r="X1701" t="s">
        <v>3</v>
      </c>
      <c r="AA1701" s="5" t="str">
        <f>HYPERLINK("https://www.zillow.com/homes/7229-BINDER-RD-DOWNERS-GROVE-IL-60516_rb/","check listing")</f>
        <v>check listing</v>
      </c>
      <c r="AB1701" s="5" t="str">
        <f>HYPERLINK("https://propertylookup.dupagecounty.gov/Datalets/Datalet.aspx?UseSearch=no&amp;mode=sales&amp;pin=0930106029","sales record")</f>
        <v>sales record</v>
      </c>
      <c r="AC1701" t="s">
        <v>3</v>
      </c>
      <c r="AD1701">
        <v>41.75481</v>
      </c>
      <c r="AE1701">
        <v>-88.02645800000001</v>
      </c>
      <c r="AF1701" s="5" t="str">
        <f>HYPERLINK("https://www.google.com/maps/search/?api=1&amp;query=41.75481,-88.026458","map")</f>
        <v>map</v>
      </c>
    </row>
    <row r="1702" spans="1:32">
      <c r="A1702" t="s">
        <v>1752</v>
      </c>
      <c r="B1702" t="s">
        <v>9312</v>
      </c>
      <c r="C1702" t="s">
        <v>15277</v>
      </c>
      <c r="D1702" t="s">
        <v>16199</v>
      </c>
      <c r="E1702" t="s">
        <v>16218</v>
      </c>
      <c r="F1702" t="s">
        <v>16221</v>
      </c>
      <c r="G1702" t="s">
        <v>16250</v>
      </c>
      <c r="H1702" t="s">
        <v>16250</v>
      </c>
      <c r="I1702" t="s">
        <v>16326</v>
      </c>
      <c r="J1702" t="s">
        <v>16385</v>
      </c>
      <c r="K1702">
        <v>0.211</v>
      </c>
      <c r="L1702">
        <v>9179</v>
      </c>
      <c r="M1702">
        <v>1489</v>
      </c>
      <c r="N1702" t="s">
        <v>16393</v>
      </c>
      <c r="O1702" s="4">
        <v>63253</v>
      </c>
      <c r="P1702" s="4">
        <v>81411</v>
      </c>
      <c r="Q1702" s="4">
        <v>144664</v>
      </c>
      <c r="R1702" s="4">
        <v>433992</v>
      </c>
      <c r="S1702" t="s">
        <v>18050</v>
      </c>
      <c r="T1702" s="6">
        <v>43221</v>
      </c>
      <c r="U1702" s="4">
        <v>330000</v>
      </c>
      <c r="V1702" t="s">
        <v>23739</v>
      </c>
      <c r="W1702" t="s">
        <v>18050</v>
      </c>
      <c r="X1702" t="s">
        <v>3</v>
      </c>
      <c r="AA1702" s="5" t="str">
        <f>HYPERLINK("https://www.zillow.com/homes/4919-FLORENCE-AVE-DOWNERS-GROVE-IL-60515_rb/","check listing")</f>
        <v>check listing</v>
      </c>
      <c r="AB1702" s="5" t="str">
        <f>HYPERLINK("https://propertylookup.dupagecounty.gov/Datalets/Datalet.aspx?UseSearch=no&amp;mode=sales&amp;pin=0909108003","sales record")</f>
        <v>sales record</v>
      </c>
      <c r="AC1702" t="s">
        <v>3</v>
      </c>
      <c r="AD1702">
        <v>41.798501</v>
      </c>
      <c r="AE1702">
        <v>-87.99146</v>
      </c>
      <c r="AF1702" s="5" t="str">
        <f>HYPERLINK("https://www.google.com/maps/search/?api=1&amp;query=41.798501,-87.99146","map")</f>
        <v>map</v>
      </c>
    </row>
    <row r="1703" spans="1:32">
      <c r="A1703" t="s">
        <v>1753</v>
      </c>
      <c r="B1703" t="s">
        <v>9313</v>
      </c>
      <c r="C1703" t="s">
        <v>15254</v>
      </c>
      <c r="D1703" t="s">
        <v>16199</v>
      </c>
      <c r="E1703" t="s">
        <v>16218</v>
      </c>
      <c r="F1703" t="s">
        <v>16221</v>
      </c>
      <c r="G1703" t="s">
        <v>16249</v>
      </c>
      <c r="H1703" t="s">
        <v>16249</v>
      </c>
      <c r="I1703" t="s">
        <v>16325</v>
      </c>
      <c r="J1703" t="s">
        <v>16385</v>
      </c>
      <c r="K1703">
        <v>0.211</v>
      </c>
      <c r="L1703">
        <v>9177</v>
      </c>
      <c r="M1703">
        <v>2258</v>
      </c>
      <c r="N1703" t="s">
        <v>16393</v>
      </c>
      <c r="O1703" s="4">
        <v>53441</v>
      </c>
      <c r="P1703" s="4">
        <v>106423</v>
      </c>
      <c r="Q1703" s="4">
        <v>159864</v>
      </c>
      <c r="R1703" s="4">
        <v>479592</v>
      </c>
      <c r="S1703" t="s">
        <v>18051</v>
      </c>
      <c r="T1703" s="6">
        <v>33725</v>
      </c>
      <c r="U1703" s="4">
        <v>179000</v>
      </c>
      <c r="X1703" t="s">
        <v>3</v>
      </c>
      <c r="AA1703" s="5" t="str">
        <f>HYPERLINK("https://www.zillow.com/homes/1720-BORMAN-PL-DOWNERS-GROVE-IL-60516_rb/","check listing")</f>
        <v>check listing</v>
      </c>
      <c r="AB1703" s="5" t="str">
        <f>HYPERLINK("https://propertylookup.dupagecounty.gov/Datalets/Datalet.aspx?UseSearch=no&amp;mode=sales&amp;pin=0930103050","sales record")</f>
        <v>sales record</v>
      </c>
      <c r="AC1703" t="s">
        <v>3</v>
      </c>
      <c r="AD1703">
        <v>41.751816</v>
      </c>
      <c r="AE1703">
        <v>-88.026315</v>
      </c>
      <c r="AF1703" s="5" t="str">
        <f>HYPERLINK("https://www.google.com/maps/search/?api=1&amp;query=41.751816,-88.026315","map")</f>
        <v>map</v>
      </c>
    </row>
    <row r="1704" spans="1:32">
      <c r="A1704" t="s">
        <v>1754</v>
      </c>
      <c r="B1704" t="s">
        <v>9314</v>
      </c>
      <c r="C1704" t="s">
        <v>15254</v>
      </c>
      <c r="D1704" t="s">
        <v>16199</v>
      </c>
      <c r="E1704" t="s">
        <v>16218</v>
      </c>
      <c r="F1704" t="s">
        <v>16221</v>
      </c>
      <c r="G1704" t="s">
        <v>16249</v>
      </c>
      <c r="H1704" t="s">
        <v>16249</v>
      </c>
      <c r="I1704" t="s">
        <v>16325</v>
      </c>
      <c r="J1704" t="s">
        <v>16385</v>
      </c>
      <c r="K1704">
        <v>0.21</v>
      </c>
      <c r="L1704">
        <v>9134</v>
      </c>
      <c r="M1704">
        <v>1752</v>
      </c>
      <c r="N1704" t="s">
        <v>16393</v>
      </c>
      <c r="O1704" s="4">
        <v>52818</v>
      </c>
      <c r="P1704" s="4">
        <v>115143</v>
      </c>
      <c r="Q1704" s="4">
        <v>167961</v>
      </c>
      <c r="R1704" s="4">
        <v>503883</v>
      </c>
      <c r="S1704" t="s">
        <v>18052</v>
      </c>
      <c r="T1704" s="6">
        <v>33086</v>
      </c>
      <c r="U1704" s="4">
        <v>170000</v>
      </c>
      <c r="X1704" t="s">
        <v>3</v>
      </c>
      <c r="AA1704" s="5" t="str">
        <f>HYPERLINK("https://www.zillow.com/homes/1724-HALL-DOWNERS-GROVE-IL-60516_rb/","check listing")</f>
        <v>check listing</v>
      </c>
      <c r="AB1704" s="5" t="str">
        <f>HYPERLINK("https://propertylookup.dupagecounty.gov/Datalets/Datalet.aspx?UseSearch=no&amp;mode=sales&amp;pin=0930103040","sales record")</f>
        <v>sales record</v>
      </c>
      <c r="AC1704" t="s">
        <v>3</v>
      </c>
      <c r="AD1704">
        <v>41.75284</v>
      </c>
      <c r="AE1704">
        <v>-88.02663699999999</v>
      </c>
      <c r="AF1704" s="5" t="str">
        <f>HYPERLINK("https://www.google.com/maps/search/?api=1&amp;query=41.75284,-88.026637","map")</f>
        <v>map</v>
      </c>
    </row>
    <row r="1705" spans="1:32">
      <c r="A1705" t="s">
        <v>1755</v>
      </c>
      <c r="B1705" t="s">
        <v>9315</v>
      </c>
      <c r="C1705" t="s">
        <v>15342</v>
      </c>
      <c r="D1705" t="s">
        <v>16199</v>
      </c>
      <c r="E1705" t="s">
        <v>16218</v>
      </c>
      <c r="F1705" t="s">
        <v>16221</v>
      </c>
      <c r="G1705" t="s">
        <v>16249</v>
      </c>
      <c r="H1705" t="s">
        <v>16249</v>
      </c>
      <c r="I1705" t="s">
        <v>16325</v>
      </c>
      <c r="J1705" t="s">
        <v>16385</v>
      </c>
      <c r="K1705">
        <v>0.209</v>
      </c>
      <c r="L1705">
        <v>9109</v>
      </c>
      <c r="M1705">
        <v>1520</v>
      </c>
      <c r="N1705" t="s">
        <v>16393</v>
      </c>
      <c r="O1705" s="4">
        <v>63675</v>
      </c>
      <c r="P1705" s="4">
        <v>163313</v>
      </c>
      <c r="Q1705" s="4">
        <v>226988</v>
      </c>
      <c r="R1705" s="4">
        <v>680964</v>
      </c>
      <c r="S1705" t="s">
        <v>18053</v>
      </c>
      <c r="T1705" s="6">
        <v>39356</v>
      </c>
      <c r="U1705" s="4">
        <v>520000</v>
      </c>
      <c r="V1705" t="s">
        <v>23739</v>
      </c>
      <c r="W1705" t="s">
        <v>24546</v>
      </c>
      <c r="X1705" t="s">
        <v>3</v>
      </c>
      <c r="AA1705" s="5" t="str">
        <f>HYPERLINK("https://www.zillow.com/homes/7113-DUNHAM-RD-DOWNERS-GROVE-IL-605163304_rb/","check listing")</f>
        <v>check listing</v>
      </c>
      <c r="AB1705" s="5" t="str">
        <f>HYPERLINK("https://propertylookup.dupagecounty.gov/Datalets/Datalet.aspx?UseSearch=no&amp;mode=sales&amp;pin=0929116009","sales record")</f>
        <v>sales record</v>
      </c>
      <c r="AC1705" t="s">
        <v>3</v>
      </c>
      <c r="AD1705">
        <v>41.75759</v>
      </c>
      <c r="AE1705">
        <v>-88.01261700000001</v>
      </c>
      <c r="AF1705" s="5" t="str">
        <f>HYPERLINK("https://www.google.com/maps/search/?api=1&amp;query=41.75759,-88.012617","map")</f>
        <v>map</v>
      </c>
    </row>
    <row r="1706" spans="1:32">
      <c r="A1706" t="s">
        <v>1756</v>
      </c>
      <c r="B1706" t="s">
        <v>9316</v>
      </c>
      <c r="C1706" t="s">
        <v>15254</v>
      </c>
      <c r="D1706" t="s">
        <v>16199</v>
      </c>
      <c r="E1706" t="s">
        <v>16218</v>
      </c>
      <c r="F1706" t="s">
        <v>16221</v>
      </c>
      <c r="G1706" t="s">
        <v>16249</v>
      </c>
      <c r="H1706" t="s">
        <v>16249</v>
      </c>
      <c r="I1706" t="s">
        <v>16325</v>
      </c>
      <c r="J1706" t="s">
        <v>16385</v>
      </c>
      <c r="K1706">
        <v>0.209</v>
      </c>
      <c r="L1706">
        <v>9101</v>
      </c>
      <c r="M1706">
        <v>1997</v>
      </c>
      <c r="N1706" t="s">
        <v>16393</v>
      </c>
      <c r="O1706" s="4">
        <v>52936</v>
      </c>
      <c r="P1706" s="4">
        <v>93206</v>
      </c>
      <c r="Q1706" s="4">
        <v>146142</v>
      </c>
      <c r="R1706" s="4">
        <v>438426</v>
      </c>
      <c r="S1706" t="s">
        <v>18054</v>
      </c>
      <c r="T1706" s="6">
        <v>38808</v>
      </c>
      <c r="U1706" s="4">
        <v>363500</v>
      </c>
      <c r="V1706" t="s">
        <v>23739</v>
      </c>
      <c r="W1706" t="s">
        <v>18054</v>
      </c>
      <c r="X1706" t="s">
        <v>3</v>
      </c>
      <c r="AA1706" s="5" t="str">
        <f>HYPERLINK("https://www.zillow.com/homes/1533-71ST-TERR-DOWNERS-GROVE-IL-60516_rb/","check listing")</f>
        <v>check listing</v>
      </c>
      <c r="AB1706" s="5" t="str">
        <f>HYPERLINK("https://propertylookup.dupagecounty.gov/Datalets/Datalet.aspx?UseSearch=no&amp;mode=sales&amp;pin=0919417002","sales record")</f>
        <v>sales record</v>
      </c>
      <c r="AC1706" t="s">
        <v>3</v>
      </c>
      <c r="AD1706">
        <v>41.758319</v>
      </c>
      <c r="AE1706">
        <v>-88.021787</v>
      </c>
      <c r="AF1706" s="5" t="str">
        <f>HYPERLINK("https://www.google.com/maps/search/?api=1&amp;query=41.758319,-88.021787","map")</f>
        <v>map</v>
      </c>
    </row>
    <row r="1707" spans="1:32">
      <c r="A1707" t="s">
        <v>1757</v>
      </c>
      <c r="B1707" t="s">
        <v>9317</v>
      </c>
      <c r="C1707" t="s">
        <v>15254</v>
      </c>
      <c r="D1707" t="s">
        <v>16199</v>
      </c>
      <c r="E1707" t="s">
        <v>16218</v>
      </c>
      <c r="F1707" t="s">
        <v>16221</v>
      </c>
      <c r="G1707" t="s">
        <v>16249</v>
      </c>
      <c r="H1707" t="s">
        <v>16249</v>
      </c>
      <c r="I1707" t="s">
        <v>16325</v>
      </c>
      <c r="J1707" t="s">
        <v>16385</v>
      </c>
      <c r="K1707">
        <v>0.209</v>
      </c>
      <c r="L1707">
        <v>9100</v>
      </c>
      <c r="M1707">
        <v>1877</v>
      </c>
      <c r="N1707" t="s">
        <v>16393</v>
      </c>
      <c r="O1707" s="4">
        <v>52936</v>
      </c>
      <c r="P1707" s="4">
        <v>101341</v>
      </c>
      <c r="Q1707" s="4">
        <v>154277</v>
      </c>
      <c r="R1707" s="4">
        <v>462831</v>
      </c>
      <c r="S1707" t="s">
        <v>18055</v>
      </c>
      <c r="T1707" s="6">
        <v>41030</v>
      </c>
      <c r="U1707" s="4">
        <v>265000</v>
      </c>
      <c r="V1707" t="s">
        <v>23739</v>
      </c>
      <c r="W1707" t="s">
        <v>24547</v>
      </c>
      <c r="X1707" t="s">
        <v>3</v>
      </c>
      <c r="AA1707" s="5" t="str">
        <f>HYPERLINK("https://www.zillow.com/homes/1425-71ST-ST-DOWNERS-GROVE-IL-60516_rb/","check listing")</f>
        <v>check listing</v>
      </c>
      <c r="AB1707" s="5" t="str">
        <f>HYPERLINK("https://propertylookup.dupagecounty.gov/Datalets/Datalet.aspx?UseSearch=no&amp;mode=sales&amp;pin=0919418013","sales record")</f>
        <v>sales record</v>
      </c>
      <c r="AC1707" t="s">
        <v>3</v>
      </c>
      <c r="AD1707">
        <v>41.7593</v>
      </c>
      <c r="AE1707">
        <v>-88.01926</v>
      </c>
      <c r="AF1707" s="5" t="str">
        <f>HYPERLINK("https://www.google.com/maps/search/?api=1&amp;query=41.7593,-88.01926","map")</f>
        <v>map</v>
      </c>
    </row>
    <row r="1708" spans="1:32">
      <c r="A1708" t="s">
        <v>1758</v>
      </c>
      <c r="B1708" t="s">
        <v>9318</v>
      </c>
      <c r="C1708" t="s">
        <v>15254</v>
      </c>
      <c r="D1708" t="s">
        <v>16199</v>
      </c>
      <c r="E1708" t="s">
        <v>16218</v>
      </c>
      <c r="F1708" t="s">
        <v>16221</v>
      </c>
      <c r="G1708" t="s">
        <v>16249</v>
      </c>
      <c r="H1708" t="s">
        <v>16249</v>
      </c>
      <c r="I1708" t="s">
        <v>16325</v>
      </c>
      <c r="J1708" t="s">
        <v>16385</v>
      </c>
      <c r="K1708">
        <v>0.209</v>
      </c>
      <c r="L1708">
        <v>9098</v>
      </c>
      <c r="M1708">
        <v>2411</v>
      </c>
      <c r="N1708" t="s">
        <v>16393</v>
      </c>
      <c r="O1708" s="4">
        <v>52936</v>
      </c>
      <c r="P1708" s="4">
        <v>116751</v>
      </c>
      <c r="Q1708" s="4">
        <v>169687</v>
      </c>
      <c r="R1708" s="4">
        <v>509061</v>
      </c>
      <c r="S1708" t="s">
        <v>18056</v>
      </c>
      <c r="T1708" s="6">
        <v>41852</v>
      </c>
      <c r="U1708" s="4">
        <v>366500</v>
      </c>
      <c r="V1708" t="s">
        <v>23739</v>
      </c>
      <c r="W1708" t="s">
        <v>24548</v>
      </c>
      <c r="X1708" t="s">
        <v>3</v>
      </c>
      <c r="AA1708" s="5" t="str">
        <f>HYPERLINK("https://www.zillow.com/homes/1429-71ST-ST-DOWNERS-GROVE-IL-60516_rb/","check listing")</f>
        <v>check listing</v>
      </c>
      <c r="AB1708" s="5" t="str">
        <f>HYPERLINK("https://propertylookup.dupagecounty.gov/Datalets/Datalet.aspx?UseSearch=no&amp;mode=sales&amp;pin=0919418012","sales record")</f>
        <v>sales record</v>
      </c>
      <c r="AC1708" t="s">
        <v>3</v>
      </c>
      <c r="AD1708">
        <v>41.759232</v>
      </c>
      <c r="AE1708">
        <v>-88.019514</v>
      </c>
      <c r="AF1708" s="5" t="str">
        <f>HYPERLINK("https://www.google.com/maps/search/?api=1&amp;query=41.759232,-88.019514","map")</f>
        <v>map</v>
      </c>
    </row>
    <row r="1709" spans="1:32">
      <c r="A1709" t="s">
        <v>1759</v>
      </c>
      <c r="B1709" t="s">
        <v>9319</v>
      </c>
      <c r="C1709" t="s">
        <v>15316</v>
      </c>
      <c r="D1709" t="s">
        <v>16199</v>
      </c>
      <c r="E1709" t="s">
        <v>16218</v>
      </c>
      <c r="F1709" t="s">
        <v>16221</v>
      </c>
      <c r="G1709" t="s">
        <v>16249</v>
      </c>
      <c r="H1709" t="s">
        <v>16249</v>
      </c>
      <c r="I1709" t="s">
        <v>16325</v>
      </c>
      <c r="J1709" t="s">
        <v>16385</v>
      </c>
      <c r="K1709">
        <v>0.209</v>
      </c>
      <c r="L1709">
        <v>9093</v>
      </c>
      <c r="M1709">
        <v>1839</v>
      </c>
      <c r="N1709" t="s">
        <v>16393</v>
      </c>
      <c r="O1709" s="4">
        <v>58053</v>
      </c>
      <c r="P1709" s="4">
        <v>157398</v>
      </c>
      <c r="Q1709" s="4">
        <v>215451</v>
      </c>
      <c r="R1709" s="4">
        <v>646353</v>
      </c>
      <c r="S1709" t="s">
        <v>18057</v>
      </c>
      <c r="T1709" s="6">
        <v>43770</v>
      </c>
      <c r="U1709" s="4">
        <v>350000</v>
      </c>
      <c r="V1709" t="s">
        <v>23739</v>
      </c>
      <c r="W1709" t="s">
        <v>24549</v>
      </c>
      <c r="X1709" t="s">
        <v>3</v>
      </c>
      <c r="AA1709" s="5" t="str">
        <f>HYPERLINK("https://www.zillow.com/homes/1724-BORMAN-PL-DOWNERS-GROVE-IL-605163743_rb/","check listing")</f>
        <v>check listing</v>
      </c>
      <c r="AB1709" s="5" t="str">
        <f>HYPERLINK("https://propertylookup.dupagecounty.gov/Datalets/Datalet.aspx?UseSearch=no&amp;mode=sales&amp;pin=0930103051","sales record")</f>
        <v>sales record</v>
      </c>
      <c r="AC1709" t="s">
        <v>3</v>
      </c>
      <c r="AD1709">
        <v>41.751897</v>
      </c>
      <c r="AE1709">
        <v>-88.02659199999999</v>
      </c>
      <c r="AF1709" s="5" t="str">
        <f>HYPERLINK("https://www.google.com/maps/search/?api=1&amp;query=41.751897,-88.026592","map")</f>
        <v>map</v>
      </c>
    </row>
    <row r="1710" spans="1:32">
      <c r="A1710" t="s">
        <v>1760</v>
      </c>
      <c r="B1710" t="s">
        <v>9320</v>
      </c>
      <c r="C1710" t="s">
        <v>15343</v>
      </c>
      <c r="D1710" t="s">
        <v>16199</v>
      </c>
      <c r="E1710" t="s">
        <v>16218</v>
      </c>
      <c r="F1710" t="s">
        <v>16221</v>
      </c>
      <c r="G1710" t="s">
        <v>16249</v>
      </c>
      <c r="H1710" t="s">
        <v>16249</v>
      </c>
      <c r="I1710" t="s">
        <v>16325</v>
      </c>
      <c r="J1710" t="s">
        <v>16385</v>
      </c>
      <c r="K1710">
        <v>0.209</v>
      </c>
      <c r="L1710">
        <v>9083</v>
      </c>
      <c r="M1710">
        <v>1623</v>
      </c>
      <c r="N1710" t="s">
        <v>16393</v>
      </c>
      <c r="O1710" s="4">
        <v>52818</v>
      </c>
      <c r="P1710" s="4">
        <v>104005</v>
      </c>
      <c r="Q1710" s="4">
        <v>156823</v>
      </c>
      <c r="R1710" s="4">
        <v>470469</v>
      </c>
      <c r="S1710" t="s">
        <v>18058</v>
      </c>
      <c r="T1710" s="6">
        <v>36312</v>
      </c>
      <c r="U1710" s="4">
        <v>219000</v>
      </c>
      <c r="X1710" t="s">
        <v>3</v>
      </c>
      <c r="AA1710" s="5" t="str">
        <f>HYPERLINK("https://www.zillow.com/homes/1725-GRAHAM-AVE-DOWNERS-GROVE-IL-605163737_rb/","check listing")</f>
        <v>check listing</v>
      </c>
      <c r="AB1710" s="5" t="str">
        <f>HYPERLINK("https://propertylookup.dupagecounty.gov/Datalets/Datalet.aspx?UseSearch=no&amp;mode=sales&amp;pin=0930103033","sales record")</f>
        <v>sales record</v>
      </c>
      <c r="AC1710" t="s">
        <v>3</v>
      </c>
      <c r="AD1710">
        <v>41.753146</v>
      </c>
      <c r="AE1710">
        <v>-88.026647</v>
      </c>
      <c r="AF1710" s="5" t="str">
        <f>HYPERLINK("https://www.google.com/maps/search/?api=1&amp;query=41.753146,-88.026647","map")</f>
        <v>map</v>
      </c>
    </row>
    <row r="1711" spans="1:32">
      <c r="A1711" t="s">
        <v>1761</v>
      </c>
      <c r="B1711" t="s">
        <v>9321</v>
      </c>
      <c r="C1711" t="s">
        <v>15254</v>
      </c>
      <c r="D1711" t="s">
        <v>16199</v>
      </c>
      <c r="E1711" t="s">
        <v>16218</v>
      </c>
      <c r="F1711" t="s">
        <v>16221</v>
      </c>
      <c r="G1711" t="s">
        <v>16249</v>
      </c>
      <c r="H1711" t="s">
        <v>16249</v>
      </c>
      <c r="I1711" t="s">
        <v>16325</v>
      </c>
      <c r="J1711" t="s">
        <v>16385</v>
      </c>
      <c r="K1711">
        <v>0.208</v>
      </c>
      <c r="L1711">
        <v>9048</v>
      </c>
      <c r="M1711">
        <v>1717</v>
      </c>
      <c r="N1711" t="s">
        <v>16393</v>
      </c>
      <c r="O1711" s="4">
        <v>46222</v>
      </c>
      <c r="P1711" s="4">
        <v>119299</v>
      </c>
      <c r="Q1711" s="4">
        <v>165521</v>
      </c>
      <c r="R1711" s="4">
        <v>496563</v>
      </c>
      <c r="S1711" t="s">
        <v>18059</v>
      </c>
      <c r="T1711" s="6">
        <v>31959</v>
      </c>
      <c r="U1711" s="4">
        <v>140034</v>
      </c>
      <c r="X1711" t="s">
        <v>3</v>
      </c>
      <c r="AA1711" s="5" t="str">
        <f>HYPERLINK("https://www.zillow.com/homes/1204-KLEIN-AVE-DOWNERS-GROVE-IL-60516_rb/","check listing")</f>
        <v>check listing</v>
      </c>
      <c r="AB1711" s="5" t="str">
        <f>HYPERLINK("https://propertylookup.dupagecounty.gov/Datalets/Datalet.aspx?UseSearch=no&amp;mode=sales&amp;pin=0930209003","sales record")</f>
        <v>sales record</v>
      </c>
      <c r="AC1711" t="s">
        <v>3</v>
      </c>
      <c r="AD1711">
        <v>41.758072</v>
      </c>
      <c r="AE1711">
        <v>-88.013835</v>
      </c>
      <c r="AF1711" s="5" t="str">
        <f>HYPERLINK("https://www.google.com/maps/search/?api=1&amp;query=41.758072,-88.013835","map")</f>
        <v>map</v>
      </c>
    </row>
    <row r="1712" spans="1:32">
      <c r="A1712" t="s">
        <v>1762</v>
      </c>
      <c r="B1712" t="s">
        <v>9322</v>
      </c>
      <c r="C1712" t="s">
        <v>15254</v>
      </c>
      <c r="D1712" t="s">
        <v>16199</v>
      </c>
      <c r="E1712" t="s">
        <v>16218</v>
      </c>
      <c r="F1712" t="s">
        <v>16221</v>
      </c>
      <c r="G1712" t="s">
        <v>16249</v>
      </c>
      <c r="H1712" t="s">
        <v>16249</v>
      </c>
      <c r="I1712" t="s">
        <v>16325</v>
      </c>
      <c r="J1712" t="s">
        <v>16385</v>
      </c>
      <c r="K1712">
        <v>0.208</v>
      </c>
      <c r="L1712">
        <v>9045</v>
      </c>
      <c r="M1712">
        <v>2482</v>
      </c>
      <c r="N1712" t="s">
        <v>16393</v>
      </c>
      <c r="O1712" s="4">
        <v>48874</v>
      </c>
      <c r="P1712" s="4">
        <v>116635</v>
      </c>
      <c r="Q1712" s="4">
        <v>165509</v>
      </c>
      <c r="R1712" s="4">
        <v>496527</v>
      </c>
      <c r="S1712" t="s">
        <v>18060</v>
      </c>
      <c r="X1712" t="s">
        <v>3</v>
      </c>
      <c r="AA1712" s="5" t="str">
        <f>HYPERLINK("https://www.zillow.com/homes/7249-DEXTER-RD-DOWNERS-GROVE-IL-60516_rb/","check listing")</f>
        <v>check listing</v>
      </c>
      <c r="AB1712" s="5" t="str">
        <f>HYPERLINK("https://propertylookup.dupagecounty.gov/Datalets/Datalet.aspx?UseSearch=no&amp;mode=sales&amp;pin=0930204016","sales record")</f>
        <v>sales record</v>
      </c>
      <c r="AC1712" t="s">
        <v>3</v>
      </c>
      <c r="AD1712">
        <v>41.755167</v>
      </c>
      <c r="AE1712">
        <v>-88.017927</v>
      </c>
      <c r="AF1712" s="5" t="str">
        <f>HYPERLINK("https://www.google.com/maps/search/?api=1&amp;query=41.755167,-88.017927","map")</f>
        <v>map</v>
      </c>
    </row>
    <row r="1713" spans="1:32">
      <c r="A1713" t="s">
        <v>1763</v>
      </c>
      <c r="B1713" t="s">
        <v>9323</v>
      </c>
      <c r="C1713" t="s">
        <v>15254</v>
      </c>
      <c r="D1713" t="s">
        <v>16199</v>
      </c>
      <c r="E1713" t="s">
        <v>16218</v>
      </c>
      <c r="F1713" t="s">
        <v>16221</v>
      </c>
      <c r="G1713" t="s">
        <v>16249</v>
      </c>
      <c r="H1713" t="s">
        <v>16249</v>
      </c>
      <c r="I1713" t="s">
        <v>16325</v>
      </c>
      <c r="J1713" t="s">
        <v>16385</v>
      </c>
      <c r="K1713">
        <v>0.207</v>
      </c>
      <c r="L1713">
        <v>9036</v>
      </c>
      <c r="M1713">
        <v>2116</v>
      </c>
      <c r="N1713" t="s">
        <v>16393</v>
      </c>
      <c r="O1713" s="4">
        <v>54309</v>
      </c>
      <c r="P1713" s="4">
        <v>131247</v>
      </c>
      <c r="Q1713" s="4">
        <v>185556</v>
      </c>
      <c r="R1713" s="4">
        <v>556668</v>
      </c>
      <c r="S1713" t="s">
        <v>18061</v>
      </c>
      <c r="T1713" s="6">
        <v>38108</v>
      </c>
      <c r="U1713" s="4">
        <v>350000</v>
      </c>
      <c r="V1713" t="s">
        <v>23739</v>
      </c>
      <c r="W1713" t="s">
        <v>24550</v>
      </c>
      <c r="X1713" t="s">
        <v>3</v>
      </c>
      <c r="AA1713" s="5" t="str">
        <f>HYPERLINK("https://www.zillow.com/homes/7241-DEXTER-RD-DOWNERS-GROVE-IL-60516_rb/","check listing")</f>
        <v>check listing</v>
      </c>
      <c r="AB1713" s="5" t="str">
        <f>HYPERLINK("https://propertylookup.dupagecounty.gov/Datalets/Datalet.aspx?UseSearch=no&amp;mode=sales&amp;pin=0930204015","sales record")</f>
        <v>sales record</v>
      </c>
      <c r="AC1713" t="s">
        <v>3</v>
      </c>
      <c r="AD1713">
        <v>41.75534</v>
      </c>
      <c r="AE1713">
        <v>-88.017933</v>
      </c>
      <c r="AF1713" s="5" t="str">
        <f>HYPERLINK("https://www.google.com/maps/search/?api=1&amp;query=41.75534,-88.017933","map")</f>
        <v>map</v>
      </c>
    </row>
    <row r="1714" spans="1:32">
      <c r="A1714" t="s">
        <v>1764</v>
      </c>
      <c r="B1714" t="s">
        <v>9324</v>
      </c>
      <c r="C1714" t="s">
        <v>15344</v>
      </c>
      <c r="D1714" t="s">
        <v>16199</v>
      </c>
      <c r="E1714" t="s">
        <v>16218</v>
      </c>
      <c r="F1714" t="s">
        <v>16221</v>
      </c>
      <c r="G1714" t="s">
        <v>16249</v>
      </c>
      <c r="H1714" t="s">
        <v>16249</v>
      </c>
      <c r="I1714" t="s">
        <v>16325</v>
      </c>
      <c r="J1714" t="s">
        <v>16385</v>
      </c>
      <c r="K1714">
        <v>0.207</v>
      </c>
      <c r="L1714">
        <v>9029</v>
      </c>
      <c r="M1714">
        <v>1716</v>
      </c>
      <c r="N1714" t="s">
        <v>16393</v>
      </c>
      <c r="O1714" s="4">
        <v>53299</v>
      </c>
      <c r="P1714" s="4">
        <v>136576</v>
      </c>
      <c r="Q1714" s="4">
        <v>189875</v>
      </c>
      <c r="R1714" s="4">
        <v>569625</v>
      </c>
      <c r="S1714" t="s">
        <v>18062</v>
      </c>
      <c r="T1714" s="6">
        <v>34304</v>
      </c>
      <c r="U1714" s="4">
        <v>204500</v>
      </c>
      <c r="X1714" t="s">
        <v>3</v>
      </c>
      <c r="AA1714" s="5" t="str">
        <f>HYPERLINK("https://www.zillow.com/homes/7221-CAMDEN-RD-DOWNERS-GROVE-IL-605163753_rb/","check listing")</f>
        <v>check listing</v>
      </c>
      <c r="AB1714" s="5" t="str">
        <f>HYPERLINK("https://propertylookup.dupagecounty.gov/Datalets/Datalet.aspx?UseSearch=no&amp;mode=sales&amp;pin=0930105026","sales record")</f>
        <v>sales record</v>
      </c>
      <c r="AC1714" t="s">
        <v>3</v>
      </c>
      <c r="AD1714">
        <v>41.755172</v>
      </c>
      <c r="AE1714">
        <v>-88.024348</v>
      </c>
      <c r="AF1714" s="5" t="str">
        <f>HYPERLINK("https://www.google.com/maps/search/?api=1&amp;query=41.755172,-88.024348","map")</f>
        <v>map</v>
      </c>
    </row>
    <row r="1715" spans="1:32">
      <c r="A1715" t="s">
        <v>1765</v>
      </c>
      <c r="B1715" t="s">
        <v>9325</v>
      </c>
      <c r="C1715" t="s">
        <v>15345</v>
      </c>
      <c r="D1715" t="s">
        <v>16199</v>
      </c>
      <c r="E1715" t="s">
        <v>16218</v>
      </c>
      <c r="F1715" t="s">
        <v>16221</v>
      </c>
      <c r="G1715" t="s">
        <v>16249</v>
      </c>
      <c r="H1715" t="s">
        <v>16249</v>
      </c>
      <c r="I1715" t="s">
        <v>16325</v>
      </c>
      <c r="J1715" t="s">
        <v>16385</v>
      </c>
      <c r="K1715">
        <v>0.207</v>
      </c>
      <c r="L1715">
        <v>9027</v>
      </c>
      <c r="M1715">
        <v>1467</v>
      </c>
      <c r="N1715" t="s">
        <v>16393</v>
      </c>
      <c r="O1715" s="4">
        <v>54309</v>
      </c>
      <c r="P1715" s="4">
        <v>106611</v>
      </c>
      <c r="Q1715" s="4">
        <v>160920</v>
      </c>
      <c r="R1715" s="4">
        <v>482760</v>
      </c>
      <c r="S1715" t="s">
        <v>18063</v>
      </c>
      <c r="T1715" s="6">
        <v>31229</v>
      </c>
      <c r="U1715" s="4">
        <v>119100</v>
      </c>
      <c r="X1715" t="s">
        <v>3</v>
      </c>
      <c r="AA1715" s="5" t="str">
        <f>HYPERLINK("https://www.zillow.com/homes/7330-TICONDEROGA-RD-DOWNERS-GROVE-IL-605163754_rb/","check listing")</f>
        <v>check listing</v>
      </c>
      <c r="AB1715" s="5" t="str">
        <f>HYPERLINK("https://propertylookup.dupagecounty.gov/Datalets/Datalet.aspx?UseSearch=no&amp;mode=sales&amp;pin=0930107011","sales record")</f>
        <v>sales record</v>
      </c>
      <c r="AC1715" t="s">
        <v>3</v>
      </c>
      <c r="AD1715">
        <v>41.752959</v>
      </c>
      <c r="AE1715">
        <v>-88.023726</v>
      </c>
      <c r="AF1715" s="5" t="str">
        <f>HYPERLINK("https://www.google.com/maps/search/?api=1&amp;query=41.752959,-88.023726","map")</f>
        <v>map</v>
      </c>
    </row>
    <row r="1716" spans="1:32">
      <c r="A1716" t="s">
        <v>1766</v>
      </c>
      <c r="B1716" t="s">
        <v>9326</v>
      </c>
      <c r="C1716" t="s">
        <v>15254</v>
      </c>
      <c r="D1716" t="s">
        <v>16199</v>
      </c>
      <c r="E1716" t="s">
        <v>16218</v>
      </c>
      <c r="F1716" t="s">
        <v>16221</v>
      </c>
      <c r="G1716" t="s">
        <v>16249</v>
      </c>
      <c r="H1716" t="s">
        <v>16249</v>
      </c>
      <c r="I1716" t="s">
        <v>16325</v>
      </c>
      <c r="J1716" t="s">
        <v>16385</v>
      </c>
      <c r="K1716">
        <v>0.207</v>
      </c>
      <c r="L1716">
        <v>9003</v>
      </c>
      <c r="M1716">
        <v>1686</v>
      </c>
      <c r="N1716" t="s">
        <v>16393</v>
      </c>
      <c r="O1716" s="4">
        <v>53299</v>
      </c>
      <c r="P1716" s="4">
        <v>109146</v>
      </c>
      <c r="Q1716" s="4">
        <v>162445</v>
      </c>
      <c r="R1716" s="4">
        <v>487335</v>
      </c>
      <c r="S1716" t="s">
        <v>18064</v>
      </c>
      <c r="T1716" s="6">
        <v>38139</v>
      </c>
      <c r="U1716" s="4">
        <v>347500</v>
      </c>
      <c r="V1716" t="s">
        <v>23739</v>
      </c>
      <c r="W1716" t="s">
        <v>24551</v>
      </c>
      <c r="X1716" t="s">
        <v>3</v>
      </c>
      <c r="AA1716" s="5" t="str">
        <f>HYPERLINK("https://www.zillow.com/homes/7313-TICONDEROGA-PL-DOWNERS-GROVE-IL-60516_rb/","check listing")</f>
        <v>check listing</v>
      </c>
      <c r="AB1716" s="5" t="str">
        <f>HYPERLINK("https://propertylookup.dupagecounty.gov/Datalets/Datalet.aspx?UseSearch=no&amp;mode=sales&amp;pin=0930105047","sales record")</f>
        <v>sales record</v>
      </c>
      <c r="AC1716" t="s">
        <v>3</v>
      </c>
      <c r="AD1716">
        <v>41.753916</v>
      </c>
      <c r="AE1716">
        <v>-88.023065</v>
      </c>
      <c r="AF1716" s="5" t="str">
        <f>HYPERLINK("https://www.google.com/maps/search/?api=1&amp;query=41.753916,-88.023065","map")</f>
        <v>map</v>
      </c>
    </row>
    <row r="1717" spans="1:32">
      <c r="A1717" t="s">
        <v>1767</v>
      </c>
      <c r="B1717" t="s">
        <v>9327</v>
      </c>
      <c r="C1717" t="s">
        <v>15346</v>
      </c>
      <c r="D1717" t="s">
        <v>16199</v>
      </c>
      <c r="E1717" t="s">
        <v>16218</v>
      </c>
      <c r="F1717" t="s">
        <v>16221</v>
      </c>
      <c r="G1717" t="s">
        <v>16249</v>
      </c>
      <c r="H1717" t="s">
        <v>16249</v>
      </c>
      <c r="I1717" t="s">
        <v>16325</v>
      </c>
      <c r="J1717" t="s">
        <v>16385</v>
      </c>
      <c r="K1717">
        <v>0.207</v>
      </c>
      <c r="L1717">
        <v>9003</v>
      </c>
      <c r="M1717">
        <v>1631</v>
      </c>
      <c r="N1717" t="s">
        <v>16393</v>
      </c>
      <c r="O1717" s="4">
        <v>53299</v>
      </c>
      <c r="P1717" s="4">
        <v>105812</v>
      </c>
      <c r="Q1717" s="4">
        <v>159111</v>
      </c>
      <c r="R1717" s="4">
        <v>477333</v>
      </c>
      <c r="S1717" t="s">
        <v>18065</v>
      </c>
      <c r="T1717" s="6">
        <v>44378</v>
      </c>
      <c r="U1717" s="4">
        <v>445000</v>
      </c>
      <c r="V1717" t="s">
        <v>23739</v>
      </c>
      <c r="W1717" t="s">
        <v>24552</v>
      </c>
      <c r="X1717" t="s">
        <v>3</v>
      </c>
      <c r="AA1717" s="5" t="str">
        <f>HYPERLINK("https://www.zillow.com/homes/7227-TICONDEROGA-PL-DOWNERS-GROVE-IL-605163748_rb/","check listing")</f>
        <v>check listing</v>
      </c>
      <c r="AB1717" s="5" t="str">
        <f>HYPERLINK("https://propertylookup.dupagecounty.gov/Datalets/Datalet.aspx?UseSearch=no&amp;mode=sales&amp;pin=0930105042","sales record")</f>
        <v>sales record</v>
      </c>
      <c r="AC1717" t="s">
        <v>3</v>
      </c>
      <c r="AD1717">
        <v>41.754966</v>
      </c>
      <c r="AE1717">
        <v>-88.023098</v>
      </c>
      <c r="AF1717" s="5" t="str">
        <f>HYPERLINK("https://www.google.com/maps/search/?api=1&amp;query=41.754966,-88.023098","map")</f>
        <v>map</v>
      </c>
    </row>
    <row r="1718" spans="1:32">
      <c r="A1718" t="s">
        <v>1768</v>
      </c>
      <c r="B1718" t="s">
        <v>9328</v>
      </c>
      <c r="C1718" t="s">
        <v>15347</v>
      </c>
      <c r="D1718" t="s">
        <v>16199</v>
      </c>
      <c r="E1718" t="s">
        <v>16218</v>
      </c>
      <c r="F1718" t="s">
        <v>16221</v>
      </c>
      <c r="G1718" t="s">
        <v>16249</v>
      </c>
      <c r="H1718" t="s">
        <v>16249</v>
      </c>
      <c r="I1718" t="s">
        <v>16325</v>
      </c>
      <c r="J1718" t="s">
        <v>16385</v>
      </c>
      <c r="K1718">
        <v>0.207</v>
      </c>
      <c r="L1718">
        <v>9002</v>
      </c>
      <c r="M1718">
        <v>1796</v>
      </c>
      <c r="N1718" t="s">
        <v>16393</v>
      </c>
      <c r="O1718" s="4">
        <v>53299</v>
      </c>
      <c r="P1718" s="4">
        <v>131517</v>
      </c>
      <c r="Q1718" s="4">
        <v>184816</v>
      </c>
      <c r="R1718" s="4">
        <v>554448</v>
      </c>
      <c r="S1718" t="s">
        <v>18066</v>
      </c>
      <c r="T1718" s="6">
        <v>33604</v>
      </c>
      <c r="U1718" s="4">
        <v>180000</v>
      </c>
      <c r="X1718" t="s">
        <v>3</v>
      </c>
      <c r="AA1718" s="5" t="str">
        <f>HYPERLINK("https://www.zillow.com/homes/1718-HAWKINS-AVE-DOWNERS-GROVE-IL-605163730_rb/","check listing")</f>
        <v>check listing</v>
      </c>
      <c r="AB1718" s="5" t="str">
        <f>HYPERLINK("https://propertylookup.dupagecounty.gov/Datalets/Datalet.aspx?UseSearch=no&amp;mode=sales&amp;pin=0930103018","sales record")</f>
        <v>sales record</v>
      </c>
      <c r="AC1718" t="s">
        <v>3</v>
      </c>
      <c r="AD1718">
        <v>41.755655</v>
      </c>
      <c r="AE1718">
        <v>-88.026196</v>
      </c>
      <c r="AF1718" s="5" t="str">
        <f>HYPERLINK("https://www.google.com/maps/search/?api=1&amp;query=41.755655,-88.026196","map")</f>
        <v>map</v>
      </c>
    </row>
    <row r="1719" spans="1:32">
      <c r="A1719" t="s">
        <v>1769</v>
      </c>
      <c r="B1719" t="s">
        <v>9329</v>
      </c>
      <c r="C1719" t="s">
        <v>15254</v>
      </c>
      <c r="D1719" t="s">
        <v>16199</v>
      </c>
      <c r="E1719" t="s">
        <v>16218</v>
      </c>
      <c r="F1719" t="s">
        <v>16221</v>
      </c>
      <c r="G1719" t="s">
        <v>16249</v>
      </c>
      <c r="H1719" t="s">
        <v>16249</v>
      </c>
      <c r="I1719" t="s">
        <v>16325</v>
      </c>
      <c r="J1719" t="s">
        <v>16385</v>
      </c>
      <c r="K1719">
        <v>0.207</v>
      </c>
      <c r="L1719">
        <v>9002</v>
      </c>
      <c r="M1719">
        <v>1284</v>
      </c>
      <c r="N1719" t="s">
        <v>16393</v>
      </c>
      <c r="O1719" s="4">
        <v>53299</v>
      </c>
      <c r="P1719" s="4">
        <v>94087</v>
      </c>
      <c r="Q1719" s="4">
        <v>147386</v>
      </c>
      <c r="R1719" s="4">
        <v>442158</v>
      </c>
      <c r="S1719" t="s">
        <v>18067</v>
      </c>
      <c r="T1719" s="6">
        <v>39203</v>
      </c>
      <c r="U1719" s="4">
        <v>384000</v>
      </c>
      <c r="V1719" t="s">
        <v>23739</v>
      </c>
      <c r="W1719" t="s">
        <v>24553</v>
      </c>
      <c r="X1719" t="s">
        <v>3</v>
      </c>
      <c r="AA1719" s="5" t="str">
        <f>HYPERLINK("https://www.zillow.com/homes/7215-TICONDEROGA-PL-DOWNERS-GROVE-IL-60516_rb/","check listing")</f>
        <v>check listing</v>
      </c>
      <c r="AB1719" s="5" t="str">
        <f>HYPERLINK("https://propertylookup.dupagecounty.gov/Datalets/Datalet.aspx?UseSearch=no&amp;mode=sales&amp;pin=0930105039","sales record")</f>
        <v>sales record</v>
      </c>
      <c r="AC1719" t="s">
        <v>3</v>
      </c>
      <c r="AD1719">
        <v>41.755559</v>
      </c>
      <c r="AE1719">
        <v>-88.023116</v>
      </c>
      <c r="AF1719" s="5" t="str">
        <f>HYPERLINK("https://www.google.com/maps/search/?api=1&amp;query=41.755559,-88.023116","map")</f>
        <v>map</v>
      </c>
    </row>
    <row r="1720" spans="1:32">
      <c r="A1720" t="s">
        <v>1770</v>
      </c>
      <c r="B1720" t="s">
        <v>9330</v>
      </c>
      <c r="C1720" t="s">
        <v>15347</v>
      </c>
      <c r="D1720" t="s">
        <v>16199</v>
      </c>
      <c r="E1720" t="s">
        <v>16218</v>
      </c>
      <c r="F1720" t="s">
        <v>16221</v>
      </c>
      <c r="G1720" t="s">
        <v>16249</v>
      </c>
      <c r="H1720" t="s">
        <v>16249</v>
      </c>
      <c r="I1720" t="s">
        <v>16325</v>
      </c>
      <c r="J1720" t="s">
        <v>16385</v>
      </c>
      <c r="K1720">
        <v>0.207</v>
      </c>
      <c r="L1720">
        <v>9001</v>
      </c>
      <c r="M1720">
        <v>2076</v>
      </c>
      <c r="N1720" t="s">
        <v>16393</v>
      </c>
      <c r="O1720" s="4">
        <v>53299</v>
      </c>
      <c r="P1720" s="4">
        <v>111857</v>
      </c>
      <c r="Q1720" s="4">
        <v>165156</v>
      </c>
      <c r="R1720" s="4">
        <v>495468</v>
      </c>
      <c r="S1720" t="s">
        <v>18068</v>
      </c>
      <c r="T1720" s="6">
        <v>44501</v>
      </c>
      <c r="U1720" s="4">
        <v>365000</v>
      </c>
      <c r="V1720" t="s">
        <v>16232</v>
      </c>
      <c r="W1720" t="s">
        <v>24554</v>
      </c>
      <c r="X1720" t="s">
        <v>3</v>
      </c>
      <c r="AA1720" s="5" t="str">
        <f>HYPERLINK("https://www.zillow.com/homes/1722-HAWKINS-AVE-DOWNERS-GROVE-IL-605163730_rb/","check listing")</f>
        <v>check listing</v>
      </c>
      <c r="AB1720" s="5" t="str">
        <f>HYPERLINK("https://propertylookup.dupagecounty.gov/Datalets/Datalet.aspx?UseSearch=no&amp;mode=sales&amp;pin=0930103019","sales record")</f>
        <v>sales record</v>
      </c>
      <c r="AC1720" t="s">
        <v>3</v>
      </c>
      <c r="AD1720">
        <v>41.755616</v>
      </c>
      <c r="AE1720">
        <v>-88.026455</v>
      </c>
      <c r="AF1720" s="5" t="str">
        <f>HYPERLINK("https://www.google.com/maps/search/?api=1&amp;query=41.755616,-88.026455","map")</f>
        <v>map</v>
      </c>
    </row>
    <row r="1721" spans="1:32">
      <c r="A1721" t="s">
        <v>1771</v>
      </c>
      <c r="B1721" t="s">
        <v>9331</v>
      </c>
      <c r="C1721" t="s">
        <v>15254</v>
      </c>
      <c r="D1721" t="s">
        <v>16199</v>
      </c>
      <c r="E1721" t="s">
        <v>16218</v>
      </c>
      <c r="F1721" t="s">
        <v>16221</v>
      </c>
      <c r="G1721" t="s">
        <v>16249</v>
      </c>
      <c r="H1721" t="s">
        <v>16249</v>
      </c>
      <c r="I1721" t="s">
        <v>16325</v>
      </c>
      <c r="J1721" t="s">
        <v>16385</v>
      </c>
      <c r="K1721">
        <v>0.207</v>
      </c>
      <c r="L1721">
        <v>9001</v>
      </c>
      <c r="M1721">
        <v>1578</v>
      </c>
      <c r="N1721" t="s">
        <v>16393</v>
      </c>
      <c r="O1721" s="4">
        <v>53299</v>
      </c>
      <c r="P1721" s="4">
        <v>109005</v>
      </c>
      <c r="Q1721" s="4">
        <v>162304</v>
      </c>
      <c r="R1721" s="4">
        <v>486912</v>
      </c>
      <c r="S1721" t="s">
        <v>18069</v>
      </c>
      <c r="T1721" s="6">
        <v>36982</v>
      </c>
      <c r="U1721" s="4">
        <v>243000</v>
      </c>
      <c r="V1721" t="s">
        <v>23739</v>
      </c>
      <c r="W1721" t="s">
        <v>24555</v>
      </c>
      <c r="X1721" t="s">
        <v>3</v>
      </c>
      <c r="AA1721" s="5" t="str">
        <f>HYPERLINK("https://www.zillow.com/homes/7333-TICONDEROGA-RD-DOWNERS-GROVE-IL-60516_rb/","check listing")</f>
        <v>check listing</v>
      </c>
      <c r="AB1721" s="5" t="str">
        <f>HYPERLINK("https://propertylookup.dupagecounty.gov/Datalets/Datalet.aspx?UseSearch=no&amp;mode=sales&amp;pin=0930105052","sales record")</f>
        <v>sales record</v>
      </c>
      <c r="AC1721" t="s">
        <v>3</v>
      </c>
      <c r="AD1721">
        <v>41.752928</v>
      </c>
      <c r="AE1721">
        <v>-88.023034</v>
      </c>
      <c r="AF1721" s="5" t="str">
        <f>HYPERLINK("https://www.google.com/maps/search/?api=1&amp;query=41.752928,-88.023034","map")</f>
        <v>map</v>
      </c>
    </row>
    <row r="1722" spans="1:32">
      <c r="A1722" t="s">
        <v>1772</v>
      </c>
      <c r="B1722" t="s">
        <v>9332</v>
      </c>
      <c r="C1722" t="s">
        <v>15348</v>
      </c>
      <c r="D1722" t="s">
        <v>16199</v>
      </c>
      <c r="E1722" t="s">
        <v>16218</v>
      </c>
      <c r="F1722" t="s">
        <v>16221</v>
      </c>
      <c r="G1722" t="s">
        <v>16249</v>
      </c>
      <c r="H1722" t="s">
        <v>16249</v>
      </c>
      <c r="I1722" t="s">
        <v>16325</v>
      </c>
      <c r="J1722" t="s">
        <v>16385</v>
      </c>
      <c r="K1722">
        <v>0.207</v>
      </c>
      <c r="L1722">
        <v>9001</v>
      </c>
      <c r="M1722">
        <v>2195</v>
      </c>
      <c r="N1722" t="s">
        <v>16393</v>
      </c>
      <c r="O1722" s="4">
        <v>53299</v>
      </c>
      <c r="P1722" s="4">
        <v>97843</v>
      </c>
      <c r="Q1722" s="4">
        <v>151142</v>
      </c>
      <c r="R1722" s="4">
        <v>453426</v>
      </c>
      <c r="S1722" t="s">
        <v>18070</v>
      </c>
      <c r="T1722" s="6">
        <v>30529</v>
      </c>
      <c r="U1722" s="4">
        <v>100804</v>
      </c>
      <c r="X1722" t="s">
        <v>3</v>
      </c>
      <c r="AA1722" s="5" t="str">
        <f>HYPERLINK("https://www.zillow.com/homes/7224-SPRINGSIDE-AVE-DOWNERS-GROVE-IL-605163717_rb/","check listing")</f>
        <v>check listing</v>
      </c>
      <c r="AB1722" s="5" t="str">
        <f>HYPERLINK("https://propertylookup.dupagecounty.gov/Datalets/Datalet.aspx?UseSearch=no&amp;mode=sales&amp;pin=0930202014","sales record")</f>
        <v>sales record</v>
      </c>
      <c r="AC1722" t="s">
        <v>3</v>
      </c>
      <c r="AD1722">
        <v>41.756027</v>
      </c>
      <c r="AE1722">
        <v>-88.02237</v>
      </c>
      <c r="AF1722" s="5" t="str">
        <f>HYPERLINK("https://www.google.com/maps/search/?api=1&amp;query=41.756027,-88.02237","map")</f>
        <v>map</v>
      </c>
    </row>
    <row r="1723" spans="1:32">
      <c r="A1723" t="s">
        <v>1773</v>
      </c>
      <c r="B1723" t="s">
        <v>9333</v>
      </c>
      <c r="C1723" t="s">
        <v>15254</v>
      </c>
      <c r="D1723" t="s">
        <v>16199</v>
      </c>
      <c r="E1723" t="s">
        <v>16218</v>
      </c>
      <c r="F1723" t="s">
        <v>16221</v>
      </c>
      <c r="G1723" t="s">
        <v>16249</v>
      </c>
      <c r="H1723" t="s">
        <v>16249</v>
      </c>
      <c r="I1723" t="s">
        <v>16325</v>
      </c>
      <c r="J1723" t="s">
        <v>16385</v>
      </c>
      <c r="K1723">
        <v>0.207</v>
      </c>
      <c r="L1723">
        <v>9001</v>
      </c>
      <c r="M1723">
        <v>1394</v>
      </c>
      <c r="N1723" t="s">
        <v>16393</v>
      </c>
      <c r="O1723" s="4">
        <v>53299</v>
      </c>
      <c r="P1723" s="4">
        <v>130578</v>
      </c>
      <c r="Q1723" s="4">
        <v>183877</v>
      </c>
      <c r="R1723" s="4">
        <v>551631</v>
      </c>
      <c r="S1723" t="s">
        <v>18071</v>
      </c>
      <c r="T1723" s="6">
        <v>42036</v>
      </c>
      <c r="U1723" s="4">
        <v>415000</v>
      </c>
      <c r="V1723" t="s">
        <v>23740</v>
      </c>
      <c r="W1723" t="s">
        <v>24556</v>
      </c>
      <c r="X1723" t="s">
        <v>3</v>
      </c>
      <c r="AA1723" s="5" t="str">
        <f>HYPERLINK("https://www.zillow.com/homes/7219-TICONDEROGA-PL-DOWNERS-GROVE-IL-60516_rb/","check listing")</f>
        <v>check listing</v>
      </c>
      <c r="AB1723" s="5" t="str">
        <f>HYPERLINK("https://propertylookup.dupagecounty.gov/Datalets/Datalet.aspx?UseSearch=no&amp;mode=sales&amp;pin=0930105040","sales record")</f>
        <v>sales record</v>
      </c>
      <c r="AC1723" t="s">
        <v>3</v>
      </c>
      <c r="AD1723">
        <v>41.755361</v>
      </c>
      <c r="AE1723">
        <v>-88.02311</v>
      </c>
      <c r="AF1723" s="5" t="str">
        <f>HYPERLINK("https://www.google.com/maps/search/?api=1&amp;query=41.755361,-88.02311","map")</f>
        <v>map</v>
      </c>
    </row>
    <row r="1724" spans="1:32">
      <c r="A1724" t="s">
        <v>1774</v>
      </c>
      <c r="B1724" t="s">
        <v>9334</v>
      </c>
      <c r="C1724" t="s">
        <v>15254</v>
      </c>
      <c r="D1724" t="s">
        <v>16199</v>
      </c>
      <c r="E1724" t="s">
        <v>16218</v>
      </c>
      <c r="F1724" t="s">
        <v>16221</v>
      </c>
      <c r="G1724" t="s">
        <v>16249</v>
      </c>
      <c r="H1724" t="s">
        <v>16249</v>
      </c>
      <c r="I1724" t="s">
        <v>16325</v>
      </c>
      <c r="J1724" t="s">
        <v>16385</v>
      </c>
      <c r="K1724">
        <v>0.207</v>
      </c>
      <c r="L1724">
        <v>9001</v>
      </c>
      <c r="M1724">
        <v>1798</v>
      </c>
      <c r="N1724" t="s">
        <v>16393</v>
      </c>
      <c r="O1724" s="4">
        <v>53299</v>
      </c>
      <c r="P1724" s="4">
        <v>111293</v>
      </c>
      <c r="Q1724" s="4">
        <v>164592</v>
      </c>
      <c r="R1724" s="4">
        <v>493776</v>
      </c>
      <c r="S1724" t="s">
        <v>18072</v>
      </c>
      <c r="T1724" s="6">
        <v>43160</v>
      </c>
      <c r="U1724" s="4">
        <v>375000</v>
      </c>
      <c r="V1724" t="s">
        <v>23739</v>
      </c>
      <c r="W1724" t="s">
        <v>18072</v>
      </c>
      <c r="X1724" t="s">
        <v>3</v>
      </c>
      <c r="AA1724" s="5" t="str">
        <f>HYPERLINK("https://www.zillow.com/homes/1714-HAWKINS-AVE-DOWNERS-GROVE-IL-60516_rb/","check listing")</f>
        <v>check listing</v>
      </c>
      <c r="AB1724" s="5" t="str">
        <f>HYPERLINK("https://propertylookup.dupagecounty.gov/Datalets/Datalet.aspx?UseSearch=no&amp;mode=sales&amp;pin=0930103017","sales record")</f>
        <v>sales record</v>
      </c>
      <c r="AC1724" t="s">
        <v>3</v>
      </c>
      <c r="AD1724">
        <v>41.755694</v>
      </c>
      <c r="AE1724">
        <v>-88.025937</v>
      </c>
      <c r="AF1724" s="5" t="str">
        <f>HYPERLINK("https://www.google.com/maps/search/?api=1&amp;query=41.755694,-88.025937","map")</f>
        <v>map</v>
      </c>
    </row>
    <row r="1725" spans="1:32">
      <c r="A1725" t="s">
        <v>1775</v>
      </c>
      <c r="B1725" t="s">
        <v>9335</v>
      </c>
      <c r="C1725" t="s">
        <v>15254</v>
      </c>
      <c r="D1725" t="s">
        <v>16199</v>
      </c>
      <c r="E1725" t="s">
        <v>16218</v>
      </c>
      <c r="F1725" t="s">
        <v>16221</v>
      </c>
      <c r="G1725" t="s">
        <v>16249</v>
      </c>
      <c r="H1725" t="s">
        <v>16249</v>
      </c>
      <c r="I1725" t="s">
        <v>16325</v>
      </c>
      <c r="J1725" t="s">
        <v>16385</v>
      </c>
      <c r="K1725">
        <v>0.207</v>
      </c>
      <c r="L1725">
        <v>9001</v>
      </c>
      <c r="M1725">
        <v>1649</v>
      </c>
      <c r="N1725" t="s">
        <v>16393</v>
      </c>
      <c r="O1725" s="4">
        <v>53299</v>
      </c>
      <c r="P1725" s="4">
        <v>125519</v>
      </c>
      <c r="Q1725" s="4">
        <v>178818</v>
      </c>
      <c r="R1725" s="4">
        <v>536454</v>
      </c>
      <c r="S1725" t="s">
        <v>18073</v>
      </c>
      <c r="T1725" s="6">
        <v>31990</v>
      </c>
      <c r="U1725" s="4">
        <v>128942</v>
      </c>
      <c r="X1725" t="s">
        <v>3</v>
      </c>
      <c r="AA1725" s="5" t="str">
        <f>HYPERLINK("https://www.zillow.com/homes/7321-TICONDEROGA-RD-DOWNERS-GROVE-IL-60516_rb/","check listing")</f>
        <v>check listing</v>
      </c>
      <c r="AB1725" s="5" t="str">
        <f>HYPERLINK("https://propertylookup.dupagecounty.gov/Datalets/Datalet.aspx?UseSearch=no&amp;mode=sales&amp;pin=0930105049","sales record")</f>
        <v>sales record</v>
      </c>
      <c r="AC1725" t="s">
        <v>3</v>
      </c>
      <c r="AD1725">
        <v>41.753521</v>
      </c>
      <c r="AE1725">
        <v>-88.023053</v>
      </c>
      <c r="AF1725" s="5" t="str">
        <f>HYPERLINK("https://www.google.com/maps/search/?api=1&amp;query=41.753521,-88.023053","map")</f>
        <v>map</v>
      </c>
    </row>
    <row r="1726" spans="1:32">
      <c r="A1726" t="s">
        <v>1776</v>
      </c>
      <c r="B1726" t="s">
        <v>9336</v>
      </c>
      <c r="C1726" t="s">
        <v>15254</v>
      </c>
      <c r="D1726" t="s">
        <v>16199</v>
      </c>
      <c r="E1726" t="s">
        <v>16218</v>
      </c>
      <c r="F1726" t="s">
        <v>16221</v>
      </c>
      <c r="G1726" t="s">
        <v>16249</v>
      </c>
      <c r="H1726" t="s">
        <v>16249</v>
      </c>
      <c r="I1726" t="s">
        <v>16325</v>
      </c>
      <c r="J1726" t="s">
        <v>16385</v>
      </c>
      <c r="K1726">
        <v>0.207</v>
      </c>
      <c r="L1726">
        <v>9000</v>
      </c>
      <c r="M1726">
        <v>985</v>
      </c>
      <c r="N1726" t="s">
        <v>16393</v>
      </c>
      <c r="O1726" s="4">
        <v>53299</v>
      </c>
      <c r="P1726" s="4">
        <v>90578</v>
      </c>
      <c r="Q1726" s="4">
        <v>143877</v>
      </c>
      <c r="R1726" s="4">
        <v>431631</v>
      </c>
      <c r="S1726" t="s">
        <v>18074</v>
      </c>
      <c r="T1726" s="6">
        <v>42248</v>
      </c>
      <c r="U1726" s="4">
        <v>270000</v>
      </c>
      <c r="V1726" t="s">
        <v>16232</v>
      </c>
      <c r="W1726" t="s">
        <v>24557</v>
      </c>
      <c r="X1726" t="s">
        <v>3</v>
      </c>
      <c r="AA1726" s="5" t="str">
        <f>HYPERLINK("https://www.zillow.com/homes/7329-TICONDEROGA-RD-DOWNERS-GROVE-IL-60516_rb/","check listing")</f>
        <v>check listing</v>
      </c>
      <c r="AB1726" s="5" t="str">
        <f>HYPERLINK("https://propertylookup.dupagecounty.gov/Datalets/Datalet.aspx?UseSearch=no&amp;mode=sales&amp;pin=0930105051","sales record")</f>
        <v>sales record</v>
      </c>
      <c r="AC1726" t="s">
        <v>3</v>
      </c>
      <c r="AD1726">
        <v>41.753126</v>
      </c>
      <c r="AE1726">
        <v>-88.02303999999999</v>
      </c>
      <c r="AF1726" s="5" t="str">
        <f>HYPERLINK("https://www.google.com/maps/search/?api=1&amp;query=41.753126,-88.02304","map")</f>
        <v>map</v>
      </c>
    </row>
    <row r="1727" spans="1:32">
      <c r="A1727" t="s">
        <v>1777</v>
      </c>
      <c r="B1727" t="s">
        <v>9337</v>
      </c>
      <c r="C1727" t="s">
        <v>15330</v>
      </c>
      <c r="D1727" t="s">
        <v>16199</v>
      </c>
      <c r="E1727" t="s">
        <v>16218</v>
      </c>
      <c r="F1727" t="s">
        <v>16221</v>
      </c>
      <c r="G1727" t="s">
        <v>16249</v>
      </c>
      <c r="H1727" t="s">
        <v>16249</v>
      </c>
      <c r="I1727" t="s">
        <v>16325</v>
      </c>
      <c r="J1727" t="s">
        <v>16385</v>
      </c>
      <c r="K1727">
        <v>0.207</v>
      </c>
      <c r="L1727">
        <v>9000</v>
      </c>
      <c r="M1727">
        <v>1689</v>
      </c>
      <c r="N1727" t="s">
        <v>16393</v>
      </c>
      <c r="O1727" s="4">
        <v>53299</v>
      </c>
      <c r="P1727" s="4">
        <v>119638</v>
      </c>
      <c r="Q1727" s="4">
        <v>172937</v>
      </c>
      <c r="R1727" s="4">
        <v>518811</v>
      </c>
      <c r="S1727" t="s">
        <v>18075</v>
      </c>
      <c r="T1727" s="6">
        <v>43678</v>
      </c>
      <c r="U1727" s="4">
        <v>390000</v>
      </c>
      <c r="V1727" t="s">
        <v>23739</v>
      </c>
      <c r="W1727" t="s">
        <v>24558</v>
      </c>
      <c r="X1727" t="s">
        <v>3</v>
      </c>
      <c r="AA1727" s="5" t="str">
        <f>HYPERLINK("https://www.zillow.com/homes/7325-TICONDEROGA-RD-DOWNERS-GROVE-IL-605163755_rb/","check listing")</f>
        <v>check listing</v>
      </c>
      <c r="AB1727" s="5" t="str">
        <f>HYPERLINK("https://propertylookup.dupagecounty.gov/Datalets/Datalet.aspx?UseSearch=no&amp;mode=sales&amp;pin=0930105050","sales record")</f>
        <v>sales record</v>
      </c>
      <c r="AC1727" t="s">
        <v>3</v>
      </c>
      <c r="AD1727">
        <v>41.753323</v>
      </c>
      <c r="AE1727">
        <v>-88.02304700000001</v>
      </c>
      <c r="AF1727" s="5" t="str">
        <f>HYPERLINK("https://www.google.com/maps/search/?api=1&amp;query=41.753323,-88.023047","map")</f>
        <v>map</v>
      </c>
    </row>
    <row r="1728" spans="1:32">
      <c r="A1728" t="s">
        <v>1778</v>
      </c>
      <c r="B1728" t="s">
        <v>9338</v>
      </c>
      <c r="C1728" t="s">
        <v>15330</v>
      </c>
      <c r="D1728" t="s">
        <v>16199</v>
      </c>
      <c r="E1728" t="s">
        <v>16218</v>
      </c>
      <c r="F1728" t="s">
        <v>16221</v>
      </c>
      <c r="G1728" t="s">
        <v>16249</v>
      </c>
      <c r="H1728" t="s">
        <v>16249</v>
      </c>
      <c r="I1728" t="s">
        <v>16325</v>
      </c>
      <c r="J1728" t="s">
        <v>16385</v>
      </c>
      <c r="K1728">
        <v>0.207</v>
      </c>
      <c r="L1728">
        <v>8999</v>
      </c>
      <c r="M1728">
        <v>1578</v>
      </c>
      <c r="N1728" t="s">
        <v>16393</v>
      </c>
      <c r="O1728" s="4">
        <v>53299</v>
      </c>
      <c r="P1728" s="4">
        <v>105061</v>
      </c>
      <c r="Q1728" s="4">
        <v>158360</v>
      </c>
      <c r="R1728" s="4">
        <v>475080</v>
      </c>
      <c r="S1728" t="s">
        <v>18076</v>
      </c>
      <c r="T1728" s="6">
        <v>44762</v>
      </c>
      <c r="U1728" s="4">
        <v>415000</v>
      </c>
      <c r="V1728" t="s">
        <v>23739</v>
      </c>
      <c r="W1728" t="s">
        <v>24559</v>
      </c>
      <c r="X1728" t="s">
        <v>3</v>
      </c>
      <c r="AA1728" s="5" t="str">
        <f>HYPERLINK("https://www.zillow.com/homes/7309-TICONDEROGA-RD-DOWNERS-GROVE-IL-605163755_rb/","check listing")</f>
        <v>check listing</v>
      </c>
      <c r="AB1728" s="5" t="str">
        <f>HYPERLINK("https://propertylookup.dupagecounty.gov/Datalets/Datalet.aspx?UseSearch=no&amp;mode=sales&amp;pin=0930105046","sales record")</f>
        <v>sales record</v>
      </c>
      <c r="AC1728" t="s">
        <v>3</v>
      </c>
      <c r="AD1728">
        <v>41.754114</v>
      </c>
      <c r="AE1728">
        <v>-88.023071</v>
      </c>
      <c r="AF1728" s="5" t="str">
        <f>HYPERLINK("https://www.google.com/maps/search/?api=1&amp;query=41.754114,-88.023071","map")</f>
        <v>map</v>
      </c>
    </row>
    <row r="1729" spans="1:32">
      <c r="A1729" t="s">
        <v>1779</v>
      </c>
      <c r="B1729" t="s">
        <v>9339</v>
      </c>
      <c r="C1729" t="s">
        <v>15347</v>
      </c>
      <c r="D1729" t="s">
        <v>16199</v>
      </c>
      <c r="E1729" t="s">
        <v>16218</v>
      </c>
      <c r="F1729" t="s">
        <v>16221</v>
      </c>
      <c r="G1729" t="s">
        <v>16249</v>
      </c>
      <c r="H1729" t="s">
        <v>16249</v>
      </c>
      <c r="I1729" t="s">
        <v>16325</v>
      </c>
      <c r="J1729" t="s">
        <v>16385</v>
      </c>
      <c r="K1729">
        <v>0.207</v>
      </c>
      <c r="L1729">
        <v>8999</v>
      </c>
      <c r="M1729">
        <v>1692</v>
      </c>
      <c r="N1729" t="s">
        <v>16393</v>
      </c>
      <c r="O1729" s="4">
        <v>53299</v>
      </c>
      <c r="P1729" s="4">
        <v>106353</v>
      </c>
      <c r="Q1729" s="4">
        <v>159652</v>
      </c>
      <c r="R1729" s="4">
        <v>478956</v>
      </c>
      <c r="S1729" t="s">
        <v>18077</v>
      </c>
      <c r="T1729" s="6">
        <v>40756</v>
      </c>
      <c r="U1729" s="4">
        <v>320000</v>
      </c>
      <c r="V1729" t="s">
        <v>23739</v>
      </c>
      <c r="W1729" t="s">
        <v>24560</v>
      </c>
      <c r="X1729" t="s">
        <v>3</v>
      </c>
      <c r="AA1729" s="5" t="str">
        <f>HYPERLINK("https://www.zillow.com/homes/1706-HAWKINS-AVE-DOWNERS-GROVE-IL-605163730_rb/","check listing")</f>
        <v>check listing</v>
      </c>
      <c r="AB1729" s="5" t="str">
        <f>HYPERLINK("https://propertylookup.dupagecounty.gov/Datalets/Datalet.aspx?UseSearch=no&amp;mode=sales&amp;pin=0930103015","sales record")</f>
        <v>sales record</v>
      </c>
      <c r="AC1729" t="s">
        <v>3</v>
      </c>
      <c r="AD1729">
        <v>41.755771</v>
      </c>
      <c r="AE1729">
        <v>-88.025419</v>
      </c>
      <c r="AF1729" s="5" t="str">
        <f>HYPERLINK("https://www.google.com/maps/search/?api=1&amp;query=41.755771,-88.025419","map")</f>
        <v>map</v>
      </c>
    </row>
    <row r="1730" spans="1:32">
      <c r="A1730" t="s">
        <v>1780</v>
      </c>
      <c r="B1730" t="s">
        <v>9340</v>
      </c>
      <c r="C1730" t="s">
        <v>15254</v>
      </c>
      <c r="D1730" t="s">
        <v>16199</v>
      </c>
      <c r="E1730" t="s">
        <v>16218</v>
      </c>
      <c r="F1730" t="s">
        <v>16221</v>
      </c>
      <c r="G1730" t="s">
        <v>16249</v>
      </c>
      <c r="H1730" t="s">
        <v>16249</v>
      </c>
      <c r="I1730" t="s">
        <v>16325</v>
      </c>
      <c r="J1730" t="s">
        <v>16385</v>
      </c>
      <c r="K1730">
        <v>0.207</v>
      </c>
      <c r="L1730">
        <v>8999</v>
      </c>
      <c r="M1730">
        <v>2442</v>
      </c>
      <c r="N1730" t="s">
        <v>16393</v>
      </c>
      <c r="O1730" s="4">
        <v>53299</v>
      </c>
      <c r="P1730" s="4">
        <v>116329</v>
      </c>
      <c r="Q1730" s="4">
        <v>169628</v>
      </c>
      <c r="R1730" s="4">
        <v>508884</v>
      </c>
      <c r="S1730" t="s">
        <v>18078</v>
      </c>
      <c r="T1730" s="6">
        <v>33420</v>
      </c>
      <c r="U1730" s="4">
        <v>176500</v>
      </c>
      <c r="X1730" t="s">
        <v>3</v>
      </c>
      <c r="AA1730" s="5" t="str">
        <f>HYPERLINK("https://www.zillow.com/homes/7240-SPRINGSIDE-AVE-DOWNERS-GROVE-IL-60516_rb/","check listing")</f>
        <v>check listing</v>
      </c>
      <c r="AB1730" s="5" t="str">
        <f>HYPERLINK("https://propertylookup.dupagecounty.gov/Datalets/Datalet.aspx?UseSearch=no&amp;mode=sales&amp;pin=0930202016","sales record")</f>
        <v>sales record</v>
      </c>
      <c r="AC1730" t="s">
        <v>3</v>
      </c>
      <c r="AD1730">
        <v>41.755632</v>
      </c>
      <c r="AE1730">
        <v>-88.022358</v>
      </c>
      <c r="AF1730" s="5" t="str">
        <f>HYPERLINK("https://www.google.com/maps/search/?api=1&amp;query=41.755632,-88.022358","map")</f>
        <v>map</v>
      </c>
    </row>
    <row r="1731" spans="1:32">
      <c r="A1731" t="s">
        <v>1781</v>
      </c>
      <c r="B1731" t="s">
        <v>9341</v>
      </c>
      <c r="C1731" t="s">
        <v>15330</v>
      </c>
      <c r="D1731" t="s">
        <v>16199</v>
      </c>
      <c r="E1731" t="s">
        <v>16218</v>
      </c>
      <c r="F1731" t="s">
        <v>16221</v>
      </c>
      <c r="G1731" t="s">
        <v>16249</v>
      </c>
      <c r="H1731" t="s">
        <v>16249</v>
      </c>
      <c r="I1731" t="s">
        <v>16325</v>
      </c>
      <c r="J1731" t="s">
        <v>16385</v>
      </c>
      <c r="K1731">
        <v>0.207</v>
      </c>
      <c r="L1731">
        <v>8999</v>
      </c>
      <c r="M1731">
        <v>1644</v>
      </c>
      <c r="N1731" t="s">
        <v>16393</v>
      </c>
      <c r="O1731" s="4">
        <v>53292</v>
      </c>
      <c r="P1731" s="4">
        <v>122886</v>
      </c>
      <c r="Q1731" s="4">
        <v>176178</v>
      </c>
      <c r="R1731" s="4">
        <v>528534</v>
      </c>
      <c r="S1731" t="s">
        <v>18079</v>
      </c>
      <c r="T1731" s="6">
        <v>42826</v>
      </c>
      <c r="U1731" s="4">
        <v>375000</v>
      </c>
      <c r="V1731" t="s">
        <v>16232</v>
      </c>
      <c r="W1731" t="s">
        <v>24561</v>
      </c>
      <c r="X1731" t="s">
        <v>3</v>
      </c>
      <c r="AA1731" s="5" t="str">
        <f>HYPERLINK("https://www.zillow.com/homes/7317-TICONDEROGA-RD-DOWNERS-GROVE-IL-605163755_rb/","check listing")</f>
        <v>check listing</v>
      </c>
      <c r="AB1731" s="5" t="str">
        <f>HYPERLINK("https://propertylookup.dupagecounty.gov/Datalets/Datalet.aspx?UseSearch=no&amp;mode=sales&amp;pin=0930105048","sales record")</f>
        <v>sales record</v>
      </c>
      <c r="AC1731" t="s">
        <v>3</v>
      </c>
      <c r="AD1731">
        <v>41.753719</v>
      </c>
      <c r="AE1731">
        <v>-88.023059</v>
      </c>
      <c r="AF1731" s="5" t="str">
        <f>HYPERLINK("https://www.google.com/maps/search/?api=1&amp;query=41.753719,-88.023059","map")</f>
        <v>map</v>
      </c>
    </row>
    <row r="1732" spans="1:32">
      <c r="A1732" t="s">
        <v>1782</v>
      </c>
      <c r="B1732" t="s">
        <v>9342</v>
      </c>
      <c r="C1732" t="s">
        <v>15254</v>
      </c>
      <c r="D1732" t="s">
        <v>16199</v>
      </c>
      <c r="E1732" t="s">
        <v>16218</v>
      </c>
      <c r="F1732" t="s">
        <v>16221</v>
      </c>
      <c r="G1732" t="s">
        <v>16249</v>
      </c>
      <c r="H1732" t="s">
        <v>16249</v>
      </c>
      <c r="I1732" t="s">
        <v>16325</v>
      </c>
      <c r="J1732" t="s">
        <v>16385</v>
      </c>
      <c r="K1732">
        <v>0.207</v>
      </c>
      <c r="L1732">
        <v>8999</v>
      </c>
      <c r="M1732">
        <v>2354</v>
      </c>
      <c r="N1732" t="s">
        <v>16393</v>
      </c>
      <c r="O1732" s="4">
        <v>53299</v>
      </c>
      <c r="P1732" s="4">
        <v>126857</v>
      </c>
      <c r="Q1732" s="4">
        <v>180156</v>
      </c>
      <c r="R1732" s="4">
        <v>540468</v>
      </c>
      <c r="S1732" t="s">
        <v>18080</v>
      </c>
      <c r="T1732" s="6">
        <v>35916</v>
      </c>
      <c r="U1732" s="4">
        <v>218500</v>
      </c>
      <c r="X1732" t="s">
        <v>3</v>
      </c>
      <c r="AA1732" s="5" t="str">
        <f>HYPERLINK("https://www.zillow.com/homes/1710-HAWKINS-AVE-DOWNERS-GROVE-IL-60516_rb/","check listing")</f>
        <v>check listing</v>
      </c>
      <c r="AB1732" s="5" t="str">
        <f>HYPERLINK("https://propertylookup.dupagecounty.gov/Datalets/Datalet.aspx?UseSearch=no&amp;mode=sales&amp;pin=0930103016","sales record")</f>
        <v>sales record</v>
      </c>
      <c r="AC1732" t="s">
        <v>3</v>
      </c>
      <c r="AD1732">
        <v>41.755732</v>
      </c>
      <c r="AE1732">
        <v>-88.025678</v>
      </c>
      <c r="AF1732" s="5" t="str">
        <f>HYPERLINK("https://www.google.com/maps/search/?api=1&amp;query=41.755732,-88.025678","map")</f>
        <v>map</v>
      </c>
    </row>
    <row r="1733" spans="1:32">
      <c r="A1733" t="s">
        <v>1783</v>
      </c>
      <c r="B1733" t="s">
        <v>9343</v>
      </c>
      <c r="C1733" t="s">
        <v>15254</v>
      </c>
      <c r="D1733" t="s">
        <v>16199</v>
      </c>
      <c r="E1733" t="s">
        <v>16218</v>
      </c>
      <c r="F1733" t="s">
        <v>16221</v>
      </c>
      <c r="G1733" t="s">
        <v>16249</v>
      </c>
      <c r="H1733" t="s">
        <v>16249</v>
      </c>
      <c r="I1733" t="s">
        <v>16325</v>
      </c>
      <c r="J1733" t="s">
        <v>16385</v>
      </c>
      <c r="K1733">
        <v>0.207</v>
      </c>
      <c r="L1733">
        <v>8999</v>
      </c>
      <c r="M1733">
        <v>1584</v>
      </c>
      <c r="N1733" t="s">
        <v>16393</v>
      </c>
      <c r="O1733" s="4">
        <v>53299</v>
      </c>
      <c r="P1733" s="4">
        <v>123360</v>
      </c>
      <c r="Q1733" s="4">
        <v>176659</v>
      </c>
      <c r="R1733" s="4">
        <v>529977</v>
      </c>
      <c r="S1733" t="s">
        <v>18081</v>
      </c>
      <c r="T1733" s="6">
        <v>32112</v>
      </c>
      <c r="U1733" s="4">
        <v>146596</v>
      </c>
      <c r="X1733" t="s">
        <v>3</v>
      </c>
      <c r="AA1733" s="5" t="str">
        <f>HYPERLINK("https://www.zillow.com/homes/7401-TICONDEROGA-RD-DOWNERS-GROVE-IL-60516_rb/","check listing")</f>
        <v>check listing</v>
      </c>
      <c r="AB1733" s="5" t="str">
        <f>HYPERLINK("https://propertylookup.dupagecounty.gov/Datalets/Datalet.aspx?UseSearch=no&amp;mode=sales&amp;pin=0930105053","sales record")</f>
        <v>sales record</v>
      </c>
      <c r="AC1733" t="s">
        <v>3</v>
      </c>
      <c r="AD1733">
        <v>41.752731</v>
      </c>
      <c r="AE1733">
        <v>-88.023028</v>
      </c>
      <c r="AF1733" s="5" t="str">
        <f>HYPERLINK("https://www.google.com/maps/search/?api=1&amp;query=41.752731,-88.023028","map")</f>
        <v>map</v>
      </c>
    </row>
    <row r="1734" spans="1:32">
      <c r="A1734" t="s">
        <v>1784</v>
      </c>
      <c r="B1734" t="s">
        <v>9344</v>
      </c>
      <c r="C1734" t="s">
        <v>15254</v>
      </c>
      <c r="D1734" t="s">
        <v>16199</v>
      </c>
      <c r="E1734" t="s">
        <v>16218</v>
      </c>
      <c r="F1734" t="s">
        <v>16221</v>
      </c>
      <c r="G1734" t="s">
        <v>16249</v>
      </c>
      <c r="H1734" t="s">
        <v>16249</v>
      </c>
      <c r="I1734" t="s">
        <v>16325</v>
      </c>
      <c r="J1734" t="s">
        <v>16385</v>
      </c>
      <c r="K1734">
        <v>0.207</v>
      </c>
      <c r="L1734">
        <v>8998</v>
      </c>
      <c r="M1734">
        <v>1648</v>
      </c>
      <c r="N1734" t="s">
        <v>16393</v>
      </c>
      <c r="O1734" s="4">
        <v>53299</v>
      </c>
      <c r="P1734" s="4">
        <v>105684</v>
      </c>
      <c r="Q1734" s="4">
        <v>158983</v>
      </c>
      <c r="R1734" s="4">
        <v>476949</v>
      </c>
      <c r="S1734" t="s">
        <v>18082</v>
      </c>
      <c r="T1734" s="6">
        <v>44841</v>
      </c>
      <c r="U1734" s="4">
        <v>414000</v>
      </c>
      <c r="V1734" t="s">
        <v>23739</v>
      </c>
      <c r="W1734" t="s">
        <v>24562</v>
      </c>
      <c r="X1734" t="s">
        <v>3</v>
      </c>
      <c r="AA1734" s="5" t="str">
        <f>HYPERLINK("https://www.zillow.com/homes/7231-TICONDEROGA-PL-DOWNERS-GROVE-IL-60516_rb/","check listing")</f>
        <v>check listing</v>
      </c>
      <c r="AB1734" s="5" t="str">
        <f>HYPERLINK("https://propertylookup.dupagecounty.gov/Datalets/Datalet.aspx?UseSearch=no&amp;mode=sales&amp;pin=0930105043","sales record")</f>
        <v>sales record</v>
      </c>
      <c r="AC1734" t="s">
        <v>3</v>
      </c>
      <c r="AD1734">
        <v>41.754769</v>
      </c>
      <c r="AE1734">
        <v>-88.02309200000001</v>
      </c>
      <c r="AF1734" s="5" t="str">
        <f>HYPERLINK("https://www.google.com/maps/search/?api=1&amp;query=41.754769,-88.023092","map")</f>
        <v>map</v>
      </c>
    </row>
    <row r="1735" spans="1:32">
      <c r="A1735" t="s">
        <v>1785</v>
      </c>
      <c r="B1735" t="s">
        <v>9345</v>
      </c>
      <c r="C1735" t="s">
        <v>15254</v>
      </c>
      <c r="D1735" t="s">
        <v>16199</v>
      </c>
      <c r="E1735" t="s">
        <v>16218</v>
      </c>
      <c r="F1735" t="s">
        <v>16221</v>
      </c>
      <c r="G1735" t="s">
        <v>16249</v>
      </c>
      <c r="H1735" t="s">
        <v>16249</v>
      </c>
      <c r="I1735" t="s">
        <v>16325</v>
      </c>
      <c r="J1735" t="s">
        <v>16385</v>
      </c>
      <c r="K1735">
        <v>0.207</v>
      </c>
      <c r="L1735">
        <v>8998</v>
      </c>
      <c r="M1735">
        <v>1598</v>
      </c>
      <c r="N1735" t="s">
        <v>16393</v>
      </c>
      <c r="O1735" s="4">
        <v>53299</v>
      </c>
      <c r="P1735" s="4">
        <v>107609</v>
      </c>
      <c r="Q1735" s="4">
        <v>160908</v>
      </c>
      <c r="R1735" s="4">
        <v>482724</v>
      </c>
      <c r="S1735" t="s">
        <v>18083</v>
      </c>
      <c r="T1735" s="6">
        <v>31594</v>
      </c>
      <c r="U1735" s="4">
        <v>122520</v>
      </c>
      <c r="X1735" t="s">
        <v>3</v>
      </c>
      <c r="AA1735" s="5" t="str">
        <f>HYPERLINK("https://www.zillow.com/homes/7223-TICONDEROGA-PL-DOWNERS-GROVE-IL-60516_rb/","check listing")</f>
        <v>check listing</v>
      </c>
      <c r="AB1735" s="5" t="str">
        <f>HYPERLINK("https://propertylookup.dupagecounty.gov/Datalets/Datalet.aspx?UseSearch=no&amp;mode=sales&amp;pin=0930105041","sales record")</f>
        <v>sales record</v>
      </c>
      <c r="AC1735" t="s">
        <v>3</v>
      </c>
      <c r="AD1735">
        <v>41.755164</v>
      </c>
      <c r="AE1735">
        <v>-88.023104</v>
      </c>
      <c r="AF1735" s="5" t="str">
        <f>HYPERLINK("https://www.google.com/maps/search/?api=1&amp;query=41.755164,-88.023104","map")</f>
        <v>map</v>
      </c>
    </row>
    <row r="1736" spans="1:32">
      <c r="A1736" t="s">
        <v>1786</v>
      </c>
      <c r="B1736" t="s">
        <v>9346</v>
      </c>
      <c r="C1736" t="s">
        <v>15254</v>
      </c>
      <c r="D1736" t="s">
        <v>16199</v>
      </c>
      <c r="E1736" t="s">
        <v>16218</v>
      </c>
      <c r="F1736" t="s">
        <v>16221</v>
      </c>
      <c r="G1736" t="s">
        <v>16249</v>
      </c>
      <c r="H1736" t="s">
        <v>16249</v>
      </c>
      <c r="I1736" t="s">
        <v>16325</v>
      </c>
      <c r="J1736" t="s">
        <v>16385</v>
      </c>
      <c r="K1736">
        <v>0.207</v>
      </c>
      <c r="L1736">
        <v>8998</v>
      </c>
      <c r="M1736">
        <v>2608</v>
      </c>
      <c r="N1736" t="s">
        <v>16393</v>
      </c>
      <c r="O1736" s="4">
        <v>53299</v>
      </c>
      <c r="P1736" s="4">
        <v>108501</v>
      </c>
      <c r="Q1736" s="4">
        <v>161800</v>
      </c>
      <c r="R1736" s="4">
        <v>485400</v>
      </c>
      <c r="S1736" t="s">
        <v>18084</v>
      </c>
      <c r="T1736" s="6">
        <v>29677</v>
      </c>
      <c r="U1736" s="4">
        <v>116932</v>
      </c>
      <c r="X1736" t="s">
        <v>3</v>
      </c>
      <c r="AA1736" s="5" t="str">
        <f>HYPERLINK("https://www.zillow.com/homes/7248-SPRINGSIDE-AVE-DOWNERS-GROVE-IL-60516_rb/","check listing")</f>
        <v>check listing</v>
      </c>
      <c r="AB1736" s="5" t="str">
        <f>HYPERLINK("https://propertylookup.dupagecounty.gov/Datalets/Datalet.aspx?UseSearch=no&amp;mode=sales&amp;pin=0930202017","sales record")</f>
        <v>sales record</v>
      </c>
      <c r="AC1736" t="s">
        <v>3</v>
      </c>
      <c r="AD1736">
        <v>41.755435</v>
      </c>
      <c r="AE1736">
        <v>-88.022352</v>
      </c>
      <c r="AF1736" s="5" t="str">
        <f>HYPERLINK("https://www.google.com/maps/search/?api=1&amp;query=41.755435,-88.022352","map")</f>
        <v>map</v>
      </c>
    </row>
    <row r="1737" spans="1:32">
      <c r="A1737" t="s">
        <v>1787</v>
      </c>
      <c r="B1737" t="s">
        <v>9347</v>
      </c>
      <c r="C1737" t="s">
        <v>15254</v>
      </c>
      <c r="D1737" t="s">
        <v>16199</v>
      </c>
      <c r="E1737" t="s">
        <v>16218</v>
      </c>
      <c r="F1737" t="s">
        <v>16221</v>
      </c>
      <c r="G1737" t="s">
        <v>16249</v>
      </c>
      <c r="H1737" t="s">
        <v>16249</v>
      </c>
      <c r="I1737" t="s">
        <v>16325</v>
      </c>
      <c r="J1737" t="s">
        <v>16385</v>
      </c>
      <c r="K1737">
        <v>0.207</v>
      </c>
      <c r="L1737">
        <v>8996</v>
      </c>
      <c r="M1737">
        <v>2313</v>
      </c>
      <c r="N1737" t="s">
        <v>16393</v>
      </c>
      <c r="O1737" s="4">
        <v>53299</v>
      </c>
      <c r="P1737" s="4">
        <v>120167</v>
      </c>
      <c r="Q1737" s="4">
        <v>173466</v>
      </c>
      <c r="R1737" s="4">
        <v>520398</v>
      </c>
      <c r="S1737" t="s">
        <v>18085</v>
      </c>
      <c r="T1737" s="6">
        <v>35551</v>
      </c>
      <c r="U1737" s="4">
        <v>231000</v>
      </c>
      <c r="X1737" t="s">
        <v>3</v>
      </c>
      <c r="AA1737" s="5" t="str">
        <f>HYPERLINK("https://www.zillow.com/homes/7232-SPRINGSIDE-AVE-DOWNERS-GROVE-IL-60516_rb/","check listing")</f>
        <v>check listing</v>
      </c>
      <c r="AB1737" s="5" t="str">
        <f>HYPERLINK("https://propertylookup.dupagecounty.gov/Datalets/Datalet.aspx?UseSearch=no&amp;mode=sales&amp;pin=0930202015","sales record")</f>
        <v>sales record</v>
      </c>
      <c r="AC1737" t="s">
        <v>3</v>
      </c>
      <c r="AD1737">
        <v>41.75583</v>
      </c>
      <c r="AE1737">
        <v>-88.022364</v>
      </c>
      <c r="AF1737" s="5" t="str">
        <f>HYPERLINK("https://www.google.com/maps/search/?api=1&amp;query=41.75583,-88.022364","map")</f>
        <v>map</v>
      </c>
    </row>
    <row r="1738" spans="1:32">
      <c r="A1738" t="s">
        <v>1788</v>
      </c>
      <c r="B1738" t="s">
        <v>9348</v>
      </c>
      <c r="C1738" t="s">
        <v>15254</v>
      </c>
      <c r="D1738" t="s">
        <v>16199</v>
      </c>
      <c r="E1738" t="s">
        <v>16218</v>
      </c>
      <c r="F1738" t="s">
        <v>16221</v>
      </c>
      <c r="G1738" t="s">
        <v>16249</v>
      </c>
      <c r="H1738" t="s">
        <v>16249</v>
      </c>
      <c r="I1738" t="s">
        <v>16325</v>
      </c>
      <c r="J1738" t="s">
        <v>16385</v>
      </c>
      <c r="K1738">
        <v>0.206</v>
      </c>
      <c r="L1738">
        <v>8995</v>
      </c>
      <c r="M1738">
        <v>2075</v>
      </c>
      <c r="N1738" t="s">
        <v>16393</v>
      </c>
      <c r="O1738" s="4">
        <v>53299</v>
      </c>
      <c r="P1738" s="4">
        <v>131376</v>
      </c>
      <c r="Q1738" s="4">
        <v>184675</v>
      </c>
      <c r="R1738" s="4">
        <v>554025</v>
      </c>
      <c r="S1738" t="s">
        <v>18086</v>
      </c>
      <c r="T1738" s="6">
        <v>30468</v>
      </c>
      <c r="U1738" s="4">
        <v>121000</v>
      </c>
      <c r="X1738" t="s">
        <v>3</v>
      </c>
      <c r="AA1738" s="5" t="str">
        <f>HYPERLINK("https://www.zillow.com/homes/7216-SPRINGSIDE-AVE-DOWNERS-GROVE-IL-60516_rb/","check listing")</f>
        <v>check listing</v>
      </c>
      <c r="AB1738" s="5" t="str">
        <f>HYPERLINK("https://propertylookup.dupagecounty.gov/Datalets/Datalet.aspx?UseSearch=no&amp;mode=sales&amp;pin=0930202013","sales record")</f>
        <v>sales record</v>
      </c>
      <c r="AC1738" t="s">
        <v>3</v>
      </c>
      <c r="AD1738">
        <v>41.756225</v>
      </c>
      <c r="AE1738">
        <v>-88.02237700000001</v>
      </c>
      <c r="AF1738" s="5" t="str">
        <f>HYPERLINK("https://www.google.com/maps/search/?api=1&amp;query=41.756225,-88.022377","map")</f>
        <v>map</v>
      </c>
    </row>
    <row r="1739" spans="1:32">
      <c r="A1739" t="s">
        <v>1789</v>
      </c>
      <c r="B1739" t="s">
        <v>9349</v>
      </c>
      <c r="C1739" t="s">
        <v>15254</v>
      </c>
      <c r="D1739" t="s">
        <v>16199</v>
      </c>
      <c r="E1739" t="s">
        <v>16218</v>
      </c>
      <c r="F1739" t="s">
        <v>16221</v>
      </c>
      <c r="G1739" t="s">
        <v>16249</v>
      </c>
      <c r="H1739" t="s">
        <v>16249</v>
      </c>
      <c r="I1739" t="s">
        <v>16325</v>
      </c>
      <c r="J1739" t="s">
        <v>16385</v>
      </c>
      <c r="K1739">
        <v>0.206</v>
      </c>
      <c r="L1739">
        <v>8985</v>
      </c>
      <c r="M1739">
        <v>1901</v>
      </c>
      <c r="N1739" t="s">
        <v>16393</v>
      </c>
      <c r="O1739" s="4">
        <v>51128</v>
      </c>
      <c r="P1739" s="4">
        <v>114099</v>
      </c>
      <c r="Q1739" s="4">
        <v>165227</v>
      </c>
      <c r="R1739" s="4">
        <v>495681</v>
      </c>
      <c r="S1739" t="s">
        <v>18087</v>
      </c>
      <c r="T1739" s="6">
        <v>31199</v>
      </c>
      <c r="U1739" s="4">
        <v>126652</v>
      </c>
      <c r="X1739" t="s">
        <v>3</v>
      </c>
      <c r="AA1739" s="5" t="str">
        <f>HYPERLINK("https://www.zillow.com/homes/1717-HALL-PL-DOWNERS-GROVE-IL-60516_rb/","check listing")</f>
        <v>check listing</v>
      </c>
      <c r="AB1739" s="5" t="str">
        <f>HYPERLINK("https://propertylookup.dupagecounty.gov/Datalets/Datalet.aspx?UseSearch=no&amp;mode=sales&amp;pin=0930103046","sales record")</f>
        <v>sales record</v>
      </c>
      <c r="AC1739" t="s">
        <v>3</v>
      </c>
      <c r="AD1739">
        <v>41.752151</v>
      </c>
      <c r="AE1739">
        <v>-88.02617100000001</v>
      </c>
      <c r="AF1739" s="5" t="str">
        <f>HYPERLINK("https://www.google.com/maps/search/?api=1&amp;query=41.752151,-88.026171","map")</f>
        <v>map</v>
      </c>
    </row>
    <row r="1740" spans="1:32">
      <c r="A1740" t="s">
        <v>1790</v>
      </c>
      <c r="B1740" t="s">
        <v>9350</v>
      </c>
      <c r="C1740" t="s">
        <v>15316</v>
      </c>
      <c r="D1740" t="s">
        <v>16199</v>
      </c>
      <c r="E1740" t="s">
        <v>16218</v>
      </c>
      <c r="F1740" t="s">
        <v>16221</v>
      </c>
      <c r="G1740" t="s">
        <v>16249</v>
      </c>
      <c r="H1740" t="s">
        <v>16249</v>
      </c>
      <c r="I1740" t="s">
        <v>16325</v>
      </c>
      <c r="J1740" t="s">
        <v>16385</v>
      </c>
      <c r="K1740">
        <v>0.205</v>
      </c>
      <c r="L1740">
        <v>8928</v>
      </c>
      <c r="M1740">
        <v>1746</v>
      </c>
      <c r="N1740" t="s">
        <v>16393</v>
      </c>
      <c r="O1740" s="4">
        <v>52137</v>
      </c>
      <c r="P1740" s="4">
        <v>117491</v>
      </c>
      <c r="Q1740" s="4">
        <v>169628</v>
      </c>
      <c r="R1740" s="4">
        <v>508884</v>
      </c>
      <c r="S1740" t="s">
        <v>18088</v>
      </c>
      <c r="T1740" s="6">
        <v>41821</v>
      </c>
      <c r="U1740" s="4">
        <v>265000</v>
      </c>
      <c r="V1740" t="s">
        <v>23739</v>
      </c>
      <c r="W1740" t="s">
        <v>24563</v>
      </c>
      <c r="X1740" t="s">
        <v>3</v>
      </c>
      <c r="AA1740" s="5" t="str">
        <f>HYPERLINK("https://www.zillow.com/homes/1715-BORMAN-PL-DOWNERS-GROVE-IL-605163743_rb/","check listing")</f>
        <v>check listing</v>
      </c>
      <c r="AB1740" s="5" t="str">
        <f>HYPERLINK("https://propertylookup.dupagecounty.gov/Datalets/Datalet.aspx?UseSearch=no&amp;mode=sales&amp;pin=0930103058","sales record")</f>
        <v>sales record</v>
      </c>
      <c r="AC1740" t="s">
        <v>3</v>
      </c>
      <c r="AD1740">
        <v>41.751312</v>
      </c>
      <c r="AE1740">
        <v>-88.025892</v>
      </c>
      <c r="AF1740" s="5" t="str">
        <f>HYPERLINK("https://www.google.com/maps/search/?api=1&amp;query=41.751312,-88.025892","map")</f>
        <v>map</v>
      </c>
    </row>
    <row r="1741" spans="1:32">
      <c r="A1741" t="s">
        <v>1791</v>
      </c>
      <c r="B1741" t="s">
        <v>9351</v>
      </c>
      <c r="C1741" t="s">
        <v>15254</v>
      </c>
      <c r="D1741" t="s">
        <v>16199</v>
      </c>
      <c r="E1741" t="s">
        <v>16218</v>
      </c>
      <c r="F1741" t="s">
        <v>16221</v>
      </c>
      <c r="G1741" t="s">
        <v>16249</v>
      </c>
      <c r="H1741" t="s">
        <v>16249</v>
      </c>
      <c r="I1741" t="s">
        <v>16325</v>
      </c>
      <c r="J1741" t="s">
        <v>16385</v>
      </c>
      <c r="K1741">
        <v>0.205</v>
      </c>
      <c r="L1741">
        <v>8927</v>
      </c>
      <c r="M1741">
        <v>1711</v>
      </c>
      <c r="N1741" t="s">
        <v>16393</v>
      </c>
      <c r="O1741" s="4">
        <v>52137</v>
      </c>
      <c r="P1741" s="4">
        <v>116094</v>
      </c>
      <c r="Q1741" s="4">
        <v>168231</v>
      </c>
      <c r="R1741" s="4">
        <v>504693</v>
      </c>
      <c r="S1741" t="s">
        <v>18089</v>
      </c>
      <c r="T1741" s="6">
        <v>35977</v>
      </c>
      <c r="U1741" s="4">
        <v>202000</v>
      </c>
      <c r="X1741" t="s">
        <v>3</v>
      </c>
      <c r="AA1741" s="5" t="str">
        <f>HYPERLINK("https://www.zillow.com/homes/1719-BORMAN-PL-DOWNERS-GROVE-IL-60516_rb/","check listing")</f>
        <v>check listing</v>
      </c>
      <c r="AB1741" s="5" t="str">
        <f>HYPERLINK("https://propertylookup.dupagecounty.gov/Datalets/Datalet.aspx?UseSearch=no&amp;mode=sales&amp;pin=0930103057","sales record")</f>
        <v>sales record</v>
      </c>
      <c r="AC1741" t="s">
        <v>3</v>
      </c>
      <c r="AD1741">
        <v>41.751307</v>
      </c>
      <c r="AE1741">
        <v>-88.026156</v>
      </c>
      <c r="AF1741" s="5" t="str">
        <f>HYPERLINK("https://www.google.com/maps/search/?api=1&amp;query=41.751307,-88.026156","map")</f>
        <v>map</v>
      </c>
    </row>
    <row r="1742" spans="1:32">
      <c r="A1742" t="s">
        <v>1792</v>
      </c>
      <c r="B1742" t="s">
        <v>9352</v>
      </c>
      <c r="C1742" t="s">
        <v>15254</v>
      </c>
      <c r="D1742" t="s">
        <v>16199</v>
      </c>
      <c r="E1742" t="s">
        <v>16218</v>
      </c>
      <c r="F1742" t="s">
        <v>16221</v>
      </c>
      <c r="G1742" t="s">
        <v>16249</v>
      </c>
      <c r="H1742" t="s">
        <v>16249</v>
      </c>
      <c r="I1742" t="s">
        <v>16325</v>
      </c>
      <c r="J1742" t="s">
        <v>16385</v>
      </c>
      <c r="K1742">
        <v>0.205</v>
      </c>
      <c r="L1742">
        <v>8919</v>
      </c>
      <c r="M1742">
        <v>1907</v>
      </c>
      <c r="N1742" t="s">
        <v>16393</v>
      </c>
      <c r="O1742" s="4">
        <v>51128</v>
      </c>
      <c r="P1742" s="4">
        <v>113959</v>
      </c>
      <c r="Q1742" s="4">
        <v>165087</v>
      </c>
      <c r="R1742" s="4">
        <v>495261</v>
      </c>
      <c r="S1742" t="s">
        <v>18090</v>
      </c>
      <c r="T1742" s="6">
        <v>31778</v>
      </c>
      <c r="U1742" s="4">
        <v>139694</v>
      </c>
      <c r="X1742" t="s">
        <v>3</v>
      </c>
      <c r="AA1742" s="5" t="str">
        <f>HYPERLINK("https://www.zillow.com/homes/7232-POWELL-PL-DOWNERS-GROVE-IL-60516_rb/","check listing")</f>
        <v>check listing</v>
      </c>
      <c r="AB1742" s="5" t="str">
        <f>HYPERLINK("https://propertylookup.dupagecounty.gov/Datalets/Datalet.aspx?UseSearch=no&amp;mode=sales&amp;pin=0930204033","sales record")</f>
        <v>sales record</v>
      </c>
      <c r="AC1742" t="s">
        <v>3</v>
      </c>
      <c r="AD1742">
        <v>41.755446</v>
      </c>
      <c r="AE1742">
        <v>-88.017399</v>
      </c>
      <c r="AF1742" s="5" t="str">
        <f>HYPERLINK("https://www.google.com/maps/search/?api=1&amp;query=41.755446,-88.017399","map")</f>
        <v>map</v>
      </c>
    </row>
    <row r="1743" spans="1:32">
      <c r="A1743" t="s">
        <v>1793</v>
      </c>
      <c r="B1743" t="s">
        <v>9353</v>
      </c>
      <c r="C1743" t="s">
        <v>15254</v>
      </c>
      <c r="D1743" t="s">
        <v>16199</v>
      </c>
      <c r="E1743" t="s">
        <v>16218</v>
      </c>
      <c r="F1743" t="s">
        <v>16221</v>
      </c>
      <c r="G1743" t="s">
        <v>16249</v>
      </c>
      <c r="H1743" t="s">
        <v>16249</v>
      </c>
      <c r="I1743" t="s">
        <v>16325</v>
      </c>
      <c r="J1743" t="s">
        <v>16385</v>
      </c>
      <c r="K1743">
        <v>0.204</v>
      </c>
      <c r="L1743">
        <v>8884</v>
      </c>
      <c r="M1743">
        <v>1159</v>
      </c>
      <c r="N1743" t="s">
        <v>16393</v>
      </c>
      <c r="O1743" s="4">
        <v>50142</v>
      </c>
      <c r="P1743" s="4">
        <v>117984</v>
      </c>
      <c r="Q1743" s="4">
        <v>168126</v>
      </c>
      <c r="R1743" s="4">
        <v>504378</v>
      </c>
      <c r="S1743" t="s">
        <v>18091</v>
      </c>
      <c r="T1743" s="6">
        <v>32143</v>
      </c>
      <c r="U1743" s="4">
        <v>153017</v>
      </c>
      <c r="X1743" t="s">
        <v>3</v>
      </c>
      <c r="AA1743" s="5" t="str">
        <f>HYPERLINK("https://www.zillow.com/homes/1321-HAWKINS-AVE-DOWNERS-GROVE-IL-60516_rb/","check listing")</f>
        <v>check listing</v>
      </c>
      <c r="AB1743" s="5" t="str">
        <f>HYPERLINK("https://propertylookup.dupagecounty.gov/Datalets/Datalet.aspx?UseSearch=no&amp;mode=sales&amp;pin=0930204040","sales record")</f>
        <v>sales record</v>
      </c>
      <c r="AC1743" t="s">
        <v>3</v>
      </c>
      <c r="AD1743">
        <v>41.754879</v>
      </c>
      <c r="AE1743">
        <v>-88.01608899999999</v>
      </c>
      <c r="AF1743" s="5" t="str">
        <f>HYPERLINK("https://www.google.com/maps/search/?api=1&amp;query=41.754879,-88.016089","map")</f>
        <v>map</v>
      </c>
    </row>
    <row r="1744" spans="1:32">
      <c r="A1744" t="s">
        <v>1794</v>
      </c>
      <c r="B1744" t="s">
        <v>9354</v>
      </c>
      <c r="C1744" t="s">
        <v>15254</v>
      </c>
      <c r="D1744" t="s">
        <v>16199</v>
      </c>
      <c r="E1744" t="s">
        <v>16218</v>
      </c>
      <c r="F1744" t="s">
        <v>16221</v>
      </c>
      <c r="G1744" t="s">
        <v>16249</v>
      </c>
      <c r="H1744" t="s">
        <v>16249</v>
      </c>
      <c r="I1744" t="s">
        <v>16325</v>
      </c>
      <c r="J1744" t="s">
        <v>16385</v>
      </c>
      <c r="K1744">
        <v>0.204</v>
      </c>
      <c r="L1744">
        <v>8872</v>
      </c>
      <c r="M1744">
        <v>2767</v>
      </c>
      <c r="N1744" t="s">
        <v>16393</v>
      </c>
      <c r="O1744" s="4">
        <v>52866</v>
      </c>
      <c r="P1744" s="4">
        <v>120566</v>
      </c>
      <c r="Q1744" s="4">
        <v>173432</v>
      </c>
      <c r="R1744" s="4">
        <v>520296</v>
      </c>
      <c r="S1744" t="s">
        <v>18092</v>
      </c>
      <c r="T1744" s="6">
        <v>29160</v>
      </c>
      <c r="U1744" s="4">
        <v>110942</v>
      </c>
      <c r="X1744" t="s">
        <v>3</v>
      </c>
      <c r="AA1744" s="5" t="str">
        <f>HYPERLINK("https://www.zillow.com/homes/7117-DEXTER-RD-DOWNERS-GROVE-IL-60516_rb/","check listing")</f>
        <v>check listing</v>
      </c>
      <c r="AB1744" s="5" t="str">
        <f>HYPERLINK("https://propertylookup.dupagecounty.gov/Datalets/Datalet.aspx?UseSearch=no&amp;mode=sales&amp;pin=0919418023","sales record")</f>
        <v>sales record</v>
      </c>
      <c r="AC1744" t="s">
        <v>3</v>
      </c>
      <c r="AD1744">
        <v>41.758673</v>
      </c>
      <c r="AE1744">
        <v>-88.020326</v>
      </c>
      <c r="AF1744" s="5" t="str">
        <f>HYPERLINK("https://www.google.com/maps/search/?api=1&amp;query=41.758673,-88.020326","map")</f>
        <v>map</v>
      </c>
    </row>
    <row r="1745" spans="1:32">
      <c r="A1745" t="s">
        <v>1795</v>
      </c>
      <c r="B1745" t="s">
        <v>9355</v>
      </c>
      <c r="C1745" t="s">
        <v>15254</v>
      </c>
      <c r="D1745" t="s">
        <v>16199</v>
      </c>
      <c r="E1745" t="s">
        <v>16218</v>
      </c>
      <c r="F1745" t="s">
        <v>16221</v>
      </c>
      <c r="G1745" t="s">
        <v>16249</v>
      </c>
      <c r="H1745" t="s">
        <v>16249</v>
      </c>
      <c r="I1745" t="s">
        <v>16325</v>
      </c>
      <c r="J1745" t="s">
        <v>16385</v>
      </c>
      <c r="K1745">
        <v>0.203</v>
      </c>
      <c r="L1745">
        <v>8864</v>
      </c>
      <c r="M1745">
        <v>2698</v>
      </c>
      <c r="N1745" t="s">
        <v>16393</v>
      </c>
      <c r="O1745" s="4">
        <v>59226</v>
      </c>
      <c r="P1745" s="4">
        <v>109017</v>
      </c>
      <c r="Q1745" s="4">
        <v>168243</v>
      </c>
      <c r="R1745" s="4">
        <v>504729</v>
      </c>
      <c r="S1745" t="s">
        <v>18093</v>
      </c>
      <c r="T1745" s="6">
        <v>35004</v>
      </c>
      <c r="U1745" s="4">
        <v>190000</v>
      </c>
      <c r="X1745" t="s">
        <v>3</v>
      </c>
      <c r="AA1745" s="5" t="str">
        <f>HYPERLINK("https://www.zillow.com/homes/1190-STANFORD-AVE-DOWNERS-GROVE-IL-60516_rb/","check listing")</f>
        <v>check listing</v>
      </c>
      <c r="AB1745" s="5" t="str">
        <f>HYPERLINK("https://propertylookup.dupagecounty.gov/Datalets/Datalet.aspx?UseSearch=no&amp;mode=sales&amp;pin=0929115001","sales record")</f>
        <v>sales record</v>
      </c>
      <c r="AC1745" t="s">
        <v>3</v>
      </c>
      <c r="AD1745">
        <v>41.758184</v>
      </c>
      <c r="AE1745">
        <v>-88.01269000000001</v>
      </c>
      <c r="AF1745" s="5" t="str">
        <f>HYPERLINK("https://www.google.com/maps/search/?api=1&amp;query=41.758184,-88.01269","map")</f>
        <v>map</v>
      </c>
    </row>
    <row r="1746" spans="1:32">
      <c r="A1746" t="s">
        <v>1796</v>
      </c>
      <c r="B1746" t="s">
        <v>9356</v>
      </c>
      <c r="C1746" t="s">
        <v>15349</v>
      </c>
      <c r="D1746" t="s">
        <v>16199</v>
      </c>
      <c r="E1746" t="s">
        <v>16218</v>
      </c>
      <c r="F1746" t="s">
        <v>16221</v>
      </c>
      <c r="G1746" t="s">
        <v>16249</v>
      </c>
      <c r="H1746" t="s">
        <v>16249</v>
      </c>
      <c r="I1746" t="s">
        <v>16325</v>
      </c>
      <c r="J1746" t="s">
        <v>16385</v>
      </c>
      <c r="K1746">
        <v>0.203</v>
      </c>
      <c r="L1746">
        <v>8851</v>
      </c>
      <c r="M1746">
        <v>1654</v>
      </c>
      <c r="N1746" t="s">
        <v>16393</v>
      </c>
      <c r="O1746" s="4">
        <v>51692</v>
      </c>
      <c r="P1746" s="4">
        <v>100566</v>
      </c>
      <c r="Q1746" s="4">
        <v>152258</v>
      </c>
      <c r="R1746" s="4">
        <v>456774</v>
      </c>
      <c r="S1746" t="s">
        <v>18094</v>
      </c>
      <c r="T1746" s="6">
        <v>40148</v>
      </c>
      <c r="U1746" s="4">
        <v>38000</v>
      </c>
      <c r="V1746" t="s">
        <v>23742</v>
      </c>
      <c r="W1746" t="s">
        <v>18094</v>
      </c>
      <c r="X1746" t="s">
        <v>3</v>
      </c>
      <c r="AA1746" s="5" t="str">
        <f>HYPERLINK("https://www.zillow.com/homes/7308-DEVEREUX-RD-DOWNERS-GROVE-IL-605163738_rb/","check listing")</f>
        <v>check listing</v>
      </c>
      <c r="AB1746" s="5" t="str">
        <f>HYPERLINK("https://propertylookup.dupagecounty.gov/Datalets/Datalet.aspx?UseSearch=no&amp;mode=sales&amp;pin=0930106018","sales record")</f>
        <v>sales record</v>
      </c>
      <c r="AC1746" t="s">
        <v>3</v>
      </c>
      <c r="AD1746">
        <v>41.754145</v>
      </c>
      <c r="AE1746">
        <v>-88.025008</v>
      </c>
      <c r="AF1746" s="5" t="str">
        <f>HYPERLINK("https://www.google.com/maps/search/?api=1&amp;query=41.754145,-88.025008","map")</f>
        <v>map</v>
      </c>
    </row>
    <row r="1747" spans="1:32">
      <c r="A1747" t="s">
        <v>1797</v>
      </c>
      <c r="B1747" t="s">
        <v>9357</v>
      </c>
      <c r="C1747" t="s">
        <v>15254</v>
      </c>
      <c r="D1747" t="s">
        <v>16199</v>
      </c>
      <c r="E1747" t="s">
        <v>16218</v>
      </c>
      <c r="F1747" t="s">
        <v>16221</v>
      </c>
      <c r="G1747" t="s">
        <v>16249</v>
      </c>
      <c r="H1747" t="s">
        <v>16249</v>
      </c>
      <c r="I1747" t="s">
        <v>16325</v>
      </c>
      <c r="J1747" t="s">
        <v>16385</v>
      </c>
      <c r="K1747">
        <v>0.203</v>
      </c>
      <c r="L1747">
        <v>8851</v>
      </c>
      <c r="M1747">
        <v>943</v>
      </c>
      <c r="N1747" t="s">
        <v>16393</v>
      </c>
      <c r="O1747" s="4">
        <v>52854</v>
      </c>
      <c r="P1747" s="4">
        <v>90566</v>
      </c>
      <c r="Q1747" s="4">
        <v>143420</v>
      </c>
      <c r="R1747" s="4">
        <v>430260</v>
      </c>
      <c r="S1747" t="s">
        <v>18095</v>
      </c>
      <c r="T1747" s="6">
        <v>34912</v>
      </c>
      <c r="U1747" s="4">
        <v>161400</v>
      </c>
      <c r="X1747" t="s">
        <v>3</v>
      </c>
      <c r="AA1747" s="5" t="str">
        <f>HYPERLINK("https://www.zillow.com/homes/7312-DEVEREUX-RD-DOWNERS-GROVE-IL-60516_rb/","check listing")</f>
        <v>check listing</v>
      </c>
      <c r="AB1747" s="5" t="str">
        <f>HYPERLINK("https://propertylookup.dupagecounty.gov/Datalets/Datalet.aspx?UseSearch=no&amp;mode=sales&amp;pin=0930106019","sales record")</f>
        <v>sales record</v>
      </c>
      <c r="AC1747" t="s">
        <v>3</v>
      </c>
      <c r="AD1747">
        <v>41.75399</v>
      </c>
      <c r="AE1747">
        <v>-88.0252</v>
      </c>
      <c r="AF1747" s="5" t="str">
        <f>HYPERLINK("https://www.google.com/maps/search/?api=1&amp;query=41.75399,-88.0252","map")</f>
        <v>map</v>
      </c>
    </row>
    <row r="1748" spans="1:32">
      <c r="A1748" t="s">
        <v>1798</v>
      </c>
      <c r="B1748" t="s">
        <v>9358</v>
      </c>
      <c r="C1748" t="s">
        <v>15254</v>
      </c>
      <c r="D1748" t="s">
        <v>16199</v>
      </c>
      <c r="E1748" t="s">
        <v>16218</v>
      </c>
      <c r="F1748" t="s">
        <v>16221</v>
      </c>
      <c r="G1748" t="s">
        <v>16249</v>
      </c>
      <c r="H1748" t="s">
        <v>16249</v>
      </c>
      <c r="I1748" t="s">
        <v>16325</v>
      </c>
      <c r="J1748" t="s">
        <v>16385</v>
      </c>
      <c r="K1748">
        <v>0.203</v>
      </c>
      <c r="L1748">
        <v>8849</v>
      </c>
      <c r="M1748">
        <v>1911</v>
      </c>
      <c r="N1748" t="s">
        <v>16393</v>
      </c>
      <c r="O1748" s="4">
        <v>51891</v>
      </c>
      <c r="P1748" s="4">
        <v>118336</v>
      </c>
      <c r="Q1748" s="4">
        <v>170227</v>
      </c>
      <c r="R1748" s="4">
        <v>510681</v>
      </c>
      <c r="S1748" t="s">
        <v>18096</v>
      </c>
      <c r="T1748" s="6">
        <v>33756</v>
      </c>
      <c r="U1748" s="4">
        <v>177426</v>
      </c>
      <c r="X1748" t="s">
        <v>3</v>
      </c>
      <c r="AA1748" s="5" t="str">
        <f>HYPERLINK("https://www.zillow.com/homes/1723-BORMAN-PL-DOWNERS-GROVE-IL-60516_rb/","check listing")</f>
        <v>check listing</v>
      </c>
      <c r="AB1748" s="5" t="str">
        <f>HYPERLINK("https://propertylookup.dupagecounty.gov/Datalets/Datalet.aspx?UseSearch=no&amp;mode=sales&amp;pin=0930103056","sales record")</f>
        <v>sales record</v>
      </c>
      <c r="AC1748" t="s">
        <v>3</v>
      </c>
      <c r="AD1748">
        <v>41.751289</v>
      </c>
      <c r="AE1748">
        <v>-88.026419</v>
      </c>
      <c r="AF1748" s="5" t="str">
        <f>HYPERLINK("https://www.google.com/maps/search/?api=1&amp;query=41.751289,-88.026419","map")</f>
        <v>map</v>
      </c>
    </row>
    <row r="1749" spans="1:32">
      <c r="A1749" t="s">
        <v>1799</v>
      </c>
      <c r="B1749" t="s">
        <v>9359</v>
      </c>
      <c r="C1749" t="s">
        <v>15254</v>
      </c>
      <c r="D1749" t="s">
        <v>16199</v>
      </c>
      <c r="E1749" t="s">
        <v>16218</v>
      </c>
      <c r="F1749" t="s">
        <v>16221</v>
      </c>
      <c r="G1749" t="s">
        <v>16249</v>
      </c>
      <c r="H1749" t="s">
        <v>16249</v>
      </c>
      <c r="I1749" t="s">
        <v>16325</v>
      </c>
      <c r="J1749" t="s">
        <v>16385</v>
      </c>
      <c r="K1749">
        <v>0.203</v>
      </c>
      <c r="L1749">
        <v>8823</v>
      </c>
      <c r="M1749">
        <v>2059</v>
      </c>
      <c r="N1749" t="s">
        <v>16393</v>
      </c>
      <c r="O1749" s="4">
        <v>51891</v>
      </c>
      <c r="P1749" s="4">
        <v>101235</v>
      </c>
      <c r="Q1749" s="4">
        <v>153126</v>
      </c>
      <c r="R1749" s="4">
        <v>459378</v>
      </c>
      <c r="S1749" t="s">
        <v>18097</v>
      </c>
      <c r="T1749" s="6">
        <v>29007</v>
      </c>
      <c r="U1749" s="4">
        <v>95390</v>
      </c>
      <c r="X1749" t="s">
        <v>3</v>
      </c>
      <c r="AA1749" s="5" t="str">
        <f>HYPERLINK("https://www.zillow.com/homes/7157-DEXTER-RD-DOWNERS-GROVE-IL-60516_rb/","check listing")</f>
        <v>check listing</v>
      </c>
      <c r="AB1749" s="5" t="str">
        <f>HYPERLINK("https://propertylookup.dupagecounty.gov/Datalets/Datalet.aspx?UseSearch=no&amp;mode=sales&amp;pin=0930204005","sales record")</f>
        <v>sales record</v>
      </c>
      <c r="AC1749" t="s">
        <v>3</v>
      </c>
      <c r="AD1749">
        <v>41.757792</v>
      </c>
      <c r="AE1749">
        <v>-88.01909499999999</v>
      </c>
      <c r="AF1749" s="5" t="str">
        <f>HYPERLINK("https://www.google.com/maps/search/?api=1&amp;query=41.757792,-88.019095","map")</f>
        <v>map</v>
      </c>
    </row>
    <row r="1750" spans="1:32">
      <c r="A1750" t="s">
        <v>1800</v>
      </c>
      <c r="B1750" t="s">
        <v>9360</v>
      </c>
      <c r="C1750" t="s">
        <v>15254</v>
      </c>
      <c r="D1750" t="s">
        <v>16199</v>
      </c>
      <c r="E1750" t="s">
        <v>16218</v>
      </c>
      <c r="F1750" t="s">
        <v>16221</v>
      </c>
      <c r="G1750" t="s">
        <v>16249</v>
      </c>
      <c r="H1750" t="s">
        <v>16249</v>
      </c>
      <c r="I1750" t="s">
        <v>16325</v>
      </c>
      <c r="J1750" t="s">
        <v>16385</v>
      </c>
      <c r="K1750">
        <v>0.202</v>
      </c>
      <c r="L1750">
        <v>8796</v>
      </c>
      <c r="M1750">
        <v>1768</v>
      </c>
      <c r="N1750" t="s">
        <v>16393</v>
      </c>
      <c r="O1750" s="4">
        <v>53100</v>
      </c>
      <c r="P1750" s="4">
        <v>90272</v>
      </c>
      <c r="Q1750" s="4">
        <v>143372</v>
      </c>
      <c r="R1750" s="4">
        <v>430116</v>
      </c>
      <c r="S1750" t="s">
        <v>18098</v>
      </c>
      <c r="X1750" t="s">
        <v>3</v>
      </c>
      <c r="AA1750" s="5" t="str">
        <f>HYPERLINK("https://www.zillow.com/homes/7256-SPRINGSIDE-AVE-DOWNERS-GROVE-IL-60516_rb/","check listing")</f>
        <v>check listing</v>
      </c>
      <c r="AB1750" s="5" t="str">
        <f>HYPERLINK("https://propertylookup.dupagecounty.gov/Datalets/Datalet.aspx?UseSearch=no&amp;mode=sales&amp;pin=0930202018","sales record")</f>
        <v>sales record</v>
      </c>
      <c r="AC1750" t="s">
        <v>3</v>
      </c>
      <c r="AD1750">
        <v>41.755221</v>
      </c>
      <c r="AE1750">
        <v>-88.02236600000001</v>
      </c>
      <c r="AF1750" s="5" t="str">
        <f>HYPERLINK("https://www.google.com/maps/search/?api=1&amp;query=41.755221,-88.022366","map")</f>
        <v>map</v>
      </c>
    </row>
    <row r="1751" spans="1:32">
      <c r="A1751" t="s">
        <v>1801</v>
      </c>
      <c r="B1751" t="s">
        <v>9361</v>
      </c>
      <c r="C1751" t="s">
        <v>15254</v>
      </c>
      <c r="D1751" t="s">
        <v>16199</v>
      </c>
      <c r="E1751" t="s">
        <v>16218</v>
      </c>
      <c r="F1751" t="s">
        <v>16221</v>
      </c>
      <c r="G1751" t="s">
        <v>16249</v>
      </c>
      <c r="H1751" t="s">
        <v>16249</v>
      </c>
      <c r="I1751" t="s">
        <v>16325</v>
      </c>
      <c r="J1751" t="s">
        <v>16385</v>
      </c>
      <c r="K1751">
        <v>0.201</v>
      </c>
      <c r="L1751">
        <v>8754</v>
      </c>
      <c r="M1751">
        <v>1873</v>
      </c>
      <c r="N1751" t="s">
        <v>16393</v>
      </c>
      <c r="O1751" s="4">
        <v>52032</v>
      </c>
      <c r="P1751" s="4">
        <v>115085</v>
      </c>
      <c r="Q1751" s="4">
        <v>167117</v>
      </c>
      <c r="R1751" s="4">
        <v>501351</v>
      </c>
      <c r="S1751" t="s">
        <v>18099</v>
      </c>
      <c r="T1751" s="6">
        <v>32660</v>
      </c>
      <c r="U1751" s="4">
        <v>179986</v>
      </c>
      <c r="X1751" t="s">
        <v>3</v>
      </c>
      <c r="AA1751" s="5" t="str">
        <f>HYPERLINK("https://www.zillow.com/homes/7188-SPRINGSIDE-AVE-DOWNERS-GROVE-IL-60516_rb/","check listing")</f>
        <v>check listing</v>
      </c>
      <c r="AB1751" s="5" t="str">
        <f>HYPERLINK("https://propertylookup.dupagecounty.gov/Datalets/Datalet.aspx?UseSearch=no&amp;mode=sales&amp;pin=0930202009","sales record")</f>
        <v>sales record</v>
      </c>
      <c r="AC1751" t="s">
        <v>3</v>
      </c>
      <c r="AD1751">
        <v>41.756968</v>
      </c>
      <c r="AE1751">
        <v>-88.021991</v>
      </c>
      <c r="AF1751" s="5" t="str">
        <f>HYPERLINK("https://www.google.com/maps/search/?api=1&amp;query=41.756968,-88.021991","map")</f>
        <v>map</v>
      </c>
    </row>
    <row r="1752" spans="1:32">
      <c r="A1752" t="s">
        <v>1802</v>
      </c>
      <c r="B1752" t="s">
        <v>9362</v>
      </c>
      <c r="C1752" t="s">
        <v>15254</v>
      </c>
      <c r="D1752" t="s">
        <v>16199</v>
      </c>
      <c r="E1752" t="s">
        <v>16218</v>
      </c>
      <c r="F1752" t="s">
        <v>16221</v>
      </c>
      <c r="G1752" t="s">
        <v>16249</v>
      </c>
      <c r="H1752" t="s">
        <v>16249</v>
      </c>
      <c r="I1752" t="s">
        <v>16325</v>
      </c>
      <c r="J1752" t="s">
        <v>16385</v>
      </c>
      <c r="K1752">
        <v>0.2</v>
      </c>
      <c r="L1752">
        <v>8721</v>
      </c>
      <c r="M1752">
        <v>1910</v>
      </c>
      <c r="N1752" t="s">
        <v>16393</v>
      </c>
      <c r="O1752" s="4">
        <v>52289</v>
      </c>
      <c r="P1752" s="4">
        <v>116693</v>
      </c>
      <c r="Q1752" s="4">
        <v>168982</v>
      </c>
      <c r="R1752" s="4">
        <v>506946</v>
      </c>
      <c r="S1752" t="s">
        <v>18100</v>
      </c>
      <c r="T1752" s="6">
        <v>31868</v>
      </c>
      <c r="U1752" s="4">
        <v>143322</v>
      </c>
      <c r="X1752" t="s">
        <v>3</v>
      </c>
      <c r="AA1752" s="5" t="str">
        <f>HYPERLINK("https://www.zillow.com/homes/1726-HAWKINS-AVE-DOWNERS-GROVE-IL-60516_rb/","check listing")</f>
        <v>check listing</v>
      </c>
      <c r="AB1752" s="5" t="str">
        <f>HYPERLINK("https://propertylookup.dupagecounty.gov/Datalets/Datalet.aspx?UseSearch=no&amp;mode=sales&amp;pin=0930103020","sales record")</f>
        <v>sales record</v>
      </c>
      <c r="AC1752" t="s">
        <v>3</v>
      </c>
      <c r="AD1752">
        <v>41.755578</v>
      </c>
      <c r="AE1752">
        <v>-88.026713</v>
      </c>
      <c r="AF1752" s="5" t="str">
        <f>HYPERLINK("https://www.google.com/maps/search/?api=1&amp;query=41.755578,-88.026713","map")</f>
        <v>map</v>
      </c>
    </row>
    <row r="1753" spans="1:32">
      <c r="A1753" t="s">
        <v>1803</v>
      </c>
      <c r="B1753" t="s">
        <v>9363</v>
      </c>
      <c r="C1753" t="s">
        <v>15350</v>
      </c>
      <c r="D1753" t="s">
        <v>16199</v>
      </c>
      <c r="E1753" t="s">
        <v>16218</v>
      </c>
      <c r="F1753" t="s">
        <v>16221</v>
      </c>
      <c r="G1753" t="s">
        <v>16249</v>
      </c>
      <c r="H1753" t="s">
        <v>16249</v>
      </c>
      <c r="I1753" t="s">
        <v>16325</v>
      </c>
      <c r="J1753" t="s">
        <v>16385</v>
      </c>
      <c r="K1753">
        <v>0.2</v>
      </c>
      <c r="L1753">
        <v>8710</v>
      </c>
      <c r="M1753">
        <v>2173</v>
      </c>
      <c r="N1753" t="s">
        <v>16393</v>
      </c>
      <c r="O1753" s="4">
        <v>60741</v>
      </c>
      <c r="P1753" s="4">
        <v>193361</v>
      </c>
      <c r="Q1753" s="4">
        <v>254102</v>
      </c>
      <c r="R1753" s="4">
        <v>762306</v>
      </c>
      <c r="S1753" t="s">
        <v>18101</v>
      </c>
      <c r="T1753" s="6">
        <v>44621</v>
      </c>
      <c r="U1753" s="4">
        <v>635000</v>
      </c>
      <c r="V1753" t="s">
        <v>23740</v>
      </c>
      <c r="W1753" t="s">
        <v>24564</v>
      </c>
      <c r="X1753" t="s">
        <v>3</v>
      </c>
      <c r="AA1753" s="5" t="str">
        <f>HYPERLINK("https://www.zillow.com/homes/7113-MATTHIAS-RD-DOWNERS-GROVE-IL-605163352_rb/","check listing")</f>
        <v>check listing</v>
      </c>
      <c r="AB1753" s="5" t="str">
        <f>HYPERLINK("https://propertylookup.dupagecounty.gov/Datalets/Datalet.aspx?UseSearch=no&amp;mode=sales&amp;pin=0929115010","sales record")</f>
        <v>sales record</v>
      </c>
      <c r="AC1753" t="s">
        <v>3</v>
      </c>
      <c r="AD1753">
        <v>41.757553</v>
      </c>
      <c r="AE1753">
        <v>-88.01075400000001</v>
      </c>
      <c r="AF1753" s="5" t="str">
        <f>HYPERLINK("https://www.google.com/maps/search/?api=1&amp;query=41.757553,-88.010754","map")</f>
        <v>map</v>
      </c>
    </row>
    <row r="1754" spans="1:32">
      <c r="A1754" t="s">
        <v>1804</v>
      </c>
      <c r="B1754" t="s">
        <v>9364</v>
      </c>
      <c r="C1754" t="s">
        <v>15254</v>
      </c>
      <c r="D1754" t="s">
        <v>16199</v>
      </c>
      <c r="E1754" t="s">
        <v>16218</v>
      </c>
      <c r="F1754" t="s">
        <v>16221</v>
      </c>
      <c r="G1754" t="s">
        <v>16249</v>
      </c>
      <c r="H1754" t="s">
        <v>16249</v>
      </c>
      <c r="I1754" t="s">
        <v>16325</v>
      </c>
      <c r="J1754" t="s">
        <v>16385</v>
      </c>
      <c r="K1754">
        <v>0.199</v>
      </c>
      <c r="L1754">
        <v>8680</v>
      </c>
      <c r="M1754">
        <v>2349</v>
      </c>
      <c r="N1754" t="s">
        <v>16393</v>
      </c>
      <c r="O1754" s="4">
        <v>60107</v>
      </c>
      <c r="P1754" s="4">
        <v>188748</v>
      </c>
      <c r="Q1754" s="4">
        <v>248855</v>
      </c>
      <c r="R1754" s="4">
        <v>746565</v>
      </c>
      <c r="S1754" t="s">
        <v>18102</v>
      </c>
      <c r="T1754" s="6">
        <v>41518</v>
      </c>
      <c r="U1754" s="4">
        <v>439000</v>
      </c>
      <c r="V1754" t="s">
        <v>16232</v>
      </c>
      <c r="W1754" t="s">
        <v>24565</v>
      </c>
      <c r="X1754" t="s">
        <v>3</v>
      </c>
      <c r="AA1754" s="5" t="str">
        <f>HYPERLINK("https://www.zillow.com/homes/1161-STANFORD-AVE-DOWNERS-GROVE-IL-60516_rb/","check listing")</f>
        <v>check listing</v>
      </c>
      <c r="AB1754" s="5" t="str">
        <f>HYPERLINK("https://propertylookup.dupagecounty.gov/Datalets/Datalet.aspx?UseSearch=no&amp;mode=sales&amp;pin=0929116013","sales record")</f>
        <v>sales record</v>
      </c>
      <c r="AC1754" t="s">
        <v>3</v>
      </c>
      <c r="AD1754">
        <v>41.757707</v>
      </c>
      <c r="AE1754">
        <v>-88.01179399999999</v>
      </c>
      <c r="AF1754" s="5" t="str">
        <f>HYPERLINK("https://www.google.com/maps/search/?api=1&amp;query=41.757707,-88.011794","map")</f>
        <v>map</v>
      </c>
    </row>
    <row r="1755" spans="1:32">
      <c r="A1755" t="s">
        <v>1805</v>
      </c>
      <c r="B1755" t="s">
        <v>9365</v>
      </c>
      <c r="C1755" t="s">
        <v>15254</v>
      </c>
      <c r="D1755" t="s">
        <v>16199</v>
      </c>
      <c r="E1755" t="s">
        <v>16218</v>
      </c>
      <c r="F1755" t="s">
        <v>16221</v>
      </c>
      <c r="G1755" t="s">
        <v>16249</v>
      </c>
      <c r="H1755" t="s">
        <v>16249</v>
      </c>
      <c r="I1755" t="s">
        <v>16325</v>
      </c>
      <c r="J1755" t="s">
        <v>16385</v>
      </c>
      <c r="K1755">
        <v>0.199</v>
      </c>
      <c r="L1755">
        <v>8680</v>
      </c>
      <c r="M1755">
        <v>2045</v>
      </c>
      <c r="N1755" t="s">
        <v>16393</v>
      </c>
      <c r="O1755" s="4">
        <v>60741</v>
      </c>
      <c r="P1755" s="4">
        <v>178537</v>
      </c>
      <c r="Q1755" s="4">
        <v>239278</v>
      </c>
      <c r="R1755" s="4">
        <v>717834</v>
      </c>
      <c r="S1755" t="s">
        <v>18103</v>
      </c>
      <c r="T1755" s="6">
        <v>36861</v>
      </c>
      <c r="U1755" s="4">
        <v>367680</v>
      </c>
      <c r="V1755" t="s">
        <v>23739</v>
      </c>
      <c r="W1755" t="s">
        <v>24566</v>
      </c>
      <c r="X1755" t="s">
        <v>3</v>
      </c>
      <c r="AA1755" s="5" t="str">
        <f>HYPERLINK("https://www.zillow.com/homes/7117-MATTHIAS-RD-DOWNERS-GROVE-IL-60516_rb/","check listing")</f>
        <v>check listing</v>
      </c>
      <c r="AB1755" s="5" t="str">
        <f>HYPERLINK("https://propertylookup.dupagecounty.gov/Datalets/Datalet.aspx?UseSearch=no&amp;mode=sales&amp;pin=0929115011","sales record")</f>
        <v>sales record</v>
      </c>
      <c r="AC1755" t="s">
        <v>3</v>
      </c>
      <c r="AD1755">
        <v>41.757379</v>
      </c>
      <c r="AE1755">
        <v>-88.01074800000001</v>
      </c>
      <c r="AF1755" s="5" t="str">
        <f>HYPERLINK("https://www.google.com/maps/search/?api=1&amp;query=41.757379,-88.010748","map")</f>
        <v>map</v>
      </c>
    </row>
    <row r="1756" spans="1:32">
      <c r="A1756" t="s">
        <v>1806</v>
      </c>
      <c r="B1756" t="s">
        <v>9366</v>
      </c>
      <c r="C1756" t="s">
        <v>15254</v>
      </c>
      <c r="D1756" t="s">
        <v>16199</v>
      </c>
      <c r="E1756" t="s">
        <v>16218</v>
      </c>
      <c r="F1756" t="s">
        <v>16221</v>
      </c>
      <c r="G1756" t="s">
        <v>16249</v>
      </c>
      <c r="H1756" t="s">
        <v>16249</v>
      </c>
      <c r="I1756" t="s">
        <v>16325</v>
      </c>
      <c r="J1756" t="s">
        <v>16385</v>
      </c>
      <c r="K1756">
        <v>0.199</v>
      </c>
      <c r="L1756">
        <v>8680</v>
      </c>
      <c r="M1756">
        <v>2426</v>
      </c>
      <c r="N1756" t="s">
        <v>16393</v>
      </c>
      <c r="O1756" s="4">
        <v>60741</v>
      </c>
      <c r="P1756" s="4">
        <v>183725</v>
      </c>
      <c r="Q1756" s="4">
        <v>244466</v>
      </c>
      <c r="R1756" s="4">
        <v>733398</v>
      </c>
      <c r="S1756" t="s">
        <v>18104</v>
      </c>
      <c r="T1756" s="6">
        <v>38047</v>
      </c>
      <c r="U1756" s="4">
        <v>10</v>
      </c>
      <c r="V1756" t="s">
        <v>16232</v>
      </c>
      <c r="W1756" t="s">
        <v>24567</v>
      </c>
      <c r="X1756" t="s">
        <v>3</v>
      </c>
      <c r="AA1756" s="5" t="str">
        <f>HYPERLINK("https://www.zillow.com/homes/1171-STANFORD-AVE-DOWNERS-GROVE-IL-60516_rb/","check listing")</f>
        <v>check listing</v>
      </c>
      <c r="AB1756" s="5" t="str">
        <f>HYPERLINK("https://propertylookup.dupagecounty.gov/Datalets/Datalet.aspx?UseSearch=no&amp;mode=sales&amp;pin=0929116012","sales record")</f>
        <v>sales record</v>
      </c>
      <c r="AC1756" t="s">
        <v>3</v>
      </c>
      <c r="AD1756">
        <v>41.757703</v>
      </c>
      <c r="AE1756">
        <v>-88.012022</v>
      </c>
      <c r="AF1756" s="5" t="str">
        <f>HYPERLINK("https://www.google.com/maps/search/?api=1&amp;query=41.757703,-88.012022","map")</f>
        <v>map</v>
      </c>
    </row>
    <row r="1757" spans="1:32">
      <c r="A1757" t="s">
        <v>1807</v>
      </c>
      <c r="B1757" t="s">
        <v>9367</v>
      </c>
      <c r="C1757" t="s">
        <v>15351</v>
      </c>
      <c r="D1757" t="s">
        <v>16199</v>
      </c>
      <c r="E1757" t="s">
        <v>16218</v>
      </c>
      <c r="F1757" t="s">
        <v>16221</v>
      </c>
      <c r="G1757" t="s">
        <v>16249</v>
      </c>
      <c r="H1757" t="s">
        <v>16249</v>
      </c>
      <c r="I1757" t="s">
        <v>16325</v>
      </c>
      <c r="J1757" t="s">
        <v>16385</v>
      </c>
      <c r="K1757">
        <v>0.199</v>
      </c>
      <c r="L1757">
        <v>8680</v>
      </c>
      <c r="M1757">
        <v>2166</v>
      </c>
      <c r="N1757" t="s">
        <v>16393</v>
      </c>
      <c r="O1757" s="4">
        <v>60741</v>
      </c>
      <c r="P1757" s="4">
        <v>161224</v>
      </c>
      <c r="Q1757" s="4">
        <v>221965</v>
      </c>
      <c r="R1757" s="4">
        <v>665895</v>
      </c>
      <c r="S1757" t="s">
        <v>18105</v>
      </c>
      <c r="T1757" s="6">
        <v>42979</v>
      </c>
      <c r="U1757" s="4">
        <v>470000</v>
      </c>
      <c r="V1757" t="s">
        <v>23740</v>
      </c>
      <c r="W1757" t="s">
        <v>18105</v>
      </c>
      <c r="X1757" t="s">
        <v>3</v>
      </c>
      <c r="AA1757" s="5" t="str">
        <f>HYPERLINK("https://www.zillow.com/homes/1181-STANFORD-AVE-DOWNERS-GROVE-IL-605163349_rb/","check listing")</f>
        <v>check listing</v>
      </c>
      <c r="AB1757" s="5" t="str">
        <f>HYPERLINK("https://propertylookup.dupagecounty.gov/Datalets/Datalet.aspx?UseSearch=no&amp;mode=sales&amp;pin=0929116011","sales record")</f>
        <v>sales record</v>
      </c>
      <c r="AC1757" t="s">
        <v>3</v>
      </c>
      <c r="AD1757">
        <v>41.757786</v>
      </c>
      <c r="AE1757">
        <v>-88.01225100000001</v>
      </c>
      <c r="AF1757" s="5" t="str">
        <f>HYPERLINK("https://www.google.com/maps/search/?api=1&amp;query=41.757786,-88.012251","map")</f>
        <v>map</v>
      </c>
    </row>
    <row r="1758" spans="1:32">
      <c r="A1758" t="s">
        <v>1808</v>
      </c>
      <c r="B1758" t="s">
        <v>9368</v>
      </c>
      <c r="C1758" t="s">
        <v>15254</v>
      </c>
      <c r="D1758" t="s">
        <v>16199</v>
      </c>
      <c r="E1758" t="s">
        <v>16218</v>
      </c>
      <c r="F1758" t="s">
        <v>16221</v>
      </c>
      <c r="G1758" t="s">
        <v>16249</v>
      </c>
      <c r="H1758" t="s">
        <v>16249</v>
      </c>
      <c r="I1758" t="s">
        <v>16325</v>
      </c>
      <c r="J1758" t="s">
        <v>16385</v>
      </c>
      <c r="K1758">
        <v>0.199</v>
      </c>
      <c r="L1758">
        <v>8671</v>
      </c>
      <c r="M1758">
        <v>2153</v>
      </c>
      <c r="N1758" t="s">
        <v>16393</v>
      </c>
      <c r="O1758" s="4">
        <v>60741</v>
      </c>
      <c r="P1758" s="4">
        <v>185709</v>
      </c>
      <c r="Q1758" s="4">
        <v>246450</v>
      </c>
      <c r="R1758" s="4">
        <v>739350</v>
      </c>
      <c r="S1758" t="s">
        <v>18106</v>
      </c>
      <c r="T1758" s="6">
        <v>36861</v>
      </c>
      <c r="U1758" s="4">
        <v>403590</v>
      </c>
      <c r="V1758" t="s">
        <v>23739</v>
      </c>
      <c r="W1758" t="s">
        <v>24568</v>
      </c>
      <c r="X1758" t="s">
        <v>3</v>
      </c>
      <c r="AA1758" s="5" t="str">
        <f>HYPERLINK("https://www.zillow.com/homes/7121-MATTHIAS-RD-DOWNERS-GROVE-IL-60516_rb/","check listing")</f>
        <v>check listing</v>
      </c>
      <c r="AB1758" s="5" t="str">
        <f>HYPERLINK("https://propertylookup.dupagecounty.gov/Datalets/Datalet.aspx?UseSearch=no&amp;mode=sales&amp;pin=0929115012","sales record")</f>
        <v>sales record</v>
      </c>
      <c r="AC1758" t="s">
        <v>3</v>
      </c>
      <c r="AD1758">
        <v>41.757246</v>
      </c>
      <c r="AE1758">
        <v>-88.01074300000001</v>
      </c>
      <c r="AF1758" s="5" t="str">
        <f>HYPERLINK("https://www.google.com/maps/search/?api=1&amp;query=41.757246,-88.010743","map")</f>
        <v>map</v>
      </c>
    </row>
    <row r="1759" spans="1:32">
      <c r="A1759" t="s">
        <v>1809</v>
      </c>
      <c r="B1759" t="s">
        <v>9369</v>
      </c>
      <c r="C1759" t="s">
        <v>15254</v>
      </c>
      <c r="D1759" t="s">
        <v>16199</v>
      </c>
      <c r="E1759" t="s">
        <v>16218</v>
      </c>
      <c r="F1759" t="s">
        <v>16221</v>
      </c>
      <c r="G1759" t="s">
        <v>16249</v>
      </c>
      <c r="H1759" t="s">
        <v>16249</v>
      </c>
      <c r="I1759" t="s">
        <v>16325</v>
      </c>
      <c r="J1759" t="s">
        <v>16385</v>
      </c>
      <c r="K1759">
        <v>0.199</v>
      </c>
      <c r="L1759">
        <v>8668</v>
      </c>
      <c r="M1759">
        <v>2330</v>
      </c>
      <c r="N1759" t="s">
        <v>16393</v>
      </c>
      <c r="O1759" s="4">
        <v>47830</v>
      </c>
      <c r="P1759" s="4">
        <v>120297</v>
      </c>
      <c r="Q1759" s="4">
        <v>168127</v>
      </c>
      <c r="R1759" s="4">
        <v>504381</v>
      </c>
      <c r="S1759" t="s">
        <v>18107</v>
      </c>
      <c r="T1759" s="6">
        <v>32874</v>
      </c>
      <c r="U1759" s="4">
        <v>192510</v>
      </c>
      <c r="X1759" t="s">
        <v>3</v>
      </c>
      <c r="AA1759" s="5" t="str">
        <f>HYPERLINK("https://www.zillow.com/homes/7237-KIDWELL-RD-DOWNERS-GROVE-IL-60516_rb/","check listing")</f>
        <v>check listing</v>
      </c>
      <c r="AB1759" s="5" t="str">
        <f>HYPERLINK("https://propertylookup.dupagecounty.gov/Datalets/Datalet.aspx?UseSearch=no&amp;mode=sales&amp;pin=0930209019","sales record")</f>
        <v>sales record</v>
      </c>
      <c r="AC1759" t="s">
        <v>3</v>
      </c>
      <c r="AD1759">
        <v>41.755277</v>
      </c>
      <c r="AE1759">
        <v>-88.013301</v>
      </c>
      <c r="AF1759" s="5" t="str">
        <f>HYPERLINK("https://www.google.com/maps/search/?api=1&amp;query=41.755277,-88.013301","map")</f>
        <v>map</v>
      </c>
    </row>
    <row r="1760" spans="1:32">
      <c r="A1760" t="s">
        <v>1810</v>
      </c>
      <c r="B1760" t="s">
        <v>9370</v>
      </c>
      <c r="C1760" t="s">
        <v>15254</v>
      </c>
      <c r="D1760" t="s">
        <v>16199</v>
      </c>
      <c r="E1760" t="s">
        <v>16218</v>
      </c>
      <c r="F1760" t="s">
        <v>16221</v>
      </c>
      <c r="G1760" t="s">
        <v>16249</v>
      </c>
      <c r="H1760" t="s">
        <v>16249</v>
      </c>
      <c r="I1760" t="s">
        <v>16325</v>
      </c>
      <c r="J1760" t="s">
        <v>16385</v>
      </c>
      <c r="K1760">
        <v>0.199</v>
      </c>
      <c r="L1760">
        <v>8667</v>
      </c>
      <c r="M1760">
        <v>1563</v>
      </c>
      <c r="N1760" t="s">
        <v>16393</v>
      </c>
      <c r="O1760" s="4">
        <v>53499</v>
      </c>
      <c r="P1760" s="4">
        <v>107444</v>
      </c>
      <c r="Q1760" s="4">
        <v>160943</v>
      </c>
      <c r="R1760" s="4">
        <v>482829</v>
      </c>
      <c r="S1760" t="s">
        <v>18108</v>
      </c>
      <c r="T1760" s="6">
        <v>32234</v>
      </c>
      <c r="U1760" s="4">
        <v>133600</v>
      </c>
      <c r="X1760" t="s">
        <v>3</v>
      </c>
      <c r="AA1760" s="5" t="str">
        <f>HYPERLINK("https://www.zillow.com/homes/7405-TICONDEROGA-RD-DOWNERS-GROVE-IL-60516_rb/","check listing")</f>
        <v>check listing</v>
      </c>
      <c r="AB1760" s="5" t="str">
        <f>HYPERLINK("https://propertylookup.dupagecounty.gov/Datalets/Datalet.aspx?UseSearch=no&amp;mode=sales&amp;pin=0930105054","sales record")</f>
        <v>sales record</v>
      </c>
      <c r="AC1760" t="s">
        <v>3</v>
      </c>
      <c r="AD1760">
        <v>41.752538</v>
      </c>
      <c r="AE1760">
        <v>-88.02300099999999</v>
      </c>
      <c r="AF1760" s="5" t="str">
        <f>HYPERLINK("https://www.google.com/maps/search/?api=1&amp;query=41.752538,-88.023001","map")</f>
        <v>map</v>
      </c>
    </row>
    <row r="1761" spans="1:32">
      <c r="A1761" t="s">
        <v>1811</v>
      </c>
      <c r="B1761" t="s">
        <v>9371</v>
      </c>
      <c r="C1761" t="s">
        <v>15352</v>
      </c>
      <c r="D1761" t="s">
        <v>16199</v>
      </c>
      <c r="E1761" t="s">
        <v>16218</v>
      </c>
      <c r="F1761" t="s">
        <v>16221</v>
      </c>
      <c r="G1761" t="s">
        <v>16249</v>
      </c>
      <c r="H1761" t="s">
        <v>16249</v>
      </c>
      <c r="I1761" t="s">
        <v>16325</v>
      </c>
      <c r="J1761" t="s">
        <v>16385</v>
      </c>
      <c r="K1761">
        <v>0.199</v>
      </c>
      <c r="L1761">
        <v>8648</v>
      </c>
      <c r="M1761">
        <v>2496</v>
      </c>
      <c r="N1761" t="s">
        <v>16393</v>
      </c>
      <c r="O1761" s="4">
        <v>51398</v>
      </c>
      <c r="P1761" s="4">
        <v>121834</v>
      </c>
      <c r="Q1761" s="4">
        <v>173232</v>
      </c>
      <c r="R1761" s="4">
        <v>519696</v>
      </c>
      <c r="S1761" t="s">
        <v>18109</v>
      </c>
      <c r="T1761" s="6">
        <v>40817</v>
      </c>
      <c r="U1761" s="4">
        <v>270000</v>
      </c>
      <c r="V1761" t="s">
        <v>23739</v>
      </c>
      <c r="W1761" t="s">
        <v>18109</v>
      </c>
      <c r="X1761" t="s">
        <v>3</v>
      </c>
      <c r="AA1761" s="5" t="str">
        <f>HYPERLINK("https://www.zillow.com/homes/7165-SPRINGSIDE-AVE-DOWNERS-GROVE-IL-605163718_rb/","check listing")</f>
        <v>check listing</v>
      </c>
      <c r="AB1761" s="5" t="str">
        <f>HYPERLINK("https://propertylookup.dupagecounty.gov/Datalets/Datalet.aspx?UseSearch=no&amp;mode=sales&amp;pin=0930203009","sales record")</f>
        <v>sales record</v>
      </c>
      <c r="AC1761" t="s">
        <v>3</v>
      </c>
      <c r="AD1761">
        <v>41.756877</v>
      </c>
      <c r="AE1761">
        <v>-88.020888</v>
      </c>
      <c r="AF1761" s="5" t="str">
        <f>HYPERLINK("https://www.google.com/maps/search/?api=1&amp;query=41.756877,-88.020888","map")</f>
        <v>map</v>
      </c>
    </row>
    <row r="1762" spans="1:32">
      <c r="A1762" t="s">
        <v>1812</v>
      </c>
      <c r="B1762" t="s">
        <v>9372</v>
      </c>
      <c r="C1762" t="s">
        <v>15353</v>
      </c>
      <c r="D1762" t="s">
        <v>16199</v>
      </c>
      <c r="E1762" t="s">
        <v>16218</v>
      </c>
      <c r="F1762" t="s">
        <v>16221</v>
      </c>
      <c r="G1762" t="s">
        <v>16249</v>
      </c>
      <c r="H1762" t="s">
        <v>16249</v>
      </c>
      <c r="I1762" t="s">
        <v>16325</v>
      </c>
      <c r="J1762" t="s">
        <v>16385</v>
      </c>
      <c r="K1762">
        <v>0.199</v>
      </c>
      <c r="L1762">
        <v>8647</v>
      </c>
      <c r="M1762">
        <v>2198</v>
      </c>
      <c r="N1762" t="s">
        <v>16393</v>
      </c>
      <c r="O1762" s="4">
        <v>53463</v>
      </c>
      <c r="P1762" s="4">
        <v>102855</v>
      </c>
      <c r="Q1762" s="4">
        <v>156318</v>
      </c>
      <c r="R1762" s="4">
        <v>468954</v>
      </c>
      <c r="S1762" t="s">
        <v>18110</v>
      </c>
      <c r="T1762" s="6">
        <v>44228</v>
      </c>
      <c r="U1762" s="4">
        <v>395000</v>
      </c>
      <c r="V1762" t="s">
        <v>23739</v>
      </c>
      <c r="W1762" t="s">
        <v>24569</v>
      </c>
      <c r="X1762" t="s">
        <v>3</v>
      </c>
      <c r="AA1762" s="5" t="str">
        <f>HYPERLINK("https://www.zillow.com/homes/1509-BAKER-PL-DOWNERS-GROVE-IL-605163711_rb/","check listing")</f>
        <v>check listing</v>
      </c>
      <c r="AB1762" s="5" t="str">
        <f>HYPERLINK("https://propertylookup.dupagecounty.gov/Datalets/Datalet.aspx?UseSearch=no&amp;mode=sales&amp;pin=0930203002","sales record")</f>
        <v>sales record</v>
      </c>
      <c r="AC1762" t="s">
        <v>3</v>
      </c>
      <c r="AD1762">
        <v>41.75724</v>
      </c>
      <c r="AE1762">
        <v>-88.020031</v>
      </c>
      <c r="AF1762" s="5" t="str">
        <f>HYPERLINK("https://www.google.com/maps/search/?api=1&amp;query=41.75724,-88.020031","map")</f>
        <v>map</v>
      </c>
    </row>
    <row r="1763" spans="1:32">
      <c r="A1763" t="s">
        <v>1813</v>
      </c>
      <c r="B1763" t="s">
        <v>9373</v>
      </c>
      <c r="C1763" t="s">
        <v>15254</v>
      </c>
      <c r="D1763" t="s">
        <v>16199</v>
      </c>
      <c r="E1763" t="s">
        <v>16218</v>
      </c>
      <c r="F1763" t="s">
        <v>16221</v>
      </c>
      <c r="G1763" t="s">
        <v>16249</v>
      </c>
      <c r="H1763" t="s">
        <v>16249</v>
      </c>
      <c r="I1763" t="s">
        <v>16325</v>
      </c>
      <c r="J1763" t="s">
        <v>16385</v>
      </c>
      <c r="K1763">
        <v>0.198</v>
      </c>
      <c r="L1763">
        <v>8642</v>
      </c>
      <c r="M1763">
        <v>1696</v>
      </c>
      <c r="N1763" t="s">
        <v>16393</v>
      </c>
      <c r="O1763" s="4">
        <v>52137</v>
      </c>
      <c r="P1763" s="4">
        <v>105812</v>
      </c>
      <c r="Q1763" s="4">
        <v>157949</v>
      </c>
      <c r="R1763" s="4">
        <v>473847</v>
      </c>
      <c r="S1763" t="s">
        <v>18111</v>
      </c>
      <c r="T1763" s="6">
        <v>34912</v>
      </c>
      <c r="U1763" s="4">
        <v>193500</v>
      </c>
      <c r="X1763" t="s">
        <v>3</v>
      </c>
      <c r="AA1763" s="5" t="str">
        <f>HYPERLINK("https://www.zillow.com/homes/7314-TICONDEROGA-RD-DOWNERS-GROVE-IL-60516_rb/","check listing")</f>
        <v>check listing</v>
      </c>
      <c r="AB1763" s="5" t="str">
        <f>HYPERLINK("https://propertylookup.dupagecounty.gov/Datalets/Datalet.aspx?UseSearch=no&amp;mode=sales&amp;pin=0930107015","sales record")</f>
        <v>sales record</v>
      </c>
      <c r="AC1763" t="s">
        <v>3</v>
      </c>
      <c r="AD1763">
        <v>41.753747</v>
      </c>
      <c r="AE1763">
        <v>-88.023751</v>
      </c>
      <c r="AF1763" s="5" t="str">
        <f>HYPERLINK("https://www.google.com/maps/search/?api=1&amp;query=41.753747,-88.023751","map")</f>
        <v>map</v>
      </c>
    </row>
    <row r="1764" spans="1:32">
      <c r="A1764" t="s">
        <v>1814</v>
      </c>
      <c r="B1764" t="s">
        <v>9374</v>
      </c>
      <c r="C1764" t="s">
        <v>15254</v>
      </c>
      <c r="D1764" t="s">
        <v>16199</v>
      </c>
      <c r="E1764" t="s">
        <v>16218</v>
      </c>
      <c r="F1764" t="s">
        <v>16221</v>
      </c>
      <c r="G1764" t="s">
        <v>16249</v>
      </c>
      <c r="H1764" t="s">
        <v>16249</v>
      </c>
      <c r="I1764" t="s">
        <v>16325</v>
      </c>
      <c r="J1764" t="s">
        <v>16385</v>
      </c>
      <c r="K1764">
        <v>0.198</v>
      </c>
      <c r="L1764">
        <v>8642</v>
      </c>
      <c r="M1764">
        <v>1448</v>
      </c>
      <c r="N1764" t="s">
        <v>16393</v>
      </c>
      <c r="O1764" s="4">
        <v>52137</v>
      </c>
      <c r="P1764" s="4">
        <v>118184</v>
      </c>
      <c r="Q1764" s="4">
        <v>170321</v>
      </c>
      <c r="R1764" s="4">
        <v>510963</v>
      </c>
      <c r="S1764" t="s">
        <v>18112</v>
      </c>
      <c r="T1764" s="6">
        <v>38412</v>
      </c>
      <c r="U1764" s="4">
        <v>389500</v>
      </c>
      <c r="V1764" t="s">
        <v>23739</v>
      </c>
      <c r="W1764" t="s">
        <v>24570</v>
      </c>
      <c r="X1764" t="s">
        <v>3</v>
      </c>
      <c r="AA1764" s="5" t="str">
        <f>HYPERLINK("https://www.zillow.com/homes/1702-HALL-ST-DOWNERS-GROVE-IL-60516_rb/","check listing")</f>
        <v>check listing</v>
      </c>
      <c r="AB1764" s="5" t="str">
        <f>HYPERLINK("https://propertylookup.dupagecounty.gov/Datalets/Datalet.aspx?UseSearch=no&amp;mode=sales&amp;pin=0930107005","sales record")</f>
        <v>sales record</v>
      </c>
      <c r="AC1764" t="s">
        <v>3</v>
      </c>
      <c r="AD1764">
        <v>41.752659</v>
      </c>
      <c r="AE1764">
        <v>-88.024997</v>
      </c>
      <c r="AF1764" s="5" t="str">
        <f>HYPERLINK("https://www.google.com/maps/search/?api=1&amp;query=41.752659,-88.024997","map")</f>
        <v>map</v>
      </c>
    </row>
    <row r="1765" spans="1:32">
      <c r="A1765" t="s">
        <v>1815</v>
      </c>
      <c r="B1765" t="s">
        <v>9375</v>
      </c>
      <c r="C1765" t="s">
        <v>15254</v>
      </c>
      <c r="D1765" t="s">
        <v>16199</v>
      </c>
      <c r="E1765" t="s">
        <v>16218</v>
      </c>
      <c r="F1765" t="s">
        <v>16221</v>
      </c>
      <c r="G1765" t="s">
        <v>16249</v>
      </c>
      <c r="H1765" t="s">
        <v>16249</v>
      </c>
      <c r="I1765" t="s">
        <v>16325</v>
      </c>
      <c r="J1765" t="s">
        <v>16385</v>
      </c>
      <c r="K1765">
        <v>0.198</v>
      </c>
      <c r="L1765">
        <v>8642</v>
      </c>
      <c r="M1765">
        <v>1952</v>
      </c>
      <c r="N1765" t="s">
        <v>16393</v>
      </c>
      <c r="O1765" s="4">
        <v>52137</v>
      </c>
      <c r="P1765" s="4">
        <v>116763</v>
      </c>
      <c r="Q1765" s="4">
        <v>168900</v>
      </c>
      <c r="R1765" s="4">
        <v>506700</v>
      </c>
      <c r="S1765" t="s">
        <v>18113</v>
      </c>
      <c r="T1765" s="6">
        <v>31837</v>
      </c>
      <c r="U1765" s="4">
        <v>118042</v>
      </c>
      <c r="X1765" t="s">
        <v>3</v>
      </c>
      <c r="AA1765" s="5" t="str">
        <f>HYPERLINK("https://www.zillow.com/homes/1614-HALL-ST-DOWNERS-GROVE-IL-60516_rb/","check listing")</f>
        <v>check listing</v>
      </c>
      <c r="AB1765" s="5" t="str">
        <f>HYPERLINK("https://propertylookup.dupagecounty.gov/Datalets/Datalet.aspx?UseSearch=no&amp;mode=sales&amp;pin=0930107009","sales record")</f>
        <v>sales record</v>
      </c>
      <c r="AC1765" t="s">
        <v>3</v>
      </c>
      <c r="AD1765">
        <v>41.75268</v>
      </c>
      <c r="AE1765">
        <v>-88.02394200000001</v>
      </c>
      <c r="AF1765" s="5" t="str">
        <f>HYPERLINK("https://www.google.com/maps/search/?api=1&amp;query=41.75268,-88.023942","map")</f>
        <v>map</v>
      </c>
    </row>
    <row r="1766" spans="1:32">
      <c r="A1766" t="s">
        <v>1816</v>
      </c>
      <c r="B1766" t="s">
        <v>9376</v>
      </c>
      <c r="C1766" t="s">
        <v>15254</v>
      </c>
      <c r="D1766" t="s">
        <v>16199</v>
      </c>
      <c r="E1766" t="s">
        <v>16218</v>
      </c>
      <c r="F1766" t="s">
        <v>16221</v>
      </c>
      <c r="G1766" t="s">
        <v>16249</v>
      </c>
      <c r="H1766" t="s">
        <v>16249</v>
      </c>
      <c r="I1766" t="s">
        <v>16325</v>
      </c>
      <c r="J1766" t="s">
        <v>16385</v>
      </c>
      <c r="K1766">
        <v>0.198</v>
      </c>
      <c r="L1766">
        <v>8641</v>
      </c>
      <c r="M1766">
        <v>1453</v>
      </c>
      <c r="N1766" t="s">
        <v>16393</v>
      </c>
      <c r="O1766" s="4">
        <v>52137</v>
      </c>
      <c r="P1766" s="4">
        <v>106387</v>
      </c>
      <c r="Q1766" s="4">
        <v>158524</v>
      </c>
      <c r="R1766" s="4">
        <v>475572</v>
      </c>
      <c r="S1766" t="s">
        <v>18114</v>
      </c>
      <c r="T1766" s="6">
        <v>45785</v>
      </c>
      <c r="U1766" s="4">
        <v>615000</v>
      </c>
      <c r="V1766" t="s">
        <v>23739</v>
      </c>
      <c r="W1766" t="s">
        <v>24571</v>
      </c>
      <c r="X1766" t="s">
        <v>3</v>
      </c>
      <c r="AA1766" s="5" t="str">
        <f>HYPERLINK("https://www.zillow.com/homes/7326-TICONDEROGA-RD-DOWNERS-GROVE-IL-60516_rb/","check listing")</f>
        <v>check listing</v>
      </c>
      <c r="AB1766" s="5" t="str">
        <f>HYPERLINK("https://propertylookup.dupagecounty.gov/Datalets/Datalet.aspx?UseSearch=no&amp;mode=sales&amp;pin=0930107012","sales record")</f>
        <v>sales record</v>
      </c>
      <c r="AC1766" t="s">
        <v>3</v>
      </c>
      <c r="AD1766">
        <v>41.753155</v>
      </c>
      <c r="AE1766">
        <v>-88.023732</v>
      </c>
      <c r="AF1766" s="5" t="str">
        <f>HYPERLINK("https://www.google.com/maps/search/?api=1&amp;query=41.753155,-88.023732","map")</f>
        <v>map</v>
      </c>
    </row>
    <row r="1767" spans="1:32">
      <c r="A1767" t="s">
        <v>1817</v>
      </c>
      <c r="B1767" t="s">
        <v>9377</v>
      </c>
      <c r="C1767" t="s">
        <v>15254</v>
      </c>
      <c r="D1767" t="s">
        <v>16199</v>
      </c>
      <c r="E1767" t="s">
        <v>16218</v>
      </c>
      <c r="F1767" t="s">
        <v>16221</v>
      </c>
      <c r="G1767" t="s">
        <v>16249</v>
      </c>
      <c r="H1767" t="s">
        <v>16249</v>
      </c>
      <c r="I1767" t="s">
        <v>16325</v>
      </c>
      <c r="J1767" t="s">
        <v>16385</v>
      </c>
      <c r="K1767">
        <v>0.198</v>
      </c>
      <c r="L1767">
        <v>8641</v>
      </c>
      <c r="M1767">
        <v>1592</v>
      </c>
      <c r="N1767" t="s">
        <v>16393</v>
      </c>
      <c r="O1767" s="4">
        <v>52137</v>
      </c>
      <c r="P1767" s="4">
        <v>106693</v>
      </c>
      <c r="Q1767" s="4">
        <v>158830</v>
      </c>
      <c r="R1767" s="4">
        <v>476490</v>
      </c>
      <c r="S1767" t="s">
        <v>18115</v>
      </c>
      <c r="T1767" s="6">
        <v>31352</v>
      </c>
      <c r="U1767" s="4">
        <v>108275</v>
      </c>
      <c r="X1767" t="s">
        <v>3</v>
      </c>
      <c r="AA1767" s="5" t="str">
        <f>HYPERLINK("https://www.zillow.com/homes/1617-HALL-ST-DOWNERS-GROVE-IL-60516_rb/","check listing")</f>
        <v>check listing</v>
      </c>
      <c r="AB1767" s="5" t="str">
        <f>HYPERLINK("https://propertylookup.dupagecounty.gov/Datalets/Datalet.aspx?UseSearch=no&amp;mode=sales&amp;pin=0930105059","sales record")</f>
        <v>sales record</v>
      </c>
      <c r="AC1767" t="s">
        <v>3</v>
      </c>
      <c r="AD1767">
        <v>41.752165</v>
      </c>
      <c r="AE1767">
        <v>-88.02418400000001</v>
      </c>
      <c r="AF1767" s="5" t="str">
        <f>HYPERLINK("https://www.google.com/maps/search/?api=1&amp;query=41.752165,-88.024184","map")</f>
        <v>map</v>
      </c>
    </row>
    <row r="1768" spans="1:32">
      <c r="A1768" t="s">
        <v>1818</v>
      </c>
      <c r="B1768" t="s">
        <v>9378</v>
      </c>
      <c r="C1768" t="s">
        <v>15254</v>
      </c>
      <c r="D1768" t="s">
        <v>16199</v>
      </c>
      <c r="E1768" t="s">
        <v>16218</v>
      </c>
      <c r="F1768" t="s">
        <v>16221</v>
      </c>
      <c r="G1768" t="s">
        <v>16249</v>
      </c>
      <c r="H1768" t="s">
        <v>16249</v>
      </c>
      <c r="I1768" t="s">
        <v>16325</v>
      </c>
      <c r="J1768" t="s">
        <v>16385</v>
      </c>
      <c r="K1768">
        <v>0.198</v>
      </c>
      <c r="L1768">
        <v>8641</v>
      </c>
      <c r="M1768">
        <v>1731</v>
      </c>
      <c r="N1768" t="s">
        <v>16393</v>
      </c>
      <c r="O1768" s="4">
        <v>52137</v>
      </c>
      <c r="P1768" s="4">
        <v>111387</v>
      </c>
      <c r="Q1768" s="4">
        <v>163524</v>
      </c>
      <c r="R1768" s="4">
        <v>490572</v>
      </c>
      <c r="S1768" t="s">
        <v>18116</v>
      </c>
      <c r="T1768" s="6">
        <v>42491</v>
      </c>
      <c r="U1768" s="4">
        <v>310900</v>
      </c>
      <c r="V1768" t="s">
        <v>23739</v>
      </c>
      <c r="W1768" t="s">
        <v>24572</v>
      </c>
      <c r="X1768" t="s">
        <v>3</v>
      </c>
      <c r="AA1768" s="5" t="str">
        <f>HYPERLINK("https://www.zillow.com/homes/1609-HALL-ST-DOWNERS-GROVE-IL-60516_rb/","check listing")</f>
        <v>check listing</v>
      </c>
      <c r="AB1768" s="5" t="str">
        <f>HYPERLINK("https://propertylookup.dupagecounty.gov/Datalets/Datalet.aspx?UseSearch=no&amp;mode=sales&amp;pin=0930105057","sales record")</f>
        <v>sales record</v>
      </c>
      <c r="AC1768" t="s">
        <v>3</v>
      </c>
      <c r="AD1768">
        <v>41.752175</v>
      </c>
      <c r="AE1768">
        <v>-88.023657</v>
      </c>
      <c r="AF1768" s="5" t="str">
        <f>HYPERLINK("https://www.google.com/maps/search/?api=1&amp;query=41.752175,-88.023657","map")</f>
        <v>map</v>
      </c>
    </row>
    <row r="1769" spans="1:32">
      <c r="A1769" t="s">
        <v>1819</v>
      </c>
      <c r="B1769" t="s">
        <v>9379</v>
      </c>
      <c r="C1769" t="s">
        <v>15254</v>
      </c>
      <c r="D1769" t="s">
        <v>16199</v>
      </c>
      <c r="E1769" t="s">
        <v>16218</v>
      </c>
      <c r="F1769" t="s">
        <v>16221</v>
      </c>
      <c r="G1769" t="s">
        <v>16249</v>
      </c>
      <c r="H1769" t="s">
        <v>16249</v>
      </c>
      <c r="I1769" t="s">
        <v>16325</v>
      </c>
      <c r="J1769" t="s">
        <v>16385</v>
      </c>
      <c r="K1769">
        <v>0.198</v>
      </c>
      <c r="L1769">
        <v>8641</v>
      </c>
      <c r="M1769">
        <v>1717</v>
      </c>
      <c r="N1769" t="s">
        <v>16393</v>
      </c>
      <c r="O1769" s="4">
        <v>52137</v>
      </c>
      <c r="P1769" s="4">
        <v>115203</v>
      </c>
      <c r="Q1769" s="4">
        <v>167340</v>
      </c>
      <c r="R1769" s="4">
        <v>502020</v>
      </c>
      <c r="S1769" t="s">
        <v>18117</v>
      </c>
      <c r="T1769" s="6">
        <v>38353</v>
      </c>
      <c r="U1769" s="4">
        <v>355000</v>
      </c>
      <c r="V1769" t="s">
        <v>23739</v>
      </c>
      <c r="W1769" t="s">
        <v>24573</v>
      </c>
      <c r="X1769" t="s">
        <v>3</v>
      </c>
      <c r="AA1769" s="5" t="str">
        <f>HYPERLINK("https://www.zillow.com/homes/7322-TICONDEROGA-RD-DOWNERS-GROVE-IL-60516_rb/","check listing")</f>
        <v>check listing</v>
      </c>
      <c r="AB1769" s="5" t="str">
        <f>HYPERLINK("https://propertylookup.dupagecounty.gov/Datalets/Datalet.aspx?UseSearch=no&amp;mode=sales&amp;pin=0930107013","sales record")</f>
        <v>sales record</v>
      </c>
      <c r="AC1769" t="s">
        <v>3</v>
      </c>
      <c r="AD1769">
        <v>41.753387</v>
      </c>
      <c r="AE1769">
        <v>-88.02374</v>
      </c>
      <c r="AF1769" s="5" t="str">
        <f>HYPERLINK("https://www.google.com/maps/search/?api=1&amp;query=41.753387,-88.02374","map")</f>
        <v>map</v>
      </c>
    </row>
    <row r="1770" spans="1:32">
      <c r="A1770" t="s">
        <v>1820</v>
      </c>
      <c r="B1770" t="s">
        <v>9380</v>
      </c>
      <c r="C1770" t="s">
        <v>15254</v>
      </c>
      <c r="D1770" t="s">
        <v>16199</v>
      </c>
      <c r="E1770" t="s">
        <v>16218</v>
      </c>
      <c r="F1770" t="s">
        <v>16221</v>
      </c>
      <c r="G1770" t="s">
        <v>16249</v>
      </c>
      <c r="H1770" t="s">
        <v>16249</v>
      </c>
      <c r="I1770" t="s">
        <v>16325</v>
      </c>
      <c r="J1770" t="s">
        <v>16385</v>
      </c>
      <c r="K1770">
        <v>0.198</v>
      </c>
      <c r="L1770">
        <v>8641</v>
      </c>
      <c r="M1770">
        <v>2084</v>
      </c>
      <c r="N1770" t="s">
        <v>16393</v>
      </c>
      <c r="O1770" s="4">
        <v>52137</v>
      </c>
      <c r="P1770" s="4">
        <v>88324</v>
      </c>
      <c r="Q1770" s="4">
        <v>140461</v>
      </c>
      <c r="R1770" s="4">
        <v>421383</v>
      </c>
      <c r="S1770" t="s">
        <v>18118</v>
      </c>
      <c r="T1770" s="6">
        <v>38473</v>
      </c>
      <c r="U1770" s="4">
        <v>352700</v>
      </c>
      <c r="V1770" t="s">
        <v>23739</v>
      </c>
      <c r="W1770" t="s">
        <v>24574</v>
      </c>
      <c r="X1770" t="s">
        <v>3</v>
      </c>
      <c r="AA1770" s="5" t="str">
        <f>HYPERLINK("https://www.zillow.com/homes/1701-HALL-ST-DOWNERS-GROVE-IL-60516_rb/","check listing")</f>
        <v>check listing</v>
      </c>
      <c r="AB1770" s="5" t="str">
        <f>HYPERLINK("https://propertylookup.dupagecounty.gov/Datalets/Datalet.aspx?UseSearch=no&amp;mode=sales&amp;pin=0930105062","sales record")</f>
        <v>sales record</v>
      </c>
      <c r="AC1770" t="s">
        <v>3</v>
      </c>
      <c r="AD1770">
        <v>41.752149</v>
      </c>
      <c r="AE1770">
        <v>-88.024976</v>
      </c>
      <c r="AF1770" s="5" t="str">
        <f>HYPERLINK("https://www.google.com/maps/search/?api=1&amp;query=41.752149,-88.024976","map")</f>
        <v>map</v>
      </c>
    </row>
    <row r="1771" spans="1:32">
      <c r="A1771" t="s">
        <v>1821</v>
      </c>
      <c r="B1771" t="s">
        <v>9381</v>
      </c>
      <c r="C1771" t="s">
        <v>15254</v>
      </c>
      <c r="D1771" t="s">
        <v>16199</v>
      </c>
      <c r="E1771" t="s">
        <v>16218</v>
      </c>
      <c r="F1771" t="s">
        <v>16221</v>
      </c>
      <c r="G1771" t="s">
        <v>16249</v>
      </c>
      <c r="H1771" t="s">
        <v>16249</v>
      </c>
      <c r="I1771" t="s">
        <v>16325</v>
      </c>
      <c r="J1771" t="s">
        <v>16385</v>
      </c>
      <c r="K1771">
        <v>0.198</v>
      </c>
      <c r="L1771">
        <v>8641</v>
      </c>
      <c r="M1771">
        <v>1386</v>
      </c>
      <c r="N1771" t="s">
        <v>16393</v>
      </c>
      <c r="O1771" s="4">
        <v>52137</v>
      </c>
      <c r="P1771" s="4">
        <v>82032</v>
      </c>
      <c r="Q1771" s="4">
        <v>134169</v>
      </c>
      <c r="R1771" s="4">
        <v>402507</v>
      </c>
      <c r="S1771" t="s">
        <v>18119</v>
      </c>
      <c r="T1771" s="6">
        <v>31625</v>
      </c>
      <c r="U1771" s="4">
        <v>106785</v>
      </c>
      <c r="X1771" t="s">
        <v>3</v>
      </c>
      <c r="AA1771" s="5" t="str">
        <f>HYPERLINK("https://www.zillow.com/homes/1621-HALL-ST-DOWNERS-GROVE-IL-60516_rb/","check listing")</f>
        <v>check listing</v>
      </c>
      <c r="AB1771" s="5" t="str">
        <f>HYPERLINK("https://propertylookup.dupagecounty.gov/Datalets/Datalet.aspx?UseSearch=no&amp;mode=sales&amp;pin=0930105060","sales record")</f>
        <v>sales record</v>
      </c>
      <c r="AC1771" t="s">
        <v>3</v>
      </c>
      <c r="AD1771">
        <v>41.752159</v>
      </c>
      <c r="AE1771">
        <v>-88.02444800000001</v>
      </c>
      <c r="AF1771" s="5" t="str">
        <f>HYPERLINK("https://www.google.com/maps/search/?api=1&amp;query=41.752159,-88.024448","map")</f>
        <v>map</v>
      </c>
    </row>
    <row r="1772" spans="1:32">
      <c r="A1772" t="s">
        <v>1822</v>
      </c>
      <c r="B1772" t="s">
        <v>9382</v>
      </c>
      <c r="C1772" t="s">
        <v>15254</v>
      </c>
      <c r="D1772" t="s">
        <v>16199</v>
      </c>
      <c r="E1772" t="s">
        <v>16218</v>
      </c>
      <c r="F1772" t="s">
        <v>16221</v>
      </c>
      <c r="G1772" t="s">
        <v>16249</v>
      </c>
      <c r="H1772" t="s">
        <v>16249</v>
      </c>
      <c r="I1772" t="s">
        <v>16325</v>
      </c>
      <c r="J1772" t="s">
        <v>16385</v>
      </c>
      <c r="K1772">
        <v>0.198</v>
      </c>
      <c r="L1772">
        <v>8641</v>
      </c>
      <c r="M1772">
        <v>1728</v>
      </c>
      <c r="N1772" t="s">
        <v>16393</v>
      </c>
      <c r="O1772" s="4">
        <v>52137</v>
      </c>
      <c r="P1772" s="4">
        <v>108113</v>
      </c>
      <c r="Q1772" s="4">
        <v>160250</v>
      </c>
      <c r="R1772" s="4">
        <v>480750</v>
      </c>
      <c r="S1772" t="s">
        <v>18120</v>
      </c>
      <c r="T1772" s="6">
        <v>37196</v>
      </c>
      <c r="U1772" s="4">
        <v>230000</v>
      </c>
      <c r="V1772" t="s">
        <v>23739</v>
      </c>
      <c r="W1772" t="s">
        <v>18120</v>
      </c>
      <c r="X1772" t="s">
        <v>3</v>
      </c>
      <c r="AA1772" s="5" t="str">
        <f>HYPERLINK("https://www.zillow.com/homes/1618-HALL-ST-DOWNERS-GROVE-IL-60516_rb/","check listing")</f>
        <v>check listing</v>
      </c>
      <c r="AB1772" s="5" t="str">
        <f>HYPERLINK("https://propertylookup.dupagecounty.gov/Datalets/Datalet.aspx?UseSearch=no&amp;mode=sales&amp;pin=0930107008","sales record")</f>
        <v>sales record</v>
      </c>
      <c r="AC1772" t="s">
        <v>3</v>
      </c>
      <c r="AD1772">
        <v>41.752675</v>
      </c>
      <c r="AE1772">
        <v>-88.02420600000001</v>
      </c>
      <c r="AF1772" s="5" t="str">
        <f>HYPERLINK("https://www.google.com/maps/search/?api=1&amp;query=41.752675,-88.024206","map")</f>
        <v>map</v>
      </c>
    </row>
    <row r="1773" spans="1:32">
      <c r="A1773" t="s">
        <v>1823</v>
      </c>
      <c r="B1773" t="s">
        <v>9383</v>
      </c>
      <c r="C1773" t="s">
        <v>15254</v>
      </c>
      <c r="D1773" t="s">
        <v>16199</v>
      </c>
      <c r="E1773" t="s">
        <v>16218</v>
      </c>
      <c r="F1773" t="s">
        <v>16221</v>
      </c>
      <c r="G1773" t="s">
        <v>16249</v>
      </c>
      <c r="H1773" t="s">
        <v>16249</v>
      </c>
      <c r="I1773" t="s">
        <v>16325</v>
      </c>
      <c r="J1773" t="s">
        <v>16385</v>
      </c>
      <c r="K1773">
        <v>0.198</v>
      </c>
      <c r="L1773">
        <v>8640</v>
      </c>
      <c r="M1773">
        <v>2022</v>
      </c>
      <c r="N1773" t="s">
        <v>16393</v>
      </c>
      <c r="O1773" s="4">
        <v>52137</v>
      </c>
      <c r="P1773" s="4">
        <v>106611</v>
      </c>
      <c r="Q1773" s="4">
        <v>158748</v>
      </c>
      <c r="R1773" s="4">
        <v>476244</v>
      </c>
      <c r="S1773" t="s">
        <v>18121</v>
      </c>
      <c r="T1773" s="6">
        <v>38139</v>
      </c>
      <c r="U1773" s="4">
        <v>353000</v>
      </c>
      <c r="V1773" t="s">
        <v>23739</v>
      </c>
      <c r="W1773" t="s">
        <v>18121</v>
      </c>
      <c r="X1773" t="s">
        <v>3</v>
      </c>
      <c r="AA1773" s="5" t="str">
        <f>HYPERLINK("https://www.zillow.com/homes/1622-HALL-ST-DOWNERS-GROVE-IL-60516_rb/","check listing")</f>
        <v>check listing</v>
      </c>
      <c r="AB1773" s="5" t="str">
        <f>HYPERLINK("https://propertylookup.dupagecounty.gov/Datalets/Datalet.aspx?UseSearch=no&amp;mode=sales&amp;pin=0930107007","sales record")</f>
        <v>sales record</v>
      </c>
      <c r="AC1773" t="s">
        <v>3</v>
      </c>
      <c r="AD1773">
        <v>41.75267</v>
      </c>
      <c r="AE1773">
        <v>-88.024469</v>
      </c>
      <c r="AF1773" s="5" t="str">
        <f>HYPERLINK("https://www.google.com/maps/search/?api=1&amp;query=41.75267,-88.024469","map")</f>
        <v>map</v>
      </c>
    </row>
    <row r="1774" spans="1:32">
      <c r="A1774" t="s">
        <v>1824</v>
      </c>
      <c r="B1774" t="s">
        <v>9384</v>
      </c>
      <c r="C1774" t="s">
        <v>15254</v>
      </c>
      <c r="D1774" t="s">
        <v>16199</v>
      </c>
      <c r="E1774" t="s">
        <v>16218</v>
      </c>
      <c r="F1774" t="s">
        <v>16221</v>
      </c>
      <c r="G1774" t="s">
        <v>16249</v>
      </c>
      <c r="H1774" t="s">
        <v>16249</v>
      </c>
      <c r="I1774" t="s">
        <v>16325</v>
      </c>
      <c r="J1774" t="s">
        <v>16385</v>
      </c>
      <c r="K1774">
        <v>0.198</v>
      </c>
      <c r="L1774">
        <v>8639</v>
      </c>
      <c r="M1774">
        <v>1838</v>
      </c>
      <c r="N1774" t="s">
        <v>16393</v>
      </c>
      <c r="O1774" s="4">
        <v>52137</v>
      </c>
      <c r="P1774" s="4">
        <v>119017</v>
      </c>
      <c r="Q1774" s="4">
        <v>171154</v>
      </c>
      <c r="R1774" s="4">
        <v>513462</v>
      </c>
      <c r="S1774" t="s">
        <v>18122</v>
      </c>
      <c r="T1774" s="6">
        <v>37591</v>
      </c>
      <c r="U1774" s="4">
        <v>325000</v>
      </c>
      <c r="V1774" t="s">
        <v>23740</v>
      </c>
      <c r="W1774" t="s">
        <v>24575</v>
      </c>
      <c r="X1774" t="s">
        <v>3</v>
      </c>
      <c r="AA1774" s="5" t="str">
        <f>HYPERLINK("https://www.zillow.com/homes/7172-SPRINGSIDE-AVE-DOWNERS-GROVE-IL-60516_rb/","check listing")</f>
        <v>check listing</v>
      </c>
      <c r="AB1774" s="5" t="str">
        <f>HYPERLINK("https://propertylookup.dupagecounty.gov/Datalets/Datalet.aspx?UseSearch=no&amp;mode=sales&amp;pin=0930202007","sales record")</f>
        <v>sales record</v>
      </c>
      <c r="AC1774" t="s">
        <v>3</v>
      </c>
      <c r="AD1774">
        <v>41.757155</v>
      </c>
      <c r="AE1774">
        <v>-88.02152599999999</v>
      </c>
      <c r="AF1774" s="5" t="str">
        <f>HYPERLINK("https://www.google.com/maps/search/?api=1&amp;query=41.757155,-88.021526","map")</f>
        <v>map</v>
      </c>
    </row>
    <row r="1775" spans="1:32">
      <c r="A1775" t="s">
        <v>1825</v>
      </c>
      <c r="B1775" t="s">
        <v>9385</v>
      </c>
      <c r="C1775" t="s">
        <v>15254</v>
      </c>
      <c r="D1775" t="s">
        <v>16199</v>
      </c>
      <c r="E1775" t="s">
        <v>16218</v>
      </c>
      <c r="F1775" t="s">
        <v>16221</v>
      </c>
      <c r="G1775" t="s">
        <v>16249</v>
      </c>
      <c r="H1775" t="s">
        <v>16249</v>
      </c>
      <c r="I1775" t="s">
        <v>16325</v>
      </c>
      <c r="J1775" t="s">
        <v>16385</v>
      </c>
      <c r="K1775">
        <v>0.198</v>
      </c>
      <c r="L1775">
        <v>8639</v>
      </c>
      <c r="M1775">
        <v>893</v>
      </c>
      <c r="N1775" t="s">
        <v>16393</v>
      </c>
      <c r="O1775" s="4">
        <v>52137</v>
      </c>
      <c r="P1775" s="4">
        <v>97162</v>
      </c>
      <c r="Q1775" s="4">
        <v>149299</v>
      </c>
      <c r="R1775" s="4">
        <v>447897</v>
      </c>
      <c r="S1775" t="s">
        <v>18123</v>
      </c>
      <c r="T1775" s="6">
        <v>38412</v>
      </c>
      <c r="U1775" s="4">
        <v>304900</v>
      </c>
      <c r="V1775" t="s">
        <v>23739</v>
      </c>
      <c r="W1775" t="s">
        <v>24576</v>
      </c>
      <c r="X1775" t="s">
        <v>3</v>
      </c>
      <c r="AA1775" s="5" t="str">
        <f>HYPERLINK("https://www.zillow.com/homes/7318-TICONDEROGA-RD-DOWNERS-GROVE-IL-60516_rb/","check listing")</f>
        <v>check listing</v>
      </c>
      <c r="AB1775" s="5" t="str">
        <f>HYPERLINK("https://propertylookup.dupagecounty.gov/Datalets/Datalet.aspx?UseSearch=no&amp;mode=sales&amp;pin=0930107014","sales record")</f>
        <v>sales record</v>
      </c>
      <c r="AC1775" t="s">
        <v>3</v>
      </c>
      <c r="AD1775">
        <v>41.75355</v>
      </c>
      <c r="AE1775">
        <v>-88.02374500000001</v>
      </c>
      <c r="AF1775" s="5" t="str">
        <f>HYPERLINK("https://www.google.com/maps/search/?api=1&amp;query=41.75355,-88.023745","map")</f>
        <v>map</v>
      </c>
    </row>
    <row r="1776" spans="1:32">
      <c r="A1776" t="s">
        <v>1826</v>
      </c>
      <c r="B1776" t="s">
        <v>9386</v>
      </c>
      <c r="C1776" t="s">
        <v>15254</v>
      </c>
      <c r="D1776" t="s">
        <v>16199</v>
      </c>
      <c r="E1776" t="s">
        <v>16218</v>
      </c>
      <c r="F1776" t="s">
        <v>16221</v>
      </c>
      <c r="G1776" t="s">
        <v>16249</v>
      </c>
      <c r="H1776" t="s">
        <v>16249</v>
      </c>
      <c r="I1776" t="s">
        <v>16325</v>
      </c>
      <c r="J1776" t="s">
        <v>16385</v>
      </c>
      <c r="K1776">
        <v>0.198</v>
      </c>
      <c r="L1776">
        <v>8639</v>
      </c>
      <c r="M1776">
        <v>1814</v>
      </c>
      <c r="N1776" t="s">
        <v>16393</v>
      </c>
      <c r="O1776" s="4">
        <v>52137</v>
      </c>
      <c r="P1776" s="4">
        <v>117338</v>
      </c>
      <c r="Q1776" s="4">
        <v>169475</v>
      </c>
      <c r="R1776" s="4">
        <v>508425</v>
      </c>
      <c r="S1776" t="s">
        <v>18124</v>
      </c>
      <c r="T1776" s="6">
        <v>39083</v>
      </c>
      <c r="U1776" s="4">
        <v>375000</v>
      </c>
      <c r="V1776" t="s">
        <v>23739</v>
      </c>
      <c r="W1776" t="s">
        <v>24577</v>
      </c>
      <c r="X1776" t="s">
        <v>3</v>
      </c>
      <c r="AA1776" s="5" t="str">
        <f>HYPERLINK("https://www.zillow.com/homes/1626-HALL-ST-DOWNERS-GROVE-IL-60516_rb/","check listing")</f>
        <v>check listing</v>
      </c>
      <c r="AB1776" s="5" t="str">
        <f>HYPERLINK("https://propertylookup.dupagecounty.gov/Datalets/Datalet.aspx?UseSearch=no&amp;mode=sales&amp;pin=0930107006","sales record")</f>
        <v>sales record</v>
      </c>
      <c r="AC1776" t="s">
        <v>3</v>
      </c>
      <c r="AD1776">
        <v>41.752664</v>
      </c>
      <c r="AE1776">
        <v>-88.024733</v>
      </c>
      <c r="AF1776" s="5" t="str">
        <f>HYPERLINK("https://www.google.com/maps/search/?api=1&amp;query=41.752664,-88.024733","map")</f>
        <v>map</v>
      </c>
    </row>
    <row r="1777" spans="1:32">
      <c r="A1777" t="s">
        <v>1827</v>
      </c>
      <c r="B1777" t="s">
        <v>9387</v>
      </c>
      <c r="C1777" t="s">
        <v>15254</v>
      </c>
      <c r="D1777" t="s">
        <v>16199</v>
      </c>
      <c r="E1777" t="s">
        <v>16218</v>
      </c>
      <c r="F1777" t="s">
        <v>16221</v>
      </c>
      <c r="G1777" t="s">
        <v>16249</v>
      </c>
      <c r="H1777" t="s">
        <v>16249</v>
      </c>
      <c r="I1777" t="s">
        <v>16325</v>
      </c>
      <c r="J1777" t="s">
        <v>16385</v>
      </c>
      <c r="K1777">
        <v>0.198</v>
      </c>
      <c r="L1777">
        <v>8639</v>
      </c>
      <c r="M1777">
        <v>2209</v>
      </c>
      <c r="N1777" t="s">
        <v>16393</v>
      </c>
      <c r="O1777" s="4">
        <v>52137</v>
      </c>
      <c r="P1777" s="4">
        <v>135637</v>
      </c>
      <c r="Q1777" s="4">
        <v>187774</v>
      </c>
      <c r="R1777" s="4">
        <v>563322</v>
      </c>
      <c r="S1777" t="s">
        <v>18125</v>
      </c>
      <c r="T1777" s="6">
        <v>32813</v>
      </c>
      <c r="U1777" s="4">
        <v>216734</v>
      </c>
      <c r="X1777" t="s">
        <v>3</v>
      </c>
      <c r="AA1777" s="5" t="str">
        <f>HYPERLINK("https://www.zillow.com/homes/7180-SPRINGSIDE-AVE-DOWNERS-GROVE-IL-60516_rb/","check listing")</f>
        <v>check listing</v>
      </c>
      <c r="AB1777" s="5" t="str">
        <f>HYPERLINK("https://propertylookup.dupagecounty.gov/Datalets/Datalet.aspx?UseSearch=no&amp;mode=sales&amp;pin=0930202008","sales record")</f>
        <v>sales record</v>
      </c>
      <c r="AC1777" t="s">
        <v>3</v>
      </c>
      <c r="AD1777">
        <v>41.757059</v>
      </c>
      <c r="AE1777">
        <v>-88.021756</v>
      </c>
      <c r="AF1777" s="5" t="str">
        <f>HYPERLINK("https://www.google.com/maps/search/?api=1&amp;query=41.757059,-88.021756","map")</f>
        <v>map</v>
      </c>
    </row>
    <row r="1778" spans="1:32">
      <c r="A1778" t="s">
        <v>1828</v>
      </c>
      <c r="B1778" t="s">
        <v>9388</v>
      </c>
      <c r="C1778" t="s">
        <v>15254</v>
      </c>
      <c r="D1778" t="s">
        <v>16199</v>
      </c>
      <c r="E1778" t="s">
        <v>16218</v>
      </c>
      <c r="F1778" t="s">
        <v>16221</v>
      </c>
      <c r="G1778" t="s">
        <v>16249</v>
      </c>
      <c r="H1778" t="s">
        <v>16249</v>
      </c>
      <c r="I1778" t="s">
        <v>16325</v>
      </c>
      <c r="J1778" t="s">
        <v>16385</v>
      </c>
      <c r="K1778">
        <v>0.198</v>
      </c>
      <c r="L1778">
        <v>8638</v>
      </c>
      <c r="M1778">
        <v>1284</v>
      </c>
      <c r="N1778" t="s">
        <v>16393</v>
      </c>
      <c r="O1778" s="4">
        <v>52137</v>
      </c>
      <c r="P1778" s="4">
        <v>94650</v>
      </c>
      <c r="Q1778" s="4">
        <v>146787</v>
      </c>
      <c r="R1778" s="4">
        <v>440361</v>
      </c>
      <c r="S1778" t="s">
        <v>18126</v>
      </c>
      <c r="T1778" s="6">
        <v>31898</v>
      </c>
      <c r="U1778" s="4">
        <v>117962</v>
      </c>
      <c r="X1778" t="s">
        <v>3</v>
      </c>
      <c r="AA1778" s="5" t="str">
        <f>HYPERLINK("https://www.zillow.com/homes/1613-HALL-ST-DOWNERS-GROVE-IL-60516_rb/","check listing")</f>
        <v>check listing</v>
      </c>
      <c r="AB1778" s="5" t="str">
        <f>HYPERLINK("https://propertylookup.dupagecounty.gov/Datalets/Datalet.aspx?UseSearch=no&amp;mode=sales&amp;pin=0930105058","sales record")</f>
        <v>sales record</v>
      </c>
      <c r="AC1778" t="s">
        <v>3</v>
      </c>
      <c r="AD1778">
        <v>41.75217</v>
      </c>
      <c r="AE1778">
        <v>-88.023921</v>
      </c>
      <c r="AF1778" s="5" t="str">
        <f>HYPERLINK("https://www.google.com/maps/search/?api=1&amp;query=41.75217,-88.023921","map")</f>
        <v>map</v>
      </c>
    </row>
    <row r="1779" spans="1:32">
      <c r="A1779" t="s">
        <v>1829</v>
      </c>
      <c r="B1779" t="s">
        <v>9389</v>
      </c>
      <c r="C1779" t="s">
        <v>15254</v>
      </c>
      <c r="D1779" t="s">
        <v>16199</v>
      </c>
      <c r="E1779" t="s">
        <v>16218</v>
      </c>
      <c r="F1779" t="s">
        <v>16221</v>
      </c>
      <c r="G1779" t="s">
        <v>16249</v>
      </c>
      <c r="H1779" t="s">
        <v>16249</v>
      </c>
      <c r="I1779" t="s">
        <v>16325</v>
      </c>
      <c r="J1779" t="s">
        <v>16385</v>
      </c>
      <c r="K1779">
        <v>0.198</v>
      </c>
      <c r="L1779">
        <v>8638</v>
      </c>
      <c r="M1779">
        <v>1979</v>
      </c>
      <c r="N1779" t="s">
        <v>16393</v>
      </c>
      <c r="O1779" s="4">
        <v>52137</v>
      </c>
      <c r="P1779" s="4">
        <v>118148</v>
      </c>
      <c r="Q1779" s="4">
        <v>170285</v>
      </c>
      <c r="R1779" s="4">
        <v>510855</v>
      </c>
      <c r="S1779" t="s">
        <v>18127</v>
      </c>
      <c r="T1779" s="6">
        <v>33117</v>
      </c>
      <c r="U1779" s="4">
        <v>182500</v>
      </c>
      <c r="X1779" t="s">
        <v>3</v>
      </c>
      <c r="AA1779" s="5" t="str">
        <f>HYPERLINK("https://www.zillow.com/homes/7156-SPRINGSIDE-AVE-DOWNERS-GROVE-IL-60516_rb/","check listing")</f>
        <v>check listing</v>
      </c>
      <c r="AB1779" s="5" t="str">
        <f>HYPERLINK("https://propertylookup.dupagecounty.gov/Datalets/Datalet.aspx?UseSearch=no&amp;mode=sales&amp;pin=0930202005","sales record")</f>
        <v>sales record</v>
      </c>
      <c r="AC1779" t="s">
        <v>3</v>
      </c>
      <c r="AD1779">
        <v>41.757422</v>
      </c>
      <c r="AE1779">
        <v>-88.02107599999999</v>
      </c>
      <c r="AF1779" s="5" t="str">
        <f>HYPERLINK("https://www.google.com/maps/search/?api=1&amp;query=41.757422,-88.021076","map")</f>
        <v>map</v>
      </c>
    </row>
    <row r="1780" spans="1:32">
      <c r="A1780" t="s">
        <v>1830</v>
      </c>
      <c r="B1780" t="s">
        <v>9390</v>
      </c>
      <c r="C1780" t="s">
        <v>15329</v>
      </c>
      <c r="D1780" t="s">
        <v>16199</v>
      </c>
      <c r="E1780" t="s">
        <v>16218</v>
      </c>
      <c r="F1780" t="s">
        <v>16221</v>
      </c>
      <c r="G1780" t="s">
        <v>16249</v>
      </c>
      <c r="H1780" t="s">
        <v>16249</v>
      </c>
      <c r="I1780" t="s">
        <v>16325</v>
      </c>
      <c r="J1780" t="s">
        <v>16385</v>
      </c>
      <c r="K1780">
        <v>0.198</v>
      </c>
      <c r="L1780">
        <v>8637</v>
      </c>
      <c r="M1780">
        <v>1596</v>
      </c>
      <c r="N1780" t="s">
        <v>16393</v>
      </c>
      <c r="O1780" s="4">
        <v>52137</v>
      </c>
      <c r="P1780" s="4">
        <v>137656</v>
      </c>
      <c r="Q1780" s="4">
        <v>189793</v>
      </c>
      <c r="R1780" s="4">
        <v>569379</v>
      </c>
      <c r="S1780" t="s">
        <v>18128</v>
      </c>
      <c r="T1780" s="6">
        <v>35947</v>
      </c>
      <c r="U1780" s="4">
        <v>220000</v>
      </c>
      <c r="X1780" t="s">
        <v>3</v>
      </c>
      <c r="AA1780" s="5" t="str">
        <f>HYPERLINK("https://www.zillow.com/homes/1625-HALL-ST-DOWNERS-GROVE-IL-605163745_rb/","check listing")</f>
        <v>check listing</v>
      </c>
      <c r="AB1780" s="5" t="str">
        <f>HYPERLINK("https://propertylookup.dupagecounty.gov/Datalets/Datalet.aspx?UseSearch=no&amp;mode=sales&amp;pin=0930105061","sales record")</f>
        <v>sales record</v>
      </c>
      <c r="AC1780" t="s">
        <v>3</v>
      </c>
      <c r="AD1780">
        <v>41.752154</v>
      </c>
      <c r="AE1780">
        <v>-88.02471199999999</v>
      </c>
      <c r="AF1780" s="5" t="str">
        <f>HYPERLINK("https://www.google.com/maps/search/?api=1&amp;query=41.752154,-88.024712","map")</f>
        <v>map</v>
      </c>
    </row>
    <row r="1781" spans="1:32">
      <c r="A1781" t="s">
        <v>1831</v>
      </c>
      <c r="B1781" t="s">
        <v>9391</v>
      </c>
      <c r="C1781" t="s">
        <v>15254</v>
      </c>
      <c r="D1781" t="s">
        <v>16199</v>
      </c>
      <c r="E1781" t="s">
        <v>16218</v>
      </c>
      <c r="F1781" t="s">
        <v>16221</v>
      </c>
      <c r="G1781" t="s">
        <v>16249</v>
      </c>
      <c r="H1781" t="s">
        <v>16249</v>
      </c>
      <c r="I1781" t="s">
        <v>16325</v>
      </c>
      <c r="J1781" t="s">
        <v>16385</v>
      </c>
      <c r="K1781">
        <v>0.198</v>
      </c>
      <c r="L1781">
        <v>8637</v>
      </c>
      <c r="M1781">
        <v>1587</v>
      </c>
      <c r="N1781" t="s">
        <v>16393</v>
      </c>
      <c r="O1781" s="4">
        <v>52137</v>
      </c>
      <c r="P1781" s="4">
        <v>106423</v>
      </c>
      <c r="Q1781" s="4">
        <v>158560</v>
      </c>
      <c r="R1781" s="4">
        <v>475680</v>
      </c>
      <c r="S1781" t="s">
        <v>18129</v>
      </c>
      <c r="T1781" s="6">
        <v>31990</v>
      </c>
      <c r="U1781" s="4">
        <v>145500</v>
      </c>
      <c r="X1781" t="s">
        <v>3</v>
      </c>
      <c r="AA1781" s="5" t="str">
        <f>HYPERLINK("https://www.zillow.com/homes/7310-TICONDEROGA-RD-DOWNERS-GROVE-IL-60516_rb/","check listing")</f>
        <v>check listing</v>
      </c>
      <c r="AB1781" s="5" t="str">
        <f>HYPERLINK("https://propertylookup.dupagecounty.gov/Datalets/Datalet.aspx?UseSearch=no&amp;mode=sales&amp;pin=0930107016","sales record")</f>
        <v>sales record</v>
      </c>
      <c r="AC1781" t="s">
        <v>3</v>
      </c>
      <c r="AD1781">
        <v>41.753945</v>
      </c>
      <c r="AE1781">
        <v>-88.023757</v>
      </c>
      <c r="AF1781" s="5" t="str">
        <f>HYPERLINK("https://www.google.com/maps/search/?api=1&amp;query=41.753945,-88.023757","map")</f>
        <v>map</v>
      </c>
    </row>
    <row r="1782" spans="1:32">
      <c r="A1782" t="s">
        <v>1832</v>
      </c>
      <c r="B1782" t="s">
        <v>9392</v>
      </c>
      <c r="C1782" t="s">
        <v>15254</v>
      </c>
      <c r="D1782" t="s">
        <v>16199</v>
      </c>
      <c r="E1782" t="s">
        <v>16218</v>
      </c>
      <c r="F1782" t="s">
        <v>16221</v>
      </c>
      <c r="G1782" t="s">
        <v>16249</v>
      </c>
      <c r="H1782" t="s">
        <v>16249</v>
      </c>
      <c r="I1782" t="s">
        <v>16325</v>
      </c>
      <c r="J1782" t="s">
        <v>16385</v>
      </c>
      <c r="K1782">
        <v>0.198</v>
      </c>
      <c r="L1782">
        <v>8635</v>
      </c>
      <c r="M1782">
        <v>2338</v>
      </c>
      <c r="N1782" t="s">
        <v>16393</v>
      </c>
      <c r="O1782" s="4">
        <v>52137</v>
      </c>
      <c r="P1782" s="4">
        <v>127022</v>
      </c>
      <c r="Q1782" s="4">
        <v>179159</v>
      </c>
      <c r="R1782" s="4">
        <v>537477</v>
      </c>
      <c r="S1782" t="s">
        <v>18130</v>
      </c>
      <c r="T1782" s="6">
        <v>31199</v>
      </c>
      <c r="U1782" s="4">
        <v>115892</v>
      </c>
      <c r="X1782" t="s">
        <v>3</v>
      </c>
      <c r="AA1782" s="5" t="str">
        <f>HYPERLINK("https://www.zillow.com/homes/7148-SPRINGSIDE-AVE-DOWNERS-GROVE-IL-60516_rb/","check listing")</f>
        <v>check listing</v>
      </c>
      <c r="AB1782" s="5" t="str">
        <f>HYPERLINK("https://propertylookup.dupagecounty.gov/Datalets/Datalet.aspx?UseSearch=no&amp;mode=sales&amp;pin=0930202004","sales record")</f>
        <v>sales record</v>
      </c>
      <c r="AC1782" t="s">
        <v>3</v>
      </c>
      <c r="AD1782">
        <v>41.757571</v>
      </c>
      <c r="AE1782">
        <v>-88.020903</v>
      </c>
      <c r="AF1782" s="5" t="str">
        <f>HYPERLINK("https://www.google.com/maps/search/?api=1&amp;query=41.757571,-88.020903","map")</f>
        <v>map</v>
      </c>
    </row>
    <row r="1783" spans="1:32">
      <c r="A1783" t="s">
        <v>1833</v>
      </c>
      <c r="B1783" t="s">
        <v>9393</v>
      </c>
      <c r="C1783" t="s">
        <v>15254</v>
      </c>
      <c r="D1783" t="s">
        <v>16199</v>
      </c>
      <c r="E1783" t="s">
        <v>16218</v>
      </c>
      <c r="F1783" t="s">
        <v>16221</v>
      </c>
      <c r="G1783" t="s">
        <v>16249</v>
      </c>
      <c r="H1783" t="s">
        <v>16249</v>
      </c>
      <c r="I1783" t="s">
        <v>16325</v>
      </c>
      <c r="J1783" t="s">
        <v>16385</v>
      </c>
      <c r="K1783">
        <v>0.198</v>
      </c>
      <c r="L1783">
        <v>8627</v>
      </c>
      <c r="M1783">
        <v>1692</v>
      </c>
      <c r="N1783" t="s">
        <v>16393</v>
      </c>
      <c r="O1783" s="4">
        <v>53100</v>
      </c>
      <c r="P1783" s="4">
        <v>107749</v>
      </c>
      <c r="Q1783" s="4">
        <v>160849</v>
      </c>
      <c r="R1783" s="4">
        <v>482547</v>
      </c>
      <c r="S1783" t="s">
        <v>18131</v>
      </c>
      <c r="T1783" s="6">
        <v>35916</v>
      </c>
      <c r="U1783" s="4">
        <v>213000</v>
      </c>
      <c r="X1783" t="s">
        <v>3</v>
      </c>
      <c r="AA1783" s="5" t="str">
        <f>HYPERLINK("https://www.zillow.com/homes/1705-HAWKINS-AVE-DOWNERS-GROVE-IL-60516_rb/","check listing")</f>
        <v>check listing</v>
      </c>
      <c r="AB1783" s="5" t="str">
        <f>HYPERLINK("https://propertylookup.dupagecounty.gov/Datalets/Datalet.aspx?UseSearch=no&amp;mode=sales&amp;pin=0930106005","sales record")</f>
        <v>sales record</v>
      </c>
      <c r="AC1783" t="s">
        <v>3</v>
      </c>
      <c r="AD1783">
        <v>41.755267</v>
      </c>
      <c r="AE1783">
        <v>-88.02530899999999</v>
      </c>
      <c r="AF1783" s="5" t="str">
        <f>HYPERLINK("https://www.google.com/maps/search/?api=1&amp;query=41.755267,-88.025309","map")</f>
        <v>map</v>
      </c>
    </row>
    <row r="1784" spans="1:32">
      <c r="A1784" t="s">
        <v>1834</v>
      </c>
      <c r="B1784" t="s">
        <v>9394</v>
      </c>
      <c r="C1784" t="s">
        <v>15254</v>
      </c>
      <c r="D1784" t="s">
        <v>16199</v>
      </c>
      <c r="E1784" t="s">
        <v>16218</v>
      </c>
      <c r="F1784" t="s">
        <v>16221</v>
      </c>
      <c r="G1784" t="s">
        <v>16249</v>
      </c>
      <c r="H1784" t="s">
        <v>16249</v>
      </c>
      <c r="I1784" t="s">
        <v>16325</v>
      </c>
      <c r="J1784" t="s">
        <v>16385</v>
      </c>
      <c r="K1784">
        <v>0.198</v>
      </c>
      <c r="L1784">
        <v>8627</v>
      </c>
      <c r="M1784">
        <v>2457</v>
      </c>
      <c r="N1784" t="s">
        <v>16393</v>
      </c>
      <c r="O1784" s="4">
        <v>53100</v>
      </c>
      <c r="P1784" s="4">
        <v>148971</v>
      </c>
      <c r="Q1784" s="4">
        <v>202071</v>
      </c>
      <c r="R1784" s="4">
        <v>606213</v>
      </c>
      <c r="S1784" t="s">
        <v>18132</v>
      </c>
      <c r="T1784" s="6">
        <v>29007</v>
      </c>
      <c r="U1784" s="4">
        <v>86590</v>
      </c>
      <c r="X1784" t="s">
        <v>3</v>
      </c>
      <c r="AA1784" s="5" t="str">
        <f>HYPERLINK("https://www.zillow.com/homes/7141-DEXTER-RD-DOWNERS-GROVE-IL-60516_rb/","check listing")</f>
        <v>check listing</v>
      </c>
      <c r="AB1784" s="5" t="str">
        <f>HYPERLINK("https://propertylookup.dupagecounty.gov/Datalets/Datalet.aspx?UseSearch=no&amp;mode=sales&amp;pin=0930204003","sales record")</f>
        <v>sales record</v>
      </c>
      <c r="AC1784" t="s">
        <v>3</v>
      </c>
      <c r="AD1784">
        <v>41.757969</v>
      </c>
      <c r="AE1784">
        <v>-88.01959100000001</v>
      </c>
      <c r="AF1784" s="5" t="str">
        <f>HYPERLINK("https://www.google.com/maps/search/?api=1&amp;query=41.757969,-88.019591","map")</f>
        <v>map</v>
      </c>
    </row>
    <row r="1785" spans="1:32">
      <c r="A1785" t="s">
        <v>1835</v>
      </c>
      <c r="B1785" t="s">
        <v>9395</v>
      </c>
      <c r="C1785" t="s">
        <v>15254</v>
      </c>
      <c r="D1785" t="s">
        <v>16199</v>
      </c>
      <c r="E1785" t="s">
        <v>16218</v>
      </c>
      <c r="F1785" t="s">
        <v>16221</v>
      </c>
      <c r="G1785" t="s">
        <v>16249</v>
      </c>
      <c r="H1785" t="s">
        <v>16249</v>
      </c>
      <c r="I1785" t="s">
        <v>16325</v>
      </c>
      <c r="J1785" t="s">
        <v>16385</v>
      </c>
      <c r="K1785">
        <v>0.198</v>
      </c>
      <c r="L1785">
        <v>8626</v>
      </c>
      <c r="M1785">
        <v>1910</v>
      </c>
      <c r="N1785" t="s">
        <v>16393</v>
      </c>
      <c r="O1785" s="4">
        <v>53100</v>
      </c>
      <c r="P1785" s="4">
        <v>136576</v>
      </c>
      <c r="Q1785" s="4">
        <v>189676</v>
      </c>
      <c r="R1785" s="4">
        <v>569028</v>
      </c>
      <c r="S1785" t="s">
        <v>18133</v>
      </c>
      <c r="T1785" s="6">
        <v>33420</v>
      </c>
      <c r="U1785" s="4">
        <v>165000</v>
      </c>
      <c r="X1785" t="s">
        <v>3</v>
      </c>
      <c r="AA1785" s="5" t="str">
        <f>HYPERLINK("https://www.zillow.com/homes/1709-HAWKINS-AVE-DOWNERS-GROVE-IL-60516_rb/","check listing")</f>
        <v>check listing</v>
      </c>
      <c r="AB1785" s="5" t="str">
        <f>HYPERLINK("https://propertylookup.dupagecounty.gov/Datalets/Datalet.aspx?UseSearch=no&amp;mode=sales&amp;pin=0930106004","sales record")</f>
        <v>sales record</v>
      </c>
      <c r="AC1785" t="s">
        <v>3</v>
      </c>
      <c r="AD1785">
        <v>41.755226</v>
      </c>
      <c r="AE1785">
        <v>-88.02557899999999</v>
      </c>
      <c r="AF1785" s="5" t="str">
        <f>HYPERLINK("https://www.google.com/maps/search/?api=1&amp;query=41.755226,-88.025579","map")</f>
        <v>map</v>
      </c>
    </row>
    <row r="1786" spans="1:32">
      <c r="A1786" t="s">
        <v>1836</v>
      </c>
      <c r="B1786" t="s">
        <v>9396</v>
      </c>
      <c r="C1786" t="s">
        <v>15254</v>
      </c>
      <c r="D1786" t="s">
        <v>16199</v>
      </c>
      <c r="E1786" t="s">
        <v>16218</v>
      </c>
      <c r="F1786" t="s">
        <v>16221</v>
      </c>
      <c r="G1786" t="s">
        <v>16249</v>
      </c>
      <c r="H1786" t="s">
        <v>16249</v>
      </c>
      <c r="I1786" t="s">
        <v>16325</v>
      </c>
      <c r="J1786" t="s">
        <v>16385</v>
      </c>
      <c r="K1786">
        <v>0.198</v>
      </c>
      <c r="L1786">
        <v>8625</v>
      </c>
      <c r="M1786">
        <v>2325</v>
      </c>
      <c r="N1786" t="s">
        <v>16393</v>
      </c>
      <c r="O1786" s="4">
        <v>53100</v>
      </c>
      <c r="P1786" s="4">
        <v>120261</v>
      </c>
      <c r="Q1786" s="4">
        <v>173361</v>
      </c>
      <c r="R1786" s="4">
        <v>520083</v>
      </c>
      <c r="S1786" t="s">
        <v>18134</v>
      </c>
      <c r="T1786" s="6">
        <v>38626</v>
      </c>
      <c r="U1786" s="4">
        <v>388000</v>
      </c>
      <c r="V1786" t="s">
        <v>23739</v>
      </c>
      <c r="W1786" t="s">
        <v>24578</v>
      </c>
      <c r="X1786" t="s">
        <v>3</v>
      </c>
      <c r="AA1786" s="5" t="str">
        <f>HYPERLINK("https://www.zillow.com/homes/7149-DEXTER-RD-DOWNERS-GROVE-IL-60516_rb/","check listing")</f>
        <v>check listing</v>
      </c>
      <c r="AB1786" s="5" t="str">
        <f>HYPERLINK("https://propertylookup.dupagecounty.gov/Datalets/Datalet.aspx?UseSearch=no&amp;mode=sales&amp;pin=0930204004","sales record")</f>
        <v>sales record</v>
      </c>
      <c r="AC1786" t="s">
        <v>3</v>
      </c>
      <c r="AD1786">
        <v>41.757876</v>
      </c>
      <c r="AE1786">
        <v>-88.019346</v>
      </c>
      <c r="AF1786" s="5" t="str">
        <f>HYPERLINK("https://www.google.com/maps/search/?api=1&amp;query=41.757876,-88.019346","map")</f>
        <v>map</v>
      </c>
    </row>
    <row r="1787" spans="1:32">
      <c r="A1787" t="s">
        <v>1837</v>
      </c>
      <c r="B1787" t="s">
        <v>9397</v>
      </c>
      <c r="C1787" t="s">
        <v>15254</v>
      </c>
      <c r="D1787" t="s">
        <v>16199</v>
      </c>
      <c r="E1787" t="s">
        <v>16218</v>
      </c>
      <c r="F1787" t="s">
        <v>16221</v>
      </c>
      <c r="G1787" t="s">
        <v>16249</v>
      </c>
      <c r="H1787" t="s">
        <v>16249</v>
      </c>
      <c r="I1787" t="s">
        <v>16325</v>
      </c>
      <c r="J1787" t="s">
        <v>16385</v>
      </c>
      <c r="K1787">
        <v>0.198</v>
      </c>
      <c r="L1787">
        <v>8625</v>
      </c>
      <c r="M1787">
        <v>1708</v>
      </c>
      <c r="N1787" t="s">
        <v>16393</v>
      </c>
      <c r="O1787" s="4">
        <v>53100</v>
      </c>
      <c r="P1787" s="4">
        <v>106517</v>
      </c>
      <c r="Q1787" s="4">
        <v>159617</v>
      </c>
      <c r="R1787" s="4">
        <v>478851</v>
      </c>
      <c r="S1787" t="s">
        <v>18135</v>
      </c>
      <c r="T1787" s="6">
        <v>33055</v>
      </c>
      <c r="U1787" s="4">
        <v>173000</v>
      </c>
      <c r="X1787" t="s">
        <v>3</v>
      </c>
      <c r="AA1787" s="5" t="str">
        <f>HYPERLINK("https://www.zillow.com/homes/1704-WHITE-PL-DOWNERS-GROVE-IL-60516_rb/","check listing")</f>
        <v>check listing</v>
      </c>
      <c r="AB1787" s="5" t="str">
        <f>HYPERLINK("https://propertylookup.dupagecounty.gov/Datalets/Datalet.aspx?UseSearch=no&amp;mode=sales&amp;pin=0930106008","sales record")</f>
        <v>sales record</v>
      </c>
      <c r="AC1787" t="s">
        <v>3</v>
      </c>
      <c r="AD1787">
        <v>41.754957</v>
      </c>
      <c r="AE1787">
        <v>-88.025227</v>
      </c>
      <c r="AF1787" s="5" t="str">
        <f>HYPERLINK("https://www.google.com/maps/search/?api=1&amp;query=41.754957,-88.025227","map")</f>
        <v>map</v>
      </c>
    </row>
    <row r="1788" spans="1:32">
      <c r="A1788" t="s">
        <v>1838</v>
      </c>
      <c r="B1788" t="s">
        <v>9398</v>
      </c>
      <c r="C1788" t="s">
        <v>15254</v>
      </c>
      <c r="D1788" t="s">
        <v>16199</v>
      </c>
      <c r="E1788" t="s">
        <v>16218</v>
      </c>
      <c r="F1788" t="s">
        <v>16221</v>
      </c>
      <c r="G1788" t="s">
        <v>16249</v>
      </c>
      <c r="H1788" t="s">
        <v>16249</v>
      </c>
      <c r="I1788" t="s">
        <v>16325</v>
      </c>
      <c r="J1788" t="s">
        <v>16385</v>
      </c>
      <c r="K1788">
        <v>0.198</v>
      </c>
      <c r="L1788">
        <v>8624</v>
      </c>
      <c r="M1788">
        <v>1887</v>
      </c>
      <c r="N1788" t="s">
        <v>16393</v>
      </c>
      <c r="O1788" s="4">
        <v>53100</v>
      </c>
      <c r="P1788" s="4">
        <v>109662</v>
      </c>
      <c r="Q1788" s="4">
        <v>162762</v>
      </c>
      <c r="R1788" s="4">
        <v>488286</v>
      </c>
      <c r="S1788" t="s">
        <v>18136</v>
      </c>
      <c r="T1788" s="6">
        <v>46077</v>
      </c>
      <c r="U1788" s="4">
        <v>630000</v>
      </c>
      <c r="V1788" t="s">
        <v>23739</v>
      </c>
      <c r="W1788" t="s">
        <v>24579</v>
      </c>
      <c r="X1788" t="s">
        <v>3</v>
      </c>
      <c r="AA1788" s="5" t="str">
        <f>HYPERLINK("https://www.zillow.com/homes/1708-WHITE-PL-DOWNERS-GROVE-IL-60516_rb/","check listing")</f>
        <v>check listing</v>
      </c>
      <c r="AB1788" s="5" t="str">
        <f>HYPERLINK("https://propertylookup.dupagecounty.gov/Datalets/Datalet.aspx?UseSearch=no&amp;mode=sales&amp;pin=0930106009","sales record")</f>
        <v>sales record</v>
      </c>
      <c r="AC1788" t="s">
        <v>3</v>
      </c>
      <c r="AD1788">
        <v>41.754917</v>
      </c>
      <c r="AE1788">
        <v>-88.025497</v>
      </c>
      <c r="AF1788" s="5" t="str">
        <f>HYPERLINK("https://www.google.com/maps/search/?api=1&amp;query=41.754917,-88.025497","map")</f>
        <v>map</v>
      </c>
    </row>
    <row r="1789" spans="1:32">
      <c r="A1789" t="s">
        <v>1839</v>
      </c>
      <c r="B1789" t="s">
        <v>9399</v>
      </c>
      <c r="C1789" t="s">
        <v>15254</v>
      </c>
      <c r="D1789" t="s">
        <v>16199</v>
      </c>
      <c r="E1789" t="s">
        <v>16218</v>
      </c>
      <c r="F1789" t="s">
        <v>16221</v>
      </c>
      <c r="G1789" t="s">
        <v>16249</v>
      </c>
      <c r="H1789" t="s">
        <v>16249</v>
      </c>
      <c r="I1789" t="s">
        <v>16325</v>
      </c>
      <c r="J1789" t="s">
        <v>16385</v>
      </c>
      <c r="K1789">
        <v>0.198</v>
      </c>
      <c r="L1789">
        <v>8622</v>
      </c>
      <c r="M1789">
        <v>2077</v>
      </c>
      <c r="N1789" t="s">
        <v>16393</v>
      </c>
      <c r="O1789" s="4">
        <v>50975</v>
      </c>
      <c r="P1789" s="4">
        <v>101375</v>
      </c>
      <c r="Q1789" s="4">
        <v>152350</v>
      </c>
      <c r="R1789" s="4">
        <v>457050</v>
      </c>
      <c r="S1789" t="s">
        <v>18137</v>
      </c>
      <c r="T1789" s="6">
        <v>32325</v>
      </c>
      <c r="U1789" s="4">
        <v>150000</v>
      </c>
      <c r="X1789" t="s">
        <v>3</v>
      </c>
      <c r="AA1789" s="5" t="str">
        <f>HYPERLINK("https://www.zillow.com/homes/7140-SPRINGSIDE-AVE-DOWNERS-GROVE-IL-60516_rb/","check listing")</f>
        <v>check listing</v>
      </c>
      <c r="AB1789" s="5" t="str">
        <f>HYPERLINK("https://propertylookup.dupagecounty.gov/Datalets/Datalet.aspx?UseSearch=no&amp;mode=sales&amp;pin=0930202003","sales record")</f>
        <v>sales record</v>
      </c>
      <c r="AC1789" t="s">
        <v>3</v>
      </c>
      <c r="AD1789">
        <v>41.757721</v>
      </c>
      <c r="AE1789">
        <v>-88.020731</v>
      </c>
      <c r="AF1789" s="5" t="str">
        <f>HYPERLINK("https://www.google.com/maps/search/?api=1&amp;query=41.757721,-88.020731","map")</f>
        <v>map</v>
      </c>
    </row>
    <row r="1790" spans="1:32">
      <c r="A1790" t="s">
        <v>1840</v>
      </c>
      <c r="B1790" t="s">
        <v>9400</v>
      </c>
      <c r="C1790" t="s">
        <v>15254</v>
      </c>
      <c r="D1790" t="s">
        <v>16199</v>
      </c>
      <c r="E1790" t="s">
        <v>16218</v>
      </c>
      <c r="F1790" t="s">
        <v>16221</v>
      </c>
      <c r="G1790" t="s">
        <v>16249</v>
      </c>
      <c r="H1790" t="s">
        <v>16249</v>
      </c>
      <c r="I1790" t="s">
        <v>16325</v>
      </c>
      <c r="J1790" t="s">
        <v>16385</v>
      </c>
      <c r="K1790">
        <v>0.198</v>
      </c>
      <c r="L1790">
        <v>8610</v>
      </c>
      <c r="M1790">
        <v>2678</v>
      </c>
      <c r="N1790" t="s">
        <v>16393</v>
      </c>
      <c r="O1790" s="4">
        <v>47055</v>
      </c>
      <c r="P1790" s="4">
        <v>111200</v>
      </c>
      <c r="Q1790" s="4">
        <v>158255</v>
      </c>
      <c r="R1790" s="4">
        <v>474765</v>
      </c>
      <c r="S1790" t="s">
        <v>18138</v>
      </c>
      <c r="T1790" s="6">
        <v>38108</v>
      </c>
      <c r="U1790" s="4">
        <v>319000</v>
      </c>
      <c r="V1790" t="s">
        <v>23739</v>
      </c>
      <c r="W1790" t="s">
        <v>24580</v>
      </c>
      <c r="X1790" t="s">
        <v>3</v>
      </c>
      <c r="AA1790" s="5" t="str">
        <f>HYPERLINK("https://www.zillow.com/homes/1541-RICHARDS-AVE-DOWNERS-GROVE-IL-60516_rb/","check listing")</f>
        <v>check listing</v>
      </c>
      <c r="AB1790" s="5" t="str">
        <f>HYPERLINK("https://propertylookup.dupagecounty.gov/Datalets/Datalet.aspx?UseSearch=no&amp;mode=sales&amp;pin=0930202021","sales record")</f>
        <v>sales record</v>
      </c>
      <c r="AC1790" t="s">
        <v>3</v>
      </c>
      <c r="AD1790">
        <v>41.754861</v>
      </c>
      <c r="AE1790">
        <v>-88.02175</v>
      </c>
      <c r="AF1790" s="5" t="str">
        <f>HYPERLINK("https://www.google.com/maps/search/?api=1&amp;query=41.754861,-88.02175","map")</f>
        <v>map</v>
      </c>
    </row>
    <row r="1791" spans="1:32">
      <c r="A1791" t="s">
        <v>1841</v>
      </c>
      <c r="B1791" t="s">
        <v>9401</v>
      </c>
      <c r="C1791" t="s">
        <v>15254</v>
      </c>
      <c r="D1791" t="s">
        <v>16199</v>
      </c>
      <c r="E1791" t="s">
        <v>16218</v>
      </c>
      <c r="F1791" t="s">
        <v>16221</v>
      </c>
      <c r="G1791" t="s">
        <v>16249</v>
      </c>
      <c r="H1791" t="s">
        <v>16249</v>
      </c>
      <c r="I1791" t="s">
        <v>16325</v>
      </c>
      <c r="J1791" t="s">
        <v>16385</v>
      </c>
      <c r="K1791">
        <v>0.196</v>
      </c>
      <c r="L1791">
        <v>8535</v>
      </c>
      <c r="M1791">
        <v>2753</v>
      </c>
      <c r="N1791" t="s">
        <v>16393</v>
      </c>
      <c r="O1791" s="4">
        <v>50975</v>
      </c>
      <c r="P1791" s="4">
        <v>205744</v>
      </c>
      <c r="Q1791" s="4">
        <v>256719</v>
      </c>
      <c r="R1791" s="4">
        <v>770157</v>
      </c>
      <c r="S1791" t="s">
        <v>18139</v>
      </c>
      <c r="X1791" t="s">
        <v>3</v>
      </c>
      <c r="AA1791" s="5" t="str">
        <f>HYPERLINK("https://www.zillow.com/homes/7188-DEXTER-RD-DOWNERS-GROVE-IL-60516_rb/","check listing")</f>
        <v>check listing</v>
      </c>
      <c r="AB1791" s="5" t="str">
        <f>HYPERLINK("https://propertylookup.dupagecounty.gov/Datalets/Datalet.aspx?UseSearch=no&amp;mode=sales&amp;pin=0930203038","sales record")</f>
        <v>sales record</v>
      </c>
      <c r="AC1791" t="s">
        <v>3</v>
      </c>
      <c r="AD1791">
        <v>41.756698</v>
      </c>
      <c r="AE1791">
        <v>-88.01932600000001</v>
      </c>
      <c r="AF1791" s="5" t="str">
        <f>HYPERLINK("https://www.google.com/maps/search/?api=1&amp;query=41.756698,-88.019326","map")</f>
        <v>map</v>
      </c>
    </row>
    <row r="1792" spans="1:32">
      <c r="A1792" t="s">
        <v>1842</v>
      </c>
      <c r="B1792" t="s">
        <v>9402</v>
      </c>
      <c r="C1792" t="s">
        <v>15254</v>
      </c>
      <c r="D1792" t="s">
        <v>16199</v>
      </c>
      <c r="E1792" t="s">
        <v>16218</v>
      </c>
      <c r="F1792" t="s">
        <v>16221</v>
      </c>
      <c r="G1792" t="s">
        <v>16249</v>
      </c>
      <c r="H1792" t="s">
        <v>16249</v>
      </c>
      <c r="I1792" t="s">
        <v>16325</v>
      </c>
      <c r="J1792" t="s">
        <v>16385</v>
      </c>
      <c r="K1792">
        <v>0.195</v>
      </c>
      <c r="L1792">
        <v>8511</v>
      </c>
      <c r="M1792">
        <v>2120</v>
      </c>
      <c r="N1792" t="s">
        <v>16393</v>
      </c>
      <c r="O1792" s="4">
        <v>52395</v>
      </c>
      <c r="P1792" s="4">
        <v>107667</v>
      </c>
      <c r="Q1792" s="4">
        <v>160062</v>
      </c>
      <c r="R1792" s="4">
        <v>480186</v>
      </c>
      <c r="S1792" t="s">
        <v>18140</v>
      </c>
      <c r="T1792" s="6">
        <v>45747</v>
      </c>
      <c r="U1792" s="4">
        <v>450000</v>
      </c>
      <c r="V1792" t="s">
        <v>23741</v>
      </c>
      <c r="W1792" t="s">
        <v>24581</v>
      </c>
      <c r="X1792" t="s">
        <v>3</v>
      </c>
      <c r="AA1792" s="5" t="str">
        <f>HYPERLINK("https://www.zillow.com/homes/7309-BINDER-RD-DOWNERS-GROVE-IL-60516_rb/","check listing")</f>
        <v>check listing</v>
      </c>
      <c r="AB1792" s="5" t="str">
        <f>HYPERLINK("https://propertylookup.dupagecounty.gov/Datalets/Datalet.aspx?UseSearch=no&amp;mode=sales&amp;pin=0930106025","sales record")</f>
        <v>sales record</v>
      </c>
      <c r="AC1792" t="s">
        <v>3</v>
      </c>
      <c r="AD1792">
        <v>41.753993</v>
      </c>
      <c r="AE1792">
        <v>-88.026432</v>
      </c>
      <c r="AF1792" s="5" t="str">
        <f>HYPERLINK("https://www.google.com/maps/search/?api=1&amp;query=41.753993,-88.026432","map")</f>
        <v>map</v>
      </c>
    </row>
    <row r="1793" spans="1:32">
      <c r="A1793" t="s">
        <v>1843</v>
      </c>
      <c r="B1793" t="s">
        <v>9403</v>
      </c>
      <c r="C1793" t="s">
        <v>15254</v>
      </c>
      <c r="D1793" t="s">
        <v>16199</v>
      </c>
      <c r="E1793" t="s">
        <v>16218</v>
      </c>
      <c r="F1793" t="s">
        <v>16221</v>
      </c>
      <c r="G1793" t="s">
        <v>16249</v>
      </c>
      <c r="H1793" t="s">
        <v>16249</v>
      </c>
      <c r="I1793" t="s">
        <v>16325</v>
      </c>
      <c r="J1793" t="s">
        <v>16385</v>
      </c>
      <c r="K1793">
        <v>0.195</v>
      </c>
      <c r="L1793">
        <v>8511</v>
      </c>
      <c r="M1793">
        <v>2004</v>
      </c>
      <c r="N1793" t="s">
        <v>16393</v>
      </c>
      <c r="O1793" s="4">
        <v>52395</v>
      </c>
      <c r="P1793" s="4">
        <v>77537</v>
      </c>
      <c r="Q1793" s="4">
        <v>129932</v>
      </c>
      <c r="R1793" s="4">
        <v>389796</v>
      </c>
      <c r="S1793" t="s">
        <v>18141</v>
      </c>
      <c r="T1793" s="6">
        <v>31199</v>
      </c>
      <c r="U1793" s="4">
        <v>100827</v>
      </c>
      <c r="X1793" t="s">
        <v>3</v>
      </c>
      <c r="AA1793" s="5" t="str">
        <f>HYPERLINK("https://www.zillow.com/homes/7301-BINDER-RD-DOWNERS-GROVE-IL-60516_rb/","check listing")</f>
        <v>check listing</v>
      </c>
      <c r="AB1793" s="5" t="str">
        <f>HYPERLINK("https://propertylookup.dupagecounty.gov/Datalets/Datalet.aspx?UseSearch=no&amp;mode=sales&amp;pin=0930106027","sales record")</f>
        <v>sales record</v>
      </c>
      <c r="AC1793" t="s">
        <v>3</v>
      </c>
      <c r="AD1793">
        <v>41.75441</v>
      </c>
      <c r="AE1793">
        <v>-88.026445</v>
      </c>
      <c r="AF1793" s="5" t="str">
        <f>HYPERLINK("https://www.google.com/maps/search/?api=1&amp;query=41.75441,-88.026445","map")</f>
        <v>map</v>
      </c>
    </row>
    <row r="1794" spans="1:32">
      <c r="A1794" t="s">
        <v>1844</v>
      </c>
      <c r="B1794" t="s">
        <v>9404</v>
      </c>
      <c r="C1794" t="s">
        <v>15254</v>
      </c>
      <c r="D1794" t="s">
        <v>16199</v>
      </c>
      <c r="E1794" t="s">
        <v>16218</v>
      </c>
      <c r="F1794" t="s">
        <v>16221</v>
      </c>
      <c r="G1794" t="s">
        <v>16249</v>
      </c>
      <c r="H1794" t="s">
        <v>16249</v>
      </c>
      <c r="I1794" t="s">
        <v>16325</v>
      </c>
      <c r="J1794" t="s">
        <v>16385</v>
      </c>
      <c r="K1794">
        <v>0.195</v>
      </c>
      <c r="L1794">
        <v>8510</v>
      </c>
      <c r="M1794">
        <v>1765</v>
      </c>
      <c r="N1794" t="s">
        <v>16393</v>
      </c>
      <c r="O1794" s="4">
        <v>52395</v>
      </c>
      <c r="P1794" s="4">
        <v>114392</v>
      </c>
      <c r="Q1794" s="4">
        <v>166787</v>
      </c>
      <c r="R1794" s="4">
        <v>500361</v>
      </c>
      <c r="S1794" t="s">
        <v>18142</v>
      </c>
      <c r="T1794" s="6">
        <v>40087</v>
      </c>
      <c r="U1794" s="4">
        <v>336500</v>
      </c>
      <c r="V1794" t="s">
        <v>23739</v>
      </c>
      <c r="W1794" t="s">
        <v>24582</v>
      </c>
      <c r="X1794" t="s">
        <v>3</v>
      </c>
      <c r="AA1794" s="5" t="str">
        <f>HYPERLINK("https://www.zillow.com/homes/7233-BINDER-RD-DOWNERS-GROVE-IL-60516_rb/","check listing")</f>
        <v>check listing</v>
      </c>
      <c r="AB1794" s="5" t="str">
        <f>HYPERLINK("https://propertylookup.dupagecounty.gov/Datalets/Datalet.aspx?UseSearch=no&amp;mode=sales&amp;pin=0930106028","sales record")</f>
        <v>sales record</v>
      </c>
      <c r="AC1794" t="s">
        <v>3</v>
      </c>
      <c r="AD1794">
        <v>41.754635</v>
      </c>
      <c r="AE1794">
        <v>-88.02645200000001</v>
      </c>
      <c r="AF1794" s="5" t="str">
        <f>HYPERLINK("https://www.google.com/maps/search/?api=1&amp;query=41.754635,-88.026452","map")</f>
        <v>map</v>
      </c>
    </row>
    <row r="1795" spans="1:32">
      <c r="A1795" t="s">
        <v>1845</v>
      </c>
      <c r="B1795" t="s">
        <v>9405</v>
      </c>
      <c r="C1795" t="s">
        <v>15254</v>
      </c>
      <c r="D1795" t="s">
        <v>16199</v>
      </c>
      <c r="E1795" t="s">
        <v>16218</v>
      </c>
      <c r="F1795" t="s">
        <v>16221</v>
      </c>
      <c r="G1795" t="s">
        <v>16249</v>
      </c>
      <c r="H1795" t="s">
        <v>16249</v>
      </c>
      <c r="I1795" t="s">
        <v>16325</v>
      </c>
      <c r="J1795" t="s">
        <v>16385</v>
      </c>
      <c r="K1795">
        <v>0.195</v>
      </c>
      <c r="L1795">
        <v>8508</v>
      </c>
      <c r="M1795">
        <v>1373</v>
      </c>
      <c r="N1795" t="s">
        <v>16393</v>
      </c>
      <c r="O1795" s="4">
        <v>52395</v>
      </c>
      <c r="P1795" s="4">
        <v>116623</v>
      </c>
      <c r="Q1795" s="4">
        <v>169018</v>
      </c>
      <c r="R1795" s="4">
        <v>507054</v>
      </c>
      <c r="S1795" t="s">
        <v>18143</v>
      </c>
      <c r="T1795" s="6">
        <v>34851</v>
      </c>
      <c r="U1795" s="4">
        <v>216000</v>
      </c>
      <c r="X1795" t="s">
        <v>3</v>
      </c>
      <c r="AA1795" s="5" t="str">
        <f>HYPERLINK("https://www.zillow.com/homes/7305-BINDER-RD-DOWNERS-GROVE-IL-60516_rb/","check listing")</f>
        <v>check listing</v>
      </c>
      <c r="AB1795" s="5" t="str">
        <f>HYPERLINK("https://propertylookup.dupagecounty.gov/Datalets/Datalet.aspx?UseSearch=no&amp;mode=sales&amp;pin=0930106026","sales record")</f>
        <v>sales record</v>
      </c>
      <c r="AC1795" t="s">
        <v>3</v>
      </c>
      <c r="AD1795">
        <v>41.754207</v>
      </c>
      <c r="AE1795">
        <v>-88.026439</v>
      </c>
      <c r="AF1795" s="5" t="str">
        <f>HYPERLINK("https://www.google.com/maps/search/?api=1&amp;query=41.754207,-88.026439","map")</f>
        <v>map</v>
      </c>
    </row>
    <row r="1796" spans="1:32">
      <c r="A1796" t="s">
        <v>1846</v>
      </c>
      <c r="B1796" t="s">
        <v>9406</v>
      </c>
      <c r="C1796" t="s">
        <v>15254</v>
      </c>
      <c r="D1796" t="s">
        <v>16199</v>
      </c>
      <c r="E1796" t="s">
        <v>16218</v>
      </c>
      <c r="F1796" t="s">
        <v>16221</v>
      </c>
      <c r="G1796" t="s">
        <v>16249</v>
      </c>
      <c r="H1796" t="s">
        <v>16249</v>
      </c>
      <c r="I1796" t="s">
        <v>16325</v>
      </c>
      <c r="J1796" t="s">
        <v>16385</v>
      </c>
      <c r="K1796">
        <v>0.194</v>
      </c>
      <c r="L1796">
        <v>8469</v>
      </c>
      <c r="M1796">
        <v>2032</v>
      </c>
      <c r="N1796" t="s">
        <v>16393</v>
      </c>
      <c r="O1796" s="4">
        <v>51644</v>
      </c>
      <c r="P1796" s="4">
        <v>96305</v>
      </c>
      <c r="Q1796" s="4">
        <v>147949</v>
      </c>
      <c r="R1796" s="4">
        <v>443847</v>
      </c>
      <c r="S1796" t="s">
        <v>18144</v>
      </c>
      <c r="T1796" s="6">
        <v>38261</v>
      </c>
      <c r="U1796" s="4">
        <v>322000</v>
      </c>
      <c r="V1796" t="s">
        <v>23739</v>
      </c>
      <c r="W1796" t="s">
        <v>24583</v>
      </c>
      <c r="X1796" t="s">
        <v>3</v>
      </c>
      <c r="AA1796" s="5" t="str">
        <f>HYPERLINK("https://www.zillow.com/homes/7173-SPRINGSIDE-AVE-DOWNERS-GROVE-IL-60516_rb/","check listing")</f>
        <v>check listing</v>
      </c>
      <c r="AB1796" s="5" t="str">
        <f>HYPERLINK("https://propertylookup.dupagecounty.gov/Datalets/Datalet.aspx?UseSearch=no&amp;mode=sales&amp;pin=0930203010","sales record")</f>
        <v>sales record</v>
      </c>
      <c r="AC1796" t="s">
        <v>3</v>
      </c>
      <c r="AD1796">
        <v>41.756751</v>
      </c>
      <c r="AE1796">
        <v>-88.021117</v>
      </c>
      <c r="AF1796" s="5" t="str">
        <f>HYPERLINK("https://www.google.com/maps/search/?api=1&amp;query=41.756751,-88.021117","map")</f>
        <v>map</v>
      </c>
    </row>
    <row r="1797" spans="1:32">
      <c r="A1797" t="s">
        <v>1847</v>
      </c>
      <c r="B1797" t="s">
        <v>9407</v>
      </c>
      <c r="C1797" t="s">
        <v>15254</v>
      </c>
      <c r="D1797" t="s">
        <v>16199</v>
      </c>
      <c r="E1797" t="s">
        <v>16218</v>
      </c>
      <c r="F1797" t="s">
        <v>16221</v>
      </c>
      <c r="G1797" t="s">
        <v>16249</v>
      </c>
      <c r="H1797" t="s">
        <v>16249</v>
      </c>
      <c r="I1797" t="s">
        <v>16325</v>
      </c>
      <c r="J1797" t="s">
        <v>16385</v>
      </c>
      <c r="K1797">
        <v>0.194</v>
      </c>
      <c r="L1797">
        <v>8464</v>
      </c>
      <c r="M1797">
        <v>2273</v>
      </c>
      <c r="N1797" t="s">
        <v>16393</v>
      </c>
      <c r="O1797" s="4">
        <v>63992</v>
      </c>
      <c r="P1797" s="4">
        <v>174018</v>
      </c>
      <c r="Q1797" s="4">
        <v>238010</v>
      </c>
      <c r="R1797" s="4">
        <v>714030</v>
      </c>
      <c r="S1797" t="s">
        <v>18145</v>
      </c>
      <c r="T1797" s="6">
        <v>42522</v>
      </c>
      <c r="U1797" s="4">
        <v>452000</v>
      </c>
      <c r="V1797" t="s">
        <v>23739</v>
      </c>
      <c r="W1797" t="s">
        <v>18145</v>
      </c>
      <c r="X1797" t="s">
        <v>3</v>
      </c>
      <c r="AA1797" s="5" t="str">
        <f>HYPERLINK("https://www.zillow.com/homes/1190-CRYSTAL-AVE-DOWNERS-GROVE-IL-60516_rb/","check listing")</f>
        <v>check listing</v>
      </c>
      <c r="AB1797" s="5" t="str">
        <f>HYPERLINK("https://propertylookup.dupagecounty.gov/Datalets/Datalet.aspx?UseSearch=no&amp;mode=sales&amp;pin=0929116001","sales record")</f>
        <v>sales record</v>
      </c>
      <c r="AC1797" t="s">
        <v>3</v>
      </c>
      <c r="AD1797">
        <v>41.756536</v>
      </c>
      <c r="AE1797">
        <v>-88.012709</v>
      </c>
      <c r="AF1797" s="5" t="str">
        <f>HYPERLINK("https://www.google.com/maps/search/?api=1&amp;query=41.756536,-88.012709","map")</f>
        <v>map</v>
      </c>
    </row>
    <row r="1798" spans="1:32">
      <c r="A1798" t="s">
        <v>1848</v>
      </c>
      <c r="B1798" t="s">
        <v>9408</v>
      </c>
      <c r="C1798" t="s">
        <v>15254</v>
      </c>
      <c r="D1798" t="s">
        <v>16199</v>
      </c>
      <c r="E1798" t="s">
        <v>16218</v>
      </c>
      <c r="F1798" t="s">
        <v>16221</v>
      </c>
      <c r="G1798" t="s">
        <v>16249</v>
      </c>
      <c r="H1798" t="s">
        <v>16249</v>
      </c>
      <c r="I1798" t="s">
        <v>16325</v>
      </c>
      <c r="J1798" t="s">
        <v>16385</v>
      </c>
      <c r="K1798">
        <v>0.194</v>
      </c>
      <c r="L1798">
        <v>8432</v>
      </c>
      <c r="M1798">
        <v>2215</v>
      </c>
      <c r="N1798" t="s">
        <v>16393</v>
      </c>
      <c r="O1798" s="4">
        <v>48851</v>
      </c>
      <c r="P1798" s="4">
        <v>135895</v>
      </c>
      <c r="Q1798" s="4">
        <v>184746</v>
      </c>
      <c r="R1798" s="4">
        <v>554238</v>
      </c>
      <c r="S1798" t="s">
        <v>18146</v>
      </c>
      <c r="T1798" s="6">
        <v>31959</v>
      </c>
      <c r="U1798" s="4">
        <v>170922</v>
      </c>
      <c r="X1798" t="s">
        <v>3</v>
      </c>
      <c r="AA1798" s="5" t="str">
        <f>HYPERLINK("https://www.zillow.com/homes/7228-POWELL-ST-DOWNERS-GROVE-IL-60516_rb/","check listing")</f>
        <v>check listing</v>
      </c>
      <c r="AB1798" s="5" t="str">
        <f>HYPERLINK("https://propertylookup.dupagecounty.gov/Datalets/Datalet.aspx?UseSearch=no&amp;mode=sales&amp;pin=0930204032","sales record")</f>
        <v>sales record</v>
      </c>
      <c r="AC1798" t="s">
        <v>3</v>
      </c>
      <c r="AD1798">
        <v>41.755579</v>
      </c>
      <c r="AE1798">
        <v>-88.017235</v>
      </c>
      <c r="AF1798" s="5" t="str">
        <f>HYPERLINK("https://www.google.com/maps/search/?api=1&amp;query=41.755579,-88.017235","map")</f>
        <v>map</v>
      </c>
    </row>
    <row r="1799" spans="1:32">
      <c r="A1799" t="s">
        <v>1849</v>
      </c>
      <c r="B1799" t="s">
        <v>9409</v>
      </c>
      <c r="C1799" t="s">
        <v>15254</v>
      </c>
      <c r="D1799" t="s">
        <v>16199</v>
      </c>
      <c r="E1799" t="s">
        <v>16218</v>
      </c>
      <c r="F1799" t="s">
        <v>16221</v>
      </c>
      <c r="G1799" t="s">
        <v>16249</v>
      </c>
      <c r="H1799" t="s">
        <v>16249</v>
      </c>
      <c r="I1799" t="s">
        <v>16325</v>
      </c>
      <c r="J1799" t="s">
        <v>16385</v>
      </c>
      <c r="K1799">
        <v>0.193</v>
      </c>
      <c r="L1799">
        <v>8423</v>
      </c>
      <c r="M1799">
        <v>2315</v>
      </c>
      <c r="N1799" t="s">
        <v>16393</v>
      </c>
      <c r="O1799" s="4">
        <v>63629</v>
      </c>
      <c r="P1799" s="4">
        <v>194653</v>
      </c>
      <c r="Q1799" s="4">
        <v>258282</v>
      </c>
      <c r="R1799" s="4">
        <v>774846</v>
      </c>
      <c r="S1799" t="s">
        <v>18147</v>
      </c>
      <c r="T1799" s="6">
        <v>35612</v>
      </c>
      <c r="U1799" s="4">
        <v>340500</v>
      </c>
      <c r="X1799" t="s">
        <v>3</v>
      </c>
      <c r="AA1799" s="5" t="str">
        <f>HYPERLINK("https://www.zillow.com/homes/1130-CRYSTAL-AVE-DOWNERS-GROVE-IL-60516_rb/","check listing")</f>
        <v>check listing</v>
      </c>
      <c r="AB1799" s="5" t="str">
        <f>HYPERLINK("https://propertylookup.dupagecounty.gov/Datalets/Datalet.aspx?UseSearch=no&amp;mode=sales&amp;pin=0929116006","sales record")</f>
        <v>sales record</v>
      </c>
      <c r="AC1799" t="s">
        <v>3</v>
      </c>
      <c r="AD1799">
        <v>41.756559</v>
      </c>
      <c r="AE1799">
        <v>-88.011364</v>
      </c>
      <c r="AF1799" s="5" t="str">
        <f>HYPERLINK("https://www.google.com/maps/search/?api=1&amp;query=41.756559,-88.011364","map")</f>
        <v>map</v>
      </c>
    </row>
    <row r="1800" spans="1:32">
      <c r="A1800" t="s">
        <v>1850</v>
      </c>
      <c r="B1800" t="s">
        <v>9410</v>
      </c>
      <c r="C1800" t="s">
        <v>15254</v>
      </c>
      <c r="D1800" t="s">
        <v>16199</v>
      </c>
      <c r="E1800" t="s">
        <v>16218</v>
      </c>
      <c r="F1800" t="s">
        <v>16221</v>
      </c>
      <c r="G1800" t="s">
        <v>16249</v>
      </c>
      <c r="H1800" t="s">
        <v>16249</v>
      </c>
      <c r="I1800" t="s">
        <v>16325</v>
      </c>
      <c r="J1800" t="s">
        <v>16385</v>
      </c>
      <c r="K1800">
        <v>0.193</v>
      </c>
      <c r="L1800">
        <v>8399</v>
      </c>
      <c r="M1800">
        <v>1635</v>
      </c>
      <c r="N1800" t="s">
        <v>16393</v>
      </c>
      <c r="O1800" s="4">
        <v>48112</v>
      </c>
      <c r="P1800" s="4">
        <v>114157</v>
      </c>
      <c r="Q1800" s="4">
        <v>162269</v>
      </c>
      <c r="R1800" s="4">
        <v>486807</v>
      </c>
      <c r="S1800" t="s">
        <v>18148</v>
      </c>
      <c r="T1800" s="6">
        <v>39083</v>
      </c>
      <c r="U1800" s="4">
        <v>365000</v>
      </c>
      <c r="V1800" t="s">
        <v>23739</v>
      </c>
      <c r="W1800" t="s">
        <v>24584</v>
      </c>
      <c r="X1800" t="s">
        <v>3</v>
      </c>
      <c r="AA1800" s="5" t="str">
        <f>HYPERLINK("https://www.zillow.com/homes/7232-BATEMAN-ST-DOWNERS-GROVE-IL-60516_rb/","check listing")</f>
        <v>check listing</v>
      </c>
      <c r="AB1800" s="5" t="str">
        <f>HYPERLINK("https://propertylookup.dupagecounty.gov/Datalets/Datalet.aspx?UseSearch=no&amp;mode=sales&amp;pin=0930208007","sales record")</f>
        <v>sales record</v>
      </c>
      <c r="AC1800" t="s">
        <v>3</v>
      </c>
      <c r="AD1800">
        <v>41.755582</v>
      </c>
      <c r="AE1800">
        <v>-88.01593800000001</v>
      </c>
      <c r="AF1800" s="5" t="str">
        <f>HYPERLINK("https://www.google.com/maps/search/?api=1&amp;query=41.755582,-88.015938","map")</f>
        <v>map</v>
      </c>
    </row>
    <row r="1801" spans="1:32">
      <c r="A1801" t="s">
        <v>1851</v>
      </c>
      <c r="B1801" t="s">
        <v>9411</v>
      </c>
      <c r="C1801" t="s">
        <v>15254</v>
      </c>
      <c r="D1801" t="s">
        <v>16199</v>
      </c>
      <c r="E1801" t="s">
        <v>16218</v>
      </c>
      <c r="F1801" t="s">
        <v>16221</v>
      </c>
      <c r="G1801" t="s">
        <v>16249</v>
      </c>
      <c r="H1801" t="s">
        <v>16249</v>
      </c>
      <c r="I1801" t="s">
        <v>16325</v>
      </c>
      <c r="J1801" t="s">
        <v>16385</v>
      </c>
      <c r="K1801">
        <v>0.193</v>
      </c>
      <c r="L1801">
        <v>8398</v>
      </c>
      <c r="M1801">
        <v>1675</v>
      </c>
      <c r="N1801" t="s">
        <v>16393</v>
      </c>
      <c r="O1801" s="4">
        <v>46762</v>
      </c>
      <c r="P1801" s="4">
        <v>117280</v>
      </c>
      <c r="Q1801" s="4">
        <v>164042</v>
      </c>
      <c r="R1801" s="4">
        <v>492126</v>
      </c>
      <c r="S1801" t="s">
        <v>18149</v>
      </c>
      <c r="T1801" s="6">
        <v>38200</v>
      </c>
      <c r="U1801" s="4">
        <v>355000</v>
      </c>
      <c r="V1801" t="s">
        <v>23739</v>
      </c>
      <c r="W1801" t="s">
        <v>18149</v>
      </c>
      <c r="X1801" t="s">
        <v>3</v>
      </c>
      <c r="AA1801" s="5" t="str">
        <f>HYPERLINK("https://www.zillow.com/homes/1304-HUGHES-AVE-DOWNERS-GROVE-IL-60516_rb/","check listing")</f>
        <v>check listing</v>
      </c>
      <c r="AB1801" s="5" t="str">
        <f>HYPERLINK("https://propertylookup.dupagecounty.gov/Datalets/Datalet.aspx?UseSearch=no&amp;mode=sales&amp;pin=0930206032","sales record")</f>
        <v>sales record</v>
      </c>
      <c r="AC1801" t="s">
        <v>3</v>
      </c>
      <c r="AD1801">
        <v>41.757299</v>
      </c>
      <c r="AE1801">
        <v>-88.01483899999999</v>
      </c>
      <c r="AF1801" s="5" t="str">
        <f>HYPERLINK("https://www.google.com/maps/search/?api=1&amp;query=41.757299,-88.014839","map")</f>
        <v>map</v>
      </c>
    </row>
    <row r="1802" spans="1:32">
      <c r="A1802" t="s">
        <v>1852</v>
      </c>
      <c r="B1802" t="s">
        <v>9412</v>
      </c>
      <c r="C1802" t="s">
        <v>15335</v>
      </c>
      <c r="D1802" t="s">
        <v>16199</v>
      </c>
      <c r="E1802" t="s">
        <v>16218</v>
      </c>
      <c r="F1802" t="s">
        <v>16221</v>
      </c>
      <c r="G1802" t="s">
        <v>16249</v>
      </c>
      <c r="H1802" t="s">
        <v>16249</v>
      </c>
      <c r="I1802" t="s">
        <v>16325</v>
      </c>
      <c r="J1802" t="s">
        <v>16385</v>
      </c>
      <c r="K1802">
        <v>0.192</v>
      </c>
      <c r="L1802">
        <v>8377</v>
      </c>
      <c r="M1802">
        <v>1521</v>
      </c>
      <c r="N1802" t="s">
        <v>16393</v>
      </c>
      <c r="O1802" s="4">
        <v>50975</v>
      </c>
      <c r="P1802" s="4">
        <v>112949</v>
      </c>
      <c r="Q1802" s="4">
        <v>163924</v>
      </c>
      <c r="R1802" s="4">
        <v>491772</v>
      </c>
      <c r="S1802" t="s">
        <v>18150</v>
      </c>
      <c r="T1802" s="6">
        <v>36312</v>
      </c>
      <c r="U1802" s="4">
        <v>227000</v>
      </c>
      <c r="X1802" t="s">
        <v>3</v>
      </c>
      <c r="AA1802" s="5" t="str">
        <f>HYPERLINK("https://www.zillow.com/homes/1304-KLEIN-AVE-DOWNERS-GROVE-IL-605163760_rb/","check listing")</f>
        <v>check listing</v>
      </c>
      <c r="AB1802" s="5" t="str">
        <f>HYPERLINK("https://propertylookup.dupagecounty.gov/Datalets/Datalet.aspx?UseSearch=no&amp;mode=sales&amp;pin=0930205004","sales record")</f>
        <v>sales record</v>
      </c>
      <c r="AC1802" t="s">
        <v>3</v>
      </c>
      <c r="AD1802">
        <v>41.758049</v>
      </c>
      <c r="AE1802">
        <v>-88.01514400000001</v>
      </c>
      <c r="AF1802" s="5" t="str">
        <f>HYPERLINK("https://www.google.com/maps/search/?api=1&amp;query=41.758049,-88.015144","map")</f>
        <v>map</v>
      </c>
    </row>
    <row r="1803" spans="1:32">
      <c r="A1803" t="s">
        <v>1853</v>
      </c>
      <c r="B1803" t="s">
        <v>9413</v>
      </c>
      <c r="C1803" t="s">
        <v>15254</v>
      </c>
      <c r="D1803" t="s">
        <v>16199</v>
      </c>
      <c r="E1803" t="s">
        <v>16218</v>
      </c>
      <c r="F1803" t="s">
        <v>16221</v>
      </c>
      <c r="G1803" t="s">
        <v>16249</v>
      </c>
      <c r="H1803" t="s">
        <v>16249</v>
      </c>
      <c r="I1803" t="s">
        <v>16325</v>
      </c>
      <c r="J1803" t="s">
        <v>16385</v>
      </c>
      <c r="K1803">
        <v>0.192</v>
      </c>
      <c r="L1803">
        <v>8372</v>
      </c>
      <c r="M1803">
        <v>2206</v>
      </c>
      <c r="N1803" t="s">
        <v>16393</v>
      </c>
      <c r="O1803" s="4">
        <v>51011</v>
      </c>
      <c r="P1803" s="4">
        <v>103699</v>
      </c>
      <c r="Q1803" s="4">
        <v>154710</v>
      </c>
      <c r="R1803" s="4">
        <v>464130</v>
      </c>
      <c r="S1803" t="s">
        <v>18151</v>
      </c>
      <c r="T1803" s="6">
        <v>31868</v>
      </c>
      <c r="U1803" s="4">
        <v>126971</v>
      </c>
      <c r="X1803" t="s">
        <v>3</v>
      </c>
      <c r="AA1803" s="5" t="str">
        <f>HYPERLINK("https://www.zillow.com/homes/1308-KLEIN-AVE-DOWNERS-GROVE-IL-60516_rb/","check listing")</f>
        <v>check listing</v>
      </c>
      <c r="AB1803" s="5" t="str">
        <f>HYPERLINK("https://propertylookup.dupagecounty.gov/Datalets/Datalet.aspx?UseSearch=no&amp;mode=sales&amp;pin=0930205003","sales record")</f>
        <v>sales record</v>
      </c>
      <c r="AC1803" t="s">
        <v>3</v>
      </c>
      <c r="AD1803">
        <v>41.758044</v>
      </c>
      <c r="AE1803">
        <v>-88.01540799999999</v>
      </c>
      <c r="AF1803" s="5" t="str">
        <f>HYPERLINK("https://www.google.com/maps/search/?api=1&amp;query=41.758044,-88.015408","map")</f>
        <v>map</v>
      </c>
    </row>
    <row r="1804" spans="1:32">
      <c r="A1804" t="s">
        <v>1854</v>
      </c>
      <c r="B1804" t="s">
        <v>9414</v>
      </c>
      <c r="C1804" t="s">
        <v>15254</v>
      </c>
      <c r="D1804" t="s">
        <v>16199</v>
      </c>
      <c r="E1804" t="s">
        <v>16218</v>
      </c>
      <c r="F1804" t="s">
        <v>16221</v>
      </c>
      <c r="G1804" t="s">
        <v>16249</v>
      </c>
      <c r="H1804" t="s">
        <v>16249</v>
      </c>
      <c r="I1804" t="s">
        <v>16325</v>
      </c>
      <c r="J1804" t="s">
        <v>16385</v>
      </c>
      <c r="K1804">
        <v>0.192</v>
      </c>
      <c r="L1804">
        <v>8365</v>
      </c>
      <c r="M1804">
        <v>1765</v>
      </c>
      <c r="N1804" t="s">
        <v>16393</v>
      </c>
      <c r="O1804" s="4">
        <v>46861</v>
      </c>
      <c r="P1804" s="4">
        <v>102829</v>
      </c>
      <c r="Q1804" s="4">
        <v>149690</v>
      </c>
      <c r="R1804" s="4">
        <v>449070</v>
      </c>
      <c r="S1804" t="s">
        <v>18152</v>
      </c>
      <c r="T1804" s="6">
        <v>32112</v>
      </c>
      <c r="U1804" s="4">
        <v>137263</v>
      </c>
      <c r="X1804" t="s">
        <v>3</v>
      </c>
      <c r="AA1804" s="5" t="str">
        <f>HYPERLINK("https://www.zillow.com/homes/1312-KLEIN-AVE-DOWNERS-GROVE-IL-60516_rb/","check listing")</f>
        <v>check listing</v>
      </c>
      <c r="AB1804" s="5" t="str">
        <f>HYPERLINK("https://propertylookup.dupagecounty.gov/Datalets/Datalet.aspx?UseSearch=no&amp;mode=sales&amp;pin=0930205002","sales record")</f>
        <v>sales record</v>
      </c>
      <c r="AC1804" t="s">
        <v>3</v>
      </c>
      <c r="AD1804">
        <v>41.758039</v>
      </c>
      <c r="AE1804">
        <v>-88.015671</v>
      </c>
      <c r="AF1804" s="5" t="str">
        <f>HYPERLINK("https://www.google.com/maps/search/?api=1&amp;query=41.758039,-88.015671","map")</f>
        <v>map</v>
      </c>
    </row>
    <row r="1805" spans="1:32">
      <c r="A1805" t="s">
        <v>1855</v>
      </c>
      <c r="B1805" t="s">
        <v>9415</v>
      </c>
      <c r="C1805" t="s">
        <v>15254</v>
      </c>
      <c r="D1805" t="s">
        <v>16199</v>
      </c>
      <c r="E1805" t="s">
        <v>16218</v>
      </c>
      <c r="F1805" t="s">
        <v>16221</v>
      </c>
      <c r="G1805" t="s">
        <v>16249</v>
      </c>
      <c r="H1805" t="s">
        <v>16249</v>
      </c>
      <c r="I1805" t="s">
        <v>16325</v>
      </c>
      <c r="J1805" t="s">
        <v>16385</v>
      </c>
      <c r="K1805">
        <v>0.192</v>
      </c>
      <c r="L1805">
        <v>8349</v>
      </c>
      <c r="M1805">
        <v>1982</v>
      </c>
      <c r="N1805" t="s">
        <v>16393</v>
      </c>
      <c r="O1805" s="4">
        <v>50975</v>
      </c>
      <c r="P1805" s="4">
        <v>131154</v>
      </c>
      <c r="Q1805" s="4">
        <v>182129</v>
      </c>
      <c r="R1805" s="4">
        <v>546387</v>
      </c>
      <c r="S1805" t="s">
        <v>18153</v>
      </c>
      <c r="T1805" s="6">
        <v>28764</v>
      </c>
      <c r="U1805" s="4">
        <v>93657</v>
      </c>
      <c r="X1805" t="s">
        <v>3</v>
      </c>
      <c r="AA1805" s="5" t="str">
        <f>HYPERLINK("https://www.zillow.com/homes/7241-SPRINGSIDE-AVE-DOWNERS-GROVE-IL-60516_rb/","check listing")</f>
        <v>check listing</v>
      </c>
      <c r="AB1805" s="5" t="str">
        <f>HYPERLINK("https://propertylookup.dupagecounty.gov/Datalets/Datalet.aspx?UseSearch=no&amp;mode=sales&amp;pin=0930203017","sales record")</f>
        <v>sales record</v>
      </c>
      <c r="AC1805" t="s">
        <v>3</v>
      </c>
      <c r="AD1805">
        <v>41.755538</v>
      </c>
      <c r="AE1805">
        <v>-88.021672</v>
      </c>
      <c r="AF1805" s="5" t="str">
        <f>HYPERLINK("https://www.google.com/maps/search/?api=1&amp;query=41.755538,-88.021672","map")</f>
        <v>map</v>
      </c>
    </row>
    <row r="1806" spans="1:32">
      <c r="A1806" t="s">
        <v>1856</v>
      </c>
      <c r="B1806" t="s">
        <v>9416</v>
      </c>
      <c r="C1806" t="s">
        <v>15316</v>
      </c>
      <c r="D1806" t="s">
        <v>16199</v>
      </c>
      <c r="E1806" t="s">
        <v>16218</v>
      </c>
      <c r="F1806" t="s">
        <v>16221</v>
      </c>
      <c r="G1806" t="s">
        <v>16249</v>
      </c>
      <c r="H1806" t="s">
        <v>16249</v>
      </c>
      <c r="I1806" t="s">
        <v>16325</v>
      </c>
      <c r="J1806" t="s">
        <v>16385</v>
      </c>
      <c r="K1806">
        <v>0.191</v>
      </c>
      <c r="L1806">
        <v>8338</v>
      </c>
      <c r="M1806">
        <v>2408</v>
      </c>
      <c r="N1806" t="s">
        <v>16393</v>
      </c>
      <c r="O1806" s="4">
        <v>51327</v>
      </c>
      <c r="P1806" s="4">
        <v>123043</v>
      </c>
      <c r="Q1806" s="4">
        <v>174370</v>
      </c>
      <c r="R1806" s="4">
        <v>523110</v>
      </c>
      <c r="S1806" t="s">
        <v>18154</v>
      </c>
      <c r="T1806" s="6">
        <v>42705</v>
      </c>
      <c r="U1806" s="4">
        <v>312000</v>
      </c>
      <c r="V1806" t="s">
        <v>23739</v>
      </c>
      <c r="W1806" t="s">
        <v>24585</v>
      </c>
      <c r="X1806" t="s">
        <v>3</v>
      </c>
      <c r="AA1806" s="5" t="str">
        <f>HYPERLINK("https://www.zillow.com/homes/1716-BORMAN-PL-DOWNERS-GROVE-IL-605163743_rb/","check listing")</f>
        <v>check listing</v>
      </c>
      <c r="AB1806" s="5" t="str">
        <f>HYPERLINK("https://propertylookup.dupagecounty.gov/Datalets/Datalet.aspx?UseSearch=no&amp;mode=sales&amp;pin=0930103049","sales record")</f>
        <v>sales record</v>
      </c>
      <c r="AC1806" t="s">
        <v>3</v>
      </c>
      <c r="AD1806">
        <v>41.751818</v>
      </c>
      <c r="AE1806">
        <v>-88.02605</v>
      </c>
      <c r="AF1806" s="5" t="str">
        <f>HYPERLINK("https://www.google.com/maps/search/?api=1&amp;query=41.751818,-88.02605","map")</f>
        <v>map</v>
      </c>
    </row>
    <row r="1807" spans="1:32">
      <c r="A1807" t="s">
        <v>1857</v>
      </c>
      <c r="B1807" t="s">
        <v>9417</v>
      </c>
      <c r="C1807" t="s">
        <v>15254</v>
      </c>
      <c r="D1807" t="s">
        <v>16199</v>
      </c>
      <c r="E1807" t="s">
        <v>16218</v>
      </c>
      <c r="F1807" t="s">
        <v>16221</v>
      </c>
      <c r="G1807" t="s">
        <v>16249</v>
      </c>
      <c r="H1807" t="s">
        <v>16249</v>
      </c>
      <c r="I1807" t="s">
        <v>16325</v>
      </c>
      <c r="J1807" t="s">
        <v>16385</v>
      </c>
      <c r="K1807">
        <v>0.191</v>
      </c>
      <c r="L1807">
        <v>8331</v>
      </c>
      <c r="M1807">
        <v>2175</v>
      </c>
      <c r="N1807" t="s">
        <v>16393</v>
      </c>
      <c r="O1807" s="4">
        <v>50975</v>
      </c>
      <c r="P1807" s="4">
        <v>133548</v>
      </c>
      <c r="Q1807" s="4">
        <v>184523</v>
      </c>
      <c r="R1807" s="4">
        <v>553569</v>
      </c>
      <c r="S1807" t="s">
        <v>18155</v>
      </c>
      <c r="T1807" s="6">
        <v>31291</v>
      </c>
      <c r="U1807" s="4">
        <v>139900</v>
      </c>
      <c r="X1807" t="s">
        <v>3</v>
      </c>
      <c r="AA1807" s="5" t="str">
        <f>HYPERLINK("https://www.zillow.com/homes/7233-SPRINGSIDE-AVE-DOWNERS-GROVE-IL-60516_rb/","check listing")</f>
        <v>check listing</v>
      </c>
      <c r="AB1807" s="5" t="str">
        <f>HYPERLINK("https://propertylookup.dupagecounty.gov/Datalets/Datalet.aspx?UseSearch=no&amp;mode=sales&amp;pin=0930203016","sales record")</f>
        <v>sales record</v>
      </c>
      <c r="AC1807" t="s">
        <v>3</v>
      </c>
      <c r="AD1807">
        <v>41.755736</v>
      </c>
      <c r="AE1807">
        <v>-88.02167799999999</v>
      </c>
      <c r="AF1807" s="5" t="str">
        <f>HYPERLINK("https://www.google.com/maps/search/?api=1&amp;query=41.755736,-88.021678","map")</f>
        <v>map</v>
      </c>
    </row>
    <row r="1808" spans="1:32">
      <c r="A1808" t="s">
        <v>1858</v>
      </c>
      <c r="B1808" t="s">
        <v>9418</v>
      </c>
      <c r="C1808" t="s">
        <v>15254</v>
      </c>
      <c r="D1808" t="s">
        <v>16199</v>
      </c>
      <c r="E1808" t="s">
        <v>16218</v>
      </c>
      <c r="F1808" t="s">
        <v>16221</v>
      </c>
      <c r="G1808" t="s">
        <v>16249</v>
      </c>
      <c r="H1808" t="s">
        <v>16249</v>
      </c>
      <c r="I1808" t="s">
        <v>16325</v>
      </c>
      <c r="J1808" t="s">
        <v>16385</v>
      </c>
      <c r="K1808">
        <v>0.191</v>
      </c>
      <c r="L1808">
        <v>8321</v>
      </c>
      <c r="M1808">
        <v>1771</v>
      </c>
      <c r="N1808" t="s">
        <v>16393</v>
      </c>
      <c r="O1808" s="4">
        <v>46187</v>
      </c>
      <c r="P1808" s="4">
        <v>144428</v>
      </c>
      <c r="Q1808" s="4">
        <v>190615</v>
      </c>
      <c r="R1808" s="4">
        <v>571845</v>
      </c>
      <c r="S1808" t="s">
        <v>18156</v>
      </c>
      <c r="T1808" s="6">
        <v>41122</v>
      </c>
      <c r="U1808" s="4">
        <v>388000</v>
      </c>
      <c r="V1808" t="s">
        <v>23739</v>
      </c>
      <c r="W1808" t="s">
        <v>18156</v>
      </c>
      <c r="X1808" t="s">
        <v>3</v>
      </c>
      <c r="AA1808" s="5" t="str">
        <f>HYPERLINK("https://www.zillow.com/homes/1140-STANFORD-AVE-DOWNERS-GROVE-IL-60516_rb/","check listing")</f>
        <v>check listing</v>
      </c>
      <c r="AB1808" s="5" t="str">
        <f>HYPERLINK("https://propertylookup.dupagecounty.gov/Datalets/Datalet.aspx?UseSearch=no&amp;mode=sales&amp;pin=0929115006","sales record")</f>
        <v>sales record</v>
      </c>
      <c r="AC1808" t="s">
        <v>3</v>
      </c>
      <c r="AD1808">
        <v>41.758306</v>
      </c>
      <c r="AE1808">
        <v>-88.011439</v>
      </c>
      <c r="AF1808" s="5" t="str">
        <f>HYPERLINK("https://www.google.com/maps/search/?api=1&amp;query=41.758306,-88.011439","map")</f>
        <v>map</v>
      </c>
    </row>
    <row r="1809" spans="1:32">
      <c r="A1809" t="s">
        <v>1859</v>
      </c>
      <c r="B1809" t="s">
        <v>9419</v>
      </c>
      <c r="C1809" t="s">
        <v>15254</v>
      </c>
      <c r="D1809" t="s">
        <v>16199</v>
      </c>
      <c r="E1809" t="s">
        <v>16218</v>
      </c>
      <c r="F1809" t="s">
        <v>16221</v>
      </c>
      <c r="G1809" t="s">
        <v>16249</v>
      </c>
      <c r="H1809" t="s">
        <v>16249</v>
      </c>
      <c r="I1809" t="s">
        <v>16325</v>
      </c>
      <c r="J1809" t="s">
        <v>16385</v>
      </c>
      <c r="K1809">
        <v>0.191</v>
      </c>
      <c r="L1809">
        <v>8318</v>
      </c>
      <c r="M1809">
        <v>2424</v>
      </c>
      <c r="N1809" t="s">
        <v>16393</v>
      </c>
      <c r="O1809" s="4">
        <v>50975</v>
      </c>
      <c r="P1809" s="4">
        <v>111763</v>
      </c>
      <c r="Q1809" s="4">
        <v>162738</v>
      </c>
      <c r="R1809" s="4">
        <v>488214</v>
      </c>
      <c r="S1809" t="s">
        <v>18157</v>
      </c>
      <c r="T1809" s="6">
        <v>28764</v>
      </c>
      <c r="U1809" s="4">
        <v>77457</v>
      </c>
      <c r="X1809" t="s">
        <v>3</v>
      </c>
      <c r="AA1809" s="5" t="str">
        <f>HYPERLINK("https://www.zillow.com/homes/7225-SPRINGSIDE-AVE-DOWNERS-GROVE-IL-60516_rb/","check listing")</f>
        <v>check listing</v>
      </c>
      <c r="AB1809" s="5" t="str">
        <f>HYPERLINK("https://propertylookup.dupagecounty.gov/Datalets/Datalet.aspx?UseSearch=no&amp;mode=sales&amp;pin=0930203015","sales record")</f>
        <v>sales record</v>
      </c>
      <c r="AC1809" t="s">
        <v>3</v>
      </c>
      <c r="AD1809">
        <v>41.755933</v>
      </c>
      <c r="AE1809">
        <v>-88.02168500000001</v>
      </c>
      <c r="AF1809" s="5" t="str">
        <f>HYPERLINK("https://www.google.com/maps/search/?api=1&amp;query=41.755933,-88.021685","map")</f>
        <v>map</v>
      </c>
    </row>
    <row r="1810" spans="1:32">
      <c r="A1810" t="s">
        <v>1860</v>
      </c>
      <c r="B1810" t="s">
        <v>9420</v>
      </c>
      <c r="C1810" t="s">
        <v>15254</v>
      </c>
      <c r="D1810" t="s">
        <v>16199</v>
      </c>
      <c r="E1810" t="s">
        <v>16218</v>
      </c>
      <c r="F1810" t="s">
        <v>16221</v>
      </c>
      <c r="G1810" t="s">
        <v>16249</v>
      </c>
      <c r="H1810" t="s">
        <v>16249</v>
      </c>
      <c r="I1810" t="s">
        <v>16325</v>
      </c>
      <c r="J1810" t="s">
        <v>16385</v>
      </c>
      <c r="K1810">
        <v>0.191</v>
      </c>
      <c r="L1810">
        <v>8302</v>
      </c>
      <c r="M1810">
        <v>2253</v>
      </c>
      <c r="N1810" t="s">
        <v>16393</v>
      </c>
      <c r="O1810" s="4">
        <v>50975</v>
      </c>
      <c r="P1810" s="4">
        <v>99334</v>
      </c>
      <c r="Q1810" s="4">
        <v>150309</v>
      </c>
      <c r="R1810" s="4">
        <v>450927</v>
      </c>
      <c r="S1810" t="s">
        <v>18158</v>
      </c>
      <c r="T1810" s="6">
        <v>44044</v>
      </c>
      <c r="U1810" s="4">
        <v>350000</v>
      </c>
      <c r="V1810" t="s">
        <v>23740</v>
      </c>
      <c r="W1810" t="s">
        <v>24586</v>
      </c>
      <c r="X1810" t="s">
        <v>3</v>
      </c>
      <c r="AA1810" s="5" t="str">
        <f>HYPERLINK("https://www.zillow.com/homes/7217-SPRINGSIDE-AVE-DOWNERS-GROVE-IL-60516_rb/","check listing")</f>
        <v>check listing</v>
      </c>
      <c r="AB1810" s="5" t="str">
        <f>HYPERLINK("https://propertylookup.dupagecounty.gov/Datalets/Datalet.aspx?UseSearch=no&amp;mode=sales&amp;pin=0930203014","sales record")</f>
        <v>sales record</v>
      </c>
      <c r="AC1810" t="s">
        <v>3</v>
      </c>
      <c r="AD1810">
        <v>41.756131</v>
      </c>
      <c r="AE1810">
        <v>-88.021691</v>
      </c>
      <c r="AF1810" s="5" t="str">
        <f>HYPERLINK("https://www.google.com/maps/search/?api=1&amp;query=41.756131,-88.021691","map")</f>
        <v>map</v>
      </c>
    </row>
    <row r="1811" spans="1:32">
      <c r="A1811" t="s">
        <v>1861</v>
      </c>
      <c r="B1811" t="s">
        <v>9421</v>
      </c>
      <c r="C1811" t="s">
        <v>15286</v>
      </c>
      <c r="D1811" t="s">
        <v>16199</v>
      </c>
      <c r="E1811" t="s">
        <v>16218</v>
      </c>
      <c r="F1811" t="s">
        <v>16221</v>
      </c>
      <c r="G1811" t="s">
        <v>16250</v>
      </c>
      <c r="H1811" t="s">
        <v>16250</v>
      </c>
      <c r="I1811" t="s">
        <v>16326</v>
      </c>
      <c r="J1811" t="s">
        <v>16385</v>
      </c>
      <c r="K1811">
        <v>0.191</v>
      </c>
      <c r="L1811">
        <v>8301</v>
      </c>
      <c r="M1811">
        <v>1390</v>
      </c>
      <c r="N1811" t="s">
        <v>16393</v>
      </c>
      <c r="O1811" s="4">
        <v>51045</v>
      </c>
      <c r="P1811" s="4">
        <v>61245</v>
      </c>
      <c r="Q1811" s="4">
        <v>112290</v>
      </c>
      <c r="R1811" s="4">
        <v>336870</v>
      </c>
      <c r="S1811" t="s">
        <v>18159</v>
      </c>
      <c r="T1811" s="6">
        <v>44531</v>
      </c>
      <c r="U1811" s="4">
        <v>359000</v>
      </c>
      <c r="V1811" t="s">
        <v>23739</v>
      </c>
      <c r="W1811" t="s">
        <v>24587</v>
      </c>
      <c r="X1811" t="s">
        <v>3</v>
      </c>
      <c r="AA1811" s="5" t="str">
        <f>HYPERLINK("https://www.zillow.com/homes/4941-WILCOX-AVE-DOWNERS-GROVE-IL-605153909_rb/","check listing")</f>
        <v>check listing</v>
      </c>
      <c r="AB1811" s="5" t="str">
        <f>HYPERLINK("https://propertylookup.dupagecounty.gov/Datalets/Datalet.aspx?UseSearch=no&amp;mode=sales&amp;pin=0909110003","sales record")</f>
        <v>sales record</v>
      </c>
      <c r="AC1811" t="s">
        <v>3</v>
      </c>
      <c r="AD1811">
        <v>41.797048</v>
      </c>
      <c r="AE1811">
        <v>-87.99277499999999</v>
      </c>
      <c r="AF1811" s="5" t="str">
        <f>HYPERLINK("https://www.google.com/maps/search/?api=1&amp;query=41.797048,-87.992775","map")</f>
        <v>map</v>
      </c>
    </row>
    <row r="1812" spans="1:32">
      <c r="A1812" t="s">
        <v>1862</v>
      </c>
      <c r="B1812" t="s">
        <v>9422</v>
      </c>
      <c r="C1812" t="s">
        <v>15254</v>
      </c>
      <c r="D1812" t="s">
        <v>16199</v>
      </c>
      <c r="E1812" t="s">
        <v>16218</v>
      </c>
      <c r="F1812" t="s">
        <v>16221</v>
      </c>
      <c r="G1812" t="s">
        <v>16249</v>
      </c>
      <c r="H1812" t="s">
        <v>16249</v>
      </c>
      <c r="I1812" t="s">
        <v>16325</v>
      </c>
      <c r="J1812" t="s">
        <v>16385</v>
      </c>
      <c r="K1812">
        <v>0.19</v>
      </c>
      <c r="L1812">
        <v>8296</v>
      </c>
      <c r="M1812">
        <v>2042</v>
      </c>
      <c r="N1812" t="s">
        <v>16393</v>
      </c>
      <c r="O1812" s="4">
        <v>50975</v>
      </c>
      <c r="P1812" s="4">
        <v>130496</v>
      </c>
      <c r="Q1812" s="4">
        <v>181471</v>
      </c>
      <c r="R1812" s="4">
        <v>544413</v>
      </c>
      <c r="S1812" t="s">
        <v>18160</v>
      </c>
      <c r="T1812" s="6">
        <v>35643</v>
      </c>
      <c r="U1812" s="4">
        <v>203000</v>
      </c>
      <c r="X1812" t="s">
        <v>3</v>
      </c>
      <c r="AA1812" s="5" t="str">
        <f>HYPERLINK("https://www.zillow.com/homes/7181-SPRINGSIDE-AVE-DOWNERS-GROVE-IL-60516_rb/","check listing")</f>
        <v>check listing</v>
      </c>
      <c r="AB1812" s="5" t="str">
        <f>HYPERLINK("https://propertylookup.dupagecounty.gov/Datalets/Datalet.aspx?UseSearch=no&amp;mode=sales&amp;pin=0930203011","sales record")</f>
        <v>sales record</v>
      </c>
      <c r="AC1812" t="s">
        <v>3</v>
      </c>
      <c r="AD1812">
        <v>41.756652</v>
      </c>
      <c r="AE1812">
        <v>-88.02135</v>
      </c>
      <c r="AF1812" s="5" t="str">
        <f>HYPERLINK("https://www.google.com/maps/search/?api=1&amp;query=41.756652,-88.02135","map")</f>
        <v>map</v>
      </c>
    </row>
    <row r="1813" spans="1:32">
      <c r="A1813" t="s">
        <v>1863</v>
      </c>
      <c r="B1813" t="s">
        <v>9423</v>
      </c>
      <c r="C1813" t="s">
        <v>15254</v>
      </c>
      <c r="D1813" t="s">
        <v>16199</v>
      </c>
      <c r="E1813" t="s">
        <v>16218</v>
      </c>
      <c r="F1813" t="s">
        <v>16221</v>
      </c>
      <c r="G1813" t="s">
        <v>16249</v>
      </c>
      <c r="H1813" t="s">
        <v>16249</v>
      </c>
      <c r="I1813" t="s">
        <v>16325</v>
      </c>
      <c r="J1813" t="s">
        <v>16385</v>
      </c>
      <c r="K1813">
        <v>0.19</v>
      </c>
      <c r="L1813">
        <v>8283</v>
      </c>
      <c r="M1813">
        <v>2068</v>
      </c>
      <c r="N1813" t="s">
        <v>16393</v>
      </c>
      <c r="O1813" s="4">
        <v>50975</v>
      </c>
      <c r="P1813" s="4">
        <v>133360</v>
      </c>
      <c r="Q1813" s="4">
        <v>184335</v>
      </c>
      <c r="R1813" s="4">
        <v>553005</v>
      </c>
      <c r="S1813" t="s">
        <v>18161</v>
      </c>
      <c r="T1813" s="6">
        <v>29860</v>
      </c>
      <c r="U1813" s="4">
        <v>105000</v>
      </c>
      <c r="X1813" t="s">
        <v>3</v>
      </c>
      <c r="AA1813" s="5" t="str">
        <f>HYPERLINK("https://www.zillow.com/homes/1432-RICHARDS-AVE-DOWNERS-GROVE-IL-60516_rb/","check listing")</f>
        <v>check listing</v>
      </c>
      <c r="AB1813" s="5" t="str">
        <f>HYPERLINK("https://propertylookup.dupagecounty.gov/Datalets/Datalet.aspx?UseSearch=no&amp;mode=sales&amp;pin=0930203051","sales record")</f>
        <v>sales record</v>
      </c>
      <c r="AC1813" t="s">
        <v>3</v>
      </c>
      <c r="AD1813">
        <v>41.755404</v>
      </c>
      <c r="AE1813">
        <v>-88.01965199999999</v>
      </c>
      <c r="AF1813" s="5" t="str">
        <f>HYPERLINK("https://www.google.com/maps/search/?api=1&amp;query=41.755404,-88.019652","map")</f>
        <v>map</v>
      </c>
    </row>
    <row r="1814" spans="1:32">
      <c r="A1814" t="s">
        <v>1864</v>
      </c>
      <c r="B1814" t="s">
        <v>9424</v>
      </c>
      <c r="C1814" t="s">
        <v>15354</v>
      </c>
      <c r="D1814" t="s">
        <v>16199</v>
      </c>
      <c r="E1814" t="s">
        <v>16218</v>
      </c>
      <c r="F1814" t="s">
        <v>16221</v>
      </c>
      <c r="G1814" t="s">
        <v>16249</v>
      </c>
      <c r="H1814" t="s">
        <v>16249</v>
      </c>
      <c r="I1814" t="s">
        <v>16325</v>
      </c>
      <c r="J1814" t="s">
        <v>16385</v>
      </c>
      <c r="K1814">
        <v>0.19</v>
      </c>
      <c r="L1814">
        <v>8282</v>
      </c>
      <c r="M1814">
        <v>1994</v>
      </c>
      <c r="N1814" t="s">
        <v>16393</v>
      </c>
      <c r="O1814" s="4">
        <v>50975</v>
      </c>
      <c r="P1814" s="4">
        <v>100848</v>
      </c>
      <c r="Q1814" s="4">
        <v>151823</v>
      </c>
      <c r="R1814" s="4">
        <v>455469</v>
      </c>
      <c r="S1814" t="s">
        <v>18162</v>
      </c>
      <c r="T1814" s="6">
        <v>28887</v>
      </c>
      <c r="U1814" s="4">
        <v>83265</v>
      </c>
      <c r="X1814" t="s">
        <v>3</v>
      </c>
      <c r="AA1814" s="5" t="str">
        <f>HYPERLINK("https://www.zillow.com/homes/1416-RICHARDS-AVE-DOWNERS-GROVE-IL-605163704_rb/","check listing")</f>
        <v>check listing</v>
      </c>
      <c r="AB1814" s="5" t="str">
        <f>HYPERLINK("https://propertylookup.dupagecounty.gov/Datalets/Datalet.aspx?UseSearch=no&amp;mode=sales&amp;pin=0930203053","sales record")</f>
        <v>sales record</v>
      </c>
      <c r="AC1814" t="s">
        <v>3</v>
      </c>
      <c r="AD1814">
        <v>41.755415</v>
      </c>
      <c r="AE1814">
        <v>-88.019125</v>
      </c>
      <c r="AF1814" s="5" t="str">
        <f>HYPERLINK("https://www.google.com/maps/search/?api=1&amp;query=41.755415,-88.019125","map")</f>
        <v>map</v>
      </c>
    </row>
    <row r="1815" spans="1:32">
      <c r="A1815" t="s">
        <v>1865</v>
      </c>
      <c r="B1815" t="s">
        <v>9425</v>
      </c>
      <c r="C1815" t="s">
        <v>15254</v>
      </c>
      <c r="D1815" t="s">
        <v>16199</v>
      </c>
      <c r="E1815" t="s">
        <v>16218</v>
      </c>
      <c r="F1815" t="s">
        <v>16221</v>
      </c>
      <c r="G1815" t="s">
        <v>16249</v>
      </c>
      <c r="H1815" t="s">
        <v>16249</v>
      </c>
      <c r="I1815" t="s">
        <v>16325</v>
      </c>
      <c r="J1815" t="s">
        <v>16385</v>
      </c>
      <c r="K1815">
        <v>0.19</v>
      </c>
      <c r="L1815">
        <v>8281</v>
      </c>
      <c r="M1815">
        <v>3094</v>
      </c>
      <c r="N1815" t="s">
        <v>16393</v>
      </c>
      <c r="O1815" s="4">
        <v>45881</v>
      </c>
      <c r="P1815" s="4">
        <v>122116</v>
      </c>
      <c r="Q1815" s="4">
        <v>167997</v>
      </c>
      <c r="R1815" s="4">
        <v>503991</v>
      </c>
      <c r="S1815" t="s">
        <v>18163</v>
      </c>
      <c r="T1815" s="6">
        <v>39326</v>
      </c>
      <c r="U1815" s="4">
        <v>324000</v>
      </c>
      <c r="V1815" t="s">
        <v>23740</v>
      </c>
      <c r="W1815" t="s">
        <v>24588</v>
      </c>
      <c r="X1815" t="s">
        <v>3</v>
      </c>
      <c r="AA1815" s="5" t="str">
        <f>HYPERLINK("https://www.zillow.com/homes/1449-RICHARDS-AVE-DOWNERS-GROVE-IL-60516_rb/","check listing")</f>
        <v>check listing</v>
      </c>
      <c r="AB1815" s="5" t="str">
        <f>HYPERLINK("https://propertylookup.dupagecounty.gov/Datalets/Datalet.aspx?UseSearch=no&amp;mode=sales&amp;pin=0930202027","sales record")</f>
        <v>sales record</v>
      </c>
      <c r="AC1815" t="s">
        <v>3</v>
      </c>
      <c r="AD1815">
        <v>41.754897</v>
      </c>
      <c r="AE1815">
        <v>-88.020162</v>
      </c>
      <c r="AF1815" s="5" t="str">
        <f>HYPERLINK("https://www.google.com/maps/search/?api=1&amp;query=41.754897,-88.020162","map")</f>
        <v>map</v>
      </c>
    </row>
    <row r="1816" spans="1:32">
      <c r="A1816" t="s">
        <v>1866</v>
      </c>
      <c r="B1816" t="s">
        <v>9426</v>
      </c>
      <c r="C1816" t="s">
        <v>15355</v>
      </c>
      <c r="D1816" t="s">
        <v>16199</v>
      </c>
      <c r="E1816" t="s">
        <v>16218</v>
      </c>
      <c r="F1816" t="s">
        <v>16221</v>
      </c>
      <c r="G1816" t="s">
        <v>16249</v>
      </c>
      <c r="H1816" t="s">
        <v>16249</v>
      </c>
      <c r="I1816" t="s">
        <v>16325</v>
      </c>
      <c r="J1816" t="s">
        <v>16385</v>
      </c>
      <c r="K1816">
        <v>0.19</v>
      </c>
      <c r="L1816">
        <v>8281</v>
      </c>
      <c r="M1816">
        <v>2021</v>
      </c>
      <c r="N1816" t="s">
        <v>16393</v>
      </c>
      <c r="O1816" s="4">
        <v>45881</v>
      </c>
      <c r="P1816" s="4">
        <v>116986</v>
      </c>
      <c r="Q1816" s="4">
        <v>162867</v>
      </c>
      <c r="R1816" s="4">
        <v>488601</v>
      </c>
      <c r="S1816" t="s">
        <v>18164</v>
      </c>
      <c r="T1816" s="6">
        <v>39295</v>
      </c>
      <c r="U1816" s="4">
        <v>364000</v>
      </c>
      <c r="V1816" t="s">
        <v>23739</v>
      </c>
      <c r="W1816" t="s">
        <v>24589</v>
      </c>
      <c r="X1816" t="s">
        <v>3</v>
      </c>
      <c r="AA1816" s="5" t="str">
        <f>HYPERLINK("https://www.zillow.com/homes/1509-RICHARDS-AVE-DOWNERS-GROVE-IL-605163703_rb/","check listing")</f>
        <v>check listing</v>
      </c>
      <c r="AB1816" s="5" t="str">
        <f>HYPERLINK("https://propertylookup.dupagecounty.gov/Datalets/Datalet.aspx?UseSearch=no&amp;mode=sales&amp;pin=0930202025","sales record")</f>
        <v>sales record</v>
      </c>
      <c r="AC1816" t="s">
        <v>3</v>
      </c>
      <c r="AD1816">
        <v>41.754887</v>
      </c>
      <c r="AE1816">
        <v>-88.02069</v>
      </c>
      <c r="AF1816" s="5" t="str">
        <f>HYPERLINK("https://www.google.com/maps/search/?api=1&amp;query=41.754887,-88.02069","map")</f>
        <v>map</v>
      </c>
    </row>
    <row r="1817" spans="1:32">
      <c r="A1817" t="s">
        <v>1867</v>
      </c>
      <c r="B1817" t="s">
        <v>9427</v>
      </c>
      <c r="C1817" t="s">
        <v>15355</v>
      </c>
      <c r="D1817" t="s">
        <v>16199</v>
      </c>
      <c r="E1817" t="s">
        <v>16218</v>
      </c>
      <c r="F1817" t="s">
        <v>16221</v>
      </c>
      <c r="G1817" t="s">
        <v>16249</v>
      </c>
      <c r="H1817" t="s">
        <v>16249</v>
      </c>
      <c r="I1817" t="s">
        <v>16325</v>
      </c>
      <c r="J1817" t="s">
        <v>16385</v>
      </c>
      <c r="K1817">
        <v>0.19</v>
      </c>
      <c r="L1817">
        <v>8281</v>
      </c>
      <c r="M1817">
        <v>1934</v>
      </c>
      <c r="N1817" t="s">
        <v>16393</v>
      </c>
      <c r="O1817" s="4">
        <v>45881</v>
      </c>
      <c r="P1817" s="4">
        <v>131587</v>
      </c>
      <c r="Q1817" s="4">
        <v>177468</v>
      </c>
      <c r="R1817" s="4">
        <v>532404</v>
      </c>
      <c r="S1817" t="s">
        <v>18165</v>
      </c>
      <c r="T1817" s="6">
        <v>32994</v>
      </c>
      <c r="U1817" s="4">
        <v>201000</v>
      </c>
      <c r="X1817" t="s">
        <v>3</v>
      </c>
      <c r="AA1817" s="5" t="str">
        <f>HYPERLINK("https://www.zillow.com/homes/1501-RICHARDS-AVE-DOWNERS-GROVE-IL-605163703_rb/","check listing")</f>
        <v>check listing</v>
      </c>
      <c r="AB1817" s="5" t="str">
        <f>HYPERLINK("https://propertylookup.dupagecounty.gov/Datalets/Datalet.aspx?UseSearch=no&amp;mode=sales&amp;pin=0930202026","sales record")</f>
        <v>sales record</v>
      </c>
      <c r="AC1817" t="s">
        <v>3</v>
      </c>
      <c r="AD1817">
        <v>41.754892</v>
      </c>
      <c r="AE1817">
        <v>-88.020426</v>
      </c>
      <c r="AF1817" s="5" t="str">
        <f>HYPERLINK("https://www.google.com/maps/search/?api=1&amp;query=41.754892,-88.020426","map")</f>
        <v>map</v>
      </c>
    </row>
    <row r="1818" spans="1:32">
      <c r="A1818" t="s">
        <v>1868</v>
      </c>
      <c r="B1818" t="s">
        <v>9428</v>
      </c>
      <c r="C1818" t="s">
        <v>15254</v>
      </c>
      <c r="D1818" t="s">
        <v>16199</v>
      </c>
      <c r="E1818" t="s">
        <v>16218</v>
      </c>
      <c r="F1818" t="s">
        <v>16221</v>
      </c>
      <c r="G1818" t="s">
        <v>16249</v>
      </c>
      <c r="H1818" t="s">
        <v>16249</v>
      </c>
      <c r="I1818" t="s">
        <v>16325</v>
      </c>
      <c r="J1818" t="s">
        <v>16385</v>
      </c>
      <c r="K1818">
        <v>0.19</v>
      </c>
      <c r="L1818">
        <v>8281</v>
      </c>
      <c r="M1818">
        <v>1719</v>
      </c>
      <c r="N1818" t="s">
        <v>16393</v>
      </c>
      <c r="O1818" s="4">
        <v>45881</v>
      </c>
      <c r="P1818" s="4">
        <v>111822</v>
      </c>
      <c r="Q1818" s="4">
        <v>157703</v>
      </c>
      <c r="R1818" s="4">
        <v>473109</v>
      </c>
      <c r="S1818" t="s">
        <v>18166</v>
      </c>
      <c r="T1818" s="6">
        <v>39508</v>
      </c>
      <c r="U1818" s="4">
        <v>373000</v>
      </c>
      <c r="V1818" t="s">
        <v>23739</v>
      </c>
      <c r="W1818" t="s">
        <v>24590</v>
      </c>
      <c r="X1818" t="s">
        <v>3</v>
      </c>
      <c r="AA1818" s="5" t="str">
        <f>HYPERLINK("https://www.zillow.com/homes/1533-RICHARDS-AVE-DOWNERS-GROVE-IL-60516_rb/","check listing")</f>
        <v>check listing</v>
      </c>
      <c r="AB1818" s="5" t="str">
        <f>HYPERLINK("https://propertylookup.dupagecounty.gov/Datalets/Datalet.aspx?UseSearch=no&amp;mode=sales&amp;pin=0930202022","sales record")</f>
        <v>sales record</v>
      </c>
      <c r="AC1818" t="s">
        <v>3</v>
      </c>
      <c r="AD1818">
        <v>41.754871</v>
      </c>
      <c r="AE1818">
        <v>-88.02148099999999</v>
      </c>
      <c r="AF1818" s="5" t="str">
        <f>HYPERLINK("https://www.google.com/maps/search/?api=1&amp;query=41.754871,-88.021481","map")</f>
        <v>map</v>
      </c>
    </row>
    <row r="1819" spans="1:32">
      <c r="A1819" t="s">
        <v>1869</v>
      </c>
      <c r="B1819" t="s">
        <v>9429</v>
      </c>
      <c r="C1819" t="s">
        <v>15254</v>
      </c>
      <c r="D1819" t="s">
        <v>16199</v>
      </c>
      <c r="E1819" t="s">
        <v>16218</v>
      </c>
      <c r="F1819" t="s">
        <v>16221</v>
      </c>
      <c r="G1819" t="s">
        <v>16249</v>
      </c>
      <c r="H1819" t="s">
        <v>16249</v>
      </c>
      <c r="I1819" t="s">
        <v>16325</v>
      </c>
      <c r="J1819" t="s">
        <v>16385</v>
      </c>
      <c r="K1819">
        <v>0.19</v>
      </c>
      <c r="L1819">
        <v>8281</v>
      </c>
      <c r="M1819">
        <v>2382</v>
      </c>
      <c r="N1819" t="s">
        <v>16393</v>
      </c>
      <c r="O1819" s="4">
        <v>50975</v>
      </c>
      <c r="P1819" s="4">
        <v>102221</v>
      </c>
      <c r="Q1819" s="4">
        <v>153196</v>
      </c>
      <c r="R1819" s="4">
        <v>459588</v>
      </c>
      <c r="S1819" t="s">
        <v>18167</v>
      </c>
      <c r="T1819" s="6">
        <v>37803</v>
      </c>
      <c r="U1819" s="4">
        <v>349000</v>
      </c>
      <c r="V1819" t="s">
        <v>23739</v>
      </c>
      <c r="W1819" t="s">
        <v>24591</v>
      </c>
      <c r="X1819" t="s">
        <v>3</v>
      </c>
      <c r="AA1819" s="5" t="str">
        <f>HYPERLINK("https://www.zillow.com/homes/1448-RICHARDS-AVE-DOWNERS-GROVE-IL-60516_rb/","check listing")</f>
        <v>check listing</v>
      </c>
      <c r="AB1819" s="5" t="str">
        <f>HYPERLINK("https://propertylookup.dupagecounty.gov/Datalets/Datalet.aspx?UseSearch=no&amp;mode=sales&amp;pin=0930203049","sales record")</f>
        <v>sales record</v>
      </c>
      <c r="AC1819" t="s">
        <v>3</v>
      </c>
      <c r="AD1819">
        <v>41.755353</v>
      </c>
      <c r="AE1819">
        <v>-88.020179</v>
      </c>
      <c r="AF1819" s="5" t="str">
        <f>HYPERLINK("https://www.google.com/maps/search/?api=1&amp;query=41.755353,-88.020179","map")</f>
        <v>map</v>
      </c>
    </row>
    <row r="1820" spans="1:32">
      <c r="A1820" t="s">
        <v>1870</v>
      </c>
      <c r="B1820" t="s">
        <v>9430</v>
      </c>
      <c r="C1820" t="s">
        <v>15254</v>
      </c>
      <c r="D1820" t="s">
        <v>16199</v>
      </c>
      <c r="E1820" t="s">
        <v>16218</v>
      </c>
      <c r="F1820" t="s">
        <v>16221</v>
      </c>
      <c r="G1820" t="s">
        <v>16249</v>
      </c>
      <c r="H1820" t="s">
        <v>16249</v>
      </c>
      <c r="I1820" t="s">
        <v>16325</v>
      </c>
      <c r="J1820" t="s">
        <v>16385</v>
      </c>
      <c r="K1820">
        <v>0.19</v>
      </c>
      <c r="L1820">
        <v>8281</v>
      </c>
      <c r="M1820">
        <v>2042</v>
      </c>
      <c r="N1820" t="s">
        <v>16393</v>
      </c>
      <c r="O1820" s="4">
        <v>45881</v>
      </c>
      <c r="P1820" s="4">
        <v>101575</v>
      </c>
      <c r="Q1820" s="4">
        <v>147456</v>
      </c>
      <c r="R1820" s="4">
        <v>442368</v>
      </c>
      <c r="S1820" t="s">
        <v>18168</v>
      </c>
      <c r="T1820" s="6">
        <v>31959</v>
      </c>
      <c r="U1820" s="4">
        <v>135155</v>
      </c>
      <c r="X1820" t="s">
        <v>3</v>
      </c>
      <c r="AA1820" s="5" t="str">
        <f>HYPERLINK("https://www.zillow.com/homes/1417-RICHARDS-AVE-DOWNERS-GROVE-IL-60516_rb/","check listing")</f>
        <v>check listing</v>
      </c>
      <c r="AB1820" s="5" t="str">
        <f>HYPERLINK("https://propertylookup.dupagecounty.gov/Datalets/Datalet.aspx?UseSearch=no&amp;mode=sales&amp;pin=0930202031","sales record")</f>
        <v>sales record</v>
      </c>
      <c r="AC1820" t="s">
        <v>3</v>
      </c>
      <c r="AD1820">
        <v>41.754919</v>
      </c>
      <c r="AE1820">
        <v>-88.01910700000001</v>
      </c>
      <c r="AF1820" s="5" t="str">
        <f>HYPERLINK("https://www.google.com/maps/search/?api=1&amp;query=41.754919,-88.019107","map")</f>
        <v>map</v>
      </c>
    </row>
    <row r="1821" spans="1:32">
      <c r="A1821" t="s">
        <v>1871</v>
      </c>
      <c r="B1821" t="s">
        <v>9431</v>
      </c>
      <c r="C1821" t="s">
        <v>15254</v>
      </c>
      <c r="D1821" t="s">
        <v>16199</v>
      </c>
      <c r="E1821" t="s">
        <v>16218</v>
      </c>
      <c r="F1821" t="s">
        <v>16221</v>
      </c>
      <c r="G1821" t="s">
        <v>16249</v>
      </c>
      <c r="H1821" t="s">
        <v>16249</v>
      </c>
      <c r="I1821" t="s">
        <v>16325</v>
      </c>
      <c r="J1821" t="s">
        <v>16385</v>
      </c>
      <c r="K1821">
        <v>0.19</v>
      </c>
      <c r="L1821">
        <v>8281</v>
      </c>
      <c r="M1821">
        <v>1972</v>
      </c>
      <c r="N1821" t="s">
        <v>16393</v>
      </c>
      <c r="O1821" s="4">
        <v>50975</v>
      </c>
      <c r="P1821" s="4">
        <v>96681</v>
      </c>
      <c r="Q1821" s="4">
        <v>147656</v>
      </c>
      <c r="R1821" s="4">
        <v>442968</v>
      </c>
      <c r="S1821" t="s">
        <v>18169</v>
      </c>
      <c r="T1821" s="6">
        <v>40269</v>
      </c>
      <c r="U1821" s="4">
        <v>296500</v>
      </c>
      <c r="V1821" t="s">
        <v>23739</v>
      </c>
      <c r="W1821" t="s">
        <v>24592</v>
      </c>
      <c r="X1821" t="s">
        <v>3</v>
      </c>
      <c r="AA1821" s="5" t="str">
        <f>HYPERLINK("https://www.zillow.com/homes/7148-DEXTER-RD-DOWNERS-GROVE-IL-60516_rb/","check listing")</f>
        <v>check listing</v>
      </c>
      <c r="AB1821" s="5" t="str">
        <f>HYPERLINK("https://propertylookup.dupagecounty.gov/Datalets/Datalet.aspx?UseSearch=no&amp;mode=sales&amp;pin=0930203033","sales record")</f>
        <v>sales record</v>
      </c>
      <c r="AC1821" t="s">
        <v>3</v>
      </c>
      <c r="AD1821">
        <v>41.757495</v>
      </c>
      <c r="AE1821">
        <v>-88.019808</v>
      </c>
      <c r="AF1821" s="5" t="str">
        <f>HYPERLINK("https://www.google.com/maps/search/?api=1&amp;query=41.757495,-88.019808","map")</f>
        <v>map</v>
      </c>
    </row>
    <row r="1822" spans="1:32">
      <c r="A1822" t="s">
        <v>1872</v>
      </c>
      <c r="B1822" t="s">
        <v>9432</v>
      </c>
      <c r="C1822" t="s">
        <v>15277</v>
      </c>
      <c r="D1822" t="s">
        <v>16199</v>
      </c>
      <c r="E1822" t="s">
        <v>16218</v>
      </c>
      <c r="F1822" t="s">
        <v>16221</v>
      </c>
      <c r="G1822" t="s">
        <v>16249</v>
      </c>
      <c r="H1822" t="s">
        <v>16249</v>
      </c>
      <c r="I1822" t="s">
        <v>16325</v>
      </c>
      <c r="J1822" t="s">
        <v>16385</v>
      </c>
      <c r="K1822">
        <v>0.19</v>
      </c>
      <c r="L1822">
        <v>8281</v>
      </c>
      <c r="M1822">
        <v>1917</v>
      </c>
      <c r="N1822" t="s">
        <v>16393</v>
      </c>
      <c r="O1822" s="4">
        <v>50975</v>
      </c>
      <c r="P1822" s="4">
        <v>89931</v>
      </c>
      <c r="Q1822" s="4">
        <v>140906</v>
      </c>
      <c r="R1822" s="4">
        <v>422718</v>
      </c>
      <c r="S1822" t="s">
        <v>18170</v>
      </c>
      <c r="T1822" s="6">
        <v>37196</v>
      </c>
      <c r="U1822" s="4">
        <v>216500</v>
      </c>
      <c r="V1822" t="s">
        <v>23739</v>
      </c>
      <c r="W1822" t="s">
        <v>24593</v>
      </c>
      <c r="X1822" t="s">
        <v>3</v>
      </c>
      <c r="AA1822" s="5" t="str">
        <f>HYPERLINK("https://www.zillow.com/homes/1408-RICHARDS-AVE-DOWNERS-GROVE-IL-60515_rb/","check listing")</f>
        <v>check listing</v>
      </c>
      <c r="AB1822" s="5" t="str">
        <f>HYPERLINK("https://propertylookup.dupagecounty.gov/Datalets/Datalet.aspx?UseSearch=no&amp;mode=sales&amp;pin=0930203054","sales record")</f>
        <v>sales record</v>
      </c>
      <c r="AC1822" t="s">
        <v>3</v>
      </c>
      <c r="AD1822">
        <v>41.75542</v>
      </c>
      <c r="AE1822">
        <v>-88.018861</v>
      </c>
      <c r="AF1822" s="5" t="str">
        <f>HYPERLINK("https://www.google.com/maps/search/?api=1&amp;query=41.75542,-88.018861","map")</f>
        <v>map</v>
      </c>
    </row>
    <row r="1823" spans="1:32">
      <c r="A1823" t="s">
        <v>1873</v>
      </c>
      <c r="B1823" t="s">
        <v>9433</v>
      </c>
      <c r="C1823" t="s">
        <v>15354</v>
      </c>
      <c r="D1823" t="s">
        <v>16199</v>
      </c>
      <c r="E1823" t="s">
        <v>16218</v>
      </c>
      <c r="F1823" t="s">
        <v>16221</v>
      </c>
      <c r="G1823" t="s">
        <v>16249</v>
      </c>
      <c r="H1823" t="s">
        <v>16249</v>
      </c>
      <c r="I1823" t="s">
        <v>16325</v>
      </c>
      <c r="J1823" t="s">
        <v>16385</v>
      </c>
      <c r="K1823">
        <v>0.19</v>
      </c>
      <c r="L1823">
        <v>8281</v>
      </c>
      <c r="M1823">
        <v>2629</v>
      </c>
      <c r="N1823" t="s">
        <v>16393</v>
      </c>
      <c r="O1823" s="4">
        <v>50975</v>
      </c>
      <c r="P1823" s="4">
        <v>149934</v>
      </c>
      <c r="Q1823" s="4">
        <v>200909</v>
      </c>
      <c r="R1823" s="4">
        <v>602727</v>
      </c>
      <c r="S1823" t="s">
        <v>18171</v>
      </c>
      <c r="T1823" s="6">
        <v>31990</v>
      </c>
      <c r="U1823" s="4">
        <v>168000</v>
      </c>
      <c r="X1823" t="s">
        <v>3</v>
      </c>
      <c r="AA1823" s="5" t="str">
        <f>HYPERLINK("https://www.zillow.com/homes/1424-RICHARDS-AVE-DOWNERS-GROVE-IL-605163704_rb/","check listing")</f>
        <v>check listing</v>
      </c>
      <c r="AB1823" s="5" t="str">
        <f>HYPERLINK("https://propertylookup.dupagecounty.gov/Datalets/Datalet.aspx?UseSearch=no&amp;mode=sales&amp;pin=0930203052","sales record")</f>
        <v>sales record</v>
      </c>
      <c r="AC1823" t="s">
        <v>3</v>
      </c>
      <c r="AD1823">
        <v>41.75541</v>
      </c>
      <c r="AE1823">
        <v>-88.019389</v>
      </c>
      <c r="AF1823" s="5" t="str">
        <f>HYPERLINK("https://www.google.com/maps/search/?api=1&amp;query=41.75541,-88.019389","map")</f>
        <v>map</v>
      </c>
    </row>
    <row r="1824" spans="1:32">
      <c r="A1824" t="s">
        <v>1874</v>
      </c>
      <c r="B1824" t="s">
        <v>9434</v>
      </c>
      <c r="C1824" t="s">
        <v>15254</v>
      </c>
      <c r="D1824" t="s">
        <v>16199</v>
      </c>
      <c r="E1824" t="s">
        <v>16218</v>
      </c>
      <c r="F1824" t="s">
        <v>16221</v>
      </c>
      <c r="G1824" t="s">
        <v>16249</v>
      </c>
      <c r="H1824" t="s">
        <v>16249</v>
      </c>
      <c r="I1824" t="s">
        <v>16325</v>
      </c>
      <c r="J1824" t="s">
        <v>16385</v>
      </c>
      <c r="K1824">
        <v>0.19</v>
      </c>
      <c r="L1824">
        <v>8281</v>
      </c>
      <c r="M1824">
        <v>2005</v>
      </c>
      <c r="N1824" t="s">
        <v>16393</v>
      </c>
      <c r="O1824" s="4">
        <v>45881</v>
      </c>
      <c r="P1824" s="4">
        <v>87267</v>
      </c>
      <c r="Q1824" s="4">
        <v>133148</v>
      </c>
      <c r="R1824" s="4">
        <v>399444</v>
      </c>
      <c r="S1824" t="s">
        <v>18172</v>
      </c>
      <c r="T1824" s="6">
        <v>30560</v>
      </c>
      <c r="U1824" s="4">
        <v>90227</v>
      </c>
      <c r="X1824" t="s">
        <v>3</v>
      </c>
      <c r="AA1824" s="5" t="str">
        <f>HYPERLINK("https://www.zillow.com/homes/1409-RICHARDS-AVE-DOWNERS-GROVE-IL-60516_rb/","check listing")</f>
        <v>check listing</v>
      </c>
      <c r="AB1824" s="5" t="str">
        <f>HYPERLINK("https://propertylookup.dupagecounty.gov/Datalets/Datalet.aspx?UseSearch=no&amp;mode=sales&amp;pin=0930202032","sales record")</f>
        <v>sales record</v>
      </c>
      <c r="AC1824" t="s">
        <v>3</v>
      </c>
      <c r="AD1824">
        <v>41.754924</v>
      </c>
      <c r="AE1824">
        <v>-88.018843</v>
      </c>
      <c r="AF1824" s="5" t="str">
        <f>HYPERLINK("https://www.google.com/maps/search/?api=1&amp;query=41.754924,-88.018843","map")</f>
        <v>map</v>
      </c>
    </row>
    <row r="1825" spans="1:32">
      <c r="A1825" t="s">
        <v>1875</v>
      </c>
      <c r="B1825" t="s">
        <v>9435</v>
      </c>
      <c r="C1825" t="s">
        <v>15254</v>
      </c>
      <c r="D1825" t="s">
        <v>16199</v>
      </c>
      <c r="E1825" t="s">
        <v>16218</v>
      </c>
      <c r="F1825" t="s">
        <v>16221</v>
      </c>
      <c r="G1825" t="s">
        <v>16249</v>
      </c>
      <c r="H1825" t="s">
        <v>16249</v>
      </c>
      <c r="I1825" t="s">
        <v>16325</v>
      </c>
      <c r="J1825" t="s">
        <v>16385</v>
      </c>
      <c r="K1825">
        <v>0.19</v>
      </c>
      <c r="L1825">
        <v>8281</v>
      </c>
      <c r="M1825">
        <v>1975</v>
      </c>
      <c r="N1825" t="s">
        <v>16393</v>
      </c>
      <c r="O1825" s="4">
        <v>50975</v>
      </c>
      <c r="P1825" s="4">
        <v>92549</v>
      </c>
      <c r="Q1825" s="4">
        <v>143524</v>
      </c>
      <c r="R1825" s="4">
        <v>430572</v>
      </c>
      <c r="S1825" t="s">
        <v>18173</v>
      </c>
      <c r="T1825" s="6">
        <v>37803</v>
      </c>
      <c r="U1825" s="4">
        <v>273000</v>
      </c>
      <c r="V1825" t="s">
        <v>23739</v>
      </c>
      <c r="W1825" t="s">
        <v>24594</v>
      </c>
      <c r="X1825" t="s">
        <v>3</v>
      </c>
      <c r="AA1825" s="5" t="str">
        <f>HYPERLINK("https://www.zillow.com/homes/1440-RICHARDS-AVE-DOWNERS-GROVE-IL-60516_rb/","check listing")</f>
        <v>check listing</v>
      </c>
      <c r="AB1825" s="5" t="str">
        <f>HYPERLINK("https://propertylookup.dupagecounty.gov/Datalets/Datalet.aspx?UseSearch=no&amp;mode=sales&amp;pin=0930203050","sales record")</f>
        <v>sales record</v>
      </c>
      <c r="AC1825" t="s">
        <v>3</v>
      </c>
      <c r="AD1825">
        <v>41.755399</v>
      </c>
      <c r="AE1825">
        <v>-88.01991599999999</v>
      </c>
      <c r="AF1825" s="5" t="str">
        <f>HYPERLINK("https://www.google.com/maps/search/?api=1&amp;query=41.755399,-88.019916","map")</f>
        <v>map</v>
      </c>
    </row>
    <row r="1826" spans="1:32">
      <c r="A1826" t="s">
        <v>1876</v>
      </c>
      <c r="B1826" t="s">
        <v>9436</v>
      </c>
      <c r="C1826" t="s">
        <v>15254</v>
      </c>
      <c r="D1826" t="s">
        <v>16199</v>
      </c>
      <c r="E1826" t="s">
        <v>16218</v>
      </c>
      <c r="F1826" t="s">
        <v>16221</v>
      </c>
      <c r="G1826" t="s">
        <v>16249</v>
      </c>
      <c r="H1826" t="s">
        <v>16249</v>
      </c>
      <c r="I1826" t="s">
        <v>16325</v>
      </c>
      <c r="J1826" t="s">
        <v>16385</v>
      </c>
      <c r="K1826">
        <v>0.19</v>
      </c>
      <c r="L1826">
        <v>8281</v>
      </c>
      <c r="M1826">
        <v>2444</v>
      </c>
      <c r="N1826" t="s">
        <v>16393</v>
      </c>
      <c r="O1826" s="4">
        <v>45881</v>
      </c>
      <c r="P1826" s="4">
        <v>115977</v>
      </c>
      <c r="Q1826" s="4">
        <v>161858</v>
      </c>
      <c r="R1826" s="4">
        <v>485574</v>
      </c>
      <c r="S1826" t="s">
        <v>18174</v>
      </c>
      <c r="T1826" s="6">
        <v>37012</v>
      </c>
      <c r="U1826" s="4">
        <v>265000</v>
      </c>
      <c r="V1826" t="s">
        <v>23739</v>
      </c>
      <c r="W1826" t="s">
        <v>24595</v>
      </c>
      <c r="X1826" t="s">
        <v>3</v>
      </c>
      <c r="AA1826" s="5" t="str">
        <f>HYPERLINK("https://www.zillow.com/homes/1517-RICHARDS-AVE-DOWNERS-GROVE-IL-60516_rb/","check listing")</f>
        <v>check listing</v>
      </c>
      <c r="AB1826" s="5" t="str">
        <f>HYPERLINK("https://propertylookup.dupagecounty.gov/Datalets/Datalet.aspx?UseSearch=no&amp;mode=sales&amp;pin=0930202024","sales record")</f>
        <v>sales record</v>
      </c>
      <c r="AC1826" t="s">
        <v>3</v>
      </c>
      <c r="AD1826">
        <v>41.754881</v>
      </c>
      <c r="AE1826">
        <v>-88.02095300000001</v>
      </c>
      <c r="AF1826" s="5" t="str">
        <f>HYPERLINK("https://www.google.com/maps/search/?api=1&amp;query=41.754881,-88.020953","map")</f>
        <v>map</v>
      </c>
    </row>
    <row r="1827" spans="1:32">
      <c r="A1827" t="s">
        <v>1877</v>
      </c>
      <c r="B1827" t="s">
        <v>9437</v>
      </c>
      <c r="C1827" t="s">
        <v>15356</v>
      </c>
      <c r="D1827" t="s">
        <v>16199</v>
      </c>
      <c r="E1827" t="s">
        <v>16218</v>
      </c>
      <c r="F1827" t="s">
        <v>16221</v>
      </c>
      <c r="G1827" t="s">
        <v>16249</v>
      </c>
      <c r="H1827" t="s">
        <v>16249</v>
      </c>
      <c r="I1827" t="s">
        <v>16325</v>
      </c>
      <c r="J1827" t="s">
        <v>16385</v>
      </c>
      <c r="K1827">
        <v>0.19</v>
      </c>
      <c r="L1827">
        <v>8281</v>
      </c>
      <c r="M1827">
        <v>2016</v>
      </c>
      <c r="N1827" t="s">
        <v>16393</v>
      </c>
      <c r="O1827" s="4">
        <v>50975</v>
      </c>
      <c r="P1827" s="4">
        <v>100601</v>
      </c>
      <c r="Q1827" s="4">
        <v>151576</v>
      </c>
      <c r="R1827" s="4">
        <v>454728</v>
      </c>
      <c r="S1827" t="s">
        <v>18175</v>
      </c>
      <c r="T1827" s="6">
        <v>41791</v>
      </c>
      <c r="U1827" s="4">
        <v>342000</v>
      </c>
      <c r="V1827" t="s">
        <v>23739</v>
      </c>
      <c r="W1827" t="s">
        <v>24596</v>
      </c>
      <c r="X1827" t="s">
        <v>3</v>
      </c>
      <c r="AA1827" s="5" t="str">
        <f>HYPERLINK("https://www.zillow.com/homes/7180-DEXTER-RD-DOWNERS-GROVE-IL-605163709_rb/","check listing")</f>
        <v>check listing</v>
      </c>
      <c r="AB1827" s="5" t="str">
        <f>HYPERLINK("https://propertylookup.dupagecounty.gov/Datalets/Datalet.aspx?UseSearch=no&amp;mode=sales&amp;pin=0930203037","sales record")</f>
        <v>sales record</v>
      </c>
      <c r="AC1827" t="s">
        <v>3</v>
      </c>
      <c r="AD1827">
        <v>41.756875</v>
      </c>
      <c r="AE1827">
        <v>-88.019328</v>
      </c>
      <c r="AF1827" s="5" t="str">
        <f>HYPERLINK("https://www.google.com/maps/search/?api=1&amp;query=41.756875,-88.019328","map")</f>
        <v>map</v>
      </c>
    </row>
    <row r="1828" spans="1:32">
      <c r="A1828" t="s">
        <v>1878</v>
      </c>
      <c r="B1828" t="s">
        <v>9438</v>
      </c>
      <c r="C1828" t="s">
        <v>15254</v>
      </c>
      <c r="D1828" t="s">
        <v>16199</v>
      </c>
      <c r="E1828" t="s">
        <v>16218</v>
      </c>
      <c r="F1828" t="s">
        <v>16221</v>
      </c>
      <c r="G1828" t="s">
        <v>16249</v>
      </c>
      <c r="H1828" t="s">
        <v>16249</v>
      </c>
      <c r="I1828" t="s">
        <v>16325</v>
      </c>
      <c r="J1828" t="s">
        <v>16385</v>
      </c>
      <c r="K1828">
        <v>0.19</v>
      </c>
      <c r="L1828">
        <v>8280</v>
      </c>
      <c r="M1828">
        <v>2259</v>
      </c>
      <c r="N1828" t="s">
        <v>16393</v>
      </c>
      <c r="O1828" s="4">
        <v>50975</v>
      </c>
      <c r="P1828" s="4">
        <v>101399</v>
      </c>
      <c r="Q1828" s="4">
        <v>152374</v>
      </c>
      <c r="R1828" s="4">
        <v>457122</v>
      </c>
      <c r="S1828" t="s">
        <v>18176</v>
      </c>
      <c r="T1828" s="6">
        <v>31594</v>
      </c>
      <c r="U1828" s="4">
        <v>126500</v>
      </c>
      <c r="X1828" t="s">
        <v>3</v>
      </c>
      <c r="AA1828" s="5" t="str">
        <f>HYPERLINK("https://www.zillow.com/homes/7172-DEXTER-RD-DOWNERS-GROVE-IL-60516_rb/","check listing")</f>
        <v>check listing</v>
      </c>
      <c r="AB1828" s="5" t="str">
        <f>HYPERLINK("https://propertylookup.dupagecounty.gov/Datalets/Datalet.aspx?UseSearch=no&amp;mode=sales&amp;pin=0930203036","sales record")</f>
        <v>sales record</v>
      </c>
      <c r="AC1828" t="s">
        <v>3</v>
      </c>
      <c r="AD1828">
        <v>41.757075</v>
      </c>
      <c r="AE1828">
        <v>-88.019335</v>
      </c>
      <c r="AF1828" s="5" t="str">
        <f>HYPERLINK("https://www.google.com/maps/search/?api=1&amp;query=41.757075,-88.019335","map")</f>
        <v>map</v>
      </c>
    </row>
    <row r="1829" spans="1:32">
      <c r="A1829" t="s">
        <v>1879</v>
      </c>
      <c r="B1829" t="s">
        <v>9439</v>
      </c>
      <c r="C1829" t="s">
        <v>15254</v>
      </c>
      <c r="D1829" t="s">
        <v>16199</v>
      </c>
      <c r="E1829" t="s">
        <v>16218</v>
      </c>
      <c r="F1829" t="s">
        <v>16221</v>
      </c>
      <c r="G1829" t="s">
        <v>16249</v>
      </c>
      <c r="H1829" t="s">
        <v>16249</v>
      </c>
      <c r="I1829" t="s">
        <v>16325</v>
      </c>
      <c r="J1829" t="s">
        <v>16385</v>
      </c>
      <c r="K1829">
        <v>0.19</v>
      </c>
      <c r="L1829">
        <v>8280</v>
      </c>
      <c r="M1829">
        <v>1864</v>
      </c>
      <c r="N1829" t="s">
        <v>16393</v>
      </c>
      <c r="O1829" s="4">
        <v>45881</v>
      </c>
      <c r="P1829" s="4">
        <v>135003</v>
      </c>
      <c r="Q1829" s="4">
        <v>180884</v>
      </c>
      <c r="R1829" s="4">
        <v>542652</v>
      </c>
      <c r="S1829" t="s">
        <v>18177</v>
      </c>
      <c r="T1829" s="6">
        <v>35643</v>
      </c>
      <c r="U1829" s="4">
        <v>207000</v>
      </c>
      <c r="X1829" t="s">
        <v>3</v>
      </c>
      <c r="AA1829" s="5" t="str">
        <f>HYPERLINK("https://www.zillow.com/homes/1425-RICHARDS-AVE-DOWNERS-GROVE-IL-60516_rb/","check listing")</f>
        <v>check listing</v>
      </c>
      <c r="AB1829" s="5" t="str">
        <f>HYPERLINK("https://propertylookup.dupagecounty.gov/Datalets/Datalet.aspx?UseSearch=no&amp;mode=sales&amp;pin=0930202030","sales record")</f>
        <v>sales record</v>
      </c>
      <c r="AC1829" t="s">
        <v>3</v>
      </c>
      <c r="AD1829">
        <v>41.754913</v>
      </c>
      <c r="AE1829">
        <v>-88.01937100000001</v>
      </c>
      <c r="AF1829" s="5" t="str">
        <f>HYPERLINK("https://www.google.com/maps/search/?api=1&amp;query=41.754913,-88.019371","map")</f>
        <v>map</v>
      </c>
    </row>
    <row r="1830" spans="1:32">
      <c r="A1830" t="s">
        <v>1880</v>
      </c>
      <c r="B1830" t="s">
        <v>9440</v>
      </c>
      <c r="C1830" t="s">
        <v>15254</v>
      </c>
      <c r="D1830" t="s">
        <v>16199</v>
      </c>
      <c r="E1830" t="s">
        <v>16218</v>
      </c>
      <c r="F1830" t="s">
        <v>16221</v>
      </c>
      <c r="G1830" t="s">
        <v>16249</v>
      </c>
      <c r="H1830" t="s">
        <v>16249</v>
      </c>
      <c r="I1830" t="s">
        <v>16325</v>
      </c>
      <c r="J1830" t="s">
        <v>16385</v>
      </c>
      <c r="K1830">
        <v>0.19</v>
      </c>
      <c r="L1830">
        <v>8280</v>
      </c>
      <c r="M1830">
        <v>1758</v>
      </c>
      <c r="N1830" t="s">
        <v>16393</v>
      </c>
      <c r="O1830" s="4">
        <v>45881</v>
      </c>
      <c r="P1830" s="4">
        <v>111740</v>
      </c>
      <c r="Q1830" s="4">
        <v>157621</v>
      </c>
      <c r="R1830" s="4">
        <v>472863</v>
      </c>
      <c r="S1830" t="s">
        <v>18178</v>
      </c>
      <c r="T1830" s="6">
        <v>38626</v>
      </c>
      <c r="U1830" s="4">
        <v>372500</v>
      </c>
      <c r="V1830" t="s">
        <v>23739</v>
      </c>
      <c r="W1830" t="s">
        <v>24597</v>
      </c>
      <c r="X1830" t="s">
        <v>3</v>
      </c>
      <c r="AA1830" s="5" t="str">
        <f>HYPERLINK("https://www.zillow.com/homes/1525-RICHARDS-AVE-DOWNERS-GROVE-IL-60516_rb/","check listing")</f>
        <v>check listing</v>
      </c>
      <c r="AB1830" s="5" t="str">
        <f>HYPERLINK("https://propertylookup.dupagecounty.gov/Datalets/Datalet.aspx?UseSearch=no&amp;mode=sales&amp;pin=0930202023","sales record")</f>
        <v>sales record</v>
      </c>
      <c r="AC1830" t="s">
        <v>3</v>
      </c>
      <c r="AD1830">
        <v>41.754876</v>
      </c>
      <c r="AE1830">
        <v>-88.02121699999999</v>
      </c>
      <c r="AF1830" s="5" t="str">
        <f>HYPERLINK("https://www.google.com/maps/search/?api=1&amp;query=41.754876,-88.021217","map")</f>
        <v>map</v>
      </c>
    </row>
    <row r="1831" spans="1:32">
      <c r="A1831" t="s">
        <v>1881</v>
      </c>
      <c r="B1831" t="s">
        <v>9441</v>
      </c>
      <c r="C1831" t="s">
        <v>15328</v>
      </c>
      <c r="D1831" t="s">
        <v>16199</v>
      </c>
      <c r="E1831" t="s">
        <v>16218</v>
      </c>
      <c r="F1831" t="s">
        <v>16221</v>
      </c>
      <c r="G1831" t="s">
        <v>16249</v>
      </c>
      <c r="H1831" t="s">
        <v>16249</v>
      </c>
      <c r="I1831" t="s">
        <v>16325</v>
      </c>
      <c r="J1831" t="s">
        <v>16385</v>
      </c>
      <c r="K1831">
        <v>0.19</v>
      </c>
      <c r="L1831">
        <v>8278</v>
      </c>
      <c r="M1831">
        <v>2025</v>
      </c>
      <c r="N1831" t="s">
        <v>16393</v>
      </c>
      <c r="O1831" s="4">
        <v>45881</v>
      </c>
      <c r="P1831" s="4">
        <v>79720</v>
      </c>
      <c r="Q1831" s="4">
        <v>125601</v>
      </c>
      <c r="R1831" s="4">
        <v>376803</v>
      </c>
      <c r="S1831" t="s">
        <v>18179</v>
      </c>
      <c r="T1831" s="6">
        <v>44562</v>
      </c>
      <c r="U1831" s="4">
        <v>415000</v>
      </c>
      <c r="V1831" t="s">
        <v>23739</v>
      </c>
      <c r="W1831" t="s">
        <v>24598</v>
      </c>
      <c r="X1831" t="s">
        <v>3</v>
      </c>
      <c r="AA1831" s="5" t="str">
        <f>HYPERLINK("https://www.zillow.com/homes/1441-RICHARDS-AVE-DOWNERS-GROVE-IL-605163705_rb/","check listing")</f>
        <v>check listing</v>
      </c>
      <c r="AB1831" s="5" t="str">
        <f>HYPERLINK("https://propertylookup.dupagecounty.gov/Datalets/Datalet.aspx?UseSearch=no&amp;mode=sales&amp;pin=0930202028","sales record")</f>
        <v>sales record</v>
      </c>
      <c r="AC1831" t="s">
        <v>3</v>
      </c>
      <c r="AD1831">
        <v>41.754903</v>
      </c>
      <c r="AE1831">
        <v>-88.019898</v>
      </c>
      <c r="AF1831" s="5" t="str">
        <f>HYPERLINK("https://www.google.com/maps/search/?api=1&amp;query=41.754903,-88.019898","map")</f>
        <v>map</v>
      </c>
    </row>
    <row r="1832" spans="1:32">
      <c r="A1832" t="s">
        <v>1882</v>
      </c>
      <c r="B1832" t="s">
        <v>9442</v>
      </c>
      <c r="C1832" t="s">
        <v>15254</v>
      </c>
      <c r="D1832" t="s">
        <v>16199</v>
      </c>
      <c r="E1832" t="s">
        <v>16218</v>
      </c>
      <c r="F1832" t="s">
        <v>16221</v>
      </c>
      <c r="G1832" t="s">
        <v>16249</v>
      </c>
      <c r="H1832" t="s">
        <v>16249</v>
      </c>
      <c r="I1832" t="s">
        <v>16325</v>
      </c>
      <c r="J1832" t="s">
        <v>16385</v>
      </c>
      <c r="K1832">
        <v>0.19</v>
      </c>
      <c r="L1832">
        <v>8278</v>
      </c>
      <c r="M1832">
        <v>1899</v>
      </c>
      <c r="N1832" t="s">
        <v>16393</v>
      </c>
      <c r="O1832" s="4">
        <v>50975</v>
      </c>
      <c r="P1832" s="4">
        <v>92420</v>
      </c>
      <c r="Q1832" s="4">
        <v>143395</v>
      </c>
      <c r="R1832" s="4">
        <v>430185</v>
      </c>
      <c r="S1832" t="s">
        <v>18180</v>
      </c>
      <c r="T1832" s="6">
        <v>42217</v>
      </c>
      <c r="U1832" s="4">
        <v>250000</v>
      </c>
      <c r="V1832" t="s">
        <v>23739</v>
      </c>
      <c r="W1832" t="s">
        <v>18180</v>
      </c>
      <c r="X1832" t="s">
        <v>3</v>
      </c>
      <c r="AA1832" s="5" t="str">
        <f>HYPERLINK("https://www.zillow.com/homes/7156-DEXTER-RD-DOWNERS-GROVE-IL-60516_rb/","check listing")</f>
        <v>check listing</v>
      </c>
      <c r="AB1832" s="5" t="str">
        <f>HYPERLINK("https://propertylookup.dupagecounty.gov/Datalets/Datalet.aspx?UseSearch=no&amp;mode=sales&amp;pin=0930203034","sales record")</f>
        <v>sales record</v>
      </c>
      <c r="AC1832" t="s">
        <v>3</v>
      </c>
      <c r="AD1832">
        <v>41.757405</v>
      </c>
      <c r="AE1832">
        <v>-88.01957299999999</v>
      </c>
      <c r="AF1832" s="5" t="str">
        <f>HYPERLINK("https://www.google.com/maps/search/?api=1&amp;query=41.757405,-88.019573","map")</f>
        <v>map</v>
      </c>
    </row>
    <row r="1833" spans="1:32">
      <c r="A1833" t="s">
        <v>1883</v>
      </c>
      <c r="B1833" t="s">
        <v>9443</v>
      </c>
      <c r="C1833" t="s">
        <v>15328</v>
      </c>
      <c r="D1833" t="s">
        <v>16199</v>
      </c>
      <c r="E1833" t="s">
        <v>16218</v>
      </c>
      <c r="F1833" t="s">
        <v>16221</v>
      </c>
      <c r="G1833" t="s">
        <v>16249</v>
      </c>
      <c r="H1833" t="s">
        <v>16249</v>
      </c>
      <c r="I1833" t="s">
        <v>16325</v>
      </c>
      <c r="J1833" t="s">
        <v>16385</v>
      </c>
      <c r="K1833">
        <v>0.19</v>
      </c>
      <c r="L1833">
        <v>8278</v>
      </c>
      <c r="M1833">
        <v>2810</v>
      </c>
      <c r="N1833" t="s">
        <v>16393</v>
      </c>
      <c r="O1833" s="4">
        <v>45881</v>
      </c>
      <c r="P1833" s="4">
        <v>125319</v>
      </c>
      <c r="Q1833" s="4">
        <v>171200</v>
      </c>
      <c r="R1833" s="4">
        <v>513600</v>
      </c>
      <c r="S1833" t="s">
        <v>18181</v>
      </c>
      <c r="T1833" s="6">
        <v>42095</v>
      </c>
      <c r="U1833" s="4">
        <v>300000</v>
      </c>
      <c r="V1833" t="s">
        <v>23739</v>
      </c>
      <c r="W1833" t="s">
        <v>24599</v>
      </c>
      <c r="X1833" t="s">
        <v>3</v>
      </c>
      <c r="AA1833" s="5" t="str">
        <f>HYPERLINK("https://www.zillow.com/homes/1433-RICHARDS-AVE-DOWNERS-GROVE-IL-605163705_rb/","check listing")</f>
        <v>check listing</v>
      </c>
      <c r="AB1833" s="5" t="str">
        <f>HYPERLINK("https://propertylookup.dupagecounty.gov/Datalets/Datalet.aspx?UseSearch=no&amp;mode=sales&amp;pin=0930202029","sales record")</f>
        <v>sales record</v>
      </c>
      <c r="AC1833" t="s">
        <v>3</v>
      </c>
      <c r="AD1833">
        <v>41.754908</v>
      </c>
      <c r="AE1833">
        <v>-88.01963499999999</v>
      </c>
      <c r="AF1833" s="5" t="str">
        <f>HYPERLINK("https://www.google.com/maps/search/?api=1&amp;query=41.754908,-88.019635","map")</f>
        <v>map</v>
      </c>
    </row>
    <row r="1834" spans="1:32">
      <c r="A1834" t="s">
        <v>1884</v>
      </c>
      <c r="B1834" t="s">
        <v>9444</v>
      </c>
      <c r="C1834" t="s">
        <v>15334</v>
      </c>
      <c r="D1834" t="s">
        <v>16199</v>
      </c>
      <c r="E1834" t="s">
        <v>16218</v>
      </c>
      <c r="F1834" t="s">
        <v>16221</v>
      </c>
      <c r="G1834" t="s">
        <v>16249</v>
      </c>
      <c r="H1834" t="s">
        <v>16249</v>
      </c>
      <c r="I1834" t="s">
        <v>16325</v>
      </c>
      <c r="J1834" t="s">
        <v>16385</v>
      </c>
      <c r="K1834">
        <v>0.19</v>
      </c>
      <c r="L1834">
        <v>8276</v>
      </c>
      <c r="M1834">
        <v>2073</v>
      </c>
      <c r="N1834" t="s">
        <v>16393</v>
      </c>
      <c r="O1834" s="4">
        <v>50975</v>
      </c>
      <c r="P1834" s="4">
        <v>133313</v>
      </c>
      <c r="Q1834" s="4">
        <v>184288</v>
      </c>
      <c r="R1834" s="4">
        <v>552864</v>
      </c>
      <c r="S1834" t="s">
        <v>18182</v>
      </c>
      <c r="T1834" s="6">
        <v>41821</v>
      </c>
      <c r="U1834" s="4">
        <v>356500</v>
      </c>
      <c r="V1834" t="s">
        <v>23739</v>
      </c>
      <c r="W1834" t="s">
        <v>24600</v>
      </c>
      <c r="X1834" t="s">
        <v>3</v>
      </c>
      <c r="AA1834" s="5" t="str">
        <f>HYPERLINK("https://www.zillow.com/homes/7240-KELLY-PL-DOWNERS-GROVE-IL-605163706_rb/","check listing")</f>
        <v>check listing</v>
      </c>
      <c r="AB1834" s="5" t="str">
        <f>HYPERLINK("https://propertylookup.dupagecounty.gov/Datalets/Datalet.aspx?UseSearch=no&amp;mode=sales&amp;pin=0930203024","sales record")</f>
        <v>sales record</v>
      </c>
      <c r="AC1834" t="s">
        <v>3</v>
      </c>
      <c r="AD1834">
        <v>41.755547</v>
      </c>
      <c r="AE1834">
        <v>-88.021249</v>
      </c>
      <c r="AF1834" s="5" t="str">
        <f>HYPERLINK("https://www.google.com/maps/search/?api=1&amp;query=41.755547,-88.021249","map")</f>
        <v>map</v>
      </c>
    </row>
    <row r="1835" spans="1:32">
      <c r="A1835" t="s">
        <v>1885</v>
      </c>
      <c r="B1835" t="s">
        <v>9445</v>
      </c>
      <c r="C1835" t="s">
        <v>15334</v>
      </c>
      <c r="D1835" t="s">
        <v>16199</v>
      </c>
      <c r="E1835" t="s">
        <v>16218</v>
      </c>
      <c r="F1835" t="s">
        <v>16221</v>
      </c>
      <c r="G1835" t="s">
        <v>16249</v>
      </c>
      <c r="H1835" t="s">
        <v>16249</v>
      </c>
      <c r="I1835" t="s">
        <v>16325</v>
      </c>
      <c r="J1835" t="s">
        <v>16385</v>
      </c>
      <c r="K1835">
        <v>0.19</v>
      </c>
      <c r="L1835">
        <v>8273</v>
      </c>
      <c r="M1835">
        <v>1756</v>
      </c>
      <c r="N1835" t="s">
        <v>16393</v>
      </c>
      <c r="O1835" s="4">
        <v>50975</v>
      </c>
      <c r="P1835" s="4">
        <v>89697</v>
      </c>
      <c r="Q1835" s="4">
        <v>140672</v>
      </c>
      <c r="R1835" s="4">
        <v>422016</v>
      </c>
      <c r="S1835" t="s">
        <v>18183</v>
      </c>
      <c r="T1835" s="6">
        <v>34090</v>
      </c>
      <c r="U1835" s="4">
        <v>155000</v>
      </c>
      <c r="X1835" t="s">
        <v>3</v>
      </c>
      <c r="AA1835" s="5" t="str">
        <f>HYPERLINK("https://www.zillow.com/homes/7232-KELLY-PL-DOWNERS-GROVE-IL-605163706_rb/","check listing")</f>
        <v>check listing</v>
      </c>
      <c r="AB1835" s="5" t="str">
        <f>HYPERLINK("https://propertylookup.dupagecounty.gov/Datalets/Datalet.aspx?UseSearch=no&amp;mode=sales&amp;pin=0930203023","sales record")</f>
        <v>sales record</v>
      </c>
      <c r="AC1835" t="s">
        <v>3</v>
      </c>
      <c r="AD1835">
        <v>41.755744</v>
      </c>
      <c r="AE1835">
        <v>-88.02125599999999</v>
      </c>
      <c r="AF1835" s="5" t="str">
        <f>HYPERLINK("https://www.google.com/maps/search/?api=1&amp;query=41.755744,-88.021256","map")</f>
        <v>map</v>
      </c>
    </row>
    <row r="1836" spans="1:32">
      <c r="A1836" t="s">
        <v>1886</v>
      </c>
      <c r="B1836" t="s">
        <v>9446</v>
      </c>
      <c r="C1836" t="s">
        <v>15334</v>
      </c>
      <c r="D1836" t="s">
        <v>16199</v>
      </c>
      <c r="E1836" t="s">
        <v>16218</v>
      </c>
      <c r="F1836" t="s">
        <v>16221</v>
      </c>
      <c r="G1836" t="s">
        <v>16249</v>
      </c>
      <c r="H1836" t="s">
        <v>16249</v>
      </c>
      <c r="I1836" t="s">
        <v>16325</v>
      </c>
      <c r="J1836" t="s">
        <v>16385</v>
      </c>
      <c r="K1836">
        <v>0.19</v>
      </c>
      <c r="L1836">
        <v>8272</v>
      </c>
      <c r="M1836">
        <v>2128</v>
      </c>
      <c r="N1836" t="s">
        <v>16393</v>
      </c>
      <c r="O1836" s="4">
        <v>50975</v>
      </c>
      <c r="P1836" s="4">
        <v>103770</v>
      </c>
      <c r="Q1836" s="4">
        <v>154745</v>
      </c>
      <c r="R1836" s="4">
        <v>464235</v>
      </c>
      <c r="S1836" t="s">
        <v>18184</v>
      </c>
      <c r="T1836" s="6">
        <v>44256</v>
      </c>
      <c r="U1836" s="4">
        <v>402000</v>
      </c>
      <c r="V1836" t="s">
        <v>23739</v>
      </c>
      <c r="W1836" t="s">
        <v>24601</v>
      </c>
      <c r="X1836" t="s">
        <v>3</v>
      </c>
      <c r="AA1836" s="5" t="str">
        <f>HYPERLINK("https://www.zillow.com/homes/7224-KELLY-PL-DOWNERS-GROVE-IL-605163706_rb/","check listing")</f>
        <v>check listing</v>
      </c>
      <c r="AB1836" s="5" t="str">
        <f>HYPERLINK("https://propertylookup.dupagecounty.gov/Datalets/Datalet.aspx?UseSearch=no&amp;mode=sales&amp;pin=0930203022","sales record")</f>
        <v>sales record</v>
      </c>
      <c r="AC1836" t="s">
        <v>3</v>
      </c>
      <c r="AD1836">
        <v>41.755942</v>
      </c>
      <c r="AE1836">
        <v>-88.021263</v>
      </c>
      <c r="AF1836" s="5" t="str">
        <f>HYPERLINK("https://www.google.com/maps/search/?api=1&amp;query=41.755942,-88.021263","map")</f>
        <v>map</v>
      </c>
    </row>
    <row r="1837" spans="1:32">
      <c r="A1837" t="s">
        <v>1887</v>
      </c>
      <c r="B1837" t="s">
        <v>9447</v>
      </c>
      <c r="C1837" t="s">
        <v>15254</v>
      </c>
      <c r="D1837" t="s">
        <v>16199</v>
      </c>
      <c r="E1837" t="s">
        <v>16218</v>
      </c>
      <c r="F1837" t="s">
        <v>16221</v>
      </c>
      <c r="G1837" t="s">
        <v>16249</v>
      </c>
      <c r="H1837" t="s">
        <v>16249</v>
      </c>
      <c r="I1837" t="s">
        <v>16325</v>
      </c>
      <c r="J1837" t="s">
        <v>16385</v>
      </c>
      <c r="K1837">
        <v>0.189</v>
      </c>
      <c r="L1837">
        <v>8246</v>
      </c>
      <c r="M1837">
        <v>2247</v>
      </c>
      <c r="N1837" t="s">
        <v>16393</v>
      </c>
      <c r="O1837" s="4">
        <v>50975</v>
      </c>
      <c r="P1837" s="4">
        <v>119087</v>
      </c>
      <c r="Q1837" s="4">
        <v>170062</v>
      </c>
      <c r="R1837" s="4">
        <v>510186</v>
      </c>
      <c r="S1837" t="s">
        <v>18185</v>
      </c>
      <c r="T1837" s="6">
        <v>38504</v>
      </c>
      <c r="U1837" s="4">
        <v>399900</v>
      </c>
      <c r="V1837" t="s">
        <v>23739</v>
      </c>
      <c r="W1837" t="s">
        <v>24602</v>
      </c>
      <c r="X1837" t="s">
        <v>3</v>
      </c>
      <c r="AA1837" s="5" t="str">
        <f>HYPERLINK("https://www.zillow.com/homes/7212-POWELL-ST-DOWNERS-GROVE-IL-60516_rb/","check listing")</f>
        <v>check listing</v>
      </c>
      <c r="AB1837" s="5" t="str">
        <f>HYPERLINK("https://propertylookup.dupagecounty.gov/Datalets/Datalet.aspx?UseSearch=no&amp;mode=sales&amp;pin=0930204028","sales record")</f>
        <v>sales record</v>
      </c>
      <c r="AC1837" t="s">
        <v>3</v>
      </c>
      <c r="AD1837">
        <v>41.756343</v>
      </c>
      <c r="AE1837">
        <v>-88.01663000000001</v>
      </c>
      <c r="AF1837" s="5" t="str">
        <f>HYPERLINK("https://www.google.com/maps/search/?api=1&amp;query=41.756343,-88.01663","map")</f>
        <v>map</v>
      </c>
    </row>
    <row r="1838" spans="1:32">
      <c r="A1838" t="s">
        <v>1888</v>
      </c>
      <c r="B1838" t="s">
        <v>9448</v>
      </c>
      <c r="C1838" t="s">
        <v>15254</v>
      </c>
      <c r="D1838" t="s">
        <v>16199</v>
      </c>
      <c r="E1838" t="s">
        <v>16218</v>
      </c>
      <c r="F1838" t="s">
        <v>16221</v>
      </c>
      <c r="G1838" t="s">
        <v>16249</v>
      </c>
      <c r="H1838" t="s">
        <v>16249</v>
      </c>
      <c r="I1838" t="s">
        <v>16325</v>
      </c>
      <c r="J1838" t="s">
        <v>16385</v>
      </c>
      <c r="K1838">
        <v>0.189</v>
      </c>
      <c r="L1838">
        <v>8242</v>
      </c>
      <c r="M1838">
        <v>1724</v>
      </c>
      <c r="N1838" t="s">
        <v>16393</v>
      </c>
      <c r="O1838" s="4">
        <v>50975</v>
      </c>
      <c r="P1838" s="4">
        <v>117010</v>
      </c>
      <c r="Q1838" s="4">
        <v>167985</v>
      </c>
      <c r="R1838" s="4">
        <v>503955</v>
      </c>
      <c r="S1838" t="s">
        <v>18186</v>
      </c>
      <c r="T1838" s="6">
        <v>44902</v>
      </c>
      <c r="U1838" s="4">
        <v>435000</v>
      </c>
      <c r="V1838" t="s">
        <v>23741</v>
      </c>
      <c r="W1838" t="s">
        <v>24603</v>
      </c>
      <c r="X1838" t="s">
        <v>3</v>
      </c>
      <c r="AA1838" s="5" t="str">
        <f>HYPERLINK("https://www.zillow.com/homes/7216-POWELL-ST-DOWNERS-GROVE-IL-60516_rb/","check listing")</f>
        <v>check listing</v>
      </c>
      <c r="AB1838" s="5" t="str">
        <f>HYPERLINK("https://propertylookup.dupagecounty.gov/Datalets/Datalet.aspx?UseSearch=no&amp;mode=sales&amp;pin=0930204029","sales record")</f>
        <v>sales record</v>
      </c>
      <c r="AC1838" t="s">
        <v>3</v>
      </c>
      <c r="AD1838">
        <v>41.756168</v>
      </c>
      <c r="AE1838">
        <v>-88.016749</v>
      </c>
      <c r="AF1838" s="5" t="str">
        <f>HYPERLINK("https://www.google.com/maps/search/?api=1&amp;query=41.756168,-88.016749","map")</f>
        <v>map</v>
      </c>
    </row>
    <row r="1839" spans="1:32">
      <c r="A1839" t="s">
        <v>1889</v>
      </c>
      <c r="B1839" t="s">
        <v>9449</v>
      </c>
      <c r="C1839" t="s">
        <v>15357</v>
      </c>
      <c r="D1839" t="s">
        <v>16199</v>
      </c>
      <c r="E1839" t="s">
        <v>16218</v>
      </c>
      <c r="F1839" t="s">
        <v>16221</v>
      </c>
      <c r="G1839" t="s">
        <v>16249</v>
      </c>
      <c r="H1839" t="s">
        <v>16249</v>
      </c>
      <c r="I1839" t="s">
        <v>16325</v>
      </c>
      <c r="J1839" t="s">
        <v>16385</v>
      </c>
      <c r="K1839">
        <v>0.186</v>
      </c>
      <c r="L1839">
        <v>8105</v>
      </c>
      <c r="M1839">
        <v>1655</v>
      </c>
      <c r="N1839" t="s">
        <v>16393</v>
      </c>
      <c r="O1839" s="4">
        <v>50506</v>
      </c>
      <c r="P1839" s="4">
        <v>120331</v>
      </c>
      <c r="Q1839" s="4">
        <v>170837</v>
      </c>
      <c r="R1839" s="4">
        <v>512511</v>
      </c>
      <c r="S1839" t="s">
        <v>18187</v>
      </c>
      <c r="T1839" s="6">
        <v>44621</v>
      </c>
      <c r="U1839" s="4">
        <v>452000</v>
      </c>
      <c r="V1839" t="s">
        <v>23739</v>
      </c>
      <c r="W1839" t="s">
        <v>24604</v>
      </c>
      <c r="X1839" t="s">
        <v>3</v>
      </c>
      <c r="AA1839" s="5" t="str">
        <f>HYPERLINK("https://www.zillow.com/homes/1309-KLEIN-AVE-DOWNERS-GROVE-IL-605163761_rb/","check listing")</f>
        <v>check listing</v>
      </c>
      <c r="AB1839" s="5" t="str">
        <f>HYPERLINK("https://propertylookup.dupagecounty.gov/Datalets/Datalet.aspx?UseSearch=no&amp;mode=sales&amp;pin=0930206003","sales record")</f>
        <v>sales record</v>
      </c>
      <c r="AC1839" t="s">
        <v>3</v>
      </c>
      <c r="AD1839">
        <v>41.757595</v>
      </c>
      <c r="AE1839">
        <v>-88.015387</v>
      </c>
      <c r="AF1839" s="5" t="str">
        <f>HYPERLINK("https://www.google.com/maps/search/?api=1&amp;query=41.757595,-88.015387","map")</f>
        <v>map</v>
      </c>
    </row>
    <row r="1840" spans="1:32">
      <c r="A1840" t="s">
        <v>1890</v>
      </c>
      <c r="B1840" t="s">
        <v>9450</v>
      </c>
      <c r="C1840" t="s">
        <v>15254</v>
      </c>
      <c r="D1840" t="s">
        <v>16199</v>
      </c>
      <c r="E1840" t="s">
        <v>16218</v>
      </c>
      <c r="F1840" t="s">
        <v>16221</v>
      </c>
      <c r="G1840" t="s">
        <v>16249</v>
      </c>
      <c r="H1840" t="s">
        <v>16249</v>
      </c>
      <c r="I1840" t="s">
        <v>16325</v>
      </c>
      <c r="J1840" t="s">
        <v>16385</v>
      </c>
      <c r="K1840">
        <v>0.186</v>
      </c>
      <c r="L1840">
        <v>8105</v>
      </c>
      <c r="M1840">
        <v>2030</v>
      </c>
      <c r="N1840" t="s">
        <v>16393</v>
      </c>
      <c r="O1840" s="4">
        <v>50506</v>
      </c>
      <c r="P1840" s="4">
        <v>107138</v>
      </c>
      <c r="Q1840" s="4">
        <v>157644</v>
      </c>
      <c r="R1840" s="4">
        <v>472932</v>
      </c>
      <c r="S1840" t="s">
        <v>18188</v>
      </c>
      <c r="T1840" s="6">
        <v>34639</v>
      </c>
      <c r="U1840" s="4">
        <v>197000</v>
      </c>
      <c r="X1840" t="s">
        <v>3</v>
      </c>
      <c r="AA1840" s="5" t="str">
        <f>HYPERLINK("https://www.zillow.com/homes/1209-KLEIN-AVE-DOWNERS-GROVE-IL-60516_rb/","check listing")</f>
        <v>check listing</v>
      </c>
      <c r="AB1840" s="5" t="str">
        <f>HYPERLINK("https://propertylookup.dupagecounty.gov/Datalets/Datalet.aspx?UseSearch=no&amp;mode=sales&amp;pin=0930206006","sales record")</f>
        <v>sales record</v>
      </c>
      <c r="AC1840" t="s">
        <v>3</v>
      </c>
      <c r="AD1840">
        <v>41.757611</v>
      </c>
      <c r="AE1840">
        <v>-88.014585</v>
      </c>
      <c r="AF1840" s="5" t="str">
        <f>HYPERLINK("https://www.google.com/maps/search/?api=1&amp;query=41.757611,-88.014585","map")</f>
        <v>map</v>
      </c>
    </row>
    <row r="1841" spans="1:32">
      <c r="A1841" t="s">
        <v>1891</v>
      </c>
      <c r="B1841" t="s">
        <v>9451</v>
      </c>
      <c r="C1841" t="s">
        <v>15311</v>
      </c>
      <c r="D1841" t="s">
        <v>16199</v>
      </c>
      <c r="E1841" t="s">
        <v>16218</v>
      </c>
      <c r="F1841" t="s">
        <v>16221</v>
      </c>
      <c r="G1841" t="s">
        <v>16249</v>
      </c>
      <c r="H1841" t="s">
        <v>16249</v>
      </c>
      <c r="I1841" t="s">
        <v>16325</v>
      </c>
      <c r="J1841" t="s">
        <v>16385</v>
      </c>
      <c r="K1841">
        <v>0.186</v>
      </c>
      <c r="L1841">
        <v>8103</v>
      </c>
      <c r="M1841">
        <v>2069</v>
      </c>
      <c r="N1841" t="s">
        <v>16393</v>
      </c>
      <c r="O1841" s="4">
        <v>50506</v>
      </c>
      <c r="P1841" s="4">
        <v>107127</v>
      </c>
      <c r="Q1841" s="4">
        <v>157633</v>
      </c>
      <c r="R1841" s="4">
        <v>472899</v>
      </c>
      <c r="S1841" t="s">
        <v>18189</v>
      </c>
      <c r="T1841" s="6">
        <v>45911</v>
      </c>
      <c r="U1841" s="4">
        <v>580000</v>
      </c>
      <c r="V1841" t="s">
        <v>23739</v>
      </c>
      <c r="W1841" t="s">
        <v>24605</v>
      </c>
      <c r="X1841" t="s">
        <v>3</v>
      </c>
      <c r="AA1841" s="5" t="str">
        <f>HYPERLINK("https://www.zillow.com/homes/1316-HUGHES-AVE-DOWNERS-GROVE-IL-605163772_rb/","check listing")</f>
        <v>check listing</v>
      </c>
      <c r="AB1841" s="5" t="str">
        <f>HYPERLINK("https://propertylookup.dupagecounty.gov/Datalets/Datalet.aspx?UseSearch=no&amp;mode=sales&amp;pin=0930206035","sales record")</f>
        <v>sales record</v>
      </c>
      <c r="AC1841" t="s">
        <v>3</v>
      </c>
      <c r="AD1841">
        <v>41.757286</v>
      </c>
      <c r="AE1841">
        <v>-88.01564399999999</v>
      </c>
      <c r="AF1841" s="5" t="str">
        <f>HYPERLINK("https://www.google.com/maps/search/?api=1&amp;query=41.757286,-88.015644","map")</f>
        <v>map</v>
      </c>
    </row>
    <row r="1842" spans="1:32">
      <c r="A1842" t="s">
        <v>1892</v>
      </c>
      <c r="B1842" t="s">
        <v>9452</v>
      </c>
      <c r="C1842" t="s">
        <v>15311</v>
      </c>
      <c r="D1842" t="s">
        <v>16199</v>
      </c>
      <c r="E1842" t="s">
        <v>16218</v>
      </c>
      <c r="F1842" t="s">
        <v>16221</v>
      </c>
      <c r="G1842" t="s">
        <v>16249</v>
      </c>
      <c r="H1842" t="s">
        <v>16249</v>
      </c>
      <c r="I1842" t="s">
        <v>16325</v>
      </c>
      <c r="J1842" t="s">
        <v>16385</v>
      </c>
      <c r="K1842">
        <v>0.186</v>
      </c>
      <c r="L1842">
        <v>8103</v>
      </c>
      <c r="M1842">
        <v>1670</v>
      </c>
      <c r="N1842" t="s">
        <v>16393</v>
      </c>
      <c r="O1842" s="4">
        <v>50506</v>
      </c>
      <c r="P1842" s="4">
        <v>110437</v>
      </c>
      <c r="Q1842" s="4">
        <v>160943</v>
      </c>
      <c r="R1842" s="4">
        <v>482829</v>
      </c>
      <c r="S1842" t="s">
        <v>18190</v>
      </c>
      <c r="T1842" s="6">
        <v>44409</v>
      </c>
      <c r="U1842" s="4">
        <v>440000</v>
      </c>
      <c r="V1842" t="s">
        <v>23739</v>
      </c>
      <c r="W1842" t="s">
        <v>24606</v>
      </c>
      <c r="X1842" t="s">
        <v>3</v>
      </c>
      <c r="AA1842" s="5" t="str">
        <f>HYPERLINK("https://www.zillow.com/homes/1312-HUGHES-AVE-DOWNERS-GROVE-IL-605163772_rb/","check listing")</f>
        <v>check listing</v>
      </c>
      <c r="AB1842" s="5" t="str">
        <f>HYPERLINK("https://propertylookup.dupagecounty.gov/Datalets/Datalet.aspx?UseSearch=no&amp;mode=sales&amp;pin=0930206034","sales record")</f>
        <v>sales record</v>
      </c>
      <c r="AC1842" t="s">
        <v>3</v>
      </c>
      <c r="AD1842">
        <v>41.757291</v>
      </c>
      <c r="AE1842">
        <v>-88.015377</v>
      </c>
      <c r="AF1842" s="5" t="str">
        <f>HYPERLINK("https://www.google.com/maps/search/?api=1&amp;query=41.757291,-88.015377","map")</f>
        <v>map</v>
      </c>
    </row>
    <row r="1843" spans="1:32">
      <c r="A1843" t="s">
        <v>1893</v>
      </c>
      <c r="B1843" t="s">
        <v>9453</v>
      </c>
      <c r="C1843" t="s">
        <v>15254</v>
      </c>
      <c r="D1843" t="s">
        <v>16199</v>
      </c>
      <c r="E1843" t="s">
        <v>16218</v>
      </c>
      <c r="F1843" t="s">
        <v>16221</v>
      </c>
      <c r="G1843" t="s">
        <v>16249</v>
      </c>
      <c r="H1843" t="s">
        <v>16249</v>
      </c>
      <c r="I1843" t="s">
        <v>16325</v>
      </c>
      <c r="J1843" t="s">
        <v>16385</v>
      </c>
      <c r="K1843">
        <v>0.186</v>
      </c>
      <c r="L1843">
        <v>8103</v>
      </c>
      <c r="M1843">
        <v>1902</v>
      </c>
      <c r="N1843" t="s">
        <v>16393</v>
      </c>
      <c r="O1843" s="4">
        <v>50506</v>
      </c>
      <c r="P1843" s="4">
        <v>106551</v>
      </c>
      <c r="Q1843" s="4">
        <v>157057</v>
      </c>
      <c r="R1843" s="4">
        <v>471171</v>
      </c>
      <c r="S1843" t="s">
        <v>18191</v>
      </c>
      <c r="T1843" s="6">
        <v>31809</v>
      </c>
      <c r="U1843" s="4">
        <v>135315</v>
      </c>
      <c r="X1843" t="s">
        <v>3</v>
      </c>
      <c r="AA1843" s="5" t="str">
        <f>HYPERLINK("https://www.zillow.com/homes/1313-KLEIN-AVE-DOWNERS-GROVE-IL-60516_rb/","check listing")</f>
        <v>check listing</v>
      </c>
      <c r="AB1843" s="5" t="str">
        <f>HYPERLINK("https://propertylookup.dupagecounty.gov/Datalets/Datalet.aspx?UseSearch=no&amp;mode=sales&amp;pin=0930206002","sales record")</f>
        <v>sales record</v>
      </c>
      <c r="AC1843" t="s">
        <v>3</v>
      </c>
      <c r="AD1843">
        <v>41.75759</v>
      </c>
      <c r="AE1843">
        <v>-88.015655</v>
      </c>
      <c r="AF1843" s="5" t="str">
        <f>HYPERLINK("https://www.google.com/maps/search/?api=1&amp;query=41.75759,-88.015655","map")</f>
        <v>map</v>
      </c>
    </row>
    <row r="1844" spans="1:32">
      <c r="A1844" t="s">
        <v>1894</v>
      </c>
      <c r="B1844" t="s">
        <v>9454</v>
      </c>
      <c r="C1844" t="s">
        <v>15254</v>
      </c>
      <c r="D1844" t="s">
        <v>16199</v>
      </c>
      <c r="E1844" t="s">
        <v>16218</v>
      </c>
      <c r="F1844" t="s">
        <v>16221</v>
      </c>
      <c r="G1844" t="s">
        <v>16249</v>
      </c>
      <c r="H1844" t="s">
        <v>16249</v>
      </c>
      <c r="I1844" t="s">
        <v>16325</v>
      </c>
      <c r="J1844" t="s">
        <v>16385</v>
      </c>
      <c r="K1844">
        <v>0.186</v>
      </c>
      <c r="L1844">
        <v>8103</v>
      </c>
      <c r="M1844">
        <v>2083</v>
      </c>
      <c r="N1844" t="s">
        <v>16393</v>
      </c>
      <c r="O1844" s="4">
        <v>50506</v>
      </c>
      <c r="P1844" s="4">
        <v>111634</v>
      </c>
      <c r="Q1844" s="4">
        <v>162140</v>
      </c>
      <c r="R1844" s="4">
        <v>486420</v>
      </c>
      <c r="S1844" t="s">
        <v>18192</v>
      </c>
      <c r="T1844" s="6">
        <v>42552</v>
      </c>
      <c r="U1844" s="4">
        <v>340500</v>
      </c>
      <c r="V1844" t="s">
        <v>23739</v>
      </c>
      <c r="W1844" t="s">
        <v>18192</v>
      </c>
      <c r="X1844" t="s">
        <v>3</v>
      </c>
      <c r="AA1844" s="5" t="str">
        <f>HYPERLINK("https://www.zillow.com/homes/1301-KLEIN-AVE-DOWNERS-GROVE-IL-60516_rb/","check listing")</f>
        <v>check listing</v>
      </c>
      <c r="AB1844" s="5" t="str">
        <f>HYPERLINK("https://propertylookup.dupagecounty.gov/Datalets/Datalet.aspx?UseSearch=no&amp;mode=sales&amp;pin=0930206005","sales record")</f>
        <v>sales record</v>
      </c>
      <c r="AC1844" t="s">
        <v>3</v>
      </c>
      <c r="AD1844">
        <v>41.757606</v>
      </c>
      <c r="AE1844">
        <v>-88.014852</v>
      </c>
      <c r="AF1844" s="5" t="str">
        <f>HYPERLINK("https://www.google.com/maps/search/?api=1&amp;query=41.757606,-88.014852","map")</f>
        <v>map</v>
      </c>
    </row>
    <row r="1845" spans="1:32">
      <c r="A1845" t="s">
        <v>1895</v>
      </c>
      <c r="B1845" t="s">
        <v>9455</v>
      </c>
      <c r="C1845" t="s">
        <v>15254</v>
      </c>
      <c r="D1845" t="s">
        <v>16199</v>
      </c>
      <c r="E1845" t="s">
        <v>16218</v>
      </c>
      <c r="F1845" t="s">
        <v>16221</v>
      </c>
      <c r="G1845" t="s">
        <v>16249</v>
      </c>
      <c r="H1845" t="s">
        <v>16249</v>
      </c>
      <c r="I1845" t="s">
        <v>16325</v>
      </c>
      <c r="J1845" t="s">
        <v>16385</v>
      </c>
      <c r="K1845">
        <v>0.186</v>
      </c>
      <c r="L1845">
        <v>8103</v>
      </c>
      <c r="M1845">
        <v>1884</v>
      </c>
      <c r="N1845" t="s">
        <v>16393</v>
      </c>
      <c r="O1845" s="4">
        <v>50506</v>
      </c>
      <c r="P1845" s="4">
        <v>114522</v>
      </c>
      <c r="Q1845" s="4">
        <v>165028</v>
      </c>
      <c r="R1845" s="4">
        <v>495084</v>
      </c>
      <c r="S1845" t="s">
        <v>18193</v>
      </c>
      <c r="T1845" s="6">
        <v>35947</v>
      </c>
      <c r="U1845" s="4">
        <v>207500</v>
      </c>
      <c r="X1845" t="s">
        <v>3</v>
      </c>
      <c r="AA1845" s="5" t="str">
        <f>HYPERLINK("https://www.zillow.com/homes/1308-HUGHES-AVE-DOWNERS-GROVE-IL-60516_rb/","check listing")</f>
        <v>check listing</v>
      </c>
      <c r="AB1845" s="5" t="str">
        <f>HYPERLINK("https://propertylookup.dupagecounty.gov/Datalets/Datalet.aspx?UseSearch=no&amp;mode=sales&amp;pin=0930206033","sales record")</f>
        <v>sales record</v>
      </c>
      <c r="AC1845" t="s">
        <v>3</v>
      </c>
      <c r="AD1845">
        <v>41.757296</v>
      </c>
      <c r="AE1845">
        <v>-88.015109</v>
      </c>
      <c r="AF1845" s="5" t="str">
        <f>HYPERLINK("https://www.google.com/maps/search/?api=1&amp;query=41.757296,-88.015109","map")</f>
        <v>map</v>
      </c>
    </row>
    <row r="1846" spans="1:32">
      <c r="A1846" t="s">
        <v>1896</v>
      </c>
      <c r="B1846" t="s">
        <v>9456</v>
      </c>
      <c r="C1846" t="s">
        <v>15254</v>
      </c>
      <c r="D1846" t="s">
        <v>16199</v>
      </c>
      <c r="E1846" t="s">
        <v>16218</v>
      </c>
      <c r="F1846" t="s">
        <v>16221</v>
      </c>
      <c r="G1846" t="s">
        <v>16249</v>
      </c>
      <c r="H1846" t="s">
        <v>16249</v>
      </c>
      <c r="I1846" t="s">
        <v>16325</v>
      </c>
      <c r="J1846" t="s">
        <v>16385</v>
      </c>
      <c r="K1846">
        <v>0.186</v>
      </c>
      <c r="L1846">
        <v>8102</v>
      </c>
      <c r="M1846">
        <v>2140</v>
      </c>
      <c r="N1846" t="s">
        <v>16393</v>
      </c>
      <c r="O1846" s="4">
        <v>50506</v>
      </c>
      <c r="P1846" s="4">
        <v>120391</v>
      </c>
      <c r="Q1846" s="4">
        <v>170897</v>
      </c>
      <c r="R1846" s="4">
        <v>512691</v>
      </c>
      <c r="S1846" t="s">
        <v>18194</v>
      </c>
      <c r="T1846" s="6">
        <v>31809</v>
      </c>
      <c r="U1846" s="4">
        <v>155253</v>
      </c>
      <c r="X1846" t="s">
        <v>3</v>
      </c>
      <c r="AA1846" s="5" t="str">
        <f>HYPERLINK("https://www.zillow.com/homes/1205-KLEIN-AVE-DOWNERS-GROVE-IL-60516_rb/","check listing")</f>
        <v>check listing</v>
      </c>
      <c r="AB1846" s="5" t="str">
        <f>HYPERLINK("https://propertylookup.dupagecounty.gov/Datalets/Datalet.aspx?UseSearch=no&amp;mode=sales&amp;pin=0930206007","sales record")</f>
        <v>sales record</v>
      </c>
      <c r="AC1846" t="s">
        <v>3</v>
      </c>
      <c r="AD1846">
        <v>41.757649</v>
      </c>
      <c r="AE1846">
        <v>-88.014318</v>
      </c>
      <c r="AF1846" s="5" t="str">
        <f>HYPERLINK("https://www.google.com/maps/search/?api=1&amp;query=41.757649,-88.014318","map")</f>
        <v>map</v>
      </c>
    </row>
    <row r="1847" spans="1:32">
      <c r="A1847" t="s">
        <v>1897</v>
      </c>
      <c r="B1847" t="s">
        <v>9457</v>
      </c>
      <c r="C1847" t="s">
        <v>15254</v>
      </c>
      <c r="D1847" t="s">
        <v>16199</v>
      </c>
      <c r="E1847" t="s">
        <v>16218</v>
      </c>
      <c r="F1847" t="s">
        <v>16221</v>
      </c>
      <c r="G1847" t="s">
        <v>16249</v>
      </c>
      <c r="H1847" t="s">
        <v>16249</v>
      </c>
      <c r="I1847" t="s">
        <v>16325</v>
      </c>
      <c r="J1847" t="s">
        <v>16385</v>
      </c>
      <c r="K1847">
        <v>0.186</v>
      </c>
      <c r="L1847">
        <v>8102</v>
      </c>
      <c r="M1847">
        <v>1740</v>
      </c>
      <c r="N1847" t="s">
        <v>16393</v>
      </c>
      <c r="O1847" s="4">
        <v>50506</v>
      </c>
      <c r="P1847" s="4">
        <v>113207</v>
      </c>
      <c r="Q1847" s="4">
        <v>163713</v>
      </c>
      <c r="R1847" s="4">
        <v>491139</v>
      </c>
      <c r="S1847" t="s">
        <v>18195</v>
      </c>
      <c r="T1847" s="6">
        <v>33208</v>
      </c>
      <c r="U1847" s="4">
        <v>178000</v>
      </c>
      <c r="X1847" t="s">
        <v>3</v>
      </c>
      <c r="AA1847" s="5" t="str">
        <f>HYPERLINK("https://www.zillow.com/homes/1305-KLEIN-AVE-DOWNERS-GROVE-IL-60516_rb/","check listing")</f>
        <v>check listing</v>
      </c>
      <c r="AB1847" s="5" t="str">
        <f>HYPERLINK("https://propertylookup.dupagecounty.gov/Datalets/Datalet.aspx?UseSearch=no&amp;mode=sales&amp;pin=0930206004","sales record")</f>
        <v>sales record</v>
      </c>
      <c r="AC1847" t="s">
        <v>3</v>
      </c>
      <c r="AD1847">
        <v>41.757601</v>
      </c>
      <c r="AE1847">
        <v>-88.01512</v>
      </c>
      <c r="AF1847" s="5" t="str">
        <f>HYPERLINK("https://www.google.com/maps/search/?api=1&amp;query=41.757601,-88.01512","map")</f>
        <v>map</v>
      </c>
    </row>
    <row r="1848" spans="1:32">
      <c r="A1848" t="s">
        <v>1898</v>
      </c>
      <c r="B1848" t="s">
        <v>9458</v>
      </c>
      <c r="C1848" t="s">
        <v>15254</v>
      </c>
      <c r="D1848" t="s">
        <v>16199</v>
      </c>
      <c r="E1848" t="s">
        <v>16218</v>
      </c>
      <c r="F1848" t="s">
        <v>16221</v>
      </c>
      <c r="G1848" t="s">
        <v>16249</v>
      </c>
      <c r="H1848" t="s">
        <v>16249</v>
      </c>
      <c r="I1848" t="s">
        <v>16325</v>
      </c>
      <c r="J1848" t="s">
        <v>16385</v>
      </c>
      <c r="K1848">
        <v>0.184</v>
      </c>
      <c r="L1848">
        <v>8027</v>
      </c>
      <c r="M1848">
        <v>2676</v>
      </c>
      <c r="N1848" t="s">
        <v>16393</v>
      </c>
      <c r="O1848" s="4">
        <v>48147</v>
      </c>
      <c r="P1848" s="4">
        <v>123653</v>
      </c>
      <c r="Q1848" s="4">
        <v>171800</v>
      </c>
      <c r="R1848" s="4">
        <v>515400</v>
      </c>
      <c r="S1848" t="s">
        <v>18196</v>
      </c>
      <c r="T1848" s="6">
        <v>34669</v>
      </c>
      <c r="U1848" s="4">
        <v>245000</v>
      </c>
      <c r="X1848" t="s">
        <v>3</v>
      </c>
      <c r="AA1848" s="5" t="str">
        <f>HYPERLINK("https://www.zillow.com/homes/7104-POWELL-ST-DOWNERS-GROVE-IL-60516_rb/","check listing")</f>
        <v>check listing</v>
      </c>
      <c r="AB1848" s="5" t="str">
        <f>HYPERLINK("https://propertylookup.dupagecounty.gov/Datalets/Datalet.aspx?UseSearch=no&amp;mode=sales&amp;pin=0930204020","sales record")</f>
        <v>sales record</v>
      </c>
      <c r="AC1848" t="s">
        <v>3</v>
      </c>
      <c r="AD1848">
        <v>41.757856</v>
      </c>
      <c r="AE1848">
        <v>-88.016509</v>
      </c>
      <c r="AF1848" s="5" t="str">
        <f>HYPERLINK("https://www.google.com/maps/search/?api=1&amp;query=41.757856,-88.016509","map")</f>
        <v>map</v>
      </c>
    </row>
    <row r="1849" spans="1:32">
      <c r="A1849" t="s">
        <v>1899</v>
      </c>
      <c r="B1849" t="s">
        <v>9459</v>
      </c>
      <c r="C1849" t="s">
        <v>15254</v>
      </c>
      <c r="D1849" t="s">
        <v>16199</v>
      </c>
      <c r="E1849" t="s">
        <v>16218</v>
      </c>
      <c r="F1849" t="s">
        <v>16221</v>
      </c>
      <c r="G1849" t="s">
        <v>16249</v>
      </c>
      <c r="H1849" t="s">
        <v>16249</v>
      </c>
      <c r="I1849" t="s">
        <v>16325</v>
      </c>
      <c r="J1849" t="s">
        <v>16385</v>
      </c>
      <c r="K1849">
        <v>0.184</v>
      </c>
      <c r="L1849">
        <v>8026</v>
      </c>
      <c r="M1849">
        <v>1383</v>
      </c>
      <c r="N1849" t="s">
        <v>16393</v>
      </c>
      <c r="O1849" s="4">
        <v>48147</v>
      </c>
      <c r="P1849" s="4">
        <v>132057</v>
      </c>
      <c r="Q1849" s="4">
        <v>180204</v>
      </c>
      <c r="R1849" s="4">
        <v>540612</v>
      </c>
      <c r="S1849" t="s">
        <v>18197</v>
      </c>
      <c r="T1849" s="6">
        <v>34121</v>
      </c>
      <c r="U1849" s="4">
        <v>237000</v>
      </c>
      <c r="X1849" t="s">
        <v>3</v>
      </c>
      <c r="AA1849" s="5" t="str">
        <f>HYPERLINK("https://www.zillow.com/homes/7112-POWELL-ST-DOWNERS-GROVE-IL-60516_rb/","check listing")</f>
        <v>check listing</v>
      </c>
      <c r="AB1849" s="5" t="str">
        <f>HYPERLINK("https://propertylookup.dupagecounty.gov/Datalets/Datalet.aspx?UseSearch=no&amp;mode=sales&amp;pin=0930204022","sales record")</f>
        <v>sales record</v>
      </c>
      <c r="AC1849" t="s">
        <v>3</v>
      </c>
      <c r="AD1849">
        <v>41.757483</v>
      </c>
      <c r="AE1849">
        <v>-88.016496</v>
      </c>
      <c r="AF1849" s="5" t="str">
        <f>HYPERLINK("https://www.google.com/maps/search/?api=1&amp;query=41.757483,-88.016496","map")</f>
        <v>map</v>
      </c>
    </row>
    <row r="1850" spans="1:32">
      <c r="A1850" t="s">
        <v>1900</v>
      </c>
      <c r="B1850" t="s">
        <v>9460</v>
      </c>
      <c r="C1850" t="s">
        <v>15254</v>
      </c>
      <c r="D1850" t="s">
        <v>16199</v>
      </c>
      <c r="E1850" t="s">
        <v>16218</v>
      </c>
      <c r="F1850" t="s">
        <v>16221</v>
      </c>
      <c r="G1850" t="s">
        <v>16249</v>
      </c>
      <c r="H1850" t="s">
        <v>16249</v>
      </c>
      <c r="I1850" t="s">
        <v>16325</v>
      </c>
      <c r="J1850" t="s">
        <v>16385</v>
      </c>
      <c r="K1850">
        <v>0.184</v>
      </c>
      <c r="L1850">
        <v>8025</v>
      </c>
      <c r="M1850">
        <v>2040</v>
      </c>
      <c r="N1850" t="s">
        <v>16393</v>
      </c>
      <c r="O1850" s="4">
        <v>48147</v>
      </c>
      <c r="P1850" s="4">
        <v>114498</v>
      </c>
      <c r="Q1850" s="4">
        <v>162645</v>
      </c>
      <c r="R1850" s="4">
        <v>487935</v>
      </c>
      <c r="S1850" t="s">
        <v>18198</v>
      </c>
      <c r="T1850" s="6">
        <v>31837</v>
      </c>
      <c r="U1850" s="4">
        <v>144112</v>
      </c>
      <c r="X1850" t="s">
        <v>3</v>
      </c>
      <c r="AA1850" s="5" t="str">
        <f>HYPERLINK("https://www.zillow.com/homes/7116-POWELL-ST-DOWNERS-GROVE-IL-60516_rb/","check listing")</f>
        <v>check listing</v>
      </c>
      <c r="AB1850" s="5" t="str">
        <f>HYPERLINK("https://propertylookup.dupagecounty.gov/Datalets/Datalet.aspx?UseSearch=no&amp;mode=sales&amp;pin=0930204023","sales record")</f>
        <v>sales record</v>
      </c>
      <c r="AC1850" t="s">
        <v>3</v>
      </c>
      <c r="AD1850">
        <v>41.757296</v>
      </c>
      <c r="AE1850">
        <v>-88.01649</v>
      </c>
      <c r="AF1850" s="5" t="str">
        <f>HYPERLINK("https://www.google.com/maps/search/?api=1&amp;query=41.757296,-88.01649","map")</f>
        <v>map</v>
      </c>
    </row>
    <row r="1851" spans="1:32">
      <c r="A1851" t="s">
        <v>1901</v>
      </c>
      <c r="B1851" t="s">
        <v>9461</v>
      </c>
      <c r="C1851" t="s">
        <v>15254</v>
      </c>
      <c r="D1851" t="s">
        <v>16199</v>
      </c>
      <c r="E1851" t="s">
        <v>16218</v>
      </c>
      <c r="F1851" t="s">
        <v>16221</v>
      </c>
      <c r="G1851" t="s">
        <v>16249</v>
      </c>
      <c r="H1851" t="s">
        <v>16249</v>
      </c>
      <c r="I1851" t="s">
        <v>16325</v>
      </c>
      <c r="J1851" t="s">
        <v>16385</v>
      </c>
      <c r="K1851">
        <v>0.184</v>
      </c>
      <c r="L1851">
        <v>8025</v>
      </c>
      <c r="M1851">
        <v>1788</v>
      </c>
      <c r="N1851" t="s">
        <v>16393</v>
      </c>
      <c r="O1851" s="4">
        <v>48147</v>
      </c>
      <c r="P1851" s="4">
        <v>111775</v>
      </c>
      <c r="Q1851" s="4">
        <v>159922</v>
      </c>
      <c r="R1851" s="4">
        <v>479766</v>
      </c>
      <c r="S1851" t="s">
        <v>18199</v>
      </c>
      <c r="T1851" s="6">
        <v>44939</v>
      </c>
      <c r="U1851" s="4">
        <v>480000</v>
      </c>
      <c r="V1851" t="s">
        <v>23739</v>
      </c>
      <c r="W1851" t="s">
        <v>24607</v>
      </c>
      <c r="X1851" t="s">
        <v>3</v>
      </c>
      <c r="AA1851" s="5" t="str">
        <f>HYPERLINK("https://www.zillow.com/homes/7200-POWELL-ST-DOWNERS-GROVE-IL-60516_rb/","check listing")</f>
        <v>check listing</v>
      </c>
      <c r="AB1851" s="5" t="str">
        <f>HYPERLINK("https://propertylookup.dupagecounty.gov/Datalets/Datalet.aspx?UseSearch=no&amp;mode=sales&amp;pin=0930204025","sales record")</f>
        <v>sales record</v>
      </c>
      <c r="AC1851" t="s">
        <v>3</v>
      </c>
      <c r="AD1851">
        <v>41.756923</v>
      </c>
      <c r="AE1851">
        <v>-88.01647699999999</v>
      </c>
      <c r="AF1851" s="5" t="str">
        <f>HYPERLINK("https://www.google.com/maps/search/?api=1&amp;query=41.756923,-88.016477","map")</f>
        <v>map</v>
      </c>
    </row>
    <row r="1852" spans="1:32">
      <c r="A1852" t="s">
        <v>1902</v>
      </c>
      <c r="B1852" t="s">
        <v>9462</v>
      </c>
      <c r="C1852" t="s">
        <v>15358</v>
      </c>
      <c r="D1852" t="s">
        <v>16199</v>
      </c>
      <c r="E1852" t="s">
        <v>16218</v>
      </c>
      <c r="F1852" t="s">
        <v>16221</v>
      </c>
      <c r="G1852" t="s">
        <v>16249</v>
      </c>
      <c r="H1852" t="s">
        <v>16249</v>
      </c>
      <c r="I1852" t="s">
        <v>16325</v>
      </c>
      <c r="J1852" t="s">
        <v>16385</v>
      </c>
      <c r="K1852">
        <v>0.184</v>
      </c>
      <c r="L1852">
        <v>8024</v>
      </c>
      <c r="M1852">
        <v>1920</v>
      </c>
      <c r="N1852" t="s">
        <v>16393</v>
      </c>
      <c r="O1852" s="4">
        <v>48147</v>
      </c>
      <c r="P1852" s="4">
        <v>119874</v>
      </c>
      <c r="Q1852" s="4">
        <v>168021</v>
      </c>
      <c r="R1852" s="4">
        <v>504063</v>
      </c>
      <c r="S1852" t="s">
        <v>18200</v>
      </c>
      <c r="T1852" s="6">
        <v>31868</v>
      </c>
      <c r="U1852" s="4">
        <v>152718</v>
      </c>
      <c r="X1852" t="s">
        <v>3</v>
      </c>
      <c r="AA1852" s="5" t="str">
        <f>HYPERLINK("https://www.zillow.com/homes/7120-POWELL-ST-DOWNERS-GROVE-IL-605163776_rb/","check listing")</f>
        <v>check listing</v>
      </c>
      <c r="AB1852" s="5" t="str">
        <f>HYPERLINK("https://propertylookup.dupagecounty.gov/Datalets/Datalet.aspx?UseSearch=no&amp;mode=sales&amp;pin=0930204024","sales record")</f>
        <v>sales record</v>
      </c>
      <c r="AC1852" t="s">
        <v>3</v>
      </c>
      <c r="AD1852">
        <v>41.75711</v>
      </c>
      <c r="AE1852">
        <v>-88.01648299999999</v>
      </c>
      <c r="AF1852" s="5" t="str">
        <f>HYPERLINK("https://www.google.com/maps/search/?api=1&amp;query=41.75711,-88.016483","map")</f>
        <v>map</v>
      </c>
    </row>
    <row r="1853" spans="1:32">
      <c r="A1853" t="s">
        <v>1903</v>
      </c>
      <c r="B1853" t="s">
        <v>9463</v>
      </c>
      <c r="C1853" t="s">
        <v>15254</v>
      </c>
      <c r="D1853" t="s">
        <v>16199</v>
      </c>
      <c r="E1853" t="s">
        <v>16218</v>
      </c>
      <c r="F1853" t="s">
        <v>16221</v>
      </c>
      <c r="G1853" t="s">
        <v>16249</v>
      </c>
      <c r="H1853" t="s">
        <v>16249</v>
      </c>
      <c r="I1853" t="s">
        <v>16325</v>
      </c>
      <c r="J1853" t="s">
        <v>16385</v>
      </c>
      <c r="K1853">
        <v>0.184</v>
      </c>
      <c r="L1853">
        <v>8024</v>
      </c>
      <c r="M1853">
        <v>2641</v>
      </c>
      <c r="N1853" t="s">
        <v>16393</v>
      </c>
      <c r="O1853" s="4">
        <v>48147</v>
      </c>
      <c r="P1853" s="4">
        <v>133149</v>
      </c>
      <c r="Q1853" s="4">
        <v>181296</v>
      </c>
      <c r="R1853" s="4">
        <v>543888</v>
      </c>
      <c r="S1853" t="s">
        <v>18201</v>
      </c>
      <c r="T1853" s="6">
        <v>31929</v>
      </c>
      <c r="U1853" s="4">
        <v>158912</v>
      </c>
      <c r="X1853" t="s">
        <v>3</v>
      </c>
      <c r="AA1853" s="5" t="str">
        <f>HYPERLINK("https://www.zillow.com/homes/7204-POWELL-ST-DOWNERS-GROVE-IL-60516_rb/","check listing")</f>
        <v>check listing</v>
      </c>
      <c r="AB1853" s="5" t="str">
        <f>HYPERLINK("https://propertylookup.dupagecounty.gov/Datalets/Datalet.aspx?UseSearch=no&amp;mode=sales&amp;pin=0930204026","sales record")</f>
        <v>sales record</v>
      </c>
      <c r="AC1853" t="s">
        <v>3</v>
      </c>
      <c r="AD1853">
        <v>41.756736</v>
      </c>
      <c r="AE1853">
        <v>-88.016471</v>
      </c>
      <c r="AF1853" s="5" t="str">
        <f>HYPERLINK("https://www.google.com/maps/search/?api=1&amp;query=41.756736,-88.016471","map")</f>
        <v>map</v>
      </c>
    </row>
    <row r="1854" spans="1:32">
      <c r="A1854" t="s">
        <v>1904</v>
      </c>
      <c r="B1854" t="s">
        <v>9464</v>
      </c>
      <c r="C1854" t="s">
        <v>15358</v>
      </c>
      <c r="D1854" t="s">
        <v>16199</v>
      </c>
      <c r="E1854" t="s">
        <v>16218</v>
      </c>
      <c r="F1854" t="s">
        <v>16221</v>
      </c>
      <c r="G1854" t="s">
        <v>16249</v>
      </c>
      <c r="H1854" t="s">
        <v>16249</v>
      </c>
      <c r="I1854" t="s">
        <v>16325</v>
      </c>
      <c r="J1854" t="s">
        <v>16385</v>
      </c>
      <c r="K1854">
        <v>0.184</v>
      </c>
      <c r="L1854">
        <v>8024</v>
      </c>
      <c r="M1854">
        <v>2446</v>
      </c>
      <c r="N1854" t="s">
        <v>16393</v>
      </c>
      <c r="O1854" s="4">
        <v>48147</v>
      </c>
      <c r="P1854" s="4">
        <v>121059</v>
      </c>
      <c r="Q1854" s="4">
        <v>169206</v>
      </c>
      <c r="R1854" s="4">
        <v>507618</v>
      </c>
      <c r="S1854" t="s">
        <v>18202</v>
      </c>
      <c r="T1854" s="6">
        <v>44953</v>
      </c>
      <c r="U1854" s="4">
        <v>473715</v>
      </c>
      <c r="V1854" t="s">
        <v>23739</v>
      </c>
      <c r="W1854" t="s">
        <v>24608</v>
      </c>
      <c r="X1854" t="s">
        <v>3</v>
      </c>
      <c r="AA1854" s="5" t="str">
        <f>HYPERLINK("https://www.zillow.com/homes/7108-POWELL-ST-DOWNERS-GROVE-IL-605163776_rb/","check listing")</f>
        <v>check listing</v>
      </c>
      <c r="AB1854" s="5" t="str">
        <f>HYPERLINK("https://propertylookup.dupagecounty.gov/Datalets/Datalet.aspx?UseSearch=no&amp;mode=sales&amp;pin=0930204021","sales record")</f>
        <v>sales record</v>
      </c>
      <c r="AC1854" t="s">
        <v>3</v>
      </c>
      <c r="AD1854">
        <v>41.757669</v>
      </c>
      <c r="AE1854">
        <v>-88.016502</v>
      </c>
      <c r="AF1854" s="5" t="str">
        <f>HYPERLINK("https://www.google.com/maps/search/?api=1&amp;query=41.757669,-88.016502","map")</f>
        <v>map</v>
      </c>
    </row>
    <row r="1855" spans="1:32">
      <c r="A1855" t="s">
        <v>1905</v>
      </c>
      <c r="B1855" t="s">
        <v>9465</v>
      </c>
      <c r="C1855" t="s">
        <v>15277</v>
      </c>
      <c r="D1855" t="s">
        <v>16199</v>
      </c>
      <c r="E1855" t="s">
        <v>16218</v>
      </c>
      <c r="F1855" t="s">
        <v>16221</v>
      </c>
      <c r="G1855" t="s">
        <v>16250</v>
      </c>
      <c r="H1855" t="s">
        <v>16250</v>
      </c>
      <c r="I1855" t="s">
        <v>16326</v>
      </c>
      <c r="J1855" t="s">
        <v>16385</v>
      </c>
      <c r="K1855">
        <v>0.183</v>
      </c>
      <c r="L1855">
        <v>7955</v>
      </c>
      <c r="M1855">
        <v>2128</v>
      </c>
      <c r="N1855" t="s">
        <v>16393</v>
      </c>
      <c r="O1855" s="4">
        <v>67889</v>
      </c>
      <c r="P1855" s="4">
        <v>135637</v>
      </c>
      <c r="Q1855" s="4">
        <v>203526</v>
      </c>
      <c r="R1855" s="4">
        <v>610578</v>
      </c>
      <c r="S1855" t="s">
        <v>18203</v>
      </c>
      <c r="T1855" s="6">
        <v>45029</v>
      </c>
      <c r="U1855" s="4">
        <v>486000</v>
      </c>
      <c r="V1855" t="s">
        <v>23739</v>
      </c>
      <c r="W1855" t="s">
        <v>24609</v>
      </c>
      <c r="X1855" t="s">
        <v>3</v>
      </c>
      <c r="AA1855" s="5" t="str">
        <f>HYPERLINK("https://www.zillow.com/homes/4920-HIGHLAND-AVE-DOWNERS-GROVE-IL-60515_rb/","check listing")</f>
        <v>check listing</v>
      </c>
      <c r="AB1855" s="5" t="str">
        <f>HYPERLINK("https://propertylookup.dupagecounty.gov/Datalets/Datalet.aspx?UseSearch=no&amp;mode=sales&amp;pin=0908117017","sales record")</f>
        <v>sales record</v>
      </c>
      <c r="AC1855" t="s">
        <v>3</v>
      </c>
      <c r="AD1855">
        <v>41.797595</v>
      </c>
      <c r="AE1855">
        <v>-88.009778</v>
      </c>
      <c r="AF1855" s="5" t="str">
        <f>HYPERLINK("https://www.google.com/maps/search/?api=1&amp;query=41.797595,-88.009778","map")</f>
        <v>map</v>
      </c>
    </row>
    <row r="1856" spans="1:32">
      <c r="A1856" t="s">
        <v>1906</v>
      </c>
      <c r="B1856" t="s">
        <v>9466</v>
      </c>
      <c r="C1856" t="s">
        <v>15254</v>
      </c>
      <c r="D1856" t="s">
        <v>16199</v>
      </c>
      <c r="E1856" t="s">
        <v>16218</v>
      </c>
      <c r="F1856" t="s">
        <v>16221</v>
      </c>
      <c r="G1856" t="s">
        <v>16249</v>
      </c>
      <c r="H1856" t="s">
        <v>16249</v>
      </c>
      <c r="I1856" t="s">
        <v>16325</v>
      </c>
      <c r="J1856" t="s">
        <v>16385</v>
      </c>
      <c r="K1856">
        <v>0.182</v>
      </c>
      <c r="L1856">
        <v>7925</v>
      </c>
      <c r="M1856">
        <v>2462</v>
      </c>
      <c r="N1856" t="s">
        <v>16393</v>
      </c>
      <c r="O1856" s="4">
        <v>48147</v>
      </c>
      <c r="P1856" s="4">
        <v>128219</v>
      </c>
      <c r="Q1856" s="4">
        <v>176366</v>
      </c>
      <c r="R1856" s="4">
        <v>529098</v>
      </c>
      <c r="S1856" t="s">
        <v>18204</v>
      </c>
      <c r="T1856" s="6">
        <v>45211</v>
      </c>
      <c r="U1856" s="4">
        <v>420000</v>
      </c>
      <c r="V1856" t="s">
        <v>23739</v>
      </c>
      <c r="W1856" t="s">
        <v>24610</v>
      </c>
      <c r="X1856" t="s">
        <v>3</v>
      </c>
      <c r="AA1856" s="5" t="str">
        <f>HYPERLINK("https://www.zillow.com/homes/1317-HAWKINS-AVE-DOWNERS-GROVE-IL-60516_rb/","check listing")</f>
        <v>check listing</v>
      </c>
      <c r="AB1856" s="5" t="str">
        <f>HYPERLINK("https://propertylookup.dupagecounty.gov/Datalets/Datalet.aspx?UseSearch=no&amp;mode=sales&amp;pin=0930204041","sales record")</f>
        <v>sales record</v>
      </c>
      <c r="AC1856" t="s">
        <v>3</v>
      </c>
      <c r="AD1856">
        <v>41.754882</v>
      </c>
      <c r="AE1856">
        <v>-88.015827</v>
      </c>
      <c r="AF1856" s="5" t="str">
        <f>HYPERLINK("https://www.google.com/maps/search/?api=1&amp;query=41.754882,-88.015827","map")</f>
        <v>map</v>
      </c>
    </row>
    <row r="1857" spans="1:32">
      <c r="A1857" t="s">
        <v>1907</v>
      </c>
      <c r="B1857" t="s">
        <v>9467</v>
      </c>
      <c r="C1857" t="s">
        <v>15254</v>
      </c>
      <c r="D1857" t="s">
        <v>16199</v>
      </c>
      <c r="E1857" t="s">
        <v>16218</v>
      </c>
      <c r="F1857" t="s">
        <v>16221</v>
      </c>
      <c r="G1857" t="s">
        <v>16249</v>
      </c>
      <c r="H1857" t="s">
        <v>16249</v>
      </c>
      <c r="I1857" t="s">
        <v>16325</v>
      </c>
      <c r="J1857" t="s">
        <v>16385</v>
      </c>
      <c r="K1857">
        <v>0.182</v>
      </c>
      <c r="L1857">
        <v>7919</v>
      </c>
      <c r="M1857">
        <v>2160</v>
      </c>
      <c r="N1857" t="s">
        <v>16393</v>
      </c>
      <c r="O1857" s="4">
        <v>48147</v>
      </c>
      <c r="P1857" s="4">
        <v>107925</v>
      </c>
      <c r="Q1857" s="4">
        <v>156072</v>
      </c>
      <c r="R1857" s="4">
        <v>468216</v>
      </c>
      <c r="S1857" t="s">
        <v>18205</v>
      </c>
      <c r="T1857" s="6">
        <v>38200</v>
      </c>
      <c r="U1857" s="4">
        <v>332000</v>
      </c>
      <c r="V1857" t="s">
        <v>23739</v>
      </c>
      <c r="W1857" t="s">
        <v>24611</v>
      </c>
      <c r="X1857" t="s">
        <v>3</v>
      </c>
      <c r="AA1857" s="5" t="str">
        <f>HYPERLINK("https://www.zillow.com/homes/1309-HAWKINS-AVE-DOWNERS-GROVE-IL-60516_rb/","check listing")</f>
        <v>check listing</v>
      </c>
      <c r="AB1857" s="5" t="str">
        <f>HYPERLINK("https://propertylookup.dupagecounty.gov/Datalets/Datalet.aspx?UseSearch=no&amp;mode=sales&amp;pin=0930204043","sales record")</f>
        <v>sales record</v>
      </c>
      <c r="AC1857" t="s">
        <v>3</v>
      </c>
      <c r="AD1857">
        <v>41.754891</v>
      </c>
      <c r="AE1857">
        <v>-88.01533000000001</v>
      </c>
      <c r="AF1857" s="5" t="str">
        <f>HYPERLINK("https://www.google.com/maps/search/?api=1&amp;query=41.754891,-88.01533","map")</f>
        <v>map</v>
      </c>
    </row>
    <row r="1858" spans="1:32">
      <c r="A1858" t="s">
        <v>1908</v>
      </c>
      <c r="B1858" t="s">
        <v>9468</v>
      </c>
      <c r="C1858" t="s">
        <v>15254</v>
      </c>
      <c r="D1858" t="s">
        <v>16199</v>
      </c>
      <c r="E1858" t="s">
        <v>16218</v>
      </c>
      <c r="F1858" t="s">
        <v>16221</v>
      </c>
      <c r="G1858" t="s">
        <v>16249</v>
      </c>
      <c r="H1858" t="s">
        <v>16249</v>
      </c>
      <c r="I1858" t="s">
        <v>16325</v>
      </c>
      <c r="J1858" t="s">
        <v>16385</v>
      </c>
      <c r="K1858">
        <v>0.182</v>
      </c>
      <c r="L1858">
        <v>7918</v>
      </c>
      <c r="M1858">
        <v>1775</v>
      </c>
      <c r="N1858" t="s">
        <v>16393</v>
      </c>
      <c r="O1858" s="4">
        <v>48147</v>
      </c>
      <c r="P1858" s="4">
        <v>116000</v>
      </c>
      <c r="Q1858" s="4">
        <v>164147</v>
      </c>
      <c r="R1858" s="4">
        <v>492441</v>
      </c>
      <c r="S1858" t="s">
        <v>18206</v>
      </c>
      <c r="T1858" s="6">
        <v>44287</v>
      </c>
      <c r="U1858" s="4">
        <v>370000</v>
      </c>
      <c r="V1858" t="s">
        <v>23739</v>
      </c>
      <c r="W1858" t="s">
        <v>18206</v>
      </c>
      <c r="X1858" t="s">
        <v>3</v>
      </c>
      <c r="AA1858" s="5" t="str">
        <f>HYPERLINK("https://www.zillow.com/homes/1313-HAWKINS-AVE-DOWNERS-GROVE-IL-60516_rb/","check listing")</f>
        <v>check listing</v>
      </c>
      <c r="AB1858" s="5" t="str">
        <f>HYPERLINK("https://propertylookup.dupagecounty.gov/Datalets/Datalet.aspx?UseSearch=no&amp;mode=sales&amp;pin=0930204042","sales record")</f>
        <v>sales record</v>
      </c>
      <c r="AC1858" t="s">
        <v>3</v>
      </c>
      <c r="AD1858">
        <v>41.754887</v>
      </c>
      <c r="AE1858">
        <v>-88.015579</v>
      </c>
      <c r="AF1858" s="5" t="str">
        <f>HYPERLINK("https://www.google.com/maps/search/?api=1&amp;query=41.754887,-88.015579","map")</f>
        <v>map</v>
      </c>
    </row>
    <row r="1859" spans="1:32">
      <c r="A1859" t="s">
        <v>1909</v>
      </c>
      <c r="B1859" t="s">
        <v>9469</v>
      </c>
      <c r="C1859" t="s">
        <v>15277</v>
      </c>
      <c r="D1859" t="s">
        <v>16199</v>
      </c>
      <c r="E1859" t="s">
        <v>16218</v>
      </c>
      <c r="F1859" t="s">
        <v>16221</v>
      </c>
      <c r="G1859" t="s">
        <v>16250</v>
      </c>
      <c r="H1859" t="s">
        <v>16250</v>
      </c>
      <c r="I1859" t="s">
        <v>16326</v>
      </c>
      <c r="J1859" t="s">
        <v>16385</v>
      </c>
      <c r="K1859">
        <v>0.182</v>
      </c>
      <c r="L1859">
        <v>7914</v>
      </c>
      <c r="M1859">
        <v>1693</v>
      </c>
      <c r="N1859" t="s">
        <v>16393</v>
      </c>
      <c r="O1859" s="4">
        <v>63546</v>
      </c>
      <c r="P1859" s="4">
        <v>91634</v>
      </c>
      <c r="Q1859" s="4">
        <v>155180</v>
      </c>
      <c r="R1859" s="4">
        <v>465540</v>
      </c>
      <c r="S1859" t="s">
        <v>18207</v>
      </c>
      <c r="T1859" s="6">
        <v>35704</v>
      </c>
      <c r="U1859" s="4">
        <v>172000</v>
      </c>
      <c r="X1859" t="s">
        <v>3</v>
      </c>
      <c r="AA1859" s="5" t="str">
        <f>HYPERLINK("https://www.zillow.com/homes/1047-MAPLE-AVE-DOWNERS-GROVE-IL-60515_rb/","check listing")</f>
        <v>check listing</v>
      </c>
      <c r="AB1859" s="5" t="str">
        <f>HYPERLINK("https://propertylookup.dupagecounty.gov/Datalets/Datalet.aspx?UseSearch=no&amp;mode=sales&amp;pin=0908313001","sales record")</f>
        <v>sales record</v>
      </c>
      <c r="AC1859" t="s">
        <v>3</v>
      </c>
      <c r="AD1859">
        <v>41.790592</v>
      </c>
      <c r="AE1859">
        <v>-88.01123800000001</v>
      </c>
      <c r="AF1859" s="5" t="str">
        <f>HYPERLINK("https://www.google.com/maps/search/?api=1&amp;query=41.790592,-88.011238","map")</f>
        <v>map</v>
      </c>
    </row>
    <row r="1860" spans="1:32">
      <c r="A1860" t="s">
        <v>1910</v>
      </c>
      <c r="B1860" t="s">
        <v>9470</v>
      </c>
      <c r="C1860" t="s">
        <v>15332</v>
      </c>
      <c r="D1860" t="s">
        <v>16199</v>
      </c>
      <c r="E1860" t="s">
        <v>16218</v>
      </c>
      <c r="F1860" t="s">
        <v>16221</v>
      </c>
      <c r="G1860" t="s">
        <v>16249</v>
      </c>
      <c r="H1860" t="s">
        <v>16249</v>
      </c>
      <c r="I1860" t="s">
        <v>16325</v>
      </c>
      <c r="J1860" t="s">
        <v>16385</v>
      </c>
      <c r="K1860">
        <v>0.181</v>
      </c>
      <c r="L1860">
        <v>7880</v>
      </c>
      <c r="M1860">
        <v>2125</v>
      </c>
      <c r="N1860" t="s">
        <v>16393</v>
      </c>
      <c r="O1860" s="4">
        <v>47067</v>
      </c>
      <c r="P1860" s="4">
        <v>110988</v>
      </c>
      <c r="Q1860" s="4">
        <v>158055</v>
      </c>
      <c r="R1860" s="4">
        <v>474165</v>
      </c>
      <c r="S1860" t="s">
        <v>18208</v>
      </c>
      <c r="T1860" s="6">
        <v>31929</v>
      </c>
      <c r="U1860" s="4">
        <v>146907</v>
      </c>
      <c r="X1860" t="s">
        <v>3</v>
      </c>
      <c r="AA1860" s="5" t="str">
        <f>HYPERLINK("https://www.zillow.com/homes/7205-POWELL-ST-DOWNERS-GROVE-IL-605163780_rb/","check listing")</f>
        <v>check listing</v>
      </c>
      <c r="AB1860" s="5" t="str">
        <f>HYPERLINK("https://propertylookup.dupagecounty.gov/Datalets/Datalet.aspx?UseSearch=no&amp;mode=sales&amp;pin=0930207002","sales record")</f>
        <v>sales record</v>
      </c>
      <c r="AC1860" t="s">
        <v>3</v>
      </c>
      <c r="AD1860">
        <v>41.756705</v>
      </c>
      <c r="AE1860">
        <v>-88.01584800000001</v>
      </c>
      <c r="AF1860" s="5" t="str">
        <f>HYPERLINK("https://www.google.com/maps/search/?api=1&amp;query=41.756705,-88.015848","map")</f>
        <v>map</v>
      </c>
    </row>
    <row r="1861" spans="1:32">
      <c r="A1861" t="s">
        <v>1911</v>
      </c>
      <c r="B1861" t="s">
        <v>9471</v>
      </c>
      <c r="C1861" t="s">
        <v>15254</v>
      </c>
      <c r="D1861" t="s">
        <v>16199</v>
      </c>
      <c r="E1861" t="s">
        <v>16218</v>
      </c>
      <c r="F1861" t="s">
        <v>16221</v>
      </c>
      <c r="G1861" t="s">
        <v>16249</v>
      </c>
      <c r="H1861" t="s">
        <v>16249</v>
      </c>
      <c r="I1861" t="s">
        <v>16325</v>
      </c>
      <c r="J1861" t="s">
        <v>16385</v>
      </c>
      <c r="K1861">
        <v>0.181</v>
      </c>
      <c r="L1861">
        <v>7866</v>
      </c>
      <c r="M1861">
        <v>2550</v>
      </c>
      <c r="N1861" t="s">
        <v>16393</v>
      </c>
      <c r="O1861" s="4">
        <v>48499</v>
      </c>
      <c r="P1861" s="4">
        <v>116963</v>
      </c>
      <c r="Q1861" s="4">
        <v>165462</v>
      </c>
      <c r="R1861" s="4">
        <v>496386</v>
      </c>
      <c r="S1861" t="s">
        <v>18209</v>
      </c>
      <c r="T1861" s="6">
        <v>36404</v>
      </c>
      <c r="U1861" s="4">
        <v>250000</v>
      </c>
      <c r="X1861" t="s">
        <v>3</v>
      </c>
      <c r="AA1861" s="5" t="str">
        <f>HYPERLINK("https://www.zillow.com/homes/1170-STANFORD-AVE-DOWNERS-GROVE-IL-60516_rb/","check listing")</f>
        <v>check listing</v>
      </c>
      <c r="AB1861" s="5" t="str">
        <f>HYPERLINK("https://propertylookup.dupagecounty.gov/Datalets/Datalet.aspx?UseSearch=no&amp;mode=sales&amp;pin=0929115003","sales record")</f>
        <v>sales record</v>
      </c>
      <c r="AC1861" t="s">
        <v>3</v>
      </c>
      <c r="AD1861">
        <v>41.758263</v>
      </c>
      <c r="AE1861">
        <v>-88.012134</v>
      </c>
      <c r="AF1861" s="5" t="str">
        <f>HYPERLINK("https://www.google.com/maps/search/?api=1&amp;query=41.758263,-88.012134","map")</f>
        <v>map</v>
      </c>
    </row>
    <row r="1862" spans="1:32">
      <c r="A1862" t="s">
        <v>1912</v>
      </c>
      <c r="B1862" t="s">
        <v>9472</v>
      </c>
      <c r="C1862" t="s">
        <v>15254</v>
      </c>
      <c r="D1862" t="s">
        <v>16199</v>
      </c>
      <c r="E1862" t="s">
        <v>16218</v>
      </c>
      <c r="F1862" t="s">
        <v>16221</v>
      </c>
      <c r="G1862" t="s">
        <v>16249</v>
      </c>
      <c r="H1862" t="s">
        <v>16249</v>
      </c>
      <c r="I1862" t="s">
        <v>16325</v>
      </c>
      <c r="J1862" t="s">
        <v>16385</v>
      </c>
      <c r="K1862">
        <v>0.181</v>
      </c>
      <c r="L1862">
        <v>7865</v>
      </c>
      <c r="M1862">
        <v>1914</v>
      </c>
      <c r="N1862" t="s">
        <v>16393</v>
      </c>
      <c r="O1862" s="4">
        <v>48499</v>
      </c>
      <c r="P1862" s="4">
        <v>137328</v>
      </c>
      <c r="Q1862" s="4">
        <v>185827</v>
      </c>
      <c r="R1862" s="4">
        <v>557481</v>
      </c>
      <c r="S1862" t="s">
        <v>18210</v>
      </c>
      <c r="T1862" s="6">
        <v>34425</v>
      </c>
      <c r="U1862" s="4">
        <v>261000</v>
      </c>
      <c r="X1862" t="s">
        <v>3</v>
      </c>
      <c r="AA1862" s="5" t="str">
        <f>HYPERLINK("https://www.zillow.com/homes/1160-STANFORD-AVE-DOWNERS-GROVE-IL-60516_rb/","check listing")</f>
        <v>check listing</v>
      </c>
      <c r="AB1862" s="5" t="str">
        <f>HYPERLINK("https://propertylookup.dupagecounty.gov/Datalets/Datalet.aspx?UseSearch=no&amp;mode=sales&amp;pin=0929115004","sales record")</f>
        <v>sales record</v>
      </c>
      <c r="AC1862" t="s">
        <v>3</v>
      </c>
      <c r="AD1862">
        <v>41.758266</v>
      </c>
      <c r="AE1862">
        <v>-88.01191</v>
      </c>
      <c r="AF1862" s="5" t="str">
        <f>HYPERLINK("https://www.google.com/maps/search/?api=1&amp;query=41.758266,-88.01191","map")</f>
        <v>map</v>
      </c>
    </row>
    <row r="1863" spans="1:32">
      <c r="A1863" t="s">
        <v>1913</v>
      </c>
      <c r="B1863" t="s">
        <v>9473</v>
      </c>
      <c r="C1863" t="s">
        <v>15254</v>
      </c>
      <c r="D1863" t="s">
        <v>16199</v>
      </c>
      <c r="E1863" t="s">
        <v>16218</v>
      </c>
      <c r="F1863" t="s">
        <v>16221</v>
      </c>
      <c r="G1863" t="s">
        <v>16249</v>
      </c>
      <c r="H1863" t="s">
        <v>16249</v>
      </c>
      <c r="I1863" t="s">
        <v>16325</v>
      </c>
      <c r="J1863" t="s">
        <v>16385</v>
      </c>
      <c r="K1863">
        <v>0.181</v>
      </c>
      <c r="L1863">
        <v>7864</v>
      </c>
      <c r="M1863">
        <v>2227</v>
      </c>
      <c r="N1863" t="s">
        <v>16393</v>
      </c>
      <c r="O1863" s="4">
        <v>48499</v>
      </c>
      <c r="P1863" s="4">
        <v>112843</v>
      </c>
      <c r="Q1863" s="4">
        <v>161342</v>
      </c>
      <c r="R1863" s="4">
        <v>484026</v>
      </c>
      <c r="S1863" t="s">
        <v>18211</v>
      </c>
      <c r="T1863" s="6">
        <v>34029</v>
      </c>
      <c r="U1863" s="4">
        <v>200000</v>
      </c>
      <c r="X1863" t="s">
        <v>3</v>
      </c>
      <c r="AA1863" s="5" t="str">
        <f>HYPERLINK("https://www.zillow.com/homes/1150-STANFORD-AVE-DOWNERS-GROVE-IL-60516_rb/","check listing")</f>
        <v>check listing</v>
      </c>
      <c r="AB1863" s="5" t="str">
        <f>HYPERLINK("https://propertylookup.dupagecounty.gov/Datalets/Datalet.aspx?UseSearch=no&amp;mode=sales&amp;pin=0929115005","sales record")</f>
        <v>sales record</v>
      </c>
      <c r="AC1863" t="s">
        <v>3</v>
      </c>
      <c r="AD1863">
        <v>41.75827</v>
      </c>
      <c r="AE1863">
        <v>-88.01168699999999</v>
      </c>
      <c r="AF1863" s="5" t="str">
        <f>HYPERLINK("https://www.google.com/maps/search/?api=1&amp;query=41.75827,-88.011687","map")</f>
        <v>map</v>
      </c>
    </row>
    <row r="1864" spans="1:32">
      <c r="A1864" t="s">
        <v>1914</v>
      </c>
      <c r="B1864" t="s">
        <v>9474</v>
      </c>
      <c r="C1864" t="s">
        <v>15254</v>
      </c>
      <c r="D1864" t="s">
        <v>16199</v>
      </c>
      <c r="E1864" t="s">
        <v>16218</v>
      </c>
      <c r="F1864" t="s">
        <v>16221</v>
      </c>
      <c r="G1864" t="s">
        <v>16249</v>
      </c>
      <c r="H1864" t="s">
        <v>16249</v>
      </c>
      <c r="I1864" t="s">
        <v>16325</v>
      </c>
      <c r="J1864" t="s">
        <v>16385</v>
      </c>
      <c r="K1864">
        <v>0.18</v>
      </c>
      <c r="L1864">
        <v>7823</v>
      </c>
      <c r="M1864">
        <v>2191</v>
      </c>
      <c r="N1864" t="s">
        <v>16393</v>
      </c>
      <c r="O1864" s="4">
        <v>59086</v>
      </c>
      <c r="P1864" s="4">
        <v>174018</v>
      </c>
      <c r="Q1864" s="4">
        <v>233104</v>
      </c>
      <c r="R1864" s="4">
        <v>699312</v>
      </c>
      <c r="S1864" t="s">
        <v>18212</v>
      </c>
      <c r="T1864" s="6">
        <v>35431</v>
      </c>
      <c r="U1864" s="4">
        <v>300000</v>
      </c>
      <c r="X1864" t="s">
        <v>3</v>
      </c>
      <c r="AA1864" s="5" t="str">
        <f>HYPERLINK("https://www.zillow.com/homes/1180-CRYSTAL-AVE-DOWNERS-GROVE-IL-60516_rb/","check listing")</f>
        <v>check listing</v>
      </c>
      <c r="AB1864" s="5" t="str">
        <f>HYPERLINK("https://propertylookup.dupagecounty.gov/Datalets/Datalet.aspx?UseSearch=no&amp;mode=sales&amp;pin=0929116002","sales record")</f>
        <v>sales record</v>
      </c>
      <c r="AC1864" t="s">
        <v>3</v>
      </c>
      <c r="AD1864">
        <v>41.75654</v>
      </c>
      <c r="AE1864">
        <v>-88.012461</v>
      </c>
      <c r="AF1864" s="5" t="str">
        <f>HYPERLINK("https://www.google.com/maps/search/?api=1&amp;query=41.75654,-88.012461","map")</f>
        <v>map</v>
      </c>
    </row>
    <row r="1865" spans="1:32">
      <c r="A1865" t="s">
        <v>1915</v>
      </c>
      <c r="B1865" t="s">
        <v>9475</v>
      </c>
      <c r="C1865" t="s">
        <v>15359</v>
      </c>
      <c r="D1865" t="s">
        <v>16199</v>
      </c>
      <c r="E1865" t="s">
        <v>16218</v>
      </c>
      <c r="F1865" t="s">
        <v>16221</v>
      </c>
      <c r="G1865" t="s">
        <v>16249</v>
      </c>
      <c r="H1865" t="s">
        <v>16249</v>
      </c>
      <c r="I1865" t="s">
        <v>16325</v>
      </c>
      <c r="J1865" t="s">
        <v>16385</v>
      </c>
      <c r="K1865">
        <v>0.18</v>
      </c>
      <c r="L1865">
        <v>7820</v>
      </c>
      <c r="M1865">
        <v>1678</v>
      </c>
      <c r="N1865" t="s">
        <v>16393</v>
      </c>
      <c r="O1865" s="4">
        <v>48335</v>
      </c>
      <c r="P1865" s="4">
        <v>111857</v>
      </c>
      <c r="Q1865" s="4">
        <v>160192</v>
      </c>
      <c r="R1865" s="4">
        <v>480576</v>
      </c>
      <c r="S1865" t="s">
        <v>18213</v>
      </c>
      <c r="T1865" s="6">
        <v>44925</v>
      </c>
      <c r="U1865" s="4">
        <v>495000</v>
      </c>
      <c r="V1865" t="s">
        <v>23741</v>
      </c>
      <c r="W1865" t="s">
        <v>24612</v>
      </c>
      <c r="X1865" t="s">
        <v>3</v>
      </c>
      <c r="AA1865" s="5" t="str">
        <f>HYPERLINK("https://www.zillow.com/homes/7221-POWELL-ST-DOWNERS-GROVE-IL-605163784_rb/","check listing")</f>
        <v>check listing</v>
      </c>
      <c r="AB1865" s="5" t="str">
        <f>HYPERLINK("https://propertylookup.dupagecounty.gov/Datalets/Datalet.aspx?UseSearch=no&amp;mode=sales&amp;pin=0930208003","sales record")</f>
        <v>sales record</v>
      </c>
      <c r="AC1865" t="s">
        <v>3</v>
      </c>
      <c r="AD1865">
        <v>41.755649</v>
      </c>
      <c r="AE1865">
        <v>-88.016378</v>
      </c>
      <c r="AF1865" s="5" t="str">
        <f>HYPERLINK("https://www.google.com/maps/search/?api=1&amp;query=41.755649,-88.016378","map")</f>
        <v>map</v>
      </c>
    </row>
    <row r="1866" spans="1:32">
      <c r="A1866" t="s">
        <v>1916</v>
      </c>
      <c r="B1866" t="s">
        <v>9476</v>
      </c>
      <c r="C1866" t="s">
        <v>15277</v>
      </c>
      <c r="D1866" t="s">
        <v>16199</v>
      </c>
      <c r="E1866" t="s">
        <v>16218</v>
      </c>
      <c r="F1866" t="s">
        <v>16221</v>
      </c>
      <c r="G1866" t="s">
        <v>16249</v>
      </c>
      <c r="H1866" t="s">
        <v>16249</v>
      </c>
      <c r="I1866" t="s">
        <v>16325</v>
      </c>
      <c r="J1866" t="s">
        <v>16385</v>
      </c>
      <c r="K1866">
        <v>0.18</v>
      </c>
      <c r="L1866">
        <v>7820</v>
      </c>
      <c r="M1866">
        <v>1822</v>
      </c>
      <c r="N1866" t="s">
        <v>16393</v>
      </c>
      <c r="O1866" s="4">
        <v>50224</v>
      </c>
      <c r="P1866" s="4">
        <v>140343</v>
      </c>
      <c r="Q1866" s="4">
        <v>190567</v>
      </c>
      <c r="R1866" s="4">
        <v>571701</v>
      </c>
      <c r="S1866" t="s">
        <v>18214</v>
      </c>
      <c r="T1866" s="6">
        <v>42856</v>
      </c>
      <c r="U1866" s="4">
        <v>472000</v>
      </c>
      <c r="V1866" t="s">
        <v>23739</v>
      </c>
      <c r="W1866" t="s">
        <v>24613</v>
      </c>
      <c r="X1866" t="s">
        <v>3</v>
      </c>
      <c r="AA1866" s="5" t="str">
        <f>HYPERLINK("https://www.zillow.com/homes/1180-STANFORD-AVE-DOWNERS-GROVE-IL-60515_rb/","check listing")</f>
        <v>check listing</v>
      </c>
      <c r="AB1866" s="5" t="str">
        <f>HYPERLINK("https://propertylookup.dupagecounty.gov/Datalets/Datalet.aspx?UseSearch=no&amp;mode=sales&amp;pin=0929115002","sales record")</f>
        <v>sales record</v>
      </c>
      <c r="AC1866" t="s">
        <v>3</v>
      </c>
      <c r="AD1866">
        <v>41.758202</v>
      </c>
      <c r="AE1866">
        <v>-88.012366</v>
      </c>
      <c r="AF1866" s="5" t="str">
        <f>HYPERLINK("https://www.google.com/maps/search/?api=1&amp;query=41.758202,-88.012366","map")</f>
        <v>map</v>
      </c>
    </row>
    <row r="1867" spans="1:32">
      <c r="A1867" t="s">
        <v>1917</v>
      </c>
      <c r="B1867" t="s">
        <v>9477</v>
      </c>
      <c r="C1867" t="s">
        <v>15277</v>
      </c>
      <c r="D1867" t="s">
        <v>16199</v>
      </c>
      <c r="E1867" t="s">
        <v>16218</v>
      </c>
      <c r="F1867" t="s">
        <v>16221</v>
      </c>
      <c r="G1867" t="s">
        <v>16250</v>
      </c>
      <c r="H1867" t="s">
        <v>16250</v>
      </c>
      <c r="I1867" t="s">
        <v>16326</v>
      </c>
      <c r="J1867" t="s">
        <v>16385</v>
      </c>
      <c r="K1867">
        <v>0.179</v>
      </c>
      <c r="L1867">
        <v>7786</v>
      </c>
      <c r="M1867">
        <v>1533</v>
      </c>
      <c r="N1867" t="s">
        <v>16393</v>
      </c>
      <c r="O1867" s="4">
        <v>62325</v>
      </c>
      <c r="P1867" s="4">
        <v>99181</v>
      </c>
      <c r="Q1867" s="4">
        <v>161506</v>
      </c>
      <c r="R1867" s="4">
        <v>484518</v>
      </c>
      <c r="S1867" t="s">
        <v>18215</v>
      </c>
      <c r="T1867" s="6">
        <v>42309</v>
      </c>
      <c r="U1867" s="4">
        <v>348000</v>
      </c>
      <c r="V1867" t="s">
        <v>23739</v>
      </c>
      <c r="W1867" t="s">
        <v>24614</v>
      </c>
      <c r="X1867" t="s">
        <v>3</v>
      </c>
      <c r="AA1867" s="5" t="str">
        <f>HYPERLINK("https://www.zillow.com/homes/615-MAPLE-AVE-DOWNERS-GROVE-IL-60515_rb/","check listing")</f>
        <v>check listing</v>
      </c>
      <c r="AB1867" s="5" t="str">
        <f>HYPERLINK("https://propertylookup.dupagecounty.gov/Datalets/Datalet.aspx?UseSearch=no&amp;mode=sales&amp;pin=0908405003","sales record")</f>
        <v>sales record</v>
      </c>
      <c r="AC1867" t="s">
        <v>3</v>
      </c>
      <c r="AD1867">
        <v>41.794778</v>
      </c>
      <c r="AE1867">
        <v>-87.99980100000001</v>
      </c>
      <c r="AF1867" s="5" t="str">
        <f>HYPERLINK("https://www.google.com/maps/search/?api=1&amp;query=41.794778,-87.999801","map")</f>
        <v>map</v>
      </c>
    </row>
    <row r="1868" spans="1:32">
      <c r="A1868" t="s">
        <v>1918</v>
      </c>
      <c r="B1868" t="s">
        <v>9478</v>
      </c>
      <c r="C1868" t="s">
        <v>15254</v>
      </c>
      <c r="D1868" t="s">
        <v>16199</v>
      </c>
      <c r="E1868" t="s">
        <v>16218</v>
      </c>
      <c r="F1868" t="s">
        <v>16221</v>
      </c>
      <c r="G1868" t="s">
        <v>16249</v>
      </c>
      <c r="H1868" t="s">
        <v>16249</v>
      </c>
      <c r="I1868" t="s">
        <v>16325</v>
      </c>
      <c r="J1868" t="s">
        <v>16385</v>
      </c>
      <c r="K1868">
        <v>0.178</v>
      </c>
      <c r="L1868">
        <v>7771</v>
      </c>
      <c r="M1868">
        <v>1800</v>
      </c>
      <c r="N1868" t="s">
        <v>16393</v>
      </c>
      <c r="O1868" s="4">
        <v>48429</v>
      </c>
      <c r="P1868" s="4">
        <v>112221</v>
      </c>
      <c r="Q1868" s="4">
        <v>160650</v>
      </c>
      <c r="R1868" s="4">
        <v>481950</v>
      </c>
      <c r="S1868" t="s">
        <v>18216</v>
      </c>
      <c r="T1868" s="6">
        <v>43983</v>
      </c>
      <c r="U1868" s="4">
        <v>415000</v>
      </c>
      <c r="V1868" t="s">
        <v>23739</v>
      </c>
      <c r="W1868" t="s">
        <v>24615</v>
      </c>
      <c r="X1868" t="s">
        <v>3</v>
      </c>
      <c r="AA1868" s="5" t="str">
        <f>HYPERLINK("https://www.zillow.com/homes/7112-KIDWELL-RD-DOWNERS-GROVE-IL-60516_rb/","check listing")</f>
        <v>check listing</v>
      </c>
      <c r="AB1868" s="5" t="str">
        <f>HYPERLINK("https://propertylookup.dupagecounty.gov/Datalets/Datalet.aspx?UseSearch=no&amp;mode=sales&amp;pin=0930206010","sales record")</f>
        <v>sales record</v>
      </c>
      <c r="AC1868" t="s">
        <v>3</v>
      </c>
      <c r="AD1868">
        <v>41.757241</v>
      </c>
      <c r="AE1868">
        <v>-88.01396699999999</v>
      </c>
      <c r="AF1868" s="5" t="str">
        <f>HYPERLINK("https://www.google.com/maps/search/?api=1&amp;query=41.757241,-88.013967","map")</f>
        <v>map</v>
      </c>
    </row>
    <row r="1869" spans="1:32">
      <c r="A1869" t="s">
        <v>1919</v>
      </c>
      <c r="B1869" t="s">
        <v>9479</v>
      </c>
      <c r="C1869" t="s">
        <v>15254</v>
      </c>
      <c r="D1869" t="s">
        <v>16199</v>
      </c>
      <c r="E1869" t="s">
        <v>16218</v>
      </c>
      <c r="F1869" t="s">
        <v>16221</v>
      </c>
      <c r="G1869" t="s">
        <v>16249</v>
      </c>
      <c r="H1869" t="s">
        <v>16249</v>
      </c>
      <c r="I1869" t="s">
        <v>16325</v>
      </c>
      <c r="J1869" t="s">
        <v>16385</v>
      </c>
      <c r="K1869">
        <v>0.178</v>
      </c>
      <c r="L1869">
        <v>7771</v>
      </c>
      <c r="M1869">
        <v>2075</v>
      </c>
      <c r="N1869" t="s">
        <v>16393</v>
      </c>
      <c r="O1869" s="4">
        <v>48429</v>
      </c>
      <c r="P1869" s="4">
        <v>116024</v>
      </c>
      <c r="Q1869" s="4">
        <v>164453</v>
      </c>
      <c r="R1869" s="4">
        <v>493359</v>
      </c>
      <c r="S1869" t="s">
        <v>18217</v>
      </c>
      <c r="T1869" s="6">
        <v>31898</v>
      </c>
      <c r="U1869" s="4">
        <v>143905</v>
      </c>
      <c r="X1869" t="s">
        <v>3</v>
      </c>
      <c r="AA1869" s="5" t="str">
        <f>HYPERLINK("https://www.zillow.com/homes/7116-KIDWELL-RD-DOWNERS-GROVE-IL-60516_rb/","check listing")</f>
        <v>check listing</v>
      </c>
      <c r="AB1869" s="5" t="str">
        <f>HYPERLINK("https://propertylookup.dupagecounty.gov/Datalets/Datalet.aspx?UseSearch=no&amp;mode=sales&amp;pin=0930206011","sales record")</f>
        <v>sales record</v>
      </c>
      <c r="AC1869" t="s">
        <v>3</v>
      </c>
      <c r="AD1869">
        <v>41.757055</v>
      </c>
      <c r="AE1869">
        <v>-88.01396099999999</v>
      </c>
      <c r="AF1869" s="5" t="str">
        <f>HYPERLINK("https://www.google.com/maps/search/?api=1&amp;query=41.757055,-88.013961","map")</f>
        <v>map</v>
      </c>
    </row>
    <row r="1870" spans="1:32">
      <c r="A1870" t="s">
        <v>1920</v>
      </c>
      <c r="B1870" t="s">
        <v>9480</v>
      </c>
      <c r="C1870" t="s">
        <v>15254</v>
      </c>
      <c r="D1870" t="s">
        <v>16199</v>
      </c>
      <c r="E1870" t="s">
        <v>16218</v>
      </c>
      <c r="F1870" t="s">
        <v>16221</v>
      </c>
      <c r="G1870" t="s">
        <v>16249</v>
      </c>
      <c r="H1870" t="s">
        <v>16249</v>
      </c>
      <c r="I1870" t="s">
        <v>16325</v>
      </c>
      <c r="J1870" t="s">
        <v>16385</v>
      </c>
      <c r="K1870">
        <v>0.178</v>
      </c>
      <c r="L1870">
        <v>7770</v>
      </c>
      <c r="M1870">
        <v>2393</v>
      </c>
      <c r="N1870" t="s">
        <v>16393</v>
      </c>
      <c r="O1870" s="4">
        <v>48429</v>
      </c>
      <c r="P1870" s="4">
        <v>120578</v>
      </c>
      <c r="Q1870" s="4">
        <v>169007</v>
      </c>
      <c r="R1870" s="4">
        <v>507021</v>
      </c>
      <c r="S1870" t="s">
        <v>18218</v>
      </c>
      <c r="T1870" s="6">
        <v>31809</v>
      </c>
      <c r="U1870" s="4">
        <v>159827</v>
      </c>
      <c r="X1870" t="s">
        <v>3</v>
      </c>
      <c r="AA1870" s="5" t="str">
        <f>HYPERLINK("https://www.zillow.com/homes/7108-KIDWELL-RD-DOWNERS-GROVE-IL-60516_rb/","check listing")</f>
        <v>check listing</v>
      </c>
      <c r="AB1870" s="5" t="str">
        <f>HYPERLINK("https://propertylookup.dupagecounty.gov/Datalets/Datalet.aspx?UseSearch=no&amp;mode=sales&amp;pin=0930206009","sales record")</f>
        <v>sales record</v>
      </c>
      <c r="AC1870" t="s">
        <v>3</v>
      </c>
      <c r="AD1870">
        <v>41.757407</v>
      </c>
      <c r="AE1870">
        <v>-88.01397299999999</v>
      </c>
      <c r="AF1870" s="5" t="str">
        <f>HYPERLINK("https://www.google.com/maps/search/?api=1&amp;query=41.757407,-88.013973","map")</f>
        <v>map</v>
      </c>
    </row>
    <row r="1871" spans="1:32">
      <c r="A1871" t="s">
        <v>1921</v>
      </c>
      <c r="B1871" t="s">
        <v>9481</v>
      </c>
      <c r="C1871" t="s">
        <v>15359</v>
      </c>
      <c r="D1871" t="s">
        <v>16199</v>
      </c>
      <c r="E1871" t="s">
        <v>16218</v>
      </c>
      <c r="F1871" t="s">
        <v>16221</v>
      </c>
      <c r="G1871" t="s">
        <v>16249</v>
      </c>
      <c r="H1871" t="s">
        <v>16249</v>
      </c>
      <c r="I1871" t="s">
        <v>16325</v>
      </c>
      <c r="J1871" t="s">
        <v>16385</v>
      </c>
      <c r="K1871">
        <v>0.177</v>
      </c>
      <c r="L1871">
        <v>7707</v>
      </c>
      <c r="M1871">
        <v>1666</v>
      </c>
      <c r="N1871" t="s">
        <v>16393</v>
      </c>
      <c r="O1871" s="4">
        <v>48874</v>
      </c>
      <c r="P1871" s="4">
        <v>111211</v>
      </c>
      <c r="Q1871" s="4">
        <v>160085</v>
      </c>
      <c r="R1871" s="4">
        <v>480255</v>
      </c>
      <c r="S1871" t="s">
        <v>18219</v>
      </c>
      <c r="T1871" s="6">
        <v>42186</v>
      </c>
      <c r="U1871" s="4">
        <v>332500</v>
      </c>
      <c r="V1871" t="s">
        <v>23739</v>
      </c>
      <c r="W1871" t="s">
        <v>24616</v>
      </c>
      <c r="X1871" t="s">
        <v>3</v>
      </c>
      <c r="AA1871" s="5" t="str">
        <f>HYPERLINK("https://www.zillow.com/homes/7217-POWELL-ST-DOWNERS-GROVE-IL-605163784_rb/","check listing")</f>
        <v>check listing</v>
      </c>
      <c r="AB1871" s="5" t="str">
        <f>HYPERLINK("https://propertylookup.dupagecounty.gov/Datalets/Datalet.aspx?UseSearch=no&amp;mode=sales&amp;pin=0930208002","sales record")</f>
        <v>sales record</v>
      </c>
      <c r="AC1871" t="s">
        <v>3</v>
      </c>
      <c r="AD1871">
        <v>41.755821</v>
      </c>
      <c r="AE1871">
        <v>-88.01628100000001</v>
      </c>
      <c r="AF1871" s="5" t="str">
        <f>HYPERLINK("https://www.google.com/maps/search/?api=1&amp;query=41.755821,-88.016281","map")</f>
        <v>map</v>
      </c>
    </row>
    <row r="1872" spans="1:32">
      <c r="A1872" t="s">
        <v>1922</v>
      </c>
      <c r="B1872" t="s">
        <v>9482</v>
      </c>
      <c r="C1872" t="s">
        <v>15254</v>
      </c>
      <c r="D1872" t="s">
        <v>16199</v>
      </c>
      <c r="E1872" t="s">
        <v>16218</v>
      </c>
      <c r="F1872" t="s">
        <v>16221</v>
      </c>
      <c r="G1872" t="s">
        <v>16249</v>
      </c>
      <c r="H1872" t="s">
        <v>16249</v>
      </c>
      <c r="I1872" t="s">
        <v>16325</v>
      </c>
      <c r="J1872" t="s">
        <v>16385</v>
      </c>
      <c r="K1872">
        <v>0.177</v>
      </c>
      <c r="L1872">
        <v>7703</v>
      </c>
      <c r="M1872">
        <v>1823</v>
      </c>
      <c r="N1872" t="s">
        <v>16393</v>
      </c>
      <c r="O1872" s="4">
        <v>58170</v>
      </c>
      <c r="P1872" s="4">
        <v>176847</v>
      </c>
      <c r="Q1872" s="4">
        <v>235017</v>
      </c>
      <c r="R1872" s="4">
        <v>705051</v>
      </c>
      <c r="S1872" t="s">
        <v>18220</v>
      </c>
      <c r="T1872" s="6">
        <v>37104</v>
      </c>
      <c r="U1872" s="4">
        <v>425000</v>
      </c>
      <c r="V1872" t="s">
        <v>23739</v>
      </c>
      <c r="W1872" t="s">
        <v>24617</v>
      </c>
      <c r="X1872" t="s">
        <v>3</v>
      </c>
      <c r="AA1872" s="5" t="str">
        <f>HYPERLINK("https://www.zillow.com/homes/1170-CRYSTAL-AVE-DOWNERS-GROVE-IL-60516_rb/","check listing")</f>
        <v>check listing</v>
      </c>
      <c r="AB1872" s="5" t="str">
        <f>HYPERLINK("https://propertylookup.dupagecounty.gov/Datalets/Datalet.aspx?UseSearch=no&amp;mode=sales&amp;pin=0929116003","sales record")</f>
        <v>sales record</v>
      </c>
      <c r="AC1872" t="s">
        <v>3</v>
      </c>
      <c r="AD1872">
        <v>41.756544</v>
      </c>
      <c r="AE1872">
        <v>-88.012225</v>
      </c>
      <c r="AF1872" s="5" t="str">
        <f>HYPERLINK("https://www.google.com/maps/search/?api=1&amp;query=41.756544,-88.012225","map")</f>
        <v>map</v>
      </c>
    </row>
    <row r="1873" spans="1:32">
      <c r="A1873" t="s">
        <v>1923</v>
      </c>
      <c r="B1873" t="s">
        <v>9483</v>
      </c>
      <c r="C1873" t="s">
        <v>15254</v>
      </c>
      <c r="D1873" t="s">
        <v>16199</v>
      </c>
      <c r="E1873" t="s">
        <v>16218</v>
      </c>
      <c r="F1873" t="s">
        <v>16221</v>
      </c>
      <c r="G1873" t="s">
        <v>16249</v>
      </c>
      <c r="H1873" t="s">
        <v>16249</v>
      </c>
      <c r="I1873" t="s">
        <v>16325</v>
      </c>
      <c r="J1873" t="s">
        <v>16385</v>
      </c>
      <c r="K1873">
        <v>0.176</v>
      </c>
      <c r="L1873">
        <v>7675</v>
      </c>
      <c r="M1873">
        <v>2456</v>
      </c>
      <c r="N1873" t="s">
        <v>16393</v>
      </c>
      <c r="O1873" s="4">
        <v>48663</v>
      </c>
      <c r="P1873" s="4">
        <v>122973</v>
      </c>
      <c r="Q1873" s="4">
        <v>171636</v>
      </c>
      <c r="R1873" s="4">
        <v>514908</v>
      </c>
      <c r="S1873" t="s">
        <v>18221</v>
      </c>
      <c r="T1873" s="6">
        <v>31959</v>
      </c>
      <c r="U1873" s="4">
        <v>156683</v>
      </c>
      <c r="X1873" t="s">
        <v>3</v>
      </c>
      <c r="AA1873" s="5" t="str">
        <f>HYPERLINK("https://www.zillow.com/homes/7228-BATEMAN-ST-DOWNERS-GROVE-IL-60516_rb/","check listing")</f>
        <v>check listing</v>
      </c>
      <c r="AB1873" s="5" t="str">
        <f>HYPERLINK("https://propertylookup.dupagecounty.gov/Datalets/Datalet.aspx?UseSearch=no&amp;mode=sales&amp;pin=0930208008","sales record")</f>
        <v>sales record</v>
      </c>
      <c r="AC1873" t="s">
        <v>3</v>
      </c>
      <c r="AD1873">
        <v>41.75574</v>
      </c>
      <c r="AE1873">
        <v>-88.01590899999999</v>
      </c>
      <c r="AF1873" s="5" t="str">
        <f>HYPERLINK("https://www.google.com/maps/search/?api=1&amp;query=41.75574,-88.015909","map")</f>
        <v>map</v>
      </c>
    </row>
    <row r="1874" spans="1:32">
      <c r="A1874" t="s">
        <v>1924</v>
      </c>
      <c r="B1874" t="s">
        <v>9484</v>
      </c>
      <c r="C1874" t="s">
        <v>15254</v>
      </c>
      <c r="D1874" t="s">
        <v>16199</v>
      </c>
      <c r="E1874" t="s">
        <v>16218</v>
      </c>
      <c r="F1874" t="s">
        <v>16221</v>
      </c>
      <c r="G1874" t="s">
        <v>16249</v>
      </c>
      <c r="H1874" t="s">
        <v>16249</v>
      </c>
      <c r="I1874" t="s">
        <v>16325</v>
      </c>
      <c r="J1874" t="s">
        <v>16385</v>
      </c>
      <c r="K1874">
        <v>0.176</v>
      </c>
      <c r="L1874">
        <v>7660</v>
      </c>
      <c r="M1874">
        <v>2045</v>
      </c>
      <c r="N1874" t="s">
        <v>16393</v>
      </c>
      <c r="O1874" s="4">
        <v>47748</v>
      </c>
      <c r="P1874" s="4">
        <v>109251</v>
      </c>
      <c r="Q1874" s="4">
        <v>156999</v>
      </c>
      <c r="R1874" s="4">
        <v>470997</v>
      </c>
      <c r="S1874" t="s">
        <v>18222</v>
      </c>
      <c r="T1874" s="6">
        <v>32813</v>
      </c>
      <c r="U1874" s="4">
        <v>174140</v>
      </c>
      <c r="X1874" t="s">
        <v>3</v>
      </c>
      <c r="AA1874" s="5" t="str">
        <f>HYPERLINK("https://www.zillow.com/homes/7216-O-NEILL-RD-DOWNERS-GROVE-IL-60516_rb/","check listing")</f>
        <v>check listing</v>
      </c>
      <c r="AB1874" s="5" t="str">
        <f>HYPERLINK("https://propertylookup.dupagecounty.gov/Datalets/Datalet.aspx?UseSearch=no&amp;mode=sales&amp;pin=0930207008","sales record")</f>
        <v>sales record</v>
      </c>
      <c r="AC1874" t="s">
        <v>3</v>
      </c>
      <c r="AD1874">
        <v>41.756307</v>
      </c>
      <c r="AE1874">
        <v>-88.014933</v>
      </c>
      <c r="AF1874" s="5" t="str">
        <f>HYPERLINK("https://www.google.com/maps/search/?api=1&amp;query=41.756307,-88.014933","map")</f>
        <v>map</v>
      </c>
    </row>
    <row r="1875" spans="1:32">
      <c r="A1875" t="s">
        <v>1925</v>
      </c>
      <c r="B1875" t="s">
        <v>9485</v>
      </c>
      <c r="C1875" t="s">
        <v>15254</v>
      </c>
      <c r="D1875" t="s">
        <v>16199</v>
      </c>
      <c r="E1875" t="s">
        <v>16218</v>
      </c>
      <c r="F1875" t="s">
        <v>16221</v>
      </c>
      <c r="G1875" t="s">
        <v>16249</v>
      </c>
      <c r="H1875" t="s">
        <v>16249</v>
      </c>
      <c r="I1875" t="s">
        <v>16325</v>
      </c>
      <c r="J1875" t="s">
        <v>16385</v>
      </c>
      <c r="K1875">
        <v>0.176</v>
      </c>
      <c r="L1875">
        <v>7659</v>
      </c>
      <c r="M1875">
        <v>2679</v>
      </c>
      <c r="N1875" t="s">
        <v>16393</v>
      </c>
      <c r="O1875" s="4">
        <v>47748</v>
      </c>
      <c r="P1875" s="4">
        <v>119334</v>
      </c>
      <c r="Q1875" s="4">
        <v>167082</v>
      </c>
      <c r="R1875" s="4">
        <v>501246</v>
      </c>
      <c r="S1875" t="s">
        <v>18223</v>
      </c>
      <c r="T1875" s="6">
        <v>32417</v>
      </c>
      <c r="U1875" s="4">
        <v>175097</v>
      </c>
      <c r="X1875" t="s">
        <v>3</v>
      </c>
      <c r="AA1875" s="5" t="str">
        <f>HYPERLINK("https://www.zillow.com/homes/7212-O-NEILL-RD-DOWNERS-GROVE-IL-60516_rb/","check listing")</f>
        <v>check listing</v>
      </c>
      <c r="AB1875" s="5" t="str">
        <f>HYPERLINK("https://propertylookup.dupagecounty.gov/Datalets/Datalet.aspx?UseSearch=no&amp;mode=sales&amp;pin=0930207007","sales record")</f>
        <v>sales record</v>
      </c>
      <c r="AC1875" t="s">
        <v>3</v>
      </c>
      <c r="AD1875">
        <v>41.756481</v>
      </c>
      <c r="AE1875">
        <v>-88.014939</v>
      </c>
      <c r="AF1875" s="5" t="str">
        <f>HYPERLINK("https://www.google.com/maps/search/?api=1&amp;query=41.756481,-88.014939","map")</f>
        <v>map</v>
      </c>
    </row>
    <row r="1876" spans="1:32">
      <c r="A1876" t="s">
        <v>1926</v>
      </c>
      <c r="B1876" t="s">
        <v>9486</v>
      </c>
      <c r="C1876" t="s">
        <v>15254</v>
      </c>
      <c r="D1876" t="s">
        <v>16199</v>
      </c>
      <c r="E1876" t="s">
        <v>16218</v>
      </c>
      <c r="F1876" t="s">
        <v>16221</v>
      </c>
      <c r="G1876" t="s">
        <v>16249</v>
      </c>
      <c r="H1876" t="s">
        <v>16249</v>
      </c>
      <c r="I1876" t="s">
        <v>16325</v>
      </c>
      <c r="J1876" t="s">
        <v>16385</v>
      </c>
      <c r="K1876">
        <v>0.176</v>
      </c>
      <c r="L1876">
        <v>7659</v>
      </c>
      <c r="M1876">
        <v>2108</v>
      </c>
      <c r="N1876" t="s">
        <v>16393</v>
      </c>
      <c r="O1876" s="4">
        <v>47748</v>
      </c>
      <c r="P1876" s="4">
        <v>111669</v>
      </c>
      <c r="Q1876" s="4">
        <v>159417</v>
      </c>
      <c r="R1876" s="4">
        <v>478251</v>
      </c>
      <c r="S1876" t="s">
        <v>18224</v>
      </c>
      <c r="T1876" s="6">
        <v>32387</v>
      </c>
      <c r="U1876" s="4">
        <v>161821</v>
      </c>
      <c r="X1876" t="s">
        <v>3</v>
      </c>
      <c r="AA1876" s="5" t="str">
        <f>HYPERLINK("https://www.zillow.com/homes/7208-O-NEILL-RD-DOWNERS-GROVE-IL-60516_rb/","check listing")</f>
        <v>check listing</v>
      </c>
      <c r="AB1876" s="5" t="str">
        <f>HYPERLINK("https://propertylookup.dupagecounty.gov/Datalets/Datalet.aspx?UseSearch=no&amp;mode=sales&amp;pin=0930207006","sales record")</f>
        <v>sales record</v>
      </c>
      <c r="AC1876" t="s">
        <v>3</v>
      </c>
      <c r="AD1876">
        <v>41.75668</v>
      </c>
      <c r="AE1876">
        <v>-88.01494599999999</v>
      </c>
      <c r="AF1876" s="5" t="str">
        <f>HYPERLINK("https://www.google.com/maps/search/?api=1&amp;query=41.75668,-88.014946","map")</f>
        <v>map</v>
      </c>
    </row>
    <row r="1877" spans="1:32">
      <c r="A1877" t="s">
        <v>1927</v>
      </c>
      <c r="B1877" t="s">
        <v>9487</v>
      </c>
      <c r="C1877" t="s">
        <v>15338</v>
      </c>
      <c r="D1877" t="s">
        <v>16199</v>
      </c>
      <c r="E1877" t="s">
        <v>16218</v>
      </c>
      <c r="F1877" t="s">
        <v>16221</v>
      </c>
      <c r="G1877" t="s">
        <v>16249</v>
      </c>
      <c r="H1877" t="s">
        <v>16249</v>
      </c>
      <c r="I1877" t="s">
        <v>16325</v>
      </c>
      <c r="J1877" t="s">
        <v>16385</v>
      </c>
      <c r="K1877">
        <v>0.176</v>
      </c>
      <c r="L1877">
        <v>7659</v>
      </c>
      <c r="M1877">
        <v>1335</v>
      </c>
      <c r="N1877" t="s">
        <v>16393</v>
      </c>
      <c r="O1877" s="4">
        <v>47748</v>
      </c>
      <c r="P1877" s="4">
        <v>118559</v>
      </c>
      <c r="Q1877" s="4">
        <v>166307</v>
      </c>
      <c r="R1877" s="4">
        <v>498921</v>
      </c>
      <c r="S1877" t="s">
        <v>18225</v>
      </c>
      <c r="T1877" s="6">
        <v>44287</v>
      </c>
      <c r="U1877" s="4">
        <v>475500</v>
      </c>
      <c r="V1877" t="s">
        <v>23739</v>
      </c>
      <c r="W1877" t="s">
        <v>24618</v>
      </c>
      <c r="X1877" t="s">
        <v>3</v>
      </c>
      <c r="AA1877" s="5" t="str">
        <f>HYPERLINK("https://www.zillow.com/homes/7232-ONEILL-RD-DOWNERS-GROVE-IL-605163770_rb/","check listing")</f>
        <v>check listing</v>
      </c>
      <c r="AB1877" s="5" t="str">
        <f>HYPERLINK("https://propertylookup.dupagecounty.gov/Datalets/Datalet.aspx?UseSearch=no&amp;mode=sales&amp;pin=0930207012","sales record")</f>
        <v>sales record</v>
      </c>
      <c r="AC1877" t="s">
        <v>3</v>
      </c>
      <c r="AD1877">
        <v>41.755535</v>
      </c>
      <c r="AE1877">
        <v>-88.01490699999999</v>
      </c>
      <c r="AF1877" s="5" t="str">
        <f>HYPERLINK("https://www.google.com/maps/search/?api=1&amp;query=41.755535,-88.014907","map")</f>
        <v>map</v>
      </c>
    </row>
    <row r="1878" spans="1:32">
      <c r="A1878" t="s">
        <v>1928</v>
      </c>
      <c r="B1878" t="s">
        <v>9488</v>
      </c>
      <c r="C1878" t="s">
        <v>15254</v>
      </c>
      <c r="D1878" t="s">
        <v>16199</v>
      </c>
      <c r="E1878" t="s">
        <v>16218</v>
      </c>
      <c r="F1878" t="s">
        <v>16221</v>
      </c>
      <c r="G1878" t="s">
        <v>16249</v>
      </c>
      <c r="H1878" t="s">
        <v>16249</v>
      </c>
      <c r="I1878" t="s">
        <v>16325</v>
      </c>
      <c r="J1878" t="s">
        <v>16385</v>
      </c>
      <c r="K1878">
        <v>0.176</v>
      </c>
      <c r="L1878">
        <v>7659</v>
      </c>
      <c r="M1878">
        <v>1693</v>
      </c>
      <c r="N1878" t="s">
        <v>16393</v>
      </c>
      <c r="O1878" s="4">
        <v>47748</v>
      </c>
      <c r="P1878" s="4">
        <v>116223</v>
      </c>
      <c r="Q1878" s="4">
        <v>163971</v>
      </c>
      <c r="R1878" s="4">
        <v>491913</v>
      </c>
      <c r="S1878" t="s">
        <v>18226</v>
      </c>
      <c r="T1878" s="6">
        <v>32690</v>
      </c>
      <c r="U1878" s="4">
        <v>175000</v>
      </c>
      <c r="X1878" t="s">
        <v>3</v>
      </c>
      <c r="AA1878" s="5" t="str">
        <f>HYPERLINK("https://www.zillow.com/homes/7231-BATEMAN-ST-DOWNERS-GROVE-IL-60516_rb/","check listing")</f>
        <v>check listing</v>
      </c>
      <c r="AB1878" s="5" t="str">
        <f>HYPERLINK("https://propertylookup.dupagecounty.gov/Datalets/Datalet.aspx?UseSearch=no&amp;mode=sales&amp;pin=0930207015","sales record")</f>
        <v>sales record</v>
      </c>
      <c r="AC1878" t="s">
        <v>3</v>
      </c>
      <c r="AD1878">
        <v>41.755527</v>
      </c>
      <c r="AE1878">
        <v>-88.015314</v>
      </c>
      <c r="AF1878" s="5" t="str">
        <f>HYPERLINK("https://www.google.com/maps/search/?api=1&amp;query=41.755527,-88.015314","map")</f>
        <v>map</v>
      </c>
    </row>
    <row r="1879" spans="1:32">
      <c r="A1879" t="s">
        <v>1929</v>
      </c>
      <c r="B1879" t="s">
        <v>9489</v>
      </c>
      <c r="C1879" t="s">
        <v>15254</v>
      </c>
      <c r="D1879" t="s">
        <v>16199</v>
      </c>
      <c r="E1879" t="s">
        <v>16218</v>
      </c>
      <c r="F1879" t="s">
        <v>16221</v>
      </c>
      <c r="G1879" t="s">
        <v>16249</v>
      </c>
      <c r="H1879" t="s">
        <v>16249</v>
      </c>
      <c r="I1879" t="s">
        <v>16325</v>
      </c>
      <c r="J1879" t="s">
        <v>16385</v>
      </c>
      <c r="K1879">
        <v>0.176</v>
      </c>
      <c r="L1879">
        <v>7659</v>
      </c>
      <c r="M1879">
        <v>2228</v>
      </c>
      <c r="N1879" t="s">
        <v>16393</v>
      </c>
      <c r="O1879" s="4">
        <v>47748</v>
      </c>
      <c r="P1879" s="4">
        <v>119628</v>
      </c>
      <c r="Q1879" s="4">
        <v>167376</v>
      </c>
      <c r="R1879" s="4">
        <v>502128</v>
      </c>
      <c r="S1879" t="s">
        <v>18227</v>
      </c>
      <c r="T1879" s="6">
        <v>32417</v>
      </c>
      <c r="U1879" s="4">
        <v>183843</v>
      </c>
      <c r="X1879" t="s">
        <v>3</v>
      </c>
      <c r="AA1879" s="5" t="str">
        <f>HYPERLINK("https://www.zillow.com/homes/7220-O-NEILL-RD-DOWNERS-GROVE-IL-60516_rb/","check listing")</f>
        <v>check listing</v>
      </c>
      <c r="AB1879" s="5" t="str">
        <f>HYPERLINK("https://propertylookup.dupagecounty.gov/Datalets/Datalet.aspx?UseSearch=no&amp;mode=sales&amp;pin=0930207009","sales record")</f>
        <v>sales record</v>
      </c>
      <c r="AC1879" t="s">
        <v>3</v>
      </c>
      <c r="AD1879">
        <v>41.756103</v>
      </c>
      <c r="AE1879">
        <v>-88.014926</v>
      </c>
      <c r="AF1879" s="5" t="str">
        <f>HYPERLINK("https://www.google.com/maps/search/?api=1&amp;query=41.756103,-88.014926","map")</f>
        <v>map</v>
      </c>
    </row>
    <row r="1880" spans="1:32">
      <c r="A1880" t="s">
        <v>1930</v>
      </c>
      <c r="B1880" t="s">
        <v>9490</v>
      </c>
      <c r="C1880" t="s">
        <v>15254</v>
      </c>
      <c r="D1880" t="s">
        <v>16199</v>
      </c>
      <c r="E1880" t="s">
        <v>16218</v>
      </c>
      <c r="F1880" t="s">
        <v>16221</v>
      </c>
      <c r="G1880" t="s">
        <v>16249</v>
      </c>
      <c r="H1880" t="s">
        <v>16249</v>
      </c>
      <c r="I1880" t="s">
        <v>16325</v>
      </c>
      <c r="J1880" t="s">
        <v>16385</v>
      </c>
      <c r="K1880">
        <v>0.176</v>
      </c>
      <c r="L1880">
        <v>7659</v>
      </c>
      <c r="M1880">
        <v>1625</v>
      </c>
      <c r="N1880" t="s">
        <v>16393</v>
      </c>
      <c r="O1880" s="4">
        <v>47748</v>
      </c>
      <c r="P1880" s="4">
        <v>111447</v>
      </c>
      <c r="Q1880" s="4">
        <v>159195</v>
      </c>
      <c r="R1880" s="4">
        <v>477585</v>
      </c>
      <c r="S1880" t="s">
        <v>18228</v>
      </c>
      <c r="T1880" s="6">
        <v>35582</v>
      </c>
      <c r="U1880" s="4">
        <v>215000</v>
      </c>
      <c r="X1880" t="s">
        <v>3</v>
      </c>
      <c r="AA1880" s="5" t="str">
        <f>HYPERLINK("https://www.zillow.com/homes/7228-O-NEILL-RD-DOWNERS-GROVE-IL-60516_rb/","check listing")</f>
        <v>check listing</v>
      </c>
      <c r="AB1880" s="5" t="str">
        <f>HYPERLINK("https://propertylookup.dupagecounty.gov/Datalets/Datalet.aspx?UseSearch=no&amp;mode=sales&amp;pin=0930207011","sales record")</f>
        <v>sales record</v>
      </c>
      <c r="AC1880" t="s">
        <v>3</v>
      </c>
      <c r="AD1880">
        <v>41.755724</v>
      </c>
      <c r="AE1880">
        <v>-88.014914</v>
      </c>
      <c r="AF1880" s="5" t="str">
        <f>HYPERLINK("https://www.google.com/maps/search/?api=1&amp;query=41.755724,-88.014914","map")</f>
        <v>map</v>
      </c>
    </row>
    <row r="1881" spans="1:32">
      <c r="A1881" t="s">
        <v>1931</v>
      </c>
      <c r="B1881" t="s">
        <v>9491</v>
      </c>
      <c r="C1881" t="s">
        <v>15338</v>
      </c>
      <c r="D1881" t="s">
        <v>16199</v>
      </c>
      <c r="E1881" t="s">
        <v>16218</v>
      </c>
      <c r="F1881" t="s">
        <v>16221</v>
      </c>
      <c r="G1881" t="s">
        <v>16249</v>
      </c>
      <c r="H1881" t="s">
        <v>16249</v>
      </c>
      <c r="I1881" t="s">
        <v>16325</v>
      </c>
      <c r="J1881" t="s">
        <v>16385</v>
      </c>
      <c r="K1881">
        <v>0.176</v>
      </c>
      <c r="L1881">
        <v>7659</v>
      </c>
      <c r="M1881">
        <v>2178</v>
      </c>
      <c r="N1881" t="s">
        <v>16393</v>
      </c>
      <c r="O1881" s="4">
        <v>47748</v>
      </c>
      <c r="P1881" s="4">
        <v>121388</v>
      </c>
      <c r="Q1881" s="4">
        <v>169136</v>
      </c>
      <c r="R1881" s="4">
        <v>507408</v>
      </c>
      <c r="S1881" t="s">
        <v>18229</v>
      </c>
      <c r="T1881" s="6">
        <v>42826</v>
      </c>
      <c r="U1881" s="4">
        <v>365000</v>
      </c>
      <c r="V1881" t="s">
        <v>23739</v>
      </c>
      <c r="W1881" t="s">
        <v>24619</v>
      </c>
      <c r="X1881" t="s">
        <v>3</v>
      </c>
      <c r="AA1881" s="5" t="str">
        <f>HYPERLINK("https://www.zillow.com/homes/7224-O-NEILL-RD-DOWNERS-GROVE-IL-605163770_rb/","check listing")</f>
        <v>check listing</v>
      </c>
      <c r="AB1881" s="5" t="str">
        <f>HYPERLINK("https://propertylookup.dupagecounty.gov/Datalets/Datalet.aspx?UseSearch=no&amp;mode=sales&amp;pin=0930207010","sales record")</f>
        <v>sales record</v>
      </c>
      <c r="AC1881" t="s">
        <v>3</v>
      </c>
      <c r="AD1881">
        <v>41.755913</v>
      </c>
      <c r="AE1881">
        <v>-88.01492</v>
      </c>
      <c r="AF1881" s="5" t="str">
        <f>HYPERLINK("https://www.google.com/maps/search/?api=1&amp;query=41.755913,-88.01492","map")</f>
        <v>map</v>
      </c>
    </row>
    <row r="1882" spans="1:32">
      <c r="A1882" t="s">
        <v>1932</v>
      </c>
      <c r="B1882" t="s">
        <v>9492</v>
      </c>
      <c r="C1882" t="s">
        <v>15254</v>
      </c>
      <c r="D1882" t="s">
        <v>16199</v>
      </c>
      <c r="E1882" t="s">
        <v>16218</v>
      </c>
      <c r="F1882" t="s">
        <v>16221</v>
      </c>
      <c r="G1882" t="s">
        <v>16249</v>
      </c>
      <c r="H1882" t="s">
        <v>16249</v>
      </c>
      <c r="I1882" t="s">
        <v>16325</v>
      </c>
      <c r="J1882" t="s">
        <v>16385</v>
      </c>
      <c r="K1882">
        <v>0.176</v>
      </c>
      <c r="L1882">
        <v>7658</v>
      </c>
      <c r="M1882">
        <v>1910</v>
      </c>
      <c r="N1882" t="s">
        <v>16393</v>
      </c>
      <c r="O1882" s="4">
        <v>47748</v>
      </c>
      <c r="P1882" s="4">
        <v>106259</v>
      </c>
      <c r="Q1882" s="4">
        <v>154007</v>
      </c>
      <c r="R1882" s="4">
        <v>462021</v>
      </c>
      <c r="S1882" t="s">
        <v>18230</v>
      </c>
      <c r="T1882" s="6">
        <v>35186</v>
      </c>
      <c r="U1882" s="4">
        <v>209250</v>
      </c>
      <c r="X1882" t="s">
        <v>3</v>
      </c>
      <c r="AA1882" s="5" t="str">
        <f>HYPERLINK("https://www.zillow.com/homes/7229-BATEMAN-ST-DOWNERS-GROVE-IL-60516_rb/","check listing")</f>
        <v>check listing</v>
      </c>
      <c r="AB1882" s="5" t="str">
        <f>HYPERLINK("https://propertylookup.dupagecounty.gov/Datalets/Datalet.aspx?UseSearch=no&amp;mode=sales&amp;pin=0930207016","sales record")</f>
        <v>sales record</v>
      </c>
      <c r="AC1882" t="s">
        <v>3</v>
      </c>
      <c r="AD1882">
        <v>41.755716</v>
      </c>
      <c r="AE1882">
        <v>-88.01532</v>
      </c>
      <c r="AF1882" s="5" t="str">
        <f>HYPERLINK("https://www.google.com/maps/search/?api=1&amp;query=41.755716,-88.01532","map")</f>
        <v>map</v>
      </c>
    </row>
    <row r="1883" spans="1:32">
      <c r="A1883" t="s">
        <v>1933</v>
      </c>
      <c r="B1883" t="s">
        <v>9493</v>
      </c>
      <c r="C1883" t="s">
        <v>15254</v>
      </c>
      <c r="D1883" t="s">
        <v>16199</v>
      </c>
      <c r="E1883" t="s">
        <v>16218</v>
      </c>
      <c r="F1883" t="s">
        <v>16221</v>
      </c>
      <c r="G1883" t="s">
        <v>16249</v>
      </c>
      <c r="H1883" t="s">
        <v>16249</v>
      </c>
      <c r="I1883" t="s">
        <v>16325</v>
      </c>
      <c r="J1883" t="s">
        <v>16385</v>
      </c>
      <c r="K1883">
        <v>0.175</v>
      </c>
      <c r="L1883">
        <v>7605</v>
      </c>
      <c r="M1883">
        <v>1553</v>
      </c>
      <c r="N1883" t="s">
        <v>16393</v>
      </c>
      <c r="O1883" s="4">
        <v>47395</v>
      </c>
      <c r="P1883" s="4">
        <v>96129</v>
      </c>
      <c r="Q1883" s="4">
        <v>143524</v>
      </c>
      <c r="R1883" s="4">
        <v>430572</v>
      </c>
      <c r="S1883" t="s">
        <v>18231</v>
      </c>
      <c r="T1883" s="6">
        <v>41821</v>
      </c>
      <c r="U1883" s="4">
        <v>264000</v>
      </c>
      <c r="V1883" t="s">
        <v>23740</v>
      </c>
      <c r="W1883" t="s">
        <v>18231</v>
      </c>
      <c r="X1883" t="s">
        <v>3</v>
      </c>
      <c r="AA1883" s="5" t="str">
        <f>HYPERLINK("https://www.zillow.com/homes/7208-KIDWELL-RD-DOWNERS-GROVE-IL-60516_rb/","check listing")</f>
        <v>check listing</v>
      </c>
      <c r="AB1883" s="5" t="str">
        <f>HYPERLINK("https://propertylookup.dupagecounty.gov/Datalets/Datalet.aspx?UseSearch=no&amp;mode=sales&amp;pin=0930206014","sales record")</f>
        <v>sales record</v>
      </c>
      <c r="AC1883" t="s">
        <v>3</v>
      </c>
      <c r="AD1883">
        <v>41.75649</v>
      </c>
      <c r="AE1883">
        <v>-88.013942</v>
      </c>
      <c r="AF1883" s="5" t="str">
        <f>HYPERLINK("https://www.google.com/maps/search/?api=1&amp;query=41.75649,-88.013942","map")</f>
        <v>map</v>
      </c>
    </row>
    <row r="1884" spans="1:32">
      <c r="A1884" t="s">
        <v>1934</v>
      </c>
      <c r="B1884" t="s">
        <v>9494</v>
      </c>
      <c r="C1884" t="s">
        <v>15254</v>
      </c>
      <c r="D1884" t="s">
        <v>16199</v>
      </c>
      <c r="E1884" t="s">
        <v>16218</v>
      </c>
      <c r="F1884" t="s">
        <v>16221</v>
      </c>
      <c r="G1884" t="s">
        <v>16249</v>
      </c>
      <c r="H1884" t="s">
        <v>16249</v>
      </c>
      <c r="I1884" t="s">
        <v>16325</v>
      </c>
      <c r="J1884" t="s">
        <v>16385</v>
      </c>
      <c r="K1884">
        <v>0.175</v>
      </c>
      <c r="L1884">
        <v>7605</v>
      </c>
      <c r="M1884">
        <v>1673</v>
      </c>
      <c r="N1884" t="s">
        <v>16393</v>
      </c>
      <c r="O1884" s="4">
        <v>47395</v>
      </c>
      <c r="P1884" s="4">
        <v>122150</v>
      </c>
      <c r="Q1884" s="4">
        <v>169545</v>
      </c>
      <c r="R1884" s="4">
        <v>508635</v>
      </c>
      <c r="S1884" t="s">
        <v>18232</v>
      </c>
      <c r="T1884" s="6">
        <v>32264</v>
      </c>
      <c r="U1884" s="4">
        <v>183992</v>
      </c>
      <c r="X1884" t="s">
        <v>3</v>
      </c>
      <c r="AA1884" s="5" t="str">
        <f>HYPERLINK("https://www.zillow.com/homes/7217-O-NEILL-RD-DOWNERS-GROVE-IL-60516_rb/","check listing")</f>
        <v>check listing</v>
      </c>
      <c r="AB1884" s="5" t="str">
        <f>HYPERLINK("https://propertylookup.dupagecounty.gov/Datalets/Datalet.aspx?UseSearch=no&amp;mode=sales&amp;pin=0930206026","sales record")</f>
        <v>sales record</v>
      </c>
      <c r="AC1884" t="s">
        <v>3</v>
      </c>
      <c r="AD1884">
        <v>41.756294</v>
      </c>
      <c r="AE1884">
        <v>-88.014343</v>
      </c>
      <c r="AF1884" s="5" t="str">
        <f>HYPERLINK("https://www.google.com/maps/search/?api=1&amp;query=41.756294,-88.014343","map")</f>
        <v>map</v>
      </c>
    </row>
    <row r="1885" spans="1:32">
      <c r="A1885" t="s">
        <v>1935</v>
      </c>
      <c r="B1885" t="s">
        <v>9495</v>
      </c>
      <c r="C1885" t="s">
        <v>15254</v>
      </c>
      <c r="D1885" t="s">
        <v>16199</v>
      </c>
      <c r="E1885" t="s">
        <v>16218</v>
      </c>
      <c r="F1885" t="s">
        <v>16221</v>
      </c>
      <c r="G1885" t="s">
        <v>16249</v>
      </c>
      <c r="H1885" t="s">
        <v>16249</v>
      </c>
      <c r="I1885" t="s">
        <v>16325</v>
      </c>
      <c r="J1885" t="s">
        <v>16385</v>
      </c>
      <c r="K1885">
        <v>0.175</v>
      </c>
      <c r="L1885">
        <v>7605</v>
      </c>
      <c r="M1885">
        <v>2009</v>
      </c>
      <c r="N1885" t="s">
        <v>16393</v>
      </c>
      <c r="O1885" s="4">
        <v>47395</v>
      </c>
      <c r="P1885" s="4">
        <v>110155</v>
      </c>
      <c r="Q1885" s="4">
        <v>157550</v>
      </c>
      <c r="R1885" s="4">
        <v>472650</v>
      </c>
      <c r="S1885" t="s">
        <v>18233</v>
      </c>
      <c r="T1885" s="6">
        <v>31959</v>
      </c>
      <c r="U1885" s="4">
        <v>139730</v>
      </c>
      <c r="X1885" t="s">
        <v>3</v>
      </c>
      <c r="AA1885" s="5" t="str">
        <f>HYPERLINK("https://www.zillow.com/homes/7204-KIDWELL-RD-DOWNERS-GROVE-IL-60516_rb/","check listing")</f>
        <v>check listing</v>
      </c>
      <c r="AB1885" s="5" t="str">
        <f>HYPERLINK("https://propertylookup.dupagecounty.gov/Datalets/Datalet.aspx?UseSearch=no&amp;mode=sales&amp;pin=0930206013","sales record")</f>
        <v>sales record</v>
      </c>
      <c r="AC1885" t="s">
        <v>3</v>
      </c>
      <c r="AD1885">
        <v>41.756678</v>
      </c>
      <c r="AE1885">
        <v>-88.013948</v>
      </c>
      <c r="AF1885" s="5" t="str">
        <f>HYPERLINK("https://www.google.com/maps/search/?api=1&amp;query=41.756678,-88.013948","map")</f>
        <v>map</v>
      </c>
    </row>
    <row r="1886" spans="1:32">
      <c r="A1886" t="s">
        <v>1936</v>
      </c>
      <c r="B1886" t="s">
        <v>9496</v>
      </c>
      <c r="C1886" t="s">
        <v>15254</v>
      </c>
      <c r="D1886" t="s">
        <v>16199</v>
      </c>
      <c r="E1886" t="s">
        <v>16218</v>
      </c>
      <c r="F1886" t="s">
        <v>16221</v>
      </c>
      <c r="G1886" t="s">
        <v>16249</v>
      </c>
      <c r="H1886" t="s">
        <v>16249</v>
      </c>
      <c r="I1886" t="s">
        <v>16325</v>
      </c>
      <c r="J1886" t="s">
        <v>16385</v>
      </c>
      <c r="K1886">
        <v>0.175</v>
      </c>
      <c r="L1886">
        <v>7605</v>
      </c>
      <c r="M1886">
        <v>2030</v>
      </c>
      <c r="N1886" t="s">
        <v>16393</v>
      </c>
      <c r="O1886" s="4">
        <v>47395</v>
      </c>
      <c r="P1886" s="4">
        <v>106447</v>
      </c>
      <c r="Q1886" s="4">
        <v>153842</v>
      </c>
      <c r="R1886" s="4">
        <v>461526</v>
      </c>
      <c r="S1886" t="s">
        <v>18234</v>
      </c>
      <c r="T1886" s="6">
        <v>32174</v>
      </c>
      <c r="U1886" s="4">
        <v>140525</v>
      </c>
      <c r="X1886" t="s">
        <v>3</v>
      </c>
      <c r="AA1886" s="5" t="str">
        <f>HYPERLINK("https://www.zillow.com/homes/7221-O-NEILL-RD-DOWNERS-GROVE-IL-60516_rb/","check listing")</f>
        <v>check listing</v>
      </c>
      <c r="AB1886" s="5" t="str">
        <f>HYPERLINK("https://propertylookup.dupagecounty.gov/Datalets/Datalet.aspx?UseSearch=no&amp;mode=sales&amp;pin=0930206025","sales record")</f>
        <v>sales record</v>
      </c>
      <c r="AC1886" t="s">
        <v>3</v>
      </c>
      <c r="AD1886">
        <v>41.756106</v>
      </c>
      <c r="AE1886">
        <v>-88.014336</v>
      </c>
      <c r="AF1886" s="5" t="str">
        <f>HYPERLINK("https://www.google.com/maps/search/?api=1&amp;query=41.756106,-88.014336","map")</f>
        <v>map</v>
      </c>
    </row>
    <row r="1887" spans="1:32">
      <c r="A1887" t="s">
        <v>1937</v>
      </c>
      <c r="B1887" t="s">
        <v>9497</v>
      </c>
      <c r="C1887" t="s">
        <v>15254</v>
      </c>
      <c r="D1887" t="s">
        <v>16199</v>
      </c>
      <c r="E1887" t="s">
        <v>16218</v>
      </c>
      <c r="F1887" t="s">
        <v>16221</v>
      </c>
      <c r="G1887" t="s">
        <v>16249</v>
      </c>
      <c r="H1887" t="s">
        <v>16249</v>
      </c>
      <c r="I1887" t="s">
        <v>16325</v>
      </c>
      <c r="J1887" t="s">
        <v>16385</v>
      </c>
      <c r="K1887">
        <v>0.175</v>
      </c>
      <c r="L1887">
        <v>7605</v>
      </c>
      <c r="M1887">
        <v>2167</v>
      </c>
      <c r="N1887" t="s">
        <v>16393</v>
      </c>
      <c r="O1887" s="4">
        <v>47395</v>
      </c>
      <c r="P1887" s="4">
        <v>136459</v>
      </c>
      <c r="Q1887" s="4">
        <v>183854</v>
      </c>
      <c r="R1887" s="4">
        <v>551562</v>
      </c>
      <c r="S1887" t="s">
        <v>18235</v>
      </c>
      <c r="T1887" s="6">
        <v>36281</v>
      </c>
      <c r="U1887" s="4">
        <v>253000</v>
      </c>
      <c r="X1887" t="s">
        <v>3</v>
      </c>
      <c r="AA1887" s="5" t="str">
        <f>HYPERLINK("https://www.zillow.com/homes/7216-KIDWELL-RD-DOWNERS-GROVE-IL-60516_rb/","check listing")</f>
        <v>check listing</v>
      </c>
      <c r="AB1887" s="5" t="str">
        <f>HYPERLINK("https://propertylookup.dupagecounty.gov/Datalets/Datalet.aspx?UseSearch=no&amp;mode=sales&amp;pin=0930206016","sales record")</f>
        <v>sales record</v>
      </c>
      <c r="AC1887" t="s">
        <v>3</v>
      </c>
      <c r="AD1887">
        <v>41.756114</v>
      </c>
      <c r="AE1887">
        <v>-88.01393</v>
      </c>
      <c r="AF1887" s="5" t="str">
        <f>HYPERLINK("https://www.google.com/maps/search/?api=1&amp;query=41.756114,-88.01393","map")</f>
        <v>map</v>
      </c>
    </row>
    <row r="1888" spans="1:32">
      <c r="A1888" t="s">
        <v>1938</v>
      </c>
      <c r="B1888" t="s">
        <v>9498</v>
      </c>
      <c r="C1888" t="s">
        <v>15254</v>
      </c>
      <c r="D1888" t="s">
        <v>16199</v>
      </c>
      <c r="E1888" t="s">
        <v>16218</v>
      </c>
      <c r="F1888" t="s">
        <v>16221</v>
      </c>
      <c r="G1888" t="s">
        <v>16249</v>
      </c>
      <c r="H1888" t="s">
        <v>16249</v>
      </c>
      <c r="I1888" t="s">
        <v>16325</v>
      </c>
      <c r="J1888" t="s">
        <v>16385</v>
      </c>
      <c r="K1888">
        <v>0.175</v>
      </c>
      <c r="L1888">
        <v>7605</v>
      </c>
      <c r="M1888">
        <v>1655</v>
      </c>
      <c r="N1888" t="s">
        <v>16393</v>
      </c>
      <c r="O1888" s="4">
        <v>47395</v>
      </c>
      <c r="P1888" s="4">
        <v>124169</v>
      </c>
      <c r="Q1888" s="4">
        <v>171564</v>
      </c>
      <c r="R1888" s="4">
        <v>514692</v>
      </c>
      <c r="S1888" t="s">
        <v>18236</v>
      </c>
      <c r="T1888" s="6">
        <v>33147</v>
      </c>
      <c r="U1888" s="4">
        <v>207000</v>
      </c>
      <c r="X1888" t="s">
        <v>3</v>
      </c>
      <c r="AA1888" s="5" t="str">
        <f>HYPERLINK("https://www.zillow.com/homes/7224-S-KIDWELL-RD-DOWNERS-GROVE-IL-60516_rb/","check listing")</f>
        <v>check listing</v>
      </c>
      <c r="AB1888" s="5" t="str">
        <f>HYPERLINK("https://propertylookup.dupagecounty.gov/Datalets/Datalet.aspx?UseSearch=no&amp;mode=sales&amp;pin=0930206018","sales record")</f>
        <v>sales record</v>
      </c>
      <c r="AC1888" t="s">
        <v>3</v>
      </c>
      <c r="AD1888">
        <v>41.755738</v>
      </c>
      <c r="AE1888">
        <v>-88.01391700000001</v>
      </c>
      <c r="AF1888" s="5" t="str">
        <f>HYPERLINK("https://www.google.com/maps/search/?api=1&amp;query=41.755738,-88.013917","map")</f>
        <v>map</v>
      </c>
    </row>
    <row r="1889" spans="1:32">
      <c r="A1889" t="s">
        <v>1939</v>
      </c>
      <c r="B1889" t="s">
        <v>9499</v>
      </c>
      <c r="C1889" t="s">
        <v>15254</v>
      </c>
      <c r="D1889" t="s">
        <v>16199</v>
      </c>
      <c r="E1889" t="s">
        <v>16218</v>
      </c>
      <c r="F1889" t="s">
        <v>16221</v>
      </c>
      <c r="G1889" t="s">
        <v>16249</v>
      </c>
      <c r="H1889" t="s">
        <v>16249</v>
      </c>
      <c r="I1889" t="s">
        <v>16325</v>
      </c>
      <c r="J1889" t="s">
        <v>16385</v>
      </c>
      <c r="K1889">
        <v>0.175</v>
      </c>
      <c r="L1889">
        <v>7605</v>
      </c>
      <c r="M1889">
        <v>2204</v>
      </c>
      <c r="N1889" t="s">
        <v>16393</v>
      </c>
      <c r="O1889" s="4">
        <v>47395</v>
      </c>
      <c r="P1889" s="4">
        <v>126200</v>
      </c>
      <c r="Q1889" s="4">
        <v>173595</v>
      </c>
      <c r="R1889" s="4">
        <v>520785</v>
      </c>
      <c r="S1889" t="s">
        <v>18237</v>
      </c>
      <c r="T1889" s="6">
        <v>44652</v>
      </c>
      <c r="U1889" s="4">
        <v>477209</v>
      </c>
      <c r="V1889" t="s">
        <v>23739</v>
      </c>
      <c r="W1889" t="s">
        <v>24620</v>
      </c>
      <c r="X1889" t="s">
        <v>3</v>
      </c>
      <c r="AA1889" s="5" t="str">
        <f>HYPERLINK("https://www.zillow.com/homes/7209-ONEILL-RD-DOWNERS-GROVE-IL-60516_rb/","check listing")</f>
        <v>check listing</v>
      </c>
      <c r="AB1889" s="5" t="str">
        <f>HYPERLINK("https://propertylookup.dupagecounty.gov/Datalets/Datalet.aspx?UseSearch=no&amp;mode=sales&amp;pin=0930206028","sales record")</f>
        <v>sales record</v>
      </c>
      <c r="AC1889" t="s">
        <v>3</v>
      </c>
      <c r="AD1889">
        <v>41.75667</v>
      </c>
      <c r="AE1889">
        <v>-88.01435499999999</v>
      </c>
      <c r="AF1889" s="5" t="str">
        <f>HYPERLINK("https://www.google.com/maps/search/?api=1&amp;query=41.75667,-88.014355","map")</f>
        <v>map</v>
      </c>
    </row>
    <row r="1890" spans="1:32">
      <c r="A1890" t="s">
        <v>1940</v>
      </c>
      <c r="B1890" t="s">
        <v>9500</v>
      </c>
      <c r="C1890" t="s">
        <v>15254</v>
      </c>
      <c r="D1890" t="s">
        <v>16199</v>
      </c>
      <c r="E1890" t="s">
        <v>16218</v>
      </c>
      <c r="F1890" t="s">
        <v>16221</v>
      </c>
      <c r="G1890" t="s">
        <v>16249</v>
      </c>
      <c r="H1890" t="s">
        <v>16249</v>
      </c>
      <c r="I1890" t="s">
        <v>16325</v>
      </c>
      <c r="J1890" t="s">
        <v>16385</v>
      </c>
      <c r="K1890">
        <v>0.175</v>
      </c>
      <c r="L1890">
        <v>7604</v>
      </c>
      <c r="M1890">
        <v>1605</v>
      </c>
      <c r="N1890" t="s">
        <v>16393</v>
      </c>
      <c r="O1890" s="4">
        <v>47395</v>
      </c>
      <c r="P1890" s="4">
        <v>115766</v>
      </c>
      <c r="Q1890" s="4">
        <v>163161</v>
      </c>
      <c r="R1890" s="4">
        <v>489483</v>
      </c>
      <c r="S1890" t="s">
        <v>18238</v>
      </c>
      <c r="T1890" s="6">
        <v>41487</v>
      </c>
      <c r="U1890" s="4">
        <v>345000</v>
      </c>
      <c r="V1890" t="s">
        <v>23739</v>
      </c>
      <c r="W1890" t="s">
        <v>24621</v>
      </c>
      <c r="X1890" t="s">
        <v>3</v>
      </c>
      <c r="AA1890" s="5" t="str">
        <f>HYPERLINK("https://www.zillow.com/homes/7229-O-NEILL-RD-DOWNERS-GROVE-IL-60516_rb/","check listing")</f>
        <v>check listing</v>
      </c>
      <c r="AB1890" s="5" t="str">
        <f>HYPERLINK("https://propertylookup.dupagecounty.gov/Datalets/Datalet.aspx?UseSearch=no&amp;mode=sales&amp;pin=0930206023","sales record")</f>
        <v>sales record</v>
      </c>
      <c r="AC1890" t="s">
        <v>3</v>
      </c>
      <c r="AD1890">
        <v>41.75573</v>
      </c>
      <c r="AE1890">
        <v>-88.014324</v>
      </c>
      <c r="AF1890" s="5" t="str">
        <f>HYPERLINK("https://www.google.com/maps/search/?api=1&amp;query=41.75573,-88.014324","map")</f>
        <v>map</v>
      </c>
    </row>
    <row r="1891" spans="1:32">
      <c r="A1891" t="s">
        <v>1941</v>
      </c>
      <c r="B1891" t="s">
        <v>9501</v>
      </c>
      <c r="C1891" t="s">
        <v>15254</v>
      </c>
      <c r="D1891" t="s">
        <v>16199</v>
      </c>
      <c r="E1891" t="s">
        <v>16218</v>
      </c>
      <c r="F1891" t="s">
        <v>16221</v>
      </c>
      <c r="G1891" t="s">
        <v>16249</v>
      </c>
      <c r="H1891" t="s">
        <v>16249</v>
      </c>
      <c r="I1891" t="s">
        <v>16325</v>
      </c>
      <c r="J1891" t="s">
        <v>16385</v>
      </c>
      <c r="K1891">
        <v>0.175</v>
      </c>
      <c r="L1891">
        <v>7603</v>
      </c>
      <c r="M1891">
        <v>2029</v>
      </c>
      <c r="N1891" t="s">
        <v>16393</v>
      </c>
      <c r="O1891" s="4">
        <v>47395</v>
      </c>
      <c r="P1891" s="4">
        <v>116259</v>
      </c>
      <c r="Q1891" s="4">
        <v>163654</v>
      </c>
      <c r="R1891" s="4">
        <v>490962</v>
      </c>
      <c r="S1891" t="s">
        <v>18239</v>
      </c>
      <c r="T1891" s="6">
        <v>36251</v>
      </c>
      <c r="U1891" s="4">
        <v>230000</v>
      </c>
      <c r="X1891" t="s">
        <v>3</v>
      </c>
      <c r="AA1891" s="5" t="str">
        <f>HYPERLINK("https://www.zillow.com/homes/7220-KIDWELL-RD-DOWNERS-GROVE-IL-60516_rb/","check listing")</f>
        <v>check listing</v>
      </c>
      <c r="AB1891" s="5" t="str">
        <f>HYPERLINK("https://propertylookup.dupagecounty.gov/Datalets/Datalet.aspx?UseSearch=no&amp;mode=sales&amp;pin=0930206017","sales record")</f>
        <v>sales record</v>
      </c>
      <c r="AC1891" t="s">
        <v>3</v>
      </c>
      <c r="AD1891">
        <v>41.755926</v>
      </c>
      <c r="AE1891">
        <v>-88.01392300000001</v>
      </c>
      <c r="AF1891" s="5" t="str">
        <f>HYPERLINK("https://www.google.com/maps/search/?api=1&amp;query=41.755926,-88.013923","map")</f>
        <v>map</v>
      </c>
    </row>
    <row r="1892" spans="1:32">
      <c r="A1892" t="s">
        <v>1942</v>
      </c>
      <c r="B1892" t="s">
        <v>9502</v>
      </c>
      <c r="C1892" t="s">
        <v>15360</v>
      </c>
      <c r="D1892" t="s">
        <v>16199</v>
      </c>
      <c r="E1892" t="s">
        <v>16218</v>
      </c>
      <c r="F1892" t="s">
        <v>16221</v>
      </c>
      <c r="G1892" t="s">
        <v>16249</v>
      </c>
      <c r="H1892" t="s">
        <v>16249</v>
      </c>
      <c r="I1892" t="s">
        <v>16325</v>
      </c>
      <c r="J1892" t="s">
        <v>16385</v>
      </c>
      <c r="K1892">
        <v>0.175</v>
      </c>
      <c r="L1892">
        <v>7603</v>
      </c>
      <c r="M1892">
        <v>2351</v>
      </c>
      <c r="N1892" t="s">
        <v>16393</v>
      </c>
      <c r="O1892" s="4">
        <v>47395</v>
      </c>
      <c r="P1892" s="4">
        <v>129756</v>
      </c>
      <c r="Q1892" s="4">
        <v>177151</v>
      </c>
      <c r="R1892" s="4">
        <v>531453</v>
      </c>
      <c r="S1892" t="s">
        <v>18240</v>
      </c>
      <c r="T1892" s="6">
        <v>44105</v>
      </c>
      <c r="U1892" s="4">
        <v>419900</v>
      </c>
      <c r="V1892" t="s">
        <v>23739</v>
      </c>
      <c r="W1892" t="s">
        <v>24622</v>
      </c>
      <c r="X1892" t="s">
        <v>3</v>
      </c>
      <c r="AA1892" s="5" t="str">
        <f>HYPERLINK("https://www.zillow.com/homes/7205-ONEILL-RD-DOWNERS-GROVE-IL-605163769_rb/","check listing")</f>
        <v>check listing</v>
      </c>
      <c r="AB1892" s="5" t="str">
        <f>HYPERLINK("https://propertylookup.dupagecounty.gov/Datalets/Datalet.aspx?UseSearch=no&amp;mode=sales&amp;pin=0930206029","sales record")</f>
        <v>sales record</v>
      </c>
      <c r="AC1892" t="s">
        <v>3</v>
      </c>
      <c r="AD1892">
        <v>41.756858</v>
      </c>
      <c r="AE1892">
        <v>-88.01436099999999</v>
      </c>
      <c r="AF1892" s="5" t="str">
        <f>HYPERLINK("https://www.google.com/maps/search/?api=1&amp;query=41.756858,-88.014361","map")</f>
        <v>map</v>
      </c>
    </row>
    <row r="1893" spans="1:32">
      <c r="A1893" t="s">
        <v>1943</v>
      </c>
      <c r="B1893" t="s">
        <v>9503</v>
      </c>
      <c r="C1893" t="s">
        <v>15361</v>
      </c>
      <c r="D1893" t="s">
        <v>16199</v>
      </c>
      <c r="E1893" t="s">
        <v>16218</v>
      </c>
      <c r="F1893" t="s">
        <v>16221</v>
      </c>
      <c r="G1893" t="s">
        <v>16249</v>
      </c>
      <c r="H1893" t="s">
        <v>16249</v>
      </c>
      <c r="I1893" t="s">
        <v>16325</v>
      </c>
      <c r="J1893" t="s">
        <v>16385</v>
      </c>
      <c r="K1893">
        <v>0.175</v>
      </c>
      <c r="L1893">
        <v>7603</v>
      </c>
      <c r="M1893">
        <v>1843</v>
      </c>
      <c r="N1893" t="s">
        <v>16393</v>
      </c>
      <c r="O1893" s="4">
        <v>47395</v>
      </c>
      <c r="P1893" s="4">
        <v>117749</v>
      </c>
      <c r="Q1893" s="4">
        <v>165144</v>
      </c>
      <c r="R1893" s="4">
        <v>495432</v>
      </c>
      <c r="S1893" t="s">
        <v>18241</v>
      </c>
      <c r="T1893" s="6">
        <v>43344</v>
      </c>
      <c r="U1893" s="4">
        <v>427000</v>
      </c>
      <c r="V1893" t="s">
        <v>23739</v>
      </c>
      <c r="W1893" t="s">
        <v>24623</v>
      </c>
      <c r="X1893" t="s">
        <v>3</v>
      </c>
      <c r="AA1893" s="5" t="str">
        <f>HYPERLINK("https://www.zillow.com/homes/7200-KIDWELL-RD-DOWNERS-GROVE-IL-605163764_rb/","check listing")</f>
        <v>check listing</v>
      </c>
      <c r="AB1893" s="5" t="str">
        <f>HYPERLINK("https://propertylookup.dupagecounty.gov/Datalets/Datalet.aspx?UseSearch=no&amp;mode=sales&amp;pin=0930206012","sales record")</f>
        <v>sales record</v>
      </c>
      <c r="AC1893" t="s">
        <v>3</v>
      </c>
      <c r="AD1893">
        <v>41.756865</v>
      </c>
      <c r="AE1893">
        <v>-88.013955</v>
      </c>
      <c r="AF1893" s="5" t="str">
        <f>HYPERLINK("https://www.google.com/maps/search/?api=1&amp;query=41.756865,-88.013955","map")</f>
        <v>map</v>
      </c>
    </row>
    <row r="1894" spans="1:32">
      <c r="A1894" t="s">
        <v>1944</v>
      </c>
      <c r="B1894" t="s">
        <v>9504</v>
      </c>
      <c r="C1894" t="s">
        <v>15254</v>
      </c>
      <c r="D1894" t="s">
        <v>16199</v>
      </c>
      <c r="E1894" t="s">
        <v>16218</v>
      </c>
      <c r="F1894" t="s">
        <v>16221</v>
      </c>
      <c r="G1894" t="s">
        <v>16249</v>
      </c>
      <c r="H1894" t="s">
        <v>16249</v>
      </c>
      <c r="I1894" t="s">
        <v>16325</v>
      </c>
      <c r="J1894" t="s">
        <v>16385</v>
      </c>
      <c r="K1894">
        <v>0.175</v>
      </c>
      <c r="L1894">
        <v>7603</v>
      </c>
      <c r="M1894">
        <v>2041</v>
      </c>
      <c r="N1894" t="s">
        <v>16393</v>
      </c>
      <c r="O1894" s="4">
        <v>47395</v>
      </c>
      <c r="P1894" s="4">
        <v>109850</v>
      </c>
      <c r="Q1894" s="4">
        <v>157245</v>
      </c>
      <c r="R1894" s="4">
        <v>471735</v>
      </c>
      <c r="S1894" t="s">
        <v>18242</v>
      </c>
      <c r="T1894" s="6">
        <v>37469</v>
      </c>
      <c r="U1894" s="4">
        <v>276000</v>
      </c>
      <c r="V1894" t="s">
        <v>23739</v>
      </c>
      <c r="W1894" t="s">
        <v>24624</v>
      </c>
      <c r="X1894" t="s">
        <v>3</v>
      </c>
      <c r="AA1894" s="5" t="str">
        <f>HYPERLINK("https://www.zillow.com/homes/7225-O-NEILL-RD-DOWNERS-GROVE-IL-60516_rb/","check listing")</f>
        <v>check listing</v>
      </c>
      <c r="AB1894" s="5" t="str">
        <f>HYPERLINK("https://propertylookup.dupagecounty.gov/Datalets/Datalet.aspx?UseSearch=no&amp;mode=sales&amp;pin=0930206024","sales record")</f>
        <v>sales record</v>
      </c>
      <c r="AC1894" t="s">
        <v>3</v>
      </c>
      <c r="AD1894">
        <v>41.755918</v>
      </c>
      <c r="AE1894">
        <v>-88.01433</v>
      </c>
      <c r="AF1894" s="5" t="str">
        <f>HYPERLINK("https://www.google.com/maps/search/?api=1&amp;query=41.755918,-88.01433","map")</f>
        <v>map</v>
      </c>
    </row>
    <row r="1895" spans="1:32">
      <c r="A1895" t="s">
        <v>1945</v>
      </c>
      <c r="B1895" t="s">
        <v>9505</v>
      </c>
      <c r="C1895" t="s">
        <v>15361</v>
      </c>
      <c r="D1895" t="s">
        <v>16199</v>
      </c>
      <c r="E1895" t="s">
        <v>16218</v>
      </c>
      <c r="F1895" t="s">
        <v>16221</v>
      </c>
      <c r="G1895" t="s">
        <v>16249</v>
      </c>
      <c r="H1895" t="s">
        <v>16249</v>
      </c>
      <c r="I1895" t="s">
        <v>16325</v>
      </c>
      <c r="J1895" t="s">
        <v>16385</v>
      </c>
      <c r="K1895">
        <v>0.175</v>
      </c>
      <c r="L1895">
        <v>7603</v>
      </c>
      <c r="M1895">
        <v>2257</v>
      </c>
      <c r="N1895" t="s">
        <v>16393</v>
      </c>
      <c r="O1895" s="4">
        <v>47395</v>
      </c>
      <c r="P1895" s="4">
        <v>104616</v>
      </c>
      <c r="Q1895" s="4">
        <v>152011</v>
      </c>
      <c r="R1895" s="4">
        <v>456033</v>
      </c>
      <c r="S1895" t="s">
        <v>18243</v>
      </c>
      <c r="T1895" s="6">
        <v>44013</v>
      </c>
      <c r="U1895" s="4">
        <v>359900</v>
      </c>
      <c r="V1895" t="s">
        <v>23739</v>
      </c>
      <c r="W1895" t="s">
        <v>24625</v>
      </c>
      <c r="X1895" t="s">
        <v>3</v>
      </c>
      <c r="AA1895" s="5" t="str">
        <f>HYPERLINK("https://www.zillow.com/homes/7212-KIDWELL-RD-DOWNERS-GROVE-IL-605163764_rb/","check listing")</f>
        <v>check listing</v>
      </c>
      <c r="AB1895" s="5" t="str">
        <f>HYPERLINK("https://propertylookup.dupagecounty.gov/Datalets/Datalet.aspx?UseSearch=no&amp;mode=sales&amp;pin=0930206015","sales record")</f>
        <v>sales record</v>
      </c>
      <c r="AC1895" t="s">
        <v>3</v>
      </c>
      <c r="AD1895">
        <v>41.756302</v>
      </c>
      <c r="AE1895">
        <v>-88.013936</v>
      </c>
      <c r="AF1895" s="5" t="str">
        <f>HYPERLINK("https://www.google.com/maps/search/?api=1&amp;query=41.756302,-88.013936","map")</f>
        <v>map</v>
      </c>
    </row>
    <row r="1896" spans="1:32">
      <c r="A1896" t="s">
        <v>1946</v>
      </c>
      <c r="B1896" t="s">
        <v>9506</v>
      </c>
      <c r="C1896" t="s">
        <v>15362</v>
      </c>
      <c r="D1896" t="s">
        <v>16199</v>
      </c>
      <c r="E1896" t="s">
        <v>16218</v>
      </c>
      <c r="F1896" t="s">
        <v>16221</v>
      </c>
      <c r="G1896" t="s">
        <v>16249</v>
      </c>
      <c r="H1896" t="s">
        <v>16249</v>
      </c>
      <c r="I1896" t="s">
        <v>16325</v>
      </c>
      <c r="J1896" t="s">
        <v>16385</v>
      </c>
      <c r="K1896">
        <v>0.175</v>
      </c>
      <c r="L1896">
        <v>7603</v>
      </c>
      <c r="M1896">
        <v>2079</v>
      </c>
      <c r="N1896" t="s">
        <v>16393</v>
      </c>
      <c r="O1896" s="4">
        <v>47395</v>
      </c>
      <c r="P1896" s="4">
        <v>105965</v>
      </c>
      <c r="Q1896" s="4">
        <v>153360</v>
      </c>
      <c r="R1896" s="4">
        <v>460080</v>
      </c>
      <c r="S1896" t="s">
        <v>18244</v>
      </c>
      <c r="T1896" s="6">
        <v>42917</v>
      </c>
      <c r="U1896" s="4">
        <v>411000</v>
      </c>
      <c r="V1896" t="s">
        <v>23739</v>
      </c>
      <c r="W1896" t="s">
        <v>24626</v>
      </c>
      <c r="X1896" t="s">
        <v>3</v>
      </c>
      <c r="AA1896" s="5" t="str">
        <f>HYPERLINK("https://www.zillow.com/homes/7228-KIDWELL-RD-DOWNERS-GROVE-IL-605163766_rb/","check listing")</f>
        <v>check listing</v>
      </c>
      <c r="AB1896" s="5" t="str">
        <f>HYPERLINK("https://propertylookup.dupagecounty.gov/Datalets/Datalet.aspx?UseSearch=no&amp;mode=sales&amp;pin=0930206019","sales record")</f>
        <v>sales record</v>
      </c>
      <c r="AC1896" t="s">
        <v>3</v>
      </c>
      <c r="AD1896">
        <v>41.75555</v>
      </c>
      <c r="AE1896">
        <v>-88.01391099999999</v>
      </c>
      <c r="AF1896" s="5" t="str">
        <f>HYPERLINK("https://www.google.com/maps/search/?api=1&amp;query=41.75555,-88.013911","map")</f>
        <v>map</v>
      </c>
    </row>
    <row r="1897" spans="1:32">
      <c r="A1897" t="s">
        <v>1947</v>
      </c>
      <c r="B1897" t="s">
        <v>9507</v>
      </c>
      <c r="C1897" t="s">
        <v>15254</v>
      </c>
      <c r="D1897" t="s">
        <v>16199</v>
      </c>
      <c r="E1897" t="s">
        <v>16218</v>
      </c>
      <c r="F1897" t="s">
        <v>16221</v>
      </c>
      <c r="G1897" t="s">
        <v>16249</v>
      </c>
      <c r="H1897" t="s">
        <v>16249</v>
      </c>
      <c r="I1897" t="s">
        <v>16325</v>
      </c>
      <c r="J1897" t="s">
        <v>16385</v>
      </c>
      <c r="K1897">
        <v>0.175</v>
      </c>
      <c r="L1897">
        <v>7603</v>
      </c>
      <c r="M1897">
        <v>1971</v>
      </c>
      <c r="N1897" t="s">
        <v>16393</v>
      </c>
      <c r="O1897" s="4">
        <v>47395</v>
      </c>
      <c r="P1897" s="4">
        <v>106387</v>
      </c>
      <c r="Q1897" s="4">
        <v>153782</v>
      </c>
      <c r="R1897" s="4">
        <v>461346</v>
      </c>
      <c r="S1897" t="s">
        <v>18245</v>
      </c>
      <c r="T1897" s="6">
        <v>31990</v>
      </c>
      <c r="U1897" s="4">
        <v>144114</v>
      </c>
      <c r="X1897" t="s">
        <v>3</v>
      </c>
      <c r="AA1897" s="5" t="str">
        <f>HYPERLINK("https://www.zillow.com/homes/7213-O-NEILL-RD-DOWNERS-GROVE-IL-60516_rb/","check listing")</f>
        <v>check listing</v>
      </c>
      <c r="AB1897" s="5" t="str">
        <f>HYPERLINK("https://propertylookup.dupagecounty.gov/Datalets/Datalet.aspx?UseSearch=no&amp;mode=sales&amp;pin=0930206027","sales record")</f>
        <v>sales record</v>
      </c>
      <c r="AC1897" t="s">
        <v>3</v>
      </c>
      <c r="AD1897">
        <v>41.756482</v>
      </c>
      <c r="AE1897">
        <v>-88.014349</v>
      </c>
      <c r="AF1897" s="5" t="str">
        <f>HYPERLINK("https://www.google.com/maps/search/?api=1&amp;query=41.756482,-88.014349","map")</f>
        <v>map</v>
      </c>
    </row>
    <row r="1898" spans="1:32">
      <c r="A1898" t="s">
        <v>1948</v>
      </c>
      <c r="B1898" t="s">
        <v>9508</v>
      </c>
      <c r="C1898" t="s">
        <v>15254</v>
      </c>
      <c r="D1898" t="s">
        <v>16199</v>
      </c>
      <c r="E1898" t="s">
        <v>16218</v>
      </c>
      <c r="F1898" t="s">
        <v>16221</v>
      </c>
      <c r="G1898" t="s">
        <v>16249</v>
      </c>
      <c r="H1898" t="s">
        <v>16249</v>
      </c>
      <c r="I1898" t="s">
        <v>16325</v>
      </c>
      <c r="J1898" t="s">
        <v>16385</v>
      </c>
      <c r="K1898">
        <v>0.174</v>
      </c>
      <c r="L1898">
        <v>7601</v>
      </c>
      <c r="M1898">
        <v>2070</v>
      </c>
      <c r="N1898" t="s">
        <v>16393</v>
      </c>
      <c r="O1898" s="4">
        <v>47395</v>
      </c>
      <c r="P1898" s="4">
        <v>110872</v>
      </c>
      <c r="Q1898" s="4">
        <v>158267</v>
      </c>
      <c r="R1898" s="4">
        <v>474801</v>
      </c>
      <c r="S1898" t="s">
        <v>18246</v>
      </c>
      <c r="T1898" s="6">
        <v>36526</v>
      </c>
      <c r="U1898" s="4">
        <v>240000</v>
      </c>
      <c r="V1898" t="s">
        <v>23740</v>
      </c>
      <c r="W1898" t="s">
        <v>24627</v>
      </c>
      <c r="X1898" t="s">
        <v>3</v>
      </c>
      <c r="AA1898" s="5" t="str">
        <f>HYPERLINK("https://www.zillow.com/homes/7233-O-NEILL-RD-DOWNERS-GROVE-IL-60516_rb/","check listing")</f>
        <v>check listing</v>
      </c>
      <c r="AB1898" s="5" t="str">
        <f>HYPERLINK("https://propertylookup.dupagecounty.gov/Datalets/Datalet.aspx?UseSearch=no&amp;mode=sales&amp;pin=0930206022","sales record")</f>
        <v>sales record</v>
      </c>
      <c r="AC1898" t="s">
        <v>3</v>
      </c>
      <c r="AD1898">
        <v>41.755542</v>
      </c>
      <c r="AE1898">
        <v>-88.01431700000001</v>
      </c>
      <c r="AF1898" s="5" t="str">
        <f>HYPERLINK("https://www.google.com/maps/search/?api=1&amp;query=41.755542,-88.014317","map")</f>
        <v>map</v>
      </c>
    </row>
    <row r="1899" spans="1:32">
      <c r="A1899" t="s">
        <v>1949</v>
      </c>
      <c r="B1899" t="s">
        <v>9509</v>
      </c>
      <c r="C1899" t="s">
        <v>15254</v>
      </c>
      <c r="D1899" t="s">
        <v>16199</v>
      </c>
      <c r="E1899" t="s">
        <v>16218</v>
      </c>
      <c r="F1899" t="s">
        <v>16221</v>
      </c>
      <c r="G1899" t="s">
        <v>16249</v>
      </c>
      <c r="H1899" t="s">
        <v>16249</v>
      </c>
      <c r="I1899" t="s">
        <v>16325</v>
      </c>
      <c r="J1899" t="s">
        <v>16385</v>
      </c>
      <c r="K1899">
        <v>0.174</v>
      </c>
      <c r="L1899">
        <v>7586</v>
      </c>
      <c r="M1899">
        <v>2242</v>
      </c>
      <c r="N1899" t="s">
        <v>16393</v>
      </c>
      <c r="O1899" s="4">
        <v>46023</v>
      </c>
      <c r="P1899" s="4">
        <v>102221</v>
      </c>
      <c r="Q1899" s="4">
        <v>148244</v>
      </c>
      <c r="R1899" s="4">
        <v>444732</v>
      </c>
      <c r="S1899" t="s">
        <v>18247</v>
      </c>
      <c r="T1899" s="6">
        <v>32994</v>
      </c>
      <c r="U1899" s="4">
        <v>162995</v>
      </c>
      <c r="X1899" t="s">
        <v>3</v>
      </c>
      <c r="AA1899" s="5" t="str">
        <f>HYPERLINK("https://www.zillow.com/homes/7233-KIDWELL-RD-DOWNERS-GROVE-IL-60516_rb/","check listing")</f>
        <v>check listing</v>
      </c>
      <c r="AB1899" s="5" t="str">
        <f>HYPERLINK("https://propertylookup.dupagecounty.gov/Datalets/Datalet.aspx?UseSearch=no&amp;mode=sales&amp;pin=0930209018","sales record")</f>
        <v>sales record</v>
      </c>
      <c r="AC1899" t="s">
        <v>3</v>
      </c>
      <c r="AD1899">
        <v>41.755486</v>
      </c>
      <c r="AE1899">
        <v>-88.01330799999999</v>
      </c>
      <c r="AF1899" s="5" t="str">
        <f>HYPERLINK("https://www.google.com/maps/search/?api=1&amp;query=41.755486,-88.013308","map")</f>
        <v>map</v>
      </c>
    </row>
    <row r="1900" spans="1:32">
      <c r="A1900" t="s">
        <v>1950</v>
      </c>
      <c r="B1900" t="s">
        <v>9510</v>
      </c>
      <c r="C1900" t="s">
        <v>15254</v>
      </c>
      <c r="D1900" t="s">
        <v>16199</v>
      </c>
      <c r="E1900" t="s">
        <v>16218</v>
      </c>
      <c r="F1900" t="s">
        <v>16221</v>
      </c>
      <c r="G1900" t="s">
        <v>16249</v>
      </c>
      <c r="H1900" t="s">
        <v>16249</v>
      </c>
      <c r="I1900" t="s">
        <v>16325</v>
      </c>
      <c r="J1900" t="s">
        <v>16385</v>
      </c>
      <c r="K1900">
        <v>0.174</v>
      </c>
      <c r="L1900">
        <v>7584</v>
      </c>
      <c r="M1900">
        <v>1806</v>
      </c>
      <c r="N1900" t="s">
        <v>16393</v>
      </c>
      <c r="O1900" s="4">
        <v>46023</v>
      </c>
      <c r="P1900" s="4">
        <v>112432</v>
      </c>
      <c r="Q1900" s="4">
        <v>158455</v>
      </c>
      <c r="R1900" s="4">
        <v>475365</v>
      </c>
      <c r="S1900" t="s">
        <v>18248</v>
      </c>
      <c r="T1900" s="6">
        <v>32843</v>
      </c>
      <c r="U1900" s="4">
        <v>165543</v>
      </c>
      <c r="X1900" t="s">
        <v>3</v>
      </c>
      <c r="AA1900" s="5" t="str">
        <f>HYPERLINK("https://www.zillow.com/homes/7229-KIDWELL-RD-DOWNERS-GROVE-IL-60516_rb/","check listing")</f>
        <v>check listing</v>
      </c>
      <c r="AB1900" s="5" t="str">
        <f>HYPERLINK("https://propertylookup.dupagecounty.gov/Datalets/Datalet.aspx?UseSearch=no&amp;mode=sales&amp;pin=0930209017","sales record")</f>
        <v>sales record</v>
      </c>
      <c r="AC1900" t="s">
        <v>3</v>
      </c>
      <c r="AD1900">
        <v>41.755665</v>
      </c>
      <c r="AE1900">
        <v>-88.01331399999999</v>
      </c>
      <c r="AF1900" s="5" t="str">
        <f>HYPERLINK("https://www.google.com/maps/search/?api=1&amp;query=41.755665,-88.013314","map")</f>
        <v>map</v>
      </c>
    </row>
    <row r="1901" spans="1:32">
      <c r="A1901" t="s">
        <v>1951</v>
      </c>
      <c r="B1901" t="s">
        <v>9511</v>
      </c>
      <c r="C1901" t="s">
        <v>15254</v>
      </c>
      <c r="D1901" t="s">
        <v>16199</v>
      </c>
      <c r="E1901" t="s">
        <v>16218</v>
      </c>
      <c r="F1901" t="s">
        <v>16221</v>
      </c>
      <c r="G1901" t="s">
        <v>16249</v>
      </c>
      <c r="H1901" t="s">
        <v>16249</v>
      </c>
      <c r="I1901" t="s">
        <v>16325</v>
      </c>
      <c r="J1901" t="s">
        <v>16385</v>
      </c>
      <c r="K1901">
        <v>0.174</v>
      </c>
      <c r="L1901">
        <v>7584</v>
      </c>
      <c r="M1901">
        <v>1652</v>
      </c>
      <c r="N1901" t="s">
        <v>16393</v>
      </c>
      <c r="O1901" s="4">
        <v>46023</v>
      </c>
      <c r="P1901" s="4">
        <v>106751</v>
      </c>
      <c r="Q1901" s="4">
        <v>152774</v>
      </c>
      <c r="R1901" s="4">
        <v>458322</v>
      </c>
      <c r="S1901" t="s">
        <v>18249</v>
      </c>
      <c r="T1901" s="6">
        <v>35735</v>
      </c>
      <c r="U1901" s="4">
        <v>182000</v>
      </c>
      <c r="X1901" t="s">
        <v>3</v>
      </c>
      <c r="AA1901" s="5" t="str">
        <f>HYPERLINK("https://www.zillow.com/homes/1208-KLEIN-AVE-DOWNERS-GROVE-IL-60516_rb/","check listing")</f>
        <v>check listing</v>
      </c>
      <c r="AB1901" s="5" t="str">
        <f>HYPERLINK("https://propertylookup.dupagecounty.gov/Datalets/Datalet.aspx?UseSearch=no&amp;mode=sales&amp;pin=0930209002","sales record")</f>
        <v>sales record</v>
      </c>
      <c r="AC1901" t="s">
        <v>3</v>
      </c>
      <c r="AD1901">
        <v>41.75807</v>
      </c>
      <c r="AE1901">
        <v>-88.014094</v>
      </c>
      <c r="AF1901" s="5" t="str">
        <f>HYPERLINK("https://www.google.com/maps/search/?api=1&amp;query=41.75807,-88.014094","map")</f>
        <v>map</v>
      </c>
    </row>
    <row r="1902" spans="1:32">
      <c r="A1902" t="s">
        <v>1952</v>
      </c>
      <c r="B1902" t="s">
        <v>9512</v>
      </c>
      <c r="C1902" t="s">
        <v>15254</v>
      </c>
      <c r="D1902" t="s">
        <v>16199</v>
      </c>
      <c r="E1902" t="s">
        <v>16218</v>
      </c>
      <c r="F1902" t="s">
        <v>16221</v>
      </c>
      <c r="G1902" t="s">
        <v>16249</v>
      </c>
      <c r="H1902" t="s">
        <v>16249</v>
      </c>
      <c r="I1902" t="s">
        <v>16325</v>
      </c>
      <c r="J1902" t="s">
        <v>16385</v>
      </c>
      <c r="K1902">
        <v>0.174</v>
      </c>
      <c r="L1902">
        <v>7579</v>
      </c>
      <c r="M1902">
        <v>2060</v>
      </c>
      <c r="N1902" t="s">
        <v>16393</v>
      </c>
      <c r="O1902" s="4">
        <v>46023</v>
      </c>
      <c r="P1902" s="4">
        <v>98664</v>
      </c>
      <c r="Q1902" s="4">
        <v>144687</v>
      </c>
      <c r="R1902" s="4">
        <v>434061</v>
      </c>
      <c r="S1902" t="s">
        <v>18250</v>
      </c>
      <c r="T1902" s="6">
        <v>41275</v>
      </c>
      <c r="U1902" s="4">
        <v>298500</v>
      </c>
      <c r="V1902" t="s">
        <v>23739</v>
      </c>
      <c r="W1902" t="s">
        <v>24628</v>
      </c>
      <c r="X1902" t="s">
        <v>3</v>
      </c>
      <c r="AA1902" s="5" t="str">
        <f>HYPERLINK("https://www.zillow.com/homes/7221-KIDWELL-RD-DOWNERS-GROVE-IL-60516_rb/","check listing")</f>
        <v>check listing</v>
      </c>
      <c r="AB1902" s="5" t="str">
        <f>HYPERLINK("https://propertylookup.dupagecounty.gov/Datalets/Datalet.aspx?UseSearch=no&amp;mode=sales&amp;pin=0930209015","sales record")</f>
        <v>sales record</v>
      </c>
      <c r="AC1902" t="s">
        <v>3</v>
      </c>
      <c r="AD1902">
        <v>41.756022</v>
      </c>
      <c r="AE1902">
        <v>-88.01332600000001</v>
      </c>
      <c r="AF1902" s="5" t="str">
        <f>HYPERLINK("https://www.google.com/maps/search/?api=1&amp;query=41.756022,-88.013326","map")</f>
        <v>map</v>
      </c>
    </row>
    <row r="1903" spans="1:32">
      <c r="A1903" t="s">
        <v>1953</v>
      </c>
      <c r="B1903" t="s">
        <v>9513</v>
      </c>
      <c r="C1903" t="s">
        <v>15254</v>
      </c>
      <c r="D1903" t="s">
        <v>16199</v>
      </c>
      <c r="E1903" t="s">
        <v>16218</v>
      </c>
      <c r="F1903" t="s">
        <v>16221</v>
      </c>
      <c r="G1903" t="s">
        <v>16249</v>
      </c>
      <c r="H1903" t="s">
        <v>16249</v>
      </c>
      <c r="I1903" t="s">
        <v>16325</v>
      </c>
      <c r="J1903" t="s">
        <v>16385</v>
      </c>
      <c r="K1903">
        <v>0.174</v>
      </c>
      <c r="L1903">
        <v>7578</v>
      </c>
      <c r="M1903">
        <v>1479</v>
      </c>
      <c r="N1903" t="s">
        <v>16393</v>
      </c>
      <c r="O1903" s="4">
        <v>47748</v>
      </c>
      <c r="P1903" s="4">
        <v>111974</v>
      </c>
      <c r="Q1903" s="4">
        <v>159722</v>
      </c>
      <c r="R1903" s="4">
        <v>479166</v>
      </c>
      <c r="S1903" t="s">
        <v>18251</v>
      </c>
      <c r="T1903" s="6">
        <v>43101</v>
      </c>
      <c r="U1903" s="4">
        <v>324500</v>
      </c>
      <c r="V1903" t="s">
        <v>23739</v>
      </c>
      <c r="W1903" t="s">
        <v>18251</v>
      </c>
      <c r="X1903" t="s">
        <v>3</v>
      </c>
      <c r="AA1903" s="5" t="str">
        <f>HYPERLINK("https://www.zillow.com/homes/7225-BATEMAN-ST-DOWNERS-GROVE-IL-60516_rb/","check listing")</f>
        <v>check listing</v>
      </c>
      <c r="AB1903" s="5" t="str">
        <f>HYPERLINK("https://propertylookup.dupagecounty.gov/Datalets/Datalet.aspx?UseSearch=no&amp;mode=sales&amp;pin=0930207017","sales record")</f>
        <v>sales record</v>
      </c>
      <c r="AC1903" t="s">
        <v>3</v>
      </c>
      <c r="AD1903">
        <v>41.755874</v>
      </c>
      <c r="AE1903">
        <v>-88.01532400000001</v>
      </c>
      <c r="AF1903" s="5" t="str">
        <f>HYPERLINK("https://www.google.com/maps/search/?api=1&amp;query=41.755874,-88.015324","map")</f>
        <v>map</v>
      </c>
    </row>
    <row r="1904" spans="1:32">
      <c r="A1904" t="s">
        <v>1954</v>
      </c>
      <c r="B1904" t="s">
        <v>9514</v>
      </c>
      <c r="C1904" t="s">
        <v>15363</v>
      </c>
      <c r="D1904" t="s">
        <v>16199</v>
      </c>
      <c r="E1904" t="s">
        <v>16218</v>
      </c>
      <c r="F1904" t="s">
        <v>16221</v>
      </c>
      <c r="G1904" t="s">
        <v>16249</v>
      </c>
      <c r="H1904" t="s">
        <v>16249</v>
      </c>
      <c r="I1904" t="s">
        <v>16325</v>
      </c>
      <c r="J1904" t="s">
        <v>16385</v>
      </c>
      <c r="K1904">
        <v>0.174</v>
      </c>
      <c r="L1904">
        <v>7577</v>
      </c>
      <c r="M1904">
        <v>2061</v>
      </c>
      <c r="N1904" t="s">
        <v>16393</v>
      </c>
      <c r="O1904" s="4">
        <v>46023</v>
      </c>
      <c r="P1904" s="4">
        <v>107022</v>
      </c>
      <c r="Q1904" s="4">
        <v>153045</v>
      </c>
      <c r="R1904" s="4">
        <v>459135</v>
      </c>
      <c r="S1904" t="s">
        <v>18252</v>
      </c>
      <c r="T1904" s="6">
        <v>40575</v>
      </c>
      <c r="U1904" s="4">
        <v>81644</v>
      </c>
      <c r="V1904" t="s">
        <v>23742</v>
      </c>
      <c r="W1904" t="s">
        <v>24629</v>
      </c>
      <c r="X1904" t="s">
        <v>3</v>
      </c>
      <c r="AA1904" s="5" t="str">
        <f>HYPERLINK("https://www.zillow.com/homes/7225-KIDWELL-RD-DOWNERS-GROVE-IL-605163767_rb/","check listing")</f>
        <v>check listing</v>
      </c>
      <c r="AB1904" s="5" t="str">
        <f>HYPERLINK("https://propertylookup.dupagecounty.gov/Datalets/Datalet.aspx?UseSearch=no&amp;mode=sales&amp;pin=0930209016","sales record")</f>
        <v>sales record</v>
      </c>
      <c r="AC1904" t="s">
        <v>3</v>
      </c>
      <c r="AD1904">
        <v>41.755843</v>
      </c>
      <c r="AE1904">
        <v>-88.01331999999999</v>
      </c>
      <c r="AF1904" s="5" t="str">
        <f>HYPERLINK("https://www.google.com/maps/search/?api=1&amp;query=41.755843,-88.01332","map")</f>
        <v>map</v>
      </c>
    </row>
    <row r="1905" spans="1:32">
      <c r="A1905" t="s">
        <v>1955</v>
      </c>
      <c r="B1905" t="s">
        <v>9515</v>
      </c>
      <c r="C1905" t="s">
        <v>15254</v>
      </c>
      <c r="D1905" t="s">
        <v>16199</v>
      </c>
      <c r="E1905" t="s">
        <v>16218</v>
      </c>
      <c r="F1905" t="s">
        <v>16221</v>
      </c>
      <c r="G1905" t="s">
        <v>16249</v>
      </c>
      <c r="H1905" t="s">
        <v>16249</v>
      </c>
      <c r="I1905" t="s">
        <v>16325</v>
      </c>
      <c r="J1905" t="s">
        <v>16385</v>
      </c>
      <c r="K1905">
        <v>0.174</v>
      </c>
      <c r="L1905">
        <v>7572</v>
      </c>
      <c r="M1905">
        <v>1631</v>
      </c>
      <c r="N1905" t="s">
        <v>16393</v>
      </c>
      <c r="O1905" s="4">
        <v>46023</v>
      </c>
      <c r="P1905" s="4">
        <v>112221</v>
      </c>
      <c r="Q1905" s="4">
        <v>158244</v>
      </c>
      <c r="R1905" s="4">
        <v>474732</v>
      </c>
      <c r="S1905" t="s">
        <v>18253</v>
      </c>
      <c r="T1905" s="6">
        <v>34669</v>
      </c>
      <c r="U1905" s="4">
        <v>203450</v>
      </c>
      <c r="X1905" t="s">
        <v>3</v>
      </c>
      <c r="AA1905" s="5" t="str">
        <f>HYPERLINK("https://www.zillow.com/homes/7217-KIDWELL-RD-DOWNERS-GROVE-IL-60516_rb/","check listing")</f>
        <v>check listing</v>
      </c>
      <c r="AB1905" s="5" t="str">
        <f>HYPERLINK("https://propertylookup.dupagecounty.gov/Datalets/Datalet.aspx?UseSearch=no&amp;mode=sales&amp;pin=0930209014","sales record")</f>
        <v>sales record</v>
      </c>
      <c r="AC1905" t="s">
        <v>3</v>
      </c>
      <c r="AD1905">
        <v>41.7562</v>
      </c>
      <c r="AE1905">
        <v>-88.01333200000001</v>
      </c>
      <c r="AF1905" s="5" t="str">
        <f>HYPERLINK("https://www.google.com/maps/search/?api=1&amp;query=41.7562,-88.013332","map")</f>
        <v>map</v>
      </c>
    </row>
    <row r="1906" spans="1:32">
      <c r="A1906" t="s">
        <v>1956</v>
      </c>
      <c r="B1906" t="s">
        <v>9516</v>
      </c>
      <c r="C1906" t="s">
        <v>15254</v>
      </c>
      <c r="D1906" t="s">
        <v>16199</v>
      </c>
      <c r="E1906" t="s">
        <v>16218</v>
      </c>
      <c r="F1906" t="s">
        <v>16221</v>
      </c>
      <c r="G1906" t="s">
        <v>16249</v>
      </c>
      <c r="H1906" t="s">
        <v>16249</v>
      </c>
      <c r="I1906" t="s">
        <v>16325</v>
      </c>
      <c r="J1906" t="s">
        <v>16385</v>
      </c>
      <c r="K1906">
        <v>0.174</v>
      </c>
      <c r="L1906">
        <v>7571</v>
      </c>
      <c r="M1906">
        <v>2138</v>
      </c>
      <c r="N1906" t="s">
        <v>16393</v>
      </c>
      <c r="O1906" s="4">
        <v>46023</v>
      </c>
      <c r="P1906" s="4">
        <v>108887</v>
      </c>
      <c r="Q1906" s="4">
        <v>154910</v>
      </c>
      <c r="R1906" s="4">
        <v>464730</v>
      </c>
      <c r="S1906" t="s">
        <v>18254</v>
      </c>
      <c r="T1906" s="6">
        <v>42370</v>
      </c>
      <c r="U1906" s="4">
        <v>333000</v>
      </c>
      <c r="V1906" t="s">
        <v>23739</v>
      </c>
      <c r="W1906" t="s">
        <v>24630</v>
      </c>
      <c r="X1906" t="s">
        <v>3</v>
      </c>
      <c r="AA1906" s="5" t="str">
        <f>HYPERLINK("https://www.zillow.com/homes/7213-KIDWELL-RD-DOWNERS-GROVE-IL-60516_rb/","check listing")</f>
        <v>check listing</v>
      </c>
      <c r="AB1906" s="5" t="str">
        <f>HYPERLINK("https://propertylookup.dupagecounty.gov/Datalets/Datalet.aspx?UseSearch=no&amp;mode=sales&amp;pin=0930209013","sales record")</f>
        <v>sales record</v>
      </c>
      <c r="AC1906" t="s">
        <v>3</v>
      </c>
      <c r="AD1906">
        <v>41.756379</v>
      </c>
      <c r="AE1906">
        <v>-88.013338</v>
      </c>
      <c r="AF1906" s="5" t="str">
        <f>HYPERLINK("https://www.google.com/maps/search/?api=1&amp;query=41.756379,-88.013338","map")</f>
        <v>map</v>
      </c>
    </row>
    <row r="1907" spans="1:32">
      <c r="A1907" t="s">
        <v>1957</v>
      </c>
      <c r="B1907" t="s">
        <v>9517</v>
      </c>
      <c r="C1907" t="s">
        <v>15254</v>
      </c>
      <c r="D1907" t="s">
        <v>16199</v>
      </c>
      <c r="E1907" t="s">
        <v>16218</v>
      </c>
      <c r="F1907" t="s">
        <v>16221</v>
      </c>
      <c r="G1907" t="s">
        <v>16249</v>
      </c>
      <c r="H1907" t="s">
        <v>16249</v>
      </c>
      <c r="I1907" t="s">
        <v>16325</v>
      </c>
      <c r="J1907" t="s">
        <v>16385</v>
      </c>
      <c r="K1907">
        <v>0.174</v>
      </c>
      <c r="L1907">
        <v>7565</v>
      </c>
      <c r="M1907">
        <v>2099</v>
      </c>
      <c r="N1907" t="s">
        <v>16393</v>
      </c>
      <c r="O1907" s="4">
        <v>46023</v>
      </c>
      <c r="P1907" s="4">
        <v>120309</v>
      </c>
      <c r="Q1907" s="4">
        <v>166332</v>
      </c>
      <c r="R1907" s="4">
        <v>498996</v>
      </c>
      <c r="S1907" t="s">
        <v>18255</v>
      </c>
      <c r="T1907" s="6">
        <v>32082</v>
      </c>
      <c r="U1907" s="4">
        <v>151388</v>
      </c>
      <c r="X1907" t="s">
        <v>3</v>
      </c>
      <c r="AA1907" s="5" t="str">
        <f>HYPERLINK("https://www.zillow.com/homes/7209-KIDWELL-RD-DOWNERS-GROVE-IL-60516_rb/","check listing")</f>
        <v>check listing</v>
      </c>
      <c r="AB1907" s="5" t="str">
        <f>HYPERLINK("https://propertylookup.dupagecounty.gov/Datalets/Datalet.aspx?UseSearch=no&amp;mode=sales&amp;pin=0930209012","sales record")</f>
        <v>sales record</v>
      </c>
      <c r="AC1907" t="s">
        <v>3</v>
      </c>
      <c r="AD1907">
        <v>41.756557</v>
      </c>
      <c r="AE1907">
        <v>-88.013344</v>
      </c>
      <c r="AF1907" s="5" t="str">
        <f>HYPERLINK("https://www.google.com/maps/search/?api=1&amp;query=41.756557,-88.013344","map")</f>
        <v>map</v>
      </c>
    </row>
    <row r="1908" spans="1:32">
      <c r="A1908" t="s">
        <v>1958</v>
      </c>
      <c r="B1908" t="s">
        <v>9518</v>
      </c>
      <c r="C1908" t="s">
        <v>15254</v>
      </c>
      <c r="D1908" t="s">
        <v>16199</v>
      </c>
      <c r="E1908" t="s">
        <v>16218</v>
      </c>
      <c r="F1908" t="s">
        <v>16221</v>
      </c>
      <c r="G1908" t="s">
        <v>16249</v>
      </c>
      <c r="H1908" t="s">
        <v>16249</v>
      </c>
      <c r="I1908" t="s">
        <v>16325</v>
      </c>
      <c r="J1908" t="s">
        <v>16385</v>
      </c>
      <c r="K1908">
        <v>0.174</v>
      </c>
      <c r="L1908">
        <v>7564</v>
      </c>
      <c r="M1908">
        <v>1704</v>
      </c>
      <c r="N1908" t="s">
        <v>16393</v>
      </c>
      <c r="O1908" s="4">
        <v>46023</v>
      </c>
      <c r="P1908" s="4">
        <v>115155</v>
      </c>
      <c r="Q1908" s="4">
        <v>161178</v>
      </c>
      <c r="R1908" s="4">
        <v>483534</v>
      </c>
      <c r="S1908" t="s">
        <v>18256</v>
      </c>
      <c r="T1908" s="6">
        <v>45960</v>
      </c>
      <c r="U1908" s="4">
        <v>630000</v>
      </c>
      <c r="V1908" t="s">
        <v>23739</v>
      </c>
      <c r="W1908" t="s">
        <v>24631</v>
      </c>
      <c r="X1908" t="s">
        <v>3</v>
      </c>
      <c r="AA1908" s="5" t="str">
        <f>HYPERLINK("https://www.zillow.com/homes/7205-KIDWELL-RD-DOWNERS-GROVE-IL-60516_rb/","check listing")</f>
        <v>check listing</v>
      </c>
      <c r="AB1908" s="5" t="str">
        <f>HYPERLINK("https://propertylookup.dupagecounty.gov/Datalets/Datalet.aspx?UseSearch=no&amp;mode=sales&amp;pin=0930209011","sales record")</f>
        <v>sales record</v>
      </c>
      <c r="AC1908" t="s">
        <v>3</v>
      </c>
      <c r="AD1908">
        <v>41.756735</v>
      </c>
      <c r="AE1908">
        <v>-88.01335</v>
      </c>
      <c r="AF1908" s="5" t="str">
        <f>HYPERLINK("https://www.google.com/maps/search/?api=1&amp;query=41.756735,-88.01335","map")</f>
        <v>map</v>
      </c>
    </row>
    <row r="1909" spans="1:32">
      <c r="A1909" t="s">
        <v>1959</v>
      </c>
      <c r="B1909" t="s">
        <v>9519</v>
      </c>
      <c r="C1909" t="s">
        <v>15254</v>
      </c>
      <c r="D1909" t="s">
        <v>16199</v>
      </c>
      <c r="E1909" t="s">
        <v>16218</v>
      </c>
      <c r="F1909" t="s">
        <v>16221</v>
      </c>
      <c r="G1909" t="s">
        <v>16249</v>
      </c>
      <c r="H1909" t="s">
        <v>16249</v>
      </c>
      <c r="I1909" t="s">
        <v>16325</v>
      </c>
      <c r="J1909" t="s">
        <v>16385</v>
      </c>
      <c r="K1909">
        <v>0.174</v>
      </c>
      <c r="L1909">
        <v>7560</v>
      </c>
      <c r="M1909">
        <v>2110</v>
      </c>
      <c r="N1909" t="s">
        <v>16393</v>
      </c>
      <c r="O1909" s="4">
        <v>46023</v>
      </c>
      <c r="P1909" s="4">
        <v>101235</v>
      </c>
      <c r="Q1909" s="4">
        <v>147258</v>
      </c>
      <c r="R1909" s="4">
        <v>441774</v>
      </c>
      <c r="S1909" t="s">
        <v>18257</v>
      </c>
      <c r="T1909" s="6">
        <v>43983</v>
      </c>
      <c r="U1909" s="4">
        <v>355000</v>
      </c>
      <c r="V1909" t="s">
        <v>23739</v>
      </c>
      <c r="W1909" t="s">
        <v>24632</v>
      </c>
      <c r="X1909" t="s">
        <v>3</v>
      </c>
      <c r="AA1909" s="5" t="str">
        <f>HYPERLINK("https://www.zillow.com/homes/7201-KIDWELL-RD-DOWNERS-GROVE-IL-60516_rb/","check listing")</f>
        <v>check listing</v>
      </c>
      <c r="AB1909" s="5" t="str">
        <f>HYPERLINK("https://propertylookup.dupagecounty.gov/Datalets/Datalet.aspx?UseSearch=no&amp;mode=sales&amp;pin=0930209010","sales record")</f>
        <v>sales record</v>
      </c>
      <c r="AC1909" t="s">
        <v>3</v>
      </c>
      <c r="AD1909">
        <v>41.756914</v>
      </c>
      <c r="AE1909">
        <v>-88.013356</v>
      </c>
      <c r="AF1909" s="5" t="str">
        <f>HYPERLINK("https://www.google.com/maps/search/?api=1&amp;query=41.756914,-88.013356","map")</f>
        <v>map</v>
      </c>
    </row>
    <row r="1910" spans="1:32">
      <c r="A1910" t="s">
        <v>1960</v>
      </c>
      <c r="B1910" t="s">
        <v>9520</v>
      </c>
      <c r="C1910" t="s">
        <v>15254</v>
      </c>
      <c r="D1910" t="s">
        <v>16199</v>
      </c>
      <c r="E1910" t="s">
        <v>16218</v>
      </c>
      <c r="F1910" t="s">
        <v>16221</v>
      </c>
      <c r="G1910" t="s">
        <v>16249</v>
      </c>
      <c r="H1910" t="s">
        <v>16249</v>
      </c>
      <c r="I1910" t="s">
        <v>16325</v>
      </c>
      <c r="J1910" t="s">
        <v>16385</v>
      </c>
      <c r="K1910">
        <v>0.174</v>
      </c>
      <c r="L1910">
        <v>7560</v>
      </c>
      <c r="M1910">
        <v>2565</v>
      </c>
      <c r="N1910" t="s">
        <v>16393</v>
      </c>
      <c r="O1910" s="4">
        <v>46023</v>
      </c>
      <c r="P1910" s="4">
        <v>120237</v>
      </c>
      <c r="Q1910" s="4">
        <v>166260</v>
      </c>
      <c r="R1910" s="4">
        <v>498780</v>
      </c>
      <c r="S1910" t="s">
        <v>18258</v>
      </c>
      <c r="T1910" s="6">
        <v>38231</v>
      </c>
      <c r="U1910" s="4">
        <v>346000</v>
      </c>
      <c r="V1910" t="s">
        <v>23739</v>
      </c>
      <c r="W1910" t="s">
        <v>24633</v>
      </c>
      <c r="X1910" t="s">
        <v>3</v>
      </c>
      <c r="AA1910" s="5" t="str">
        <f>HYPERLINK("https://www.zillow.com/homes/1305-HAWKINS-AVE-DOWNERS-GROVE-IL-60516_rb/","check listing")</f>
        <v>check listing</v>
      </c>
      <c r="AB1910" s="5" t="str">
        <f>HYPERLINK("https://propertylookup.dupagecounty.gov/Datalets/Datalet.aspx?UseSearch=no&amp;mode=sales&amp;pin=0930204044","sales record")</f>
        <v>sales record</v>
      </c>
      <c r="AC1910" t="s">
        <v>3</v>
      </c>
      <c r="AD1910">
        <v>41.754896</v>
      </c>
      <c r="AE1910">
        <v>-88.015086</v>
      </c>
      <c r="AF1910" s="5" t="str">
        <f>HYPERLINK("https://www.google.com/maps/search/?api=1&amp;query=41.754896,-88.015086","map")</f>
        <v>map</v>
      </c>
    </row>
    <row r="1911" spans="1:32">
      <c r="A1911" t="s">
        <v>1961</v>
      </c>
      <c r="B1911" t="s">
        <v>9521</v>
      </c>
      <c r="C1911" t="s">
        <v>15254</v>
      </c>
      <c r="D1911" t="s">
        <v>16199</v>
      </c>
      <c r="E1911" t="s">
        <v>16218</v>
      </c>
      <c r="F1911" t="s">
        <v>16221</v>
      </c>
      <c r="G1911" t="s">
        <v>16249</v>
      </c>
      <c r="H1911" t="s">
        <v>16249</v>
      </c>
      <c r="I1911" t="s">
        <v>16325</v>
      </c>
      <c r="J1911" t="s">
        <v>16385</v>
      </c>
      <c r="K1911">
        <v>0.173</v>
      </c>
      <c r="L1911">
        <v>7555</v>
      </c>
      <c r="M1911">
        <v>2015</v>
      </c>
      <c r="N1911" t="s">
        <v>16393</v>
      </c>
      <c r="O1911" s="4">
        <v>43616</v>
      </c>
      <c r="P1911" s="4">
        <v>103699</v>
      </c>
      <c r="Q1911" s="4">
        <v>147315</v>
      </c>
      <c r="R1911" s="4">
        <v>441945</v>
      </c>
      <c r="S1911" t="s">
        <v>18259</v>
      </c>
      <c r="T1911" s="6">
        <v>32051</v>
      </c>
      <c r="U1911" s="4">
        <v>133440</v>
      </c>
      <c r="X1911" t="s">
        <v>3</v>
      </c>
      <c r="AA1911" s="5" t="str">
        <f>HYPERLINK("https://www.zillow.com/homes/7121-KIDWELL-RD-DOWNERS-GROVE-IL-60516_rb/","check listing")</f>
        <v>check listing</v>
      </c>
      <c r="AB1911" s="5" t="str">
        <f>HYPERLINK("https://propertylookup.dupagecounty.gov/Datalets/Datalet.aspx?UseSearch=no&amp;mode=sales&amp;pin=0930209009","sales record")</f>
        <v>sales record</v>
      </c>
      <c r="AC1911" t="s">
        <v>3</v>
      </c>
      <c r="AD1911">
        <v>41.757092</v>
      </c>
      <c r="AE1911">
        <v>-88.013363</v>
      </c>
      <c r="AF1911" s="5" t="str">
        <f>HYPERLINK("https://www.google.com/maps/search/?api=1&amp;query=41.757092,-88.013363","map")</f>
        <v>map</v>
      </c>
    </row>
    <row r="1912" spans="1:32">
      <c r="A1912" t="s">
        <v>1962</v>
      </c>
      <c r="B1912" t="s">
        <v>9522</v>
      </c>
      <c r="C1912" t="s">
        <v>15254</v>
      </c>
      <c r="D1912" t="s">
        <v>16199</v>
      </c>
      <c r="E1912" t="s">
        <v>16218</v>
      </c>
      <c r="F1912" t="s">
        <v>16221</v>
      </c>
      <c r="G1912" t="s">
        <v>16249</v>
      </c>
      <c r="H1912" t="s">
        <v>16249</v>
      </c>
      <c r="I1912" t="s">
        <v>16325</v>
      </c>
      <c r="J1912" t="s">
        <v>16385</v>
      </c>
      <c r="K1912">
        <v>0.173</v>
      </c>
      <c r="L1912">
        <v>7554</v>
      </c>
      <c r="M1912">
        <v>2030</v>
      </c>
      <c r="N1912" t="s">
        <v>16393</v>
      </c>
      <c r="O1912" s="4">
        <v>43616</v>
      </c>
      <c r="P1912" s="4">
        <v>82244</v>
      </c>
      <c r="Q1912" s="4">
        <v>125860</v>
      </c>
      <c r="R1912" s="4">
        <v>377580</v>
      </c>
      <c r="S1912" t="s">
        <v>18260</v>
      </c>
      <c r="T1912" s="6">
        <v>36739</v>
      </c>
      <c r="U1912" s="4">
        <v>204000</v>
      </c>
      <c r="V1912" t="s">
        <v>23739</v>
      </c>
      <c r="W1912" t="s">
        <v>24634</v>
      </c>
      <c r="X1912" t="s">
        <v>3</v>
      </c>
      <c r="AA1912" s="5" t="str">
        <f>HYPERLINK("https://www.zillow.com/homes/7117-KIDWELL-RD-DOWNERS-GROVE-IL-60516_rb/","check listing")</f>
        <v>check listing</v>
      </c>
      <c r="AB1912" s="5" t="str">
        <f>HYPERLINK("https://propertylookup.dupagecounty.gov/Datalets/Datalet.aspx?UseSearch=no&amp;mode=sales&amp;pin=0930209008","sales record")</f>
        <v>sales record</v>
      </c>
      <c r="AC1912" t="s">
        <v>3</v>
      </c>
      <c r="AD1912">
        <v>41.757271</v>
      </c>
      <c r="AE1912">
        <v>-88.013369</v>
      </c>
      <c r="AF1912" s="5" t="str">
        <f>HYPERLINK("https://www.google.com/maps/search/?api=1&amp;query=41.757271,-88.013369","map")</f>
        <v>map</v>
      </c>
    </row>
    <row r="1913" spans="1:32">
      <c r="A1913" t="s">
        <v>1963</v>
      </c>
      <c r="B1913" t="s">
        <v>9523</v>
      </c>
      <c r="C1913" t="s">
        <v>15254</v>
      </c>
      <c r="D1913" t="s">
        <v>16199</v>
      </c>
      <c r="E1913" t="s">
        <v>16218</v>
      </c>
      <c r="F1913" t="s">
        <v>16221</v>
      </c>
      <c r="G1913" t="s">
        <v>16249</v>
      </c>
      <c r="H1913" t="s">
        <v>16249</v>
      </c>
      <c r="I1913" t="s">
        <v>16325</v>
      </c>
      <c r="J1913" t="s">
        <v>16385</v>
      </c>
      <c r="K1913">
        <v>0.173</v>
      </c>
      <c r="L1913">
        <v>7554</v>
      </c>
      <c r="M1913">
        <v>2015</v>
      </c>
      <c r="N1913" t="s">
        <v>16393</v>
      </c>
      <c r="O1913" s="4">
        <v>46023</v>
      </c>
      <c r="P1913" s="4">
        <v>116000</v>
      </c>
      <c r="Q1913" s="4">
        <v>162023</v>
      </c>
      <c r="R1913" s="4">
        <v>486069</v>
      </c>
      <c r="S1913" t="s">
        <v>18261</v>
      </c>
      <c r="T1913" s="6">
        <v>37803</v>
      </c>
      <c r="U1913" s="4">
        <v>317000</v>
      </c>
      <c r="V1913" t="s">
        <v>23739</v>
      </c>
      <c r="W1913" t="s">
        <v>24635</v>
      </c>
      <c r="X1913" t="s">
        <v>3</v>
      </c>
      <c r="AA1913" s="5" t="str">
        <f>HYPERLINK("https://www.zillow.com/homes/1301-HAWKINS-AVE-DOWNERS-GROVE-IL-60516_rb/","check listing")</f>
        <v>check listing</v>
      </c>
      <c r="AB1913" s="5" t="str">
        <f>HYPERLINK("https://propertylookup.dupagecounty.gov/Datalets/Datalet.aspx?UseSearch=no&amp;mode=sales&amp;pin=0930209026","sales record")</f>
        <v>sales record</v>
      </c>
      <c r="AC1913" t="s">
        <v>3</v>
      </c>
      <c r="AD1913">
        <v>41.754901</v>
      </c>
      <c r="AE1913">
        <v>-88.014848</v>
      </c>
      <c r="AF1913" s="5" t="str">
        <f>HYPERLINK("https://www.google.com/maps/search/?api=1&amp;query=41.754901,-88.014848","map")</f>
        <v>map</v>
      </c>
    </row>
    <row r="1914" spans="1:32">
      <c r="A1914" t="s">
        <v>1964</v>
      </c>
      <c r="B1914" t="s">
        <v>9524</v>
      </c>
      <c r="C1914" t="s">
        <v>15254</v>
      </c>
      <c r="D1914" t="s">
        <v>16199</v>
      </c>
      <c r="E1914" t="s">
        <v>16218</v>
      </c>
      <c r="F1914" t="s">
        <v>16221</v>
      </c>
      <c r="G1914" t="s">
        <v>16249</v>
      </c>
      <c r="H1914" t="s">
        <v>16249</v>
      </c>
      <c r="I1914" t="s">
        <v>16325</v>
      </c>
      <c r="J1914" t="s">
        <v>16385</v>
      </c>
      <c r="K1914">
        <v>0.173</v>
      </c>
      <c r="L1914">
        <v>7550</v>
      </c>
      <c r="M1914">
        <v>1887</v>
      </c>
      <c r="N1914" t="s">
        <v>16393</v>
      </c>
      <c r="O1914" s="4">
        <v>46023</v>
      </c>
      <c r="P1914" s="4">
        <v>124053</v>
      </c>
      <c r="Q1914" s="4">
        <v>170076</v>
      </c>
      <c r="R1914" s="4">
        <v>510228</v>
      </c>
      <c r="S1914" t="s">
        <v>18262</v>
      </c>
      <c r="T1914" s="6">
        <v>41609</v>
      </c>
      <c r="U1914" s="4">
        <v>363000</v>
      </c>
      <c r="V1914" t="s">
        <v>23739</v>
      </c>
      <c r="W1914" t="s">
        <v>24636</v>
      </c>
      <c r="X1914" t="s">
        <v>3</v>
      </c>
      <c r="AA1914" s="5" t="str">
        <f>HYPERLINK("https://www.zillow.com/homes/1217-HAWKINS-AVE-DOWNERS-GROVE-IL-60516_rb/","check listing")</f>
        <v>check listing</v>
      </c>
      <c r="AB1914" s="5" t="str">
        <f>HYPERLINK("https://propertylookup.dupagecounty.gov/Datalets/Datalet.aspx?UseSearch=no&amp;mode=sales&amp;pin=0930209025","sales record")</f>
        <v>sales record</v>
      </c>
      <c r="AC1914" t="s">
        <v>3</v>
      </c>
      <c r="AD1914">
        <v>41.754905</v>
      </c>
      <c r="AE1914">
        <v>-88.01461</v>
      </c>
      <c r="AF1914" s="5" t="str">
        <f>HYPERLINK("https://www.google.com/maps/search/?api=1&amp;query=41.754905,-88.01461","map")</f>
        <v>map</v>
      </c>
    </row>
    <row r="1915" spans="1:32">
      <c r="A1915" t="s">
        <v>1965</v>
      </c>
      <c r="B1915" t="s">
        <v>9525</v>
      </c>
      <c r="C1915" t="s">
        <v>15254</v>
      </c>
      <c r="D1915" t="s">
        <v>16199</v>
      </c>
      <c r="E1915" t="s">
        <v>16218</v>
      </c>
      <c r="F1915" t="s">
        <v>16221</v>
      </c>
      <c r="G1915" t="s">
        <v>16249</v>
      </c>
      <c r="H1915" t="s">
        <v>16249</v>
      </c>
      <c r="I1915" t="s">
        <v>16325</v>
      </c>
      <c r="J1915" t="s">
        <v>16385</v>
      </c>
      <c r="K1915">
        <v>0.173</v>
      </c>
      <c r="L1915">
        <v>7550</v>
      </c>
      <c r="M1915">
        <v>2171</v>
      </c>
      <c r="N1915" t="s">
        <v>16393</v>
      </c>
      <c r="O1915" s="4">
        <v>46023</v>
      </c>
      <c r="P1915" s="4">
        <v>92854</v>
      </c>
      <c r="Q1915" s="4">
        <v>138877</v>
      </c>
      <c r="R1915" s="4">
        <v>416631</v>
      </c>
      <c r="S1915" t="s">
        <v>18263</v>
      </c>
      <c r="T1915" s="6">
        <v>31990</v>
      </c>
      <c r="U1915" s="4">
        <v>119975</v>
      </c>
      <c r="X1915" t="s">
        <v>3</v>
      </c>
      <c r="AA1915" s="5" t="str">
        <f>HYPERLINK("https://www.zillow.com/homes/7113-KIDWELL-RD-DOWNERS-GROVE-IL-60516_rb/","check listing")</f>
        <v>check listing</v>
      </c>
      <c r="AB1915" s="5" t="str">
        <f>HYPERLINK("https://propertylookup.dupagecounty.gov/Datalets/Datalet.aspx?UseSearch=no&amp;mode=sales&amp;pin=0930209007","sales record")</f>
        <v>sales record</v>
      </c>
      <c r="AC1915" t="s">
        <v>3</v>
      </c>
      <c r="AD1915">
        <v>41.757449</v>
      </c>
      <c r="AE1915">
        <v>-88.013375</v>
      </c>
      <c r="AF1915" s="5" t="str">
        <f>HYPERLINK("https://www.google.com/maps/search/?api=1&amp;query=41.757449,-88.013375","map")</f>
        <v>map</v>
      </c>
    </row>
    <row r="1916" spans="1:32">
      <c r="A1916" t="s">
        <v>1966</v>
      </c>
      <c r="B1916" t="s">
        <v>9526</v>
      </c>
      <c r="C1916" t="s">
        <v>15254</v>
      </c>
      <c r="D1916" t="s">
        <v>16199</v>
      </c>
      <c r="E1916" t="s">
        <v>16218</v>
      </c>
      <c r="F1916" t="s">
        <v>16221</v>
      </c>
      <c r="G1916" t="s">
        <v>16249</v>
      </c>
      <c r="H1916" t="s">
        <v>16249</v>
      </c>
      <c r="I1916" t="s">
        <v>16325</v>
      </c>
      <c r="J1916" t="s">
        <v>16385</v>
      </c>
      <c r="K1916">
        <v>0.173</v>
      </c>
      <c r="L1916">
        <v>7547</v>
      </c>
      <c r="M1916">
        <v>1668</v>
      </c>
      <c r="N1916" t="s">
        <v>16393</v>
      </c>
      <c r="O1916" s="4">
        <v>43616</v>
      </c>
      <c r="P1916" s="4">
        <v>116200</v>
      </c>
      <c r="Q1916" s="4">
        <v>159816</v>
      </c>
      <c r="R1916" s="4">
        <v>479448</v>
      </c>
      <c r="S1916" t="s">
        <v>18264</v>
      </c>
      <c r="T1916" s="6">
        <v>32082</v>
      </c>
      <c r="U1916" s="4">
        <v>145526</v>
      </c>
      <c r="X1916" t="s">
        <v>3</v>
      </c>
      <c r="AA1916" s="5" t="str">
        <f>HYPERLINK("https://www.zillow.com/homes/7109-KIDWELL-RD-DOWNERS-GROVE-IL-60516_rb/","check listing")</f>
        <v>check listing</v>
      </c>
      <c r="AB1916" s="5" t="str">
        <f>HYPERLINK("https://propertylookup.dupagecounty.gov/Datalets/Datalet.aspx?UseSearch=no&amp;mode=sales&amp;pin=0930209006","sales record")</f>
        <v>sales record</v>
      </c>
      <c r="AC1916" t="s">
        <v>3</v>
      </c>
      <c r="AD1916">
        <v>41.757628</v>
      </c>
      <c r="AE1916">
        <v>-88.013381</v>
      </c>
      <c r="AF1916" s="5" t="str">
        <f>HYPERLINK("https://www.google.com/maps/search/?api=1&amp;query=41.757628,-88.013381","map")</f>
        <v>map</v>
      </c>
    </row>
    <row r="1917" spans="1:32">
      <c r="A1917" t="s">
        <v>1967</v>
      </c>
      <c r="B1917" t="s">
        <v>9527</v>
      </c>
      <c r="C1917" t="s">
        <v>15254</v>
      </c>
      <c r="D1917" t="s">
        <v>16199</v>
      </c>
      <c r="E1917" t="s">
        <v>16218</v>
      </c>
      <c r="F1917" t="s">
        <v>16221</v>
      </c>
      <c r="G1917" t="s">
        <v>16249</v>
      </c>
      <c r="H1917" t="s">
        <v>16249</v>
      </c>
      <c r="I1917" t="s">
        <v>16325</v>
      </c>
      <c r="J1917" t="s">
        <v>16385</v>
      </c>
      <c r="K1917">
        <v>0.173</v>
      </c>
      <c r="L1917">
        <v>7544</v>
      </c>
      <c r="M1917">
        <v>2405</v>
      </c>
      <c r="N1917" t="s">
        <v>16393</v>
      </c>
      <c r="O1917" s="4">
        <v>46023</v>
      </c>
      <c r="P1917" s="4">
        <v>120367</v>
      </c>
      <c r="Q1917" s="4">
        <v>166390</v>
      </c>
      <c r="R1917" s="4">
        <v>499170</v>
      </c>
      <c r="S1917" t="s">
        <v>18265</v>
      </c>
      <c r="T1917" s="6">
        <v>38961</v>
      </c>
      <c r="U1917" s="4">
        <v>347000</v>
      </c>
      <c r="V1917" t="s">
        <v>23740</v>
      </c>
      <c r="W1917" t="s">
        <v>24637</v>
      </c>
      <c r="X1917" t="s">
        <v>3</v>
      </c>
      <c r="AA1917" s="5" t="str">
        <f>HYPERLINK("https://www.zillow.com/homes/1213-HAWKINS-AVE-DOWNERS-GROVE-IL-60516_rb/","check listing")</f>
        <v>check listing</v>
      </c>
      <c r="AB1917" s="5" t="str">
        <f>HYPERLINK("https://propertylookup.dupagecounty.gov/Datalets/Datalet.aspx?UseSearch=no&amp;mode=sales&amp;pin=0930209024","sales record")</f>
        <v>sales record</v>
      </c>
      <c r="AC1917" t="s">
        <v>3</v>
      </c>
      <c r="AD1917">
        <v>41.75491</v>
      </c>
      <c r="AE1917">
        <v>-88.01437199999999</v>
      </c>
      <c r="AF1917" s="5" t="str">
        <f>HYPERLINK("https://www.google.com/maps/search/?api=1&amp;query=41.75491,-88.014372","map")</f>
        <v>map</v>
      </c>
    </row>
    <row r="1918" spans="1:32">
      <c r="A1918" t="s">
        <v>1968</v>
      </c>
      <c r="B1918" t="s">
        <v>9528</v>
      </c>
      <c r="C1918" t="s">
        <v>15254</v>
      </c>
      <c r="D1918" t="s">
        <v>16199</v>
      </c>
      <c r="E1918" t="s">
        <v>16218</v>
      </c>
      <c r="F1918" t="s">
        <v>16221</v>
      </c>
      <c r="G1918" t="s">
        <v>16249</v>
      </c>
      <c r="H1918" t="s">
        <v>16249</v>
      </c>
      <c r="I1918" t="s">
        <v>16325</v>
      </c>
      <c r="J1918" t="s">
        <v>16385</v>
      </c>
      <c r="K1918">
        <v>0.173</v>
      </c>
      <c r="L1918">
        <v>7542</v>
      </c>
      <c r="M1918">
        <v>1723</v>
      </c>
      <c r="N1918" t="s">
        <v>16393</v>
      </c>
      <c r="O1918" s="4">
        <v>46023</v>
      </c>
      <c r="P1918" s="4">
        <v>111587</v>
      </c>
      <c r="Q1918" s="4">
        <v>157610</v>
      </c>
      <c r="R1918" s="4">
        <v>472830</v>
      </c>
      <c r="S1918" t="s">
        <v>18266</v>
      </c>
      <c r="T1918" s="6">
        <v>38139</v>
      </c>
      <c r="U1918" s="4">
        <v>330000</v>
      </c>
      <c r="V1918" t="s">
        <v>23739</v>
      </c>
      <c r="W1918" t="s">
        <v>24638</v>
      </c>
      <c r="X1918" t="s">
        <v>3</v>
      </c>
      <c r="AA1918" s="5" t="str">
        <f>HYPERLINK("https://www.zillow.com/homes/1209-HAWKINS-AVE-DOWNERS-GROVE-IL-60516_rb/","check listing")</f>
        <v>check listing</v>
      </c>
      <c r="AB1918" s="5" t="str">
        <f>HYPERLINK("https://propertylookup.dupagecounty.gov/Datalets/Datalet.aspx?UseSearch=no&amp;mode=sales&amp;pin=0930209023","sales record")</f>
        <v>sales record</v>
      </c>
      <c r="AC1918" t="s">
        <v>3</v>
      </c>
      <c r="AD1918">
        <v>41.754914</v>
      </c>
      <c r="AE1918">
        <v>-88.014135</v>
      </c>
      <c r="AF1918" s="5" t="str">
        <f>HYPERLINK("https://www.google.com/maps/search/?api=1&amp;query=41.754914,-88.014135","map")</f>
        <v>map</v>
      </c>
    </row>
    <row r="1919" spans="1:32">
      <c r="A1919" t="s">
        <v>1969</v>
      </c>
      <c r="B1919" t="s">
        <v>9529</v>
      </c>
      <c r="C1919" t="s">
        <v>15254</v>
      </c>
      <c r="D1919" t="s">
        <v>16199</v>
      </c>
      <c r="E1919" t="s">
        <v>16218</v>
      </c>
      <c r="F1919" t="s">
        <v>16221</v>
      </c>
      <c r="G1919" t="s">
        <v>16249</v>
      </c>
      <c r="H1919" t="s">
        <v>16249</v>
      </c>
      <c r="I1919" t="s">
        <v>16325</v>
      </c>
      <c r="J1919" t="s">
        <v>16385</v>
      </c>
      <c r="K1919">
        <v>0.173</v>
      </c>
      <c r="L1919">
        <v>7539</v>
      </c>
      <c r="M1919">
        <v>1980</v>
      </c>
      <c r="N1919" t="s">
        <v>16393</v>
      </c>
      <c r="O1919" s="4">
        <v>46023</v>
      </c>
      <c r="P1919" s="4">
        <v>97597</v>
      </c>
      <c r="Q1919" s="4">
        <v>143620</v>
      </c>
      <c r="R1919" s="4">
        <v>430860</v>
      </c>
      <c r="S1919" t="s">
        <v>18267</v>
      </c>
      <c r="T1919" s="6">
        <v>44013</v>
      </c>
      <c r="U1919" s="4">
        <v>342500</v>
      </c>
      <c r="V1919" t="s">
        <v>23739</v>
      </c>
      <c r="W1919" t="s">
        <v>24639</v>
      </c>
      <c r="X1919" t="s">
        <v>3</v>
      </c>
      <c r="AA1919" s="5" t="str">
        <f>HYPERLINK("https://www.zillow.com/homes/1205-HAWKINS-AVE-DOWNERS-GROVE-IL-60516_rb/","check listing")</f>
        <v>check listing</v>
      </c>
      <c r="AB1919" s="5" t="str">
        <f>HYPERLINK("https://propertylookup.dupagecounty.gov/Datalets/Datalet.aspx?UseSearch=no&amp;mode=sales&amp;pin=0930209022","sales record")</f>
        <v>sales record</v>
      </c>
      <c r="AC1919" t="s">
        <v>3</v>
      </c>
      <c r="AD1919">
        <v>41.754919</v>
      </c>
      <c r="AE1919">
        <v>-88.013897</v>
      </c>
      <c r="AF1919" s="5" t="str">
        <f>HYPERLINK("https://www.google.com/maps/search/?api=1&amp;query=41.754919,-88.013897","map")</f>
        <v>map</v>
      </c>
    </row>
    <row r="1920" spans="1:32">
      <c r="A1920" t="s">
        <v>1970</v>
      </c>
      <c r="B1920" t="s">
        <v>9530</v>
      </c>
      <c r="C1920" t="s">
        <v>15337</v>
      </c>
      <c r="D1920" t="s">
        <v>16199</v>
      </c>
      <c r="E1920" t="s">
        <v>16218</v>
      </c>
      <c r="F1920" t="s">
        <v>16221</v>
      </c>
      <c r="G1920" t="s">
        <v>16249</v>
      </c>
      <c r="H1920" t="s">
        <v>16249</v>
      </c>
      <c r="I1920" t="s">
        <v>16325</v>
      </c>
      <c r="J1920" t="s">
        <v>16385</v>
      </c>
      <c r="K1920">
        <v>0.172</v>
      </c>
      <c r="L1920">
        <v>7511</v>
      </c>
      <c r="M1920">
        <v>2269</v>
      </c>
      <c r="N1920" t="s">
        <v>16393</v>
      </c>
      <c r="O1920" s="4">
        <v>44954</v>
      </c>
      <c r="P1920" s="4">
        <v>107455</v>
      </c>
      <c r="Q1920" s="4">
        <v>152409</v>
      </c>
      <c r="R1920" s="4">
        <v>457227</v>
      </c>
      <c r="S1920" t="s">
        <v>18268</v>
      </c>
      <c r="T1920" s="6">
        <v>44621</v>
      </c>
      <c r="U1920" s="4">
        <v>448750</v>
      </c>
      <c r="V1920" t="s">
        <v>23740</v>
      </c>
      <c r="W1920" t="s">
        <v>24640</v>
      </c>
      <c r="X1920" t="s">
        <v>3</v>
      </c>
      <c r="AA1920" s="5" t="str">
        <f>HYPERLINK("https://www.zillow.com/homes/7221-BATEMAN-ST-DOWNERS-GROVE-IL-605163793_rb/","check listing")</f>
        <v>check listing</v>
      </c>
      <c r="AB1920" s="5" t="str">
        <f>HYPERLINK("https://propertylookup.dupagecounty.gov/Datalets/Datalet.aspx?UseSearch=no&amp;mode=sales&amp;pin=0930207018","sales record")</f>
        <v>sales record</v>
      </c>
      <c r="AC1920" t="s">
        <v>3</v>
      </c>
      <c r="AD1920">
        <v>41.756122</v>
      </c>
      <c r="AE1920">
        <v>-88.015321</v>
      </c>
      <c r="AF1920" s="5" t="str">
        <f>HYPERLINK("https://www.google.com/maps/search/?api=1&amp;query=41.756122,-88.015321","map")</f>
        <v>map</v>
      </c>
    </row>
    <row r="1921" spans="1:32">
      <c r="A1921" t="s">
        <v>1971</v>
      </c>
      <c r="B1921" t="s">
        <v>9531</v>
      </c>
      <c r="C1921" t="s">
        <v>15364</v>
      </c>
      <c r="D1921" t="s">
        <v>16199</v>
      </c>
      <c r="E1921" t="s">
        <v>16218</v>
      </c>
      <c r="F1921" t="s">
        <v>16221</v>
      </c>
      <c r="G1921" t="s">
        <v>16250</v>
      </c>
      <c r="H1921" t="s">
        <v>16250</v>
      </c>
      <c r="I1921" t="s">
        <v>16326</v>
      </c>
      <c r="J1921" t="s">
        <v>16385</v>
      </c>
      <c r="K1921">
        <v>0.163</v>
      </c>
      <c r="L1921">
        <v>7097</v>
      </c>
      <c r="M1921">
        <v>1687</v>
      </c>
      <c r="N1921" t="s">
        <v>16393</v>
      </c>
      <c r="O1921" s="4">
        <v>40658</v>
      </c>
      <c r="P1921" s="4">
        <v>107890</v>
      </c>
      <c r="Q1921" s="4">
        <v>148548</v>
      </c>
      <c r="R1921" s="4">
        <v>445644</v>
      </c>
      <c r="S1921" t="s">
        <v>18269</v>
      </c>
      <c r="T1921" s="6">
        <v>42856</v>
      </c>
      <c r="U1921" s="4">
        <v>325000</v>
      </c>
      <c r="V1921" t="s">
        <v>23739</v>
      </c>
      <c r="W1921" t="s">
        <v>24641</v>
      </c>
      <c r="X1921" t="s">
        <v>3</v>
      </c>
      <c r="AA1921" s="5" t="str">
        <f>HYPERLINK("https://www.zillow.com/homes/308-MAPLE-AVE-DOWNERS-GROVE-IL-605153924_rb/","check listing")</f>
        <v>check listing</v>
      </c>
      <c r="AB1921" s="5" t="str">
        <f>HYPERLINK("https://propertylookup.dupagecounty.gov/Datalets/Datalet.aspx?UseSearch=no&amp;mode=sales&amp;pin=0909107025","sales record")</f>
        <v>sales record</v>
      </c>
      <c r="AC1921" t="s">
        <v>3</v>
      </c>
      <c r="AD1921">
        <v>41.79804</v>
      </c>
      <c r="AE1921">
        <v>-87.992417</v>
      </c>
      <c r="AF1921" s="5" t="str">
        <f>HYPERLINK("https://www.google.com/maps/search/?api=1&amp;query=41.79804,-87.992417","map")</f>
        <v>map</v>
      </c>
    </row>
    <row r="1922" spans="1:32">
      <c r="A1922" t="s">
        <v>1972</v>
      </c>
      <c r="B1922" t="s">
        <v>9532</v>
      </c>
      <c r="C1922" t="s">
        <v>15277</v>
      </c>
      <c r="D1922" t="s">
        <v>16199</v>
      </c>
      <c r="E1922" t="s">
        <v>16218</v>
      </c>
      <c r="F1922" t="s">
        <v>16221</v>
      </c>
      <c r="G1922" t="s">
        <v>16250</v>
      </c>
      <c r="H1922" t="s">
        <v>16250</v>
      </c>
      <c r="I1922" t="s">
        <v>16326</v>
      </c>
      <c r="J1922" t="s">
        <v>16385</v>
      </c>
      <c r="K1922">
        <v>0.163</v>
      </c>
      <c r="L1922">
        <v>7095</v>
      </c>
      <c r="M1922">
        <v>995</v>
      </c>
      <c r="N1922" t="s">
        <v>16393</v>
      </c>
      <c r="O1922" s="4">
        <v>40658</v>
      </c>
      <c r="P1922" s="4">
        <v>52806</v>
      </c>
      <c r="Q1922" s="4">
        <v>93464</v>
      </c>
      <c r="R1922" s="4">
        <v>280392</v>
      </c>
      <c r="S1922" t="s">
        <v>18270</v>
      </c>
      <c r="T1922" s="6">
        <v>39600</v>
      </c>
      <c r="U1922" s="4">
        <v>330000</v>
      </c>
      <c r="V1922" t="s">
        <v>23739</v>
      </c>
      <c r="W1922" t="s">
        <v>18270</v>
      </c>
      <c r="X1922" t="s">
        <v>3</v>
      </c>
      <c r="AA1922" s="5" t="str">
        <f>HYPERLINK("https://www.zillow.com/homes/326-MAPLE-AVE-DOWNERS-GROVE-IL-60515_rb/","check listing")</f>
        <v>check listing</v>
      </c>
      <c r="AB1922" s="5" t="str">
        <f>HYPERLINK("https://propertylookup.dupagecounty.gov/Datalets/Datalet.aspx?UseSearch=no&amp;mode=sales&amp;pin=0909107019","sales record")</f>
        <v>sales record</v>
      </c>
      <c r="AC1922" t="s">
        <v>3</v>
      </c>
      <c r="AD1922">
        <v>41.797805</v>
      </c>
      <c r="AE1922">
        <v>-87.99308000000001</v>
      </c>
      <c r="AF1922" s="5" t="str">
        <f>HYPERLINK("https://www.google.com/maps/search/?api=1&amp;query=41.797805,-87.99308","map")</f>
        <v>map</v>
      </c>
    </row>
    <row r="1923" spans="1:32">
      <c r="A1923" t="s">
        <v>1973</v>
      </c>
      <c r="B1923" t="s">
        <v>9533</v>
      </c>
      <c r="C1923" t="s">
        <v>15364</v>
      </c>
      <c r="D1923" t="s">
        <v>16199</v>
      </c>
      <c r="E1923" t="s">
        <v>16218</v>
      </c>
      <c r="F1923" t="s">
        <v>16221</v>
      </c>
      <c r="G1923" t="s">
        <v>16250</v>
      </c>
      <c r="H1923" t="s">
        <v>16250</v>
      </c>
      <c r="I1923" t="s">
        <v>16326</v>
      </c>
      <c r="J1923" t="s">
        <v>16385</v>
      </c>
      <c r="K1923">
        <v>0.163</v>
      </c>
      <c r="L1923">
        <v>7095</v>
      </c>
      <c r="M1923">
        <v>1432</v>
      </c>
      <c r="N1923" t="s">
        <v>16393</v>
      </c>
      <c r="O1923" s="4">
        <v>40658</v>
      </c>
      <c r="P1923" s="4">
        <v>114327</v>
      </c>
      <c r="Q1923" s="4">
        <v>154985</v>
      </c>
      <c r="R1923" s="4">
        <v>464955</v>
      </c>
      <c r="S1923" t="s">
        <v>18271</v>
      </c>
      <c r="T1923" s="6">
        <v>44562</v>
      </c>
      <c r="U1923" s="4">
        <v>465000</v>
      </c>
      <c r="V1923" t="s">
        <v>23739</v>
      </c>
      <c r="W1923" t="s">
        <v>18271</v>
      </c>
      <c r="X1923" t="s">
        <v>3</v>
      </c>
      <c r="AA1923" s="5" t="str">
        <f>HYPERLINK("https://www.zillow.com/homes/320-MAPLE-AVE-DOWNERS-GROVE-IL-605153924_rb/","check listing")</f>
        <v>check listing</v>
      </c>
      <c r="AB1923" s="5" t="str">
        <f>HYPERLINK("https://propertylookup.dupagecounty.gov/Datalets/Datalet.aspx?UseSearch=no&amp;mode=sales&amp;pin=0909107021","sales record")</f>
        <v>sales record</v>
      </c>
      <c r="AC1923" t="s">
        <v>3</v>
      </c>
      <c r="AD1923">
        <v>41.797922</v>
      </c>
      <c r="AE1923">
        <v>-87.99274800000001</v>
      </c>
      <c r="AF1923" s="5" t="str">
        <f>HYPERLINK("https://www.google.com/maps/search/?api=1&amp;query=41.797922,-87.992748","map")</f>
        <v>map</v>
      </c>
    </row>
    <row r="1924" spans="1:32">
      <c r="A1924" t="s">
        <v>1974</v>
      </c>
      <c r="B1924" t="s">
        <v>9534</v>
      </c>
      <c r="C1924" t="s">
        <v>15364</v>
      </c>
      <c r="D1924" t="s">
        <v>16199</v>
      </c>
      <c r="E1924" t="s">
        <v>16218</v>
      </c>
      <c r="F1924" t="s">
        <v>16221</v>
      </c>
      <c r="G1924" t="s">
        <v>16250</v>
      </c>
      <c r="H1924" t="s">
        <v>16250</v>
      </c>
      <c r="I1924" t="s">
        <v>16326</v>
      </c>
      <c r="J1924" t="s">
        <v>16385</v>
      </c>
      <c r="K1924">
        <v>0.163</v>
      </c>
      <c r="L1924">
        <v>7095</v>
      </c>
      <c r="M1924">
        <v>1322</v>
      </c>
      <c r="N1924" t="s">
        <v>16393</v>
      </c>
      <c r="O1924" s="4">
        <v>40658</v>
      </c>
      <c r="P1924" s="4">
        <v>54344</v>
      </c>
      <c r="Q1924" s="4">
        <v>95002</v>
      </c>
      <c r="R1924" s="4">
        <v>285006</v>
      </c>
      <c r="S1924" t="s">
        <v>18272</v>
      </c>
      <c r="T1924" s="6">
        <v>42887</v>
      </c>
      <c r="U1924" s="4">
        <v>235500</v>
      </c>
      <c r="V1924" t="s">
        <v>23739</v>
      </c>
      <c r="W1924" t="s">
        <v>24642</v>
      </c>
      <c r="X1924" t="s">
        <v>3</v>
      </c>
      <c r="AA1924" s="5" t="str">
        <f>HYPERLINK("https://www.zillow.com/homes/304-MAPLE-AVE-DOWNERS-GROVE-IL-605153924_rb/","check listing")</f>
        <v>check listing</v>
      </c>
      <c r="AB1924" s="5" t="str">
        <f>HYPERLINK("https://propertylookup.dupagecounty.gov/Datalets/Datalet.aspx?UseSearch=no&amp;mode=sales&amp;pin=0909107026","sales record")</f>
        <v>sales record</v>
      </c>
      <c r="AC1924" t="s">
        <v>3</v>
      </c>
      <c r="AD1924">
        <v>41.798099</v>
      </c>
      <c r="AE1924">
        <v>-87.992251</v>
      </c>
      <c r="AF1924" s="5" t="str">
        <f>HYPERLINK("https://www.google.com/maps/search/?api=1&amp;query=41.798099,-87.992251","map")</f>
        <v>map</v>
      </c>
    </row>
    <row r="1925" spans="1:32">
      <c r="A1925" t="s">
        <v>1975</v>
      </c>
      <c r="B1925" t="s">
        <v>9535</v>
      </c>
      <c r="C1925" t="s">
        <v>15364</v>
      </c>
      <c r="D1925" t="s">
        <v>16199</v>
      </c>
      <c r="E1925" t="s">
        <v>16218</v>
      </c>
      <c r="F1925" t="s">
        <v>16221</v>
      </c>
      <c r="G1925" t="s">
        <v>16250</v>
      </c>
      <c r="H1925" t="s">
        <v>16250</v>
      </c>
      <c r="I1925" t="s">
        <v>16326</v>
      </c>
      <c r="J1925" t="s">
        <v>16385</v>
      </c>
      <c r="K1925">
        <v>0.163</v>
      </c>
      <c r="L1925">
        <v>7093</v>
      </c>
      <c r="M1925">
        <v>1319</v>
      </c>
      <c r="N1925" t="s">
        <v>16393</v>
      </c>
      <c r="O1925" s="4">
        <v>40658</v>
      </c>
      <c r="P1925" s="4">
        <v>117984</v>
      </c>
      <c r="Q1925" s="4">
        <v>158642</v>
      </c>
      <c r="R1925" s="4">
        <v>475926</v>
      </c>
      <c r="S1925" t="s">
        <v>18273</v>
      </c>
      <c r="T1925" s="6">
        <v>45839</v>
      </c>
      <c r="U1925" s="4">
        <v>725000</v>
      </c>
      <c r="V1925" t="s">
        <v>23741</v>
      </c>
      <c r="W1925" t="s">
        <v>24643</v>
      </c>
      <c r="X1925" t="s">
        <v>3</v>
      </c>
      <c r="AA1925" s="5" t="str">
        <f>HYPERLINK("https://www.zillow.com/homes/324-MAPLE-AVE-DOWNERS-GROVE-IL-605153924_rb/","check listing")</f>
        <v>check listing</v>
      </c>
      <c r="AB1925" s="5" t="str">
        <f>HYPERLINK("https://propertylookup.dupagecounty.gov/Datalets/Datalet.aspx?UseSearch=no&amp;mode=sales&amp;pin=0909107020","sales record")</f>
        <v>sales record</v>
      </c>
      <c r="AC1925" t="s">
        <v>3</v>
      </c>
      <c r="AD1925">
        <v>41.797864</v>
      </c>
      <c r="AE1925">
        <v>-87.992914</v>
      </c>
      <c r="AF1925" s="5" t="str">
        <f>HYPERLINK("https://www.google.com/maps/search/?api=1&amp;query=41.797864,-87.992914","map")</f>
        <v>map</v>
      </c>
    </row>
    <row r="1926" spans="1:32">
      <c r="A1926" t="s">
        <v>1976</v>
      </c>
      <c r="B1926" t="s">
        <v>9536</v>
      </c>
      <c r="C1926" t="s">
        <v>15364</v>
      </c>
      <c r="D1926" t="s">
        <v>16199</v>
      </c>
      <c r="E1926" t="s">
        <v>16218</v>
      </c>
      <c r="F1926" t="s">
        <v>16221</v>
      </c>
      <c r="G1926" t="s">
        <v>16250</v>
      </c>
      <c r="H1926" t="s">
        <v>16250</v>
      </c>
      <c r="I1926" t="s">
        <v>16326</v>
      </c>
      <c r="J1926" t="s">
        <v>16385</v>
      </c>
      <c r="K1926">
        <v>0.163</v>
      </c>
      <c r="L1926">
        <v>7093</v>
      </c>
      <c r="M1926">
        <v>720</v>
      </c>
      <c r="N1926" t="s">
        <v>16393</v>
      </c>
      <c r="O1926" s="4">
        <v>40658</v>
      </c>
      <c r="P1926" s="4">
        <v>57830</v>
      </c>
      <c r="Q1926" s="4">
        <v>98488</v>
      </c>
      <c r="R1926" s="4">
        <v>295464</v>
      </c>
      <c r="S1926" t="s">
        <v>18274</v>
      </c>
      <c r="T1926" s="6">
        <v>44348</v>
      </c>
      <c r="U1926" s="4">
        <v>275000</v>
      </c>
      <c r="V1926" t="s">
        <v>23739</v>
      </c>
      <c r="W1926" t="s">
        <v>24644</v>
      </c>
      <c r="X1926" t="s">
        <v>3</v>
      </c>
      <c r="AA1926" s="5" t="str">
        <f>HYPERLINK("https://www.zillow.com/homes/336-MAPLE-AVE-DOWNERS-GROVE-IL-605153924_rb/","check listing")</f>
        <v>check listing</v>
      </c>
      <c r="AB1926" s="5" t="str">
        <f>HYPERLINK("https://propertylookup.dupagecounty.gov/Datalets/Datalet.aspx?UseSearch=no&amp;mode=sales&amp;pin=0909107017","sales record")</f>
        <v>sales record</v>
      </c>
      <c r="AC1926" t="s">
        <v>3</v>
      </c>
      <c r="AD1926">
        <v>41.797687</v>
      </c>
      <c r="AE1926">
        <v>-87.99341099999999</v>
      </c>
      <c r="AF1926" s="5" t="str">
        <f>HYPERLINK("https://www.google.com/maps/search/?api=1&amp;query=41.797687,-87.993411","map")</f>
        <v>map</v>
      </c>
    </row>
    <row r="1927" spans="1:32">
      <c r="A1927" t="s">
        <v>1977</v>
      </c>
      <c r="B1927" t="s">
        <v>9537</v>
      </c>
      <c r="C1927" t="s">
        <v>15365</v>
      </c>
      <c r="D1927" t="s">
        <v>16199</v>
      </c>
      <c r="E1927" t="s">
        <v>16218</v>
      </c>
      <c r="F1927" t="s">
        <v>16221</v>
      </c>
      <c r="G1927" t="s">
        <v>16250</v>
      </c>
      <c r="H1927" t="s">
        <v>16250</v>
      </c>
      <c r="I1927" t="s">
        <v>16326</v>
      </c>
      <c r="J1927" t="s">
        <v>16385</v>
      </c>
      <c r="K1927">
        <v>0.161</v>
      </c>
      <c r="L1927">
        <v>7000</v>
      </c>
      <c r="M1927">
        <v>1167</v>
      </c>
      <c r="N1927" t="s">
        <v>16393</v>
      </c>
      <c r="O1927" s="4">
        <v>56222</v>
      </c>
      <c r="P1927" s="4">
        <v>78746</v>
      </c>
      <c r="Q1927" s="4">
        <v>134968</v>
      </c>
      <c r="R1927" s="4">
        <v>404904</v>
      </c>
      <c r="S1927" t="s">
        <v>18275</v>
      </c>
      <c r="T1927" s="6">
        <v>44907</v>
      </c>
      <c r="U1927" s="4">
        <v>345000</v>
      </c>
      <c r="V1927" t="s">
        <v>16232</v>
      </c>
      <c r="W1927" t="s">
        <v>24645</v>
      </c>
      <c r="X1927" t="s">
        <v>3</v>
      </c>
      <c r="AA1927" s="5" t="str">
        <f>HYPERLINK("https://www.zillow.com/homes/1043-MAPLE-AVE-DOWNERS-GROVE-IL-605154821_rb/","check listing")</f>
        <v>check listing</v>
      </c>
      <c r="AB1927" s="5" t="str">
        <f>HYPERLINK("https://propertylookup.dupagecounty.gov/Datalets/Datalet.aspx?UseSearch=no&amp;mode=sales&amp;pin=0908313002","sales record")</f>
        <v>sales record</v>
      </c>
      <c r="AC1927" t="s">
        <v>3</v>
      </c>
      <c r="AD1927">
        <v>41.79065</v>
      </c>
      <c r="AE1927">
        <v>-88.011073</v>
      </c>
      <c r="AF1927" s="5" t="str">
        <f>HYPERLINK("https://www.google.com/maps/search/?api=1&amp;query=41.79065,-88.011073","map")</f>
        <v>map</v>
      </c>
    </row>
    <row r="1928" spans="1:32">
      <c r="A1928" t="s">
        <v>1978</v>
      </c>
      <c r="B1928" t="s">
        <v>9538</v>
      </c>
      <c r="C1928" t="s">
        <v>15277</v>
      </c>
      <c r="D1928" t="s">
        <v>16199</v>
      </c>
      <c r="E1928" t="s">
        <v>16218</v>
      </c>
      <c r="F1928" t="s">
        <v>16221</v>
      </c>
      <c r="G1928" t="s">
        <v>16250</v>
      </c>
      <c r="H1928" t="s">
        <v>16250</v>
      </c>
      <c r="I1928" t="s">
        <v>16326</v>
      </c>
      <c r="J1928" t="s">
        <v>16385</v>
      </c>
      <c r="K1928">
        <v>0.161</v>
      </c>
      <c r="L1928">
        <v>6995</v>
      </c>
      <c r="M1928">
        <v>1524</v>
      </c>
      <c r="N1928" t="s">
        <v>16393</v>
      </c>
      <c r="O1928" s="4">
        <v>65858</v>
      </c>
      <c r="P1928" s="4">
        <v>127715</v>
      </c>
      <c r="Q1928" s="4">
        <v>193573</v>
      </c>
      <c r="R1928" s="4">
        <v>580719</v>
      </c>
      <c r="S1928" t="s">
        <v>18276</v>
      </c>
      <c r="X1928" t="s">
        <v>3</v>
      </c>
      <c r="AA1928" s="5" t="str">
        <f>HYPERLINK("https://www.zillow.com/homes/4940-HIGHLAND-AVE-DOWNERS-GROVE-IL-60515_rb/","check listing")</f>
        <v>check listing</v>
      </c>
      <c r="AB1928" s="5" t="str">
        <f>HYPERLINK("https://propertylookup.dupagecounty.gov/Datalets/Datalet.aspx?UseSearch=no&amp;mode=sales&amp;pin=0908117021","sales record")</f>
        <v>sales record</v>
      </c>
      <c r="AC1928" t="s">
        <v>3</v>
      </c>
      <c r="AD1928">
        <v>41.796862</v>
      </c>
      <c r="AE1928">
        <v>-88.009714</v>
      </c>
      <c r="AF1928" s="5" t="str">
        <f>HYPERLINK("https://www.google.com/maps/search/?api=1&amp;query=41.796862,-88.009714","map")</f>
        <v>map</v>
      </c>
    </row>
    <row r="1929" spans="1:32">
      <c r="A1929" t="s">
        <v>1979</v>
      </c>
      <c r="B1929" t="s">
        <v>9539</v>
      </c>
      <c r="C1929" t="s">
        <v>15277</v>
      </c>
      <c r="D1929" t="s">
        <v>16199</v>
      </c>
      <c r="E1929" t="s">
        <v>16218</v>
      </c>
      <c r="F1929" t="s">
        <v>16221</v>
      </c>
      <c r="G1929" t="s">
        <v>16250</v>
      </c>
      <c r="H1929" t="s">
        <v>16250</v>
      </c>
      <c r="I1929" t="s">
        <v>16326</v>
      </c>
      <c r="J1929" t="s">
        <v>16385</v>
      </c>
      <c r="K1929">
        <v>0.151</v>
      </c>
      <c r="L1929">
        <v>6576</v>
      </c>
      <c r="M1929">
        <v>764</v>
      </c>
      <c r="N1929" t="s">
        <v>16393</v>
      </c>
      <c r="O1929" s="4">
        <v>74274</v>
      </c>
      <c r="P1929" s="4">
        <v>110848</v>
      </c>
      <c r="Q1929" s="4">
        <v>185122</v>
      </c>
      <c r="R1929" s="4">
        <v>555366</v>
      </c>
      <c r="S1929" t="s">
        <v>17695</v>
      </c>
      <c r="T1929" s="6">
        <v>38504</v>
      </c>
      <c r="U1929" s="4">
        <v>380000</v>
      </c>
      <c r="V1929" t="s">
        <v>23739</v>
      </c>
      <c r="W1929" t="s">
        <v>24646</v>
      </c>
      <c r="X1929" t="s">
        <v>3</v>
      </c>
      <c r="AA1929" s="5" t="str">
        <f>HYPERLINK("https://www.zillow.com/homes/4934-SARATOGA-ST-DOWNERS-GROVE-IL-60515_rb/","check listing")</f>
        <v>check listing</v>
      </c>
      <c r="AB1929" s="5" t="str">
        <f>HYPERLINK("https://propertylookup.dupagecounty.gov/Datalets/Datalet.aspx?UseSearch=no&amp;mode=sales&amp;pin=0908114008","sales record")</f>
        <v>sales record</v>
      </c>
      <c r="AC1929" t="s">
        <v>3</v>
      </c>
      <c r="AD1929">
        <v>41.797064</v>
      </c>
      <c r="AE1929">
        <v>-88.01419300000001</v>
      </c>
      <c r="AF1929" s="5" t="str">
        <f>HYPERLINK("https://www.google.com/maps/search/?api=1&amp;query=41.797064,-88.014193","map")</f>
        <v>map</v>
      </c>
    </row>
    <row r="1930" spans="1:32">
      <c r="A1930" t="s">
        <v>1980</v>
      </c>
      <c r="B1930" t="s">
        <v>9540</v>
      </c>
      <c r="C1930" t="s">
        <v>15254</v>
      </c>
      <c r="D1930" t="s">
        <v>16199</v>
      </c>
      <c r="E1930" t="s">
        <v>16218</v>
      </c>
      <c r="F1930" t="s">
        <v>16221</v>
      </c>
      <c r="G1930" t="s">
        <v>16249</v>
      </c>
      <c r="H1930" t="s">
        <v>16249</v>
      </c>
      <c r="I1930" t="s">
        <v>16325</v>
      </c>
      <c r="J1930" t="s">
        <v>16385</v>
      </c>
      <c r="K1930">
        <v>0.137</v>
      </c>
      <c r="L1930">
        <v>5967</v>
      </c>
      <c r="N1930" t="s">
        <v>16393</v>
      </c>
      <c r="O1930" s="4">
        <v>42724</v>
      </c>
      <c r="P1930" s="4">
        <v>145555</v>
      </c>
      <c r="Q1930" s="4">
        <v>188279</v>
      </c>
      <c r="R1930" s="4">
        <v>564837</v>
      </c>
      <c r="S1930" t="s">
        <v>18277</v>
      </c>
      <c r="X1930" t="s">
        <v>3</v>
      </c>
      <c r="AA1930" s="5" t="str">
        <f>HYPERLINK("https://www.zillow.com/homes/7215-MATTHIAS-RD-DOWNERS-GROVE-IL-60516_rb/","check listing")</f>
        <v>check listing</v>
      </c>
      <c r="AB1930" s="5" t="str">
        <f>HYPERLINK("https://propertylookup.dupagecounty.gov/Datalets/Datalet.aspx?UseSearch=no&amp;mode=sales&amp;pin=0929100127","sales record")</f>
        <v>sales record</v>
      </c>
      <c r="AC1930" t="s">
        <v>3</v>
      </c>
      <c r="AD1930">
        <v>41.756134</v>
      </c>
      <c r="AE1930">
        <v>-88.010705</v>
      </c>
      <c r="AF1930" s="5" t="str">
        <f>HYPERLINK("https://www.google.com/maps/search/?api=1&amp;query=41.756134,-88.010705","map")</f>
        <v>map</v>
      </c>
    </row>
    <row r="1931" spans="1:32">
      <c r="A1931" t="s">
        <v>1981</v>
      </c>
      <c r="B1931" t="s">
        <v>9541</v>
      </c>
      <c r="C1931" t="s">
        <v>15277</v>
      </c>
      <c r="D1931" t="s">
        <v>16199</v>
      </c>
      <c r="E1931" t="s">
        <v>16218</v>
      </c>
      <c r="F1931" t="s">
        <v>16221</v>
      </c>
      <c r="G1931" t="s">
        <v>16250</v>
      </c>
      <c r="H1931" t="s">
        <v>16250</v>
      </c>
      <c r="I1931" t="s">
        <v>16326</v>
      </c>
      <c r="J1931" t="s">
        <v>16385</v>
      </c>
      <c r="K1931">
        <v>0.136</v>
      </c>
      <c r="L1931">
        <v>5922</v>
      </c>
      <c r="M1931">
        <v>1880</v>
      </c>
      <c r="N1931" t="s">
        <v>16393</v>
      </c>
      <c r="O1931" s="4">
        <v>55542</v>
      </c>
      <c r="P1931" s="4">
        <v>87314</v>
      </c>
      <c r="Q1931" s="4">
        <v>142856</v>
      </c>
      <c r="R1931" s="4">
        <v>428568</v>
      </c>
      <c r="S1931" t="s">
        <v>18278</v>
      </c>
      <c r="T1931" s="6">
        <v>36892</v>
      </c>
      <c r="U1931" s="4">
        <v>272000</v>
      </c>
      <c r="V1931" t="s">
        <v>23739</v>
      </c>
      <c r="W1931" t="s">
        <v>24647</v>
      </c>
      <c r="X1931" t="s">
        <v>3</v>
      </c>
      <c r="AA1931" s="5" t="str">
        <f>HYPERLINK("https://www.zillow.com/homes/4924-HIGHLAND-AVE-DOWNERS-GROVE-IL-60515_rb/","check listing")</f>
        <v>check listing</v>
      </c>
      <c r="AB1931" s="5" t="str">
        <f>HYPERLINK("https://propertylookup.dupagecounty.gov/Datalets/Datalet.aspx?UseSearch=no&amp;mode=sales&amp;pin=0908117018","sales record")</f>
        <v>sales record</v>
      </c>
      <c r="AC1931" t="s">
        <v>3</v>
      </c>
      <c r="AD1931">
        <v>41.79745</v>
      </c>
      <c r="AE1931">
        <v>-88.00976799999999</v>
      </c>
      <c r="AF1931" s="5" t="str">
        <f>HYPERLINK("https://www.google.com/maps/search/?api=1&amp;query=41.79745,-88.009768","map")</f>
        <v>map</v>
      </c>
    </row>
    <row r="1932" spans="1:32">
      <c r="A1932" t="s">
        <v>1982</v>
      </c>
      <c r="B1932" t="s">
        <v>9542</v>
      </c>
      <c r="C1932" t="s">
        <v>15366</v>
      </c>
      <c r="D1932" t="s">
        <v>16199</v>
      </c>
      <c r="E1932" t="s">
        <v>16218</v>
      </c>
      <c r="F1932" t="s">
        <v>16221</v>
      </c>
      <c r="G1932" t="s">
        <v>16250</v>
      </c>
      <c r="H1932" t="s">
        <v>16250</v>
      </c>
      <c r="I1932" t="s">
        <v>16326</v>
      </c>
      <c r="J1932" t="s">
        <v>16385</v>
      </c>
      <c r="K1932">
        <v>0.136</v>
      </c>
      <c r="L1932">
        <v>5922</v>
      </c>
      <c r="N1932" t="s">
        <v>16393</v>
      </c>
      <c r="O1932" s="4">
        <v>41644</v>
      </c>
      <c r="P1932" s="4">
        <v>161964</v>
      </c>
      <c r="Q1932" s="4">
        <v>203608</v>
      </c>
      <c r="R1932" s="4">
        <v>610824</v>
      </c>
      <c r="S1932" t="s">
        <v>18279</v>
      </c>
      <c r="T1932" s="6">
        <v>45372</v>
      </c>
      <c r="U1932" s="4">
        <v>625000</v>
      </c>
      <c r="V1932" t="s">
        <v>23741</v>
      </c>
      <c r="W1932" t="s">
        <v>24648</v>
      </c>
      <c r="X1932" t="s">
        <v>3</v>
      </c>
      <c r="AA1932" s="5" t="str">
        <f>HYPERLINK("https://www.zillow.com/homes/5119-ELMWOOD-AVE-DOWNERS-GROVE-IL-605155066_rb/","check listing")</f>
        <v>check listing</v>
      </c>
      <c r="AB1932" s="5" t="str">
        <f>HYPERLINK("https://propertylookup.dupagecounty.gov/Datalets/Datalet.aspx?UseSearch=no&amp;mode=sales&amp;pin=0908405015","sales record")</f>
        <v>sales record</v>
      </c>
      <c r="AC1932" t="s">
        <v>3</v>
      </c>
      <c r="AD1932">
        <v>41.794462</v>
      </c>
      <c r="AE1932">
        <v>-88.00013199999999</v>
      </c>
      <c r="AF1932" s="5" t="str">
        <f>HYPERLINK("https://www.google.com/maps/search/?api=1&amp;query=41.794462,-88.000132","map")</f>
        <v>map</v>
      </c>
    </row>
    <row r="1933" spans="1:32">
      <c r="A1933" t="s">
        <v>1983</v>
      </c>
      <c r="B1933" t="s">
        <v>9543</v>
      </c>
      <c r="C1933" t="s">
        <v>15367</v>
      </c>
      <c r="D1933" t="s">
        <v>16199</v>
      </c>
      <c r="E1933" t="s">
        <v>16218</v>
      </c>
      <c r="F1933" t="s">
        <v>16221</v>
      </c>
      <c r="G1933" t="s">
        <v>16249</v>
      </c>
      <c r="H1933" t="s">
        <v>16249</v>
      </c>
      <c r="I1933" t="s">
        <v>16325</v>
      </c>
      <c r="J1933" t="s">
        <v>16385</v>
      </c>
      <c r="K1933">
        <v>0.132</v>
      </c>
      <c r="L1933">
        <v>5744</v>
      </c>
      <c r="N1933" t="s">
        <v>16393</v>
      </c>
      <c r="O1933" s="4">
        <v>18181</v>
      </c>
      <c r="P1933" s="4">
        <v>163666</v>
      </c>
      <c r="Q1933" s="4">
        <v>181847</v>
      </c>
      <c r="R1933" s="4">
        <v>545541</v>
      </c>
      <c r="S1933" t="s">
        <v>18280</v>
      </c>
      <c r="T1933" s="6">
        <v>44044</v>
      </c>
      <c r="U1933" s="4">
        <v>465000</v>
      </c>
      <c r="V1933" t="s">
        <v>23739</v>
      </c>
      <c r="W1933" t="s">
        <v>24649</v>
      </c>
      <c r="X1933" t="s">
        <v>3</v>
      </c>
      <c r="AA1933" s="5" t="str">
        <f>HYPERLINK("https://www.zillow.com/homes/1141-CRYSTAL-AVE-DOWNERS-GROVE-IL-605163311_rb/","check listing")</f>
        <v>check listing</v>
      </c>
      <c r="AB1933" s="5" t="str">
        <f>HYPERLINK("https://propertylookup.dupagecounty.gov/Datalets/Datalet.aspx?UseSearch=no&amp;mode=sales&amp;pin=0929100128","sales record")</f>
        <v>sales record</v>
      </c>
      <c r="AC1933" t="s">
        <v>3</v>
      </c>
      <c r="AD1933">
        <v>41.756035</v>
      </c>
      <c r="AE1933">
        <v>-88.011426</v>
      </c>
      <c r="AF1933" s="5" t="str">
        <f>HYPERLINK("https://www.google.com/maps/search/?api=1&amp;query=41.756035,-88.011426","map")</f>
        <v>map</v>
      </c>
    </row>
    <row r="1934" spans="1:32">
      <c r="A1934" t="s">
        <v>1984</v>
      </c>
      <c r="B1934" t="s">
        <v>9544</v>
      </c>
      <c r="C1934" t="s">
        <v>15254</v>
      </c>
      <c r="D1934" t="s">
        <v>16199</v>
      </c>
      <c r="E1934" t="s">
        <v>16218</v>
      </c>
      <c r="F1934" t="s">
        <v>16221</v>
      </c>
      <c r="G1934" t="s">
        <v>16249</v>
      </c>
      <c r="H1934" t="s">
        <v>16249</v>
      </c>
      <c r="I1934" t="s">
        <v>16325</v>
      </c>
      <c r="J1934" t="s">
        <v>16385</v>
      </c>
      <c r="K1934">
        <v>0.124</v>
      </c>
      <c r="L1934">
        <v>5391</v>
      </c>
      <c r="N1934" t="s">
        <v>16393</v>
      </c>
      <c r="O1934" s="4">
        <v>34449</v>
      </c>
      <c r="P1934" s="4">
        <v>154475</v>
      </c>
      <c r="Q1934" s="4">
        <v>188924</v>
      </c>
      <c r="R1934" s="4">
        <v>566772</v>
      </c>
      <c r="S1934" t="s">
        <v>18281</v>
      </c>
      <c r="T1934" s="6">
        <v>43160</v>
      </c>
      <c r="U1934" s="4">
        <v>458400</v>
      </c>
      <c r="V1934" t="s">
        <v>23739</v>
      </c>
      <c r="W1934" t="s">
        <v>24650</v>
      </c>
      <c r="X1934" t="s">
        <v>3</v>
      </c>
      <c r="AA1934" s="5" t="str">
        <f>HYPERLINK("https://www.zillow.com/homes/7211-MATTHIAS-RD-DOWNERS-GROVE-IL-60516_rb/","check listing")</f>
        <v>check listing</v>
      </c>
      <c r="AB1934" s="5" t="str">
        <f>HYPERLINK("https://propertylookup.dupagecounty.gov/Datalets/Datalet.aspx?UseSearch=no&amp;mode=sales&amp;pin=0929100126","sales record")</f>
        <v>sales record</v>
      </c>
      <c r="AC1934" t="s">
        <v>3</v>
      </c>
      <c r="AD1934">
        <v>41.756233</v>
      </c>
      <c r="AE1934">
        <v>-88.010689</v>
      </c>
      <c r="AF1934" s="5" t="str">
        <f>HYPERLINK("https://www.google.com/maps/search/?api=1&amp;query=41.756233,-88.010689","map")</f>
        <v>map</v>
      </c>
    </row>
    <row r="1935" spans="1:32">
      <c r="A1935" t="s">
        <v>1985</v>
      </c>
      <c r="B1935" t="s">
        <v>9545</v>
      </c>
      <c r="C1935" t="s">
        <v>15368</v>
      </c>
      <c r="D1935" t="s">
        <v>16199</v>
      </c>
      <c r="E1935" t="s">
        <v>16218</v>
      </c>
      <c r="F1935" t="s">
        <v>16221</v>
      </c>
      <c r="G1935" t="s">
        <v>16250</v>
      </c>
      <c r="H1935" t="s">
        <v>16250</v>
      </c>
      <c r="I1935" t="s">
        <v>16326</v>
      </c>
      <c r="J1935" t="s">
        <v>16385</v>
      </c>
      <c r="K1935">
        <v>0.123</v>
      </c>
      <c r="L1935">
        <v>5354</v>
      </c>
      <c r="M1935">
        <v>1119</v>
      </c>
      <c r="N1935" t="s">
        <v>16393</v>
      </c>
      <c r="O1935" s="4">
        <v>58910</v>
      </c>
      <c r="P1935" s="4">
        <v>27830</v>
      </c>
      <c r="Q1935" s="4">
        <v>86740</v>
      </c>
      <c r="R1935" s="4">
        <v>260220</v>
      </c>
      <c r="S1935" t="s">
        <v>18282</v>
      </c>
      <c r="T1935" s="6">
        <v>43647</v>
      </c>
      <c r="U1935" s="4">
        <v>200000</v>
      </c>
      <c r="V1935" t="s">
        <v>23739</v>
      </c>
      <c r="W1935" t="s">
        <v>18282</v>
      </c>
      <c r="X1935" t="s">
        <v>3</v>
      </c>
      <c r="AA1935" s="5" t="str">
        <f>HYPERLINK("https://www.zillow.com/homes/1216-WARREN-AVE-DOWNERS-GROVE-IL-605153501_rb/","check listing")</f>
        <v>check listing</v>
      </c>
      <c r="AB1935" s="5" t="str">
        <f>HYPERLINK("https://propertylookup.dupagecounty.gov/Datalets/Datalet.aspx?UseSearch=no&amp;mode=sales&amp;pin=0907217018","sales record")</f>
        <v>sales record</v>
      </c>
      <c r="AC1935" t="s">
        <v>3</v>
      </c>
      <c r="AD1935">
        <v>41.796445</v>
      </c>
      <c r="AE1935">
        <v>-88.015049</v>
      </c>
      <c r="AF1935" s="5" t="str">
        <f>HYPERLINK("https://www.google.com/maps/search/?api=1&amp;query=41.796445,-88.015049","map")</f>
        <v>map</v>
      </c>
    </row>
    <row r="1936" spans="1:32">
      <c r="A1936" t="s">
        <v>1986</v>
      </c>
      <c r="B1936" t="s">
        <v>9546</v>
      </c>
      <c r="C1936" t="s">
        <v>15368</v>
      </c>
      <c r="D1936" t="s">
        <v>16199</v>
      </c>
      <c r="E1936" t="s">
        <v>16218</v>
      </c>
      <c r="F1936" t="s">
        <v>16221</v>
      </c>
      <c r="G1936" t="s">
        <v>16250</v>
      </c>
      <c r="H1936" t="s">
        <v>16250</v>
      </c>
      <c r="I1936" t="s">
        <v>16326</v>
      </c>
      <c r="J1936" t="s">
        <v>16385</v>
      </c>
      <c r="K1936">
        <v>0.122</v>
      </c>
      <c r="L1936">
        <v>5310</v>
      </c>
      <c r="M1936">
        <v>1738</v>
      </c>
      <c r="N1936" t="s">
        <v>16393</v>
      </c>
      <c r="O1936" s="4">
        <v>58910</v>
      </c>
      <c r="P1936" s="4">
        <v>112901</v>
      </c>
      <c r="Q1936" s="4">
        <v>171811</v>
      </c>
      <c r="R1936" s="4">
        <v>515433</v>
      </c>
      <c r="S1936" t="s">
        <v>18283</v>
      </c>
      <c r="T1936" s="6">
        <v>43709</v>
      </c>
      <c r="U1936" s="4">
        <v>244900</v>
      </c>
      <c r="V1936" t="s">
        <v>23739</v>
      </c>
      <c r="W1936" t="s">
        <v>24651</v>
      </c>
      <c r="X1936" t="s">
        <v>3</v>
      </c>
      <c r="AA1936" s="5" t="str">
        <f>HYPERLINK("https://www.zillow.com/homes/1220-WARREN-AVE-DOWNERS-GROVE-IL-605153501_rb/","check listing")</f>
        <v>check listing</v>
      </c>
      <c r="AB1936" s="5" t="str">
        <f>HYPERLINK("https://propertylookup.dupagecounty.gov/Datalets/Datalet.aspx?UseSearch=no&amp;mode=sales&amp;pin=0907217017","sales record")</f>
        <v>sales record</v>
      </c>
      <c r="AC1936" t="s">
        <v>3</v>
      </c>
      <c r="AD1936">
        <v>41.796444</v>
      </c>
      <c r="AE1936">
        <v>-88.015236</v>
      </c>
      <c r="AF1936" s="5" t="str">
        <f>HYPERLINK("https://www.google.com/maps/search/?api=1&amp;query=41.796444,-88.015236","map")</f>
        <v>map</v>
      </c>
    </row>
    <row r="1937" spans="1:32">
      <c r="A1937" t="s">
        <v>1987</v>
      </c>
      <c r="B1937" t="s">
        <v>9547</v>
      </c>
      <c r="C1937" t="s">
        <v>15277</v>
      </c>
      <c r="D1937" t="s">
        <v>16199</v>
      </c>
      <c r="E1937" t="s">
        <v>16218</v>
      </c>
      <c r="F1937" t="s">
        <v>16221</v>
      </c>
      <c r="G1937" t="s">
        <v>16250</v>
      </c>
      <c r="H1937" t="s">
        <v>16250</v>
      </c>
      <c r="I1937" t="s">
        <v>16326</v>
      </c>
      <c r="J1937" t="s">
        <v>16385</v>
      </c>
      <c r="K1937">
        <v>0.121</v>
      </c>
      <c r="L1937">
        <v>5274</v>
      </c>
      <c r="M1937">
        <v>640</v>
      </c>
      <c r="N1937" t="s">
        <v>16393</v>
      </c>
      <c r="O1937" s="4">
        <v>40482</v>
      </c>
      <c r="P1937" s="4">
        <v>157434</v>
      </c>
      <c r="Q1937" s="4">
        <v>197916</v>
      </c>
      <c r="R1937" s="4">
        <v>593748</v>
      </c>
      <c r="S1937" t="s">
        <v>18284</v>
      </c>
      <c r="T1937" s="6">
        <v>43252</v>
      </c>
      <c r="U1937" s="4">
        <v>465000</v>
      </c>
      <c r="V1937" t="s">
        <v>16232</v>
      </c>
      <c r="W1937" t="s">
        <v>24652</v>
      </c>
      <c r="X1937" t="s">
        <v>3</v>
      </c>
      <c r="AA1937" s="5" t="str">
        <f>HYPERLINK("https://www.zillow.com/homes/5115-ELMWOOD-AVE-DOWNERS-GROVE-IL-60515_rb/","check listing")</f>
        <v>check listing</v>
      </c>
      <c r="AB1937" s="5" t="str">
        <f>HYPERLINK("https://propertylookup.dupagecounty.gov/Datalets/Datalet.aspx?UseSearch=no&amp;mode=sales&amp;pin=0908405016","sales record")</f>
        <v>sales record</v>
      </c>
      <c r="AC1937" t="s">
        <v>3</v>
      </c>
      <c r="AD1937">
        <v>41.794695</v>
      </c>
      <c r="AE1937">
        <v>-88.000289</v>
      </c>
      <c r="AF1937" s="5" t="str">
        <f>HYPERLINK("https://www.google.com/maps/search/?api=1&amp;query=41.794695,-88.000289","map")</f>
        <v>map</v>
      </c>
    </row>
    <row r="1938" spans="1:32">
      <c r="A1938" t="s">
        <v>1988</v>
      </c>
      <c r="B1938" t="s">
        <v>9548</v>
      </c>
      <c r="C1938" t="s">
        <v>15368</v>
      </c>
      <c r="D1938" t="s">
        <v>16199</v>
      </c>
      <c r="E1938" t="s">
        <v>16218</v>
      </c>
      <c r="F1938" t="s">
        <v>16221</v>
      </c>
      <c r="G1938" t="s">
        <v>16250</v>
      </c>
      <c r="H1938" t="s">
        <v>16250</v>
      </c>
      <c r="I1938" t="s">
        <v>16326</v>
      </c>
      <c r="J1938" t="s">
        <v>16385</v>
      </c>
      <c r="K1938">
        <v>0.121</v>
      </c>
      <c r="L1938">
        <v>5262</v>
      </c>
      <c r="M1938">
        <v>1616</v>
      </c>
      <c r="N1938" t="s">
        <v>16393</v>
      </c>
      <c r="O1938" s="4">
        <v>57513</v>
      </c>
      <c r="P1938" s="4">
        <v>101916</v>
      </c>
      <c r="Q1938" s="4">
        <v>159429</v>
      </c>
      <c r="R1938" s="4">
        <v>478287</v>
      </c>
      <c r="S1938" t="s">
        <v>18285</v>
      </c>
      <c r="T1938" s="6">
        <v>44562</v>
      </c>
      <c r="U1938" s="4">
        <v>420000</v>
      </c>
      <c r="V1938" t="s">
        <v>23739</v>
      </c>
      <c r="W1938" t="s">
        <v>24653</v>
      </c>
      <c r="X1938" t="s">
        <v>3</v>
      </c>
      <c r="AA1938" s="5" t="str">
        <f>HYPERLINK("https://www.zillow.com/homes/1224-WARREN-AVE-DOWNERS-GROVE-IL-605153501_rb/","check listing")</f>
        <v>check listing</v>
      </c>
      <c r="AB1938" s="5" t="str">
        <f>HYPERLINK("https://propertylookup.dupagecounty.gov/Datalets/Datalet.aspx?UseSearch=no&amp;mode=sales&amp;pin=0907217016","sales record")</f>
        <v>sales record</v>
      </c>
      <c r="AC1938" t="s">
        <v>3</v>
      </c>
      <c r="AD1938">
        <v>41.796442</v>
      </c>
      <c r="AE1938">
        <v>-88.015423</v>
      </c>
      <c r="AF1938" s="5" t="str">
        <f>HYPERLINK("https://www.google.com/maps/search/?api=1&amp;query=41.796442,-88.015423","map")</f>
        <v>map</v>
      </c>
    </row>
    <row r="1939" spans="1:32">
      <c r="A1939" t="s">
        <v>1989</v>
      </c>
      <c r="B1939" t="s">
        <v>9549</v>
      </c>
      <c r="C1939" t="s">
        <v>15277</v>
      </c>
      <c r="D1939" t="s">
        <v>16199</v>
      </c>
      <c r="E1939" t="s">
        <v>16218</v>
      </c>
      <c r="F1939" t="s">
        <v>16221</v>
      </c>
      <c r="G1939" t="s">
        <v>16250</v>
      </c>
      <c r="H1939" t="s">
        <v>16250</v>
      </c>
      <c r="I1939" t="s">
        <v>16326</v>
      </c>
      <c r="J1939" t="s">
        <v>16385</v>
      </c>
      <c r="K1939">
        <v>0.111</v>
      </c>
      <c r="L1939">
        <v>4829</v>
      </c>
      <c r="M1939">
        <v>1088</v>
      </c>
      <c r="N1939" t="s">
        <v>16393</v>
      </c>
      <c r="O1939" s="4">
        <v>54485</v>
      </c>
      <c r="P1939" s="4">
        <v>109134</v>
      </c>
      <c r="Q1939" s="4">
        <v>163619</v>
      </c>
      <c r="R1939" s="4">
        <v>490857</v>
      </c>
      <c r="S1939" t="s">
        <v>17695</v>
      </c>
      <c r="T1939" s="6">
        <v>38443</v>
      </c>
      <c r="U1939" s="4">
        <v>389250</v>
      </c>
      <c r="V1939" t="s">
        <v>23739</v>
      </c>
      <c r="W1939" t="s">
        <v>24646</v>
      </c>
      <c r="X1939" t="s">
        <v>3</v>
      </c>
      <c r="AA1939" s="5" t="str">
        <f>HYPERLINK("https://www.zillow.com/homes/4938-SARATOGA-ST-DOWNERS-GROVE-IL-60515_rb/","check listing")</f>
        <v>check listing</v>
      </c>
      <c r="AB1939" s="5" t="str">
        <f>HYPERLINK("https://propertylookup.dupagecounty.gov/Datalets/Datalet.aspx?UseSearch=no&amp;mode=sales&amp;pin=0908114009","sales record")</f>
        <v>sales record</v>
      </c>
      <c r="AC1939" t="s">
        <v>3</v>
      </c>
      <c r="AD1939">
        <v>41.796955</v>
      </c>
      <c r="AE1939">
        <v>-88.014189</v>
      </c>
      <c r="AF1939" s="5" t="str">
        <f>HYPERLINK("https://www.google.com/maps/search/?api=1&amp;query=41.796955,-88.014189","map")</f>
        <v>map</v>
      </c>
    </row>
    <row r="1940" spans="1:32">
      <c r="A1940" t="s">
        <v>1990</v>
      </c>
      <c r="B1940" t="s">
        <v>9550</v>
      </c>
      <c r="C1940" t="s">
        <v>15369</v>
      </c>
      <c r="D1940" t="s">
        <v>16199</v>
      </c>
      <c r="E1940" t="s">
        <v>16218</v>
      </c>
      <c r="F1940" t="s">
        <v>16221</v>
      </c>
      <c r="G1940" t="s">
        <v>16250</v>
      </c>
      <c r="H1940" t="s">
        <v>16250</v>
      </c>
      <c r="I1940" t="s">
        <v>16326</v>
      </c>
      <c r="J1940" t="s">
        <v>16385</v>
      </c>
      <c r="K1940">
        <v>0.08400000000000001</v>
      </c>
      <c r="L1940">
        <v>3650</v>
      </c>
      <c r="M1940">
        <v>996</v>
      </c>
      <c r="N1940" t="s">
        <v>16393</v>
      </c>
      <c r="O1940" s="4">
        <v>43264</v>
      </c>
      <c r="P1940" s="4">
        <v>86211</v>
      </c>
      <c r="Q1940" s="4">
        <v>129475</v>
      </c>
      <c r="R1940" s="4">
        <v>388425</v>
      </c>
      <c r="S1940" t="s">
        <v>18286</v>
      </c>
      <c r="T1940" s="6">
        <v>42795</v>
      </c>
      <c r="U1940" s="4">
        <v>218000</v>
      </c>
      <c r="V1940" t="s">
        <v>23739</v>
      </c>
      <c r="W1940" t="s">
        <v>24654</v>
      </c>
      <c r="X1940" t="s">
        <v>3</v>
      </c>
      <c r="AA1940" s="5" t="str">
        <f>HYPERLINK("https://www.zillow.com/homes/609-MAPLE-AVE-DOWNERS-GROVE-IL-605155010_rb/","check listing")</f>
        <v>check listing</v>
      </c>
      <c r="AB1940" s="5" t="str">
        <f>HYPERLINK("https://propertylookup.dupagecounty.gov/Datalets/Datalet.aspx?UseSearch=no&amp;mode=sales&amp;pin=0908405004","sales record")</f>
        <v>sales record</v>
      </c>
      <c r="AC1940" t="s">
        <v>3</v>
      </c>
      <c r="AD1940">
        <v>41.794795</v>
      </c>
      <c r="AE1940">
        <v>-87.999663</v>
      </c>
      <c r="AF1940" s="5" t="str">
        <f>HYPERLINK("https://www.google.com/maps/search/?api=1&amp;query=41.794795,-87.999663","map")</f>
        <v>map</v>
      </c>
    </row>
    <row r="1941" spans="1:32">
      <c r="A1941" t="s">
        <v>1991</v>
      </c>
      <c r="B1941" t="s">
        <v>9551</v>
      </c>
      <c r="C1941" t="s">
        <v>15254</v>
      </c>
      <c r="D1941" t="s">
        <v>16199</v>
      </c>
      <c r="E1941" t="s">
        <v>16218</v>
      </c>
      <c r="F1941" t="s">
        <v>16221</v>
      </c>
      <c r="G1941" t="s">
        <v>16249</v>
      </c>
      <c r="H1941" t="s">
        <v>16249</v>
      </c>
      <c r="I1941" t="s">
        <v>16325</v>
      </c>
      <c r="J1941" t="s">
        <v>16385</v>
      </c>
      <c r="K1941">
        <v>0.077</v>
      </c>
      <c r="L1941">
        <v>3375</v>
      </c>
      <c r="N1941" t="s">
        <v>16393</v>
      </c>
      <c r="O1941" s="4">
        <v>17313</v>
      </c>
      <c r="P1941" s="4">
        <v>154840</v>
      </c>
      <c r="Q1941" s="4">
        <v>172153</v>
      </c>
      <c r="R1941" s="4">
        <v>516459</v>
      </c>
      <c r="S1941" t="s">
        <v>18287</v>
      </c>
      <c r="T1941" s="6">
        <v>43862</v>
      </c>
      <c r="U1941" s="4">
        <v>426000</v>
      </c>
      <c r="V1941" t="s">
        <v>23739</v>
      </c>
      <c r="W1941" t="s">
        <v>24655</v>
      </c>
      <c r="X1941" t="s">
        <v>3</v>
      </c>
      <c r="AA1941" s="5" t="str">
        <f>HYPERLINK("https://www.zillow.com/homes/1137-CRYSTAL-AVE-DOWNERS-GROVE-IL-60516_rb/","check listing")</f>
        <v>check listing</v>
      </c>
      <c r="AB1941" s="5" t="str">
        <f>HYPERLINK("https://propertylookup.dupagecounty.gov/Datalets/Datalet.aspx?UseSearch=no&amp;mode=sales&amp;pin=0929100129","sales record")</f>
        <v>sales record</v>
      </c>
      <c r="AC1941" t="s">
        <v>3</v>
      </c>
      <c r="AD1941">
        <v>41.756038</v>
      </c>
      <c r="AE1941">
        <v>-88.011287</v>
      </c>
      <c r="AF1941" s="5" t="str">
        <f>HYPERLINK("https://www.google.com/maps/search/?api=1&amp;query=41.756038,-88.011287","map")</f>
        <v>map</v>
      </c>
    </row>
    <row r="1942" spans="1:32">
      <c r="A1942" t="s">
        <v>1992</v>
      </c>
      <c r="B1942" t="s">
        <v>9552</v>
      </c>
      <c r="C1942" t="s">
        <v>15254</v>
      </c>
      <c r="D1942" t="s">
        <v>16199</v>
      </c>
      <c r="E1942" t="s">
        <v>16218</v>
      </c>
      <c r="F1942" t="s">
        <v>16221</v>
      </c>
      <c r="G1942" t="s">
        <v>16249</v>
      </c>
      <c r="H1942" t="s">
        <v>16249</v>
      </c>
      <c r="I1942" t="s">
        <v>16325</v>
      </c>
      <c r="J1942" t="s">
        <v>16385</v>
      </c>
      <c r="K1942">
        <v>0.077</v>
      </c>
      <c r="L1942">
        <v>3373</v>
      </c>
      <c r="N1942" t="s">
        <v>16393</v>
      </c>
      <c r="O1942" s="4">
        <v>17207</v>
      </c>
      <c r="P1942" s="4">
        <v>154840</v>
      </c>
      <c r="Q1942" s="4">
        <v>172047</v>
      </c>
      <c r="R1942" s="4">
        <v>516141</v>
      </c>
      <c r="S1942" t="s">
        <v>18288</v>
      </c>
      <c r="T1942" s="6">
        <v>43891</v>
      </c>
      <c r="U1942" s="4">
        <v>434000</v>
      </c>
      <c r="V1942" t="s">
        <v>23739</v>
      </c>
      <c r="W1942" t="s">
        <v>24656</v>
      </c>
      <c r="X1942" t="s">
        <v>3</v>
      </c>
      <c r="AA1942" s="5" t="str">
        <f>HYPERLINK("https://www.zillow.com/homes/1133-CRYSTAL-AVE-DOWNERS-GROVE-IL-60516_rb/","check listing")</f>
        <v>check listing</v>
      </c>
      <c r="AB1942" s="5" t="str">
        <f>HYPERLINK("https://propertylookup.dupagecounty.gov/Datalets/Datalet.aspx?UseSearch=no&amp;mode=sales&amp;pin=0929100130","sales record")</f>
        <v>sales record</v>
      </c>
      <c r="AC1942" t="s">
        <v>3</v>
      </c>
      <c r="AD1942">
        <v>41.756039</v>
      </c>
      <c r="AE1942">
        <v>-88.011185</v>
      </c>
      <c r="AF1942" s="5" t="str">
        <f>HYPERLINK("https://www.google.com/maps/search/?api=1&amp;query=41.756039,-88.011185","map")</f>
        <v>map</v>
      </c>
    </row>
    <row r="1943" spans="1:32">
      <c r="A1943" t="s">
        <v>1993</v>
      </c>
      <c r="B1943" t="s">
        <v>9553</v>
      </c>
      <c r="C1943" t="s">
        <v>15254</v>
      </c>
      <c r="D1943" t="s">
        <v>16199</v>
      </c>
      <c r="E1943" t="s">
        <v>16217</v>
      </c>
      <c r="F1943" t="s">
        <v>16221</v>
      </c>
      <c r="G1943" t="s">
        <v>16249</v>
      </c>
      <c r="H1943" t="s">
        <v>16249</v>
      </c>
      <c r="I1943" t="s">
        <v>16325</v>
      </c>
      <c r="J1943" t="s">
        <v>16385</v>
      </c>
      <c r="K1943">
        <v>1.45</v>
      </c>
      <c r="L1943">
        <v>63143</v>
      </c>
      <c r="N1943" t="s">
        <v>16393</v>
      </c>
      <c r="O1943" s="4">
        <v>138654</v>
      </c>
      <c r="P1943" s="4">
        <v>0</v>
      </c>
      <c r="Q1943" s="4">
        <v>138654</v>
      </c>
      <c r="R1943" s="4">
        <v>415962</v>
      </c>
      <c r="S1943" t="s">
        <v>18289</v>
      </c>
      <c r="T1943" s="6">
        <v>40940</v>
      </c>
      <c r="U1943" s="4">
        <v>260000</v>
      </c>
      <c r="V1943" t="s">
        <v>23739</v>
      </c>
      <c r="W1943" t="s">
        <v>24657</v>
      </c>
      <c r="X1943" t="s">
        <v>3</v>
      </c>
      <c r="AA1943" s="5" t="str">
        <f>HYPERLINK("https://www.zillow.com/homes/950-75TH-ST-DOWNERS-GROVE-IL-60516_rb/","check listing")</f>
        <v>check listing</v>
      </c>
      <c r="AB1943" s="5" t="str">
        <f>HYPERLINK("https://propertylookup.dupagecounty.gov/Datalets/Datalet.aspx?UseSearch=no&amp;mode=sales&amp;pin=0929105018","sales record")</f>
        <v>sales record</v>
      </c>
      <c r="AC1943" t="s">
        <v>3</v>
      </c>
      <c r="AD1943">
        <v>41.751958</v>
      </c>
      <c r="AE1943">
        <v>-88.004721</v>
      </c>
      <c r="AF1943" s="5" t="str">
        <f>HYPERLINK("https://www.google.com/maps/search/?api=1&amp;query=41.751958,-88.004721","map")</f>
        <v>map</v>
      </c>
    </row>
    <row r="1944" spans="1:32">
      <c r="A1944" t="s">
        <v>1994</v>
      </c>
      <c r="B1944" t="s">
        <v>9554</v>
      </c>
      <c r="C1944" t="s">
        <v>15254</v>
      </c>
      <c r="D1944" t="s">
        <v>16199</v>
      </c>
      <c r="E1944" t="s">
        <v>16217</v>
      </c>
      <c r="F1944" t="s">
        <v>16221</v>
      </c>
      <c r="G1944" t="s">
        <v>16249</v>
      </c>
      <c r="H1944" t="s">
        <v>16249</v>
      </c>
      <c r="I1944" t="s">
        <v>16325</v>
      </c>
      <c r="J1944" t="s">
        <v>16385</v>
      </c>
      <c r="K1944">
        <v>0.99</v>
      </c>
      <c r="L1944">
        <v>43134</v>
      </c>
      <c r="M1944">
        <v>2464</v>
      </c>
      <c r="N1944" t="s">
        <v>16393</v>
      </c>
      <c r="O1944" s="4">
        <v>148290</v>
      </c>
      <c r="P1944" s="4">
        <v>0</v>
      </c>
      <c r="Q1944" s="4">
        <v>148290</v>
      </c>
      <c r="R1944" s="4">
        <v>444870</v>
      </c>
      <c r="S1944" t="s">
        <v>18290</v>
      </c>
      <c r="T1944" s="6">
        <v>46042</v>
      </c>
      <c r="U1944" s="4">
        <v>485000</v>
      </c>
      <c r="V1944" t="s">
        <v>23739</v>
      </c>
      <c r="W1944" t="s">
        <v>24658</v>
      </c>
      <c r="X1944" t="s">
        <v>3</v>
      </c>
      <c r="AA1944" s="5" t="str">
        <f>HYPERLINK("https://www.zillow.com/homes/7143-DUNHAM-RD-DOWNERS-GROVE-IL-60516_rb/","check listing")</f>
        <v>check listing</v>
      </c>
      <c r="AB1944" s="5" t="str">
        <f>HYPERLINK("https://propertylookup.dupagecounty.gov/Datalets/Datalet.aspx?UseSearch=no&amp;mode=sales&amp;pin=0929100123","sales record")</f>
        <v>sales record</v>
      </c>
      <c r="AC1944" t="s">
        <v>11</v>
      </c>
      <c r="AD1944">
        <v>41.756022</v>
      </c>
      <c r="AE1944">
        <v>-88.012168</v>
      </c>
      <c r="AF1944" s="5" t="str">
        <f>HYPERLINK("https://www.google.com/maps/search/?api=1&amp;query=41.756022,-88.012168","map")</f>
        <v>map</v>
      </c>
    </row>
    <row r="1945" spans="1:32">
      <c r="A1945" t="s">
        <v>1995</v>
      </c>
      <c r="B1945" t="s">
        <v>9555</v>
      </c>
      <c r="C1945" t="s">
        <v>15254</v>
      </c>
      <c r="D1945" t="s">
        <v>16199</v>
      </c>
      <c r="E1945" t="s">
        <v>16217</v>
      </c>
      <c r="F1945" t="s">
        <v>16221</v>
      </c>
      <c r="G1945" t="s">
        <v>16249</v>
      </c>
      <c r="H1945" t="s">
        <v>16249</v>
      </c>
      <c r="I1945" t="s">
        <v>16325</v>
      </c>
      <c r="J1945" t="s">
        <v>16385</v>
      </c>
      <c r="K1945">
        <v>0.251</v>
      </c>
      <c r="L1945">
        <v>10926</v>
      </c>
      <c r="N1945" t="s">
        <v>16393</v>
      </c>
      <c r="O1945" s="4">
        <v>76093</v>
      </c>
      <c r="P1945" s="4">
        <v>0</v>
      </c>
      <c r="Q1945" s="4">
        <v>76093</v>
      </c>
      <c r="R1945" s="4">
        <v>228279</v>
      </c>
      <c r="S1945" t="s">
        <v>18291</v>
      </c>
      <c r="X1945" t="s">
        <v>3</v>
      </c>
      <c r="AA1945" s="5" t="str">
        <f>HYPERLINK("https://www.zillow.com/homes/7129-MATTHIAS-RD-DOWNERS-GROVE-IL-60516_rb/","check listing")</f>
        <v>check listing</v>
      </c>
      <c r="AB1945" s="5" t="str">
        <f>HYPERLINK("https://propertylookup.dupagecounty.gov/Datalets/Datalet.aspx?UseSearch=no&amp;mode=sales&amp;pin=0929117004","sales record")</f>
        <v>sales record</v>
      </c>
      <c r="AC1945" t="s">
        <v>3</v>
      </c>
      <c r="AD1945">
        <v>41.75686</v>
      </c>
      <c r="AE1945">
        <v>-88.01073100000001</v>
      </c>
      <c r="AF1945" s="5" t="str">
        <f>HYPERLINK("https://www.google.com/maps/search/?api=1&amp;query=41.75686,-88.010731","map")</f>
        <v>map</v>
      </c>
    </row>
    <row r="1946" spans="1:32">
      <c r="A1946" t="s">
        <v>1996</v>
      </c>
      <c r="B1946" t="s">
        <v>9556</v>
      </c>
      <c r="C1946" t="s">
        <v>15254</v>
      </c>
      <c r="D1946" t="s">
        <v>16199</v>
      </c>
      <c r="E1946" t="s">
        <v>16217</v>
      </c>
      <c r="F1946" t="s">
        <v>16221</v>
      </c>
      <c r="G1946" t="s">
        <v>16249</v>
      </c>
      <c r="H1946" t="s">
        <v>16249</v>
      </c>
      <c r="I1946" t="s">
        <v>16325</v>
      </c>
      <c r="J1946" t="s">
        <v>16385</v>
      </c>
      <c r="K1946">
        <v>0.25</v>
      </c>
      <c r="L1946">
        <v>10879</v>
      </c>
      <c r="M1946">
        <v>590</v>
      </c>
      <c r="N1946" t="s">
        <v>16393</v>
      </c>
      <c r="O1946" s="4">
        <v>74227</v>
      </c>
      <c r="P1946" s="4">
        <v>0</v>
      </c>
      <c r="Q1946" s="4">
        <v>74227</v>
      </c>
      <c r="R1946" s="4">
        <v>222681</v>
      </c>
      <c r="S1946" t="s">
        <v>18291</v>
      </c>
      <c r="X1946" t="s">
        <v>3</v>
      </c>
      <c r="AA1946" s="5" t="str">
        <f>HYPERLINK("https://www.zillow.com/homes/7123-DUNHAM-RD-DOWNERS-GROVE-IL-60516_rb/","check listing")</f>
        <v>check listing</v>
      </c>
      <c r="AB1946" s="5" t="str">
        <f>HYPERLINK("https://propertylookup.dupagecounty.gov/Datalets/Datalet.aspx?UseSearch=no&amp;mode=sales&amp;pin=0929116017","sales record")</f>
        <v>sales record</v>
      </c>
      <c r="AC1946" t="s">
        <v>11</v>
      </c>
      <c r="AD1946">
        <v>41.757012</v>
      </c>
      <c r="AE1946">
        <v>-88.01258900000001</v>
      </c>
      <c r="AF1946" s="5" t="str">
        <f>HYPERLINK("https://www.google.com/maps/search/?api=1&amp;query=41.757012,-88.012589","map")</f>
        <v>map</v>
      </c>
    </row>
    <row r="1947" spans="1:32">
      <c r="A1947" t="s">
        <v>1997</v>
      </c>
      <c r="B1947" t="s">
        <v>9557</v>
      </c>
      <c r="C1947" t="s">
        <v>15254</v>
      </c>
      <c r="D1947" t="s">
        <v>16199</v>
      </c>
      <c r="E1947" t="s">
        <v>16217</v>
      </c>
      <c r="F1947" t="s">
        <v>16221</v>
      </c>
      <c r="G1947" t="s">
        <v>16249</v>
      </c>
      <c r="H1947" t="s">
        <v>16249</v>
      </c>
      <c r="I1947" t="s">
        <v>16325</v>
      </c>
      <c r="J1947" t="s">
        <v>16385</v>
      </c>
      <c r="K1947">
        <v>0.25</v>
      </c>
      <c r="L1947">
        <v>10875</v>
      </c>
      <c r="N1947" t="s">
        <v>16393</v>
      </c>
      <c r="O1947" s="4">
        <v>76093</v>
      </c>
      <c r="P1947" s="4">
        <v>0</v>
      </c>
      <c r="Q1947" s="4">
        <v>76093</v>
      </c>
      <c r="R1947" s="4">
        <v>228279</v>
      </c>
      <c r="S1947" t="s">
        <v>18291</v>
      </c>
      <c r="X1947" t="s">
        <v>3</v>
      </c>
      <c r="AA1947" s="5" t="str">
        <f>HYPERLINK("https://www.zillow.com/homes/7125-MATTHIAS-RD-DOWNERS-GROVE-IL-60516_rb/","check listing")</f>
        <v>check listing</v>
      </c>
      <c r="AB1947" s="5" t="str">
        <f>HYPERLINK("https://propertylookup.dupagecounty.gov/Datalets/Datalet.aspx?UseSearch=no&amp;mode=sales&amp;pin=0929117003","sales record")</f>
        <v>sales record</v>
      </c>
      <c r="AC1947" t="s">
        <v>3</v>
      </c>
      <c r="AD1947">
        <v>41.757055</v>
      </c>
      <c r="AE1947">
        <v>-88.01073599999999</v>
      </c>
      <c r="AF1947" s="5" t="str">
        <f>HYPERLINK("https://www.google.com/maps/search/?api=1&amp;query=41.757055,-88.010736","map")</f>
        <v>map</v>
      </c>
    </row>
    <row r="1948" spans="1:32">
      <c r="A1948" t="s">
        <v>1998</v>
      </c>
      <c r="B1948" t="s">
        <v>9558</v>
      </c>
      <c r="C1948" t="s">
        <v>15254</v>
      </c>
      <c r="D1948" t="s">
        <v>16199</v>
      </c>
      <c r="E1948" t="s">
        <v>16217</v>
      </c>
      <c r="F1948" t="s">
        <v>16221</v>
      </c>
      <c r="G1948" t="s">
        <v>16249</v>
      </c>
      <c r="H1948" t="s">
        <v>16249</v>
      </c>
      <c r="I1948" t="s">
        <v>16325</v>
      </c>
      <c r="J1948" t="s">
        <v>16385</v>
      </c>
      <c r="K1948">
        <v>0.25</v>
      </c>
      <c r="L1948">
        <v>10872</v>
      </c>
      <c r="N1948" t="s">
        <v>16393</v>
      </c>
      <c r="O1948" s="4">
        <v>74227</v>
      </c>
      <c r="P1948" s="4">
        <v>0</v>
      </c>
      <c r="Q1948" s="4">
        <v>74227</v>
      </c>
      <c r="R1948" s="4">
        <v>222681</v>
      </c>
      <c r="S1948" t="s">
        <v>18291</v>
      </c>
      <c r="X1948" t="s">
        <v>3</v>
      </c>
      <c r="AA1948" s="5" t="str">
        <f>HYPERLINK("https://www.zillow.com/homes/7127-DUNHAM-RD-DOWNERS-GROVE-IL-60516_rb/","check listing")</f>
        <v>check listing</v>
      </c>
      <c r="AB1948" s="5" t="str">
        <f>HYPERLINK("https://propertylookup.dupagecounty.gov/Datalets/Datalet.aspx?UseSearch=no&amp;mode=sales&amp;pin=0929116018","sales record")</f>
        <v>sales record</v>
      </c>
      <c r="AC1948" t="s">
        <v>3</v>
      </c>
      <c r="AD1948">
        <v>41.756806</v>
      </c>
      <c r="AE1948">
        <v>-88.012581</v>
      </c>
      <c r="AF1948" s="5" t="str">
        <f>HYPERLINK("https://www.google.com/maps/search/?api=1&amp;query=41.756806,-88.012581","map")</f>
        <v>map</v>
      </c>
    </row>
    <row r="1949" spans="1:32">
      <c r="A1949" t="s">
        <v>1999</v>
      </c>
      <c r="B1949" t="s">
        <v>9559</v>
      </c>
      <c r="C1949" t="s">
        <v>15370</v>
      </c>
      <c r="D1949" t="s">
        <v>16199</v>
      </c>
      <c r="E1949" t="s">
        <v>16217</v>
      </c>
      <c r="F1949" t="s">
        <v>16221</v>
      </c>
      <c r="G1949" t="s">
        <v>16250</v>
      </c>
      <c r="H1949" t="s">
        <v>16250</v>
      </c>
      <c r="I1949" t="s">
        <v>16326</v>
      </c>
      <c r="J1949" t="s">
        <v>16385</v>
      </c>
      <c r="K1949">
        <v>0.235</v>
      </c>
      <c r="L1949">
        <v>10257</v>
      </c>
      <c r="N1949" t="s">
        <v>16393</v>
      </c>
      <c r="O1949" s="4">
        <v>62772</v>
      </c>
      <c r="P1949" s="4">
        <v>0</v>
      </c>
      <c r="Q1949" s="4">
        <v>62772</v>
      </c>
      <c r="R1949" s="4">
        <v>188316</v>
      </c>
      <c r="S1949" t="s">
        <v>18292</v>
      </c>
      <c r="T1949" s="6">
        <v>40330</v>
      </c>
      <c r="U1949" s="4">
        <v>183000</v>
      </c>
      <c r="V1949" t="s">
        <v>23740</v>
      </c>
      <c r="W1949" t="s">
        <v>24659</v>
      </c>
      <c r="X1949" t="s">
        <v>3</v>
      </c>
      <c r="AA1949" s="5" t="str">
        <f>HYPERLINK("https://www.zillow.com/homes/4921-FLORENCE-AVE-DOWNERS-GROVE-IL-605153933_rb/","check listing")</f>
        <v>check listing</v>
      </c>
      <c r="AB1949" s="5" t="str">
        <f>HYPERLINK("https://propertylookup.dupagecounty.gov/Datalets/Datalet.aspx?UseSearch=no&amp;mode=sales&amp;pin=0909108004","sales record")</f>
        <v>sales record</v>
      </c>
      <c r="AC1949" t="s">
        <v>3</v>
      </c>
      <c r="AD1949">
        <v>41.79832</v>
      </c>
      <c r="AE1949">
        <v>-87.991342</v>
      </c>
      <c r="AF1949" s="5" t="str">
        <f>HYPERLINK("https://www.google.com/maps/search/?api=1&amp;query=41.79832,-87.991342","map")</f>
        <v>map</v>
      </c>
    </row>
    <row r="1950" spans="1:32">
      <c r="A1950" t="s">
        <v>2000</v>
      </c>
      <c r="B1950" t="s">
        <v>9560</v>
      </c>
      <c r="C1950" t="s">
        <v>15277</v>
      </c>
      <c r="D1950" t="s">
        <v>16199</v>
      </c>
      <c r="E1950" t="s">
        <v>16217</v>
      </c>
      <c r="F1950" t="s">
        <v>16221</v>
      </c>
      <c r="G1950" t="s">
        <v>16250</v>
      </c>
      <c r="H1950" t="s">
        <v>16250</v>
      </c>
      <c r="I1950" t="s">
        <v>16326</v>
      </c>
      <c r="J1950" t="s">
        <v>16385</v>
      </c>
      <c r="K1950">
        <v>0.158</v>
      </c>
      <c r="L1950">
        <v>6900</v>
      </c>
      <c r="N1950" t="s">
        <v>16393</v>
      </c>
      <c r="O1950" s="4">
        <v>59274</v>
      </c>
      <c r="P1950" s="4">
        <v>0</v>
      </c>
      <c r="Q1950" s="4">
        <v>59274</v>
      </c>
      <c r="R1950" s="4">
        <v>177822</v>
      </c>
      <c r="S1950" t="s">
        <v>18276</v>
      </c>
      <c r="T1950" s="6">
        <v>29860</v>
      </c>
      <c r="U1950" s="4">
        <v>73000</v>
      </c>
      <c r="X1950" t="s">
        <v>3</v>
      </c>
      <c r="AA1950" s="5" t="str">
        <f>HYPERLINK("https://www.zillow.com/homes/4944-HIGHLAND-AVE-DOWNERS-GROVE-IL-60515_rb/","check listing")</f>
        <v>check listing</v>
      </c>
      <c r="AB1950" s="5" t="str">
        <f>HYPERLINK("https://propertylookup.dupagecounty.gov/Datalets/Datalet.aspx?UseSearch=no&amp;mode=sales&amp;pin=0908117022","sales record")</f>
        <v>sales record</v>
      </c>
      <c r="AC1950" t="s">
        <v>27872</v>
      </c>
      <c r="AD1950">
        <v>41.796725</v>
      </c>
      <c r="AE1950">
        <v>-88.009705</v>
      </c>
      <c r="AF1950" s="5" t="str">
        <f>HYPERLINK("https://www.google.com/maps/search/?api=1&amp;query=41.796725,-88.009705","map")</f>
        <v>map</v>
      </c>
    </row>
    <row r="1951" spans="1:32">
      <c r="A1951" t="s">
        <v>2001</v>
      </c>
      <c r="B1951" t="s">
        <v>9127</v>
      </c>
      <c r="C1951" t="s">
        <v>15317</v>
      </c>
      <c r="D1951" t="s">
        <v>16199</v>
      </c>
      <c r="E1951" t="s">
        <v>16217</v>
      </c>
      <c r="F1951" t="s">
        <v>16221</v>
      </c>
      <c r="G1951" t="s">
        <v>16250</v>
      </c>
      <c r="H1951" t="s">
        <v>16250</v>
      </c>
      <c r="I1951" t="s">
        <v>16326</v>
      </c>
      <c r="J1951" t="s">
        <v>16385</v>
      </c>
      <c r="K1951">
        <v>0.07199999999999999</v>
      </c>
      <c r="L1951">
        <v>3156</v>
      </c>
      <c r="N1951" t="s">
        <v>16393</v>
      </c>
      <c r="O1951" s="4">
        <v>35845</v>
      </c>
      <c r="P1951" s="4">
        <v>0</v>
      </c>
      <c r="Q1951" s="4">
        <v>35845</v>
      </c>
      <c r="R1951" s="4">
        <v>107535</v>
      </c>
      <c r="S1951" t="s">
        <v>17865</v>
      </c>
      <c r="T1951" s="6">
        <v>31352</v>
      </c>
      <c r="U1951" s="4">
        <v>123500</v>
      </c>
      <c r="X1951" t="s">
        <v>3</v>
      </c>
      <c r="AA1951" s="5" t="str">
        <f>HYPERLINK("https://www.zillow.com/homes/4916-SARATOGA-AVE-DOWNERS-GROVE-IL-605153531_rb/","check listing")</f>
        <v>check listing</v>
      </c>
      <c r="AB1951" s="5" t="str">
        <f>HYPERLINK("https://propertylookup.dupagecounty.gov/Datalets/Datalet.aspx?UseSearch=no&amp;mode=sales&amp;pin=0908114013","sales record")</f>
        <v>sales record</v>
      </c>
      <c r="AC1951" t="s">
        <v>27872</v>
      </c>
      <c r="AD1951">
        <v>41.797842</v>
      </c>
      <c r="AE1951">
        <v>-88.01421999999999</v>
      </c>
      <c r="AF1951" s="5" t="str">
        <f>HYPERLINK("https://www.google.com/maps/search/?api=1&amp;query=41.797842,-88.01422","map")</f>
        <v>map</v>
      </c>
    </row>
    <row r="1952" spans="1:32">
      <c r="A1952" t="s">
        <v>2002</v>
      </c>
      <c r="B1952" t="s">
        <v>9561</v>
      </c>
      <c r="C1952" t="s">
        <v>15371</v>
      </c>
      <c r="D1952" t="s">
        <v>16200</v>
      </c>
      <c r="E1952" t="s">
        <v>16218</v>
      </c>
      <c r="F1952" t="s">
        <v>16222</v>
      </c>
      <c r="G1952" t="s">
        <v>16251</v>
      </c>
      <c r="H1952" t="s">
        <v>16251</v>
      </c>
      <c r="I1952" t="s">
        <v>16327</v>
      </c>
      <c r="J1952" t="s">
        <v>16386</v>
      </c>
      <c r="K1952">
        <v>0.07099999999999999</v>
      </c>
      <c r="L1952">
        <v>3084</v>
      </c>
      <c r="N1952" t="s">
        <v>16393</v>
      </c>
      <c r="O1952" s="4">
        <v>42772</v>
      </c>
      <c r="P1952" s="4">
        <v>323419</v>
      </c>
      <c r="Q1952" s="4">
        <v>366191</v>
      </c>
      <c r="R1952" s="4">
        <v>1098573</v>
      </c>
      <c r="S1952" t="s">
        <v>18293</v>
      </c>
      <c r="T1952" s="6">
        <v>45323</v>
      </c>
      <c r="U1952" s="4">
        <v>1110000</v>
      </c>
      <c r="V1952" t="s">
        <v>16232</v>
      </c>
      <c r="W1952" t="s">
        <v>24660</v>
      </c>
      <c r="X1952" t="s">
        <v>3</v>
      </c>
      <c r="AA1952" s="5" t="str">
        <f>HYPERLINK("https://www.zillow.com/homes/264-N-ADDISON-AVE-ELMHURST-IL-601262723_rb/","check listing")</f>
        <v>check listing</v>
      </c>
      <c r="AB1952" s="5" t="str">
        <f>HYPERLINK("https://propertylookup.dupagecounty.gov/Datalets/Datalet.aspx?UseSearch=no&amp;mode=sales&amp;pin=0602205058","sales record")</f>
        <v>sales record</v>
      </c>
      <c r="AC1952" t="s">
        <v>27873</v>
      </c>
      <c r="AD1952">
        <v>41.905698</v>
      </c>
      <c r="AE1952">
        <v>-87.94192200000001</v>
      </c>
      <c r="AF1952" s="5" t="str">
        <f>HYPERLINK("https://www.google.com/maps/search/?api=1&amp;query=41.905698,-87.941922","map")</f>
        <v>map</v>
      </c>
    </row>
    <row r="1953" spans="1:32">
      <c r="A1953" t="s">
        <v>2003</v>
      </c>
      <c r="B1953" t="s">
        <v>9562</v>
      </c>
      <c r="C1953" t="s">
        <v>15109</v>
      </c>
      <c r="D1953" t="s">
        <v>16200</v>
      </c>
      <c r="E1953" t="s">
        <v>16217</v>
      </c>
      <c r="F1953" t="s">
        <v>16222</v>
      </c>
      <c r="G1953" t="s">
        <v>16252</v>
      </c>
      <c r="H1953" t="s">
        <v>16252</v>
      </c>
      <c r="I1953" t="s">
        <v>16328</v>
      </c>
      <c r="J1953" t="s">
        <v>16386</v>
      </c>
      <c r="K1953">
        <v>0.344</v>
      </c>
      <c r="L1953">
        <v>14989</v>
      </c>
      <c r="N1953" t="s">
        <v>16392</v>
      </c>
      <c r="O1953" s="4">
        <v>124093</v>
      </c>
      <c r="P1953" s="4">
        <v>0</v>
      </c>
      <c r="Q1953" s="4">
        <v>124093</v>
      </c>
      <c r="R1953" s="4">
        <v>372279</v>
      </c>
      <c r="S1953" t="s">
        <v>18294</v>
      </c>
      <c r="X1953" t="s">
        <v>3</v>
      </c>
      <c r="AA1953" s="5" t="str">
        <f>HYPERLINK("https://www.zillow.com/homes/153-SCHILLER-ST-ELMHURST-IL-60126_rb/","check listing")</f>
        <v>check listing</v>
      </c>
      <c r="AB1953" s="5" t="str">
        <f>HYPERLINK("https://propertylookup.dupagecounty.gov/Datalets/Datalet.aspx?UseSearch=no&amp;mode=sales&amp;pin=0601114038","sales record")</f>
        <v>sales record</v>
      </c>
      <c r="AC1953" t="s">
        <v>3</v>
      </c>
      <c r="AD1953">
        <v>41.901433</v>
      </c>
      <c r="AE1953">
        <v>-87.93672599999999</v>
      </c>
      <c r="AF1953" s="5" t="str">
        <f>HYPERLINK("https://www.google.com/maps/search/?api=1&amp;query=41.901433,-87.936726","map")</f>
        <v>map</v>
      </c>
    </row>
    <row r="1954" spans="1:32">
      <c r="A1954" t="s">
        <v>2004</v>
      </c>
      <c r="B1954" t="s">
        <v>9562</v>
      </c>
      <c r="C1954" t="s">
        <v>15109</v>
      </c>
      <c r="D1954" t="s">
        <v>16200</v>
      </c>
      <c r="E1954" t="s">
        <v>16217</v>
      </c>
      <c r="F1954" t="s">
        <v>16222</v>
      </c>
      <c r="G1954" t="s">
        <v>16252</v>
      </c>
      <c r="H1954" t="s">
        <v>16252</v>
      </c>
      <c r="I1954" t="s">
        <v>16328</v>
      </c>
      <c r="J1954" t="s">
        <v>16386</v>
      </c>
      <c r="K1954">
        <v>0.258</v>
      </c>
      <c r="L1954">
        <v>11224</v>
      </c>
      <c r="N1954" t="s">
        <v>16392</v>
      </c>
      <c r="O1954" s="4">
        <v>93125</v>
      </c>
      <c r="P1954" s="4">
        <v>0</v>
      </c>
      <c r="Q1954" s="4">
        <v>93125</v>
      </c>
      <c r="R1954" s="4">
        <v>279375</v>
      </c>
      <c r="S1954" t="s">
        <v>18295</v>
      </c>
      <c r="X1954" t="s">
        <v>3</v>
      </c>
      <c r="AA1954" s="5" t="str">
        <f>HYPERLINK("https://www.zillow.com/homes/153-SCHILLER-ST-ELMHURST-IL-60126_rb/","check listing")</f>
        <v>check listing</v>
      </c>
      <c r="AB1954" s="5" t="str">
        <f>HYPERLINK("https://propertylookup.dupagecounty.gov/Datalets/Datalet.aspx?UseSearch=no&amp;mode=sales&amp;pin=0601114037","sales record")</f>
        <v>sales record</v>
      </c>
      <c r="AC1954" t="s">
        <v>27872</v>
      </c>
      <c r="AD1954">
        <v>41.901577</v>
      </c>
      <c r="AE1954">
        <v>-87.936724</v>
      </c>
      <c r="AF1954" s="5" t="str">
        <f>HYPERLINK("https://www.google.com/maps/search/?api=1&amp;query=41.901577,-87.936724","map")</f>
        <v>map</v>
      </c>
    </row>
    <row r="1955" spans="1:32">
      <c r="A1955" t="s">
        <v>2005</v>
      </c>
      <c r="B1955" t="s">
        <v>9563</v>
      </c>
      <c r="C1955" t="s">
        <v>15109</v>
      </c>
      <c r="D1955" t="s">
        <v>16200</v>
      </c>
      <c r="E1955" t="s">
        <v>16217</v>
      </c>
      <c r="F1955" t="s">
        <v>16222</v>
      </c>
      <c r="G1955" t="s">
        <v>16252</v>
      </c>
      <c r="H1955" t="s">
        <v>16252</v>
      </c>
      <c r="I1955" t="s">
        <v>16328</v>
      </c>
      <c r="J1955" t="s">
        <v>16386</v>
      </c>
      <c r="K1955">
        <v>0.246</v>
      </c>
      <c r="L1955">
        <v>10720</v>
      </c>
      <c r="M1955">
        <v>2696</v>
      </c>
      <c r="N1955" t="s">
        <v>16392</v>
      </c>
      <c r="O1955" s="4">
        <v>147142</v>
      </c>
      <c r="P1955" s="4">
        <v>0</v>
      </c>
      <c r="Q1955" s="4">
        <v>147142</v>
      </c>
      <c r="R1955" s="4">
        <v>441426</v>
      </c>
      <c r="S1955" t="s">
        <v>18296</v>
      </c>
      <c r="T1955" s="6">
        <v>42887</v>
      </c>
      <c r="U1955" s="4">
        <v>382000</v>
      </c>
      <c r="V1955" t="s">
        <v>23739</v>
      </c>
      <c r="W1955" t="s">
        <v>18296</v>
      </c>
      <c r="X1955" t="s">
        <v>3</v>
      </c>
      <c r="AA1955" s="5" t="str">
        <f>HYPERLINK("https://www.zillow.com/homes/168-N-ADDISON-AVE-ELMHURST-IL-60126_rb/","check listing")</f>
        <v>check listing</v>
      </c>
      <c r="AB1955" s="5" t="str">
        <f>HYPERLINK("https://propertylookup.dupagecounty.gov/Datalets/Datalet.aspx?UseSearch=no&amp;mode=sales&amp;pin=0602213015","sales record")</f>
        <v>sales record</v>
      </c>
      <c r="AC1955" t="s">
        <v>27871</v>
      </c>
      <c r="AD1955">
        <v>41.902376</v>
      </c>
      <c r="AE1955">
        <v>-87.94193199999999</v>
      </c>
      <c r="AF1955" s="5" t="str">
        <f>HYPERLINK("https://www.google.com/maps/search/?api=1&amp;query=41.902376,-87.941932","map")</f>
        <v>map</v>
      </c>
    </row>
    <row r="1956" spans="1:32">
      <c r="A1956" t="s">
        <v>2006</v>
      </c>
      <c r="B1956" t="s">
        <v>9564</v>
      </c>
      <c r="C1956" t="s">
        <v>15109</v>
      </c>
      <c r="D1956" t="s">
        <v>16200</v>
      </c>
      <c r="E1956" t="s">
        <v>16217</v>
      </c>
      <c r="F1956" t="s">
        <v>16222</v>
      </c>
      <c r="G1956" t="s">
        <v>16253</v>
      </c>
      <c r="H1956" t="s">
        <v>16253</v>
      </c>
      <c r="I1956" t="s">
        <v>16329</v>
      </c>
      <c r="J1956" t="s">
        <v>16386</v>
      </c>
      <c r="K1956">
        <v>0.222</v>
      </c>
      <c r="L1956">
        <v>9689</v>
      </c>
      <c r="N1956" t="s">
        <v>16392</v>
      </c>
      <c r="O1956" s="4">
        <v>140399</v>
      </c>
      <c r="P1956" s="4">
        <v>0</v>
      </c>
      <c r="Q1956" s="4">
        <v>140399</v>
      </c>
      <c r="R1956" s="4">
        <v>421197</v>
      </c>
      <c r="S1956" t="s">
        <v>18297</v>
      </c>
      <c r="X1956" t="s">
        <v>3</v>
      </c>
      <c r="AA1956" s="5" t="str">
        <f>HYPERLINK("https://www.zillow.com/homes/105-S-YORK-ST-ELMHURST-IL-60126_rb/","check listing")</f>
        <v>check listing</v>
      </c>
      <c r="AB1956" s="5" t="str">
        <f>HYPERLINK("https://propertylookup.dupagecounty.gov/Datalets/Datalet.aspx?UseSearch=no&amp;mode=sales&amp;pin=0601125028","sales record")</f>
        <v>sales record</v>
      </c>
      <c r="AC1956" t="s">
        <v>27872</v>
      </c>
      <c r="AD1956">
        <v>41.89871</v>
      </c>
      <c r="AE1956">
        <v>-87.93933199999999</v>
      </c>
      <c r="AF1956" s="5" t="str">
        <f>HYPERLINK("https://www.google.com/maps/search/?api=1&amp;query=41.89871,-87.939332","map")</f>
        <v>map</v>
      </c>
    </row>
    <row r="1957" spans="1:32">
      <c r="A1957" t="s">
        <v>2007</v>
      </c>
      <c r="B1957" t="s">
        <v>9565</v>
      </c>
      <c r="C1957" t="s">
        <v>15109</v>
      </c>
      <c r="D1957" t="s">
        <v>16200</v>
      </c>
      <c r="E1957" t="s">
        <v>16217</v>
      </c>
      <c r="F1957" t="s">
        <v>16222</v>
      </c>
      <c r="G1957" t="s">
        <v>16251</v>
      </c>
      <c r="H1957" t="s">
        <v>16251</v>
      </c>
      <c r="I1957" t="s">
        <v>16327</v>
      </c>
      <c r="J1957" t="s">
        <v>16386</v>
      </c>
      <c r="K1957">
        <v>0.193</v>
      </c>
      <c r="L1957">
        <v>8423</v>
      </c>
      <c r="N1957" t="s">
        <v>16393</v>
      </c>
      <c r="O1957" s="4">
        <v>107670</v>
      </c>
      <c r="P1957" s="4">
        <v>0</v>
      </c>
      <c r="Q1957" s="4">
        <v>107670</v>
      </c>
      <c r="R1957" s="4">
        <v>323010</v>
      </c>
      <c r="S1957" t="s">
        <v>18298</v>
      </c>
      <c r="T1957" s="6">
        <v>45764</v>
      </c>
      <c r="U1957" s="4">
        <v>2725000</v>
      </c>
      <c r="V1957" t="s">
        <v>23739</v>
      </c>
      <c r="W1957" t="s">
        <v>18298</v>
      </c>
      <c r="X1957" t="s">
        <v>3</v>
      </c>
      <c r="AA1957" s="5" t="str">
        <f>HYPERLINK("https://www.zillow.com/homes/119-VIRGINIA-ST-ELMHURST-IL-60126_rb/","check listing")</f>
        <v>check listing</v>
      </c>
      <c r="AB1957" s="5" t="str">
        <f>HYPERLINK("https://propertylookup.dupagecounty.gov/Datalets/Datalet.aspx?UseSearch=no&amp;mode=sales&amp;pin=0602407005","sales record")</f>
        <v>sales record</v>
      </c>
      <c r="AC1957" t="s">
        <v>27872</v>
      </c>
      <c r="AD1957">
        <v>41.897911</v>
      </c>
      <c r="AE1957">
        <v>-87.940966</v>
      </c>
      <c r="AF1957" s="5" t="str">
        <f>HYPERLINK("https://www.google.com/maps/search/?api=1&amp;query=41.897911,-87.940966","map")</f>
        <v>map</v>
      </c>
    </row>
    <row r="1958" spans="1:32">
      <c r="A1958" t="s">
        <v>2008</v>
      </c>
      <c r="B1958" t="s">
        <v>9566</v>
      </c>
      <c r="C1958" t="s">
        <v>15372</v>
      </c>
      <c r="D1958" t="s">
        <v>16200</v>
      </c>
      <c r="E1958" t="s">
        <v>16217</v>
      </c>
      <c r="F1958" t="s">
        <v>16222</v>
      </c>
      <c r="G1958" t="s">
        <v>16253</v>
      </c>
      <c r="H1958" t="s">
        <v>16253</v>
      </c>
      <c r="I1958" t="s">
        <v>16329</v>
      </c>
      <c r="J1958" t="s">
        <v>16386</v>
      </c>
      <c r="K1958">
        <v>0.176</v>
      </c>
      <c r="L1958">
        <v>7646</v>
      </c>
      <c r="N1958" t="s">
        <v>16392</v>
      </c>
      <c r="O1958" s="4">
        <v>109887</v>
      </c>
      <c r="P1958" s="4">
        <v>0</v>
      </c>
      <c r="Q1958" s="4">
        <v>109887</v>
      </c>
      <c r="R1958" s="4">
        <v>329661</v>
      </c>
      <c r="S1958" t="s">
        <v>18299</v>
      </c>
      <c r="T1958" s="6">
        <v>44378</v>
      </c>
      <c r="U1958" s="4">
        <v>687500</v>
      </c>
      <c r="V1958" t="s">
        <v>23739</v>
      </c>
      <c r="W1958" t="s">
        <v>18299</v>
      </c>
      <c r="X1958" t="s">
        <v>3</v>
      </c>
      <c r="AA1958" s="5" t="str">
        <f>HYPERLINK("https://www.zillow.com/homes/196-N-YORK-ST-ELMHURST-IL-601262715_rb/","check listing")</f>
        <v>check listing</v>
      </c>
      <c r="AB1958" s="5" t="str">
        <f>HYPERLINK("https://propertylookup.dupagecounty.gov/Datalets/Datalet.aspx?UseSearch=no&amp;mode=sales&amp;pin=0602214044","sales record")</f>
        <v>sales record</v>
      </c>
      <c r="AC1958" t="s">
        <v>3</v>
      </c>
      <c r="AD1958">
        <v>41.903287</v>
      </c>
      <c r="AE1958">
        <v>-87.940369</v>
      </c>
      <c r="AF1958" s="5" t="str">
        <f>HYPERLINK("https://www.google.com/maps/search/?api=1&amp;query=41.903287,-87.940369","map")</f>
        <v>map</v>
      </c>
    </row>
    <row r="1959" spans="1:32">
      <c r="A1959" t="s">
        <v>2009</v>
      </c>
      <c r="B1959" t="s">
        <v>9567</v>
      </c>
      <c r="C1959" t="s">
        <v>15373</v>
      </c>
      <c r="D1959" t="s">
        <v>16200</v>
      </c>
      <c r="E1959" t="s">
        <v>16217</v>
      </c>
      <c r="F1959" t="s">
        <v>16222</v>
      </c>
      <c r="G1959" t="s">
        <v>16253</v>
      </c>
      <c r="H1959" t="s">
        <v>16253</v>
      </c>
      <c r="I1959" t="s">
        <v>16329</v>
      </c>
      <c r="J1959" t="s">
        <v>16386</v>
      </c>
      <c r="K1959">
        <v>0.165</v>
      </c>
      <c r="L1959">
        <v>7208</v>
      </c>
      <c r="M1959">
        <v>2960</v>
      </c>
      <c r="N1959" t="s">
        <v>16392</v>
      </c>
      <c r="O1959" s="4">
        <v>103798</v>
      </c>
      <c r="P1959" s="4">
        <v>0</v>
      </c>
      <c r="Q1959" s="4">
        <v>103798</v>
      </c>
      <c r="R1959" s="4">
        <v>311394</v>
      </c>
      <c r="S1959" t="s">
        <v>18299</v>
      </c>
      <c r="T1959" s="6">
        <v>44378</v>
      </c>
      <c r="U1959" s="4">
        <v>687500</v>
      </c>
      <c r="V1959" t="s">
        <v>23739</v>
      </c>
      <c r="W1959" t="s">
        <v>18299</v>
      </c>
      <c r="X1959" t="s">
        <v>3</v>
      </c>
      <c r="AA1959" s="5" t="str">
        <f>HYPERLINK("https://www.zillow.com/homes/202-N-YORK-ST-ELMHURST-IL-601262146_rb/","check listing")</f>
        <v>check listing</v>
      </c>
      <c r="AB1959" s="5" t="str">
        <f>HYPERLINK("https://propertylookup.dupagecounty.gov/Datalets/Datalet.aspx?UseSearch=no&amp;mode=sales&amp;pin=0602214043","sales record")</f>
        <v>sales record</v>
      </c>
      <c r="AC1959" t="s">
        <v>11</v>
      </c>
      <c r="AD1959">
        <v>41.903416</v>
      </c>
      <c r="AE1959">
        <v>-87.940366</v>
      </c>
      <c r="AF1959" s="5" t="str">
        <f>HYPERLINK("https://www.google.com/maps/search/?api=1&amp;query=41.903416,-87.940366","map")</f>
        <v>map</v>
      </c>
    </row>
    <row r="1960" spans="1:32">
      <c r="A1960" t="s">
        <v>2010</v>
      </c>
      <c r="B1960" t="s">
        <v>9568</v>
      </c>
      <c r="C1960" t="s">
        <v>15109</v>
      </c>
      <c r="D1960" t="s">
        <v>16200</v>
      </c>
      <c r="E1960" t="s">
        <v>16217</v>
      </c>
      <c r="F1960" t="s">
        <v>16222</v>
      </c>
      <c r="G1960" t="s">
        <v>16252</v>
      </c>
      <c r="H1960" t="s">
        <v>16252</v>
      </c>
      <c r="I1960" t="s">
        <v>16328</v>
      </c>
      <c r="J1960" t="s">
        <v>16386</v>
      </c>
      <c r="K1960">
        <v>0.164</v>
      </c>
      <c r="L1960">
        <v>7128</v>
      </c>
      <c r="N1960" t="s">
        <v>16392</v>
      </c>
      <c r="O1960" s="4">
        <v>90279</v>
      </c>
      <c r="P1960" s="4">
        <v>0</v>
      </c>
      <c r="Q1960" s="4">
        <v>90279</v>
      </c>
      <c r="R1960" s="4">
        <v>270837</v>
      </c>
      <c r="S1960" t="s">
        <v>18300</v>
      </c>
      <c r="T1960" s="6">
        <v>40909</v>
      </c>
      <c r="U1960" s="4">
        <v>430000</v>
      </c>
      <c r="V1960" t="s">
        <v>23739</v>
      </c>
      <c r="W1960" t="s">
        <v>18300</v>
      </c>
      <c r="X1960" t="s">
        <v>3</v>
      </c>
      <c r="AA1960" s="5" t="str">
        <f>HYPERLINK("https://www.zillow.com/homes/105-MAPLE-AVE-ELMHURST-IL-60126_rb/","check listing")</f>
        <v>check listing</v>
      </c>
      <c r="AB1960" s="5" t="str">
        <f>HYPERLINK("https://propertylookup.dupagecounty.gov/Datalets/Datalet.aspx?UseSearch=no&amp;mode=sales&amp;pin=0602219018","sales record")</f>
        <v>sales record</v>
      </c>
      <c r="AC1960" t="s">
        <v>27872</v>
      </c>
      <c r="AD1960">
        <v>41.90032</v>
      </c>
      <c r="AE1960">
        <v>-87.944132</v>
      </c>
      <c r="AF1960" s="5" t="str">
        <f>HYPERLINK("https://www.google.com/maps/search/?api=1&amp;query=41.90032,-87.944132","map")</f>
        <v>map</v>
      </c>
    </row>
    <row r="1961" spans="1:32">
      <c r="A1961" t="s">
        <v>2011</v>
      </c>
      <c r="B1961" t="s">
        <v>9569</v>
      </c>
      <c r="C1961" t="s">
        <v>15109</v>
      </c>
      <c r="D1961" t="s">
        <v>16200</v>
      </c>
      <c r="E1961" t="s">
        <v>16217</v>
      </c>
      <c r="F1961" t="s">
        <v>16222</v>
      </c>
      <c r="G1961" t="s">
        <v>16253</v>
      </c>
      <c r="H1961" t="s">
        <v>16253</v>
      </c>
      <c r="I1961" t="s">
        <v>16329</v>
      </c>
      <c r="J1961" t="s">
        <v>16386</v>
      </c>
      <c r="K1961">
        <v>0.154</v>
      </c>
      <c r="L1961">
        <v>6701</v>
      </c>
      <c r="N1961" t="s">
        <v>16392</v>
      </c>
      <c r="O1961" s="4">
        <v>94012</v>
      </c>
      <c r="P1961" s="4">
        <v>0</v>
      </c>
      <c r="Q1961" s="4">
        <v>94012</v>
      </c>
      <c r="R1961" s="4">
        <v>282036</v>
      </c>
      <c r="S1961" t="s">
        <v>18301</v>
      </c>
      <c r="X1961" t="s">
        <v>3</v>
      </c>
      <c r="AA1961" s="5" t="str">
        <f>HYPERLINK("https://www.zillow.com/homes/134-S-YORK-ST-ELMHURST-IL-60126_rb/","check listing")</f>
        <v>check listing</v>
      </c>
      <c r="AB1961" s="5" t="str">
        <f>HYPERLINK("https://propertylookup.dupagecounty.gov/Datalets/Datalet.aspx?UseSearch=no&amp;mode=sales&amp;pin=0602231031","sales record")</f>
        <v>sales record</v>
      </c>
      <c r="AC1961" t="s">
        <v>27872</v>
      </c>
      <c r="AD1961">
        <v>41.898231</v>
      </c>
      <c r="AE1961">
        <v>-87.94038399999999</v>
      </c>
      <c r="AF1961" s="5" t="str">
        <f>HYPERLINK("https://www.google.com/maps/search/?api=1&amp;query=41.898231,-87.940384","map")</f>
        <v>map</v>
      </c>
    </row>
    <row r="1962" spans="1:32">
      <c r="A1962" t="s">
        <v>2012</v>
      </c>
      <c r="B1962" t="s">
        <v>9570</v>
      </c>
      <c r="C1962" t="s">
        <v>15374</v>
      </c>
      <c r="D1962" t="s">
        <v>16200</v>
      </c>
      <c r="E1962" t="s">
        <v>16217</v>
      </c>
      <c r="F1962" t="s">
        <v>16222</v>
      </c>
      <c r="G1962" t="s">
        <v>16253</v>
      </c>
      <c r="H1962" t="s">
        <v>16253</v>
      </c>
      <c r="I1962" t="s">
        <v>16329</v>
      </c>
      <c r="J1962" t="s">
        <v>16386</v>
      </c>
      <c r="K1962">
        <v>0.135</v>
      </c>
      <c r="L1962">
        <v>5863</v>
      </c>
      <c r="N1962" t="s">
        <v>16392</v>
      </c>
      <c r="O1962" s="4">
        <v>80540</v>
      </c>
      <c r="P1962" s="4">
        <v>0</v>
      </c>
      <c r="Q1962" s="4">
        <v>80540</v>
      </c>
      <c r="R1962" s="4">
        <v>241620</v>
      </c>
      <c r="S1962" t="s">
        <v>18302</v>
      </c>
      <c r="X1962" t="s">
        <v>3</v>
      </c>
      <c r="AA1962" s="5" t="str">
        <f>HYPERLINK("https://www.zillow.com/homes/153-N-ADDISON-AVE-ELMHURST-IL-601262809_rb/","check listing")</f>
        <v>check listing</v>
      </c>
      <c r="AB1962" s="5" t="str">
        <f>HYPERLINK("https://propertylookup.dupagecounty.gov/Datalets/Datalet.aspx?UseSearch=no&amp;mode=sales&amp;pin=0602221051","sales record")</f>
        <v>sales record</v>
      </c>
      <c r="AC1962" t="s">
        <v>27872</v>
      </c>
      <c r="AD1962">
        <v>41.901897</v>
      </c>
      <c r="AE1962">
        <v>-87.940924</v>
      </c>
      <c r="AF1962" s="5" t="str">
        <f>HYPERLINK("https://www.google.com/maps/search/?api=1&amp;query=41.901897,-87.940924","map")</f>
        <v>map</v>
      </c>
    </row>
    <row r="1963" spans="1:32">
      <c r="A1963" t="s">
        <v>2013</v>
      </c>
      <c r="B1963" t="s">
        <v>9571</v>
      </c>
      <c r="C1963" t="s">
        <v>15375</v>
      </c>
      <c r="D1963" t="s">
        <v>16200</v>
      </c>
      <c r="E1963" t="s">
        <v>16217</v>
      </c>
      <c r="F1963" t="s">
        <v>16222</v>
      </c>
      <c r="G1963" t="s">
        <v>16253</v>
      </c>
      <c r="H1963" t="s">
        <v>16253</v>
      </c>
      <c r="I1963" t="s">
        <v>16329</v>
      </c>
      <c r="J1963" t="s">
        <v>16386</v>
      </c>
      <c r="K1963">
        <v>0.112</v>
      </c>
      <c r="L1963">
        <v>4861</v>
      </c>
      <c r="N1963" t="s">
        <v>16392</v>
      </c>
      <c r="O1963" s="4">
        <v>67127</v>
      </c>
      <c r="P1963" s="4">
        <v>0</v>
      </c>
      <c r="Q1963" s="4">
        <v>67127</v>
      </c>
      <c r="R1963" s="4">
        <v>201381</v>
      </c>
      <c r="S1963" t="s">
        <v>18303</v>
      </c>
      <c r="X1963" t="s">
        <v>3</v>
      </c>
      <c r="AA1963" s="5" t="str">
        <f>HYPERLINK("https://www.zillow.com/homes/109-W-1ST-ST-19-ELMHURST-IL-601262843_rb/","check listing")</f>
        <v>check listing</v>
      </c>
      <c r="AB1963" s="5" t="str">
        <f>HYPERLINK("https://propertylookup.dupagecounty.gov/Datalets/Datalet.aspx?UseSearch=no&amp;mode=sales&amp;pin=0602221059","sales record")</f>
        <v>sales record</v>
      </c>
      <c r="AC1963" t="s">
        <v>27872</v>
      </c>
      <c r="AD1963">
        <v>41.900268</v>
      </c>
      <c r="AE1963">
        <v>-87.940735</v>
      </c>
      <c r="AF1963" s="5" t="str">
        <f>HYPERLINK("https://www.google.com/maps/search/?api=1&amp;query=41.900268,-87.940735","map")</f>
        <v>map</v>
      </c>
    </row>
    <row r="1964" spans="1:32">
      <c r="A1964" t="s">
        <v>2014</v>
      </c>
      <c r="B1964" t="s">
        <v>9572</v>
      </c>
      <c r="C1964" t="s">
        <v>15109</v>
      </c>
      <c r="D1964" t="s">
        <v>16200</v>
      </c>
      <c r="E1964" t="s">
        <v>16217</v>
      </c>
      <c r="F1964" t="s">
        <v>16222</v>
      </c>
      <c r="G1964" t="s">
        <v>16252</v>
      </c>
      <c r="H1964" t="s">
        <v>16252</v>
      </c>
      <c r="I1964" t="s">
        <v>16328</v>
      </c>
      <c r="J1964" t="s">
        <v>16386</v>
      </c>
      <c r="K1964">
        <v>0.08599999999999999</v>
      </c>
      <c r="L1964">
        <v>3761</v>
      </c>
      <c r="N1964" t="s">
        <v>16392</v>
      </c>
      <c r="O1964" s="4">
        <v>52522</v>
      </c>
      <c r="P1964" s="4">
        <v>0</v>
      </c>
      <c r="Q1964" s="4">
        <v>52522</v>
      </c>
      <c r="R1964" s="4">
        <v>157566</v>
      </c>
      <c r="S1964" t="s">
        <v>18304</v>
      </c>
      <c r="X1964" t="s">
        <v>3</v>
      </c>
      <c r="AA1964" s="5" t="str">
        <f>HYPERLINK("https://www.zillow.com/homes/ADDISON-AVE-ELMHURST-IL-60126_rb/","check listing")</f>
        <v>check listing</v>
      </c>
      <c r="AB1964" s="5" t="str">
        <f>HYPERLINK("https://propertylookup.dupagecounty.gov/Datalets/Datalet.aspx?UseSearch=no&amp;mode=sales&amp;pin=0602220016","sales record")</f>
        <v>sales record</v>
      </c>
      <c r="AC1964" t="s">
        <v>3</v>
      </c>
      <c r="AD1964">
        <v>41.900864</v>
      </c>
      <c r="AE1964">
        <v>-87.942058</v>
      </c>
      <c r="AF1964" s="5" t="str">
        <f>HYPERLINK("https://www.google.com/maps/search/?api=1&amp;query=41.900864,-87.942058","map")</f>
        <v>map</v>
      </c>
    </row>
    <row r="1965" spans="1:32">
      <c r="A1965" t="s">
        <v>2015</v>
      </c>
      <c r="B1965" t="s">
        <v>9573</v>
      </c>
      <c r="C1965" t="s">
        <v>15376</v>
      </c>
      <c r="D1965" t="s">
        <v>16200</v>
      </c>
      <c r="E1965" t="s">
        <v>16218</v>
      </c>
      <c r="F1965" t="s">
        <v>16220</v>
      </c>
      <c r="G1965" t="s">
        <v>16254</v>
      </c>
      <c r="H1965" t="s">
        <v>16254</v>
      </c>
      <c r="I1965" t="s">
        <v>16330</v>
      </c>
      <c r="J1965" t="s">
        <v>16386</v>
      </c>
      <c r="K1965">
        <v>1.065</v>
      </c>
      <c r="L1965">
        <v>46393</v>
      </c>
      <c r="M1965">
        <v>1582</v>
      </c>
      <c r="N1965" t="s">
        <v>16393</v>
      </c>
      <c r="O1965" s="4">
        <v>62671</v>
      </c>
      <c r="P1965" s="4">
        <v>56185</v>
      </c>
      <c r="Q1965" s="4">
        <v>118856</v>
      </c>
      <c r="R1965" s="4">
        <v>356568</v>
      </c>
      <c r="S1965" t="s">
        <v>18305</v>
      </c>
      <c r="T1965" s="6">
        <v>34700</v>
      </c>
      <c r="U1965" s="4">
        <v>164250</v>
      </c>
      <c r="X1965" t="s">
        <v>3</v>
      </c>
      <c r="AA1965" s="5" t="str">
        <f>HYPERLINK("https://www.zillow.com/homes/278-W-BUTTERFIELD-RD-ELMHURST-IL-601265017_rb/","check listing")</f>
        <v>check listing</v>
      </c>
      <c r="AB1965" s="5" t="str">
        <f>HYPERLINK("https://propertylookup.dupagecounty.gov/Datalets/Datalet.aspx?UseSearch=no&amp;mode=sales&amp;pin=0614409061","sales record")</f>
        <v>sales record</v>
      </c>
      <c r="AC1965" t="s">
        <v>3</v>
      </c>
      <c r="AD1965">
        <v>41.865668</v>
      </c>
      <c r="AE1965">
        <v>-87.94704299999999</v>
      </c>
      <c r="AF1965" s="5" t="str">
        <f>HYPERLINK("https://www.google.com/maps/search/?api=1&amp;query=41.865668,-87.947043","map")</f>
        <v>map</v>
      </c>
    </row>
    <row r="1966" spans="1:32">
      <c r="A1966" t="s">
        <v>2016</v>
      </c>
      <c r="B1966" t="s">
        <v>9574</v>
      </c>
      <c r="C1966" t="s">
        <v>15109</v>
      </c>
      <c r="D1966" t="s">
        <v>16200</v>
      </c>
      <c r="E1966" t="s">
        <v>16218</v>
      </c>
      <c r="F1966" t="s">
        <v>16220</v>
      </c>
      <c r="G1966" t="s">
        <v>16254</v>
      </c>
      <c r="H1966" t="s">
        <v>16254</v>
      </c>
      <c r="I1966" t="s">
        <v>16330</v>
      </c>
      <c r="J1966" t="s">
        <v>16386</v>
      </c>
      <c r="K1966">
        <v>0.277</v>
      </c>
      <c r="L1966">
        <v>12046</v>
      </c>
      <c r="M1966">
        <v>1872</v>
      </c>
      <c r="N1966" t="s">
        <v>16393</v>
      </c>
      <c r="O1966" s="4">
        <v>80237</v>
      </c>
      <c r="P1966" s="4">
        <v>86423</v>
      </c>
      <c r="Q1966" s="4">
        <v>166660</v>
      </c>
      <c r="R1966" s="4">
        <v>499980</v>
      </c>
      <c r="S1966" t="s">
        <v>18306</v>
      </c>
      <c r="T1966" s="6">
        <v>31959</v>
      </c>
      <c r="U1966" s="4">
        <v>125000</v>
      </c>
      <c r="X1966" t="s">
        <v>3</v>
      </c>
      <c r="AA1966" s="5" t="str">
        <f>HYPERLINK("https://www.zillow.com/homes/223-W-KIMBELL-AVE-ELMHURST-IL-60126_rb/","check listing")</f>
        <v>check listing</v>
      </c>
      <c r="AB1966" s="5" t="str">
        <f>HYPERLINK("https://propertylookup.dupagecounty.gov/Datalets/Datalet.aspx?UseSearch=no&amp;mode=sales&amp;pin=0335208032","sales record")</f>
        <v>sales record</v>
      </c>
      <c r="AC1966" t="s">
        <v>3</v>
      </c>
      <c r="AD1966">
        <v>41.914554</v>
      </c>
      <c r="AE1966">
        <v>-87.94527600000001</v>
      </c>
      <c r="AF1966" s="5" t="str">
        <f>HYPERLINK("https://www.google.com/maps/search/?api=1&amp;query=41.914554,-87.945276","map")</f>
        <v>map</v>
      </c>
    </row>
    <row r="1967" spans="1:32">
      <c r="A1967" t="s">
        <v>2017</v>
      </c>
      <c r="B1967" t="s">
        <v>9575</v>
      </c>
      <c r="C1967" t="s">
        <v>15109</v>
      </c>
      <c r="D1967" t="s">
        <v>16200</v>
      </c>
      <c r="E1967" t="s">
        <v>16218</v>
      </c>
      <c r="F1967" t="s">
        <v>16220</v>
      </c>
      <c r="G1967" t="s">
        <v>16254</v>
      </c>
      <c r="H1967" t="s">
        <v>16254</v>
      </c>
      <c r="I1967" t="s">
        <v>16330</v>
      </c>
      <c r="J1967" t="s">
        <v>16386</v>
      </c>
      <c r="K1967">
        <v>0.232</v>
      </c>
      <c r="L1967">
        <v>10125</v>
      </c>
      <c r="M1967">
        <v>1941</v>
      </c>
      <c r="N1967" t="s">
        <v>16393</v>
      </c>
      <c r="O1967" s="4">
        <v>59016</v>
      </c>
      <c r="P1967" s="4">
        <v>86317</v>
      </c>
      <c r="Q1967" s="4">
        <v>145333</v>
      </c>
      <c r="R1967" s="4">
        <v>435999</v>
      </c>
      <c r="S1967" t="s">
        <v>18307</v>
      </c>
      <c r="T1967" s="6">
        <v>37956</v>
      </c>
      <c r="U1967" s="4">
        <v>317500</v>
      </c>
      <c r="V1967" t="s">
        <v>23739</v>
      </c>
      <c r="W1967" t="s">
        <v>24661</v>
      </c>
      <c r="X1967" t="s">
        <v>3</v>
      </c>
      <c r="AA1967" s="5" t="str">
        <f>HYPERLINK("https://www.zillow.com/homes/116-E-DIVERSEY-AVE-ELMHURST-IL-60126_rb/","check listing")</f>
        <v>check listing</v>
      </c>
      <c r="AB1967" s="5" t="str">
        <f>HYPERLINK("https://propertylookup.dupagecounty.gov/Datalets/Datalet.aspx?UseSearch=no&amp;mode=sales&amp;pin=0325300002","sales record")</f>
        <v>sales record</v>
      </c>
      <c r="AC1967" t="s">
        <v>3</v>
      </c>
      <c r="AD1967">
        <v>41.928096</v>
      </c>
      <c r="AE1967">
        <v>-87.93878100000001</v>
      </c>
      <c r="AF1967" s="5" t="str">
        <f>HYPERLINK("https://www.google.com/maps/search/?api=1&amp;query=41.928096,-87.938781","map")</f>
        <v>map</v>
      </c>
    </row>
    <row r="1968" spans="1:32">
      <c r="A1968" t="s">
        <v>2018</v>
      </c>
      <c r="B1968" t="s">
        <v>9576</v>
      </c>
      <c r="C1968" t="s">
        <v>15377</v>
      </c>
      <c r="D1968" t="s">
        <v>16200</v>
      </c>
      <c r="E1968" t="s">
        <v>16218</v>
      </c>
      <c r="F1968" t="s">
        <v>16220</v>
      </c>
      <c r="G1968" t="s">
        <v>16254</v>
      </c>
      <c r="H1968" t="s">
        <v>16254</v>
      </c>
      <c r="I1968" t="s">
        <v>16330</v>
      </c>
      <c r="J1968" t="s">
        <v>16386</v>
      </c>
      <c r="K1968">
        <v>0.221</v>
      </c>
      <c r="L1968">
        <v>9619</v>
      </c>
      <c r="M1968">
        <v>632</v>
      </c>
      <c r="N1968" t="s">
        <v>16393</v>
      </c>
      <c r="O1968" s="4">
        <v>34316</v>
      </c>
      <c r="P1968" s="4">
        <v>61656</v>
      </c>
      <c r="Q1968" s="4">
        <v>95972</v>
      </c>
      <c r="R1968" s="4">
        <v>287916</v>
      </c>
      <c r="S1968" t="s">
        <v>18308</v>
      </c>
      <c r="T1968" s="6">
        <v>46080</v>
      </c>
      <c r="U1968" s="4">
        <v>350000</v>
      </c>
      <c r="V1968" t="s">
        <v>23739</v>
      </c>
      <c r="W1968" t="s">
        <v>24662</v>
      </c>
      <c r="X1968" t="s">
        <v>3</v>
      </c>
      <c r="AA1968" s="5" t="str">
        <f>HYPERLINK("https://www.zillow.com/homes/241-N-WEST-AVE-ELMHURST-IL-601262531_rb/","check listing")</f>
        <v>check listing</v>
      </c>
      <c r="AB1968" s="5" t="str">
        <f>HYPERLINK("https://propertylookup.dupagecounty.gov/Datalets/Datalet.aspx?UseSearch=no&amp;mode=sales&amp;pin=0602100014","sales record")</f>
        <v>sales record</v>
      </c>
      <c r="AC1968" t="s">
        <v>3</v>
      </c>
      <c r="AD1968">
        <v>41.9042</v>
      </c>
      <c r="AE1968">
        <v>-87.95869399999999</v>
      </c>
      <c r="AF1968" s="5" t="str">
        <f>HYPERLINK("https://www.google.com/maps/search/?api=1&amp;query=41.9042,-87.958694","map")</f>
        <v>map</v>
      </c>
    </row>
    <row r="1969" spans="1:32">
      <c r="A1969" t="s">
        <v>2019</v>
      </c>
      <c r="B1969" t="s">
        <v>9577</v>
      </c>
      <c r="C1969" t="s">
        <v>15378</v>
      </c>
      <c r="D1969" t="s">
        <v>16200</v>
      </c>
      <c r="E1969" t="s">
        <v>16218</v>
      </c>
      <c r="F1969" t="s">
        <v>16220</v>
      </c>
      <c r="G1969" t="s">
        <v>16254</v>
      </c>
      <c r="H1969" t="s">
        <v>16254</v>
      </c>
      <c r="I1969" t="s">
        <v>16330</v>
      </c>
      <c r="J1969" t="s">
        <v>16386</v>
      </c>
      <c r="K1969">
        <v>0.202</v>
      </c>
      <c r="L1969">
        <v>8778</v>
      </c>
      <c r="M1969">
        <v>2006</v>
      </c>
      <c r="N1969" t="s">
        <v>16393</v>
      </c>
      <c r="O1969" s="4">
        <v>110971</v>
      </c>
      <c r="P1969" s="4">
        <v>137306</v>
      </c>
      <c r="Q1969" s="4">
        <v>248277</v>
      </c>
      <c r="R1969" s="4">
        <v>744831</v>
      </c>
      <c r="S1969" t="s">
        <v>18309</v>
      </c>
      <c r="T1969" s="6">
        <v>45509</v>
      </c>
      <c r="U1969" s="4">
        <v>895000</v>
      </c>
      <c r="V1969" t="s">
        <v>23739</v>
      </c>
      <c r="W1969" t="s">
        <v>24663</v>
      </c>
      <c r="X1969" t="s">
        <v>3</v>
      </c>
      <c r="AA1969" s="5" t="str">
        <f>HYPERLINK("https://www.zillow.com/homes/103-N-WALNUT-ST-ELMHURST-IL-601262633_rb/","check listing")</f>
        <v>check listing</v>
      </c>
      <c r="AB1969" s="5" t="str">
        <f>HYPERLINK("https://propertylookup.dupagecounty.gov/Datalets/Datalet.aspx?UseSearch=no&amp;mode=sales&amp;pin=0602114016","sales record")</f>
        <v>sales record</v>
      </c>
      <c r="AC1969" t="s">
        <v>3</v>
      </c>
      <c r="AD1969">
        <v>41.89985</v>
      </c>
      <c r="AE1969">
        <v>-87.94993100000001</v>
      </c>
      <c r="AF1969" s="5" t="str">
        <f>HYPERLINK("https://www.google.com/maps/search/?api=1&amp;query=41.89985,-87.949931","map")</f>
        <v>map</v>
      </c>
    </row>
    <row r="1970" spans="1:32">
      <c r="A1970" t="s">
        <v>2020</v>
      </c>
      <c r="B1970" t="s">
        <v>9578</v>
      </c>
      <c r="C1970" t="s">
        <v>15379</v>
      </c>
      <c r="D1970" t="s">
        <v>16200</v>
      </c>
      <c r="E1970" t="s">
        <v>16218</v>
      </c>
      <c r="F1970" t="s">
        <v>16220</v>
      </c>
      <c r="G1970" t="s">
        <v>16254</v>
      </c>
      <c r="H1970" t="s">
        <v>16254</v>
      </c>
      <c r="I1970" t="s">
        <v>16330</v>
      </c>
      <c r="J1970" t="s">
        <v>16386</v>
      </c>
      <c r="K1970">
        <v>0.184</v>
      </c>
      <c r="L1970">
        <v>8003</v>
      </c>
      <c r="M1970">
        <v>2956</v>
      </c>
      <c r="N1970" t="s">
        <v>16393</v>
      </c>
      <c r="O1970" s="4">
        <v>99319</v>
      </c>
      <c r="P1970" s="4">
        <v>237386</v>
      </c>
      <c r="Q1970" s="4">
        <v>336705</v>
      </c>
      <c r="R1970" s="4">
        <v>1010115</v>
      </c>
      <c r="S1970" t="s">
        <v>18310</v>
      </c>
      <c r="T1970" s="6">
        <v>36617</v>
      </c>
      <c r="U1970" s="4">
        <v>576241</v>
      </c>
      <c r="V1970" t="s">
        <v>23740</v>
      </c>
      <c r="W1970" t="s">
        <v>24664</v>
      </c>
      <c r="X1970" t="s">
        <v>3</v>
      </c>
      <c r="AA1970" s="5" t="str">
        <f>HYPERLINK("https://www.zillow.com/homes/31-WINDSOR-CT-ELMHURST-IL-601263971_rb/","check listing")</f>
        <v>check listing</v>
      </c>
      <c r="AB1970" s="5" t="str">
        <f>HYPERLINK("https://propertylookup.dupagecounty.gov/Datalets/Datalet.aspx?UseSearch=no&amp;mode=sales&amp;pin=0611225050","sales record")</f>
        <v>sales record</v>
      </c>
      <c r="AC1970" t="s">
        <v>3</v>
      </c>
      <c r="AD1970">
        <v>41.884592</v>
      </c>
      <c r="AE1970">
        <v>-87.944198</v>
      </c>
      <c r="AF1970" s="5" t="str">
        <f>HYPERLINK("https://www.google.com/maps/search/?api=1&amp;query=41.884592,-87.944198","map")</f>
        <v>map</v>
      </c>
    </row>
    <row r="1971" spans="1:32">
      <c r="A1971" t="s">
        <v>2021</v>
      </c>
      <c r="B1971" t="s">
        <v>9579</v>
      </c>
      <c r="C1971" t="s">
        <v>15109</v>
      </c>
      <c r="D1971" t="s">
        <v>16200</v>
      </c>
      <c r="E1971" t="s">
        <v>16218</v>
      </c>
      <c r="F1971" t="s">
        <v>16220</v>
      </c>
      <c r="G1971" t="s">
        <v>16254</v>
      </c>
      <c r="H1971" t="s">
        <v>16254</v>
      </c>
      <c r="I1971" t="s">
        <v>16330</v>
      </c>
      <c r="J1971" t="s">
        <v>16386</v>
      </c>
      <c r="K1971">
        <v>0.172</v>
      </c>
      <c r="L1971">
        <v>7484</v>
      </c>
      <c r="M1971">
        <v>1017</v>
      </c>
      <c r="N1971" t="s">
        <v>16393</v>
      </c>
      <c r="O1971" s="4">
        <v>95003</v>
      </c>
      <c r="P1971" s="4">
        <v>63301</v>
      </c>
      <c r="Q1971" s="4">
        <v>158304</v>
      </c>
      <c r="R1971" s="4">
        <v>474912</v>
      </c>
      <c r="S1971" t="s">
        <v>18311</v>
      </c>
      <c r="X1971" t="s">
        <v>3</v>
      </c>
      <c r="AA1971" s="5" t="str">
        <f>HYPERLINK("https://www.zillow.com/homes/109-N-MYRTLE-AVE-ELMHURST-IL-60126_rb/","check listing")</f>
        <v>check listing</v>
      </c>
      <c r="AB1971" s="5" t="str">
        <f>HYPERLINK("https://propertylookup.dupagecounty.gov/Datalets/Datalet.aspx?UseSearch=no&amp;mode=sales&amp;pin=0602216014","sales record")</f>
        <v>sales record</v>
      </c>
      <c r="AC1971" t="s">
        <v>3</v>
      </c>
      <c r="AD1971">
        <v>41.900124</v>
      </c>
      <c r="AE1971">
        <v>-87.94858499999999</v>
      </c>
      <c r="AF1971" s="5" t="str">
        <f>HYPERLINK("https://www.google.com/maps/search/?api=1&amp;query=41.900124,-87.948585","map")</f>
        <v>map</v>
      </c>
    </row>
    <row r="1972" spans="1:32">
      <c r="A1972" t="s">
        <v>2022</v>
      </c>
      <c r="B1972" t="s">
        <v>9580</v>
      </c>
      <c r="C1972" t="s">
        <v>15109</v>
      </c>
      <c r="D1972" t="s">
        <v>16200</v>
      </c>
      <c r="E1972" t="s">
        <v>16218</v>
      </c>
      <c r="F1972" t="s">
        <v>16220</v>
      </c>
      <c r="G1972" t="s">
        <v>16254</v>
      </c>
      <c r="H1972" t="s">
        <v>16254</v>
      </c>
      <c r="I1972" t="s">
        <v>16330</v>
      </c>
      <c r="J1972" t="s">
        <v>16386</v>
      </c>
      <c r="K1972">
        <v>0.144</v>
      </c>
      <c r="L1972">
        <v>6256</v>
      </c>
      <c r="M1972">
        <v>2020</v>
      </c>
      <c r="N1972" t="s">
        <v>16393</v>
      </c>
      <c r="O1972" s="4">
        <v>77239</v>
      </c>
      <c r="P1972" s="4">
        <v>228439</v>
      </c>
      <c r="Q1972" s="4">
        <v>305678</v>
      </c>
      <c r="R1972" s="4">
        <v>917034</v>
      </c>
      <c r="S1972" t="s">
        <v>18312</v>
      </c>
      <c r="T1972" s="6">
        <v>37165</v>
      </c>
      <c r="U1972" s="4">
        <v>175000</v>
      </c>
      <c r="V1972" t="s">
        <v>23740</v>
      </c>
      <c r="W1972" t="s">
        <v>24665</v>
      </c>
      <c r="X1972" t="s">
        <v>3</v>
      </c>
      <c r="AA1972" s="5" t="str">
        <f>HYPERLINK("https://www.zillow.com/homes/26-WINDSOR-DR-ELMHURST-IL-60126_rb/","check listing")</f>
        <v>check listing</v>
      </c>
      <c r="AB1972" s="5" t="str">
        <f>HYPERLINK("https://propertylookup.dupagecounty.gov/Datalets/Datalet.aspx?UseSearch=no&amp;mode=sales&amp;pin=0611225045","sales record")</f>
        <v>sales record</v>
      </c>
      <c r="AC1972" t="s">
        <v>3</v>
      </c>
      <c r="AD1972">
        <v>41.884531</v>
      </c>
      <c r="AE1972">
        <v>-87.94285000000001</v>
      </c>
      <c r="AF1972" s="5" t="str">
        <f>HYPERLINK("https://www.google.com/maps/search/?api=1&amp;query=41.884531,-87.94285","map")</f>
        <v>map</v>
      </c>
    </row>
    <row r="1973" spans="1:32">
      <c r="A1973" t="s">
        <v>2023</v>
      </c>
      <c r="B1973" t="s">
        <v>9581</v>
      </c>
      <c r="C1973" t="s">
        <v>15109</v>
      </c>
      <c r="D1973" t="s">
        <v>16200</v>
      </c>
      <c r="E1973" t="s">
        <v>16218</v>
      </c>
      <c r="F1973" t="s">
        <v>16220</v>
      </c>
      <c r="G1973" t="s">
        <v>16254</v>
      </c>
      <c r="H1973" t="s">
        <v>16254</v>
      </c>
      <c r="I1973" t="s">
        <v>16330</v>
      </c>
      <c r="J1973" t="s">
        <v>16386</v>
      </c>
      <c r="K1973">
        <v>0.138</v>
      </c>
      <c r="L1973">
        <v>6026</v>
      </c>
      <c r="M1973">
        <v>1262</v>
      </c>
      <c r="N1973" t="s">
        <v>16393</v>
      </c>
      <c r="O1973" s="4">
        <v>68769</v>
      </c>
      <c r="P1973" s="4">
        <v>77373</v>
      </c>
      <c r="Q1973" s="4">
        <v>146142</v>
      </c>
      <c r="R1973" s="4">
        <v>438426</v>
      </c>
      <c r="S1973" t="s">
        <v>18313</v>
      </c>
      <c r="T1973" s="6">
        <v>28976</v>
      </c>
      <c r="U1973" s="4">
        <v>79900</v>
      </c>
      <c r="X1973" t="s">
        <v>3</v>
      </c>
      <c r="AA1973" s="5" t="str">
        <f>HYPERLINK("https://www.zillow.com/homes/219-KIMBELL-AVE-ELMHURST-IL-60126_rb/","check listing")</f>
        <v>check listing</v>
      </c>
      <c r="AB1973" s="5" t="str">
        <f>HYPERLINK("https://propertylookup.dupagecounty.gov/Datalets/Datalet.aspx?UseSearch=no&amp;mode=sales&amp;pin=0335208028","sales record")</f>
        <v>sales record</v>
      </c>
      <c r="AC1973" t="s">
        <v>3</v>
      </c>
      <c r="AD1973">
        <v>41.91446</v>
      </c>
      <c r="AE1973">
        <v>-87.945094</v>
      </c>
      <c r="AF1973" s="5" t="str">
        <f>HYPERLINK("https://www.google.com/maps/search/?api=1&amp;query=41.91446,-87.945094","map")</f>
        <v>map</v>
      </c>
    </row>
    <row r="1974" spans="1:32">
      <c r="A1974" t="s">
        <v>2024</v>
      </c>
      <c r="B1974" t="s">
        <v>9582</v>
      </c>
      <c r="C1974" t="s">
        <v>15109</v>
      </c>
      <c r="D1974" t="s">
        <v>16200</v>
      </c>
      <c r="E1974" t="s">
        <v>16218</v>
      </c>
      <c r="F1974" t="s">
        <v>16220</v>
      </c>
      <c r="G1974" t="s">
        <v>16254</v>
      </c>
      <c r="H1974" t="s">
        <v>16254</v>
      </c>
      <c r="I1974" t="s">
        <v>16330</v>
      </c>
      <c r="J1974" t="s">
        <v>16386</v>
      </c>
      <c r="K1974">
        <v>0.138</v>
      </c>
      <c r="L1974">
        <v>6025</v>
      </c>
      <c r="M1974">
        <v>736</v>
      </c>
      <c r="N1974" t="s">
        <v>16393</v>
      </c>
      <c r="O1974" s="4">
        <v>68769</v>
      </c>
      <c r="P1974" s="4">
        <v>55388</v>
      </c>
      <c r="Q1974" s="4">
        <v>124157</v>
      </c>
      <c r="R1974" s="4">
        <v>372471</v>
      </c>
      <c r="S1974" t="s">
        <v>18314</v>
      </c>
      <c r="T1974" s="6">
        <v>45873</v>
      </c>
      <c r="U1974" s="4">
        <v>285000</v>
      </c>
      <c r="V1974" t="s">
        <v>23739</v>
      </c>
      <c r="W1974" t="s">
        <v>24666</v>
      </c>
      <c r="X1974" t="s">
        <v>3</v>
      </c>
      <c r="AA1974" s="5" t="str">
        <f>HYPERLINK("https://www.zillow.com/homes/215-W-KIMBELL-AVE-ELMHURST-IL-60126_rb/","check listing")</f>
        <v>check listing</v>
      </c>
      <c r="AB1974" s="5" t="str">
        <f>HYPERLINK("https://propertylookup.dupagecounty.gov/Datalets/Datalet.aspx?UseSearch=no&amp;mode=sales&amp;pin=0335208029","sales record")</f>
        <v>sales record</v>
      </c>
      <c r="AC1974" t="s">
        <v>3</v>
      </c>
      <c r="AD1974">
        <v>41.914397</v>
      </c>
      <c r="AE1974">
        <v>-87.944973</v>
      </c>
      <c r="AF1974" s="5" t="str">
        <f>HYPERLINK("https://www.google.com/maps/search/?api=1&amp;query=41.914397,-87.944973","map")</f>
        <v>map</v>
      </c>
    </row>
    <row r="1975" spans="1:32">
      <c r="A1975" t="s">
        <v>2025</v>
      </c>
      <c r="B1975" t="s">
        <v>9583</v>
      </c>
      <c r="C1975" t="s">
        <v>15109</v>
      </c>
      <c r="D1975" t="s">
        <v>16200</v>
      </c>
      <c r="E1975" t="s">
        <v>16218</v>
      </c>
      <c r="F1975" t="s">
        <v>16220</v>
      </c>
      <c r="G1975" t="s">
        <v>16254</v>
      </c>
      <c r="H1975" t="s">
        <v>16254</v>
      </c>
      <c r="I1975" t="s">
        <v>16330</v>
      </c>
      <c r="J1975" t="s">
        <v>16386</v>
      </c>
      <c r="K1975">
        <v>0.138</v>
      </c>
      <c r="L1975">
        <v>6024</v>
      </c>
      <c r="M1975">
        <v>1426</v>
      </c>
      <c r="N1975" t="s">
        <v>16393</v>
      </c>
      <c r="O1975" s="4">
        <v>68769</v>
      </c>
      <c r="P1975" s="4">
        <v>70917</v>
      </c>
      <c r="Q1975" s="4">
        <v>139686</v>
      </c>
      <c r="R1975" s="4">
        <v>419058</v>
      </c>
      <c r="S1975" t="s">
        <v>18315</v>
      </c>
      <c r="T1975" s="6">
        <v>42186</v>
      </c>
      <c r="U1975" s="4">
        <v>282000</v>
      </c>
      <c r="V1975" t="s">
        <v>23739</v>
      </c>
      <c r="W1975" t="s">
        <v>24667</v>
      </c>
      <c r="X1975" t="s">
        <v>3</v>
      </c>
      <c r="AA1975" s="5" t="str">
        <f>HYPERLINK("https://www.zillow.com/homes/227-KIMBALL-AVE-ELMHURST-IL-60126_rb/","check listing")</f>
        <v>check listing</v>
      </c>
      <c r="AB1975" s="5" t="str">
        <f>HYPERLINK("https://propertylookup.dupagecounty.gov/Datalets/Datalet.aspx?UseSearch=no&amp;mode=sales&amp;pin=0335208025","sales record")</f>
        <v>sales record</v>
      </c>
      <c r="AC1975" t="s">
        <v>3</v>
      </c>
      <c r="AD1975">
        <v>41.914648</v>
      </c>
      <c r="AE1975">
        <v>-87.945458</v>
      </c>
      <c r="AF1975" s="5" t="str">
        <f>HYPERLINK("https://www.google.com/maps/search/?api=1&amp;query=41.914648,-87.945458","map")</f>
        <v>map</v>
      </c>
    </row>
    <row r="1976" spans="1:32">
      <c r="A1976" t="s">
        <v>2026</v>
      </c>
      <c r="B1976" t="s">
        <v>9584</v>
      </c>
      <c r="C1976" t="s">
        <v>15109</v>
      </c>
      <c r="D1976" t="s">
        <v>16200</v>
      </c>
      <c r="E1976" t="s">
        <v>16218</v>
      </c>
      <c r="F1976" t="s">
        <v>16220</v>
      </c>
      <c r="G1976" t="s">
        <v>16254</v>
      </c>
      <c r="H1976" t="s">
        <v>16254</v>
      </c>
      <c r="I1976" t="s">
        <v>16330</v>
      </c>
      <c r="J1976" t="s">
        <v>16386</v>
      </c>
      <c r="K1976">
        <v>0.138</v>
      </c>
      <c r="L1976">
        <v>6024</v>
      </c>
      <c r="M1976">
        <v>1727</v>
      </c>
      <c r="N1976" t="s">
        <v>16393</v>
      </c>
      <c r="O1976" s="4">
        <v>68769</v>
      </c>
      <c r="P1976" s="4">
        <v>74497</v>
      </c>
      <c r="Q1976" s="4">
        <v>143266</v>
      </c>
      <c r="R1976" s="4">
        <v>429798</v>
      </c>
      <c r="S1976" t="s">
        <v>18316</v>
      </c>
      <c r="T1976" s="6">
        <v>36770</v>
      </c>
      <c r="U1976" s="4">
        <v>172000</v>
      </c>
      <c r="V1976" t="s">
        <v>23739</v>
      </c>
      <c r="W1976" t="s">
        <v>18316</v>
      </c>
      <c r="X1976" t="s">
        <v>3</v>
      </c>
      <c r="AA1976" s="5" t="str">
        <f>HYPERLINK("https://www.zillow.com/homes/231-KIMBELL-AVE-ELMHURST-IL-60126_rb/","check listing")</f>
        <v>check listing</v>
      </c>
      <c r="AB1976" s="5" t="str">
        <f>HYPERLINK("https://propertylookup.dupagecounty.gov/Datalets/Datalet.aspx?UseSearch=no&amp;mode=sales&amp;pin=0335208024","sales record")</f>
        <v>sales record</v>
      </c>
      <c r="AC1976" t="s">
        <v>3</v>
      </c>
      <c r="AD1976">
        <v>41.914711</v>
      </c>
      <c r="AE1976">
        <v>-87.945579</v>
      </c>
      <c r="AF1976" s="5" t="str">
        <f>HYPERLINK("https://www.google.com/maps/search/?api=1&amp;query=41.914711,-87.945579","map")</f>
        <v>map</v>
      </c>
    </row>
    <row r="1977" spans="1:32">
      <c r="A1977" t="s">
        <v>2027</v>
      </c>
      <c r="B1977" t="s">
        <v>9585</v>
      </c>
      <c r="C1977" t="s">
        <v>15379</v>
      </c>
      <c r="D1977" t="s">
        <v>16200</v>
      </c>
      <c r="E1977" t="s">
        <v>16218</v>
      </c>
      <c r="F1977" t="s">
        <v>16220</v>
      </c>
      <c r="G1977" t="s">
        <v>16254</v>
      </c>
      <c r="H1977" t="s">
        <v>16254</v>
      </c>
      <c r="I1977" t="s">
        <v>16330</v>
      </c>
      <c r="J1977" t="s">
        <v>16386</v>
      </c>
      <c r="K1977">
        <v>0.136</v>
      </c>
      <c r="L1977">
        <v>5908</v>
      </c>
      <c r="M1977">
        <v>2654</v>
      </c>
      <c r="N1977" t="s">
        <v>16393</v>
      </c>
      <c r="O1977" s="4">
        <v>77239</v>
      </c>
      <c r="P1977" s="4">
        <v>215248</v>
      </c>
      <c r="Q1977" s="4">
        <v>292487</v>
      </c>
      <c r="R1977" s="4">
        <v>877461</v>
      </c>
      <c r="S1977" t="s">
        <v>18317</v>
      </c>
      <c r="T1977" s="6">
        <v>44788</v>
      </c>
      <c r="U1977" s="4">
        <v>750000</v>
      </c>
      <c r="V1977" t="s">
        <v>23739</v>
      </c>
      <c r="W1977" t="s">
        <v>24668</v>
      </c>
      <c r="X1977" t="s">
        <v>3</v>
      </c>
      <c r="AA1977" s="5" t="str">
        <f>HYPERLINK("https://www.zillow.com/homes/22-WINDSOR-DR-ELMHURST-IL-601263971_rb/","check listing")</f>
        <v>check listing</v>
      </c>
      <c r="AB1977" s="5" t="str">
        <f>HYPERLINK("https://propertylookup.dupagecounty.gov/Datalets/Datalet.aspx?UseSearch=no&amp;mode=sales&amp;pin=0611225041","sales record")</f>
        <v>sales record</v>
      </c>
      <c r="AC1977" t="s">
        <v>3</v>
      </c>
      <c r="AD1977">
        <v>41.883854</v>
      </c>
      <c r="AE1977">
        <v>-87.942835</v>
      </c>
      <c r="AF1977" s="5" t="str">
        <f>HYPERLINK("https://www.google.com/maps/search/?api=1&amp;query=41.883854,-87.942835","map")</f>
        <v>map</v>
      </c>
    </row>
    <row r="1978" spans="1:32">
      <c r="A1978" t="s">
        <v>2028</v>
      </c>
      <c r="B1978" t="s">
        <v>9586</v>
      </c>
      <c r="C1978" t="s">
        <v>15379</v>
      </c>
      <c r="D1978" t="s">
        <v>16200</v>
      </c>
      <c r="E1978" t="s">
        <v>16218</v>
      </c>
      <c r="F1978" t="s">
        <v>16220</v>
      </c>
      <c r="G1978" t="s">
        <v>16254</v>
      </c>
      <c r="H1978" t="s">
        <v>16254</v>
      </c>
      <c r="I1978" t="s">
        <v>16330</v>
      </c>
      <c r="J1978" t="s">
        <v>16386</v>
      </c>
      <c r="K1978">
        <v>0.131</v>
      </c>
      <c r="L1978">
        <v>5687</v>
      </c>
      <c r="M1978">
        <v>2544</v>
      </c>
      <c r="N1978" t="s">
        <v>16393</v>
      </c>
      <c r="O1978" s="4">
        <v>71733</v>
      </c>
      <c r="P1978" s="4">
        <v>275165</v>
      </c>
      <c r="Q1978" s="4">
        <v>346898</v>
      </c>
      <c r="R1978" s="4">
        <v>1040694</v>
      </c>
      <c r="S1978" t="s">
        <v>18318</v>
      </c>
      <c r="T1978" s="6">
        <v>44287</v>
      </c>
      <c r="U1978" s="4">
        <v>765000</v>
      </c>
      <c r="V1978" t="s">
        <v>23739</v>
      </c>
      <c r="W1978" t="s">
        <v>24669</v>
      </c>
      <c r="X1978" t="s">
        <v>3</v>
      </c>
      <c r="AA1978" s="5" t="str">
        <f>HYPERLINK("https://www.zillow.com/homes/30-WINDSOR-DR-ELMHURST-IL-601263971_rb/","check listing")</f>
        <v>check listing</v>
      </c>
      <c r="AB1978" s="5" t="str">
        <f>HYPERLINK("https://propertylookup.dupagecounty.gov/Datalets/Datalet.aspx?UseSearch=no&amp;mode=sales&amp;pin=0611225049","sales record")</f>
        <v>sales record</v>
      </c>
      <c r="AC1978" t="s">
        <v>3</v>
      </c>
      <c r="AD1978">
        <v>41.884505</v>
      </c>
      <c r="AE1978">
        <v>-87.943652</v>
      </c>
      <c r="AF1978" s="5" t="str">
        <f>HYPERLINK("https://www.google.com/maps/search/?api=1&amp;query=41.884505,-87.943652","map")</f>
        <v>map</v>
      </c>
    </row>
    <row r="1979" spans="1:32">
      <c r="A1979" t="s">
        <v>2029</v>
      </c>
      <c r="B1979" t="s">
        <v>9587</v>
      </c>
      <c r="C1979" t="s">
        <v>15109</v>
      </c>
      <c r="D1979" t="s">
        <v>16200</v>
      </c>
      <c r="E1979" t="s">
        <v>16218</v>
      </c>
      <c r="F1979" t="s">
        <v>16220</v>
      </c>
      <c r="G1979" t="s">
        <v>16254</v>
      </c>
      <c r="H1979" t="s">
        <v>16254</v>
      </c>
      <c r="I1979" t="s">
        <v>16330</v>
      </c>
      <c r="J1979" t="s">
        <v>16386</v>
      </c>
      <c r="K1979">
        <v>0.125</v>
      </c>
      <c r="L1979">
        <v>5457</v>
      </c>
      <c r="M1979">
        <v>2296</v>
      </c>
      <c r="N1979" t="s">
        <v>16393</v>
      </c>
      <c r="O1979" s="4">
        <v>71733</v>
      </c>
      <c r="P1979" s="4">
        <v>211095</v>
      </c>
      <c r="Q1979" s="4">
        <v>282828</v>
      </c>
      <c r="R1979" s="4">
        <v>848484</v>
      </c>
      <c r="S1979" t="s">
        <v>18319</v>
      </c>
      <c r="T1979" s="6">
        <v>45134</v>
      </c>
      <c r="U1979" s="4">
        <v>795000</v>
      </c>
      <c r="V1979" t="s">
        <v>23741</v>
      </c>
      <c r="W1979" t="s">
        <v>24670</v>
      </c>
      <c r="X1979" t="s">
        <v>3</v>
      </c>
      <c r="AA1979" s="5" t="str">
        <f>HYPERLINK("https://www.zillow.com/homes/33-WINDSOR-DR-ELMHURST-IL-60126_rb/","check listing")</f>
        <v>check listing</v>
      </c>
      <c r="AB1979" s="5" t="str">
        <f>HYPERLINK("https://propertylookup.dupagecounty.gov/Datalets/Datalet.aspx?UseSearch=no&amp;mode=sales&amp;pin=0611225053","sales record")</f>
        <v>sales record</v>
      </c>
      <c r="AC1979" t="s">
        <v>3</v>
      </c>
      <c r="AD1979">
        <v>41.884224</v>
      </c>
      <c r="AE1979">
        <v>-87.94345300000001</v>
      </c>
      <c r="AF1979" s="5" t="str">
        <f>HYPERLINK("https://www.google.com/maps/search/?api=1&amp;query=41.884224,-87.943453","map")</f>
        <v>map</v>
      </c>
    </row>
    <row r="1980" spans="1:32">
      <c r="A1980" t="s">
        <v>2030</v>
      </c>
      <c r="B1980" t="s">
        <v>9588</v>
      </c>
      <c r="C1980" t="s">
        <v>15109</v>
      </c>
      <c r="D1980" t="s">
        <v>16200</v>
      </c>
      <c r="E1980" t="s">
        <v>16218</v>
      </c>
      <c r="F1980" t="s">
        <v>16220</v>
      </c>
      <c r="G1980" t="s">
        <v>16254</v>
      </c>
      <c r="H1980" t="s">
        <v>16254</v>
      </c>
      <c r="I1980" t="s">
        <v>16330</v>
      </c>
      <c r="J1980" t="s">
        <v>16386</v>
      </c>
      <c r="K1980">
        <v>0.125</v>
      </c>
      <c r="L1980">
        <v>5443</v>
      </c>
      <c r="M1980">
        <v>2217</v>
      </c>
      <c r="N1980" t="s">
        <v>16393</v>
      </c>
      <c r="O1980" s="4">
        <v>66216</v>
      </c>
      <c r="P1980" s="4">
        <v>232930</v>
      </c>
      <c r="Q1980" s="4">
        <v>299146</v>
      </c>
      <c r="R1980" s="4">
        <v>897438</v>
      </c>
      <c r="S1980" t="s">
        <v>18320</v>
      </c>
      <c r="T1980" s="6">
        <v>41122</v>
      </c>
      <c r="U1980" s="4">
        <v>675000</v>
      </c>
      <c r="V1980" t="s">
        <v>23739</v>
      </c>
      <c r="W1980" t="s">
        <v>24671</v>
      </c>
      <c r="X1980" t="s">
        <v>3</v>
      </c>
      <c r="AA1980" s="5" t="str">
        <f>HYPERLINK("https://www.zillow.com/homes/25-WINDSOR-DR-ELMHURST-IL-60126_rb/","check listing")</f>
        <v>check listing</v>
      </c>
      <c r="AB1980" s="5" t="str">
        <f>HYPERLINK("https://propertylookup.dupagecounty.gov/Datalets/Datalet.aspx?UseSearch=no&amp;mode=sales&amp;pin=0611225044","sales record")</f>
        <v>sales record</v>
      </c>
      <c r="AC1980" t="s">
        <v>3</v>
      </c>
      <c r="AD1980">
        <v>41.884361</v>
      </c>
      <c r="AE1980">
        <v>-87.942874</v>
      </c>
      <c r="AF1980" s="5" t="str">
        <f>HYPERLINK("https://www.google.com/maps/search/?api=1&amp;query=41.884361,-87.942874","map")</f>
        <v>map</v>
      </c>
    </row>
    <row r="1981" spans="1:32">
      <c r="A1981" t="s">
        <v>2031</v>
      </c>
      <c r="B1981" t="s">
        <v>9589</v>
      </c>
      <c r="C1981" t="s">
        <v>15379</v>
      </c>
      <c r="D1981" t="s">
        <v>16200</v>
      </c>
      <c r="E1981" t="s">
        <v>16218</v>
      </c>
      <c r="F1981" t="s">
        <v>16220</v>
      </c>
      <c r="G1981" t="s">
        <v>16254</v>
      </c>
      <c r="H1981" t="s">
        <v>16254</v>
      </c>
      <c r="I1981" t="s">
        <v>16330</v>
      </c>
      <c r="J1981" t="s">
        <v>16386</v>
      </c>
      <c r="K1981">
        <v>0.125</v>
      </c>
      <c r="L1981">
        <v>5435</v>
      </c>
      <c r="M1981">
        <v>2554</v>
      </c>
      <c r="N1981" t="s">
        <v>16393</v>
      </c>
      <c r="O1981" s="4">
        <v>66216</v>
      </c>
      <c r="P1981" s="4">
        <v>222211</v>
      </c>
      <c r="Q1981" s="4">
        <v>288427</v>
      </c>
      <c r="R1981" s="4">
        <v>865281</v>
      </c>
      <c r="S1981" t="s">
        <v>18321</v>
      </c>
      <c r="T1981" s="6">
        <v>41122</v>
      </c>
      <c r="U1981" s="4">
        <v>540000</v>
      </c>
      <c r="V1981" t="s">
        <v>23739</v>
      </c>
      <c r="W1981" t="s">
        <v>18321</v>
      </c>
      <c r="X1981" t="s">
        <v>3</v>
      </c>
      <c r="AA1981" s="5" t="str">
        <f>HYPERLINK("https://www.zillow.com/homes/24-WINDSOR-DR-ELMHURST-IL-601263971_rb/","check listing")</f>
        <v>check listing</v>
      </c>
      <c r="AB1981" s="5" t="str">
        <f>HYPERLINK("https://propertylookup.dupagecounty.gov/Datalets/Datalet.aspx?UseSearch=no&amp;mode=sales&amp;pin=0611225043","sales record")</f>
        <v>sales record</v>
      </c>
      <c r="AC1981" t="s">
        <v>3</v>
      </c>
      <c r="AD1981">
        <v>41.884193</v>
      </c>
      <c r="AE1981">
        <v>-87.942875</v>
      </c>
      <c r="AF1981" s="5" t="str">
        <f>HYPERLINK("https://www.google.com/maps/search/?api=1&amp;query=41.884193,-87.942875","map")</f>
        <v>map</v>
      </c>
    </row>
    <row r="1982" spans="1:32">
      <c r="A1982" t="s">
        <v>2032</v>
      </c>
      <c r="B1982" t="s">
        <v>9590</v>
      </c>
      <c r="C1982" t="s">
        <v>15379</v>
      </c>
      <c r="D1982" t="s">
        <v>16200</v>
      </c>
      <c r="E1982" t="s">
        <v>16218</v>
      </c>
      <c r="F1982" t="s">
        <v>16220</v>
      </c>
      <c r="G1982" t="s">
        <v>16254</v>
      </c>
      <c r="H1982" t="s">
        <v>16254</v>
      </c>
      <c r="I1982" t="s">
        <v>16330</v>
      </c>
      <c r="J1982" t="s">
        <v>16386</v>
      </c>
      <c r="K1982">
        <v>0.125</v>
      </c>
      <c r="L1982">
        <v>5427</v>
      </c>
      <c r="M1982">
        <v>2039</v>
      </c>
      <c r="N1982" t="s">
        <v>16393</v>
      </c>
      <c r="O1982" s="4">
        <v>66216</v>
      </c>
      <c r="P1982" s="4">
        <v>209741</v>
      </c>
      <c r="Q1982" s="4">
        <v>275957</v>
      </c>
      <c r="R1982" s="4">
        <v>827871</v>
      </c>
      <c r="S1982" t="s">
        <v>18322</v>
      </c>
      <c r="T1982" s="6">
        <v>44105</v>
      </c>
      <c r="U1982" s="4">
        <v>625000</v>
      </c>
      <c r="V1982" t="s">
        <v>23740</v>
      </c>
      <c r="W1982" t="s">
        <v>24672</v>
      </c>
      <c r="X1982" t="s">
        <v>3</v>
      </c>
      <c r="AA1982" s="5" t="str">
        <f>HYPERLINK("https://www.zillow.com/homes/23-WINDSOR-DR-ELMHURST-IL-601263971_rb/","check listing")</f>
        <v>check listing</v>
      </c>
      <c r="AB1982" s="5" t="str">
        <f>HYPERLINK("https://propertylookup.dupagecounty.gov/Datalets/Datalet.aspx?UseSearch=no&amp;mode=sales&amp;pin=0611225042","sales record")</f>
        <v>sales record</v>
      </c>
      <c r="AC1982" t="s">
        <v>3</v>
      </c>
      <c r="AD1982">
        <v>41.884042</v>
      </c>
      <c r="AE1982">
        <v>-87.942868</v>
      </c>
      <c r="AF1982" s="5" t="str">
        <f>HYPERLINK("https://www.google.com/maps/search/?api=1&amp;query=41.884042,-87.942868","map")</f>
        <v>map</v>
      </c>
    </row>
    <row r="1983" spans="1:32">
      <c r="A1983" t="s">
        <v>2033</v>
      </c>
      <c r="B1983" t="s">
        <v>9591</v>
      </c>
      <c r="C1983" t="s">
        <v>15380</v>
      </c>
      <c r="D1983" t="s">
        <v>16200</v>
      </c>
      <c r="E1983" t="s">
        <v>16218</v>
      </c>
      <c r="F1983" t="s">
        <v>16220</v>
      </c>
      <c r="G1983" t="s">
        <v>16254</v>
      </c>
      <c r="H1983" t="s">
        <v>16254</v>
      </c>
      <c r="I1983" t="s">
        <v>16330</v>
      </c>
      <c r="J1983" t="s">
        <v>16386</v>
      </c>
      <c r="K1983">
        <v>0.116</v>
      </c>
      <c r="L1983">
        <v>5069</v>
      </c>
      <c r="N1983" t="s">
        <v>16393</v>
      </c>
      <c r="O1983" s="4">
        <v>26492</v>
      </c>
      <c r="P1983" s="4">
        <v>61187</v>
      </c>
      <c r="Q1983" s="4">
        <v>87679</v>
      </c>
      <c r="R1983" s="4">
        <v>263037</v>
      </c>
      <c r="S1983" t="s">
        <v>18323</v>
      </c>
      <c r="T1983" s="6">
        <v>43678</v>
      </c>
      <c r="U1983" s="4">
        <v>207000</v>
      </c>
      <c r="V1983" t="s">
        <v>23739</v>
      </c>
      <c r="W1983" t="s">
        <v>18323</v>
      </c>
      <c r="X1983" t="s">
        <v>3</v>
      </c>
      <c r="AA1983" s="5" t="str">
        <f>HYPERLINK("https://www.zillow.com/homes/998-N-VIRGINIA-LN-ELMHURST-IL-601261243_rb/","check listing")</f>
        <v>check listing</v>
      </c>
      <c r="AB1983" s="5" t="str">
        <f>HYPERLINK("https://propertylookup.dupagecounty.gov/Datalets/Datalet.aspx?UseSearch=no&amp;mode=sales&amp;pin=0325107015","sales record")</f>
        <v>sales record</v>
      </c>
      <c r="AC1983" t="s">
        <v>3</v>
      </c>
      <c r="AD1983">
        <v>41.930703</v>
      </c>
      <c r="AE1983">
        <v>-87.93887700000001</v>
      </c>
      <c r="AF1983" s="5" t="str">
        <f>HYPERLINK("https://www.google.com/maps/search/?api=1&amp;query=41.930703,-87.938877","map")</f>
        <v>map</v>
      </c>
    </row>
    <row r="1984" spans="1:32">
      <c r="A1984" t="s">
        <v>2034</v>
      </c>
      <c r="B1984" t="s">
        <v>9592</v>
      </c>
      <c r="C1984" t="s">
        <v>15109</v>
      </c>
      <c r="D1984" t="s">
        <v>16200</v>
      </c>
      <c r="E1984" t="s">
        <v>16218</v>
      </c>
      <c r="F1984" t="s">
        <v>16220</v>
      </c>
      <c r="G1984" t="s">
        <v>16254</v>
      </c>
      <c r="H1984" t="s">
        <v>16254</v>
      </c>
      <c r="I1984" t="s">
        <v>16330</v>
      </c>
      <c r="J1984" t="s">
        <v>16386</v>
      </c>
      <c r="K1984">
        <v>0.115</v>
      </c>
      <c r="L1984">
        <v>5021</v>
      </c>
      <c r="M1984">
        <v>1943</v>
      </c>
      <c r="N1984" t="s">
        <v>16393</v>
      </c>
      <c r="O1984" s="4">
        <v>66216</v>
      </c>
      <c r="P1984" s="4">
        <v>222887</v>
      </c>
      <c r="Q1984" s="4">
        <v>289103</v>
      </c>
      <c r="R1984" s="4">
        <v>867309</v>
      </c>
      <c r="S1984" t="s">
        <v>18324</v>
      </c>
      <c r="T1984" s="6">
        <v>45814</v>
      </c>
      <c r="U1984" s="4">
        <v>900000</v>
      </c>
      <c r="V1984" t="s">
        <v>23739</v>
      </c>
      <c r="W1984" t="s">
        <v>24673</v>
      </c>
      <c r="X1984" t="s">
        <v>3</v>
      </c>
      <c r="AA1984" s="5" t="str">
        <f>HYPERLINK("https://www.zillow.com/homes/35-WINDSOR-DR-ELMHURST-IL-60126_rb/","check listing")</f>
        <v>check listing</v>
      </c>
      <c r="AB1984" s="5" t="str">
        <f>HYPERLINK("https://propertylookup.dupagecounty.gov/Datalets/Datalet.aspx?UseSearch=no&amp;mode=sales&amp;pin=0611225055","sales record")</f>
        <v>sales record</v>
      </c>
      <c r="AC1984" t="s">
        <v>3</v>
      </c>
      <c r="AD1984">
        <v>41.884002</v>
      </c>
      <c r="AE1984">
        <v>-87.943264</v>
      </c>
      <c r="AF1984" s="5" t="str">
        <f>HYPERLINK("https://www.google.com/maps/search/?api=1&amp;query=41.884002,-87.943264","map")</f>
        <v>map</v>
      </c>
    </row>
    <row r="1985" spans="1:32">
      <c r="A1985" t="s">
        <v>2035</v>
      </c>
      <c r="B1985" t="s">
        <v>9593</v>
      </c>
      <c r="C1985" t="s">
        <v>15379</v>
      </c>
      <c r="D1985" t="s">
        <v>16200</v>
      </c>
      <c r="E1985" t="s">
        <v>16218</v>
      </c>
      <c r="F1985" t="s">
        <v>16220</v>
      </c>
      <c r="G1985" t="s">
        <v>16254</v>
      </c>
      <c r="H1985" t="s">
        <v>16254</v>
      </c>
      <c r="I1985" t="s">
        <v>16330</v>
      </c>
      <c r="J1985" t="s">
        <v>16386</v>
      </c>
      <c r="K1985">
        <v>0.106</v>
      </c>
      <c r="L1985">
        <v>4630</v>
      </c>
      <c r="M1985">
        <v>2274</v>
      </c>
      <c r="N1985" t="s">
        <v>16393</v>
      </c>
      <c r="O1985" s="4">
        <v>60687</v>
      </c>
      <c r="P1985" s="4">
        <v>270009</v>
      </c>
      <c r="Q1985" s="4">
        <v>330696</v>
      </c>
      <c r="R1985" s="4">
        <v>992088</v>
      </c>
      <c r="S1985" t="s">
        <v>18325</v>
      </c>
      <c r="T1985" s="6">
        <v>44440</v>
      </c>
      <c r="U1985" s="4">
        <v>725000</v>
      </c>
      <c r="V1985" t="s">
        <v>23739</v>
      </c>
      <c r="W1985" t="s">
        <v>24674</v>
      </c>
      <c r="X1985" t="s">
        <v>3</v>
      </c>
      <c r="AA1985" s="5" t="str">
        <f>HYPERLINK("https://www.zillow.com/homes/28-WINDSOR-DR-ELMHURST-IL-601263971_rb/","check listing")</f>
        <v>check listing</v>
      </c>
      <c r="AB1985" s="5" t="str">
        <f>HYPERLINK("https://propertylookup.dupagecounty.gov/Datalets/Datalet.aspx?UseSearch=no&amp;mode=sales&amp;pin=0611225047","sales record")</f>
        <v>sales record</v>
      </c>
      <c r="AC1985" t="s">
        <v>3</v>
      </c>
      <c r="AD1985">
        <v>41.884522</v>
      </c>
      <c r="AE1985">
        <v>-87.943291</v>
      </c>
      <c r="AF1985" s="5" t="str">
        <f>HYPERLINK("https://www.google.com/maps/search/?api=1&amp;query=41.884522,-87.943291","map")</f>
        <v>map</v>
      </c>
    </row>
    <row r="1986" spans="1:32">
      <c r="A1986" t="s">
        <v>2036</v>
      </c>
      <c r="B1986" t="s">
        <v>9594</v>
      </c>
      <c r="C1986" t="s">
        <v>15379</v>
      </c>
      <c r="D1986" t="s">
        <v>16200</v>
      </c>
      <c r="E1986" t="s">
        <v>16218</v>
      </c>
      <c r="F1986" t="s">
        <v>16220</v>
      </c>
      <c r="G1986" t="s">
        <v>16254</v>
      </c>
      <c r="H1986" t="s">
        <v>16254</v>
      </c>
      <c r="I1986" t="s">
        <v>16330</v>
      </c>
      <c r="J1986" t="s">
        <v>16386</v>
      </c>
      <c r="K1986">
        <v>0.106</v>
      </c>
      <c r="L1986">
        <v>4605</v>
      </c>
      <c r="M1986">
        <v>2009</v>
      </c>
      <c r="N1986" t="s">
        <v>16393</v>
      </c>
      <c r="O1986" s="4">
        <v>60687</v>
      </c>
      <c r="P1986" s="4">
        <v>185691</v>
      </c>
      <c r="Q1986" s="4">
        <v>246378</v>
      </c>
      <c r="R1986" s="4">
        <v>739134</v>
      </c>
      <c r="S1986" t="s">
        <v>18326</v>
      </c>
      <c r="T1986" s="6">
        <v>41913</v>
      </c>
      <c r="U1986" s="4">
        <v>565000</v>
      </c>
      <c r="V1986" t="s">
        <v>23739</v>
      </c>
      <c r="W1986" t="s">
        <v>24675</v>
      </c>
      <c r="X1986" t="s">
        <v>3</v>
      </c>
      <c r="AA1986" s="5" t="str">
        <f>HYPERLINK("https://www.zillow.com/homes/29-WINDSOR-DR-ELMHURST-IL-601263971_rb/","check listing")</f>
        <v>check listing</v>
      </c>
      <c r="AB1986" s="5" t="str">
        <f>HYPERLINK("https://propertylookup.dupagecounty.gov/Datalets/Datalet.aspx?UseSearch=no&amp;mode=sales&amp;pin=0611225048","sales record")</f>
        <v>sales record</v>
      </c>
      <c r="AC1986" t="s">
        <v>3</v>
      </c>
      <c r="AD1986">
        <v>41.884539</v>
      </c>
      <c r="AE1986">
        <v>-87.943476</v>
      </c>
      <c r="AF1986" s="5" t="str">
        <f>HYPERLINK("https://www.google.com/maps/search/?api=1&amp;query=41.884539,-87.943476","map")</f>
        <v>map</v>
      </c>
    </row>
    <row r="1987" spans="1:32">
      <c r="A1987" t="s">
        <v>2037</v>
      </c>
      <c r="B1987" t="s">
        <v>9595</v>
      </c>
      <c r="C1987" t="s">
        <v>15109</v>
      </c>
      <c r="D1987" t="s">
        <v>16200</v>
      </c>
      <c r="E1987" t="s">
        <v>16218</v>
      </c>
      <c r="F1987" t="s">
        <v>16220</v>
      </c>
      <c r="G1987" t="s">
        <v>16254</v>
      </c>
      <c r="H1987" t="s">
        <v>16254</v>
      </c>
      <c r="I1987" t="s">
        <v>16330</v>
      </c>
      <c r="J1987" t="s">
        <v>16386</v>
      </c>
      <c r="K1987">
        <v>0.105</v>
      </c>
      <c r="L1987">
        <v>4555</v>
      </c>
      <c r="M1987">
        <v>2339</v>
      </c>
      <c r="N1987" t="s">
        <v>16393</v>
      </c>
      <c r="O1987" s="4">
        <v>55170</v>
      </c>
      <c r="P1987" s="4">
        <v>227109</v>
      </c>
      <c r="Q1987" s="4">
        <v>282279</v>
      </c>
      <c r="R1987" s="4">
        <v>846837</v>
      </c>
      <c r="S1987" t="s">
        <v>18327</v>
      </c>
      <c r="T1987" s="6">
        <v>45007</v>
      </c>
      <c r="U1987" s="4">
        <v>825500</v>
      </c>
      <c r="V1987" t="s">
        <v>23739</v>
      </c>
      <c r="W1987" t="s">
        <v>24676</v>
      </c>
      <c r="X1987" t="s">
        <v>3</v>
      </c>
      <c r="AA1987" s="5" t="str">
        <f>HYPERLINK("https://www.zillow.com/homes/27-WINDSOR-DR-ELMHURST-IL-60126_rb/","check listing")</f>
        <v>check listing</v>
      </c>
      <c r="AB1987" s="5" t="str">
        <f>HYPERLINK("https://propertylookup.dupagecounty.gov/Datalets/Datalet.aspx?UseSearch=no&amp;mode=sales&amp;pin=0611225046","sales record")</f>
        <v>sales record</v>
      </c>
      <c r="AC1987" t="s">
        <v>3</v>
      </c>
      <c r="AD1987">
        <v>41.884542</v>
      </c>
      <c r="AE1987">
        <v>-87.943095</v>
      </c>
      <c r="AF1987" s="5" t="str">
        <f>HYPERLINK("https://www.google.com/maps/search/?api=1&amp;query=41.884542,-87.943095","map")</f>
        <v>map</v>
      </c>
    </row>
    <row r="1988" spans="1:32">
      <c r="A1988" t="s">
        <v>2038</v>
      </c>
      <c r="B1988" t="s">
        <v>9596</v>
      </c>
      <c r="C1988" t="s">
        <v>15379</v>
      </c>
      <c r="D1988" t="s">
        <v>16200</v>
      </c>
      <c r="E1988" t="s">
        <v>16218</v>
      </c>
      <c r="F1988" t="s">
        <v>16220</v>
      </c>
      <c r="G1988" t="s">
        <v>16254</v>
      </c>
      <c r="H1988" t="s">
        <v>16254</v>
      </c>
      <c r="I1988" t="s">
        <v>16330</v>
      </c>
      <c r="J1988" t="s">
        <v>16386</v>
      </c>
      <c r="K1988">
        <v>0.101</v>
      </c>
      <c r="L1988">
        <v>4411</v>
      </c>
      <c r="M1988">
        <v>2819</v>
      </c>
      <c r="N1988" t="s">
        <v>16393</v>
      </c>
      <c r="O1988" s="4">
        <v>55170</v>
      </c>
      <c r="P1988" s="4">
        <v>278792</v>
      </c>
      <c r="Q1988" s="4">
        <v>333962</v>
      </c>
      <c r="R1988" s="4">
        <v>1001886</v>
      </c>
      <c r="S1988" t="s">
        <v>18328</v>
      </c>
      <c r="T1988" s="6">
        <v>42826</v>
      </c>
      <c r="U1988" s="4">
        <v>637500</v>
      </c>
      <c r="V1988" t="s">
        <v>23739</v>
      </c>
      <c r="W1988" t="s">
        <v>24677</v>
      </c>
      <c r="X1988" t="s">
        <v>3</v>
      </c>
      <c r="AA1988" s="5" t="str">
        <f>HYPERLINK("https://www.zillow.com/homes/32-WINDSOR-DR-ELMHURST-IL-601263971_rb/","check listing")</f>
        <v>check listing</v>
      </c>
      <c r="AB1988" s="5" t="str">
        <f>HYPERLINK("https://propertylookup.dupagecounty.gov/Datalets/Datalet.aspx?UseSearch=no&amp;mode=sales&amp;pin=0611225051","sales record")</f>
        <v>sales record</v>
      </c>
      <c r="AC1988" t="s">
        <v>3</v>
      </c>
      <c r="AD1988">
        <v>41.884425</v>
      </c>
      <c r="AE1988">
        <v>-87.9439</v>
      </c>
      <c r="AF1988" s="5" t="str">
        <f>HYPERLINK("https://www.google.com/maps/search/?api=1&amp;query=41.884425,-87.9439","map")</f>
        <v>map</v>
      </c>
    </row>
    <row r="1989" spans="1:32">
      <c r="A1989" t="s">
        <v>2039</v>
      </c>
      <c r="B1989" t="s">
        <v>9597</v>
      </c>
      <c r="C1989" t="s">
        <v>15109</v>
      </c>
      <c r="D1989" t="s">
        <v>16200</v>
      </c>
      <c r="E1989" t="s">
        <v>16218</v>
      </c>
      <c r="F1989" t="s">
        <v>16220</v>
      </c>
      <c r="G1989" t="s">
        <v>16254</v>
      </c>
      <c r="H1989" t="s">
        <v>16254</v>
      </c>
      <c r="I1989" t="s">
        <v>16330</v>
      </c>
      <c r="J1989" t="s">
        <v>16386</v>
      </c>
      <c r="K1989">
        <v>0.099</v>
      </c>
      <c r="L1989">
        <v>4332</v>
      </c>
      <c r="M1989">
        <v>1829</v>
      </c>
      <c r="N1989" t="s">
        <v>16393</v>
      </c>
      <c r="O1989" s="4">
        <v>55170</v>
      </c>
      <c r="P1989" s="4">
        <v>190986</v>
      </c>
      <c r="Q1989" s="4">
        <v>246156</v>
      </c>
      <c r="R1989" s="4">
        <v>738468</v>
      </c>
      <c r="S1989" t="s">
        <v>18329</v>
      </c>
      <c r="T1989" s="6">
        <v>43282</v>
      </c>
      <c r="U1989" s="4">
        <v>592500</v>
      </c>
      <c r="V1989" t="s">
        <v>23739</v>
      </c>
      <c r="W1989" t="s">
        <v>24678</v>
      </c>
      <c r="X1989" t="s">
        <v>3</v>
      </c>
      <c r="AA1989" s="5" t="str">
        <f>HYPERLINK("https://www.zillow.com/homes/34-WINDSOR-DR-ELMHURST-IL-60126_rb/","check listing")</f>
        <v>check listing</v>
      </c>
      <c r="AB1989" s="5" t="str">
        <f>HYPERLINK("https://propertylookup.dupagecounty.gov/Datalets/Datalet.aspx?UseSearch=no&amp;mode=sales&amp;pin=0611225054","sales record")</f>
        <v>sales record</v>
      </c>
      <c r="AC1989" t="s">
        <v>3</v>
      </c>
      <c r="AD1989">
        <v>41.884196</v>
      </c>
      <c r="AE1989">
        <v>-87.943247</v>
      </c>
      <c r="AF1989" s="5" t="str">
        <f>HYPERLINK("https://www.google.com/maps/search/?api=1&amp;query=41.884196,-87.943247","map")</f>
        <v>map</v>
      </c>
    </row>
    <row r="1990" spans="1:32">
      <c r="A1990" t="s">
        <v>2040</v>
      </c>
      <c r="B1990" t="s">
        <v>9598</v>
      </c>
      <c r="C1990" t="s">
        <v>15109</v>
      </c>
      <c r="D1990" t="s">
        <v>16200</v>
      </c>
      <c r="E1990" t="s">
        <v>16218</v>
      </c>
      <c r="F1990" t="s">
        <v>16220</v>
      </c>
      <c r="G1990" t="s">
        <v>16254</v>
      </c>
      <c r="H1990" t="s">
        <v>16254</v>
      </c>
      <c r="I1990" t="s">
        <v>16330</v>
      </c>
      <c r="J1990" t="s">
        <v>16386</v>
      </c>
      <c r="K1990">
        <v>0.092</v>
      </c>
      <c r="L1990">
        <v>3988</v>
      </c>
      <c r="N1990" t="s">
        <v>16393</v>
      </c>
      <c r="O1990" s="4">
        <v>19642</v>
      </c>
      <c r="P1990" s="4">
        <v>177630</v>
      </c>
      <c r="Q1990" s="4">
        <v>197272</v>
      </c>
      <c r="R1990" s="4">
        <v>591816</v>
      </c>
      <c r="S1990" t="s">
        <v>18330</v>
      </c>
      <c r="T1990" s="6">
        <v>38078</v>
      </c>
      <c r="U1990" s="4">
        <v>479000</v>
      </c>
      <c r="V1990" t="s">
        <v>23739</v>
      </c>
      <c r="W1990" t="s">
        <v>24679</v>
      </c>
      <c r="X1990" t="s">
        <v>3</v>
      </c>
      <c r="AA1990" s="5" t="str">
        <f>HYPERLINK("https://www.zillow.com/homes/152-KNIGHTON-PL-ELMHURST-IL-60126_rb/","check listing")</f>
        <v>check listing</v>
      </c>
      <c r="AB1990" s="5" t="str">
        <f>HYPERLINK("https://propertylookup.dupagecounty.gov/Datalets/Datalet.aspx?UseSearch=no&amp;mode=sales&amp;pin=0613300039","sales record")</f>
        <v>sales record</v>
      </c>
      <c r="AC1990" t="s">
        <v>3</v>
      </c>
      <c r="AD1990">
        <v>41.868546</v>
      </c>
      <c r="AE1990">
        <v>-87.937721</v>
      </c>
      <c r="AF1990" s="5" t="str">
        <f>HYPERLINK("https://www.google.com/maps/search/?api=1&amp;query=41.868546,-87.937721","map")</f>
        <v>map</v>
      </c>
    </row>
    <row r="1991" spans="1:32">
      <c r="A1991" t="s">
        <v>2041</v>
      </c>
      <c r="B1991" t="s">
        <v>9599</v>
      </c>
      <c r="C1991" t="s">
        <v>15109</v>
      </c>
      <c r="D1991" t="s">
        <v>16200</v>
      </c>
      <c r="E1991" t="s">
        <v>16218</v>
      </c>
      <c r="F1991" t="s">
        <v>16220</v>
      </c>
      <c r="G1991" t="s">
        <v>16254</v>
      </c>
      <c r="H1991" t="s">
        <v>16254</v>
      </c>
      <c r="I1991" t="s">
        <v>16330</v>
      </c>
      <c r="J1991" t="s">
        <v>16386</v>
      </c>
      <c r="K1991">
        <v>0.089</v>
      </c>
      <c r="L1991">
        <v>3885</v>
      </c>
      <c r="N1991" t="s">
        <v>16393</v>
      </c>
      <c r="O1991" s="4">
        <v>26492</v>
      </c>
      <c r="P1991" s="4">
        <v>59697</v>
      </c>
      <c r="Q1991" s="4">
        <v>86189</v>
      </c>
      <c r="R1991" s="4">
        <v>258567</v>
      </c>
      <c r="S1991" t="s">
        <v>18331</v>
      </c>
      <c r="T1991" s="6">
        <v>38961</v>
      </c>
      <c r="U1991" s="4">
        <v>52000</v>
      </c>
      <c r="V1991" t="s">
        <v>23739</v>
      </c>
      <c r="W1991" t="s">
        <v>24680</v>
      </c>
      <c r="X1991" t="s">
        <v>3</v>
      </c>
      <c r="AA1991" s="5" t="str">
        <f>HYPERLINK("https://www.zillow.com/homes/997-N-YORK-ROAD-ELMHURST-IL-60126_rb/","check listing")</f>
        <v>check listing</v>
      </c>
      <c r="AB1991" s="5" t="str">
        <f>HYPERLINK("https://propertylookup.dupagecounty.gov/Datalets/Datalet.aspx?UseSearch=no&amp;mode=sales&amp;pin=0325107003","sales record")</f>
        <v>sales record</v>
      </c>
      <c r="AC1991" t="s">
        <v>3</v>
      </c>
      <c r="AD1991">
        <v>41.930686</v>
      </c>
      <c r="AE1991">
        <v>-87.93929199999999</v>
      </c>
      <c r="AF1991" s="5" t="str">
        <f>HYPERLINK("https://www.google.com/maps/search/?api=1&amp;query=41.930686,-87.939292","map")</f>
        <v>map</v>
      </c>
    </row>
    <row r="1992" spans="1:32">
      <c r="A1992" t="s">
        <v>2042</v>
      </c>
      <c r="B1992" t="s">
        <v>9600</v>
      </c>
      <c r="C1992" t="s">
        <v>15109</v>
      </c>
      <c r="D1992" t="s">
        <v>16200</v>
      </c>
      <c r="E1992" t="s">
        <v>16218</v>
      </c>
      <c r="F1992" t="s">
        <v>16220</v>
      </c>
      <c r="G1992" t="s">
        <v>16254</v>
      </c>
      <c r="H1992" t="s">
        <v>16254</v>
      </c>
      <c r="I1992" t="s">
        <v>16330</v>
      </c>
      <c r="J1992" t="s">
        <v>16386</v>
      </c>
      <c r="K1992">
        <v>0.079</v>
      </c>
      <c r="L1992">
        <v>3431</v>
      </c>
      <c r="N1992" t="s">
        <v>16393</v>
      </c>
      <c r="O1992" s="4">
        <v>26349</v>
      </c>
      <c r="P1992" s="4">
        <v>237210</v>
      </c>
      <c r="Q1992" s="4">
        <v>263559</v>
      </c>
      <c r="R1992" s="4">
        <v>790677</v>
      </c>
      <c r="S1992" t="s">
        <v>18332</v>
      </c>
      <c r="T1992" s="6">
        <v>37622</v>
      </c>
      <c r="U1992" s="4">
        <v>365000</v>
      </c>
      <c r="V1992" t="s">
        <v>23739</v>
      </c>
      <c r="W1992" t="s">
        <v>24681</v>
      </c>
      <c r="X1992" t="s">
        <v>3</v>
      </c>
      <c r="AA1992" s="5" t="str">
        <f>HYPERLINK("https://www.zillow.com/homes/9-MANCHESTER-LN-ELMHURST-IL-60126_rb/","check listing")</f>
        <v>check listing</v>
      </c>
      <c r="AB1992" s="5" t="str">
        <f>HYPERLINK("https://propertylookup.dupagecounty.gov/Datalets/Datalet.aspx?UseSearch=no&amp;mode=sales&amp;pin=0611225030","sales record")</f>
        <v>sales record</v>
      </c>
      <c r="AC1992" t="s">
        <v>3</v>
      </c>
      <c r="AD1992">
        <v>41.884093</v>
      </c>
      <c r="AE1992">
        <v>-87.942217</v>
      </c>
      <c r="AF1992" s="5" t="str">
        <f>HYPERLINK("https://www.google.com/maps/search/?api=1&amp;query=41.884093,-87.942217","map")</f>
        <v>map</v>
      </c>
    </row>
    <row r="1993" spans="1:32">
      <c r="A1993" t="s">
        <v>2043</v>
      </c>
      <c r="B1993" t="s">
        <v>9601</v>
      </c>
      <c r="C1993" t="s">
        <v>15109</v>
      </c>
      <c r="D1993" t="s">
        <v>16200</v>
      </c>
      <c r="E1993" t="s">
        <v>16218</v>
      </c>
      <c r="F1993" t="s">
        <v>16220</v>
      </c>
      <c r="G1993" t="s">
        <v>16254</v>
      </c>
      <c r="H1993" t="s">
        <v>16254</v>
      </c>
      <c r="I1993" t="s">
        <v>16330</v>
      </c>
      <c r="J1993" t="s">
        <v>16386</v>
      </c>
      <c r="K1993">
        <v>0.076</v>
      </c>
      <c r="L1993">
        <v>3327</v>
      </c>
      <c r="N1993" t="s">
        <v>16393</v>
      </c>
      <c r="O1993" s="4">
        <v>19642</v>
      </c>
      <c r="P1993" s="4">
        <v>177630</v>
      </c>
      <c r="Q1993" s="4">
        <v>197272</v>
      </c>
      <c r="R1993" s="4">
        <v>591816</v>
      </c>
      <c r="S1993" t="s">
        <v>18333</v>
      </c>
      <c r="T1993" s="6">
        <v>38991</v>
      </c>
      <c r="U1993" s="4">
        <v>670000</v>
      </c>
      <c r="V1993" t="s">
        <v>23739</v>
      </c>
      <c r="W1993" t="s">
        <v>24682</v>
      </c>
      <c r="X1993" t="s">
        <v>3</v>
      </c>
      <c r="AA1993" s="5" t="str">
        <f>HYPERLINK("https://www.zillow.com/homes/130-E-KNIGHTON-PL-ELMHURST-IL-60126_rb/","check listing")</f>
        <v>check listing</v>
      </c>
      <c r="AB1993" s="5" t="str">
        <f>HYPERLINK("https://propertylookup.dupagecounty.gov/Datalets/Datalet.aspx?UseSearch=no&amp;mode=sales&amp;pin=0613300050","sales record")</f>
        <v>sales record</v>
      </c>
      <c r="AC1993" t="s">
        <v>3</v>
      </c>
      <c r="AD1993">
        <v>41.868245</v>
      </c>
      <c r="AE1993">
        <v>-87.937573</v>
      </c>
      <c r="AF1993" s="5" t="str">
        <f>HYPERLINK("https://www.google.com/maps/search/?api=1&amp;query=41.868245,-87.937573","map")</f>
        <v>map</v>
      </c>
    </row>
    <row r="1994" spans="1:32">
      <c r="A1994" t="s">
        <v>2044</v>
      </c>
      <c r="B1994" t="s">
        <v>9602</v>
      </c>
      <c r="C1994" t="s">
        <v>15109</v>
      </c>
      <c r="D1994" t="s">
        <v>16200</v>
      </c>
      <c r="E1994" t="s">
        <v>16218</v>
      </c>
      <c r="F1994" t="s">
        <v>16220</v>
      </c>
      <c r="G1994" t="s">
        <v>16254</v>
      </c>
      <c r="H1994" t="s">
        <v>16254</v>
      </c>
      <c r="I1994" t="s">
        <v>16330</v>
      </c>
      <c r="J1994" t="s">
        <v>16386</v>
      </c>
      <c r="K1994">
        <v>0.073</v>
      </c>
      <c r="L1994">
        <v>3198</v>
      </c>
      <c r="N1994" t="s">
        <v>16393</v>
      </c>
      <c r="O1994" s="4">
        <v>22780</v>
      </c>
      <c r="P1994" s="4">
        <v>205006</v>
      </c>
      <c r="Q1994" s="4">
        <v>227786</v>
      </c>
      <c r="R1994" s="4">
        <v>683358</v>
      </c>
      <c r="S1994" t="s">
        <v>18334</v>
      </c>
      <c r="T1994" s="6">
        <v>39234</v>
      </c>
      <c r="U1994" s="4">
        <v>460000</v>
      </c>
      <c r="V1994" t="s">
        <v>23740</v>
      </c>
      <c r="W1994" t="s">
        <v>24683</v>
      </c>
      <c r="X1994" t="s">
        <v>3</v>
      </c>
      <c r="AA1994" s="5" t="str">
        <f>HYPERLINK("https://www.zillow.com/homes/11-MANCHESTER-LN-ELMHURST-IL-60126_rb/","check listing")</f>
        <v>check listing</v>
      </c>
      <c r="AB1994" s="5" t="str">
        <f>HYPERLINK("https://propertylookup.dupagecounty.gov/Datalets/Datalet.aspx?UseSearch=no&amp;mode=sales&amp;pin=0611225029","sales record")</f>
        <v>sales record</v>
      </c>
      <c r="AC1994" t="s">
        <v>3</v>
      </c>
      <c r="AD1994">
        <v>41.884262</v>
      </c>
      <c r="AE1994">
        <v>-87.942238</v>
      </c>
      <c r="AF1994" s="5" t="str">
        <f>HYPERLINK("https://www.google.com/maps/search/?api=1&amp;query=41.884262,-87.942238","map")</f>
        <v>map</v>
      </c>
    </row>
    <row r="1995" spans="1:32">
      <c r="A1995" t="s">
        <v>2045</v>
      </c>
      <c r="B1995" t="s">
        <v>9603</v>
      </c>
      <c r="C1995" t="s">
        <v>15381</v>
      </c>
      <c r="D1995" t="s">
        <v>16200</v>
      </c>
      <c r="E1995" t="s">
        <v>16218</v>
      </c>
      <c r="F1995" t="s">
        <v>16220</v>
      </c>
      <c r="G1995" t="s">
        <v>16254</v>
      </c>
      <c r="H1995" t="s">
        <v>16254</v>
      </c>
      <c r="I1995" t="s">
        <v>16330</v>
      </c>
      <c r="J1995" t="s">
        <v>16386</v>
      </c>
      <c r="K1995">
        <v>0.07199999999999999</v>
      </c>
      <c r="L1995">
        <v>3138</v>
      </c>
      <c r="N1995" t="s">
        <v>16393</v>
      </c>
      <c r="O1995" s="4">
        <v>19408</v>
      </c>
      <c r="P1995" s="4">
        <v>175543</v>
      </c>
      <c r="Q1995" s="4">
        <v>194951</v>
      </c>
      <c r="R1995" s="4">
        <v>584853</v>
      </c>
      <c r="S1995" t="s">
        <v>18335</v>
      </c>
      <c r="T1995" s="6">
        <v>38047</v>
      </c>
      <c r="U1995" s="4">
        <v>435000</v>
      </c>
      <c r="V1995" t="s">
        <v>23739</v>
      </c>
      <c r="W1995" t="s">
        <v>24684</v>
      </c>
      <c r="X1995" t="s">
        <v>3</v>
      </c>
      <c r="AA1995" s="5" t="str">
        <f>HYPERLINK("https://www.zillow.com/homes/150-E-KNIGHTON-PL-ELMHURST-IL-601265102_rb/","check listing")</f>
        <v>check listing</v>
      </c>
      <c r="AB1995" s="5" t="str">
        <f>HYPERLINK("https://propertylookup.dupagecounty.gov/Datalets/Datalet.aspx?UseSearch=no&amp;mode=sales&amp;pin=0613300040","sales record")</f>
        <v>sales record</v>
      </c>
      <c r="AC1995" t="s">
        <v>3</v>
      </c>
      <c r="AD1995">
        <v>41.868578</v>
      </c>
      <c r="AE1995">
        <v>-87.93758800000001</v>
      </c>
      <c r="AF1995" s="5" t="str">
        <f>HYPERLINK("https://www.google.com/maps/search/?api=1&amp;query=41.868578,-87.937588","map")</f>
        <v>map</v>
      </c>
    </row>
    <row r="1996" spans="1:32">
      <c r="A1996" t="s">
        <v>2046</v>
      </c>
      <c r="B1996" t="s">
        <v>9604</v>
      </c>
      <c r="C1996" t="s">
        <v>15381</v>
      </c>
      <c r="D1996" t="s">
        <v>16200</v>
      </c>
      <c r="E1996" t="s">
        <v>16218</v>
      </c>
      <c r="F1996" t="s">
        <v>16220</v>
      </c>
      <c r="G1996" t="s">
        <v>16254</v>
      </c>
      <c r="H1996" t="s">
        <v>16254</v>
      </c>
      <c r="I1996" t="s">
        <v>16330</v>
      </c>
      <c r="J1996" t="s">
        <v>16386</v>
      </c>
      <c r="K1996">
        <v>0.07199999999999999</v>
      </c>
      <c r="L1996">
        <v>3138</v>
      </c>
      <c r="N1996" t="s">
        <v>16393</v>
      </c>
      <c r="O1996" s="4">
        <v>19408</v>
      </c>
      <c r="P1996" s="4">
        <v>175543</v>
      </c>
      <c r="Q1996" s="4">
        <v>194951</v>
      </c>
      <c r="R1996" s="4">
        <v>584853</v>
      </c>
      <c r="S1996" t="s">
        <v>18336</v>
      </c>
      <c r="T1996" s="6">
        <v>43831</v>
      </c>
      <c r="U1996" s="4">
        <v>530000</v>
      </c>
      <c r="V1996" t="s">
        <v>23739</v>
      </c>
      <c r="W1996" t="s">
        <v>24685</v>
      </c>
      <c r="X1996" t="s">
        <v>3</v>
      </c>
      <c r="AA1996" s="5" t="str">
        <f>HYPERLINK("https://www.zillow.com/homes/148-E-KNIGHTON-PL-ELMHURST-IL-601265102_rb/","check listing")</f>
        <v>check listing</v>
      </c>
      <c r="AB1996" s="5" t="str">
        <f>HYPERLINK("https://propertylookup.dupagecounty.gov/Datalets/Datalet.aspx?UseSearch=no&amp;mode=sales&amp;pin=0613300041","sales record")</f>
        <v>sales record</v>
      </c>
      <c r="AC1996" t="s">
        <v>3</v>
      </c>
      <c r="AD1996">
        <v>41.868608</v>
      </c>
      <c r="AE1996">
        <v>-87.937473</v>
      </c>
      <c r="AF1996" s="5" t="str">
        <f>HYPERLINK("https://www.google.com/maps/search/?api=1&amp;query=41.868608,-87.937473","map")</f>
        <v>map</v>
      </c>
    </row>
    <row r="1997" spans="1:32">
      <c r="A1997" t="s">
        <v>2047</v>
      </c>
      <c r="B1997" t="s">
        <v>9605</v>
      </c>
      <c r="C1997" t="s">
        <v>15381</v>
      </c>
      <c r="D1997" t="s">
        <v>16200</v>
      </c>
      <c r="E1997" t="s">
        <v>16218</v>
      </c>
      <c r="F1997" t="s">
        <v>16220</v>
      </c>
      <c r="G1997" t="s">
        <v>16254</v>
      </c>
      <c r="H1997" t="s">
        <v>16254</v>
      </c>
      <c r="I1997" t="s">
        <v>16330</v>
      </c>
      <c r="J1997" t="s">
        <v>16386</v>
      </c>
      <c r="K1997">
        <v>0.07000000000000001</v>
      </c>
      <c r="L1997">
        <v>3047</v>
      </c>
      <c r="N1997" t="s">
        <v>16393</v>
      </c>
      <c r="O1997" s="4">
        <v>19408</v>
      </c>
      <c r="P1997" s="4">
        <v>175543</v>
      </c>
      <c r="Q1997" s="4">
        <v>194951</v>
      </c>
      <c r="R1997" s="4">
        <v>584853</v>
      </c>
      <c r="S1997" t="s">
        <v>18337</v>
      </c>
      <c r="T1997" s="6">
        <v>38108</v>
      </c>
      <c r="U1997" s="4">
        <v>430000</v>
      </c>
      <c r="V1997" t="s">
        <v>23739</v>
      </c>
      <c r="W1997" t="s">
        <v>24686</v>
      </c>
      <c r="X1997" t="s">
        <v>3</v>
      </c>
      <c r="AA1997" s="5" t="str">
        <f>HYPERLINK("https://www.zillow.com/homes/146-E-KNIGHTON-PL-ELMHURST-IL-601265102_rb/","check listing")</f>
        <v>check listing</v>
      </c>
      <c r="AB1997" s="5" t="str">
        <f>HYPERLINK("https://propertylookup.dupagecounty.gov/Datalets/Datalet.aspx?UseSearch=no&amp;mode=sales&amp;pin=0613300042","sales record")</f>
        <v>sales record</v>
      </c>
      <c r="AC1997" t="s">
        <v>3</v>
      </c>
      <c r="AD1997">
        <v>41.868648</v>
      </c>
      <c r="AE1997">
        <v>-87.93736199999999</v>
      </c>
      <c r="AF1997" s="5" t="str">
        <f>HYPERLINK("https://www.google.com/maps/search/?api=1&amp;query=41.868648,-87.937362","map")</f>
        <v>map</v>
      </c>
    </row>
    <row r="1998" spans="1:32">
      <c r="A1998" t="s">
        <v>2048</v>
      </c>
      <c r="B1998" t="s">
        <v>9606</v>
      </c>
      <c r="C1998" t="s">
        <v>15109</v>
      </c>
      <c r="D1998" t="s">
        <v>16200</v>
      </c>
      <c r="E1998" t="s">
        <v>16217</v>
      </c>
      <c r="F1998" t="s">
        <v>16220</v>
      </c>
      <c r="G1998" t="s">
        <v>16254</v>
      </c>
      <c r="H1998" t="s">
        <v>16254</v>
      </c>
      <c r="I1998" t="s">
        <v>16330</v>
      </c>
      <c r="J1998" t="s">
        <v>16386</v>
      </c>
      <c r="K1998">
        <v>1.689</v>
      </c>
      <c r="L1998">
        <v>73566</v>
      </c>
      <c r="M1998">
        <v>11075</v>
      </c>
      <c r="N1998" t="s">
        <v>16392</v>
      </c>
      <c r="O1998" s="4">
        <v>278176</v>
      </c>
      <c r="P1998" s="4">
        <v>0</v>
      </c>
      <c r="Q1998" s="4">
        <v>278176</v>
      </c>
      <c r="R1998" s="4">
        <v>834528</v>
      </c>
      <c r="S1998" t="s">
        <v>18338</v>
      </c>
      <c r="X1998" t="s">
        <v>3</v>
      </c>
      <c r="AA1998" s="5" t="str">
        <f>HYPERLINK("https://www.zillow.com/homes/240-W-LAKE-ST-ELMHURST-IL-60126_rb/","check listing")</f>
        <v>check listing</v>
      </c>
      <c r="AB1998" s="5" t="str">
        <f>HYPERLINK("https://propertylookup.dupagecounty.gov/Datalets/Datalet.aspx?UseSearch=no&amp;mode=sales&amp;pin=0335208043","sales record")</f>
        <v>sales record</v>
      </c>
      <c r="AC1998" t="s">
        <v>11</v>
      </c>
      <c r="AD1998">
        <v>41.914993</v>
      </c>
      <c r="AE1998">
        <v>-87.945131</v>
      </c>
      <c r="AF1998" s="5" t="str">
        <f>HYPERLINK("https://www.google.com/maps/search/?api=1&amp;query=41.914993,-87.945131","map")</f>
        <v>map</v>
      </c>
    </row>
    <row r="1999" spans="1:32">
      <c r="A1999" t="s">
        <v>2049</v>
      </c>
      <c r="B1999" t="s">
        <v>9607</v>
      </c>
      <c r="C1999" t="s">
        <v>15109</v>
      </c>
      <c r="D1999" t="s">
        <v>16200</v>
      </c>
      <c r="E1999" t="s">
        <v>16217</v>
      </c>
      <c r="F1999" t="s">
        <v>16220</v>
      </c>
      <c r="G1999" t="s">
        <v>16254</v>
      </c>
      <c r="H1999" t="s">
        <v>16254</v>
      </c>
      <c r="I1999" t="s">
        <v>16330</v>
      </c>
      <c r="J1999" t="s">
        <v>16386</v>
      </c>
      <c r="K1999">
        <v>1.283</v>
      </c>
      <c r="L1999">
        <v>55884</v>
      </c>
      <c r="N1999" t="s">
        <v>16393</v>
      </c>
      <c r="O1999" s="4">
        <v>146207</v>
      </c>
      <c r="P1999" s="4">
        <v>0</v>
      </c>
      <c r="Q1999" s="4">
        <v>146207</v>
      </c>
      <c r="R1999" s="4">
        <v>438621</v>
      </c>
      <c r="S1999" t="s">
        <v>18339</v>
      </c>
      <c r="T1999" s="6">
        <v>35247</v>
      </c>
      <c r="U1999" s="4">
        <v>210000</v>
      </c>
      <c r="X1999" t="s">
        <v>3</v>
      </c>
      <c r="AA1999" s="5" t="str">
        <f>HYPERLINK("https://www.zillow.com/homes/290-W-BUTTERFIELD-ELMHURST-IL-60126_rb/","check listing")</f>
        <v>check listing</v>
      </c>
      <c r="AB1999" s="5" t="str">
        <f>HYPERLINK("https://propertylookup.dupagecounty.gov/Datalets/Datalet.aspx?UseSearch=no&amp;mode=sales&amp;pin=0614409006","sales record")</f>
        <v>sales record</v>
      </c>
      <c r="AC1999" t="s">
        <v>3</v>
      </c>
      <c r="AD1999">
        <v>41.865588</v>
      </c>
      <c r="AE1999">
        <v>-87.94749299999999</v>
      </c>
      <c r="AF1999" s="5" t="str">
        <f>HYPERLINK("https://www.google.com/maps/search/?api=1&amp;query=41.865588,-87.947493","map")</f>
        <v>map</v>
      </c>
    </row>
    <row r="2000" spans="1:32">
      <c r="A2000" t="s">
        <v>2050</v>
      </c>
      <c r="B2000" t="s">
        <v>9608</v>
      </c>
      <c r="C2000" t="s">
        <v>15109</v>
      </c>
      <c r="D2000" t="s">
        <v>16200</v>
      </c>
      <c r="E2000" t="s">
        <v>16217</v>
      </c>
      <c r="F2000" t="s">
        <v>16220</v>
      </c>
      <c r="G2000" t="s">
        <v>16254</v>
      </c>
      <c r="H2000" t="s">
        <v>16254</v>
      </c>
      <c r="I2000" t="s">
        <v>16330</v>
      </c>
      <c r="J2000" t="s">
        <v>16386</v>
      </c>
      <c r="K2000">
        <v>0.293</v>
      </c>
      <c r="L2000">
        <v>12779</v>
      </c>
      <c r="N2000" t="s">
        <v>16394</v>
      </c>
      <c r="O2000" s="4">
        <v>48675</v>
      </c>
      <c r="P2000" s="4">
        <v>0</v>
      </c>
      <c r="Q2000" s="4">
        <v>48675</v>
      </c>
      <c r="R2000" s="4">
        <v>146025</v>
      </c>
      <c r="S2000" t="s">
        <v>18340</v>
      </c>
      <c r="T2000" s="6">
        <v>34578</v>
      </c>
      <c r="U2000" s="4">
        <v>20000</v>
      </c>
      <c r="X2000" t="s">
        <v>3</v>
      </c>
      <c r="AA2000" s="5" t="str">
        <f>HYPERLINK("https://www.zillow.com/homes/126-W-LAKE-ST-ELMHURST-IL-60126_rb/","check listing")</f>
        <v>check listing</v>
      </c>
      <c r="AB2000" s="5" t="str">
        <f>HYPERLINK("https://propertylookup.dupagecounty.gov/Datalets/Datalet.aspx?UseSearch=no&amp;mode=sales&amp;pin=0335215003","sales record")</f>
        <v>sales record</v>
      </c>
      <c r="AC2000" t="s">
        <v>3</v>
      </c>
      <c r="AD2000">
        <v>41.91371</v>
      </c>
      <c r="AE2000">
        <v>-87.94237099999999</v>
      </c>
      <c r="AF2000" s="5" t="str">
        <f>HYPERLINK("https://www.google.com/maps/search/?api=1&amp;query=41.91371,-87.942371","map")</f>
        <v>map</v>
      </c>
    </row>
    <row r="2001" spans="1:32">
      <c r="A2001" t="s">
        <v>2051</v>
      </c>
      <c r="B2001" t="s">
        <v>9609</v>
      </c>
      <c r="C2001" t="s">
        <v>15382</v>
      </c>
      <c r="D2001" t="s">
        <v>16200</v>
      </c>
      <c r="E2001" t="s">
        <v>16217</v>
      </c>
      <c r="F2001" t="s">
        <v>16220</v>
      </c>
      <c r="G2001" t="s">
        <v>16254</v>
      </c>
      <c r="H2001" t="s">
        <v>16254</v>
      </c>
      <c r="I2001" t="s">
        <v>16330</v>
      </c>
      <c r="J2001" t="s">
        <v>16386</v>
      </c>
      <c r="K2001">
        <v>0.15</v>
      </c>
      <c r="L2001">
        <v>6544</v>
      </c>
      <c r="M2001">
        <v>1061</v>
      </c>
      <c r="N2001" t="s">
        <v>16393</v>
      </c>
      <c r="O2001" s="4">
        <v>3920</v>
      </c>
      <c r="P2001" s="4">
        <v>0</v>
      </c>
      <c r="Q2001" s="4">
        <v>3920</v>
      </c>
      <c r="R2001" s="4">
        <v>11760</v>
      </c>
      <c r="S2001" t="s">
        <v>18341</v>
      </c>
      <c r="X2001" t="s">
        <v>3</v>
      </c>
      <c r="AA2001" s="5" t="str">
        <f>HYPERLINK("https://www.zillow.com/homes/173-FELLOWS-CT-ELMHURST-IL-601263108_rb/","check listing")</f>
        <v>check listing</v>
      </c>
      <c r="AB2001" s="5" t="str">
        <f>HYPERLINK("https://propertylookup.dupagecounty.gov/Datalets/Datalet.aspx?UseSearch=no&amp;mode=sales&amp;pin=0602316073","sales record")</f>
        <v>sales record</v>
      </c>
      <c r="AC2001" t="s">
        <v>11</v>
      </c>
      <c r="AD2001">
        <v>41.892856</v>
      </c>
      <c r="AE2001">
        <v>-87.957679</v>
      </c>
      <c r="AF2001" s="5" t="str">
        <f>HYPERLINK("https://www.google.com/maps/search/?api=1&amp;query=41.892856,-87.957679","map")</f>
        <v>map</v>
      </c>
    </row>
    <row r="2002" spans="1:32">
      <c r="A2002" t="s">
        <v>2052</v>
      </c>
      <c r="B2002" t="s">
        <v>9610</v>
      </c>
      <c r="C2002" t="s">
        <v>15109</v>
      </c>
      <c r="D2002" t="s">
        <v>16200</v>
      </c>
      <c r="E2002" t="s">
        <v>16217</v>
      </c>
      <c r="F2002" t="s">
        <v>16220</v>
      </c>
      <c r="G2002" t="s">
        <v>16254</v>
      </c>
      <c r="H2002" t="s">
        <v>16254</v>
      </c>
      <c r="I2002" t="s">
        <v>16330</v>
      </c>
      <c r="J2002" t="s">
        <v>16386</v>
      </c>
      <c r="K2002">
        <v>0.118</v>
      </c>
      <c r="L2002">
        <v>5147</v>
      </c>
      <c r="N2002" t="s">
        <v>16393</v>
      </c>
      <c r="O2002" s="4">
        <v>1655</v>
      </c>
      <c r="P2002" s="4">
        <v>0</v>
      </c>
      <c r="Q2002" s="4">
        <v>1655</v>
      </c>
      <c r="R2002" s="4">
        <v>4965</v>
      </c>
      <c r="S2002" t="s">
        <v>18342</v>
      </c>
      <c r="X2002" t="s">
        <v>3</v>
      </c>
      <c r="AA2002" s="5" t="str">
        <f>HYPERLINK("https://www.zillow.com/homes/400-HOWARD-AVE-ELMHURST-IL-60126_rb/","check listing")</f>
        <v>check listing</v>
      </c>
      <c r="AB2002" s="5" t="str">
        <f>HYPERLINK("https://propertylookup.dupagecounty.gov/Datalets/Datalet.aspx?UseSearch=no&amp;mode=sales&amp;pin=0336313029","sales record")</f>
        <v>sales record</v>
      </c>
      <c r="AC2002" t="s">
        <v>27872</v>
      </c>
      <c r="AD2002">
        <v>41.909425</v>
      </c>
      <c r="AE2002">
        <v>-87.933303</v>
      </c>
      <c r="AF2002" s="5" t="str">
        <f>HYPERLINK("https://www.google.com/maps/search/?api=1&amp;query=41.909425,-87.933303","map")</f>
        <v>map</v>
      </c>
    </row>
    <row r="2003" spans="1:32">
      <c r="A2003" t="s">
        <v>2053</v>
      </c>
      <c r="B2003" t="s">
        <v>9611</v>
      </c>
      <c r="C2003" t="s">
        <v>15109</v>
      </c>
      <c r="D2003" t="s">
        <v>16200</v>
      </c>
      <c r="E2003" t="s">
        <v>16217</v>
      </c>
      <c r="F2003" t="s">
        <v>16220</v>
      </c>
      <c r="G2003" t="s">
        <v>16250</v>
      </c>
      <c r="H2003" t="s">
        <v>16250</v>
      </c>
      <c r="I2003" t="s">
        <v>16331</v>
      </c>
      <c r="J2003" t="s">
        <v>16386</v>
      </c>
      <c r="K2003">
        <v>0.08699999999999999</v>
      </c>
      <c r="L2003">
        <v>3780</v>
      </c>
      <c r="N2003" t="s">
        <v>16393</v>
      </c>
      <c r="O2003" s="4">
        <v>37126</v>
      </c>
      <c r="P2003" s="4">
        <v>0</v>
      </c>
      <c r="Q2003" s="4">
        <v>37126</v>
      </c>
      <c r="R2003" s="4">
        <v>111378</v>
      </c>
      <c r="S2003" t="s">
        <v>18343</v>
      </c>
      <c r="T2003" s="6">
        <v>45688</v>
      </c>
      <c r="U2003" s="4">
        <v>1420000</v>
      </c>
      <c r="V2003" t="s">
        <v>23739</v>
      </c>
      <c r="W2003" t="s">
        <v>24687</v>
      </c>
      <c r="X2003" t="s">
        <v>3</v>
      </c>
      <c r="AA2003" s="5" t="str">
        <f>HYPERLINK("https://www.zillow.com/homes/192-S-KENILWORTH-AVE-ELMHURST-IL-60126_rb/","check listing")</f>
        <v>check listing</v>
      </c>
      <c r="AB2003" s="5" t="str">
        <f>HYPERLINK("https://propertylookup.dupagecounty.gov/Datalets/Datalet.aspx?UseSearch=no&amp;mode=sales&amp;pin=0601306038","sales record")</f>
        <v>sales record</v>
      </c>
      <c r="AC2003" t="s">
        <v>27872</v>
      </c>
      <c r="AD2003">
        <v>41.895832</v>
      </c>
      <c r="AE2003">
        <v>-87.939153</v>
      </c>
      <c r="AF2003" s="5" t="str">
        <f>HYPERLINK("https://www.google.com/maps/search/?api=1&amp;query=41.895832,-87.939153","map")</f>
        <v>map</v>
      </c>
    </row>
    <row r="2004" spans="1:32">
      <c r="A2004" t="s">
        <v>2054</v>
      </c>
      <c r="B2004" t="s">
        <v>9612</v>
      </c>
      <c r="C2004" t="s">
        <v>15383</v>
      </c>
      <c r="D2004" t="s">
        <v>16201</v>
      </c>
      <c r="E2004" t="s">
        <v>16218</v>
      </c>
      <c r="F2004" t="s">
        <v>16222</v>
      </c>
      <c r="G2004" t="s">
        <v>16255</v>
      </c>
      <c r="H2004" t="s">
        <v>16255</v>
      </c>
      <c r="I2004" t="s">
        <v>16332</v>
      </c>
      <c r="J2004" t="s">
        <v>16386</v>
      </c>
      <c r="K2004">
        <v>0.39</v>
      </c>
      <c r="L2004">
        <v>17000</v>
      </c>
      <c r="M2004">
        <v>2782</v>
      </c>
      <c r="N2004" t="s">
        <v>16393</v>
      </c>
      <c r="O2004" s="4">
        <v>54697</v>
      </c>
      <c r="P2004" s="4">
        <v>301070</v>
      </c>
      <c r="Q2004" s="4">
        <v>355767</v>
      </c>
      <c r="R2004" s="4">
        <v>1067301</v>
      </c>
      <c r="S2004" t="s">
        <v>18344</v>
      </c>
      <c r="T2004" s="6">
        <v>41061</v>
      </c>
      <c r="U2004" s="4">
        <v>729900</v>
      </c>
      <c r="V2004" t="s">
        <v>23739</v>
      </c>
      <c r="W2004" t="s">
        <v>24688</v>
      </c>
      <c r="X2004" t="s">
        <v>3</v>
      </c>
      <c r="AA2004" s="5" t="str">
        <f>HYPERLINK("https://www.zillow.com/homes/467-ANTHONY-ST-GLEN-ELLYN-IL-60137_rb/","check listing")</f>
        <v>check listing</v>
      </c>
      <c r="AB2004" s="5" t="str">
        <f>HYPERLINK("https://propertylookup.dupagecounty.gov/Datalets/Datalet.aspx?UseSearch=no&amp;mode=sales&amp;pin=0511310022","sales record")</f>
        <v>sales record</v>
      </c>
      <c r="AC2004" t="s">
        <v>27873</v>
      </c>
      <c r="AD2004">
        <v>41.878137</v>
      </c>
      <c r="AE2004">
        <v>-88.06877299999999</v>
      </c>
      <c r="AF2004" s="5" t="str">
        <f>HYPERLINK("https://www.google.com/maps/search/?api=1&amp;query=41.878137,-88.068773","map")</f>
        <v>map</v>
      </c>
    </row>
    <row r="2005" spans="1:32">
      <c r="A2005" t="s">
        <v>2055</v>
      </c>
      <c r="B2005" t="s">
        <v>9613</v>
      </c>
      <c r="C2005" t="s">
        <v>15383</v>
      </c>
      <c r="D2005" t="s">
        <v>16201</v>
      </c>
      <c r="E2005" t="s">
        <v>16218</v>
      </c>
      <c r="F2005" t="s">
        <v>16222</v>
      </c>
      <c r="G2005" t="s">
        <v>16255</v>
      </c>
      <c r="H2005" t="s">
        <v>16255</v>
      </c>
      <c r="I2005" t="s">
        <v>16332</v>
      </c>
      <c r="J2005" t="s">
        <v>16386</v>
      </c>
      <c r="K2005">
        <v>0.204</v>
      </c>
      <c r="L2005">
        <v>8886</v>
      </c>
      <c r="M2005">
        <v>989</v>
      </c>
      <c r="N2005" t="s">
        <v>16393</v>
      </c>
      <c r="O2005" s="4">
        <v>43350</v>
      </c>
      <c r="P2005" s="4">
        <v>114391</v>
      </c>
      <c r="Q2005" s="4">
        <v>157741</v>
      </c>
      <c r="R2005" s="4">
        <v>473223</v>
      </c>
      <c r="S2005" t="s">
        <v>18345</v>
      </c>
      <c r="T2005" s="6">
        <v>33848</v>
      </c>
      <c r="U2005" s="4">
        <v>130000</v>
      </c>
      <c r="X2005" t="s">
        <v>3</v>
      </c>
      <c r="AA2005" s="5" t="str">
        <f>HYPERLINK("https://www.zillow.com/homes/488-N-WESTERN-AVE-GLEN-ELLYN-IL-60137_rb/","check listing")</f>
        <v>check listing</v>
      </c>
      <c r="AB2005" s="5" t="str">
        <f>HYPERLINK("https://propertylookup.dupagecounty.gov/Datalets/Datalet.aspx?UseSearch=no&amp;mode=sales&amp;pin=0510410029","sales record")</f>
        <v>sales record</v>
      </c>
      <c r="AC2005" t="s">
        <v>3</v>
      </c>
      <c r="AD2005">
        <v>41.877174</v>
      </c>
      <c r="AE2005">
        <v>-88.07281500000001</v>
      </c>
      <c r="AF2005" s="5" t="str">
        <f>HYPERLINK("https://www.google.com/maps/search/?api=1&amp;query=41.877174,-88.072815","map")</f>
        <v>map</v>
      </c>
    </row>
    <row r="2006" spans="1:32">
      <c r="A2006" t="s">
        <v>2056</v>
      </c>
      <c r="B2006" t="s">
        <v>9614</v>
      </c>
      <c r="C2006" t="s">
        <v>15384</v>
      </c>
      <c r="D2006" t="s">
        <v>16201</v>
      </c>
      <c r="E2006" t="s">
        <v>16218</v>
      </c>
      <c r="F2006" t="s">
        <v>16222</v>
      </c>
      <c r="G2006" t="s">
        <v>16255</v>
      </c>
      <c r="H2006" t="s">
        <v>16255</v>
      </c>
      <c r="I2006" t="s">
        <v>16332</v>
      </c>
      <c r="J2006" t="s">
        <v>16386</v>
      </c>
      <c r="K2006">
        <v>0.198</v>
      </c>
      <c r="L2006">
        <v>8630</v>
      </c>
      <c r="M2006">
        <v>1569</v>
      </c>
      <c r="N2006" t="s">
        <v>16393</v>
      </c>
      <c r="O2006" s="4">
        <v>41536</v>
      </c>
      <c r="P2006" s="4">
        <v>139771</v>
      </c>
      <c r="Q2006" s="4">
        <v>181307</v>
      </c>
      <c r="R2006" s="4">
        <v>543921</v>
      </c>
      <c r="S2006" t="s">
        <v>18346</v>
      </c>
      <c r="T2006" s="6">
        <v>44501</v>
      </c>
      <c r="U2006" s="4">
        <v>566500</v>
      </c>
      <c r="V2006" t="s">
        <v>23739</v>
      </c>
      <c r="W2006" t="s">
        <v>24689</v>
      </c>
      <c r="X2006" t="s">
        <v>3</v>
      </c>
      <c r="AA2006" s="5" t="str">
        <f>HYPERLINK("https://www.zillow.com/homes/463-DUANE-ST-GLEN-ELLYN-IL-601374530_rb/","check listing")</f>
        <v>check listing</v>
      </c>
      <c r="AB2006" s="5" t="str">
        <f>HYPERLINK("https://propertylookup.dupagecounty.gov/Datalets/Datalet.aspx?UseSearch=no&amp;mode=sales&amp;pin=0511326035","sales record")</f>
        <v>sales record</v>
      </c>
      <c r="AC2006" t="s">
        <v>27873</v>
      </c>
      <c r="AD2006">
        <v>41.875198</v>
      </c>
      <c r="AE2006">
        <v>-88.06949899999999</v>
      </c>
      <c r="AF2006" s="5" t="str">
        <f>HYPERLINK("https://www.google.com/maps/search/?api=1&amp;query=41.875198,-88.069499","map")</f>
        <v>map</v>
      </c>
    </row>
    <row r="2007" spans="1:32">
      <c r="A2007" t="s">
        <v>2057</v>
      </c>
      <c r="B2007" t="s">
        <v>9615</v>
      </c>
      <c r="C2007" t="s">
        <v>15383</v>
      </c>
      <c r="D2007" t="s">
        <v>16201</v>
      </c>
      <c r="E2007" t="s">
        <v>16217</v>
      </c>
      <c r="F2007" t="s">
        <v>16222</v>
      </c>
      <c r="G2007" t="s">
        <v>16255</v>
      </c>
      <c r="H2007" t="s">
        <v>16255</v>
      </c>
      <c r="I2007" t="s">
        <v>16332</v>
      </c>
      <c r="J2007" t="s">
        <v>16386</v>
      </c>
      <c r="K2007">
        <v>1.394</v>
      </c>
      <c r="L2007">
        <v>60704</v>
      </c>
      <c r="N2007" t="s">
        <v>16392</v>
      </c>
      <c r="O2007" s="4">
        <v>438959</v>
      </c>
      <c r="P2007" s="4">
        <v>0</v>
      </c>
      <c r="Q2007" s="4">
        <v>438959</v>
      </c>
      <c r="R2007" s="4">
        <v>1316877</v>
      </c>
      <c r="S2007" t="s">
        <v>18347</v>
      </c>
      <c r="T2007" s="6">
        <v>43221</v>
      </c>
      <c r="U2007" s="4">
        <v>41348046</v>
      </c>
      <c r="V2007" t="s">
        <v>16232</v>
      </c>
      <c r="W2007" t="s">
        <v>24690</v>
      </c>
      <c r="X2007" t="s">
        <v>3</v>
      </c>
      <c r="AA2007" s="5" t="str">
        <f>HYPERLINK("https://www.zillow.com/homes/43054-PENNSYLVANIA-AVE-GLEN-ELLYN-IL-60137_rb/","check listing")</f>
        <v>check listing</v>
      </c>
      <c r="AB2007" s="5" t="str">
        <f>HYPERLINK("https://propertylookup.dupagecounty.gov/Datalets/Datalet.aspx?UseSearch=no&amp;mode=sales&amp;pin=0511310084","sales record")</f>
        <v>sales record</v>
      </c>
      <c r="AC2007" t="s">
        <v>27872</v>
      </c>
      <c r="AD2007">
        <v>41.877776</v>
      </c>
      <c r="AE2007">
        <v>-88.071878</v>
      </c>
      <c r="AF2007" s="5" t="str">
        <f>HYPERLINK("https://www.google.com/maps/search/?api=1&amp;query=41.877776,-88.071878","map")</f>
        <v>map</v>
      </c>
    </row>
    <row r="2008" spans="1:32">
      <c r="A2008" t="s">
        <v>2058</v>
      </c>
      <c r="B2008" t="s">
        <v>9616</v>
      </c>
      <c r="C2008" t="s">
        <v>15383</v>
      </c>
      <c r="D2008" t="s">
        <v>16201</v>
      </c>
      <c r="E2008" t="s">
        <v>16217</v>
      </c>
      <c r="F2008" t="s">
        <v>16222</v>
      </c>
      <c r="G2008" t="s">
        <v>16255</v>
      </c>
      <c r="H2008" t="s">
        <v>16255</v>
      </c>
      <c r="I2008" t="s">
        <v>16332</v>
      </c>
      <c r="J2008" t="s">
        <v>16386</v>
      </c>
      <c r="K2008">
        <v>0.33</v>
      </c>
      <c r="L2008">
        <v>14390</v>
      </c>
      <c r="N2008" t="s">
        <v>16393</v>
      </c>
      <c r="O2008" s="4">
        <v>53896</v>
      </c>
      <c r="P2008" s="4">
        <v>0</v>
      </c>
      <c r="Q2008" s="4">
        <v>53896</v>
      </c>
      <c r="R2008" s="4">
        <v>161688</v>
      </c>
      <c r="S2008" t="s">
        <v>18348</v>
      </c>
      <c r="T2008" s="6">
        <v>38443</v>
      </c>
      <c r="U2008" s="4">
        <v>395000</v>
      </c>
      <c r="V2008" t="s">
        <v>23739</v>
      </c>
      <c r="W2008" t="s">
        <v>24691</v>
      </c>
      <c r="X2008" t="s">
        <v>3</v>
      </c>
      <c r="AA2008" s="5" t="str">
        <f>HYPERLINK("https://www.zillow.com/homes/491-N-NEWTON-AVE-GLEN-ELLYN-IL-60137_rb/","check listing")</f>
        <v>check listing</v>
      </c>
      <c r="AB2008" s="5" t="str">
        <f>HYPERLINK("https://propertylookup.dupagecounty.gov/Datalets/Datalet.aspx?UseSearch=no&amp;mode=sales&amp;pin=0510410018","sales record")</f>
        <v>sales record</v>
      </c>
      <c r="AC2008" t="s">
        <v>3</v>
      </c>
      <c r="AD2008">
        <v>41.877231</v>
      </c>
      <c r="AE2008">
        <v>-88.07447500000001</v>
      </c>
      <c r="AF2008" s="5" t="str">
        <f>HYPERLINK("https://www.google.com/maps/search/?api=1&amp;query=41.877231,-88.074475","map")</f>
        <v>map</v>
      </c>
    </row>
    <row r="2009" spans="1:32">
      <c r="A2009" t="s">
        <v>2059</v>
      </c>
      <c r="B2009" t="s">
        <v>9617</v>
      </c>
      <c r="C2009" t="s">
        <v>15383</v>
      </c>
      <c r="D2009" t="s">
        <v>16201</v>
      </c>
      <c r="E2009" t="s">
        <v>16217</v>
      </c>
      <c r="F2009" t="s">
        <v>16222</v>
      </c>
      <c r="G2009" t="s">
        <v>16255</v>
      </c>
      <c r="H2009" t="s">
        <v>16255</v>
      </c>
      <c r="I2009" t="s">
        <v>16332</v>
      </c>
      <c r="J2009" t="s">
        <v>16386</v>
      </c>
      <c r="K2009">
        <v>0.24</v>
      </c>
      <c r="L2009">
        <v>10448</v>
      </c>
      <c r="N2009" t="s">
        <v>16392</v>
      </c>
      <c r="O2009" s="4">
        <v>86264</v>
      </c>
      <c r="P2009" s="4">
        <v>0</v>
      </c>
      <c r="Q2009" s="4">
        <v>86264</v>
      </c>
      <c r="R2009" s="4">
        <v>258792</v>
      </c>
      <c r="S2009" t="s">
        <v>18349</v>
      </c>
      <c r="T2009" s="6">
        <v>39569</v>
      </c>
      <c r="U2009" s="4">
        <v>1850000</v>
      </c>
      <c r="V2009" t="s">
        <v>23740</v>
      </c>
      <c r="W2009" t="s">
        <v>18349</v>
      </c>
      <c r="X2009" t="s">
        <v>3</v>
      </c>
      <c r="AA2009" s="5" t="str">
        <f>HYPERLINK("https://www.zillow.com/homes/565-DUANE-ST-GLEN-ELLYN-IL-60137_rb/","check listing")</f>
        <v>check listing</v>
      </c>
      <c r="AB2009" s="5" t="str">
        <f>HYPERLINK("https://propertylookup.dupagecounty.gov/Datalets/Datalet.aspx?UseSearch=no&amp;mode=sales&amp;pin=0511329038","sales record")</f>
        <v>sales record</v>
      </c>
      <c r="AC2009" t="s">
        <v>27872</v>
      </c>
      <c r="AD2009">
        <v>41.875107</v>
      </c>
      <c r="AE2009">
        <v>-88.06380799999999</v>
      </c>
      <c r="AF2009" s="5" t="str">
        <f>HYPERLINK("https://www.google.com/maps/search/?api=1&amp;query=41.875107,-88.063808","map")</f>
        <v>map</v>
      </c>
    </row>
    <row r="2010" spans="1:32">
      <c r="A2010" t="s">
        <v>2060</v>
      </c>
      <c r="B2010" t="s">
        <v>9618</v>
      </c>
      <c r="C2010" t="s">
        <v>15383</v>
      </c>
      <c r="D2010" t="s">
        <v>16201</v>
      </c>
      <c r="E2010" t="s">
        <v>16217</v>
      </c>
      <c r="F2010" t="s">
        <v>16222</v>
      </c>
      <c r="G2010" t="s">
        <v>16256</v>
      </c>
      <c r="H2010" t="s">
        <v>16256</v>
      </c>
      <c r="I2010" t="s">
        <v>16333</v>
      </c>
      <c r="J2010" t="s">
        <v>16386</v>
      </c>
      <c r="K2010">
        <v>0.239</v>
      </c>
      <c r="L2010">
        <v>10393</v>
      </c>
      <c r="N2010" t="s">
        <v>16392</v>
      </c>
      <c r="O2010" s="4">
        <v>129367</v>
      </c>
      <c r="P2010" s="4">
        <v>0</v>
      </c>
      <c r="Q2010" s="4">
        <v>129367</v>
      </c>
      <c r="R2010" s="4">
        <v>388101</v>
      </c>
      <c r="S2010" t="s">
        <v>18350</v>
      </c>
      <c r="X2010" t="s">
        <v>3</v>
      </c>
      <c r="AA2010" s="5" t="str">
        <f>HYPERLINK("https://www.zillow.com/homes/444-MAIN-ST-GLEN-ELLYN-IL-60137_rb/","check listing")</f>
        <v>check listing</v>
      </c>
      <c r="AB2010" s="5" t="str">
        <f>HYPERLINK("https://propertylookup.dupagecounty.gov/Datalets/Datalet.aspx?UseSearch=no&amp;mode=sales&amp;pin=0511320013","sales record")</f>
        <v>sales record</v>
      </c>
      <c r="AC2010" t="s">
        <v>27872</v>
      </c>
      <c r="AD2010">
        <v>41.875637</v>
      </c>
      <c r="AE2010">
        <v>-88.067859</v>
      </c>
      <c r="AF2010" s="5" t="str">
        <f>HYPERLINK("https://www.google.com/maps/search/?api=1&amp;query=41.875637,-88.067859","map")</f>
        <v>map</v>
      </c>
    </row>
    <row r="2011" spans="1:32">
      <c r="A2011" t="s">
        <v>2061</v>
      </c>
      <c r="B2011" t="s">
        <v>9619</v>
      </c>
      <c r="C2011" t="s">
        <v>15383</v>
      </c>
      <c r="D2011" t="s">
        <v>16201</v>
      </c>
      <c r="E2011" t="s">
        <v>16217</v>
      </c>
      <c r="F2011" t="s">
        <v>16222</v>
      </c>
      <c r="G2011" t="s">
        <v>16255</v>
      </c>
      <c r="H2011" t="s">
        <v>16255</v>
      </c>
      <c r="I2011" t="s">
        <v>16332</v>
      </c>
      <c r="J2011" t="s">
        <v>16386</v>
      </c>
      <c r="K2011">
        <v>0.228</v>
      </c>
      <c r="L2011">
        <v>9918</v>
      </c>
      <c r="N2011" t="s">
        <v>16392</v>
      </c>
      <c r="O2011" s="4">
        <v>123711</v>
      </c>
      <c r="P2011" s="4">
        <v>0</v>
      </c>
      <c r="Q2011" s="4">
        <v>123711</v>
      </c>
      <c r="R2011" s="4">
        <v>371133</v>
      </c>
      <c r="S2011" t="s">
        <v>18351</v>
      </c>
      <c r="T2011" s="6">
        <v>31656</v>
      </c>
      <c r="U2011" s="4">
        <v>80000</v>
      </c>
      <c r="X2011" t="s">
        <v>3</v>
      </c>
      <c r="AA2011" s="5" t="str">
        <f>HYPERLINK("https://www.zillow.com/homes/586-DUANE-ST-GLEN-ELLYN-IL-60137_rb/","check listing")</f>
        <v>check listing</v>
      </c>
      <c r="AB2011" s="5" t="str">
        <f>HYPERLINK("https://propertylookup.dupagecounty.gov/Datalets/Datalet.aspx?UseSearch=no&amp;mode=sales&amp;pin=0511322023","sales record")</f>
        <v>sales record</v>
      </c>
      <c r="AC2011" t="s">
        <v>27872</v>
      </c>
      <c r="AD2011">
        <v>41.87582</v>
      </c>
      <c r="AE2011">
        <v>-88.06349899999999</v>
      </c>
      <c r="AF2011" s="5" t="str">
        <f>HYPERLINK("https://www.google.com/maps/search/?api=1&amp;query=41.87582,-88.063499","map")</f>
        <v>map</v>
      </c>
    </row>
    <row r="2012" spans="1:32">
      <c r="A2012" t="s">
        <v>2062</v>
      </c>
      <c r="B2012" t="s">
        <v>9620</v>
      </c>
      <c r="C2012" t="s">
        <v>15383</v>
      </c>
      <c r="D2012" t="s">
        <v>16201</v>
      </c>
      <c r="E2012" t="s">
        <v>16217</v>
      </c>
      <c r="F2012" t="s">
        <v>16222</v>
      </c>
      <c r="G2012" t="s">
        <v>16255</v>
      </c>
      <c r="H2012" t="s">
        <v>16255</v>
      </c>
      <c r="I2012" t="s">
        <v>16332</v>
      </c>
      <c r="J2012" t="s">
        <v>16386</v>
      </c>
      <c r="K2012">
        <v>0.203</v>
      </c>
      <c r="L2012">
        <v>8852</v>
      </c>
      <c r="N2012" t="s">
        <v>16392</v>
      </c>
      <c r="O2012" s="4">
        <v>110360</v>
      </c>
      <c r="P2012" s="4">
        <v>0</v>
      </c>
      <c r="Q2012" s="4">
        <v>110360</v>
      </c>
      <c r="R2012" s="4">
        <v>331080</v>
      </c>
      <c r="S2012" t="s">
        <v>18352</v>
      </c>
      <c r="T2012" s="6">
        <v>45524</v>
      </c>
      <c r="U2012" s="4">
        <v>1100000</v>
      </c>
      <c r="V2012" t="s">
        <v>23739</v>
      </c>
      <c r="W2012" t="s">
        <v>24692</v>
      </c>
      <c r="X2012" t="s">
        <v>3</v>
      </c>
      <c r="AA2012" s="5" t="str">
        <f>HYPERLINK("https://www.zillow.com/homes/493-DUANE-ST-GLEN-ELLYN-IL-60137_rb/","check listing")</f>
        <v>check listing</v>
      </c>
      <c r="AB2012" s="5" t="str">
        <f>HYPERLINK("https://propertylookup.dupagecounty.gov/Datalets/Datalet.aspx?UseSearch=no&amp;mode=sales&amp;pin=0511327003","sales record")</f>
        <v>sales record</v>
      </c>
      <c r="AC2012" t="s">
        <v>27872</v>
      </c>
      <c r="AD2012">
        <v>41.875168</v>
      </c>
      <c r="AE2012">
        <v>-88.06769300000001</v>
      </c>
      <c r="AF2012" s="5" t="str">
        <f>HYPERLINK("https://www.google.com/maps/search/?api=1&amp;query=41.875168,-88.067693","map")</f>
        <v>map</v>
      </c>
    </row>
    <row r="2013" spans="1:32">
      <c r="A2013" t="s">
        <v>2063</v>
      </c>
      <c r="B2013" t="s">
        <v>9621</v>
      </c>
      <c r="C2013" t="s">
        <v>15383</v>
      </c>
      <c r="D2013" t="s">
        <v>16201</v>
      </c>
      <c r="E2013" t="s">
        <v>16217</v>
      </c>
      <c r="F2013" t="s">
        <v>16222</v>
      </c>
      <c r="G2013" t="s">
        <v>16255</v>
      </c>
      <c r="H2013" t="s">
        <v>16255</v>
      </c>
      <c r="I2013" t="s">
        <v>16332</v>
      </c>
      <c r="J2013" t="s">
        <v>16386</v>
      </c>
      <c r="K2013">
        <v>0.192</v>
      </c>
      <c r="L2013">
        <v>8353</v>
      </c>
      <c r="N2013" t="s">
        <v>16392</v>
      </c>
      <c r="O2013" s="4">
        <v>108357</v>
      </c>
      <c r="P2013" s="4">
        <v>0</v>
      </c>
      <c r="Q2013" s="4">
        <v>108357</v>
      </c>
      <c r="R2013" s="4">
        <v>325071</v>
      </c>
      <c r="S2013" t="s">
        <v>18353</v>
      </c>
      <c r="T2013" s="6">
        <v>45134</v>
      </c>
      <c r="U2013" s="4">
        <v>1150000</v>
      </c>
      <c r="V2013" t="s">
        <v>23739</v>
      </c>
      <c r="W2013" t="s">
        <v>24693</v>
      </c>
      <c r="X2013" t="s">
        <v>3</v>
      </c>
      <c r="AA2013" s="5" t="str">
        <f>HYPERLINK("https://www.zillow.com/homes/386-PENNSYLVANIA-AVE-GLEN-ELLYN-IL-60137_rb/","check listing")</f>
        <v>check listing</v>
      </c>
      <c r="AB2013" s="5" t="str">
        <f>HYPERLINK("https://propertylookup.dupagecounty.gov/Datalets/Datalet.aspx?UseSearch=no&amp;mode=sales&amp;pin=0510410032","sales record")</f>
        <v>sales record</v>
      </c>
      <c r="AC2013" t="s">
        <v>27872</v>
      </c>
      <c r="AD2013">
        <v>41.877012</v>
      </c>
      <c r="AE2013">
        <v>-88.073415</v>
      </c>
      <c r="AF2013" s="5" t="str">
        <f>HYPERLINK("https://www.google.com/maps/search/?api=1&amp;query=41.877012,-88.073415","map")</f>
        <v>map</v>
      </c>
    </row>
    <row r="2014" spans="1:32">
      <c r="A2014" t="s">
        <v>2064</v>
      </c>
      <c r="B2014" t="s">
        <v>9622</v>
      </c>
      <c r="C2014" t="s">
        <v>15383</v>
      </c>
      <c r="D2014" t="s">
        <v>16201</v>
      </c>
      <c r="E2014" t="s">
        <v>16217</v>
      </c>
      <c r="F2014" t="s">
        <v>16222</v>
      </c>
      <c r="G2014" t="s">
        <v>16255</v>
      </c>
      <c r="H2014" t="s">
        <v>16255</v>
      </c>
      <c r="I2014" t="s">
        <v>16332</v>
      </c>
      <c r="J2014" t="s">
        <v>16386</v>
      </c>
      <c r="K2014">
        <v>0.176</v>
      </c>
      <c r="L2014">
        <v>7649</v>
      </c>
      <c r="N2014" t="s">
        <v>16392</v>
      </c>
      <c r="O2014" s="4">
        <v>63605</v>
      </c>
      <c r="P2014" s="4">
        <v>0</v>
      </c>
      <c r="Q2014" s="4">
        <v>63605</v>
      </c>
      <c r="R2014" s="4">
        <v>190815</v>
      </c>
      <c r="S2014" t="s">
        <v>18354</v>
      </c>
      <c r="X2014" t="s">
        <v>3</v>
      </c>
      <c r="AA2014" s="5" t="str">
        <f>HYPERLINK("https://www.zillow.com/homes/35062-DUANE-ST-GLEN-ELLYN-IL-60137_rb/","check listing")</f>
        <v>check listing</v>
      </c>
      <c r="AB2014" s="5" t="str">
        <f>HYPERLINK("https://propertylookup.dupagecounty.gov/Datalets/Datalet.aspx?UseSearch=no&amp;mode=sales&amp;pin=0510411041","sales record")</f>
        <v>sales record</v>
      </c>
      <c r="AC2014" t="s">
        <v>27872</v>
      </c>
      <c r="AD2014">
        <v>41.875907</v>
      </c>
      <c r="AE2014">
        <v>-88.074513</v>
      </c>
      <c r="AF2014" s="5" t="str">
        <f>HYPERLINK("https://www.google.com/maps/search/?api=1&amp;query=41.875907,-88.074513","map")</f>
        <v>map</v>
      </c>
    </row>
    <row r="2015" spans="1:32">
      <c r="A2015" t="s">
        <v>2065</v>
      </c>
      <c r="B2015" t="s">
        <v>9622</v>
      </c>
      <c r="C2015" t="s">
        <v>15383</v>
      </c>
      <c r="D2015" t="s">
        <v>16201</v>
      </c>
      <c r="E2015" t="s">
        <v>16217</v>
      </c>
      <c r="F2015" t="s">
        <v>16222</v>
      </c>
      <c r="G2015" t="s">
        <v>16255</v>
      </c>
      <c r="H2015" t="s">
        <v>16255</v>
      </c>
      <c r="I2015" t="s">
        <v>16332</v>
      </c>
      <c r="J2015" t="s">
        <v>16386</v>
      </c>
      <c r="K2015">
        <v>0.176</v>
      </c>
      <c r="L2015">
        <v>7645</v>
      </c>
      <c r="M2015">
        <v>594</v>
      </c>
      <c r="N2015" t="s">
        <v>16392</v>
      </c>
      <c r="O2015" s="4">
        <v>63569</v>
      </c>
      <c r="P2015" s="4">
        <v>0</v>
      </c>
      <c r="Q2015" s="4">
        <v>63569</v>
      </c>
      <c r="R2015" s="4">
        <v>190707</v>
      </c>
      <c r="S2015" t="s">
        <v>18354</v>
      </c>
      <c r="T2015" s="6">
        <v>34851</v>
      </c>
      <c r="U2015" s="4">
        <v>380000</v>
      </c>
      <c r="X2015" t="s">
        <v>3</v>
      </c>
      <c r="AA2015" s="5" t="str">
        <f>HYPERLINK("https://www.zillow.com/homes/35062-DUANE-ST-GLEN-ELLYN-IL-60137_rb/","check listing")</f>
        <v>check listing</v>
      </c>
      <c r="AB2015" s="5" t="str">
        <f>HYPERLINK("https://propertylookup.dupagecounty.gov/Datalets/Datalet.aspx?UseSearch=no&amp;mode=sales&amp;pin=0510411035","sales record")</f>
        <v>sales record</v>
      </c>
      <c r="AC2015" t="s">
        <v>11</v>
      </c>
      <c r="AD2015">
        <v>41.875903</v>
      </c>
      <c r="AE2015">
        <v>-88.074326</v>
      </c>
      <c r="AF2015" s="5" t="str">
        <f>HYPERLINK("https://www.google.com/maps/search/?api=1&amp;query=41.875903,-88.074326","map")</f>
        <v>map</v>
      </c>
    </row>
    <row r="2016" spans="1:32">
      <c r="A2016" t="s">
        <v>2066</v>
      </c>
      <c r="B2016" t="s">
        <v>9623</v>
      </c>
      <c r="C2016" t="s">
        <v>15383</v>
      </c>
      <c r="D2016" t="s">
        <v>16201</v>
      </c>
      <c r="E2016" t="s">
        <v>16217</v>
      </c>
      <c r="F2016" t="s">
        <v>16222</v>
      </c>
      <c r="G2016" t="s">
        <v>16255</v>
      </c>
      <c r="H2016" t="s">
        <v>16255</v>
      </c>
      <c r="I2016" t="s">
        <v>16332</v>
      </c>
      <c r="J2016" t="s">
        <v>16386</v>
      </c>
      <c r="K2016">
        <v>0.151</v>
      </c>
      <c r="L2016">
        <v>6581</v>
      </c>
      <c r="N2016" t="s">
        <v>16392</v>
      </c>
      <c r="O2016" s="4">
        <v>84037</v>
      </c>
      <c r="P2016" s="4">
        <v>0</v>
      </c>
      <c r="Q2016" s="4">
        <v>84037</v>
      </c>
      <c r="R2016" s="4">
        <v>252111</v>
      </c>
      <c r="S2016" t="s">
        <v>18355</v>
      </c>
      <c r="X2016" t="s">
        <v>3</v>
      </c>
      <c r="AA2016" s="5" t="str">
        <f>HYPERLINK("https://www.zillow.com/homes/585-PENNSYLVANIA-AVE-GLEN-ELLYN-IL-60137_rb/","check listing")</f>
        <v>check listing</v>
      </c>
      <c r="AB2016" s="5" t="str">
        <f>HYPERLINK("https://propertylookup.dupagecounty.gov/Datalets/Datalet.aspx?UseSearch=no&amp;mode=sales&amp;pin=0511318005","sales record")</f>
        <v>sales record</v>
      </c>
      <c r="AC2016" t="s">
        <v>27872</v>
      </c>
      <c r="AD2016">
        <v>41.877659</v>
      </c>
      <c r="AE2016">
        <v>-88.063576</v>
      </c>
      <c r="AF2016" s="5" t="str">
        <f>HYPERLINK("https://www.google.com/maps/search/?api=1&amp;query=41.877659,-88.063576","map")</f>
        <v>map</v>
      </c>
    </row>
    <row r="2017" spans="1:32">
      <c r="A2017" t="s">
        <v>2067</v>
      </c>
      <c r="B2017" t="s">
        <v>9624</v>
      </c>
      <c r="C2017" t="s">
        <v>15383</v>
      </c>
      <c r="D2017" t="s">
        <v>16201</v>
      </c>
      <c r="E2017" t="s">
        <v>16217</v>
      </c>
      <c r="F2017" t="s">
        <v>16222</v>
      </c>
      <c r="G2017" t="s">
        <v>16255</v>
      </c>
      <c r="H2017" t="s">
        <v>16255</v>
      </c>
      <c r="I2017" t="s">
        <v>16332</v>
      </c>
      <c r="J2017" t="s">
        <v>16386</v>
      </c>
      <c r="K2017">
        <v>0.139</v>
      </c>
      <c r="L2017">
        <v>6055</v>
      </c>
      <c r="M2017">
        <v>5167</v>
      </c>
      <c r="N2017" t="s">
        <v>16392</v>
      </c>
      <c r="O2017" s="4">
        <v>75507</v>
      </c>
      <c r="P2017" s="4">
        <v>0</v>
      </c>
      <c r="Q2017" s="4">
        <v>75507</v>
      </c>
      <c r="R2017" s="4">
        <v>226521</v>
      </c>
      <c r="S2017" t="s">
        <v>18356</v>
      </c>
      <c r="T2017" s="6">
        <v>42278</v>
      </c>
      <c r="U2017" s="4">
        <v>925000</v>
      </c>
      <c r="V2017" t="s">
        <v>23739</v>
      </c>
      <c r="W2017" t="s">
        <v>24694</v>
      </c>
      <c r="X2017" t="s">
        <v>3</v>
      </c>
      <c r="AA2017" s="5" t="str">
        <f>HYPERLINK("https://www.zillow.com/homes/53034-PENNSYLVANIA-AVE-GLEN-ELLYN-IL-60137_rb/","check listing")</f>
        <v>check listing</v>
      </c>
      <c r="AB2017" s="5" t="str">
        <f>HYPERLINK("https://propertylookup.dupagecounty.gov/Datalets/Datalet.aspx?UseSearch=no&amp;mode=sales&amp;pin=0511311011","sales record")</f>
        <v>sales record</v>
      </c>
      <c r="AC2017" t="s">
        <v>27871</v>
      </c>
      <c r="AD2017">
        <v>41.87786</v>
      </c>
      <c r="AE2017">
        <v>-88.06615499999999</v>
      </c>
      <c r="AF2017" s="5" t="str">
        <f>HYPERLINK("https://www.google.com/maps/search/?api=1&amp;query=41.87786,-88.066155","map")</f>
        <v>map</v>
      </c>
    </row>
    <row r="2018" spans="1:32">
      <c r="A2018" t="s">
        <v>2068</v>
      </c>
      <c r="B2018" t="s">
        <v>9625</v>
      </c>
      <c r="C2018" t="s">
        <v>15383</v>
      </c>
      <c r="D2018" t="s">
        <v>16201</v>
      </c>
      <c r="E2018" t="s">
        <v>16217</v>
      </c>
      <c r="F2018" t="s">
        <v>16222</v>
      </c>
      <c r="G2018" t="s">
        <v>16255</v>
      </c>
      <c r="H2018" t="s">
        <v>16255</v>
      </c>
      <c r="I2018" t="s">
        <v>16332</v>
      </c>
      <c r="J2018" t="s">
        <v>16386</v>
      </c>
      <c r="K2018">
        <v>0.135</v>
      </c>
      <c r="L2018">
        <v>5897</v>
      </c>
      <c r="M2018">
        <v>1484</v>
      </c>
      <c r="N2018" t="s">
        <v>16392</v>
      </c>
      <c r="O2018" s="4">
        <v>73526</v>
      </c>
      <c r="P2018" s="4">
        <v>0</v>
      </c>
      <c r="Q2018" s="4">
        <v>73526</v>
      </c>
      <c r="R2018" s="4">
        <v>220578</v>
      </c>
      <c r="S2018" t="s">
        <v>18357</v>
      </c>
      <c r="T2018" s="6">
        <v>45629</v>
      </c>
      <c r="U2018" s="4">
        <v>300000</v>
      </c>
      <c r="V2018" t="s">
        <v>23741</v>
      </c>
      <c r="W2018" t="s">
        <v>24695</v>
      </c>
      <c r="X2018" t="s">
        <v>3</v>
      </c>
      <c r="AA2018" s="5" t="str">
        <f>HYPERLINK("https://www.zillow.com/homes/451-DUANE-ST-GLEN-ELLYN-IL-60137_rb/","check listing")</f>
        <v>check listing</v>
      </c>
      <c r="AB2018" s="5" t="str">
        <f>HYPERLINK("https://propertylookup.dupagecounty.gov/Datalets/Datalet.aspx?UseSearch=no&amp;mode=sales&amp;pin=0511326001","sales record")</f>
        <v>sales record</v>
      </c>
      <c r="AC2018" t="s">
        <v>11</v>
      </c>
      <c r="AD2018">
        <v>41.875197</v>
      </c>
      <c r="AE2018">
        <v>-88.06989900000001</v>
      </c>
      <c r="AF2018" s="5" t="str">
        <f>HYPERLINK("https://www.google.com/maps/search/?api=1&amp;query=41.875197,-88.069899","map")</f>
        <v>map</v>
      </c>
    </row>
    <row r="2019" spans="1:32">
      <c r="A2019" t="s">
        <v>2069</v>
      </c>
      <c r="B2019" t="s">
        <v>9626</v>
      </c>
      <c r="C2019" t="s">
        <v>15383</v>
      </c>
      <c r="D2019" t="s">
        <v>16201</v>
      </c>
      <c r="E2019" t="s">
        <v>16217</v>
      </c>
      <c r="F2019" t="s">
        <v>16222</v>
      </c>
      <c r="G2019" t="s">
        <v>16256</v>
      </c>
      <c r="H2019" t="s">
        <v>16256</v>
      </c>
      <c r="I2019" t="s">
        <v>16333</v>
      </c>
      <c r="J2019" t="s">
        <v>16386</v>
      </c>
      <c r="K2019">
        <v>0.127</v>
      </c>
      <c r="L2019">
        <v>5546</v>
      </c>
      <c r="N2019" t="s">
        <v>16392</v>
      </c>
      <c r="O2019" s="4">
        <v>67034</v>
      </c>
      <c r="P2019" s="4">
        <v>0</v>
      </c>
      <c r="Q2019" s="4">
        <v>67034</v>
      </c>
      <c r="R2019" s="4">
        <v>201102</v>
      </c>
      <c r="S2019" t="s">
        <v>18358</v>
      </c>
      <c r="X2019" t="s">
        <v>3</v>
      </c>
      <c r="AA2019" s="5" t="str">
        <f>HYPERLINK("https://www.zillow.com/homes/FOREST-AVE-GLEN-ELLYN-IL-60137_rb/","check listing")</f>
        <v>check listing</v>
      </c>
      <c r="AB2019" s="5" t="str">
        <f>HYPERLINK("https://propertylookup.dupagecounty.gov/Datalets/Datalet.aspx?UseSearch=no&amp;mode=sales&amp;pin=0511317021","sales record")</f>
        <v>sales record</v>
      </c>
      <c r="AC2019" t="s">
        <v>3</v>
      </c>
      <c r="AD2019">
        <v>41.877311</v>
      </c>
      <c r="AE2019">
        <v>-88.065291</v>
      </c>
      <c r="AF2019" s="5" t="str">
        <f>HYPERLINK("https://www.google.com/maps/search/?api=1&amp;query=41.877311,-88.065291","map")</f>
        <v>map</v>
      </c>
    </row>
    <row r="2020" spans="1:32">
      <c r="A2020" t="s">
        <v>2070</v>
      </c>
      <c r="B2020" t="s">
        <v>9627</v>
      </c>
      <c r="C2020" t="s">
        <v>15383</v>
      </c>
      <c r="D2020" t="s">
        <v>16201</v>
      </c>
      <c r="E2020" t="s">
        <v>16217</v>
      </c>
      <c r="F2020" t="s">
        <v>16222</v>
      </c>
      <c r="G2020" t="s">
        <v>16255</v>
      </c>
      <c r="H2020" t="s">
        <v>16255</v>
      </c>
      <c r="I2020" t="s">
        <v>16332</v>
      </c>
      <c r="J2020" t="s">
        <v>16386</v>
      </c>
      <c r="K2020">
        <v>0.112</v>
      </c>
      <c r="L2020">
        <v>4887</v>
      </c>
      <c r="N2020" t="s">
        <v>16392</v>
      </c>
      <c r="O2020" s="4">
        <v>60883</v>
      </c>
      <c r="P2020" s="4">
        <v>0</v>
      </c>
      <c r="Q2020" s="4">
        <v>60883</v>
      </c>
      <c r="R2020" s="4">
        <v>182649</v>
      </c>
      <c r="S2020" t="s">
        <v>18359</v>
      </c>
      <c r="X2020" t="s">
        <v>3</v>
      </c>
      <c r="AA2020" s="5" t="str">
        <f>HYPERLINK("https://www.zillow.com/homes/462-PARK-BLVD-GLEN-ELLYN-IL-60137_rb/","check listing")</f>
        <v>check listing</v>
      </c>
      <c r="AB2020" s="5" t="str">
        <f>HYPERLINK("https://propertylookup.dupagecounty.gov/Datalets/Datalet.aspx?UseSearch=no&amp;mode=sales&amp;pin=0511322015","sales record")</f>
        <v>sales record</v>
      </c>
      <c r="AC2020" t="s">
        <v>27872</v>
      </c>
      <c r="AD2020">
        <v>41.876206</v>
      </c>
      <c r="AE2020">
        <v>-88.063096</v>
      </c>
      <c r="AF2020" s="5" t="str">
        <f>HYPERLINK("https://www.google.com/maps/search/?api=1&amp;query=41.876206,-88.063096","map")</f>
        <v>map</v>
      </c>
    </row>
    <row r="2021" spans="1:32">
      <c r="A2021" t="s">
        <v>2071</v>
      </c>
      <c r="B2021" t="s">
        <v>9628</v>
      </c>
      <c r="C2021" t="s">
        <v>15385</v>
      </c>
      <c r="D2021" t="s">
        <v>16201</v>
      </c>
      <c r="E2021" t="s">
        <v>16217</v>
      </c>
      <c r="F2021" t="s">
        <v>16222</v>
      </c>
      <c r="G2021" t="s">
        <v>16256</v>
      </c>
      <c r="H2021" t="s">
        <v>16256</v>
      </c>
      <c r="I2021" t="s">
        <v>16333</v>
      </c>
      <c r="J2021" t="s">
        <v>16386</v>
      </c>
      <c r="K2021">
        <v>0.083</v>
      </c>
      <c r="L2021">
        <v>3614</v>
      </c>
      <c r="N2021" t="s">
        <v>16392</v>
      </c>
      <c r="O2021" s="4">
        <v>45059</v>
      </c>
      <c r="P2021" s="4">
        <v>0</v>
      </c>
      <c r="Q2021" s="4">
        <v>45059</v>
      </c>
      <c r="R2021" s="4">
        <v>135177</v>
      </c>
      <c r="S2021" t="s">
        <v>18360</v>
      </c>
      <c r="X2021" t="s">
        <v>3</v>
      </c>
      <c r="AA2021" s="5" t="str">
        <f>HYPERLINK("https://www.zillow.com/homes/535-PENNSYLVANIA-AVE-GLEN-ELLYN-IL-601374179_rb/","check listing")</f>
        <v>check listing</v>
      </c>
      <c r="AB2021" s="5" t="str">
        <f>HYPERLINK("https://propertylookup.dupagecounty.gov/Datalets/Datalet.aspx?UseSearch=no&amp;mode=sales&amp;pin=0511317019","sales record")</f>
        <v>sales record</v>
      </c>
      <c r="AC2021" t="s">
        <v>27872</v>
      </c>
      <c r="AD2021">
        <v>41.877278</v>
      </c>
      <c r="AE2021">
        <v>-88.06553099999999</v>
      </c>
      <c r="AF2021" s="5" t="str">
        <f>HYPERLINK("https://www.google.com/maps/search/?api=1&amp;query=41.877278,-88.065531","map")</f>
        <v>map</v>
      </c>
    </row>
    <row r="2022" spans="1:32">
      <c r="A2022" t="s">
        <v>2072</v>
      </c>
      <c r="B2022" t="s">
        <v>9629</v>
      </c>
      <c r="C2022" t="s">
        <v>15383</v>
      </c>
      <c r="D2022" t="s">
        <v>16201</v>
      </c>
      <c r="E2022" t="s">
        <v>16217</v>
      </c>
      <c r="F2022" t="s">
        <v>16222</v>
      </c>
      <c r="G2022" t="s">
        <v>16255</v>
      </c>
      <c r="H2022" t="s">
        <v>16255</v>
      </c>
      <c r="I2022" t="s">
        <v>16332</v>
      </c>
      <c r="J2022" t="s">
        <v>16386</v>
      </c>
      <c r="K2022">
        <v>0.076</v>
      </c>
      <c r="L2022">
        <v>3295</v>
      </c>
      <c r="N2022" t="s">
        <v>16392</v>
      </c>
      <c r="O2022" s="4">
        <v>41088</v>
      </c>
      <c r="P2022" s="4">
        <v>0</v>
      </c>
      <c r="Q2022" s="4">
        <v>41088</v>
      </c>
      <c r="R2022" s="4">
        <v>123264</v>
      </c>
      <c r="S2022" t="s">
        <v>18361</v>
      </c>
      <c r="T2022" s="6">
        <v>29921</v>
      </c>
      <c r="U2022" s="4">
        <v>10000</v>
      </c>
      <c r="X2022" t="s">
        <v>3</v>
      </c>
      <c r="AA2022" s="5" t="str">
        <f>HYPERLINK("https://www.zillow.com/homes/526-N-MAIN-ST-GLEN-ELLYN-IL-60137_rb/","check listing")</f>
        <v>check listing</v>
      </c>
      <c r="AB2022" s="5" t="str">
        <f>HYPERLINK("https://propertylookup.dupagecounty.gov/Datalets/Datalet.aspx?UseSearch=no&amp;mode=sales&amp;pin=0511310031","sales record")</f>
        <v>sales record</v>
      </c>
      <c r="AC2022" t="s">
        <v>27872</v>
      </c>
      <c r="AD2022">
        <v>41.878499</v>
      </c>
      <c r="AE2022">
        <v>-88.067109</v>
      </c>
      <c r="AF2022" s="5" t="str">
        <f>HYPERLINK("https://www.google.com/maps/search/?api=1&amp;query=41.878499,-88.067109","map")</f>
        <v>map</v>
      </c>
    </row>
    <row r="2023" spans="1:32">
      <c r="A2023" t="s">
        <v>2073</v>
      </c>
      <c r="B2023" t="s">
        <v>9629</v>
      </c>
      <c r="C2023" t="s">
        <v>15383</v>
      </c>
      <c r="D2023" t="s">
        <v>16201</v>
      </c>
      <c r="E2023" t="s">
        <v>16217</v>
      </c>
      <c r="F2023" t="s">
        <v>16222</v>
      </c>
      <c r="G2023" t="s">
        <v>16255</v>
      </c>
      <c r="H2023" t="s">
        <v>16255</v>
      </c>
      <c r="I2023" t="s">
        <v>16332</v>
      </c>
      <c r="J2023" t="s">
        <v>16386</v>
      </c>
      <c r="K2023">
        <v>0.076</v>
      </c>
      <c r="L2023">
        <v>3292</v>
      </c>
      <c r="N2023" t="s">
        <v>16392</v>
      </c>
      <c r="O2023" s="4">
        <v>41052</v>
      </c>
      <c r="P2023" s="4">
        <v>0</v>
      </c>
      <c r="Q2023" s="4">
        <v>41052</v>
      </c>
      <c r="R2023" s="4">
        <v>123156</v>
      </c>
      <c r="S2023" t="s">
        <v>18361</v>
      </c>
      <c r="X2023" t="s">
        <v>3</v>
      </c>
      <c r="AA2023" s="5" t="str">
        <f>HYPERLINK("https://www.zillow.com/homes/526-N-MAIN-ST-GLEN-ELLYN-IL-60137_rb/","check listing")</f>
        <v>check listing</v>
      </c>
      <c r="AB2023" s="5" t="str">
        <f>HYPERLINK("https://propertylookup.dupagecounty.gov/Datalets/Datalet.aspx?UseSearch=no&amp;mode=sales&amp;pin=0511310032","sales record")</f>
        <v>sales record</v>
      </c>
      <c r="AC2023" t="s">
        <v>3</v>
      </c>
      <c r="AD2023">
        <v>41.87843</v>
      </c>
      <c r="AE2023">
        <v>-88.067108</v>
      </c>
      <c r="AF2023" s="5" t="str">
        <f>HYPERLINK("https://www.google.com/maps/search/?api=1&amp;query=41.87843,-88.067108","map")</f>
        <v>map</v>
      </c>
    </row>
    <row r="2024" spans="1:32">
      <c r="A2024" t="s">
        <v>2074</v>
      </c>
      <c r="B2024" t="s">
        <v>9618</v>
      </c>
      <c r="C2024" t="s">
        <v>15383</v>
      </c>
      <c r="D2024" t="s">
        <v>16201</v>
      </c>
      <c r="E2024" t="s">
        <v>16217</v>
      </c>
      <c r="F2024" t="s">
        <v>16222</v>
      </c>
      <c r="G2024" t="s">
        <v>16256</v>
      </c>
      <c r="H2024" t="s">
        <v>16256</v>
      </c>
      <c r="I2024" t="s">
        <v>16333</v>
      </c>
      <c r="J2024" t="s">
        <v>16386</v>
      </c>
      <c r="K2024">
        <v>0.068</v>
      </c>
      <c r="L2024">
        <v>2979</v>
      </c>
      <c r="N2024" t="s">
        <v>16392</v>
      </c>
      <c r="O2024" s="4">
        <v>37140</v>
      </c>
      <c r="P2024" s="4">
        <v>0</v>
      </c>
      <c r="Q2024" s="4">
        <v>37140</v>
      </c>
      <c r="R2024" s="4">
        <v>111420</v>
      </c>
      <c r="S2024" t="s">
        <v>18350</v>
      </c>
      <c r="X2024" t="s">
        <v>3</v>
      </c>
      <c r="AA2024" s="5" t="str">
        <f>HYPERLINK("https://www.zillow.com/homes/444-MAIN-ST-GLEN-ELLYN-IL-60137_rb/","check listing")</f>
        <v>check listing</v>
      </c>
      <c r="AB2024" s="5" t="str">
        <f>HYPERLINK("https://propertylookup.dupagecounty.gov/Datalets/Datalet.aspx?UseSearch=no&amp;mode=sales&amp;pin=0511320012","sales record")</f>
        <v>sales record</v>
      </c>
      <c r="AC2024" t="s">
        <v>3</v>
      </c>
      <c r="AD2024">
        <v>41.875635</v>
      </c>
      <c r="AE2024">
        <v>-88.06825600000001</v>
      </c>
      <c r="AF2024" s="5" t="str">
        <f>HYPERLINK("https://www.google.com/maps/search/?api=1&amp;query=41.875635,-88.068256","map")</f>
        <v>map</v>
      </c>
    </row>
    <row r="2025" spans="1:32">
      <c r="A2025" t="s">
        <v>2075</v>
      </c>
      <c r="B2025" t="s">
        <v>9618</v>
      </c>
      <c r="C2025" t="s">
        <v>15386</v>
      </c>
      <c r="D2025" t="s">
        <v>16201</v>
      </c>
      <c r="E2025" t="s">
        <v>16217</v>
      </c>
      <c r="F2025" t="s">
        <v>16222</v>
      </c>
      <c r="G2025" t="s">
        <v>16256</v>
      </c>
      <c r="H2025" t="s">
        <v>16256</v>
      </c>
      <c r="I2025" t="s">
        <v>16333</v>
      </c>
      <c r="J2025" t="s">
        <v>16386</v>
      </c>
      <c r="K2025">
        <v>0.068</v>
      </c>
      <c r="L2025">
        <v>2976</v>
      </c>
      <c r="N2025" t="s">
        <v>16392</v>
      </c>
      <c r="O2025" s="4">
        <v>37105</v>
      </c>
      <c r="P2025" s="4">
        <v>0</v>
      </c>
      <c r="Q2025" s="4">
        <v>37105</v>
      </c>
      <c r="R2025" s="4">
        <v>111315</v>
      </c>
      <c r="S2025" t="s">
        <v>18350</v>
      </c>
      <c r="T2025" s="6">
        <v>42430</v>
      </c>
      <c r="U2025" s="4">
        <v>3265000</v>
      </c>
      <c r="V2025" t="s">
        <v>16232</v>
      </c>
      <c r="W2025" t="s">
        <v>24696</v>
      </c>
      <c r="X2025" t="s">
        <v>3</v>
      </c>
      <c r="AA2025" s="5" t="str">
        <f>HYPERLINK("https://www.zillow.com/homes/444-MAIN-ST-GLEN-ELLYN-IL-601375118_rb/","check listing")</f>
        <v>check listing</v>
      </c>
      <c r="AB2025" s="5" t="str">
        <f>HYPERLINK("https://propertylookup.dupagecounty.gov/Datalets/Datalet.aspx?UseSearch=no&amp;mode=sales&amp;pin=0511320011","sales record")</f>
        <v>sales record</v>
      </c>
      <c r="AC2025" t="s">
        <v>3</v>
      </c>
      <c r="AD2025">
        <v>41.875629</v>
      </c>
      <c r="AE2025">
        <v>-88.06844</v>
      </c>
      <c r="AF2025" s="5" t="str">
        <f>HYPERLINK("https://www.google.com/maps/search/?api=1&amp;query=41.875629,-88.06844","map")</f>
        <v>map</v>
      </c>
    </row>
    <row r="2026" spans="1:32">
      <c r="A2026" t="s">
        <v>2076</v>
      </c>
      <c r="B2026" t="s">
        <v>9630</v>
      </c>
      <c r="C2026" t="s">
        <v>15383</v>
      </c>
      <c r="D2026" t="s">
        <v>16201</v>
      </c>
      <c r="E2026" t="s">
        <v>16217</v>
      </c>
      <c r="F2026" t="s">
        <v>16222</v>
      </c>
      <c r="G2026" t="s">
        <v>16255</v>
      </c>
      <c r="H2026" t="s">
        <v>16255</v>
      </c>
      <c r="I2026" t="s">
        <v>16332</v>
      </c>
      <c r="J2026" t="s">
        <v>16386</v>
      </c>
      <c r="K2026">
        <v>0.067</v>
      </c>
      <c r="L2026">
        <v>2928</v>
      </c>
      <c r="N2026" t="s">
        <v>16392</v>
      </c>
      <c r="O2026" s="4">
        <v>36527</v>
      </c>
      <c r="P2026" s="4">
        <v>0</v>
      </c>
      <c r="Q2026" s="4">
        <v>36527</v>
      </c>
      <c r="R2026" s="4">
        <v>109581</v>
      </c>
      <c r="S2026" t="s">
        <v>18362</v>
      </c>
      <c r="X2026" t="s">
        <v>3</v>
      </c>
      <c r="AA2026" s="5" t="str">
        <f>HYPERLINK("https://www.zillow.com/homes/453-PENNSYLVANIA-AVE-GLEN-ELLYN-IL-60137_rb/","check listing")</f>
        <v>check listing</v>
      </c>
      <c r="AB2026" s="5" t="str">
        <f>HYPERLINK("https://propertylookup.dupagecounty.gov/Datalets/Datalet.aspx?UseSearch=no&amp;mode=sales&amp;pin=0511314006","sales record")</f>
        <v>sales record</v>
      </c>
      <c r="AC2026" t="s">
        <v>27872</v>
      </c>
      <c r="AD2026">
        <v>41.876542</v>
      </c>
      <c r="AE2026">
        <v>-88.069874</v>
      </c>
      <c r="AF2026" s="5" t="str">
        <f>HYPERLINK("https://www.google.com/maps/search/?api=1&amp;query=41.876542,-88.069874","map")</f>
        <v>map</v>
      </c>
    </row>
    <row r="2027" spans="1:32">
      <c r="A2027" t="s">
        <v>2077</v>
      </c>
      <c r="B2027" t="s">
        <v>9631</v>
      </c>
      <c r="C2027" t="s">
        <v>15383</v>
      </c>
      <c r="D2027" t="s">
        <v>16201</v>
      </c>
      <c r="E2027" t="s">
        <v>16217</v>
      </c>
      <c r="F2027" t="s">
        <v>16222</v>
      </c>
      <c r="G2027" t="s">
        <v>16255</v>
      </c>
      <c r="H2027" t="s">
        <v>16255</v>
      </c>
      <c r="I2027" t="s">
        <v>16332</v>
      </c>
      <c r="J2027" t="s">
        <v>16386</v>
      </c>
      <c r="K2027">
        <v>0.058</v>
      </c>
      <c r="L2027">
        <v>2509</v>
      </c>
      <c r="N2027" t="s">
        <v>16392</v>
      </c>
      <c r="O2027" s="4">
        <v>31284</v>
      </c>
      <c r="P2027" s="4">
        <v>0</v>
      </c>
      <c r="Q2027" s="4">
        <v>31284</v>
      </c>
      <c r="R2027" s="4">
        <v>93852</v>
      </c>
      <c r="S2027" t="s">
        <v>18363</v>
      </c>
      <c r="X2027" t="s">
        <v>3</v>
      </c>
      <c r="AA2027" s="5" t="str">
        <f>HYPERLINK("https://www.zillow.com/homes/574-PENNSYLVANIA-AVE-GLEN-ELLYN-IL-60137_rb/","check listing")</f>
        <v>check listing</v>
      </c>
      <c r="AB2027" s="5" t="str">
        <f>HYPERLINK("https://propertylookup.dupagecounty.gov/Datalets/Datalet.aspx?UseSearch=no&amp;mode=sales&amp;pin=0511312013","sales record")</f>
        <v>sales record</v>
      </c>
      <c r="AC2027" t="s">
        <v>27872</v>
      </c>
      <c r="AD2027">
        <v>41.878184</v>
      </c>
      <c r="AE2027">
        <v>-88.06367400000001</v>
      </c>
      <c r="AF2027" s="5" t="str">
        <f>HYPERLINK("https://www.google.com/maps/search/?api=1&amp;query=41.878184,-88.063674","map")</f>
        <v>map</v>
      </c>
    </row>
    <row r="2028" spans="1:32">
      <c r="A2028" t="s">
        <v>2078</v>
      </c>
      <c r="B2028" t="s">
        <v>9632</v>
      </c>
      <c r="C2028" t="s">
        <v>15383</v>
      </c>
      <c r="D2028" t="s">
        <v>16201</v>
      </c>
      <c r="E2028" t="s">
        <v>16218</v>
      </c>
      <c r="F2028" t="s">
        <v>16220</v>
      </c>
      <c r="G2028" t="s">
        <v>16254</v>
      </c>
      <c r="H2028" t="s">
        <v>16254</v>
      </c>
      <c r="I2028" t="s">
        <v>16334</v>
      </c>
      <c r="J2028" t="s">
        <v>16386</v>
      </c>
      <c r="K2028">
        <v>0.349</v>
      </c>
      <c r="L2028">
        <v>15199</v>
      </c>
      <c r="M2028">
        <v>2028</v>
      </c>
      <c r="N2028" t="s">
        <v>16393</v>
      </c>
      <c r="O2028" s="4">
        <v>53542</v>
      </c>
      <c r="P2028" s="4">
        <v>166707</v>
      </c>
      <c r="Q2028" s="4">
        <v>220249</v>
      </c>
      <c r="R2028" s="4">
        <v>660747</v>
      </c>
      <c r="S2028" t="s">
        <v>18364</v>
      </c>
      <c r="T2028" s="6">
        <v>37803</v>
      </c>
      <c r="U2028" s="4">
        <v>389000</v>
      </c>
      <c r="V2028" t="s">
        <v>23739</v>
      </c>
      <c r="W2028" t="s">
        <v>24697</v>
      </c>
      <c r="X2028" t="s">
        <v>3</v>
      </c>
      <c r="AA2028" s="5" t="str">
        <f>HYPERLINK("https://www.zillow.com/homes/415-LORRAINE-RD-GLEN-ELLYN-IL-60137_rb/","check listing")</f>
        <v>check listing</v>
      </c>
      <c r="AB2028" s="5" t="str">
        <f>HYPERLINK("https://propertylookup.dupagecounty.gov/Datalets/Datalet.aspx?UseSearch=no&amp;mode=sales&amp;pin=0510419045","sales record")</f>
        <v>sales record</v>
      </c>
      <c r="AC2028" t="s">
        <v>27873</v>
      </c>
      <c r="AD2028">
        <v>41.874538</v>
      </c>
      <c r="AE2028">
        <v>-88.074012</v>
      </c>
      <c r="AF2028" s="5" t="str">
        <f>HYPERLINK("https://www.google.com/maps/search/?api=1&amp;query=41.874538,-88.074012","map")</f>
        <v>map</v>
      </c>
    </row>
    <row r="2029" spans="1:32">
      <c r="A2029" t="s">
        <v>2079</v>
      </c>
      <c r="B2029" t="s">
        <v>9633</v>
      </c>
      <c r="C2029" t="s">
        <v>15383</v>
      </c>
      <c r="D2029" t="s">
        <v>16201</v>
      </c>
      <c r="E2029" t="s">
        <v>16218</v>
      </c>
      <c r="F2029" t="s">
        <v>16220</v>
      </c>
      <c r="G2029" t="s">
        <v>16254</v>
      </c>
      <c r="H2029" t="s">
        <v>16254</v>
      </c>
      <c r="I2029" t="s">
        <v>16334</v>
      </c>
      <c r="J2029" t="s">
        <v>16386</v>
      </c>
      <c r="K2029">
        <v>0.241</v>
      </c>
      <c r="L2029">
        <v>10502</v>
      </c>
      <c r="M2029">
        <v>1848</v>
      </c>
      <c r="N2029" t="s">
        <v>16393</v>
      </c>
      <c r="O2029" s="4">
        <v>47627</v>
      </c>
      <c r="P2029" s="4">
        <v>75200</v>
      </c>
      <c r="Q2029" s="4">
        <v>122827</v>
      </c>
      <c r="R2029" s="4">
        <v>368481</v>
      </c>
      <c r="S2029" t="s">
        <v>18365</v>
      </c>
      <c r="X2029" t="s">
        <v>3</v>
      </c>
      <c r="AA2029" s="5" t="str">
        <f>HYPERLINK("https://www.zillow.com/homes/500-NEWTON-AVE-GLEN-ELLYN-IL-60137_rb/","check listing")</f>
        <v>check listing</v>
      </c>
      <c r="AB2029" s="5" t="str">
        <f>HYPERLINK("https://propertylookup.dupagecounty.gov/Datalets/Datalet.aspx?UseSearch=no&amp;mode=sales&amp;pin=0510409037","sales record")</f>
        <v>sales record</v>
      </c>
      <c r="AC2029" t="s">
        <v>3</v>
      </c>
      <c r="AD2029">
        <v>41.877556</v>
      </c>
      <c r="AE2029">
        <v>-88.075247</v>
      </c>
      <c r="AF2029" s="5" t="str">
        <f>HYPERLINK("https://www.google.com/maps/search/?api=1&amp;query=41.877556,-88.075247","map")</f>
        <v>map</v>
      </c>
    </row>
    <row r="2030" spans="1:32">
      <c r="A2030" t="s">
        <v>2080</v>
      </c>
      <c r="B2030" t="s">
        <v>9634</v>
      </c>
      <c r="C2030" t="s">
        <v>15387</v>
      </c>
      <c r="D2030" t="s">
        <v>16201</v>
      </c>
      <c r="E2030" t="s">
        <v>16218</v>
      </c>
      <c r="F2030" t="s">
        <v>16220</v>
      </c>
      <c r="G2030" t="s">
        <v>16254</v>
      </c>
      <c r="H2030" t="s">
        <v>16254</v>
      </c>
      <c r="I2030" t="s">
        <v>16334</v>
      </c>
      <c r="J2030" t="s">
        <v>16386</v>
      </c>
      <c r="K2030">
        <v>0.204</v>
      </c>
      <c r="L2030">
        <v>8866</v>
      </c>
      <c r="M2030">
        <v>1055</v>
      </c>
      <c r="N2030" t="s">
        <v>16393</v>
      </c>
      <c r="O2030" s="4">
        <v>56888</v>
      </c>
      <c r="P2030" s="4">
        <v>94936</v>
      </c>
      <c r="Q2030" s="4">
        <v>151824</v>
      </c>
      <c r="R2030" s="4">
        <v>455472</v>
      </c>
      <c r="S2030" t="s">
        <v>18366</v>
      </c>
      <c r="T2030" s="6">
        <v>45317</v>
      </c>
      <c r="U2030" s="4">
        <v>420000</v>
      </c>
      <c r="V2030" t="s">
        <v>23741</v>
      </c>
      <c r="W2030" t="s">
        <v>24698</v>
      </c>
      <c r="X2030" t="s">
        <v>3</v>
      </c>
      <c r="AA2030" s="5" t="str">
        <f>HYPERLINK("https://www.zillow.com/homes/571-ANTHONY-ST-GLEN-ELLYN-IL-601374119_rb/","check listing")</f>
        <v>check listing</v>
      </c>
      <c r="AB2030" s="5" t="str">
        <f>HYPERLINK("https://propertylookup.dupagecounty.gov/Datalets/Datalet.aspx?UseSearch=no&amp;mode=sales&amp;pin=0511312008","sales record")</f>
        <v>sales record</v>
      </c>
      <c r="AC2030" t="s">
        <v>3</v>
      </c>
      <c r="AD2030">
        <v>41.878524</v>
      </c>
      <c r="AE2030">
        <v>-88.064168</v>
      </c>
      <c r="AF2030" s="5" t="str">
        <f>HYPERLINK("https://www.google.com/maps/search/?api=1&amp;query=41.878524,-88.064168","map")</f>
        <v>map</v>
      </c>
    </row>
    <row r="2031" spans="1:32">
      <c r="A2031" t="s">
        <v>2081</v>
      </c>
      <c r="B2031" t="s">
        <v>9635</v>
      </c>
      <c r="C2031" t="s">
        <v>15388</v>
      </c>
      <c r="D2031" t="s">
        <v>16201</v>
      </c>
      <c r="E2031" t="s">
        <v>16218</v>
      </c>
      <c r="F2031" t="s">
        <v>16220</v>
      </c>
      <c r="G2031" t="s">
        <v>16254</v>
      </c>
      <c r="H2031" t="s">
        <v>16254</v>
      </c>
      <c r="I2031" t="s">
        <v>16334</v>
      </c>
      <c r="J2031" t="s">
        <v>16386</v>
      </c>
      <c r="K2031">
        <v>0.171</v>
      </c>
      <c r="L2031">
        <v>7443</v>
      </c>
      <c r="M2031">
        <v>1450</v>
      </c>
      <c r="N2031" t="s">
        <v>16393</v>
      </c>
      <c r="O2031" s="4">
        <v>35809</v>
      </c>
      <c r="P2031" s="4">
        <v>103892</v>
      </c>
      <c r="Q2031" s="4">
        <v>139701</v>
      </c>
      <c r="R2031" s="4">
        <v>419103</v>
      </c>
      <c r="S2031" t="s">
        <v>18367</v>
      </c>
      <c r="T2031" s="6">
        <v>42036</v>
      </c>
      <c r="U2031" s="4">
        <v>238500</v>
      </c>
      <c r="V2031" t="s">
        <v>23740</v>
      </c>
      <c r="W2031" t="s">
        <v>24699</v>
      </c>
      <c r="X2031" t="s">
        <v>3</v>
      </c>
      <c r="AA2031" s="5" t="str">
        <f>HYPERLINK("https://www.zillow.com/homes/408-LAWRENCE-AVE-GLEN-ELLYN-IL-601374305_rb/","check listing")</f>
        <v>check listing</v>
      </c>
      <c r="AB2031" s="5" t="str">
        <f>HYPERLINK("https://propertylookup.dupagecounty.gov/Datalets/Datalet.aspx?UseSearch=no&amp;mode=sales&amp;pin=0510411008","sales record")</f>
        <v>sales record</v>
      </c>
      <c r="AC2031" t="s">
        <v>27873</v>
      </c>
      <c r="AD2031">
        <v>41.874186</v>
      </c>
      <c r="AE2031">
        <v>-88.08017700000001</v>
      </c>
      <c r="AF2031" s="5" t="str">
        <f>HYPERLINK("https://www.google.com/maps/search/?api=1&amp;query=41.874186,-88.080177","map")</f>
        <v>map</v>
      </c>
    </row>
    <row r="2032" spans="1:32">
      <c r="A2032" t="s">
        <v>2082</v>
      </c>
      <c r="B2032" t="s">
        <v>9636</v>
      </c>
      <c r="C2032" t="s">
        <v>15383</v>
      </c>
      <c r="D2032" t="s">
        <v>16201</v>
      </c>
      <c r="E2032" t="s">
        <v>16218</v>
      </c>
      <c r="F2032" t="s">
        <v>16220</v>
      </c>
      <c r="G2032" t="s">
        <v>16254</v>
      </c>
      <c r="H2032" t="s">
        <v>16254</v>
      </c>
      <c r="I2032" t="s">
        <v>16334</v>
      </c>
      <c r="J2032" t="s">
        <v>16386</v>
      </c>
      <c r="K2032">
        <v>0.168</v>
      </c>
      <c r="L2032">
        <v>7331</v>
      </c>
      <c r="M2032">
        <v>1979</v>
      </c>
      <c r="N2032" t="s">
        <v>16393</v>
      </c>
      <c r="O2032" s="4">
        <v>35291</v>
      </c>
      <c r="P2032" s="4">
        <v>122768</v>
      </c>
      <c r="Q2032" s="4">
        <v>158059</v>
      </c>
      <c r="R2032" s="4">
        <v>474177</v>
      </c>
      <c r="S2032" t="s">
        <v>18368</v>
      </c>
      <c r="T2032" s="6">
        <v>41791</v>
      </c>
      <c r="U2032" s="4">
        <v>330000</v>
      </c>
      <c r="V2032" t="s">
        <v>23739</v>
      </c>
      <c r="W2032" t="s">
        <v>24700</v>
      </c>
      <c r="X2032" t="s">
        <v>3</v>
      </c>
      <c r="AA2032" s="5" t="str">
        <f>HYPERLINK("https://www.zillow.com/homes/428-LORRAINE-ST-GLEN-ELLYN-IL-60137_rb/","check listing")</f>
        <v>check listing</v>
      </c>
      <c r="AB2032" s="5" t="str">
        <f>HYPERLINK("https://propertylookup.dupagecounty.gov/Datalets/Datalet.aspx?UseSearch=no&amp;mode=sales&amp;pin=0510415021","sales record")</f>
        <v>sales record</v>
      </c>
      <c r="AC2032" t="s">
        <v>3</v>
      </c>
      <c r="AD2032">
        <v>41.875018</v>
      </c>
      <c r="AE2032">
        <v>-88.07413200000001</v>
      </c>
      <c r="AF2032" s="5" t="str">
        <f>HYPERLINK("https://www.google.com/maps/search/?api=1&amp;query=41.875018,-88.074132","map")</f>
        <v>map</v>
      </c>
    </row>
    <row r="2033" spans="1:32">
      <c r="A2033" t="s">
        <v>2083</v>
      </c>
      <c r="B2033" t="s">
        <v>9637</v>
      </c>
      <c r="C2033" t="s">
        <v>15383</v>
      </c>
      <c r="D2033" t="s">
        <v>16201</v>
      </c>
      <c r="E2033" t="s">
        <v>16218</v>
      </c>
      <c r="F2033" t="s">
        <v>16220</v>
      </c>
      <c r="G2033" t="s">
        <v>16254</v>
      </c>
      <c r="H2033" t="s">
        <v>16254</v>
      </c>
      <c r="I2033" t="s">
        <v>16334</v>
      </c>
      <c r="J2033" t="s">
        <v>16386</v>
      </c>
      <c r="K2033">
        <v>0.162</v>
      </c>
      <c r="L2033">
        <v>7066</v>
      </c>
      <c r="M2033">
        <v>2375</v>
      </c>
      <c r="N2033" t="s">
        <v>16393</v>
      </c>
      <c r="O2033" s="4">
        <v>45354</v>
      </c>
      <c r="P2033" s="4">
        <v>138333</v>
      </c>
      <c r="Q2033" s="4">
        <v>183687</v>
      </c>
      <c r="R2033" s="4">
        <v>551061</v>
      </c>
      <c r="S2033" t="s">
        <v>18369</v>
      </c>
      <c r="T2033" s="6">
        <v>42339</v>
      </c>
      <c r="U2033" s="4">
        <v>420000</v>
      </c>
      <c r="V2033" t="s">
        <v>23739</v>
      </c>
      <c r="W2033" t="s">
        <v>24701</v>
      </c>
      <c r="X2033" t="s">
        <v>3</v>
      </c>
      <c r="AA2033" s="5" t="str">
        <f>HYPERLINK("https://www.zillow.com/homes/525-FOREST-AVE-GLEN-ELLYN-IL-60137_rb/","check listing")</f>
        <v>check listing</v>
      </c>
      <c r="AB2033" s="5" t="str">
        <f>HYPERLINK("https://propertylookup.dupagecounty.gov/Datalets/Datalet.aspx?UseSearch=no&amp;mode=sales&amp;pin=0511312001","sales record")</f>
        <v>sales record</v>
      </c>
      <c r="AC2033" t="s">
        <v>3</v>
      </c>
      <c r="AD2033">
        <v>41.878622</v>
      </c>
      <c r="AE2033">
        <v>-88.064762</v>
      </c>
      <c r="AF2033" s="5" t="str">
        <f>HYPERLINK("https://www.google.com/maps/search/?api=1&amp;query=41.878622,-88.064762","map")</f>
        <v>map</v>
      </c>
    </row>
    <row r="2034" spans="1:32">
      <c r="A2034" t="s">
        <v>2084</v>
      </c>
      <c r="B2034" t="s">
        <v>9638</v>
      </c>
      <c r="C2034" t="s">
        <v>15383</v>
      </c>
      <c r="D2034" t="s">
        <v>16201</v>
      </c>
      <c r="E2034" t="s">
        <v>16218</v>
      </c>
      <c r="F2034" t="s">
        <v>16220</v>
      </c>
      <c r="G2034" t="s">
        <v>16254</v>
      </c>
      <c r="H2034" t="s">
        <v>16254</v>
      </c>
      <c r="I2034" t="s">
        <v>16334</v>
      </c>
      <c r="J2034" t="s">
        <v>16386</v>
      </c>
      <c r="K2034">
        <v>0.162</v>
      </c>
      <c r="L2034">
        <v>7063</v>
      </c>
      <c r="M2034">
        <v>1781</v>
      </c>
      <c r="N2034" t="s">
        <v>16393</v>
      </c>
      <c r="O2034" s="4">
        <v>45330</v>
      </c>
      <c r="P2034" s="4">
        <v>196507</v>
      </c>
      <c r="Q2034" s="4">
        <v>241837</v>
      </c>
      <c r="R2034" s="4">
        <v>725511</v>
      </c>
      <c r="S2034" t="s">
        <v>18370</v>
      </c>
      <c r="T2034" s="6">
        <v>34851</v>
      </c>
      <c r="U2034" s="4">
        <v>219000</v>
      </c>
      <c r="X2034" t="s">
        <v>3</v>
      </c>
      <c r="AA2034" s="5" t="str">
        <f>HYPERLINK("https://www.zillow.com/homes/521-FOREST-AVE-GLEN-ELLYN-IL-60137_rb/","check listing")</f>
        <v>check listing</v>
      </c>
      <c r="AB2034" s="5" t="str">
        <f>HYPERLINK("https://propertylookup.dupagecounty.gov/Datalets/Datalet.aspx?UseSearch=no&amp;mode=sales&amp;pin=0511312002","sales record")</f>
        <v>sales record</v>
      </c>
      <c r="AC2034" t="s">
        <v>3</v>
      </c>
      <c r="AD2034">
        <v>41.878485</v>
      </c>
      <c r="AE2034">
        <v>-88.064759</v>
      </c>
      <c r="AF2034" s="5" t="str">
        <f>HYPERLINK("https://www.google.com/maps/search/?api=1&amp;query=41.878485,-88.064759","map")</f>
        <v>map</v>
      </c>
    </row>
    <row r="2035" spans="1:32">
      <c r="A2035" t="s">
        <v>2085</v>
      </c>
      <c r="B2035" t="s">
        <v>9639</v>
      </c>
      <c r="C2035" t="s">
        <v>15387</v>
      </c>
      <c r="D2035" t="s">
        <v>16201</v>
      </c>
      <c r="E2035" t="s">
        <v>16218</v>
      </c>
      <c r="F2035" t="s">
        <v>16220</v>
      </c>
      <c r="G2035" t="s">
        <v>16254</v>
      </c>
      <c r="H2035" t="s">
        <v>16254</v>
      </c>
      <c r="I2035" t="s">
        <v>16334</v>
      </c>
      <c r="J2035" t="s">
        <v>16386</v>
      </c>
      <c r="K2035">
        <v>0.149</v>
      </c>
      <c r="L2035">
        <v>6487</v>
      </c>
      <c r="M2035">
        <v>759</v>
      </c>
      <c r="N2035" t="s">
        <v>16393</v>
      </c>
      <c r="O2035" s="4">
        <v>41606</v>
      </c>
      <c r="P2035" s="4">
        <v>135777</v>
      </c>
      <c r="Q2035" s="4">
        <v>177383</v>
      </c>
      <c r="R2035" s="4">
        <v>532149</v>
      </c>
      <c r="S2035" t="s">
        <v>18371</v>
      </c>
      <c r="T2035" s="6">
        <v>41395</v>
      </c>
      <c r="U2035" s="4">
        <v>400000</v>
      </c>
      <c r="V2035" t="s">
        <v>23739</v>
      </c>
      <c r="W2035" t="s">
        <v>24702</v>
      </c>
      <c r="X2035" t="s">
        <v>3</v>
      </c>
      <c r="AA2035" s="5" t="str">
        <f>HYPERLINK("https://www.zillow.com/homes/567-ANTHONY-ST-GLEN-ELLYN-IL-601374119_rb/","check listing")</f>
        <v>check listing</v>
      </c>
      <c r="AB2035" s="5" t="str">
        <f>HYPERLINK("https://propertylookup.dupagecounty.gov/Datalets/Datalet.aspx?UseSearch=no&amp;mode=sales&amp;pin=0511312007","sales record")</f>
        <v>sales record</v>
      </c>
      <c r="AC2035" t="s">
        <v>27873</v>
      </c>
      <c r="AD2035">
        <v>41.878555</v>
      </c>
      <c r="AE2035">
        <v>-88.06437200000001</v>
      </c>
      <c r="AF2035" s="5" t="str">
        <f>HYPERLINK("https://www.google.com/maps/search/?api=1&amp;query=41.878555,-88.064372","map")</f>
        <v>map</v>
      </c>
    </row>
    <row r="2036" spans="1:32">
      <c r="A2036" t="s">
        <v>2086</v>
      </c>
      <c r="B2036" t="s">
        <v>9640</v>
      </c>
      <c r="C2036" t="s">
        <v>15383</v>
      </c>
      <c r="D2036" t="s">
        <v>16201</v>
      </c>
      <c r="E2036" t="s">
        <v>16217</v>
      </c>
      <c r="F2036" t="s">
        <v>16220</v>
      </c>
      <c r="G2036" t="s">
        <v>16254</v>
      </c>
      <c r="H2036" t="s">
        <v>16254</v>
      </c>
      <c r="I2036" t="s">
        <v>16334</v>
      </c>
      <c r="J2036" t="s">
        <v>16386</v>
      </c>
      <c r="K2036">
        <v>0.103</v>
      </c>
      <c r="L2036">
        <v>4479</v>
      </c>
      <c r="N2036" t="s">
        <v>16393</v>
      </c>
      <c r="O2036" s="4">
        <v>2793</v>
      </c>
      <c r="P2036" s="4">
        <v>0</v>
      </c>
      <c r="Q2036" s="4">
        <v>2793</v>
      </c>
      <c r="R2036" s="4">
        <v>8379</v>
      </c>
      <c r="S2036" t="s">
        <v>18372</v>
      </c>
      <c r="T2036" s="6">
        <v>35370</v>
      </c>
      <c r="U2036" s="4">
        <v>2900</v>
      </c>
      <c r="X2036" t="s">
        <v>3</v>
      </c>
      <c r="AA2036" s="5" t="str">
        <f>HYPERLINK("https://www.zillow.com/homes/PARK-BLVD-GLEN-ELLYN-IL-60137_rb/","check listing")</f>
        <v>check listing</v>
      </c>
      <c r="AB2036" s="5" t="str">
        <f>HYPERLINK("https://propertylookup.dupagecounty.gov/Datalets/Datalet.aspx?UseSearch=no&amp;mode=sales&amp;pin=0511412008","sales record")</f>
        <v>sales record</v>
      </c>
      <c r="AC2036" t="s">
        <v>3</v>
      </c>
      <c r="AD2036">
        <v>41.876941</v>
      </c>
      <c r="AE2036">
        <v>-88.061053</v>
      </c>
      <c r="AF2036" s="5" t="str">
        <f>HYPERLINK("https://www.google.com/maps/search/?api=1&amp;query=41.876941,-88.061053","map")</f>
        <v>map</v>
      </c>
    </row>
    <row r="2037" spans="1:32">
      <c r="A2037" t="s">
        <v>2087</v>
      </c>
      <c r="B2037" t="s">
        <v>9641</v>
      </c>
      <c r="C2037" t="s">
        <v>15389</v>
      </c>
      <c r="D2037" t="s">
        <v>16202</v>
      </c>
      <c r="E2037" t="s">
        <v>16218</v>
      </c>
      <c r="F2037" t="s">
        <v>16220</v>
      </c>
      <c r="G2037" t="s">
        <v>16230</v>
      </c>
      <c r="H2037" t="s">
        <v>16230</v>
      </c>
      <c r="I2037" t="s">
        <v>16334</v>
      </c>
      <c r="J2037" t="s">
        <v>16386</v>
      </c>
      <c r="K2037">
        <v>0.47</v>
      </c>
      <c r="L2037">
        <v>20456</v>
      </c>
      <c r="M2037">
        <v>2539</v>
      </c>
      <c r="N2037" t="s">
        <v>16393</v>
      </c>
      <c r="O2037" s="4">
        <v>30194</v>
      </c>
      <c r="P2037" s="4">
        <v>102808</v>
      </c>
      <c r="Q2037" s="4">
        <v>133002</v>
      </c>
      <c r="R2037" s="4">
        <v>399006</v>
      </c>
      <c r="S2037" t="s">
        <v>18373</v>
      </c>
      <c r="T2037" s="6">
        <v>31625</v>
      </c>
      <c r="U2037" s="4">
        <v>21250</v>
      </c>
      <c r="X2037" t="s">
        <v>3</v>
      </c>
      <c r="AA2037" s="5" t="str">
        <f>HYPERLINK("https://www.zillow.com/homes/731-LIPPERT-LN-GLENDALE-HTS-IL-60139_rb/","check listing")</f>
        <v>check listing</v>
      </c>
      <c r="AB2037" s="5" t="str">
        <f>HYPERLINK("https://propertylookup.dupagecounty.gov/Datalets/Datalet.aspx?UseSearch=no&amp;mode=sales&amp;pin=0235214029","sales record")</f>
        <v>sales record</v>
      </c>
      <c r="AC2037" t="s">
        <v>3</v>
      </c>
      <c r="AD2037">
        <v>41.91544</v>
      </c>
      <c r="AE2037">
        <v>-88.055826</v>
      </c>
      <c r="AF2037" s="5" t="str">
        <f>HYPERLINK("https://www.google.com/maps/search/?api=1&amp;query=41.91544,-88.055826","map")</f>
        <v>map</v>
      </c>
    </row>
    <row r="2038" spans="1:32">
      <c r="A2038" t="s">
        <v>2088</v>
      </c>
      <c r="B2038" t="s">
        <v>9642</v>
      </c>
      <c r="C2038" t="s">
        <v>15389</v>
      </c>
      <c r="D2038" t="s">
        <v>16202</v>
      </c>
      <c r="E2038" t="s">
        <v>16218</v>
      </c>
      <c r="F2038" t="s">
        <v>16220</v>
      </c>
      <c r="G2038" t="s">
        <v>16230</v>
      </c>
      <c r="H2038" t="s">
        <v>16230</v>
      </c>
      <c r="I2038" t="s">
        <v>16334</v>
      </c>
      <c r="J2038" t="s">
        <v>16386</v>
      </c>
      <c r="K2038">
        <v>0.319</v>
      </c>
      <c r="L2038">
        <v>13908</v>
      </c>
      <c r="M2038">
        <v>1319</v>
      </c>
      <c r="N2038" t="s">
        <v>16393</v>
      </c>
      <c r="O2038" s="4">
        <v>30194</v>
      </c>
      <c r="P2038" s="4">
        <v>66985</v>
      </c>
      <c r="Q2038" s="4">
        <v>97179</v>
      </c>
      <c r="R2038" s="4">
        <v>291537</v>
      </c>
      <c r="S2038" t="s">
        <v>18374</v>
      </c>
      <c r="T2038" s="6">
        <v>40575</v>
      </c>
      <c r="U2038" s="4">
        <v>78000</v>
      </c>
      <c r="V2038" t="s">
        <v>23739</v>
      </c>
      <c r="W2038" t="s">
        <v>24703</v>
      </c>
      <c r="X2038" t="s">
        <v>3</v>
      </c>
      <c r="AA2038" s="5" t="str">
        <f>HYPERLINK("https://www.zillow.com/homes/555-JAMES-CT-GLENDALE-HTS-IL-60139_rb/","check listing")</f>
        <v>check listing</v>
      </c>
      <c r="AB2038" s="5" t="str">
        <f>HYPERLINK("https://propertylookup.dupagecounty.gov/Datalets/Datalet.aspx?UseSearch=no&amp;mode=sales&amp;pin=0235311005","sales record")</f>
        <v>sales record</v>
      </c>
      <c r="AC2038" t="s">
        <v>3</v>
      </c>
      <c r="AD2038">
        <v>41.905203</v>
      </c>
      <c r="AE2038">
        <v>-88.064475</v>
      </c>
      <c r="AF2038" s="5" t="str">
        <f>HYPERLINK("https://www.google.com/maps/search/?api=1&amp;query=41.905203,-88.064475","map")</f>
        <v>map</v>
      </c>
    </row>
    <row r="2039" spans="1:32">
      <c r="A2039" t="s">
        <v>2089</v>
      </c>
      <c r="B2039" t="s">
        <v>9643</v>
      </c>
      <c r="C2039" t="s">
        <v>15389</v>
      </c>
      <c r="D2039" t="s">
        <v>16202</v>
      </c>
      <c r="E2039" t="s">
        <v>16218</v>
      </c>
      <c r="F2039" t="s">
        <v>16220</v>
      </c>
      <c r="G2039" t="s">
        <v>16230</v>
      </c>
      <c r="H2039" t="s">
        <v>16230</v>
      </c>
      <c r="I2039" t="s">
        <v>16334</v>
      </c>
      <c r="J2039" t="s">
        <v>16386</v>
      </c>
      <c r="K2039">
        <v>0.277</v>
      </c>
      <c r="L2039">
        <v>12072</v>
      </c>
      <c r="M2039">
        <v>2573</v>
      </c>
      <c r="N2039" t="s">
        <v>16393</v>
      </c>
      <c r="O2039" s="4">
        <v>30194</v>
      </c>
      <c r="P2039" s="4">
        <v>53598</v>
      </c>
      <c r="Q2039" s="4">
        <v>83792</v>
      </c>
      <c r="R2039" s="4">
        <v>251376</v>
      </c>
      <c r="S2039" t="s">
        <v>18375</v>
      </c>
      <c r="T2039" s="6">
        <v>38991</v>
      </c>
      <c r="U2039" s="4">
        <v>200000</v>
      </c>
      <c r="V2039" t="s">
        <v>23739</v>
      </c>
      <c r="W2039" t="s">
        <v>18375</v>
      </c>
      <c r="X2039" t="s">
        <v>3</v>
      </c>
      <c r="AA2039" s="5" t="str">
        <f>HYPERLINK("https://www.zillow.com/homes/574-JAMES-CT-GLENDALE-HTS-IL-60139_rb/","check listing")</f>
        <v>check listing</v>
      </c>
      <c r="AB2039" s="5" t="str">
        <f>HYPERLINK("https://propertylookup.dupagecounty.gov/Datalets/Datalet.aspx?UseSearch=no&amp;mode=sales&amp;pin=0235308038","sales record")</f>
        <v>sales record</v>
      </c>
      <c r="AC2039" t="s">
        <v>3</v>
      </c>
      <c r="AD2039">
        <v>41.905695</v>
      </c>
      <c r="AE2039">
        <v>-88.063275</v>
      </c>
      <c r="AF2039" s="5" t="str">
        <f>HYPERLINK("https://www.google.com/maps/search/?api=1&amp;query=41.905695,-88.063275","map")</f>
        <v>map</v>
      </c>
    </row>
    <row r="2040" spans="1:32">
      <c r="A2040" t="s">
        <v>2090</v>
      </c>
      <c r="B2040" t="s">
        <v>9644</v>
      </c>
      <c r="C2040" t="s">
        <v>15389</v>
      </c>
      <c r="D2040" t="s">
        <v>16202</v>
      </c>
      <c r="E2040" t="s">
        <v>16218</v>
      </c>
      <c r="F2040" t="s">
        <v>16220</v>
      </c>
      <c r="G2040" t="s">
        <v>16230</v>
      </c>
      <c r="H2040" t="s">
        <v>16230</v>
      </c>
      <c r="I2040" t="s">
        <v>16334</v>
      </c>
      <c r="J2040" t="s">
        <v>16386</v>
      </c>
      <c r="K2040">
        <v>0.233</v>
      </c>
      <c r="L2040">
        <v>10157</v>
      </c>
      <c r="M2040">
        <v>2573</v>
      </c>
      <c r="N2040" t="s">
        <v>16393</v>
      </c>
      <c r="O2040" s="4">
        <v>30194</v>
      </c>
      <c r="P2040" s="4">
        <v>76977</v>
      </c>
      <c r="Q2040" s="4">
        <v>107171</v>
      </c>
      <c r="R2040" s="4">
        <v>321513</v>
      </c>
      <c r="S2040" t="s">
        <v>18376</v>
      </c>
      <c r="T2040" s="6">
        <v>37803</v>
      </c>
      <c r="U2040" s="4">
        <v>197000</v>
      </c>
      <c r="V2040" t="s">
        <v>23739</v>
      </c>
      <c r="W2040" t="s">
        <v>24704</v>
      </c>
      <c r="X2040" t="s">
        <v>3</v>
      </c>
      <c r="AA2040" s="5" t="str">
        <f>HYPERLINK("https://www.zillow.com/homes/573-JAMES-CT-GLENDALE-HTS-IL-60139_rb/","check listing")</f>
        <v>check listing</v>
      </c>
      <c r="AB2040" s="5" t="str">
        <f>HYPERLINK("https://propertylookup.dupagecounty.gov/Datalets/Datalet.aspx?UseSearch=no&amp;mode=sales&amp;pin=0235311009","sales record")</f>
        <v>sales record</v>
      </c>
      <c r="AC2040" t="s">
        <v>3</v>
      </c>
      <c r="AD2040">
        <v>41.905214</v>
      </c>
      <c r="AE2040">
        <v>-88.06328600000001</v>
      </c>
      <c r="AF2040" s="5" t="str">
        <f>HYPERLINK("https://www.google.com/maps/search/?api=1&amp;query=41.905214,-88.063286","map")</f>
        <v>map</v>
      </c>
    </row>
    <row r="2041" spans="1:32">
      <c r="A2041" t="s">
        <v>2091</v>
      </c>
      <c r="B2041" t="s">
        <v>9645</v>
      </c>
      <c r="C2041" t="s">
        <v>15389</v>
      </c>
      <c r="D2041" t="s">
        <v>16202</v>
      </c>
      <c r="E2041" t="s">
        <v>16218</v>
      </c>
      <c r="F2041" t="s">
        <v>16220</v>
      </c>
      <c r="G2041" t="s">
        <v>16230</v>
      </c>
      <c r="H2041" t="s">
        <v>16230</v>
      </c>
      <c r="I2041" t="s">
        <v>16334</v>
      </c>
      <c r="J2041" t="s">
        <v>16386</v>
      </c>
      <c r="K2041">
        <v>0.233</v>
      </c>
      <c r="L2041">
        <v>10136</v>
      </c>
      <c r="M2041">
        <v>2821</v>
      </c>
      <c r="N2041" t="s">
        <v>16393</v>
      </c>
      <c r="O2041" s="4">
        <v>30194</v>
      </c>
      <c r="P2041" s="4">
        <v>69591</v>
      </c>
      <c r="Q2041" s="4">
        <v>99785</v>
      </c>
      <c r="R2041" s="4">
        <v>299355</v>
      </c>
      <c r="S2041" t="s">
        <v>18377</v>
      </c>
      <c r="T2041" s="6">
        <v>42767</v>
      </c>
      <c r="U2041" s="4">
        <v>208000</v>
      </c>
      <c r="V2041" t="s">
        <v>23739</v>
      </c>
      <c r="W2041" t="s">
        <v>24705</v>
      </c>
      <c r="X2041" t="s">
        <v>3</v>
      </c>
      <c r="AA2041" s="5" t="str">
        <f>HYPERLINK("https://www.zillow.com/homes/559-JAMES-CT-GLENDALE-HTS-IL-60139_rb/","check listing")</f>
        <v>check listing</v>
      </c>
      <c r="AB2041" s="5" t="str">
        <f>HYPERLINK("https://propertylookup.dupagecounty.gov/Datalets/Datalet.aspx?UseSearch=no&amp;mode=sales&amp;pin=0235311006","sales record")</f>
        <v>sales record</v>
      </c>
      <c r="AC2041" t="s">
        <v>3</v>
      </c>
      <c r="AD2041">
        <v>41.905157</v>
      </c>
      <c r="AE2041">
        <v>-88.06417500000001</v>
      </c>
      <c r="AF2041" s="5" t="str">
        <f>HYPERLINK("https://www.google.com/maps/search/?api=1&amp;query=41.905157,-88.064175","map")</f>
        <v>map</v>
      </c>
    </row>
    <row r="2042" spans="1:32">
      <c r="A2042" t="s">
        <v>2092</v>
      </c>
      <c r="B2042" t="s">
        <v>9646</v>
      </c>
      <c r="C2042" t="s">
        <v>15389</v>
      </c>
      <c r="D2042" t="s">
        <v>16202</v>
      </c>
      <c r="E2042" t="s">
        <v>16218</v>
      </c>
      <c r="F2042" t="s">
        <v>16220</v>
      </c>
      <c r="G2042" t="s">
        <v>16230</v>
      </c>
      <c r="H2042" t="s">
        <v>16230</v>
      </c>
      <c r="I2042" t="s">
        <v>16334</v>
      </c>
      <c r="J2042" t="s">
        <v>16386</v>
      </c>
      <c r="K2042">
        <v>0.21</v>
      </c>
      <c r="L2042">
        <v>9139</v>
      </c>
      <c r="M2042">
        <v>1830</v>
      </c>
      <c r="N2042" t="s">
        <v>16393</v>
      </c>
      <c r="O2042" s="4">
        <v>30194</v>
      </c>
      <c r="P2042" s="4">
        <v>70846</v>
      </c>
      <c r="Q2042" s="4">
        <v>101040</v>
      </c>
      <c r="R2042" s="4">
        <v>303120</v>
      </c>
      <c r="S2042" t="s">
        <v>18378</v>
      </c>
      <c r="T2042" s="6">
        <v>45117</v>
      </c>
      <c r="U2042" s="4">
        <v>315000</v>
      </c>
      <c r="V2042" t="s">
        <v>23739</v>
      </c>
      <c r="W2042" t="s">
        <v>24706</v>
      </c>
      <c r="X2042" t="s">
        <v>3</v>
      </c>
      <c r="AA2042" s="5" t="str">
        <f>HYPERLINK("https://www.zillow.com/homes/563-JAMES-CT-GLENDALE-HTS-IL-60139_rb/","check listing")</f>
        <v>check listing</v>
      </c>
      <c r="AB2042" s="5" t="str">
        <f>HYPERLINK("https://propertylookup.dupagecounty.gov/Datalets/Datalet.aspx?UseSearch=no&amp;mode=sales&amp;pin=0235311007","sales record")</f>
        <v>sales record</v>
      </c>
      <c r="AC2042" t="s">
        <v>3</v>
      </c>
      <c r="AD2042">
        <v>41.905162</v>
      </c>
      <c r="AE2042">
        <v>-88.063835</v>
      </c>
      <c r="AF2042" s="5" t="str">
        <f>HYPERLINK("https://www.google.com/maps/search/?api=1&amp;query=41.905162,-88.063835","map")</f>
        <v>map</v>
      </c>
    </row>
    <row r="2043" spans="1:32">
      <c r="A2043" t="s">
        <v>2093</v>
      </c>
      <c r="B2043" t="s">
        <v>9647</v>
      </c>
      <c r="C2043" t="s">
        <v>15390</v>
      </c>
      <c r="D2043" t="s">
        <v>16202</v>
      </c>
      <c r="E2043" t="s">
        <v>16218</v>
      </c>
      <c r="F2043" t="s">
        <v>16220</v>
      </c>
      <c r="G2043" t="s">
        <v>16230</v>
      </c>
      <c r="H2043" t="s">
        <v>16230</v>
      </c>
      <c r="I2043" t="s">
        <v>16334</v>
      </c>
      <c r="J2043" t="s">
        <v>16386</v>
      </c>
      <c r="K2043">
        <v>0.178</v>
      </c>
      <c r="L2043">
        <v>7742</v>
      </c>
      <c r="M2043">
        <v>1715</v>
      </c>
      <c r="N2043" t="s">
        <v>16393</v>
      </c>
      <c r="O2043" s="4">
        <v>30194</v>
      </c>
      <c r="P2043" s="4">
        <v>59932</v>
      </c>
      <c r="Q2043" s="4">
        <v>90126</v>
      </c>
      <c r="R2043" s="4">
        <v>270378</v>
      </c>
      <c r="S2043" t="s">
        <v>18379</v>
      </c>
      <c r="T2043" s="6">
        <v>44682</v>
      </c>
      <c r="U2043" s="4">
        <v>193000</v>
      </c>
      <c r="V2043" t="s">
        <v>23739</v>
      </c>
      <c r="W2043" t="s">
        <v>18379</v>
      </c>
      <c r="X2043" t="s">
        <v>3</v>
      </c>
      <c r="AA2043" s="5" t="str">
        <f>HYPERLINK("https://www.zillow.com/homes/567-JAMES-CT-GLENDALE-HTS-IL-601393206_rb/","check listing")</f>
        <v>check listing</v>
      </c>
      <c r="AB2043" s="5" t="str">
        <f>HYPERLINK("https://propertylookup.dupagecounty.gov/Datalets/Datalet.aspx?UseSearch=no&amp;mode=sales&amp;pin=0235311008","sales record")</f>
        <v>sales record</v>
      </c>
      <c r="AC2043" t="s">
        <v>3</v>
      </c>
      <c r="AD2043">
        <v>41.905209</v>
      </c>
      <c r="AE2043">
        <v>-88.063563</v>
      </c>
      <c r="AF2043" s="5" t="str">
        <f>HYPERLINK("https://www.google.com/maps/search/?api=1&amp;query=41.905209,-88.063563","map")</f>
        <v>map</v>
      </c>
    </row>
    <row r="2044" spans="1:32">
      <c r="A2044" t="s">
        <v>2094</v>
      </c>
      <c r="B2044" t="s">
        <v>9648</v>
      </c>
      <c r="C2044" t="s">
        <v>15389</v>
      </c>
      <c r="D2044" t="s">
        <v>16202</v>
      </c>
      <c r="E2044" t="s">
        <v>16218</v>
      </c>
      <c r="F2044" t="s">
        <v>16220</v>
      </c>
      <c r="G2044" t="s">
        <v>16230</v>
      </c>
      <c r="H2044" t="s">
        <v>16230</v>
      </c>
      <c r="I2044" t="s">
        <v>16334</v>
      </c>
      <c r="J2044" t="s">
        <v>16386</v>
      </c>
      <c r="K2044">
        <v>0.173</v>
      </c>
      <c r="L2044">
        <v>7515</v>
      </c>
      <c r="M2044">
        <v>1583</v>
      </c>
      <c r="N2044" t="s">
        <v>16393</v>
      </c>
      <c r="O2044" s="4">
        <v>30194</v>
      </c>
      <c r="P2044" s="4">
        <v>73081</v>
      </c>
      <c r="Q2044" s="4">
        <v>103275</v>
      </c>
      <c r="R2044" s="4">
        <v>309825</v>
      </c>
      <c r="S2044" t="s">
        <v>18380</v>
      </c>
      <c r="T2044" s="6">
        <v>42186</v>
      </c>
      <c r="U2044" s="4">
        <v>163500</v>
      </c>
      <c r="V2044" t="s">
        <v>23739</v>
      </c>
      <c r="W2044" t="s">
        <v>24707</v>
      </c>
      <c r="X2044" t="s">
        <v>3</v>
      </c>
      <c r="AA2044" s="5" t="str">
        <f>HYPERLINK("https://www.zillow.com/homes/566-JAMES-CT-GLENDALE-HTS-IL-60139_rb/","check listing")</f>
        <v>check listing</v>
      </c>
      <c r="AB2044" s="5" t="str">
        <f>HYPERLINK("https://propertylookup.dupagecounty.gov/Datalets/Datalet.aspx?UseSearch=no&amp;mode=sales&amp;pin=0235308037","sales record")</f>
        <v>sales record</v>
      </c>
      <c r="AC2044" t="s">
        <v>3</v>
      </c>
      <c r="AD2044">
        <v>41.905689</v>
      </c>
      <c r="AE2044">
        <v>-88.063585</v>
      </c>
      <c r="AF2044" s="5" t="str">
        <f>HYPERLINK("https://www.google.com/maps/search/?api=1&amp;query=41.905689,-88.063585","map")</f>
        <v>map</v>
      </c>
    </row>
    <row r="2045" spans="1:32">
      <c r="A2045" t="s">
        <v>2095</v>
      </c>
      <c r="B2045" t="s">
        <v>9649</v>
      </c>
      <c r="C2045" t="s">
        <v>15389</v>
      </c>
      <c r="D2045" t="s">
        <v>16202</v>
      </c>
      <c r="E2045" t="s">
        <v>16218</v>
      </c>
      <c r="F2045" t="s">
        <v>16220</v>
      </c>
      <c r="G2045" t="s">
        <v>16230</v>
      </c>
      <c r="H2045" t="s">
        <v>16230</v>
      </c>
      <c r="I2045" t="s">
        <v>16334</v>
      </c>
      <c r="J2045" t="s">
        <v>16386</v>
      </c>
      <c r="K2045">
        <v>0.118</v>
      </c>
      <c r="L2045">
        <v>5124</v>
      </c>
      <c r="M2045">
        <v>1568</v>
      </c>
      <c r="N2045" t="s">
        <v>16393</v>
      </c>
      <c r="O2045" s="4">
        <v>15455</v>
      </c>
      <c r="P2045" s="4">
        <v>68383</v>
      </c>
      <c r="Q2045" s="4">
        <v>83838</v>
      </c>
      <c r="R2045" s="4">
        <v>251514</v>
      </c>
      <c r="S2045" t="s">
        <v>18381</v>
      </c>
      <c r="T2045" s="6">
        <v>40634</v>
      </c>
      <c r="U2045" s="4">
        <v>120000</v>
      </c>
      <c r="V2045" t="s">
        <v>16232</v>
      </c>
      <c r="W2045" t="s">
        <v>18381</v>
      </c>
      <c r="X2045" t="s">
        <v>3</v>
      </c>
      <c r="AA2045" s="5" t="str">
        <f>HYPERLINK("https://www.zillow.com/homes/2135-WHITMAN-DR-GLENDALE-HTS-IL-60139_rb/","check listing")</f>
        <v>check listing</v>
      </c>
      <c r="AB2045" s="5" t="str">
        <f>HYPERLINK("https://propertylookup.dupagecounty.gov/Datalets/Datalet.aspx?UseSearch=no&amp;mode=sales&amp;pin=0222423010","sales record")</f>
        <v>sales record</v>
      </c>
      <c r="AC2045" t="s">
        <v>3</v>
      </c>
      <c r="AD2045">
        <v>41.937278</v>
      </c>
      <c r="AE2045">
        <v>-88.072709</v>
      </c>
      <c r="AF2045" s="5" t="str">
        <f>HYPERLINK("https://www.google.com/maps/search/?api=1&amp;query=41.937278,-88.072709","map")</f>
        <v>map</v>
      </c>
    </row>
    <row r="2046" spans="1:32">
      <c r="A2046" t="s">
        <v>2096</v>
      </c>
      <c r="B2046" t="s">
        <v>9650</v>
      </c>
      <c r="C2046" t="s">
        <v>15389</v>
      </c>
      <c r="D2046" t="s">
        <v>16202</v>
      </c>
      <c r="E2046" t="s">
        <v>16218</v>
      </c>
      <c r="F2046" t="s">
        <v>16220</v>
      </c>
      <c r="G2046" t="s">
        <v>16230</v>
      </c>
      <c r="H2046" t="s">
        <v>16230</v>
      </c>
      <c r="I2046" t="s">
        <v>16334</v>
      </c>
      <c r="J2046" t="s">
        <v>16386</v>
      </c>
      <c r="K2046">
        <v>0.11</v>
      </c>
      <c r="L2046">
        <v>4811</v>
      </c>
      <c r="M2046">
        <v>1714</v>
      </c>
      <c r="N2046" t="s">
        <v>16393</v>
      </c>
      <c r="O2046" s="4">
        <v>15455</v>
      </c>
      <c r="P2046" s="4">
        <v>70679</v>
      </c>
      <c r="Q2046" s="4">
        <v>86134</v>
      </c>
      <c r="R2046" s="4">
        <v>258402</v>
      </c>
      <c r="S2046" t="s">
        <v>18382</v>
      </c>
      <c r="T2046" s="6">
        <v>38930</v>
      </c>
      <c r="U2046" s="4">
        <v>228000</v>
      </c>
      <c r="V2046" t="s">
        <v>23739</v>
      </c>
      <c r="W2046" t="s">
        <v>24708</v>
      </c>
      <c r="X2046" t="s">
        <v>3</v>
      </c>
      <c r="AA2046" s="5" t="str">
        <f>HYPERLINK("https://www.zillow.com/homes/2133-PEPPERWOOD-LN-GLENDALE-HTS-IL-60139_rb/","check listing")</f>
        <v>check listing</v>
      </c>
      <c r="AB2046" s="5" t="str">
        <f>HYPERLINK("https://propertylookup.dupagecounty.gov/Datalets/Datalet.aspx?UseSearch=no&amp;mode=sales&amp;pin=0222419016","sales record")</f>
        <v>sales record</v>
      </c>
      <c r="AC2046" t="s">
        <v>3</v>
      </c>
      <c r="AD2046">
        <v>41.937151</v>
      </c>
      <c r="AE2046">
        <v>-88.071693</v>
      </c>
      <c r="AF2046" s="5" t="str">
        <f>HYPERLINK("https://www.google.com/maps/search/?api=1&amp;query=41.937151,-88.071693","map")</f>
        <v>map</v>
      </c>
    </row>
    <row r="2047" spans="1:32">
      <c r="A2047" t="s">
        <v>2097</v>
      </c>
      <c r="B2047" t="s">
        <v>9651</v>
      </c>
      <c r="C2047" t="s">
        <v>15391</v>
      </c>
      <c r="D2047" t="s">
        <v>16202</v>
      </c>
      <c r="E2047" t="s">
        <v>16218</v>
      </c>
      <c r="F2047" t="s">
        <v>16220</v>
      </c>
      <c r="G2047" t="s">
        <v>16230</v>
      </c>
      <c r="H2047" t="s">
        <v>16230</v>
      </c>
      <c r="I2047" t="s">
        <v>16334</v>
      </c>
      <c r="J2047" t="s">
        <v>16386</v>
      </c>
      <c r="K2047">
        <v>0.108</v>
      </c>
      <c r="L2047">
        <v>4697</v>
      </c>
      <c r="N2047" t="s">
        <v>16393</v>
      </c>
      <c r="O2047" s="4">
        <v>15455</v>
      </c>
      <c r="P2047" s="4">
        <v>71253</v>
      </c>
      <c r="Q2047" s="4">
        <v>86708</v>
      </c>
      <c r="R2047" s="4">
        <v>260124</v>
      </c>
      <c r="S2047" t="s">
        <v>18383</v>
      </c>
      <c r="T2047" s="6">
        <v>43252</v>
      </c>
      <c r="U2047" s="4">
        <v>207500</v>
      </c>
      <c r="V2047" t="s">
        <v>23739</v>
      </c>
      <c r="W2047" t="s">
        <v>18383</v>
      </c>
      <c r="X2047" t="s">
        <v>3</v>
      </c>
      <c r="AA2047" s="5" t="str">
        <f>HYPERLINK("https://www.zillow.com/homes/365-PAYSON-CIR-GLENDALE-HTS-IL-601391731_rb/","check listing")</f>
        <v>check listing</v>
      </c>
      <c r="AB2047" s="5" t="str">
        <f>HYPERLINK("https://propertylookup.dupagecounty.gov/Datalets/Datalet.aspx?UseSearch=no&amp;mode=sales&amp;pin=0222417008","sales record")</f>
        <v>sales record</v>
      </c>
      <c r="AC2047" t="s">
        <v>3</v>
      </c>
      <c r="AD2047">
        <v>41.93871</v>
      </c>
      <c r="AE2047">
        <v>-88.07326999999999</v>
      </c>
      <c r="AF2047" s="5" t="str">
        <f>HYPERLINK("https://www.google.com/maps/search/?api=1&amp;query=41.93871,-88.07327","map")</f>
        <v>map</v>
      </c>
    </row>
    <row r="2048" spans="1:32">
      <c r="A2048" t="s">
        <v>2098</v>
      </c>
      <c r="B2048" t="s">
        <v>9652</v>
      </c>
      <c r="C2048" t="s">
        <v>15389</v>
      </c>
      <c r="D2048" t="s">
        <v>16202</v>
      </c>
      <c r="E2048" t="s">
        <v>16218</v>
      </c>
      <c r="F2048" t="s">
        <v>16220</v>
      </c>
      <c r="G2048" t="s">
        <v>16230</v>
      </c>
      <c r="H2048" t="s">
        <v>16230</v>
      </c>
      <c r="I2048" t="s">
        <v>16334</v>
      </c>
      <c r="J2048" t="s">
        <v>16386</v>
      </c>
      <c r="K2048">
        <v>0.106</v>
      </c>
      <c r="L2048">
        <v>4605</v>
      </c>
      <c r="M2048">
        <v>1715</v>
      </c>
      <c r="N2048" t="s">
        <v>16393</v>
      </c>
      <c r="O2048" s="4">
        <v>15455</v>
      </c>
      <c r="P2048" s="4">
        <v>68335</v>
      </c>
      <c r="Q2048" s="4">
        <v>83790</v>
      </c>
      <c r="R2048" s="4">
        <v>251370</v>
      </c>
      <c r="S2048" t="s">
        <v>18384</v>
      </c>
      <c r="T2048" s="6">
        <v>42491</v>
      </c>
      <c r="U2048" s="4">
        <v>165000</v>
      </c>
      <c r="V2048" t="s">
        <v>23739</v>
      </c>
      <c r="W2048" t="s">
        <v>24709</v>
      </c>
      <c r="X2048" t="s">
        <v>3</v>
      </c>
      <c r="AA2048" s="5" t="str">
        <f>HYPERLINK("https://www.zillow.com/homes/2147-BLAIR-LN-GLENDALE-HTS-IL-60139_rb/","check listing")</f>
        <v>check listing</v>
      </c>
      <c r="AB2048" s="5" t="str">
        <f>HYPERLINK("https://propertylookup.dupagecounty.gov/Datalets/Datalet.aspx?UseSearch=no&amp;mode=sales&amp;pin=0222421009","sales record")</f>
        <v>sales record</v>
      </c>
      <c r="AC2048" t="s">
        <v>3</v>
      </c>
      <c r="AD2048">
        <v>41.937722</v>
      </c>
      <c r="AE2048">
        <v>-88.073808</v>
      </c>
      <c r="AF2048" s="5" t="str">
        <f>HYPERLINK("https://www.google.com/maps/search/?api=1&amp;query=41.937722,-88.073808","map")</f>
        <v>map</v>
      </c>
    </row>
    <row r="2049" spans="1:32">
      <c r="A2049" t="s">
        <v>2099</v>
      </c>
      <c r="B2049" t="s">
        <v>9653</v>
      </c>
      <c r="C2049" t="s">
        <v>15392</v>
      </c>
      <c r="D2049" t="s">
        <v>16202</v>
      </c>
      <c r="E2049" t="s">
        <v>16218</v>
      </c>
      <c r="F2049" t="s">
        <v>16220</v>
      </c>
      <c r="G2049" t="s">
        <v>16230</v>
      </c>
      <c r="H2049" t="s">
        <v>16230</v>
      </c>
      <c r="I2049" t="s">
        <v>16334</v>
      </c>
      <c r="J2049" t="s">
        <v>16386</v>
      </c>
      <c r="K2049">
        <v>0.097</v>
      </c>
      <c r="L2049">
        <v>4231</v>
      </c>
      <c r="M2049">
        <v>1583</v>
      </c>
      <c r="N2049" t="s">
        <v>16393</v>
      </c>
      <c r="O2049" s="4">
        <v>15455</v>
      </c>
      <c r="P2049" s="4">
        <v>70487</v>
      </c>
      <c r="Q2049" s="4">
        <v>85942</v>
      </c>
      <c r="R2049" s="4">
        <v>257826</v>
      </c>
      <c r="S2049" t="s">
        <v>18385</v>
      </c>
      <c r="T2049" s="6">
        <v>42979</v>
      </c>
      <c r="U2049" s="4">
        <v>190000</v>
      </c>
      <c r="V2049" t="s">
        <v>23740</v>
      </c>
      <c r="W2049" t="s">
        <v>18385</v>
      </c>
      <c r="X2049" t="s">
        <v>3</v>
      </c>
      <c r="AA2049" s="5" t="str">
        <f>HYPERLINK("https://www.zillow.com/homes/2161-WYATT-LN-GLENDALE-HTS-IL-601391744_rb/","check listing")</f>
        <v>check listing</v>
      </c>
      <c r="AB2049" s="5" t="str">
        <f>HYPERLINK("https://propertylookup.dupagecounty.gov/Datalets/Datalet.aspx?UseSearch=no&amp;mode=sales&amp;pin=0222412028","sales record")</f>
        <v>sales record</v>
      </c>
      <c r="AC2049" t="s">
        <v>3</v>
      </c>
      <c r="AD2049">
        <v>41.938241</v>
      </c>
      <c r="AE2049">
        <v>-88.07428400000001</v>
      </c>
      <c r="AF2049" s="5" t="str">
        <f>HYPERLINK("https://www.google.com/maps/search/?api=1&amp;query=41.938241,-88.074284","map")</f>
        <v>map</v>
      </c>
    </row>
    <row r="2050" spans="1:32">
      <c r="A2050" t="s">
        <v>2100</v>
      </c>
      <c r="B2050" t="s">
        <v>9654</v>
      </c>
      <c r="C2050" t="s">
        <v>15393</v>
      </c>
      <c r="D2050" t="s">
        <v>16202</v>
      </c>
      <c r="E2050" t="s">
        <v>16218</v>
      </c>
      <c r="F2050" t="s">
        <v>16220</v>
      </c>
      <c r="G2050" t="s">
        <v>16230</v>
      </c>
      <c r="H2050" t="s">
        <v>16230</v>
      </c>
      <c r="I2050" t="s">
        <v>16334</v>
      </c>
      <c r="J2050" t="s">
        <v>16386</v>
      </c>
      <c r="K2050">
        <v>0.097</v>
      </c>
      <c r="L2050">
        <v>4228</v>
      </c>
      <c r="N2050" t="s">
        <v>16393</v>
      </c>
      <c r="O2050" s="4">
        <v>13232</v>
      </c>
      <c r="P2050" s="4">
        <v>75651</v>
      </c>
      <c r="Q2050" s="4">
        <v>88883</v>
      </c>
      <c r="R2050" s="4">
        <v>266649</v>
      </c>
      <c r="S2050" t="s">
        <v>18386</v>
      </c>
      <c r="T2050" s="6">
        <v>46049</v>
      </c>
      <c r="U2050" s="4">
        <v>325000</v>
      </c>
      <c r="V2050" t="s">
        <v>23739</v>
      </c>
      <c r="W2050" t="s">
        <v>24710</v>
      </c>
      <c r="X2050" t="s">
        <v>3</v>
      </c>
      <c r="AA2050" s="5" t="str">
        <f>HYPERLINK("https://www.zillow.com/homes/1415-FAIRWAY-DR-GLENDALE-HTS-IL-601393617_rb/","check listing")</f>
        <v>check listing</v>
      </c>
      <c r="AB2050" s="5" t="str">
        <f>HYPERLINK("https://propertylookup.dupagecounty.gov/Datalets/Datalet.aspx?UseSearch=no&amp;mode=sales&amp;pin=0233206054","sales record")</f>
        <v>sales record</v>
      </c>
      <c r="AC2050" t="s">
        <v>3</v>
      </c>
      <c r="AD2050">
        <v>41.911818</v>
      </c>
      <c r="AE2050">
        <v>-88.093868</v>
      </c>
      <c r="AF2050" s="5" t="str">
        <f>HYPERLINK("https://www.google.com/maps/search/?api=1&amp;query=41.911818,-88.093868","map")</f>
        <v>map</v>
      </c>
    </row>
    <row r="2051" spans="1:32">
      <c r="A2051" t="s">
        <v>2101</v>
      </c>
      <c r="B2051" t="s">
        <v>9655</v>
      </c>
      <c r="C2051" t="s">
        <v>15389</v>
      </c>
      <c r="D2051" t="s">
        <v>16202</v>
      </c>
      <c r="E2051" t="s">
        <v>16218</v>
      </c>
      <c r="F2051" t="s">
        <v>16220</v>
      </c>
      <c r="G2051" t="s">
        <v>16230</v>
      </c>
      <c r="H2051" t="s">
        <v>16230</v>
      </c>
      <c r="I2051" t="s">
        <v>16334</v>
      </c>
      <c r="J2051" t="s">
        <v>16386</v>
      </c>
      <c r="K2051">
        <v>0.097</v>
      </c>
      <c r="L2051">
        <v>4222</v>
      </c>
      <c r="M2051">
        <v>791</v>
      </c>
      <c r="N2051" t="s">
        <v>16393</v>
      </c>
      <c r="O2051" s="4">
        <v>15455</v>
      </c>
      <c r="P2051" s="4">
        <v>72459</v>
      </c>
      <c r="Q2051" s="4">
        <v>87914</v>
      </c>
      <c r="R2051" s="4">
        <v>263742</v>
      </c>
      <c r="S2051" t="s">
        <v>18387</v>
      </c>
      <c r="T2051" s="6">
        <v>30468</v>
      </c>
      <c r="U2051" s="4">
        <v>65000</v>
      </c>
      <c r="X2051" t="s">
        <v>3</v>
      </c>
      <c r="AA2051" s="5" t="str">
        <f>HYPERLINK("https://www.zillow.com/homes/2110-HILLDALE-LN-GLENDALE-HTS-IL-60139_rb/","check listing")</f>
        <v>check listing</v>
      </c>
      <c r="AB2051" s="5" t="str">
        <f>HYPERLINK("https://propertylookup.dupagecounty.gov/Datalets/Datalet.aspx?UseSearch=no&amp;mode=sales&amp;pin=0222424008","sales record")</f>
        <v>sales record</v>
      </c>
      <c r="AC2051" t="s">
        <v>27873</v>
      </c>
      <c r="AD2051">
        <v>41.936373</v>
      </c>
      <c r="AE2051">
        <v>-88.072531</v>
      </c>
      <c r="AF2051" s="5" t="str">
        <f>HYPERLINK("https://www.google.com/maps/search/?api=1&amp;query=41.936373,-88.072531","map")</f>
        <v>map</v>
      </c>
    </row>
    <row r="2052" spans="1:32">
      <c r="A2052" t="s">
        <v>2102</v>
      </c>
      <c r="B2052" t="s">
        <v>9656</v>
      </c>
      <c r="C2052" t="s">
        <v>15394</v>
      </c>
      <c r="D2052" t="s">
        <v>16202</v>
      </c>
      <c r="E2052" t="s">
        <v>16218</v>
      </c>
      <c r="F2052" t="s">
        <v>16220</v>
      </c>
      <c r="G2052" t="s">
        <v>16230</v>
      </c>
      <c r="H2052" t="s">
        <v>16230</v>
      </c>
      <c r="I2052" t="s">
        <v>16334</v>
      </c>
      <c r="J2052" t="s">
        <v>16386</v>
      </c>
      <c r="K2052">
        <v>0.097</v>
      </c>
      <c r="L2052">
        <v>4215</v>
      </c>
      <c r="M2052">
        <v>1339</v>
      </c>
      <c r="N2052" t="s">
        <v>16393</v>
      </c>
      <c r="O2052" s="4">
        <v>15455</v>
      </c>
      <c r="P2052" s="4">
        <v>70176</v>
      </c>
      <c r="Q2052" s="4">
        <v>85631</v>
      </c>
      <c r="R2052" s="4">
        <v>256893</v>
      </c>
      <c r="S2052" t="s">
        <v>18388</v>
      </c>
      <c r="T2052" s="6">
        <v>44166</v>
      </c>
      <c r="U2052" s="4">
        <v>170000</v>
      </c>
      <c r="V2052" t="s">
        <v>23739</v>
      </c>
      <c r="W2052" t="s">
        <v>18388</v>
      </c>
      <c r="X2052" t="s">
        <v>3</v>
      </c>
      <c r="AA2052" s="5" t="str">
        <f>HYPERLINK("https://www.zillow.com/homes/2169-PAYSON-CIR-GLENDALE-HTS-IL-601391732_rb/","check listing")</f>
        <v>check listing</v>
      </c>
      <c r="AB2052" s="5" t="str">
        <f>HYPERLINK("https://propertylookup.dupagecounty.gov/Datalets/Datalet.aspx?UseSearch=no&amp;mode=sales&amp;pin=0222417009","sales record")</f>
        <v>sales record</v>
      </c>
      <c r="AC2052" t="s">
        <v>27873</v>
      </c>
      <c r="AD2052">
        <v>41.938633</v>
      </c>
      <c r="AE2052">
        <v>-88.073561</v>
      </c>
      <c r="AF2052" s="5" t="str">
        <f>HYPERLINK("https://www.google.com/maps/search/?api=1&amp;query=41.938633,-88.073561","map")</f>
        <v>map</v>
      </c>
    </row>
    <row r="2053" spans="1:32">
      <c r="A2053" t="s">
        <v>2103</v>
      </c>
      <c r="B2053" t="s">
        <v>9657</v>
      </c>
      <c r="C2053" t="s">
        <v>15389</v>
      </c>
      <c r="D2053" t="s">
        <v>16202</v>
      </c>
      <c r="E2053" t="s">
        <v>16218</v>
      </c>
      <c r="F2053" t="s">
        <v>16220</v>
      </c>
      <c r="G2053" t="s">
        <v>16230</v>
      </c>
      <c r="H2053" t="s">
        <v>16230</v>
      </c>
      <c r="I2053" t="s">
        <v>16334</v>
      </c>
      <c r="J2053" t="s">
        <v>16386</v>
      </c>
      <c r="K2053">
        <v>0.096</v>
      </c>
      <c r="L2053">
        <v>4197</v>
      </c>
      <c r="M2053">
        <v>1320</v>
      </c>
      <c r="N2053" t="s">
        <v>16393</v>
      </c>
      <c r="O2053" s="4">
        <v>15455</v>
      </c>
      <c r="P2053" s="4">
        <v>69423</v>
      </c>
      <c r="Q2053" s="4">
        <v>84878</v>
      </c>
      <c r="R2053" s="4">
        <v>254634</v>
      </c>
      <c r="S2053" t="s">
        <v>18389</v>
      </c>
      <c r="X2053" t="s">
        <v>3</v>
      </c>
      <c r="AA2053" s="5" t="str">
        <f>HYPERLINK("https://www.zillow.com/homes/2162-PAYSON-CIR-GLENDALE-HTS-IL-60139_rb/","check listing")</f>
        <v>check listing</v>
      </c>
      <c r="AB2053" s="5" t="str">
        <f>HYPERLINK("https://propertylookup.dupagecounty.gov/Datalets/Datalet.aspx?UseSearch=no&amp;mode=sales&amp;pin=0222412023","sales record")</f>
        <v>sales record</v>
      </c>
      <c r="AC2053" t="s">
        <v>3</v>
      </c>
      <c r="AD2053">
        <v>41.938265</v>
      </c>
      <c r="AE2053">
        <v>-88.07395200000001</v>
      </c>
      <c r="AF2053" s="5" t="str">
        <f>HYPERLINK("https://www.google.com/maps/search/?api=1&amp;query=41.938265,-88.073952","map")</f>
        <v>map</v>
      </c>
    </row>
    <row r="2054" spans="1:32">
      <c r="A2054" t="s">
        <v>2104</v>
      </c>
      <c r="B2054" t="s">
        <v>9658</v>
      </c>
      <c r="C2054" t="s">
        <v>15389</v>
      </c>
      <c r="D2054" t="s">
        <v>16202</v>
      </c>
      <c r="E2054" t="s">
        <v>16218</v>
      </c>
      <c r="F2054" t="s">
        <v>16220</v>
      </c>
      <c r="G2054" t="s">
        <v>16230</v>
      </c>
      <c r="H2054" t="s">
        <v>16230</v>
      </c>
      <c r="I2054" t="s">
        <v>16334</v>
      </c>
      <c r="J2054" t="s">
        <v>16386</v>
      </c>
      <c r="K2054">
        <v>0.093</v>
      </c>
      <c r="L2054">
        <v>4072</v>
      </c>
      <c r="M2054">
        <v>1583</v>
      </c>
      <c r="N2054" t="s">
        <v>16393</v>
      </c>
      <c r="O2054" s="4">
        <v>15455</v>
      </c>
      <c r="P2054" s="4">
        <v>68335</v>
      </c>
      <c r="Q2054" s="4">
        <v>83790</v>
      </c>
      <c r="R2054" s="4">
        <v>251370</v>
      </c>
      <c r="S2054" t="s">
        <v>18390</v>
      </c>
      <c r="T2054" s="6">
        <v>40483</v>
      </c>
      <c r="U2054" s="4">
        <v>142500</v>
      </c>
      <c r="V2054" t="s">
        <v>23739</v>
      </c>
      <c r="W2054" t="s">
        <v>24711</v>
      </c>
      <c r="X2054" t="s">
        <v>3</v>
      </c>
      <c r="AA2054" s="5" t="str">
        <f>HYPERLINK("https://www.zillow.com/homes/2163-PAYSON-CIR-GLENDALE-HTS-IL-60139_rb/","check listing")</f>
        <v>check listing</v>
      </c>
      <c r="AB2054" s="5" t="str">
        <f>HYPERLINK("https://propertylookup.dupagecounty.gov/Datalets/Datalet.aspx?UseSearch=no&amp;mode=sales&amp;pin=0222417012","sales record")</f>
        <v>sales record</v>
      </c>
      <c r="AC2054" t="s">
        <v>3</v>
      </c>
      <c r="AD2054">
        <v>41.938265</v>
      </c>
      <c r="AE2054">
        <v>-88.073543</v>
      </c>
      <c r="AF2054" s="5" t="str">
        <f>HYPERLINK("https://www.google.com/maps/search/?api=1&amp;query=41.938265,-88.073543","map")</f>
        <v>map</v>
      </c>
    </row>
    <row r="2055" spans="1:32">
      <c r="A2055" t="s">
        <v>2105</v>
      </c>
      <c r="B2055" t="s">
        <v>9659</v>
      </c>
      <c r="C2055" t="s">
        <v>15395</v>
      </c>
      <c r="D2055" t="s">
        <v>16202</v>
      </c>
      <c r="E2055" t="s">
        <v>16218</v>
      </c>
      <c r="F2055" t="s">
        <v>16220</v>
      </c>
      <c r="G2055" t="s">
        <v>16230</v>
      </c>
      <c r="H2055" t="s">
        <v>16230</v>
      </c>
      <c r="I2055" t="s">
        <v>16334</v>
      </c>
      <c r="J2055" t="s">
        <v>16386</v>
      </c>
      <c r="K2055">
        <v>0.092</v>
      </c>
      <c r="L2055">
        <v>4003</v>
      </c>
      <c r="M2055">
        <v>1715</v>
      </c>
      <c r="N2055" t="s">
        <v>16393</v>
      </c>
      <c r="O2055" s="4">
        <v>15455</v>
      </c>
      <c r="P2055" s="4">
        <v>68335</v>
      </c>
      <c r="Q2055" s="4">
        <v>83790</v>
      </c>
      <c r="R2055" s="4">
        <v>251370</v>
      </c>
      <c r="S2055" t="s">
        <v>18391</v>
      </c>
      <c r="T2055" s="6">
        <v>41214</v>
      </c>
      <c r="U2055" s="4">
        <v>113000</v>
      </c>
      <c r="V2055" t="s">
        <v>23739</v>
      </c>
      <c r="W2055" t="s">
        <v>24712</v>
      </c>
      <c r="X2055" t="s">
        <v>3</v>
      </c>
      <c r="AA2055" s="5" t="str">
        <f>HYPERLINK("https://www.zillow.com/homes/2133-WHITMAN-DR-GLENDALE-HTS-IL-601391743_rb/","check listing")</f>
        <v>check listing</v>
      </c>
      <c r="AB2055" s="5" t="str">
        <f>HYPERLINK("https://propertylookup.dupagecounty.gov/Datalets/Datalet.aspx?UseSearch=no&amp;mode=sales&amp;pin=0222423011","sales record")</f>
        <v>sales record</v>
      </c>
      <c r="AC2055" t="s">
        <v>3</v>
      </c>
      <c r="AD2055">
        <v>41.937141</v>
      </c>
      <c r="AE2055">
        <v>-88.072711</v>
      </c>
      <c r="AF2055" s="5" t="str">
        <f>HYPERLINK("https://www.google.com/maps/search/?api=1&amp;query=41.937141,-88.072711","map")</f>
        <v>map</v>
      </c>
    </row>
    <row r="2056" spans="1:32">
      <c r="A2056" t="s">
        <v>2106</v>
      </c>
      <c r="B2056" t="s">
        <v>9660</v>
      </c>
      <c r="C2056" t="s">
        <v>15389</v>
      </c>
      <c r="D2056" t="s">
        <v>16202</v>
      </c>
      <c r="E2056" t="s">
        <v>16218</v>
      </c>
      <c r="F2056" t="s">
        <v>16220</v>
      </c>
      <c r="G2056" t="s">
        <v>16230</v>
      </c>
      <c r="H2056" t="s">
        <v>16230</v>
      </c>
      <c r="I2056" t="s">
        <v>16334</v>
      </c>
      <c r="J2056" t="s">
        <v>16386</v>
      </c>
      <c r="K2056">
        <v>0.08400000000000001</v>
      </c>
      <c r="L2056">
        <v>3638</v>
      </c>
      <c r="N2056" t="s">
        <v>16393</v>
      </c>
      <c r="O2056" s="4">
        <v>12251</v>
      </c>
      <c r="P2056" s="4">
        <v>42636</v>
      </c>
      <c r="Q2056" s="4">
        <v>54887</v>
      </c>
      <c r="R2056" s="4">
        <v>164661</v>
      </c>
      <c r="S2056" t="s">
        <v>18392</v>
      </c>
      <c r="T2056" s="6">
        <v>45050</v>
      </c>
      <c r="U2056" s="4">
        <v>165000</v>
      </c>
      <c r="V2056" t="s">
        <v>23739</v>
      </c>
      <c r="W2056" t="s">
        <v>24713</v>
      </c>
      <c r="X2056" t="s">
        <v>3</v>
      </c>
      <c r="AA2056" s="5" t="str">
        <f>HYPERLINK("https://www.zillow.com/homes/743-MARILYN-AVE-GLENDALE-HTS-IL-60139_rb/","check listing")</f>
        <v>check listing</v>
      </c>
      <c r="AB2056" s="5" t="str">
        <f>HYPERLINK("https://propertylookup.dupagecounty.gov/Datalets/Datalet.aspx?UseSearch=no&amp;mode=sales&amp;pin=0235217029","sales record")</f>
        <v>sales record</v>
      </c>
      <c r="AC2056" t="s">
        <v>3</v>
      </c>
      <c r="AD2056">
        <v>41.916549</v>
      </c>
      <c r="AE2056">
        <v>-88.054856</v>
      </c>
      <c r="AF2056" s="5" t="str">
        <f>HYPERLINK("https://www.google.com/maps/search/?api=1&amp;query=41.916549,-88.054856","map")</f>
        <v>map</v>
      </c>
    </row>
    <row r="2057" spans="1:32">
      <c r="A2057" t="s">
        <v>2107</v>
      </c>
      <c r="B2057" t="s">
        <v>9661</v>
      </c>
      <c r="C2057" t="s">
        <v>15396</v>
      </c>
      <c r="D2057" t="s">
        <v>16202</v>
      </c>
      <c r="E2057" t="s">
        <v>16218</v>
      </c>
      <c r="F2057" t="s">
        <v>16220</v>
      </c>
      <c r="G2057" t="s">
        <v>16230</v>
      </c>
      <c r="H2057" t="s">
        <v>16230</v>
      </c>
      <c r="I2057" t="s">
        <v>16334</v>
      </c>
      <c r="J2057" t="s">
        <v>16386</v>
      </c>
      <c r="K2057">
        <v>0.083</v>
      </c>
      <c r="L2057">
        <v>3626</v>
      </c>
      <c r="M2057">
        <v>1055</v>
      </c>
      <c r="N2057" t="s">
        <v>16393</v>
      </c>
      <c r="O2057" s="4">
        <v>16436</v>
      </c>
      <c r="P2057" s="4">
        <v>66884</v>
      </c>
      <c r="Q2057" s="4">
        <v>83320</v>
      </c>
      <c r="R2057" s="4">
        <v>249960</v>
      </c>
      <c r="S2057" t="s">
        <v>18393</v>
      </c>
      <c r="T2057" s="6">
        <v>45635</v>
      </c>
      <c r="U2057" s="4">
        <v>275000</v>
      </c>
      <c r="V2057" t="s">
        <v>16232</v>
      </c>
      <c r="W2057" t="s">
        <v>24714</v>
      </c>
      <c r="X2057" t="s">
        <v>3</v>
      </c>
      <c r="AA2057" s="5" t="str">
        <f>HYPERLINK("https://www.zillow.com/homes/1934-WILDWOOD-CIR-GLENDALE-HTS-IL-601392127_rb/","check listing")</f>
        <v>check listing</v>
      </c>
      <c r="AB2057" s="5" t="str">
        <f>HYPERLINK("https://propertylookup.dupagecounty.gov/Datalets/Datalet.aspx?UseSearch=no&amp;mode=sales&amp;pin=0227203008","sales record")</f>
        <v>sales record</v>
      </c>
      <c r="AC2057" t="s">
        <v>3</v>
      </c>
      <c r="AD2057">
        <v>41.929783</v>
      </c>
      <c r="AE2057">
        <v>-88.079331</v>
      </c>
      <c r="AF2057" s="5" t="str">
        <f>HYPERLINK("https://www.google.com/maps/search/?api=1&amp;query=41.929783,-88.079331","map")</f>
        <v>map</v>
      </c>
    </row>
    <row r="2058" spans="1:32">
      <c r="A2058" t="s">
        <v>2108</v>
      </c>
      <c r="B2058" t="s">
        <v>9662</v>
      </c>
      <c r="C2058" t="s">
        <v>15389</v>
      </c>
      <c r="D2058" t="s">
        <v>16202</v>
      </c>
      <c r="E2058" t="s">
        <v>16218</v>
      </c>
      <c r="F2058" t="s">
        <v>16220</v>
      </c>
      <c r="G2058" t="s">
        <v>16230</v>
      </c>
      <c r="H2058" t="s">
        <v>16230</v>
      </c>
      <c r="I2058" t="s">
        <v>16334</v>
      </c>
      <c r="J2058" t="s">
        <v>16386</v>
      </c>
      <c r="K2058">
        <v>0.08</v>
      </c>
      <c r="L2058">
        <v>3500</v>
      </c>
      <c r="M2058">
        <v>1031</v>
      </c>
      <c r="N2058" t="s">
        <v>16393</v>
      </c>
      <c r="O2058" s="4">
        <v>16436</v>
      </c>
      <c r="P2058" s="4">
        <v>70248</v>
      </c>
      <c r="Q2058" s="4">
        <v>86684</v>
      </c>
      <c r="R2058" s="4">
        <v>260052</v>
      </c>
      <c r="S2058" t="s">
        <v>18394</v>
      </c>
      <c r="T2058" s="6">
        <v>33117</v>
      </c>
      <c r="U2058" s="4">
        <v>98000</v>
      </c>
      <c r="X2058" t="s">
        <v>3</v>
      </c>
      <c r="AA2058" s="5" t="str">
        <f>HYPERLINK("https://www.zillow.com/homes/1950-WILDWOOD-CIR-GLENDALE-HTS-IL-60139_rb/","check listing")</f>
        <v>check listing</v>
      </c>
      <c r="AB2058" s="5" t="str">
        <f>HYPERLINK("https://propertylookup.dupagecounty.gov/Datalets/Datalet.aspx?UseSearch=no&amp;mode=sales&amp;pin=0227203004","sales record")</f>
        <v>sales record</v>
      </c>
      <c r="AC2058" t="s">
        <v>3</v>
      </c>
      <c r="AD2058">
        <v>41.930197</v>
      </c>
      <c r="AE2058">
        <v>-88.079348</v>
      </c>
      <c r="AF2058" s="5" t="str">
        <f>HYPERLINK("https://www.google.com/maps/search/?api=1&amp;query=41.930197,-88.079348","map")</f>
        <v>map</v>
      </c>
    </row>
    <row r="2059" spans="1:32">
      <c r="A2059" t="s">
        <v>2109</v>
      </c>
      <c r="B2059" t="s">
        <v>9663</v>
      </c>
      <c r="C2059" t="s">
        <v>15397</v>
      </c>
      <c r="D2059" t="s">
        <v>16202</v>
      </c>
      <c r="E2059" t="s">
        <v>16218</v>
      </c>
      <c r="F2059" t="s">
        <v>16220</v>
      </c>
      <c r="G2059" t="s">
        <v>16230</v>
      </c>
      <c r="H2059" t="s">
        <v>16230</v>
      </c>
      <c r="I2059" t="s">
        <v>16334</v>
      </c>
      <c r="J2059" t="s">
        <v>16386</v>
      </c>
      <c r="K2059">
        <v>0.079</v>
      </c>
      <c r="L2059">
        <v>3427</v>
      </c>
      <c r="N2059" t="s">
        <v>16393</v>
      </c>
      <c r="O2059" s="4">
        <v>15455</v>
      </c>
      <c r="P2059" s="4">
        <v>58367</v>
      </c>
      <c r="Q2059" s="4">
        <v>73822</v>
      </c>
      <c r="R2059" s="4">
        <v>221466</v>
      </c>
      <c r="S2059" t="s">
        <v>18395</v>
      </c>
      <c r="T2059" s="6">
        <v>43252</v>
      </c>
      <c r="U2059" s="4">
        <v>170000</v>
      </c>
      <c r="V2059" t="s">
        <v>23739</v>
      </c>
      <c r="W2059" t="s">
        <v>18395</v>
      </c>
      <c r="X2059" t="s">
        <v>3</v>
      </c>
      <c r="AA2059" s="5" t="str">
        <f>HYPERLINK("https://www.zillow.com/homes/2170-MORSE-LN-GLENDALE-HTS-IL-601391730_rb/","check listing")</f>
        <v>check listing</v>
      </c>
      <c r="AB2059" s="5" t="str">
        <f>HYPERLINK("https://propertylookup.dupagecounty.gov/Datalets/Datalet.aspx?UseSearch=no&amp;mode=sales&amp;pin=0222407068","sales record")</f>
        <v>sales record</v>
      </c>
      <c r="AC2059" t="s">
        <v>3</v>
      </c>
      <c r="AD2059">
        <v>41.938435</v>
      </c>
      <c r="AE2059">
        <v>-88.077692</v>
      </c>
      <c r="AF2059" s="5" t="str">
        <f>HYPERLINK("https://www.google.com/maps/search/?api=1&amp;query=41.938435,-88.077692","map")</f>
        <v>map</v>
      </c>
    </row>
    <row r="2060" spans="1:32">
      <c r="A2060" t="s">
        <v>2110</v>
      </c>
      <c r="B2060" t="s">
        <v>9664</v>
      </c>
      <c r="C2060" t="s">
        <v>15398</v>
      </c>
      <c r="D2060" t="s">
        <v>16202</v>
      </c>
      <c r="E2060" t="s">
        <v>16218</v>
      </c>
      <c r="F2060" t="s">
        <v>16220</v>
      </c>
      <c r="G2060" t="s">
        <v>16230</v>
      </c>
      <c r="H2060" t="s">
        <v>16230</v>
      </c>
      <c r="I2060" t="s">
        <v>16334</v>
      </c>
      <c r="J2060" t="s">
        <v>16386</v>
      </c>
      <c r="K2060">
        <v>0.078</v>
      </c>
      <c r="L2060">
        <v>3412</v>
      </c>
      <c r="M2060">
        <v>962</v>
      </c>
      <c r="N2060" t="s">
        <v>16393</v>
      </c>
      <c r="O2060" s="4">
        <v>15455</v>
      </c>
      <c r="P2060" s="4">
        <v>68330</v>
      </c>
      <c r="Q2060" s="4">
        <v>83785</v>
      </c>
      <c r="R2060" s="4">
        <v>251355</v>
      </c>
      <c r="S2060" t="s">
        <v>18396</v>
      </c>
      <c r="T2060" s="6">
        <v>45583</v>
      </c>
      <c r="U2060" s="4">
        <v>315000</v>
      </c>
      <c r="V2060" t="s">
        <v>23739</v>
      </c>
      <c r="W2060" t="s">
        <v>24715</v>
      </c>
      <c r="X2060" t="s">
        <v>3</v>
      </c>
      <c r="AA2060" s="5" t="str">
        <f>HYPERLINK("https://www.zillow.com/homes/2120-ALMOND-LN-GLENDALE-HTS-IL-601391706_rb/","check listing")</f>
        <v>check listing</v>
      </c>
      <c r="AB2060" s="5" t="str">
        <f>HYPERLINK("https://propertylookup.dupagecounty.gov/Datalets/Datalet.aspx?UseSearch=no&amp;mode=sales&amp;pin=0222401022","sales record")</f>
        <v>sales record</v>
      </c>
      <c r="AC2060" t="s">
        <v>3</v>
      </c>
      <c r="AD2060">
        <v>41.93665</v>
      </c>
      <c r="AE2060">
        <v>-88.07465000000001</v>
      </c>
      <c r="AF2060" s="5" t="str">
        <f>HYPERLINK("https://www.google.com/maps/search/?api=1&amp;query=41.93665,-88.07465","map")</f>
        <v>map</v>
      </c>
    </row>
    <row r="2061" spans="1:32">
      <c r="A2061" t="s">
        <v>2111</v>
      </c>
      <c r="B2061" t="s">
        <v>9665</v>
      </c>
      <c r="C2061" t="s">
        <v>15389</v>
      </c>
      <c r="D2061" t="s">
        <v>16202</v>
      </c>
      <c r="E2061" t="s">
        <v>16218</v>
      </c>
      <c r="F2061" t="s">
        <v>16220</v>
      </c>
      <c r="G2061" t="s">
        <v>16230</v>
      </c>
      <c r="H2061" t="s">
        <v>16230</v>
      </c>
      <c r="I2061" t="s">
        <v>16334</v>
      </c>
      <c r="J2061" t="s">
        <v>16386</v>
      </c>
      <c r="K2061">
        <v>0.077</v>
      </c>
      <c r="L2061">
        <v>3351</v>
      </c>
      <c r="N2061" t="s">
        <v>16393</v>
      </c>
      <c r="O2061" s="4">
        <v>15455</v>
      </c>
      <c r="P2061" s="4">
        <v>54219</v>
      </c>
      <c r="Q2061" s="4">
        <v>69674</v>
      </c>
      <c r="R2061" s="4">
        <v>209022</v>
      </c>
      <c r="S2061" t="s">
        <v>18397</v>
      </c>
      <c r="T2061" s="6">
        <v>37012</v>
      </c>
      <c r="U2061" s="4">
        <v>126000</v>
      </c>
      <c r="V2061" t="s">
        <v>23739</v>
      </c>
      <c r="W2061" t="s">
        <v>24716</v>
      </c>
      <c r="X2061" t="s">
        <v>3</v>
      </c>
      <c r="AA2061" s="5" t="str">
        <f>HYPERLINK("https://www.zillow.com/homes/2198-ROLLAND-DR-GLENDALE-HTS-IL-60139_rb/","check listing")</f>
        <v>check listing</v>
      </c>
      <c r="AB2061" s="5" t="str">
        <f>HYPERLINK("https://propertylookup.dupagecounty.gov/Datalets/Datalet.aspx?UseSearch=no&amp;mode=sales&amp;pin=0222409055","sales record")</f>
        <v>sales record</v>
      </c>
      <c r="AC2061" t="s">
        <v>3</v>
      </c>
      <c r="AD2061">
        <v>41.939532</v>
      </c>
      <c r="AE2061">
        <v>-88.07586999999999</v>
      </c>
      <c r="AF2061" s="5" t="str">
        <f>HYPERLINK("https://www.google.com/maps/search/?api=1&amp;query=41.939532,-88.07587","map")</f>
        <v>map</v>
      </c>
    </row>
    <row r="2062" spans="1:32">
      <c r="A2062" t="s">
        <v>2112</v>
      </c>
      <c r="B2062" t="s">
        <v>9666</v>
      </c>
      <c r="C2062" t="s">
        <v>15389</v>
      </c>
      <c r="D2062" t="s">
        <v>16202</v>
      </c>
      <c r="E2062" t="s">
        <v>16218</v>
      </c>
      <c r="F2062" t="s">
        <v>16220</v>
      </c>
      <c r="G2062" t="s">
        <v>16230</v>
      </c>
      <c r="H2062" t="s">
        <v>16230</v>
      </c>
      <c r="I2062" t="s">
        <v>16334</v>
      </c>
      <c r="J2062" t="s">
        <v>16386</v>
      </c>
      <c r="K2062">
        <v>0.075</v>
      </c>
      <c r="L2062">
        <v>3248</v>
      </c>
      <c r="M2062">
        <v>1676</v>
      </c>
      <c r="N2062" t="s">
        <v>16393</v>
      </c>
      <c r="O2062" s="4">
        <v>15455</v>
      </c>
      <c r="P2062" s="4">
        <v>67260</v>
      </c>
      <c r="Q2062" s="4">
        <v>82715</v>
      </c>
      <c r="R2062" s="4">
        <v>248145</v>
      </c>
      <c r="S2062" t="s">
        <v>18398</v>
      </c>
      <c r="T2062" s="6">
        <v>45029</v>
      </c>
      <c r="U2062" s="4">
        <v>231000</v>
      </c>
      <c r="V2062" t="s">
        <v>23741</v>
      </c>
      <c r="W2062" t="s">
        <v>24717</v>
      </c>
      <c r="X2062" t="s">
        <v>3</v>
      </c>
      <c r="AA2062" s="5" t="str">
        <f>HYPERLINK("https://www.zillow.com/homes/2130-PEPPERWOOD-LN-GLENDALE-HTS-IL-60139_rb/","check listing")</f>
        <v>check listing</v>
      </c>
      <c r="AB2062" s="5" t="str">
        <f>HYPERLINK("https://propertylookup.dupagecounty.gov/Datalets/Datalet.aspx?UseSearch=no&amp;mode=sales&amp;pin=0222423016","sales record")</f>
        <v>sales record</v>
      </c>
      <c r="AC2062" t="s">
        <v>3</v>
      </c>
      <c r="AD2062">
        <v>41.937124</v>
      </c>
      <c r="AE2062">
        <v>-88.07213900000001</v>
      </c>
      <c r="AF2062" s="5" t="str">
        <f>HYPERLINK("https://www.google.com/maps/search/?api=1&amp;query=41.937124,-88.072139","map")</f>
        <v>map</v>
      </c>
    </row>
    <row r="2063" spans="1:32">
      <c r="A2063" t="s">
        <v>2113</v>
      </c>
      <c r="B2063" t="s">
        <v>9667</v>
      </c>
      <c r="C2063" t="s">
        <v>15389</v>
      </c>
      <c r="D2063" t="s">
        <v>16202</v>
      </c>
      <c r="E2063" t="s">
        <v>16218</v>
      </c>
      <c r="F2063" t="s">
        <v>16220</v>
      </c>
      <c r="G2063" t="s">
        <v>16230</v>
      </c>
      <c r="H2063" t="s">
        <v>16230</v>
      </c>
      <c r="I2063" t="s">
        <v>16334</v>
      </c>
      <c r="J2063" t="s">
        <v>16386</v>
      </c>
      <c r="K2063">
        <v>0.07199999999999999</v>
      </c>
      <c r="L2063">
        <v>3137</v>
      </c>
      <c r="M2063">
        <v>904</v>
      </c>
      <c r="N2063" t="s">
        <v>16393</v>
      </c>
      <c r="O2063" s="4">
        <v>15455</v>
      </c>
      <c r="P2063" s="4">
        <v>65789</v>
      </c>
      <c r="Q2063" s="4">
        <v>81244</v>
      </c>
      <c r="R2063" s="4">
        <v>243732</v>
      </c>
      <c r="S2063" t="s">
        <v>18399</v>
      </c>
      <c r="T2063" s="6">
        <v>33359</v>
      </c>
      <c r="U2063" s="4">
        <v>96900</v>
      </c>
      <c r="X2063" t="s">
        <v>3</v>
      </c>
      <c r="AA2063" s="5" t="str">
        <f>HYPERLINK("https://www.zillow.com/homes/2111-HILLDALE-GLENDALE-HTS-IL-60139_rb/","check listing")</f>
        <v>check listing</v>
      </c>
      <c r="AB2063" s="5" t="str">
        <f>HYPERLINK("https://propertylookup.dupagecounty.gov/Datalets/Datalet.aspx?UseSearch=no&amp;mode=sales&amp;pin=0222425011","sales record")</f>
        <v>sales record</v>
      </c>
      <c r="AC2063" t="s">
        <v>27873</v>
      </c>
      <c r="AD2063">
        <v>41.936377</v>
      </c>
      <c r="AE2063">
        <v>-88.072141</v>
      </c>
      <c r="AF2063" s="5" t="str">
        <f>HYPERLINK("https://www.google.com/maps/search/?api=1&amp;query=41.936377,-88.072141","map")</f>
        <v>map</v>
      </c>
    </row>
    <row r="2064" spans="1:32">
      <c r="A2064" t="s">
        <v>2114</v>
      </c>
      <c r="B2064" t="s">
        <v>9668</v>
      </c>
      <c r="C2064" t="s">
        <v>15389</v>
      </c>
      <c r="D2064" t="s">
        <v>16202</v>
      </c>
      <c r="E2064" t="s">
        <v>16217</v>
      </c>
      <c r="F2064" t="s">
        <v>16220</v>
      </c>
      <c r="G2064" t="s">
        <v>16230</v>
      </c>
      <c r="H2064" t="s">
        <v>16230</v>
      </c>
      <c r="I2064" t="s">
        <v>16334</v>
      </c>
      <c r="J2064" t="s">
        <v>16386</v>
      </c>
      <c r="K2064">
        <v>1.997</v>
      </c>
      <c r="L2064">
        <v>86978</v>
      </c>
      <c r="N2064" t="s">
        <v>16394</v>
      </c>
      <c r="O2064" s="4">
        <v>251038</v>
      </c>
      <c r="P2064" s="4">
        <v>0</v>
      </c>
      <c r="Q2064" s="4">
        <v>251038</v>
      </c>
      <c r="R2064" s="4">
        <v>753114</v>
      </c>
      <c r="S2064" t="s">
        <v>18400</v>
      </c>
      <c r="T2064" s="6">
        <v>44852</v>
      </c>
      <c r="U2064" s="4">
        <v>595000</v>
      </c>
      <c r="V2064" t="s">
        <v>23739</v>
      </c>
      <c r="W2064" t="s">
        <v>24718</v>
      </c>
      <c r="X2064" t="s">
        <v>3</v>
      </c>
      <c r="AA2064" s="5" t="str">
        <f>HYPERLINK("https://www.zillow.com/homes/NORTH-AVE-GLENDALE-HTS-IL-60139_rb/","check listing")</f>
        <v>check listing</v>
      </c>
      <c r="AB2064" s="5" t="str">
        <f>HYPERLINK("https://propertylookup.dupagecounty.gov/Datalets/Datalet.aspx?UseSearch=no&amp;mode=sales&amp;pin=0233402012","sales record")</f>
        <v>sales record</v>
      </c>
      <c r="AC2064" t="s">
        <v>3</v>
      </c>
      <c r="AD2064">
        <v>41.903056</v>
      </c>
      <c r="AE2064">
        <v>-88.093217</v>
      </c>
      <c r="AF2064" s="5" t="str">
        <f>HYPERLINK("https://www.google.com/maps/search/?api=1&amp;query=41.903056,-88.093217","map")</f>
        <v>map</v>
      </c>
    </row>
    <row r="2065" spans="1:32">
      <c r="A2065" t="s">
        <v>2115</v>
      </c>
      <c r="B2065" t="s">
        <v>9669</v>
      </c>
      <c r="C2065" t="s">
        <v>15389</v>
      </c>
      <c r="D2065" t="s">
        <v>16202</v>
      </c>
      <c r="E2065" t="s">
        <v>16218</v>
      </c>
      <c r="F2065" t="s">
        <v>16221</v>
      </c>
      <c r="G2065" t="s">
        <v>16238</v>
      </c>
      <c r="H2065" t="s">
        <v>16238</v>
      </c>
      <c r="I2065" t="s">
        <v>16335</v>
      </c>
      <c r="J2065" t="s">
        <v>16386</v>
      </c>
      <c r="K2065">
        <v>0.283</v>
      </c>
      <c r="L2065">
        <v>12314</v>
      </c>
      <c r="M2065">
        <v>1847</v>
      </c>
      <c r="N2065" t="s">
        <v>16393</v>
      </c>
      <c r="O2065" s="4">
        <v>26942</v>
      </c>
      <c r="P2065" s="4">
        <v>88656</v>
      </c>
      <c r="Q2065" s="4">
        <v>115598</v>
      </c>
      <c r="R2065" s="4">
        <v>346794</v>
      </c>
      <c r="S2065" t="s">
        <v>18401</v>
      </c>
      <c r="T2065" s="6">
        <v>41306</v>
      </c>
      <c r="U2065" s="4">
        <v>160000</v>
      </c>
      <c r="V2065" t="s">
        <v>23739</v>
      </c>
      <c r="W2065" t="s">
        <v>18401</v>
      </c>
      <c r="X2065" t="s">
        <v>3</v>
      </c>
      <c r="AA2065" s="5" t="str">
        <f>HYPERLINK("https://www.zillow.com/homes/127-STEVENSON-DR-GLENDALE-HTS-IL-60139_rb/","check listing")</f>
        <v>check listing</v>
      </c>
      <c r="AB2065" s="5" t="str">
        <f>HYPERLINK("https://propertylookup.dupagecounty.gov/Datalets/Datalet.aspx?UseSearch=no&amp;mode=sales&amp;pin=0228402105","sales record")</f>
        <v>sales record</v>
      </c>
      <c r="AC2065" t="s">
        <v>3</v>
      </c>
      <c r="AD2065">
        <v>41.922052</v>
      </c>
      <c r="AE2065">
        <v>-88.09705</v>
      </c>
      <c r="AF2065" s="5" t="str">
        <f>HYPERLINK("https://www.google.com/maps/search/?api=1&amp;query=41.922052,-88.09705","map")</f>
        <v>map</v>
      </c>
    </row>
    <row r="2066" spans="1:32">
      <c r="A2066" t="s">
        <v>2116</v>
      </c>
      <c r="B2066" t="s">
        <v>9670</v>
      </c>
      <c r="C2066" t="s">
        <v>15389</v>
      </c>
      <c r="D2066" t="s">
        <v>16202</v>
      </c>
      <c r="E2066" t="s">
        <v>16218</v>
      </c>
      <c r="F2066" t="s">
        <v>16221</v>
      </c>
      <c r="G2066" t="s">
        <v>16238</v>
      </c>
      <c r="H2066" t="s">
        <v>16238</v>
      </c>
      <c r="I2066" t="s">
        <v>16335</v>
      </c>
      <c r="J2066" t="s">
        <v>16386</v>
      </c>
      <c r="K2066">
        <v>0.253</v>
      </c>
      <c r="L2066">
        <v>11039</v>
      </c>
      <c r="M2066">
        <v>1978</v>
      </c>
      <c r="N2066" t="s">
        <v>16393</v>
      </c>
      <c r="O2066" s="4">
        <v>26942</v>
      </c>
      <c r="P2066" s="4">
        <v>67164</v>
      </c>
      <c r="Q2066" s="4">
        <v>94106</v>
      </c>
      <c r="R2066" s="4">
        <v>282318</v>
      </c>
      <c r="S2066" t="s">
        <v>18402</v>
      </c>
      <c r="T2066" s="6">
        <v>37712</v>
      </c>
      <c r="U2066" s="4">
        <v>169900</v>
      </c>
      <c r="V2066" t="s">
        <v>23739</v>
      </c>
      <c r="W2066" t="s">
        <v>24719</v>
      </c>
      <c r="X2066" t="s">
        <v>3</v>
      </c>
      <c r="AA2066" s="5" t="str">
        <f>HYPERLINK("https://www.zillow.com/homes/131-W-STEVENSON-DR-GLENDALE-HTS-IL-60139_rb/","check listing")</f>
        <v>check listing</v>
      </c>
      <c r="AB2066" s="5" t="str">
        <f>HYPERLINK("https://propertylookup.dupagecounty.gov/Datalets/Datalet.aspx?UseSearch=no&amp;mode=sales&amp;pin=0228402104","sales record")</f>
        <v>sales record</v>
      </c>
      <c r="AC2066" t="s">
        <v>3</v>
      </c>
      <c r="AD2066">
        <v>41.922067</v>
      </c>
      <c r="AE2066">
        <v>-88.09735499999999</v>
      </c>
      <c r="AF2066" s="5" t="str">
        <f>HYPERLINK("https://www.google.com/maps/search/?api=1&amp;query=41.922067,-88.097355","map")</f>
        <v>map</v>
      </c>
    </row>
    <row r="2067" spans="1:32">
      <c r="A2067" t="s">
        <v>2117</v>
      </c>
      <c r="B2067" t="s">
        <v>9671</v>
      </c>
      <c r="C2067" t="s">
        <v>15389</v>
      </c>
      <c r="D2067" t="s">
        <v>16202</v>
      </c>
      <c r="E2067" t="s">
        <v>16218</v>
      </c>
      <c r="F2067" t="s">
        <v>16221</v>
      </c>
      <c r="G2067" t="s">
        <v>16238</v>
      </c>
      <c r="H2067" t="s">
        <v>16238</v>
      </c>
      <c r="I2067" t="s">
        <v>16335</v>
      </c>
      <c r="J2067" t="s">
        <v>16386</v>
      </c>
      <c r="K2067">
        <v>0.246</v>
      </c>
      <c r="L2067">
        <v>10732</v>
      </c>
      <c r="M2067">
        <v>1980</v>
      </c>
      <c r="N2067" t="s">
        <v>16393</v>
      </c>
      <c r="O2067" s="4">
        <v>26942</v>
      </c>
      <c r="P2067" s="4">
        <v>84628</v>
      </c>
      <c r="Q2067" s="4">
        <v>111570</v>
      </c>
      <c r="R2067" s="4">
        <v>334710</v>
      </c>
      <c r="S2067" t="s">
        <v>18403</v>
      </c>
      <c r="T2067" s="6">
        <v>45671</v>
      </c>
      <c r="U2067" s="4">
        <v>340000</v>
      </c>
      <c r="V2067" t="s">
        <v>23739</v>
      </c>
      <c r="W2067" t="s">
        <v>24720</v>
      </c>
      <c r="X2067" t="s">
        <v>3</v>
      </c>
      <c r="AA2067" s="5" t="str">
        <f>HYPERLINK("https://www.zillow.com/homes/121-W-STEVENSON-DR-GLENDALE-HTS-IL-60139_rb/","check listing")</f>
        <v>check listing</v>
      </c>
      <c r="AB2067" s="5" t="str">
        <f>HYPERLINK("https://propertylookup.dupagecounty.gov/Datalets/Datalet.aspx?UseSearch=no&amp;mode=sales&amp;pin=0228402106","sales record")</f>
        <v>sales record</v>
      </c>
      <c r="AC2067" t="s">
        <v>3</v>
      </c>
      <c r="AD2067">
        <v>41.922362</v>
      </c>
      <c r="AE2067">
        <v>-88.096878</v>
      </c>
      <c r="AF2067" s="5" t="str">
        <f>HYPERLINK("https://www.google.com/maps/search/?api=1&amp;query=41.922362,-88.096878","map")</f>
        <v>map</v>
      </c>
    </row>
    <row r="2068" spans="1:32">
      <c r="A2068" t="s">
        <v>2118</v>
      </c>
      <c r="B2068" t="s">
        <v>9672</v>
      </c>
      <c r="C2068" t="s">
        <v>15389</v>
      </c>
      <c r="D2068" t="s">
        <v>16202</v>
      </c>
      <c r="E2068" t="s">
        <v>16218</v>
      </c>
      <c r="F2068" t="s">
        <v>16221</v>
      </c>
      <c r="G2068" t="s">
        <v>16238</v>
      </c>
      <c r="H2068" t="s">
        <v>16238</v>
      </c>
      <c r="I2068" t="s">
        <v>16335</v>
      </c>
      <c r="J2068" t="s">
        <v>16386</v>
      </c>
      <c r="K2068">
        <v>0.218</v>
      </c>
      <c r="L2068">
        <v>9499</v>
      </c>
      <c r="N2068" t="s">
        <v>16393</v>
      </c>
      <c r="O2068" s="4">
        <v>22341</v>
      </c>
      <c r="P2068" s="4">
        <v>55367</v>
      </c>
      <c r="Q2068" s="4">
        <v>77708</v>
      </c>
      <c r="R2068" s="4">
        <v>233124</v>
      </c>
      <c r="S2068" t="s">
        <v>18404</v>
      </c>
      <c r="T2068" s="6">
        <v>43525</v>
      </c>
      <c r="U2068" s="4">
        <v>179000</v>
      </c>
      <c r="V2068" t="s">
        <v>23739</v>
      </c>
      <c r="W2068" t="s">
        <v>24721</v>
      </c>
      <c r="X2068" t="s">
        <v>3</v>
      </c>
      <c r="AA2068" s="5" t="str">
        <f>HYPERLINK("https://www.zillow.com/homes/2104-BRITTANY-CT-GLENDALE-HTS-IL-60139_rb/","check listing")</f>
        <v>check listing</v>
      </c>
      <c r="AB2068" s="5" t="str">
        <f>HYPERLINK("https://propertylookup.dupagecounty.gov/Datalets/Datalet.aspx?UseSearch=no&amp;mode=sales&amp;pin=0221403053","sales record")</f>
        <v>sales record</v>
      </c>
      <c r="AC2068" t="s">
        <v>27873</v>
      </c>
      <c r="AD2068">
        <v>41.935092</v>
      </c>
      <c r="AE2068">
        <v>-88.093143</v>
      </c>
      <c r="AF2068" s="5" t="str">
        <f>HYPERLINK("https://www.google.com/maps/search/?api=1&amp;query=41.935092,-88.093143","map")</f>
        <v>map</v>
      </c>
    </row>
    <row r="2069" spans="1:32">
      <c r="A2069" t="s">
        <v>2119</v>
      </c>
      <c r="B2069" t="s">
        <v>9673</v>
      </c>
      <c r="C2069" t="s">
        <v>15389</v>
      </c>
      <c r="D2069" t="s">
        <v>16202</v>
      </c>
      <c r="E2069" t="s">
        <v>16218</v>
      </c>
      <c r="F2069" t="s">
        <v>16221</v>
      </c>
      <c r="G2069" t="s">
        <v>16238</v>
      </c>
      <c r="H2069" t="s">
        <v>16238</v>
      </c>
      <c r="I2069" t="s">
        <v>16335</v>
      </c>
      <c r="J2069" t="s">
        <v>16386</v>
      </c>
      <c r="K2069">
        <v>0.216</v>
      </c>
      <c r="L2069">
        <v>9396</v>
      </c>
      <c r="M2069">
        <v>1583</v>
      </c>
      <c r="N2069" t="s">
        <v>16393</v>
      </c>
      <c r="O2069" s="4">
        <v>26942</v>
      </c>
      <c r="P2069" s="4">
        <v>90102</v>
      </c>
      <c r="Q2069" s="4">
        <v>117044</v>
      </c>
      <c r="R2069" s="4">
        <v>351132</v>
      </c>
      <c r="S2069" t="s">
        <v>18405</v>
      </c>
      <c r="T2069" s="6">
        <v>38443</v>
      </c>
      <c r="U2069" s="4">
        <v>235000</v>
      </c>
      <c r="V2069" t="s">
        <v>23739</v>
      </c>
      <c r="W2069" t="s">
        <v>18405</v>
      </c>
      <c r="X2069" t="s">
        <v>3</v>
      </c>
      <c r="AA2069" s="5" t="str">
        <f>HYPERLINK("https://www.zillow.com/homes/1744-REEVES-DR-GLENDALE-HTS-IL-60139_rb/","check listing")</f>
        <v>check listing</v>
      </c>
      <c r="AB2069" s="5" t="str">
        <f>HYPERLINK("https://propertylookup.dupagecounty.gov/Datalets/Datalet.aspx?UseSearch=no&amp;mode=sales&amp;pin=0228405048","sales record")</f>
        <v>sales record</v>
      </c>
      <c r="AC2069" t="s">
        <v>3</v>
      </c>
      <c r="AD2069">
        <v>41.922353</v>
      </c>
      <c r="AE2069">
        <v>-88.10068</v>
      </c>
      <c r="AF2069" s="5" t="str">
        <f>HYPERLINK("https://www.google.com/maps/search/?api=1&amp;query=41.922353,-88.10068","map")</f>
        <v>map</v>
      </c>
    </row>
    <row r="2070" spans="1:32">
      <c r="A2070" t="s">
        <v>2120</v>
      </c>
      <c r="B2070" t="s">
        <v>9674</v>
      </c>
      <c r="C2070" t="s">
        <v>15389</v>
      </c>
      <c r="D2070" t="s">
        <v>16202</v>
      </c>
      <c r="E2070" t="s">
        <v>16218</v>
      </c>
      <c r="F2070" t="s">
        <v>16221</v>
      </c>
      <c r="G2070" t="s">
        <v>16238</v>
      </c>
      <c r="H2070" t="s">
        <v>16238</v>
      </c>
      <c r="I2070" t="s">
        <v>16335</v>
      </c>
      <c r="J2070" t="s">
        <v>16386</v>
      </c>
      <c r="K2070">
        <v>0.215</v>
      </c>
      <c r="L2070">
        <v>9383</v>
      </c>
      <c r="M2070">
        <v>1814</v>
      </c>
      <c r="N2070" t="s">
        <v>16393</v>
      </c>
      <c r="O2070" s="4">
        <v>26942</v>
      </c>
      <c r="P2070" s="4">
        <v>85381</v>
      </c>
      <c r="Q2070" s="4">
        <v>112323</v>
      </c>
      <c r="R2070" s="4">
        <v>336969</v>
      </c>
      <c r="S2070" t="s">
        <v>18406</v>
      </c>
      <c r="T2070" s="6">
        <v>37165</v>
      </c>
      <c r="U2070" s="4">
        <v>206000</v>
      </c>
      <c r="V2070" t="s">
        <v>23739</v>
      </c>
      <c r="W2070" t="s">
        <v>24722</v>
      </c>
      <c r="X2070" t="s">
        <v>3</v>
      </c>
      <c r="AA2070" s="5" t="str">
        <f>HYPERLINK("https://www.zillow.com/homes/1786-REEVES-DR-GLENDALE-HTS-IL-60139_rb/","check listing")</f>
        <v>check listing</v>
      </c>
      <c r="AB2070" s="5" t="str">
        <f>HYPERLINK("https://propertylookup.dupagecounty.gov/Datalets/Datalet.aspx?UseSearch=no&amp;mode=sales&amp;pin=0228405046","sales record")</f>
        <v>sales record</v>
      </c>
      <c r="AC2070" t="s">
        <v>3</v>
      </c>
      <c r="AD2070">
        <v>41.923805</v>
      </c>
      <c r="AE2070">
        <v>-88.100679</v>
      </c>
      <c r="AF2070" s="5" t="str">
        <f>HYPERLINK("https://www.google.com/maps/search/?api=1&amp;query=41.923805,-88.100679","map")</f>
        <v>map</v>
      </c>
    </row>
    <row r="2071" spans="1:32">
      <c r="A2071" t="s">
        <v>2121</v>
      </c>
      <c r="B2071" t="s">
        <v>9675</v>
      </c>
      <c r="C2071" t="s">
        <v>15389</v>
      </c>
      <c r="D2071" t="s">
        <v>16202</v>
      </c>
      <c r="E2071" t="s">
        <v>16218</v>
      </c>
      <c r="F2071" t="s">
        <v>16221</v>
      </c>
      <c r="G2071" t="s">
        <v>16238</v>
      </c>
      <c r="H2071" t="s">
        <v>16238</v>
      </c>
      <c r="I2071" t="s">
        <v>16335</v>
      </c>
      <c r="J2071" t="s">
        <v>16386</v>
      </c>
      <c r="K2071">
        <v>0.21</v>
      </c>
      <c r="L2071">
        <v>9132</v>
      </c>
      <c r="M2071">
        <v>1583</v>
      </c>
      <c r="N2071" t="s">
        <v>16393</v>
      </c>
      <c r="O2071" s="4">
        <v>26942</v>
      </c>
      <c r="P2071" s="4">
        <v>88656</v>
      </c>
      <c r="Q2071" s="4">
        <v>115598</v>
      </c>
      <c r="R2071" s="4">
        <v>346794</v>
      </c>
      <c r="S2071" t="s">
        <v>18407</v>
      </c>
      <c r="X2071" t="s">
        <v>3</v>
      </c>
      <c r="AA2071" s="5" t="str">
        <f>HYPERLINK("https://www.zillow.com/homes/1745-REEVES-DR-GLENDALE-HTS-IL-60139_rb/","check listing")</f>
        <v>check listing</v>
      </c>
      <c r="AB2071" s="5" t="str">
        <f>HYPERLINK("https://propertylookup.dupagecounty.gov/Datalets/Datalet.aspx?UseSearch=no&amp;mode=sales&amp;pin=0228406061","sales record")</f>
        <v>sales record</v>
      </c>
      <c r="AC2071" t="s">
        <v>3</v>
      </c>
      <c r="AD2071">
        <v>41.92237</v>
      </c>
      <c r="AE2071">
        <v>-88.100131</v>
      </c>
      <c r="AF2071" s="5" t="str">
        <f>HYPERLINK("https://www.google.com/maps/search/?api=1&amp;query=41.92237,-88.100131","map")</f>
        <v>map</v>
      </c>
    </row>
    <row r="2072" spans="1:32">
      <c r="A2072" t="s">
        <v>2122</v>
      </c>
      <c r="B2072" t="s">
        <v>9676</v>
      </c>
      <c r="C2072" t="s">
        <v>15389</v>
      </c>
      <c r="D2072" t="s">
        <v>16202</v>
      </c>
      <c r="E2072" t="s">
        <v>16218</v>
      </c>
      <c r="F2072" t="s">
        <v>16221</v>
      </c>
      <c r="G2072" t="s">
        <v>16238</v>
      </c>
      <c r="H2072" t="s">
        <v>16238</v>
      </c>
      <c r="I2072" t="s">
        <v>16335</v>
      </c>
      <c r="J2072" t="s">
        <v>16386</v>
      </c>
      <c r="K2072">
        <v>0.209</v>
      </c>
      <c r="L2072">
        <v>9122</v>
      </c>
      <c r="M2072">
        <v>1451</v>
      </c>
      <c r="N2072" t="s">
        <v>16393</v>
      </c>
      <c r="O2072" s="4">
        <v>26942</v>
      </c>
      <c r="P2072" s="4">
        <v>79524</v>
      </c>
      <c r="Q2072" s="4">
        <v>106466</v>
      </c>
      <c r="R2072" s="4">
        <v>319398</v>
      </c>
      <c r="S2072" t="s">
        <v>18408</v>
      </c>
      <c r="T2072" s="6">
        <v>35521</v>
      </c>
      <c r="U2072" s="4">
        <v>147200</v>
      </c>
      <c r="X2072" t="s">
        <v>3</v>
      </c>
      <c r="AA2072" s="5" t="str">
        <f>HYPERLINK("https://www.zillow.com/homes/1786-ENGLISH-DR-GLENDALE-HTS-IL-60139_rb/","check listing")</f>
        <v>check listing</v>
      </c>
      <c r="AB2072" s="5" t="str">
        <f>HYPERLINK("https://propertylookup.dupagecounty.gov/Datalets/Datalet.aspx?UseSearch=no&amp;mode=sales&amp;pin=0228406062","sales record")</f>
        <v>sales record</v>
      </c>
      <c r="AC2072" t="s">
        <v>3</v>
      </c>
      <c r="AD2072">
        <v>41.923826</v>
      </c>
      <c r="AE2072">
        <v>-88.09975900000001</v>
      </c>
      <c r="AF2072" s="5" t="str">
        <f>HYPERLINK("https://www.google.com/maps/search/?api=1&amp;query=41.923826,-88.099759","map")</f>
        <v>map</v>
      </c>
    </row>
    <row r="2073" spans="1:32">
      <c r="A2073" t="s">
        <v>2123</v>
      </c>
      <c r="B2073" t="s">
        <v>9677</v>
      </c>
      <c r="C2073" t="s">
        <v>15399</v>
      </c>
      <c r="D2073" t="s">
        <v>16202</v>
      </c>
      <c r="E2073" t="s">
        <v>16218</v>
      </c>
      <c r="F2073" t="s">
        <v>16221</v>
      </c>
      <c r="G2073" t="s">
        <v>16238</v>
      </c>
      <c r="H2073" t="s">
        <v>16238</v>
      </c>
      <c r="I2073" t="s">
        <v>16335</v>
      </c>
      <c r="J2073" t="s">
        <v>16386</v>
      </c>
      <c r="K2073">
        <v>0.203</v>
      </c>
      <c r="L2073">
        <v>8861</v>
      </c>
      <c r="M2073">
        <v>1813</v>
      </c>
      <c r="N2073" t="s">
        <v>16393</v>
      </c>
      <c r="O2073" s="4">
        <v>26942</v>
      </c>
      <c r="P2073" s="4">
        <v>88656</v>
      </c>
      <c r="Q2073" s="4">
        <v>115598</v>
      </c>
      <c r="R2073" s="4">
        <v>346794</v>
      </c>
      <c r="S2073" t="s">
        <v>18409</v>
      </c>
      <c r="T2073" s="6">
        <v>42917</v>
      </c>
      <c r="U2073" s="4">
        <v>235000</v>
      </c>
      <c r="V2073" t="s">
        <v>23739</v>
      </c>
      <c r="W2073" t="s">
        <v>24723</v>
      </c>
      <c r="X2073" t="s">
        <v>3</v>
      </c>
      <c r="AA2073" s="5" t="str">
        <f>HYPERLINK("https://www.zillow.com/homes/197-W-STEVENSON-DR-GLENDALE-HTS-IL-601392481_rb/","check listing")</f>
        <v>check listing</v>
      </c>
      <c r="AB2073" s="5" t="str">
        <f>HYPERLINK("https://propertylookup.dupagecounty.gov/Datalets/Datalet.aspx?UseSearch=no&amp;mode=sales&amp;pin=0228402092","sales record")</f>
        <v>sales record</v>
      </c>
      <c r="AC2073" t="s">
        <v>3</v>
      </c>
      <c r="AD2073">
        <v>41.921955</v>
      </c>
      <c r="AE2073">
        <v>-88.100714</v>
      </c>
      <c r="AF2073" s="5" t="str">
        <f>HYPERLINK("https://www.google.com/maps/search/?api=1&amp;query=41.921955,-88.100714","map")</f>
        <v>map</v>
      </c>
    </row>
    <row r="2074" spans="1:32">
      <c r="A2074" t="s">
        <v>2124</v>
      </c>
      <c r="B2074" t="s">
        <v>9678</v>
      </c>
      <c r="C2074" t="s">
        <v>15400</v>
      </c>
      <c r="D2074" t="s">
        <v>16202</v>
      </c>
      <c r="E2074" t="s">
        <v>16218</v>
      </c>
      <c r="F2074" t="s">
        <v>16221</v>
      </c>
      <c r="G2074" t="s">
        <v>16238</v>
      </c>
      <c r="H2074" t="s">
        <v>16238</v>
      </c>
      <c r="I2074" t="s">
        <v>16335</v>
      </c>
      <c r="J2074" t="s">
        <v>16386</v>
      </c>
      <c r="K2074">
        <v>0.201</v>
      </c>
      <c r="L2074">
        <v>8774</v>
      </c>
      <c r="M2074">
        <v>2309</v>
      </c>
      <c r="N2074" t="s">
        <v>16393</v>
      </c>
      <c r="O2074" s="4">
        <v>26942</v>
      </c>
      <c r="P2074" s="4">
        <v>71432</v>
      </c>
      <c r="Q2074" s="4">
        <v>98374</v>
      </c>
      <c r="R2074" s="4">
        <v>295122</v>
      </c>
      <c r="S2074" t="s">
        <v>18410</v>
      </c>
      <c r="T2074" s="6">
        <v>45387</v>
      </c>
      <c r="U2074" s="4">
        <v>333000</v>
      </c>
      <c r="V2074" t="s">
        <v>23739</v>
      </c>
      <c r="W2074" t="s">
        <v>18410</v>
      </c>
      <c r="X2074" t="s">
        <v>3</v>
      </c>
      <c r="AA2074" s="5" t="str">
        <f>HYPERLINK("https://www.zillow.com/homes/1744-ENGLISH-DR-GLENDALE-HTS-IL-601392429_rb/","check listing")</f>
        <v>check listing</v>
      </c>
      <c r="AB2074" s="5" t="str">
        <f>HYPERLINK("https://propertylookup.dupagecounty.gov/Datalets/Datalet.aspx?UseSearch=no&amp;mode=sales&amp;pin=0228406069","sales record")</f>
        <v>sales record</v>
      </c>
      <c r="AC2074" t="s">
        <v>3</v>
      </c>
      <c r="AD2074">
        <v>41.922374</v>
      </c>
      <c r="AE2074">
        <v>-88.09976</v>
      </c>
      <c r="AF2074" s="5" t="str">
        <f>HYPERLINK("https://www.google.com/maps/search/?api=1&amp;query=41.922374,-88.09976","map")</f>
        <v>map</v>
      </c>
    </row>
    <row r="2075" spans="1:32">
      <c r="A2075" t="s">
        <v>2125</v>
      </c>
      <c r="B2075" t="s">
        <v>9679</v>
      </c>
      <c r="C2075" t="s">
        <v>15401</v>
      </c>
      <c r="D2075" t="s">
        <v>16202</v>
      </c>
      <c r="E2075" t="s">
        <v>16218</v>
      </c>
      <c r="F2075" t="s">
        <v>16221</v>
      </c>
      <c r="G2075" t="s">
        <v>16238</v>
      </c>
      <c r="H2075" t="s">
        <v>16238</v>
      </c>
      <c r="I2075" t="s">
        <v>16335</v>
      </c>
      <c r="J2075" t="s">
        <v>16386</v>
      </c>
      <c r="K2075">
        <v>0.201</v>
      </c>
      <c r="L2075">
        <v>8766</v>
      </c>
      <c r="M2075">
        <v>1980</v>
      </c>
      <c r="N2075" t="s">
        <v>16393</v>
      </c>
      <c r="O2075" s="4">
        <v>26942</v>
      </c>
      <c r="P2075" s="4">
        <v>82954</v>
      </c>
      <c r="Q2075" s="4">
        <v>109896</v>
      </c>
      <c r="R2075" s="4">
        <v>329688</v>
      </c>
      <c r="S2075" t="s">
        <v>18411</v>
      </c>
      <c r="T2075" s="6">
        <v>42278</v>
      </c>
      <c r="U2075" s="4">
        <v>202000</v>
      </c>
      <c r="V2075" t="s">
        <v>23739</v>
      </c>
      <c r="W2075" t="s">
        <v>24724</v>
      </c>
      <c r="X2075" t="s">
        <v>3</v>
      </c>
      <c r="AA2075" s="5" t="str">
        <f>HYPERLINK("https://www.zillow.com/homes/1787-REEVES-DR-GLENDALE-HTS-IL-601392440_rb/","check listing")</f>
        <v>check listing</v>
      </c>
      <c r="AB2075" s="5" t="str">
        <f>HYPERLINK("https://propertylookup.dupagecounty.gov/Datalets/Datalet.aspx?UseSearch=no&amp;mode=sales&amp;pin=0228406056","sales record")</f>
        <v>sales record</v>
      </c>
      <c r="AC2075" t="s">
        <v>3</v>
      </c>
      <c r="AD2075">
        <v>41.923821</v>
      </c>
      <c r="AE2075">
        <v>-88.10012999999999</v>
      </c>
      <c r="AF2075" s="5" t="str">
        <f>HYPERLINK("https://www.google.com/maps/search/?api=1&amp;query=41.923821,-88.10013","map")</f>
        <v>map</v>
      </c>
    </row>
    <row r="2076" spans="1:32">
      <c r="A2076" t="s">
        <v>2126</v>
      </c>
      <c r="B2076" t="s">
        <v>9680</v>
      </c>
      <c r="C2076" t="s">
        <v>15389</v>
      </c>
      <c r="D2076" t="s">
        <v>16202</v>
      </c>
      <c r="E2076" t="s">
        <v>16218</v>
      </c>
      <c r="F2076" t="s">
        <v>16221</v>
      </c>
      <c r="G2076" t="s">
        <v>16238</v>
      </c>
      <c r="H2076" t="s">
        <v>16238</v>
      </c>
      <c r="I2076" t="s">
        <v>16335</v>
      </c>
      <c r="J2076" t="s">
        <v>16386</v>
      </c>
      <c r="K2076">
        <v>0.201</v>
      </c>
      <c r="L2076">
        <v>8743</v>
      </c>
      <c r="M2076">
        <v>1715</v>
      </c>
      <c r="N2076" t="s">
        <v>16393</v>
      </c>
      <c r="O2076" s="4">
        <v>26942</v>
      </c>
      <c r="P2076" s="4">
        <v>91548</v>
      </c>
      <c r="Q2076" s="4">
        <v>118490</v>
      </c>
      <c r="R2076" s="4">
        <v>355470</v>
      </c>
      <c r="S2076" t="s">
        <v>18412</v>
      </c>
      <c r="T2076" s="6">
        <v>36434</v>
      </c>
      <c r="U2076" s="4">
        <v>123500</v>
      </c>
      <c r="X2076" t="s">
        <v>3</v>
      </c>
      <c r="AA2076" s="5" t="str">
        <f>HYPERLINK("https://www.zillow.com/homes/137-W-STEVENSON-DR-GLENDALE-HTS-IL-60139_rb/","check listing")</f>
        <v>check listing</v>
      </c>
      <c r="AB2076" s="5" t="str">
        <f>HYPERLINK("https://propertylookup.dupagecounty.gov/Datalets/Datalet.aspx?UseSearch=no&amp;mode=sales&amp;pin=0228402103","sales record")</f>
        <v>sales record</v>
      </c>
      <c r="AC2076" t="s">
        <v>3</v>
      </c>
      <c r="AD2076">
        <v>41.92204</v>
      </c>
      <c r="AE2076">
        <v>-88.09764800000001</v>
      </c>
      <c r="AF2076" s="5" t="str">
        <f>HYPERLINK("https://www.google.com/maps/search/?api=1&amp;query=41.92204,-88.097648","map")</f>
        <v>map</v>
      </c>
    </row>
    <row r="2077" spans="1:32">
      <c r="A2077" t="s">
        <v>2127</v>
      </c>
      <c r="B2077" t="s">
        <v>9681</v>
      </c>
      <c r="C2077" t="s">
        <v>15389</v>
      </c>
      <c r="D2077" t="s">
        <v>16202</v>
      </c>
      <c r="E2077" t="s">
        <v>16218</v>
      </c>
      <c r="F2077" t="s">
        <v>16221</v>
      </c>
      <c r="G2077" t="s">
        <v>16238</v>
      </c>
      <c r="H2077" t="s">
        <v>16238</v>
      </c>
      <c r="I2077" t="s">
        <v>16335</v>
      </c>
      <c r="J2077" t="s">
        <v>16386</v>
      </c>
      <c r="K2077">
        <v>0.187</v>
      </c>
      <c r="L2077">
        <v>8148</v>
      </c>
      <c r="N2077" t="s">
        <v>16393</v>
      </c>
      <c r="O2077" s="4">
        <v>22341</v>
      </c>
      <c r="P2077" s="4">
        <v>53227</v>
      </c>
      <c r="Q2077" s="4">
        <v>75568</v>
      </c>
      <c r="R2077" s="4">
        <v>226704</v>
      </c>
      <c r="S2077" t="s">
        <v>18413</v>
      </c>
      <c r="T2077" s="6">
        <v>42583</v>
      </c>
      <c r="U2077" s="4">
        <v>180000</v>
      </c>
      <c r="V2077" t="s">
        <v>23739</v>
      </c>
      <c r="W2077" t="s">
        <v>24725</v>
      </c>
      <c r="X2077" t="s">
        <v>3</v>
      </c>
      <c r="AA2077" s="5" t="str">
        <f>HYPERLINK("https://www.zillow.com/homes/2108-BRITTANY-CT-GLENDALE-HTS-IL-60139_rb/","check listing")</f>
        <v>check listing</v>
      </c>
      <c r="AB2077" s="5" t="str">
        <f>HYPERLINK("https://propertylookup.dupagecounty.gov/Datalets/Datalet.aspx?UseSearch=no&amp;mode=sales&amp;pin=0221403075","sales record")</f>
        <v>sales record</v>
      </c>
      <c r="AC2077" t="s">
        <v>27873</v>
      </c>
      <c r="AD2077">
        <v>41.935299</v>
      </c>
      <c r="AE2077">
        <v>-88.093431</v>
      </c>
      <c r="AF2077" s="5" t="str">
        <f>HYPERLINK("https://www.google.com/maps/search/?api=1&amp;query=41.935299,-88.093431","map")</f>
        <v>map</v>
      </c>
    </row>
    <row r="2078" spans="1:32">
      <c r="A2078" t="s">
        <v>2128</v>
      </c>
      <c r="B2078" t="s">
        <v>9682</v>
      </c>
      <c r="C2078" t="s">
        <v>15389</v>
      </c>
      <c r="D2078" t="s">
        <v>16202</v>
      </c>
      <c r="E2078" t="s">
        <v>16218</v>
      </c>
      <c r="F2078" t="s">
        <v>16221</v>
      </c>
      <c r="G2078" t="s">
        <v>16238</v>
      </c>
      <c r="H2078" t="s">
        <v>16238</v>
      </c>
      <c r="I2078" t="s">
        <v>16335</v>
      </c>
      <c r="J2078" t="s">
        <v>16386</v>
      </c>
      <c r="K2078">
        <v>0.168</v>
      </c>
      <c r="L2078">
        <v>7329</v>
      </c>
      <c r="M2078">
        <v>1847</v>
      </c>
      <c r="N2078" t="s">
        <v>16393</v>
      </c>
      <c r="O2078" s="4">
        <v>26942</v>
      </c>
      <c r="P2078" s="4">
        <v>88656</v>
      </c>
      <c r="Q2078" s="4">
        <v>115598</v>
      </c>
      <c r="R2078" s="4">
        <v>346794</v>
      </c>
      <c r="S2078" t="s">
        <v>18414</v>
      </c>
      <c r="X2078" t="s">
        <v>3</v>
      </c>
      <c r="AA2078" s="5" t="str">
        <f>HYPERLINK("https://www.zillow.com/homes/141-W-STEVENSON-DR-GLENDALE-HTS-IL-60139_rb/","check listing")</f>
        <v>check listing</v>
      </c>
      <c r="AB2078" s="5" t="str">
        <f>HYPERLINK("https://propertylookup.dupagecounty.gov/Datalets/Datalet.aspx?UseSearch=no&amp;mode=sales&amp;pin=0228402102","sales record")</f>
        <v>sales record</v>
      </c>
      <c r="AC2078" t="s">
        <v>3</v>
      </c>
      <c r="AD2078">
        <v>41.922027</v>
      </c>
      <c r="AE2078">
        <v>-88.09792400000001</v>
      </c>
      <c r="AF2078" s="5" t="str">
        <f>HYPERLINK("https://www.google.com/maps/search/?api=1&amp;query=41.922027,-88.097924","map")</f>
        <v>map</v>
      </c>
    </row>
    <row r="2079" spans="1:32">
      <c r="A2079" t="s">
        <v>2129</v>
      </c>
      <c r="B2079" t="s">
        <v>9683</v>
      </c>
      <c r="C2079" t="s">
        <v>15389</v>
      </c>
      <c r="D2079" t="s">
        <v>16202</v>
      </c>
      <c r="E2079" t="s">
        <v>16218</v>
      </c>
      <c r="F2079" t="s">
        <v>16221</v>
      </c>
      <c r="G2079" t="s">
        <v>16238</v>
      </c>
      <c r="H2079" t="s">
        <v>16238</v>
      </c>
      <c r="I2079" t="s">
        <v>16335</v>
      </c>
      <c r="J2079" t="s">
        <v>16386</v>
      </c>
      <c r="K2079">
        <v>0.165</v>
      </c>
      <c r="L2079">
        <v>7206</v>
      </c>
      <c r="M2079">
        <v>2095</v>
      </c>
      <c r="N2079" t="s">
        <v>16393</v>
      </c>
      <c r="O2079" s="4">
        <v>26942</v>
      </c>
      <c r="P2079" s="4">
        <v>87222</v>
      </c>
      <c r="Q2079" s="4">
        <v>114164</v>
      </c>
      <c r="R2079" s="4">
        <v>342492</v>
      </c>
      <c r="S2079" t="s">
        <v>18415</v>
      </c>
      <c r="T2079" s="6">
        <v>37712</v>
      </c>
      <c r="U2079" s="4">
        <v>199000</v>
      </c>
      <c r="V2079" t="s">
        <v>23739</v>
      </c>
      <c r="W2079" t="s">
        <v>18415</v>
      </c>
      <c r="X2079" t="s">
        <v>3</v>
      </c>
      <c r="AA2079" s="5" t="str">
        <f>HYPERLINK("https://www.zillow.com/homes/1756-REEVES-DR-GLENDALE-HTS-IL-60139_rb/","check listing")</f>
        <v>check listing</v>
      </c>
      <c r="AB2079" s="5" t="str">
        <f>HYPERLINK("https://propertylookup.dupagecounty.gov/Datalets/Datalet.aspx?UseSearch=no&amp;mode=sales&amp;pin=0228405052","sales record")</f>
        <v>sales record</v>
      </c>
      <c r="AC2079" t="s">
        <v>3</v>
      </c>
      <c r="AD2079">
        <v>41.922799</v>
      </c>
      <c r="AE2079">
        <v>-88.10068</v>
      </c>
      <c r="AF2079" s="5" t="str">
        <f>HYPERLINK("https://www.google.com/maps/search/?api=1&amp;query=41.922799,-88.10068","map")</f>
        <v>map</v>
      </c>
    </row>
    <row r="2080" spans="1:32">
      <c r="A2080" t="s">
        <v>2130</v>
      </c>
      <c r="B2080" t="s">
        <v>9684</v>
      </c>
      <c r="C2080" t="s">
        <v>15402</v>
      </c>
      <c r="D2080" t="s">
        <v>16202</v>
      </c>
      <c r="E2080" t="s">
        <v>16218</v>
      </c>
      <c r="F2080" t="s">
        <v>16221</v>
      </c>
      <c r="G2080" t="s">
        <v>16238</v>
      </c>
      <c r="H2080" t="s">
        <v>16238</v>
      </c>
      <c r="I2080" t="s">
        <v>16335</v>
      </c>
      <c r="J2080" t="s">
        <v>16386</v>
      </c>
      <c r="K2080">
        <v>0.165</v>
      </c>
      <c r="L2080">
        <v>7206</v>
      </c>
      <c r="M2080">
        <v>1978</v>
      </c>
      <c r="N2080" t="s">
        <v>16393</v>
      </c>
      <c r="O2080" s="4">
        <v>26942</v>
      </c>
      <c r="P2080" s="4">
        <v>82954</v>
      </c>
      <c r="Q2080" s="4">
        <v>109896</v>
      </c>
      <c r="R2080" s="4">
        <v>329688</v>
      </c>
      <c r="S2080" t="s">
        <v>18416</v>
      </c>
      <c r="T2080" s="6">
        <v>42767</v>
      </c>
      <c r="U2080" s="4">
        <v>237600</v>
      </c>
      <c r="V2080" t="s">
        <v>23739</v>
      </c>
      <c r="W2080" t="s">
        <v>24726</v>
      </c>
      <c r="X2080" t="s">
        <v>3</v>
      </c>
      <c r="AA2080" s="5" t="str">
        <f>HYPERLINK("https://www.zillow.com/homes/1750-REEVES-DR-GLENDALE-HTS-IL-601392441_rb/","check listing")</f>
        <v>check listing</v>
      </c>
      <c r="AB2080" s="5" t="str">
        <f>HYPERLINK("https://propertylookup.dupagecounty.gov/Datalets/Datalet.aspx?UseSearch=no&amp;mode=sales&amp;pin=0228405053","sales record")</f>
        <v>sales record</v>
      </c>
      <c r="AC2080" t="s">
        <v>3</v>
      </c>
      <c r="AD2080">
        <v>41.922613</v>
      </c>
      <c r="AE2080">
        <v>-88.10068</v>
      </c>
      <c r="AF2080" s="5" t="str">
        <f>HYPERLINK("https://www.google.com/maps/search/?api=1&amp;query=41.922613,-88.10068","map")</f>
        <v>map</v>
      </c>
    </row>
    <row r="2081" spans="1:32">
      <c r="A2081" t="s">
        <v>2131</v>
      </c>
      <c r="B2081" t="s">
        <v>9685</v>
      </c>
      <c r="C2081" t="s">
        <v>15389</v>
      </c>
      <c r="D2081" t="s">
        <v>16202</v>
      </c>
      <c r="E2081" t="s">
        <v>16218</v>
      </c>
      <c r="F2081" t="s">
        <v>16221</v>
      </c>
      <c r="G2081" t="s">
        <v>16238</v>
      </c>
      <c r="H2081" t="s">
        <v>16238</v>
      </c>
      <c r="I2081" t="s">
        <v>16335</v>
      </c>
      <c r="J2081" t="s">
        <v>16386</v>
      </c>
      <c r="K2081">
        <v>0.165</v>
      </c>
      <c r="L2081">
        <v>7204</v>
      </c>
      <c r="M2081">
        <v>1781</v>
      </c>
      <c r="N2081" t="s">
        <v>16393</v>
      </c>
      <c r="O2081" s="4">
        <v>26942</v>
      </c>
      <c r="P2081" s="4">
        <v>79524</v>
      </c>
      <c r="Q2081" s="4">
        <v>106466</v>
      </c>
      <c r="R2081" s="4">
        <v>319398</v>
      </c>
      <c r="S2081" t="s">
        <v>18417</v>
      </c>
      <c r="T2081" s="6">
        <v>37226</v>
      </c>
      <c r="U2081" s="4">
        <v>206000</v>
      </c>
      <c r="V2081" t="s">
        <v>23739</v>
      </c>
      <c r="W2081" t="s">
        <v>24727</v>
      </c>
      <c r="X2081" t="s">
        <v>3</v>
      </c>
      <c r="AA2081" s="5" t="str">
        <f>HYPERLINK("https://www.zillow.com/homes/1762-REEVES-DR-GLENDALE-HTS-IL-60139_rb/","check listing")</f>
        <v>check listing</v>
      </c>
      <c r="AB2081" s="5" t="str">
        <f>HYPERLINK("https://propertylookup.dupagecounty.gov/Datalets/Datalet.aspx?UseSearch=no&amp;mode=sales&amp;pin=0228405051","sales record")</f>
        <v>sales record</v>
      </c>
      <c r="AC2081" t="s">
        <v>3</v>
      </c>
      <c r="AD2081">
        <v>41.922986</v>
      </c>
      <c r="AE2081">
        <v>-88.10068</v>
      </c>
      <c r="AF2081" s="5" t="str">
        <f>HYPERLINK("https://www.google.com/maps/search/?api=1&amp;query=41.922986,-88.10068","map")</f>
        <v>map</v>
      </c>
    </row>
    <row r="2082" spans="1:32">
      <c r="A2082" t="s">
        <v>2132</v>
      </c>
      <c r="B2082" t="s">
        <v>9686</v>
      </c>
      <c r="C2082" t="s">
        <v>15402</v>
      </c>
      <c r="D2082" t="s">
        <v>16202</v>
      </c>
      <c r="E2082" t="s">
        <v>16218</v>
      </c>
      <c r="F2082" t="s">
        <v>16221</v>
      </c>
      <c r="G2082" t="s">
        <v>16238</v>
      </c>
      <c r="H2082" t="s">
        <v>16238</v>
      </c>
      <c r="I2082" t="s">
        <v>16335</v>
      </c>
      <c r="J2082" t="s">
        <v>16386</v>
      </c>
      <c r="K2082">
        <v>0.165</v>
      </c>
      <c r="L2082">
        <v>7203</v>
      </c>
      <c r="M2082">
        <v>2093</v>
      </c>
      <c r="N2082" t="s">
        <v>16393</v>
      </c>
      <c r="O2082" s="4">
        <v>26942</v>
      </c>
      <c r="P2082" s="4">
        <v>84962</v>
      </c>
      <c r="Q2082" s="4">
        <v>111904</v>
      </c>
      <c r="R2082" s="4">
        <v>335712</v>
      </c>
      <c r="S2082" t="s">
        <v>18418</v>
      </c>
      <c r="T2082" s="6">
        <v>41883</v>
      </c>
      <c r="U2082" s="4">
        <v>170000</v>
      </c>
      <c r="V2082" t="s">
        <v>23740</v>
      </c>
      <c r="W2082" t="s">
        <v>24728</v>
      </c>
      <c r="X2082" t="s">
        <v>3</v>
      </c>
      <c r="AA2082" s="5" t="str">
        <f>HYPERLINK("https://www.zillow.com/homes/1768-REEVES-DR-GLENDALE-HTS-IL-601392441_rb/","check listing")</f>
        <v>check listing</v>
      </c>
      <c r="AB2082" s="5" t="str">
        <f>HYPERLINK("https://propertylookup.dupagecounty.gov/Datalets/Datalet.aspx?UseSearch=no&amp;mode=sales&amp;pin=0228405047","sales record")</f>
        <v>sales record</v>
      </c>
      <c r="AC2082" t="s">
        <v>3</v>
      </c>
      <c r="AD2082">
        <v>41.923172</v>
      </c>
      <c r="AE2082">
        <v>-88.10068</v>
      </c>
      <c r="AF2082" s="5" t="str">
        <f>HYPERLINK("https://www.google.com/maps/search/?api=1&amp;query=41.923172,-88.10068","map")</f>
        <v>map</v>
      </c>
    </row>
    <row r="2083" spans="1:32">
      <c r="A2083" t="s">
        <v>2133</v>
      </c>
      <c r="B2083" t="s">
        <v>9687</v>
      </c>
      <c r="C2083" t="s">
        <v>15389</v>
      </c>
      <c r="D2083" t="s">
        <v>16202</v>
      </c>
      <c r="E2083" t="s">
        <v>16218</v>
      </c>
      <c r="F2083" t="s">
        <v>16221</v>
      </c>
      <c r="G2083" t="s">
        <v>16238</v>
      </c>
      <c r="H2083" t="s">
        <v>16238</v>
      </c>
      <c r="I2083" t="s">
        <v>16335</v>
      </c>
      <c r="J2083" t="s">
        <v>16386</v>
      </c>
      <c r="K2083">
        <v>0.165</v>
      </c>
      <c r="L2083">
        <v>7203</v>
      </c>
      <c r="M2083">
        <v>1583</v>
      </c>
      <c r="N2083" t="s">
        <v>16393</v>
      </c>
      <c r="O2083" s="4">
        <v>26942</v>
      </c>
      <c r="P2083" s="4">
        <v>84340</v>
      </c>
      <c r="Q2083" s="4">
        <v>111282</v>
      </c>
      <c r="R2083" s="4">
        <v>333846</v>
      </c>
      <c r="S2083" t="s">
        <v>18419</v>
      </c>
      <c r="T2083" s="6">
        <v>39022</v>
      </c>
      <c r="U2083" s="4">
        <v>220000</v>
      </c>
      <c r="V2083" t="s">
        <v>23739</v>
      </c>
      <c r="W2083" t="s">
        <v>24729</v>
      </c>
      <c r="X2083" t="s">
        <v>3</v>
      </c>
      <c r="AA2083" s="5" t="str">
        <f>HYPERLINK("https://www.zillow.com/homes/1774-REEVES-DR-GLENDALE-HTS-IL-60139_rb/","check listing")</f>
        <v>check listing</v>
      </c>
      <c r="AB2083" s="5" t="str">
        <f>HYPERLINK("https://propertylookup.dupagecounty.gov/Datalets/Datalet.aspx?UseSearch=no&amp;mode=sales&amp;pin=0228405049","sales record")</f>
        <v>sales record</v>
      </c>
      <c r="AC2083" t="s">
        <v>3</v>
      </c>
      <c r="AD2083">
        <v>41.923359</v>
      </c>
      <c r="AE2083">
        <v>-88.100679</v>
      </c>
      <c r="AF2083" s="5" t="str">
        <f>HYPERLINK("https://www.google.com/maps/search/?api=1&amp;query=41.923359,-88.100679","map")</f>
        <v>map</v>
      </c>
    </row>
    <row r="2084" spans="1:32">
      <c r="A2084" t="s">
        <v>2134</v>
      </c>
      <c r="B2084" t="s">
        <v>9688</v>
      </c>
      <c r="C2084" t="s">
        <v>15402</v>
      </c>
      <c r="D2084" t="s">
        <v>16202</v>
      </c>
      <c r="E2084" t="s">
        <v>16218</v>
      </c>
      <c r="F2084" t="s">
        <v>16221</v>
      </c>
      <c r="G2084" t="s">
        <v>16238</v>
      </c>
      <c r="H2084" t="s">
        <v>16238</v>
      </c>
      <c r="I2084" t="s">
        <v>16335</v>
      </c>
      <c r="J2084" t="s">
        <v>16386</v>
      </c>
      <c r="K2084">
        <v>0.165</v>
      </c>
      <c r="L2084">
        <v>7202</v>
      </c>
      <c r="M2084">
        <v>1583</v>
      </c>
      <c r="N2084" t="s">
        <v>16393</v>
      </c>
      <c r="O2084" s="4">
        <v>26942</v>
      </c>
      <c r="P2084" s="4">
        <v>91548</v>
      </c>
      <c r="Q2084" s="4">
        <v>118490</v>
      </c>
      <c r="R2084" s="4">
        <v>355470</v>
      </c>
      <c r="S2084" t="s">
        <v>18420</v>
      </c>
      <c r="T2084" s="6">
        <v>35339</v>
      </c>
      <c r="U2084" s="4">
        <v>140000</v>
      </c>
      <c r="X2084" t="s">
        <v>3</v>
      </c>
      <c r="AA2084" s="5" t="str">
        <f>HYPERLINK("https://www.zillow.com/homes/1780-REEVES-DR-GLENDALE-HTS-IL-601392441_rb/","check listing")</f>
        <v>check listing</v>
      </c>
      <c r="AB2084" s="5" t="str">
        <f>HYPERLINK("https://propertylookup.dupagecounty.gov/Datalets/Datalet.aspx?UseSearch=no&amp;mode=sales&amp;pin=0228405050","sales record")</f>
        <v>sales record</v>
      </c>
      <c r="AC2084" t="s">
        <v>3</v>
      </c>
      <c r="AD2084">
        <v>41.923546</v>
      </c>
      <c r="AE2084">
        <v>-88.100679</v>
      </c>
      <c r="AF2084" s="5" t="str">
        <f>HYPERLINK("https://www.google.com/maps/search/?api=1&amp;query=41.923546,-88.100679","map")</f>
        <v>map</v>
      </c>
    </row>
    <row r="2085" spans="1:32">
      <c r="A2085" t="s">
        <v>2135</v>
      </c>
      <c r="B2085" t="s">
        <v>9689</v>
      </c>
      <c r="C2085" t="s">
        <v>15389</v>
      </c>
      <c r="D2085" t="s">
        <v>16202</v>
      </c>
      <c r="E2085" t="s">
        <v>16218</v>
      </c>
      <c r="F2085" t="s">
        <v>16221</v>
      </c>
      <c r="G2085" t="s">
        <v>16238</v>
      </c>
      <c r="H2085" t="s">
        <v>16238</v>
      </c>
      <c r="I2085" t="s">
        <v>16335</v>
      </c>
      <c r="J2085" t="s">
        <v>16386</v>
      </c>
      <c r="K2085">
        <v>0.162</v>
      </c>
      <c r="L2085">
        <v>7077</v>
      </c>
      <c r="N2085" t="s">
        <v>16393</v>
      </c>
      <c r="O2085" s="4">
        <v>22341</v>
      </c>
      <c r="P2085" s="4">
        <v>60363</v>
      </c>
      <c r="Q2085" s="4">
        <v>82704</v>
      </c>
      <c r="R2085" s="4">
        <v>248112</v>
      </c>
      <c r="S2085" t="s">
        <v>18421</v>
      </c>
      <c r="T2085" s="6">
        <v>42248</v>
      </c>
      <c r="U2085" s="4">
        <v>166000</v>
      </c>
      <c r="V2085" t="s">
        <v>23739</v>
      </c>
      <c r="W2085" t="s">
        <v>24730</v>
      </c>
      <c r="X2085" t="s">
        <v>3</v>
      </c>
      <c r="AA2085" s="5" t="str">
        <f>HYPERLINK("https://www.zillow.com/homes/15-COPPER-CT-GLENDALE-HTS-IL-60139_rb/","check listing")</f>
        <v>check listing</v>
      </c>
      <c r="AB2085" s="5" t="str">
        <f>HYPERLINK("https://propertylookup.dupagecounty.gov/Datalets/Datalet.aspx?UseSearch=no&amp;mode=sales&amp;pin=0221404038","sales record")</f>
        <v>sales record</v>
      </c>
      <c r="AC2085" t="s">
        <v>27873</v>
      </c>
      <c r="AD2085">
        <v>41.936655</v>
      </c>
      <c r="AE2085">
        <v>-88.09234499999999</v>
      </c>
      <c r="AF2085" s="5" t="str">
        <f>HYPERLINK("https://www.google.com/maps/search/?api=1&amp;query=41.936655,-88.092345","map")</f>
        <v>map</v>
      </c>
    </row>
    <row r="2086" spans="1:32">
      <c r="A2086" t="s">
        <v>2136</v>
      </c>
      <c r="B2086" t="s">
        <v>9690</v>
      </c>
      <c r="C2086" t="s">
        <v>15389</v>
      </c>
      <c r="D2086" t="s">
        <v>16202</v>
      </c>
      <c r="E2086" t="s">
        <v>16218</v>
      </c>
      <c r="F2086" t="s">
        <v>16221</v>
      </c>
      <c r="G2086" t="s">
        <v>16238</v>
      </c>
      <c r="H2086" t="s">
        <v>16238</v>
      </c>
      <c r="I2086" t="s">
        <v>16335</v>
      </c>
      <c r="J2086" t="s">
        <v>16386</v>
      </c>
      <c r="K2086">
        <v>0.159</v>
      </c>
      <c r="L2086">
        <v>6938</v>
      </c>
      <c r="M2086">
        <v>1582</v>
      </c>
      <c r="N2086" t="s">
        <v>16393</v>
      </c>
      <c r="O2086" s="4">
        <v>26942</v>
      </c>
      <c r="P2086" s="4">
        <v>82572</v>
      </c>
      <c r="Q2086" s="4">
        <v>109514</v>
      </c>
      <c r="R2086" s="4">
        <v>328542</v>
      </c>
      <c r="S2086" t="s">
        <v>18422</v>
      </c>
      <c r="T2086" s="6">
        <v>40330</v>
      </c>
      <c r="U2086" s="4">
        <v>160000</v>
      </c>
      <c r="V2086" t="s">
        <v>23739</v>
      </c>
      <c r="W2086" t="s">
        <v>24731</v>
      </c>
      <c r="X2086" t="s">
        <v>3</v>
      </c>
      <c r="AA2086" s="5" t="str">
        <f>HYPERLINK("https://www.zillow.com/homes/167-STEVENSON-DR-GLENDALE-HTS-IL-60139_rb/","check listing")</f>
        <v>check listing</v>
      </c>
      <c r="AB2086" s="5" t="str">
        <f>HYPERLINK("https://propertylookup.dupagecounty.gov/Datalets/Datalet.aspx?UseSearch=no&amp;mode=sales&amp;pin=0228402098","sales record")</f>
        <v>sales record</v>
      </c>
      <c r="AC2086" t="s">
        <v>3</v>
      </c>
      <c r="AD2086">
        <v>41.921995</v>
      </c>
      <c r="AE2086">
        <v>-88.099181</v>
      </c>
      <c r="AF2086" s="5" t="str">
        <f>HYPERLINK("https://www.google.com/maps/search/?api=1&amp;query=41.921995,-88.099181","map")</f>
        <v>map</v>
      </c>
    </row>
    <row r="2087" spans="1:32">
      <c r="A2087" t="s">
        <v>2137</v>
      </c>
      <c r="B2087" t="s">
        <v>9691</v>
      </c>
      <c r="C2087" t="s">
        <v>15389</v>
      </c>
      <c r="D2087" t="s">
        <v>16202</v>
      </c>
      <c r="E2087" t="s">
        <v>16218</v>
      </c>
      <c r="F2087" t="s">
        <v>16221</v>
      </c>
      <c r="G2087" t="s">
        <v>16238</v>
      </c>
      <c r="H2087" t="s">
        <v>16238</v>
      </c>
      <c r="I2087" t="s">
        <v>16335</v>
      </c>
      <c r="J2087" t="s">
        <v>16386</v>
      </c>
      <c r="K2087">
        <v>0.158</v>
      </c>
      <c r="L2087">
        <v>6869</v>
      </c>
      <c r="M2087">
        <v>2061</v>
      </c>
      <c r="N2087" t="s">
        <v>16393</v>
      </c>
      <c r="O2087" s="4">
        <v>26942</v>
      </c>
      <c r="P2087" s="4">
        <v>77037</v>
      </c>
      <c r="Q2087" s="4">
        <v>103979</v>
      </c>
      <c r="R2087" s="4">
        <v>311937</v>
      </c>
      <c r="S2087" t="s">
        <v>18423</v>
      </c>
      <c r="T2087" s="6">
        <v>33055</v>
      </c>
      <c r="U2087" s="4">
        <v>125000</v>
      </c>
      <c r="X2087" t="s">
        <v>3</v>
      </c>
      <c r="AA2087" s="5" t="str">
        <f>HYPERLINK("https://www.zillow.com/homes/1763-REEVES-DR-GLENDALE-HTS-IL-60139_rb/","check listing")</f>
        <v>check listing</v>
      </c>
      <c r="AB2087" s="5" t="str">
        <f>HYPERLINK("https://propertylookup.dupagecounty.gov/Datalets/Datalet.aspx?UseSearch=no&amp;mode=sales&amp;pin=0228406059","sales record")</f>
        <v>sales record</v>
      </c>
      <c r="AC2087" t="s">
        <v>3</v>
      </c>
      <c r="AD2087">
        <v>41.923005</v>
      </c>
      <c r="AE2087">
        <v>-88.100131</v>
      </c>
      <c r="AF2087" s="5" t="str">
        <f>HYPERLINK("https://www.google.com/maps/search/?api=1&amp;query=41.923005,-88.100131","map")</f>
        <v>map</v>
      </c>
    </row>
    <row r="2088" spans="1:32">
      <c r="A2088" t="s">
        <v>2138</v>
      </c>
      <c r="B2088" t="s">
        <v>9692</v>
      </c>
      <c r="C2088" t="s">
        <v>15389</v>
      </c>
      <c r="D2088" t="s">
        <v>16202</v>
      </c>
      <c r="E2088" t="s">
        <v>16218</v>
      </c>
      <c r="F2088" t="s">
        <v>16221</v>
      </c>
      <c r="G2088" t="s">
        <v>16238</v>
      </c>
      <c r="H2088" t="s">
        <v>16238</v>
      </c>
      <c r="I2088" t="s">
        <v>16335</v>
      </c>
      <c r="J2088" t="s">
        <v>16386</v>
      </c>
      <c r="K2088">
        <v>0.158</v>
      </c>
      <c r="L2088">
        <v>6868</v>
      </c>
      <c r="M2088">
        <v>1543</v>
      </c>
      <c r="N2088" t="s">
        <v>16393</v>
      </c>
      <c r="O2088" s="4">
        <v>26942</v>
      </c>
      <c r="P2088" s="4">
        <v>80743</v>
      </c>
      <c r="Q2088" s="4">
        <v>107685</v>
      </c>
      <c r="R2088" s="4">
        <v>323055</v>
      </c>
      <c r="S2088" t="s">
        <v>18424</v>
      </c>
      <c r="T2088" s="6">
        <v>34759</v>
      </c>
      <c r="U2088" s="4">
        <v>130000</v>
      </c>
      <c r="X2088" t="s">
        <v>3</v>
      </c>
      <c r="AA2088" s="5" t="str">
        <f>HYPERLINK("https://www.zillow.com/homes/1762-ENGLISH-DR-GLENDALE-HTS-IL-60139_rb/","check listing")</f>
        <v>check listing</v>
      </c>
      <c r="AB2088" s="5" t="str">
        <f>HYPERLINK("https://propertylookup.dupagecounty.gov/Datalets/Datalet.aspx?UseSearch=no&amp;mode=sales&amp;pin=0228406066","sales record")</f>
        <v>sales record</v>
      </c>
      <c r="AC2088" t="s">
        <v>3</v>
      </c>
      <c r="AD2088">
        <v>41.923004</v>
      </c>
      <c r="AE2088">
        <v>-88.09976</v>
      </c>
      <c r="AF2088" s="5" t="str">
        <f>HYPERLINK("https://www.google.com/maps/search/?api=1&amp;query=41.923004,-88.09976","map")</f>
        <v>map</v>
      </c>
    </row>
    <row r="2089" spans="1:32">
      <c r="A2089" t="s">
        <v>2139</v>
      </c>
      <c r="B2089" t="s">
        <v>9693</v>
      </c>
      <c r="C2089" t="s">
        <v>15400</v>
      </c>
      <c r="D2089" t="s">
        <v>16202</v>
      </c>
      <c r="E2089" t="s">
        <v>16218</v>
      </c>
      <c r="F2089" t="s">
        <v>16221</v>
      </c>
      <c r="G2089" t="s">
        <v>16238</v>
      </c>
      <c r="H2089" t="s">
        <v>16238</v>
      </c>
      <c r="I2089" t="s">
        <v>16335</v>
      </c>
      <c r="J2089" t="s">
        <v>16386</v>
      </c>
      <c r="K2089">
        <v>0.158</v>
      </c>
      <c r="L2089">
        <v>6868</v>
      </c>
      <c r="M2089">
        <v>1897</v>
      </c>
      <c r="N2089" t="s">
        <v>16393</v>
      </c>
      <c r="O2089" s="4">
        <v>26942</v>
      </c>
      <c r="P2089" s="4">
        <v>71432</v>
      </c>
      <c r="Q2089" s="4">
        <v>98374</v>
      </c>
      <c r="R2089" s="4">
        <v>295122</v>
      </c>
      <c r="S2089" t="s">
        <v>18425</v>
      </c>
      <c r="T2089" s="6">
        <v>44105</v>
      </c>
      <c r="U2089" s="4">
        <v>242500</v>
      </c>
      <c r="V2089" t="s">
        <v>23739</v>
      </c>
      <c r="W2089" t="s">
        <v>24732</v>
      </c>
      <c r="X2089" t="s">
        <v>3</v>
      </c>
      <c r="AA2089" s="5" t="str">
        <f>HYPERLINK("https://www.zillow.com/homes/1750-ENGLISH-DR-GLENDALE-HTS-IL-601392429_rb/","check listing")</f>
        <v>check listing</v>
      </c>
      <c r="AB2089" s="5" t="str">
        <f>HYPERLINK("https://propertylookup.dupagecounty.gov/Datalets/Datalet.aspx?UseSearch=no&amp;mode=sales&amp;pin=0228406068","sales record")</f>
        <v>sales record</v>
      </c>
      <c r="AC2089" t="s">
        <v>3</v>
      </c>
      <c r="AD2089">
        <v>41.922631</v>
      </c>
      <c r="AE2089">
        <v>-88.09976</v>
      </c>
      <c r="AF2089" s="5" t="str">
        <f>HYPERLINK("https://www.google.com/maps/search/?api=1&amp;query=41.922631,-88.09976","map")</f>
        <v>map</v>
      </c>
    </row>
    <row r="2090" spans="1:32">
      <c r="A2090" t="s">
        <v>2140</v>
      </c>
      <c r="B2090" t="s">
        <v>9694</v>
      </c>
      <c r="C2090" t="s">
        <v>15389</v>
      </c>
      <c r="D2090" t="s">
        <v>16202</v>
      </c>
      <c r="E2090" t="s">
        <v>16218</v>
      </c>
      <c r="F2090" t="s">
        <v>16221</v>
      </c>
      <c r="G2090" t="s">
        <v>16238</v>
      </c>
      <c r="H2090" t="s">
        <v>16238</v>
      </c>
      <c r="I2090" t="s">
        <v>16335</v>
      </c>
      <c r="J2090" t="s">
        <v>16386</v>
      </c>
      <c r="K2090">
        <v>0.158</v>
      </c>
      <c r="L2090">
        <v>6866</v>
      </c>
      <c r="M2090">
        <v>1385</v>
      </c>
      <c r="N2090" t="s">
        <v>16393</v>
      </c>
      <c r="O2090" s="4">
        <v>26942</v>
      </c>
      <c r="P2090" s="4">
        <v>79524</v>
      </c>
      <c r="Q2090" s="4">
        <v>106466</v>
      </c>
      <c r="R2090" s="4">
        <v>319398</v>
      </c>
      <c r="S2090" t="s">
        <v>18426</v>
      </c>
      <c r="T2090" s="6">
        <v>43344</v>
      </c>
      <c r="U2090" s="4">
        <v>274500</v>
      </c>
      <c r="V2090" t="s">
        <v>23739</v>
      </c>
      <c r="W2090" t="s">
        <v>18426</v>
      </c>
      <c r="X2090" t="s">
        <v>3</v>
      </c>
      <c r="AA2090" s="5" t="str">
        <f>HYPERLINK("https://www.zillow.com/homes/1751-REEVES-DR-GLENDALE-HTS-IL-60139_rb/","check listing")</f>
        <v>check listing</v>
      </c>
      <c r="AB2090" s="5" t="str">
        <f>HYPERLINK("https://propertylookup.dupagecounty.gov/Datalets/Datalet.aspx?UseSearch=no&amp;mode=sales&amp;pin=0228406060","sales record")</f>
        <v>sales record</v>
      </c>
      <c r="AC2090" t="s">
        <v>3</v>
      </c>
      <c r="AD2090">
        <v>41.922631</v>
      </c>
      <c r="AE2090">
        <v>-88.100131</v>
      </c>
      <c r="AF2090" s="5" t="str">
        <f>HYPERLINK("https://www.google.com/maps/search/?api=1&amp;query=41.922631,-88.100131","map")</f>
        <v>map</v>
      </c>
    </row>
    <row r="2091" spans="1:32">
      <c r="A2091" t="s">
        <v>2141</v>
      </c>
      <c r="B2091" t="s">
        <v>9695</v>
      </c>
      <c r="C2091" t="s">
        <v>15389</v>
      </c>
      <c r="D2091" t="s">
        <v>16202</v>
      </c>
      <c r="E2091" t="s">
        <v>16218</v>
      </c>
      <c r="F2091" t="s">
        <v>16221</v>
      </c>
      <c r="G2091" t="s">
        <v>16238</v>
      </c>
      <c r="H2091" t="s">
        <v>16238</v>
      </c>
      <c r="I2091" t="s">
        <v>16335</v>
      </c>
      <c r="J2091" t="s">
        <v>16386</v>
      </c>
      <c r="K2091">
        <v>0.158</v>
      </c>
      <c r="L2091">
        <v>6866</v>
      </c>
      <c r="M2091">
        <v>1950</v>
      </c>
      <c r="N2091" t="s">
        <v>16393</v>
      </c>
      <c r="O2091" s="4">
        <v>26942</v>
      </c>
      <c r="P2091" s="4">
        <v>91548</v>
      </c>
      <c r="Q2091" s="4">
        <v>118490</v>
      </c>
      <c r="R2091" s="4">
        <v>355470</v>
      </c>
      <c r="S2091" t="s">
        <v>18427</v>
      </c>
      <c r="T2091" s="6">
        <v>45807</v>
      </c>
      <c r="U2091" s="4">
        <v>420000</v>
      </c>
      <c r="V2091" t="s">
        <v>23739</v>
      </c>
      <c r="W2091" t="s">
        <v>24733</v>
      </c>
      <c r="X2091" t="s">
        <v>3</v>
      </c>
      <c r="AA2091" s="5" t="str">
        <f>HYPERLINK("https://www.zillow.com/homes/1756-ENGLISH-DR-GLENDALE-HTS-IL-60139_rb/","check listing")</f>
        <v>check listing</v>
      </c>
      <c r="AB2091" s="5" t="str">
        <f>HYPERLINK("https://propertylookup.dupagecounty.gov/Datalets/Datalet.aspx?UseSearch=no&amp;mode=sales&amp;pin=0228406067","sales record")</f>
        <v>sales record</v>
      </c>
      <c r="AC2091" t="s">
        <v>3</v>
      </c>
      <c r="AD2091">
        <v>41.922818</v>
      </c>
      <c r="AE2091">
        <v>-88.09976</v>
      </c>
      <c r="AF2091" s="5" t="str">
        <f>HYPERLINK("https://www.google.com/maps/search/?api=1&amp;query=41.922818,-88.09976","map")</f>
        <v>map</v>
      </c>
    </row>
    <row r="2092" spans="1:32">
      <c r="A2092" t="s">
        <v>2142</v>
      </c>
      <c r="B2092" t="s">
        <v>9696</v>
      </c>
      <c r="C2092" t="s">
        <v>15389</v>
      </c>
      <c r="D2092" t="s">
        <v>16202</v>
      </c>
      <c r="E2092" t="s">
        <v>16218</v>
      </c>
      <c r="F2092" t="s">
        <v>16221</v>
      </c>
      <c r="G2092" t="s">
        <v>16238</v>
      </c>
      <c r="H2092" t="s">
        <v>16238</v>
      </c>
      <c r="I2092" t="s">
        <v>16335</v>
      </c>
      <c r="J2092" t="s">
        <v>16386</v>
      </c>
      <c r="K2092">
        <v>0.158</v>
      </c>
      <c r="L2092">
        <v>6866</v>
      </c>
      <c r="M2092">
        <v>2472</v>
      </c>
      <c r="N2092" t="s">
        <v>16393</v>
      </c>
      <c r="O2092" s="4">
        <v>26942</v>
      </c>
      <c r="P2092" s="4">
        <v>65813</v>
      </c>
      <c r="Q2092" s="4">
        <v>92755</v>
      </c>
      <c r="R2092" s="4">
        <v>278265</v>
      </c>
      <c r="S2092" t="s">
        <v>18428</v>
      </c>
      <c r="T2092" s="6">
        <v>40330</v>
      </c>
      <c r="U2092" s="4">
        <v>125000</v>
      </c>
      <c r="V2092" t="s">
        <v>23739</v>
      </c>
      <c r="W2092" t="s">
        <v>18428</v>
      </c>
      <c r="X2092" t="s">
        <v>3</v>
      </c>
      <c r="AA2092" s="5" t="str">
        <f>HYPERLINK("https://www.zillow.com/homes/187-W-STEVENSON-DR-GLENDALE-HTS-IL-60139_rb/","check listing")</f>
        <v>check listing</v>
      </c>
      <c r="AB2092" s="5" t="str">
        <f>HYPERLINK("https://propertylookup.dupagecounty.gov/Datalets/Datalet.aspx?UseSearch=no&amp;mode=sales&amp;pin=0228402094","sales record")</f>
        <v>sales record</v>
      </c>
      <c r="AC2092" t="s">
        <v>3</v>
      </c>
      <c r="AD2092">
        <v>41.921969</v>
      </c>
      <c r="AE2092">
        <v>-88.100179</v>
      </c>
      <c r="AF2092" s="5" t="str">
        <f>HYPERLINK("https://www.google.com/maps/search/?api=1&amp;query=41.921969,-88.100179","map")</f>
        <v>map</v>
      </c>
    </row>
    <row r="2093" spans="1:32">
      <c r="A2093" t="s">
        <v>2143</v>
      </c>
      <c r="B2093" t="s">
        <v>9697</v>
      </c>
      <c r="C2093" t="s">
        <v>15389</v>
      </c>
      <c r="D2093" t="s">
        <v>16202</v>
      </c>
      <c r="E2093" t="s">
        <v>16218</v>
      </c>
      <c r="F2093" t="s">
        <v>16221</v>
      </c>
      <c r="G2093" t="s">
        <v>16238</v>
      </c>
      <c r="H2093" t="s">
        <v>16238</v>
      </c>
      <c r="I2093" t="s">
        <v>16335</v>
      </c>
      <c r="J2093" t="s">
        <v>16386</v>
      </c>
      <c r="K2093">
        <v>0.158</v>
      </c>
      <c r="L2093">
        <v>6865</v>
      </c>
      <c r="M2093">
        <v>2098</v>
      </c>
      <c r="N2093" t="s">
        <v>16393</v>
      </c>
      <c r="O2093" s="4">
        <v>26942</v>
      </c>
      <c r="P2093" s="4">
        <v>88584</v>
      </c>
      <c r="Q2093" s="4">
        <v>115526</v>
      </c>
      <c r="R2093" s="4">
        <v>346578</v>
      </c>
      <c r="S2093" t="s">
        <v>18429</v>
      </c>
      <c r="T2093" s="6">
        <v>34060</v>
      </c>
      <c r="U2093" s="4">
        <v>125500</v>
      </c>
      <c r="X2093" t="s">
        <v>3</v>
      </c>
      <c r="AA2093" s="5" t="str">
        <f>HYPERLINK("https://www.zillow.com/homes/1757-REEVES-DR-GLENDALE-HTS-IL-60139_rb/","check listing")</f>
        <v>check listing</v>
      </c>
      <c r="AB2093" s="5" t="str">
        <f>HYPERLINK("https://propertylookup.dupagecounty.gov/Datalets/Datalet.aspx?UseSearch=no&amp;mode=sales&amp;pin=0228406055","sales record")</f>
        <v>sales record</v>
      </c>
      <c r="AC2093" t="s">
        <v>3</v>
      </c>
      <c r="AD2093">
        <v>41.922818</v>
      </c>
      <c r="AE2093">
        <v>-88.100131</v>
      </c>
      <c r="AF2093" s="5" t="str">
        <f>HYPERLINK("https://www.google.com/maps/search/?api=1&amp;query=41.922818,-88.100131","map")</f>
        <v>map</v>
      </c>
    </row>
    <row r="2094" spans="1:32">
      <c r="A2094" t="s">
        <v>2144</v>
      </c>
      <c r="B2094" t="s">
        <v>9698</v>
      </c>
      <c r="C2094" t="s">
        <v>15400</v>
      </c>
      <c r="D2094" t="s">
        <v>16202</v>
      </c>
      <c r="E2094" t="s">
        <v>16218</v>
      </c>
      <c r="F2094" t="s">
        <v>16221</v>
      </c>
      <c r="G2094" t="s">
        <v>16238</v>
      </c>
      <c r="H2094" t="s">
        <v>16238</v>
      </c>
      <c r="I2094" t="s">
        <v>16335</v>
      </c>
      <c r="J2094" t="s">
        <v>16386</v>
      </c>
      <c r="K2094">
        <v>0.158</v>
      </c>
      <c r="L2094">
        <v>6865</v>
      </c>
      <c r="M2094">
        <v>1816</v>
      </c>
      <c r="N2094" t="s">
        <v>16393</v>
      </c>
      <c r="O2094" s="4">
        <v>26942</v>
      </c>
      <c r="P2094" s="4">
        <v>68502</v>
      </c>
      <c r="Q2094" s="4">
        <v>95444</v>
      </c>
      <c r="R2094" s="4">
        <v>286332</v>
      </c>
      <c r="S2094" t="s">
        <v>18430</v>
      </c>
      <c r="T2094" s="6">
        <v>44501</v>
      </c>
      <c r="U2094" s="4">
        <v>260000</v>
      </c>
      <c r="V2094" t="s">
        <v>23739</v>
      </c>
      <c r="W2094" t="s">
        <v>24734</v>
      </c>
      <c r="X2094" t="s">
        <v>3</v>
      </c>
      <c r="AA2094" s="5" t="str">
        <f>HYPERLINK("https://www.zillow.com/homes/1774-ENGLISH-DR-GLENDALE-HTS-IL-601392429_rb/","check listing")</f>
        <v>check listing</v>
      </c>
      <c r="AB2094" s="5" t="str">
        <f>HYPERLINK("https://propertylookup.dupagecounty.gov/Datalets/Datalet.aspx?UseSearch=no&amp;mode=sales&amp;pin=0228406064","sales record")</f>
        <v>sales record</v>
      </c>
      <c r="AC2094" t="s">
        <v>3</v>
      </c>
      <c r="AD2094">
        <v>41.923378</v>
      </c>
      <c r="AE2094">
        <v>-88.09976</v>
      </c>
      <c r="AF2094" s="5" t="str">
        <f>HYPERLINK("https://www.google.com/maps/search/?api=1&amp;query=41.923378,-88.09976","map")</f>
        <v>map</v>
      </c>
    </row>
    <row r="2095" spans="1:32">
      <c r="A2095" t="s">
        <v>2145</v>
      </c>
      <c r="B2095" t="s">
        <v>9699</v>
      </c>
      <c r="C2095" t="s">
        <v>15399</v>
      </c>
      <c r="D2095" t="s">
        <v>16202</v>
      </c>
      <c r="E2095" t="s">
        <v>16218</v>
      </c>
      <c r="F2095" t="s">
        <v>16221</v>
      </c>
      <c r="G2095" t="s">
        <v>16238</v>
      </c>
      <c r="H2095" t="s">
        <v>16238</v>
      </c>
      <c r="I2095" t="s">
        <v>16335</v>
      </c>
      <c r="J2095" t="s">
        <v>16386</v>
      </c>
      <c r="K2095">
        <v>0.158</v>
      </c>
      <c r="L2095">
        <v>6865</v>
      </c>
      <c r="M2095">
        <v>1584</v>
      </c>
      <c r="N2095" t="s">
        <v>16393</v>
      </c>
      <c r="O2095" s="4">
        <v>26942</v>
      </c>
      <c r="P2095" s="4">
        <v>78292</v>
      </c>
      <c r="Q2095" s="4">
        <v>105234</v>
      </c>
      <c r="R2095" s="4">
        <v>315702</v>
      </c>
      <c r="S2095" t="s">
        <v>18431</v>
      </c>
      <c r="T2095" s="6">
        <v>41426</v>
      </c>
      <c r="U2095" s="4">
        <v>131000</v>
      </c>
      <c r="V2095" t="s">
        <v>16232</v>
      </c>
      <c r="W2095" t="s">
        <v>24735</v>
      </c>
      <c r="X2095" t="s">
        <v>3</v>
      </c>
      <c r="AA2095" s="5" t="str">
        <f>HYPERLINK("https://www.zillow.com/homes/191-W-STEVENSON-DR-GLENDALE-HTS-IL-601392481_rb/","check listing")</f>
        <v>check listing</v>
      </c>
      <c r="AB2095" s="5" t="str">
        <f>HYPERLINK("https://propertylookup.dupagecounty.gov/Datalets/Datalet.aspx?UseSearch=no&amp;mode=sales&amp;pin=0228402093","sales record")</f>
        <v>sales record</v>
      </c>
      <c r="AC2095" t="s">
        <v>3</v>
      </c>
      <c r="AD2095">
        <v>41.921963</v>
      </c>
      <c r="AE2095">
        <v>-88.10042799999999</v>
      </c>
      <c r="AF2095" s="5" t="str">
        <f>HYPERLINK("https://www.google.com/maps/search/?api=1&amp;query=41.921963,-88.100428","map")</f>
        <v>map</v>
      </c>
    </row>
    <row r="2096" spans="1:32">
      <c r="A2096" t="s">
        <v>2146</v>
      </c>
      <c r="B2096" t="s">
        <v>9700</v>
      </c>
      <c r="C2096" t="s">
        <v>15389</v>
      </c>
      <c r="D2096" t="s">
        <v>16202</v>
      </c>
      <c r="E2096" t="s">
        <v>16218</v>
      </c>
      <c r="F2096" t="s">
        <v>16221</v>
      </c>
      <c r="G2096" t="s">
        <v>16238</v>
      </c>
      <c r="H2096" t="s">
        <v>16238</v>
      </c>
      <c r="I2096" t="s">
        <v>16335</v>
      </c>
      <c r="J2096" t="s">
        <v>16386</v>
      </c>
      <c r="K2096">
        <v>0.158</v>
      </c>
      <c r="L2096">
        <v>6863</v>
      </c>
      <c r="M2096">
        <v>1581</v>
      </c>
      <c r="N2096" t="s">
        <v>16393</v>
      </c>
      <c r="O2096" s="4">
        <v>26942</v>
      </c>
      <c r="P2096" s="4">
        <v>88656</v>
      </c>
      <c r="Q2096" s="4">
        <v>115598</v>
      </c>
      <c r="R2096" s="4">
        <v>346794</v>
      </c>
      <c r="S2096" t="s">
        <v>18432</v>
      </c>
      <c r="T2096" s="6">
        <v>41456</v>
      </c>
      <c r="U2096" s="4">
        <v>140000</v>
      </c>
      <c r="V2096" t="s">
        <v>23739</v>
      </c>
      <c r="W2096" t="s">
        <v>24736</v>
      </c>
      <c r="X2096" t="s">
        <v>3</v>
      </c>
      <c r="AA2096" s="5" t="str">
        <f>HYPERLINK("https://www.zillow.com/homes/1781-REEVES-DR-GLENDALE-HTS-IL-60139_rb/","check listing")</f>
        <v>check listing</v>
      </c>
      <c r="AB2096" s="5" t="str">
        <f>HYPERLINK("https://propertylookup.dupagecounty.gov/Datalets/Datalet.aspx?UseSearch=no&amp;mode=sales&amp;pin=0228406057","sales record")</f>
        <v>sales record</v>
      </c>
      <c r="AC2096" t="s">
        <v>3</v>
      </c>
      <c r="AD2096">
        <v>41.923565</v>
      </c>
      <c r="AE2096">
        <v>-88.10012999999999</v>
      </c>
      <c r="AF2096" s="5" t="str">
        <f>HYPERLINK("https://www.google.com/maps/search/?api=1&amp;query=41.923565,-88.10013","map")</f>
        <v>map</v>
      </c>
    </row>
    <row r="2097" spans="1:32">
      <c r="A2097" t="s">
        <v>2147</v>
      </c>
      <c r="B2097" t="s">
        <v>9701</v>
      </c>
      <c r="C2097" t="s">
        <v>15389</v>
      </c>
      <c r="D2097" t="s">
        <v>16202</v>
      </c>
      <c r="E2097" t="s">
        <v>16218</v>
      </c>
      <c r="F2097" t="s">
        <v>16221</v>
      </c>
      <c r="G2097" t="s">
        <v>16238</v>
      </c>
      <c r="H2097" t="s">
        <v>16238</v>
      </c>
      <c r="I2097" t="s">
        <v>16335</v>
      </c>
      <c r="J2097" t="s">
        <v>16386</v>
      </c>
      <c r="K2097">
        <v>0.158</v>
      </c>
      <c r="L2097">
        <v>6863</v>
      </c>
      <c r="M2097">
        <v>2054</v>
      </c>
      <c r="N2097" t="s">
        <v>16393</v>
      </c>
      <c r="O2097" s="4">
        <v>26942</v>
      </c>
      <c r="P2097" s="4">
        <v>82542</v>
      </c>
      <c r="Q2097" s="4">
        <v>109484</v>
      </c>
      <c r="R2097" s="4">
        <v>328452</v>
      </c>
      <c r="S2097" t="s">
        <v>18433</v>
      </c>
      <c r="T2097" s="6">
        <v>45419</v>
      </c>
      <c r="U2097" s="4">
        <v>332000</v>
      </c>
      <c r="V2097" t="s">
        <v>23739</v>
      </c>
      <c r="W2097" t="s">
        <v>24737</v>
      </c>
      <c r="X2097" t="s">
        <v>3</v>
      </c>
      <c r="AA2097" s="5" t="str">
        <f>HYPERLINK("https://www.zillow.com/homes/1768-ENGLISH-DR-GLENDALE-HTS-IL-60139_rb/","check listing")</f>
        <v>check listing</v>
      </c>
      <c r="AB2097" s="5" t="str">
        <f>HYPERLINK("https://propertylookup.dupagecounty.gov/Datalets/Datalet.aspx?UseSearch=no&amp;mode=sales&amp;pin=0228406065","sales record")</f>
        <v>sales record</v>
      </c>
      <c r="AC2097" t="s">
        <v>3</v>
      </c>
      <c r="AD2097">
        <v>41.923191</v>
      </c>
      <c r="AE2097">
        <v>-88.09976</v>
      </c>
      <c r="AF2097" s="5" t="str">
        <f>HYPERLINK("https://www.google.com/maps/search/?api=1&amp;query=41.923191,-88.09976","map")</f>
        <v>map</v>
      </c>
    </row>
    <row r="2098" spans="1:32">
      <c r="A2098" t="s">
        <v>2148</v>
      </c>
      <c r="B2098" t="s">
        <v>9702</v>
      </c>
      <c r="C2098" t="s">
        <v>15400</v>
      </c>
      <c r="D2098" t="s">
        <v>16202</v>
      </c>
      <c r="E2098" t="s">
        <v>16218</v>
      </c>
      <c r="F2098" t="s">
        <v>16221</v>
      </c>
      <c r="G2098" t="s">
        <v>16238</v>
      </c>
      <c r="H2098" t="s">
        <v>16238</v>
      </c>
      <c r="I2098" t="s">
        <v>16335</v>
      </c>
      <c r="J2098" t="s">
        <v>16386</v>
      </c>
      <c r="K2098">
        <v>0.158</v>
      </c>
      <c r="L2098">
        <v>6863</v>
      </c>
      <c r="M2098">
        <v>1584</v>
      </c>
      <c r="N2098" t="s">
        <v>16393</v>
      </c>
      <c r="O2098" s="4">
        <v>26942</v>
      </c>
      <c r="P2098" s="4">
        <v>88656</v>
      </c>
      <c r="Q2098" s="4">
        <v>115598</v>
      </c>
      <c r="R2098" s="4">
        <v>346794</v>
      </c>
      <c r="S2098" t="s">
        <v>18434</v>
      </c>
      <c r="T2098" s="6">
        <v>44799</v>
      </c>
      <c r="U2098" s="4">
        <v>245000</v>
      </c>
      <c r="V2098" t="s">
        <v>23739</v>
      </c>
      <c r="W2098" t="s">
        <v>24738</v>
      </c>
      <c r="X2098" t="s">
        <v>3</v>
      </c>
      <c r="AA2098" s="5" t="str">
        <f>HYPERLINK("https://www.zillow.com/homes/1780-ENGLISH-DR-GLENDALE-HTS-IL-601392429_rb/","check listing")</f>
        <v>check listing</v>
      </c>
      <c r="AB2098" s="5" t="str">
        <f>HYPERLINK("https://propertylookup.dupagecounty.gov/Datalets/Datalet.aspx?UseSearch=no&amp;mode=sales&amp;pin=0228406063","sales record")</f>
        <v>sales record</v>
      </c>
      <c r="AC2098" t="s">
        <v>3</v>
      </c>
      <c r="AD2098">
        <v>41.923564</v>
      </c>
      <c r="AE2098">
        <v>-88.09976</v>
      </c>
      <c r="AF2098" s="5" t="str">
        <f>HYPERLINK("https://www.google.com/maps/search/?api=1&amp;query=41.923564,-88.09976","map")</f>
        <v>map</v>
      </c>
    </row>
    <row r="2099" spans="1:32">
      <c r="A2099" t="s">
        <v>2149</v>
      </c>
      <c r="B2099" t="s">
        <v>9703</v>
      </c>
      <c r="C2099" t="s">
        <v>15389</v>
      </c>
      <c r="D2099" t="s">
        <v>16202</v>
      </c>
      <c r="E2099" t="s">
        <v>16218</v>
      </c>
      <c r="F2099" t="s">
        <v>16221</v>
      </c>
      <c r="G2099" t="s">
        <v>16238</v>
      </c>
      <c r="H2099" t="s">
        <v>16238</v>
      </c>
      <c r="I2099" t="s">
        <v>16335</v>
      </c>
      <c r="J2099" t="s">
        <v>16386</v>
      </c>
      <c r="K2099">
        <v>0.158</v>
      </c>
      <c r="L2099">
        <v>6863</v>
      </c>
      <c r="M2099">
        <v>1583</v>
      </c>
      <c r="N2099" t="s">
        <v>16393</v>
      </c>
      <c r="O2099" s="4">
        <v>26942</v>
      </c>
      <c r="P2099" s="4">
        <v>91548</v>
      </c>
      <c r="Q2099" s="4">
        <v>118490</v>
      </c>
      <c r="R2099" s="4">
        <v>355470</v>
      </c>
      <c r="S2099" t="s">
        <v>18435</v>
      </c>
      <c r="T2099" s="6">
        <v>41426</v>
      </c>
      <c r="U2099" s="4">
        <v>137500</v>
      </c>
      <c r="V2099" t="s">
        <v>23739</v>
      </c>
      <c r="W2099" t="s">
        <v>18435</v>
      </c>
      <c r="X2099" t="s">
        <v>3</v>
      </c>
      <c r="AA2099" s="5" t="str">
        <f>HYPERLINK("https://www.zillow.com/homes/1769-REEVES-DR-GLENDALE-HTS-IL-60139_rb/","check listing")</f>
        <v>check listing</v>
      </c>
      <c r="AB2099" s="5" t="str">
        <f>HYPERLINK("https://propertylookup.dupagecounty.gov/Datalets/Datalet.aspx?UseSearch=no&amp;mode=sales&amp;pin=0228406058","sales record")</f>
        <v>sales record</v>
      </c>
      <c r="AC2099" t="s">
        <v>3</v>
      </c>
      <c r="AD2099">
        <v>41.923191</v>
      </c>
      <c r="AE2099">
        <v>-88.100131</v>
      </c>
      <c r="AF2099" s="5" t="str">
        <f>HYPERLINK("https://www.google.com/maps/search/?api=1&amp;query=41.923191,-88.100131","map")</f>
        <v>map</v>
      </c>
    </row>
    <row r="2100" spans="1:32">
      <c r="A2100" t="s">
        <v>2150</v>
      </c>
      <c r="B2100" t="s">
        <v>9704</v>
      </c>
      <c r="C2100" t="s">
        <v>15389</v>
      </c>
      <c r="D2100" t="s">
        <v>16202</v>
      </c>
      <c r="E2100" t="s">
        <v>16218</v>
      </c>
      <c r="F2100" t="s">
        <v>16221</v>
      </c>
      <c r="G2100" t="s">
        <v>16238</v>
      </c>
      <c r="H2100" t="s">
        <v>16238</v>
      </c>
      <c r="I2100" t="s">
        <v>16335</v>
      </c>
      <c r="J2100" t="s">
        <v>16386</v>
      </c>
      <c r="K2100">
        <v>0.158</v>
      </c>
      <c r="L2100">
        <v>6862</v>
      </c>
      <c r="M2100">
        <v>2037</v>
      </c>
      <c r="N2100" t="s">
        <v>16393</v>
      </c>
      <c r="O2100" s="4">
        <v>26942</v>
      </c>
      <c r="P2100" s="4">
        <v>97083</v>
      </c>
      <c r="Q2100" s="4">
        <v>124025</v>
      </c>
      <c r="R2100" s="4">
        <v>372075</v>
      </c>
      <c r="S2100" t="s">
        <v>18436</v>
      </c>
      <c r="T2100" s="6">
        <v>36739</v>
      </c>
      <c r="U2100" s="4">
        <v>190000</v>
      </c>
      <c r="V2100" t="s">
        <v>23739</v>
      </c>
      <c r="W2100" t="s">
        <v>24739</v>
      </c>
      <c r="X2100" t="s">
        <v>3</v>
      </c>
      <c r="AA2100" s="5" t="str">
        <f>HYPERLINK("https://www.zillow.com/homes/1775-REEVES-DR-GLENDALE-HTS-IL-60139_rb/","check listing")</f>
        <v>check listing</v>
      </c>
      <c r="AB2100" s="5" t="str">
        <f>HYPERLINK("https://propertylookup.dupagecounty.gov/Datalets/Datalet.aspx?UseSearch=no&amp;mode=sales&amp;pin=0228406054","sales record")</f>
        <v>sales record</v>
      </c>
      <c r="AC2100" t="s">
        <v>3</v>
      </c>
      <c r="AD2100">
        <v>41.923378</v>
      </c>
      <c r="AE2100">
        <v>-88.10012999999999</v>
      </c>
      <c r="AF2100" s="5" t="str">
        <f>HYPERLINK("https://www.google.com/maps/search/?api=1&amp;query=41.923378,-88.10013","map")</f>
        <v>map</v>
      </c>
    </row>
    <row r="2101" spans="1:32">
      <c r="A2101" t="s">
        <v>2151</v>
      </c>
      <c r="B2101" t="s">
        <v>9705</v>
      </c>
      <c r="C2101" t="s">
        <v>15399</v>
      </c>
      <c r="D2101" t="s">
        <v>16202</v>
      </c>
      <c r="E2101" t="s">
        <v>16218</v>
      </c>
      <c r="F2101" t="s">
        <v>16221</v>
      </c>
      <c r="G2101" t="s">
        <v>16238</v>
      </c>
      <c r="H2101" t="s">
        <v>16238</v>
      </c>
      <c r="I2101" t="s">
        <v>16335</v>
      </c>
      <c r="J2101" t="s">
        <v>16386</v>
      </c>
      <c r="K2101">
        <v>0.158</v>
      </c>
      <c r="L2101">
        <v>6862</v>
      </c>
      <c r="M2101">
        <v>1848</v>
      </c>
      <c r="N2101" t="s">
        <v>16393</v>
      </c>
      <c r="O2101" s="4">
        <v>26942</v>
      </c>
      <c r="P2101" s="4">
        <v>97310</v>
      </c>
      <c r="Q2101" s="4">
        <v>124252</v>
      </c>
      <c r="R2101" s="4">
        <v>372756</v>
      </c>
      <c r="S2101" t="s">
        <v>18437</v>
      </c>
      <c r="T2101" s="6">
        <v>43891</v>
      </c>
      <c r="U2101" s="4">
        <v>262000</v>
      </c>
      <c r="V2101" t="s">
        <v>23739</v>
      </c>
      <c r="W2101" t="s">
        <v>24740</v>
      </c>
      <c r="X2101" t="s">
        <v>3</v>
      </c>
      <c r="AA2101" s="5" t="str">
        <f>HYPERLINK("https://www.zillow.com/homes/181-W-STEVENSON-DR-GLENDALE-HTS-IL-601392481_rb/","check listing")</f>
        <v>check listing</v>
      </c>
      <c r="AB2101" s="5" t="str">
        <f>HYPERLINK("https://propertylookup.dupagecounty.gov/Datalets/Datalet.aspx?UseSearch=no&amp;mode=sales&amp;pin=0228402095","sales record")</f>
        <v>sales record</v>
      </c>
      <c r="AC2101" t="s">
        <v>3</v>
      </c>
      <c r="AD2101">
        <v>41.921975</v>
      </c>
      <c r="AE2101">
        <v>-88.099929</v>
      </c>
      <c r="AF2101" s="5" t="str">
        <f>HYPERLINK("https://www.google.com/maps/search/?api=1&amp;query=41.921975,-88.099929","map")</f>
        <v>map</v>
      </c>
    </row>
    <row r="2102" spans="1:32">
      <c r="A2102" t="s">
        <v>2152</v>
      </c>
      <c r="B2102" t="s">
        <v>9706</v>
      </c>
      <c r="C2102" t="s">
        <v>15389</v>
      </c>
      <c r="D2102" t="s">
        <v>16202</v>
      </c>
      <c r="E2102" t="s">
        <v>16218</v>
      </c>
      <c r="F2102" t="s">
        <v>16221</v>
      </c>
      <c r="G2102" t="s">
        <v>16238</v>
      </c>
      <c r="H2102" t="s">
        <v>16238</v>
      </c>
      <c r="I2102" t="s">
        <v>16335</v>
      </c>
      <c r="J2102" t="s">
        <v>16386</v>
      </c>
      <c r="K2102">
        <v>0.158</v>
      </c>
      <c r="L2102">
        <v>6862</v>
      </c>
      <c r="M2102">
        <v>1847</v>
      </c>
      <c r="N2102" t="s">
        <v>16393</v>
      </c>
      <c r="O2102" s="4">
        <v>26942</v>
      </c>
      <c r="P2102" s="4">
        <v>77037</v>
      </c>
      <c r="Q2102" s="4">
        <v>103979</v>
      </c>
      <c r="R2102" s="4">
        <v>311937</v>
      </c>
      <c r="S2102" t="s">
        <v>18438</v>
      </c>
      <c r="T2102" s="6">
        <v>33817</v>
      </c>
      <c r="U2102" s="4">
        <v>126000</v>
      </c>
      <c r="X2102" t="s">
        <v>3</v>
      </c>
      <c r="AA2102" s="5" t="str">
        <f>HYPERLINK("https://www.zillow.com/homes/177-W-STEVENSON-DR-GLENDALE-HTS-IL-60139_rb/","check listing")</f>
        <v>check listing</v>
      </c>
      <c r="AB2102" s="5" t="str">
        <f>HYPERLINK("https://propertylookup.dupagecounty.gov/Datalets/Datalet.aspx?UseSearch=no&amp;mode=sales&amp;pin=0228402096","sales record")</f>
        <v>sales record</v>
      </c>
      <c r="AC2102" t="s">
        <v>3</v>
      </c>
      <c r="AD2102">
        <v>41.921982</v>
      </c>
      <c r="AE2102">
        <v>-88.09967899999999</v>
      </c>
      <c r="AF2102" s="5" t="str">
        <f>HYPERLINK("https://www.google.com/maps/search/?api=1&amp;query=41.921982,-88.099679","map")</f>
        <v>map</v>
      </c>
    </row>
    <row r="2103" spans="1:32">
      <c r="A2103" t="s">
        <v>2153</v>
      </c>
      <c r="B2103" t="s">
        <v>9707</v>
      </c>
      <c r="C2103" t="s">
        <v>15389</v>
      </c>
      <c r="D2103" t="s">
        <v>16202</v>
      </c>
      <c r="E2103" t="s">
        <v>16218</v>
      </c>
      <c r="F2103" t="s">
        <v>16221</v>
      </c>
      <c r="G2103" t="s">
        <v>16238</v>
      </c>
      <c r="H2103" t="s">
        <v>16238</v>
      </c>
      <c r="I2103" t="s">
        <v>16335</v>
      </c>
      <c r="J2103" t="s">
        <v>16386</v>
      </c>
      <c r="K2103">
        <v>0.157</v>
      </c>
      <c r="L2103">
        <v>6859</v>
      </c>
      <c r="M2103">
        <v>1715</v>
      </c>
      <c r="N2103" t="s">
        <v>16393</v>
      </c>
      <c r="O2103" s="4">
        <v>24551</v>
      </c>
      <c r="P2103" s="4">
        <v>88656</v>
      </c>
      <c r="Q2103" s="4">
        <v>113207</v>
      </c>
      <c r="R2103" s="4">
        <v>339621</v>
      </c>
      <c r="S2103" t="s">
        <v>18439</v>
      </c>
      <c r="T2103" s="6">
        <v>33786</v>
      </c>
      <c r="U2103" s="4">
        <v>117000</v>
      </c>
      <c r="X2103" t="s">
        <v>3</v>
      </c>
      <c r="AA2103" s="5" t="str">
        <f>HYPERLINK("https://www.zillow.com/homes/161-STEVENSON-DR-GLENDALE-HTS-IL-60139_rb/","check listing")</f>
        <v>check listing</v>
      </c>
      <c r="AB2103" s="5" t="str">
        <f>HYPERLINK("https://propertylookup.dupagecounty.gov/Datalets/Datalet.aspx?UseSearch=no&amp;mode=sales&amp;pin=0228402091","sales record")</f>
        <v>sales record</v>
      </c>
      <c r="AC2103" t="s">
        <v>3</v>
      </c>
      <c r="AD2103">
        <v>41.922001</v>
      </c>
      <c r="AE2103">
        <v>-88.09893</v>
      </c>
      <c r="AF2103" s="5" t="str">
        <f>HYPERLINK("https://www.google.com/maps/search/?api=1&amp;query=41.922001,-88.09893","map")</f>
        <v>map</v>
      </c>
    </row>
    <row r="2104" spans="1:32">
      <c r="A2104" t="s">
        <v>2154</v>
      </c>
      <c r="B2104" t="s">
        <v>9708</v>
      </c>
      <c r="C2104" t="s">
        <v>15389</v>
      </c>
      <c r="D2104" t="s">
        <v>16202</v>
      </c>
      <c r="E2104" t="s">
        <v>16218</v>
      </c>
      <c r="F2104" t="s">
        <v>16221</v>
      </c>
      <c r="G2104" t="s">
        <v>16238</v>
      </c>
      <c r="H2104" t="s">
        <v>16238</v>
      </c>
      <c r="I2104" t="s">
        <v>16335</v>
      </c>
      <c r="J2104" t="s">
        <v>16386</v>
      </c>
      <c r="K2104">
        <v>0.157</v>
      </c>
      <c r="L2104">
        <v>6857</v>
      </c>
      <c r="M2104">
        <v>1583</v>
      </c>
      <c r="N2104" t="s">
        <v>16393</v>
      </c>
      <c r="O2104" s="4">
        <v>26942</v>
      </c>
      <c r="P2104" s="4">
        <v>88656</v>
      </c>
      <c r="Q2104" s="4">
        <v>115598</v>
      </c>
      <c r="R2104" s="4">
        <v>346794</v>
      </c>
      <c r="S2104" t="s">
        <v>18440</v>
      </c>
      <c r="T2104" s="6">
        <v>45608</v>
      </c>
      <c r="U2104" s="4">
        <v>385000</v>
      </c>
      <c r="V2104" t="s">
        <v>23739</v>
      </c>
      <c r="W2104" t="s">
        <v>24741</v>
      </c>
      <c r="X2104" t="s">
        <v>3</v>
      </c>
      <c r="AA2104" s="5" t="str">
        <f>HYPERLINK("https://www.zillow.com/homes/157-W-STEVENSON-DR-GLENDALE-HTS-IL-60139_rb/","check listing")</f>
        <v>check listing</v>
      </c>
      <c r="AB2104" s="5" t="str">
        <f>HYPERLINK("https://propertylookup.dupagecounty.gov/Datalets/Datalet.aspx?UseSearch=no&amp;mode=sales&amp;pin=0228402099","sales record")</f>
        <v>sales record</v>
      </c>
      <c r="AC2104" t="s">
        <v>3</v>
      </c>
      <c r="AD2104">
        <v>41.922007</v>
      </c>
      <c r="AE2104">
        <v>-88.09868</v>
      </c>
      <c r="AF2104" s="5" t="str">
        <f>HYPERLINK("https://www.google.com/maps/search/?api=1&amp;query=41.922007,-88.09868","map")</f>
        <v>map</v>
      </c>
    </row>
    <row r="2105" spans="1:32">
      <c r="A2105" t="s">
        <v>2155</v>
      </c>
      <c r="B2105" t="s">
        <v>9709</v>
      </c>
      <c r="C2105" t="s">
        <v>15389</v>
      </c>
      <c r="D2105" t="s">
        <v>16202</v>
      </c>
      <c r="E2105" t="s">
        <v>16218</v>
      </c>
      <c r="F2105" t="s">
        <v>16221</v>
      </c>
      <c r="G2105" t="s">
        <v>16238</v>
      </c>
      <c r="H2105" t="s">
        <v>16238</v>
      </c>
      <c r="I2105" t="s">
        <v>16335</v>
      </c>
      <c r="J2105" t="s">
        <v>16386</v>
      </c>
      <c r="K2105">
        <v>0.157</v>
      </c>
      <c r="L2105">
        <v>6855</v>
      </c>
      <c r="M2105">
        <v>1583</v>
      </c>
      <c r="N2105" t="s">
        <v>16393</v>
      </c>
      <c r="O2105" s="4">
        <v>26942</v>
      </c>
      <c r="P2105" s="4">
        <v>88656</v>
      </c>
      <c r="Q2105" s="4">
        <v>115598</v>
      </c>
      <c r="R2105" s="4">
        <v>346794</v>
      </c>
      <c r="S2105" t="s">
        <v>18441</v>
      </c>
      <c r="T2105" s="6">
        <v>42248</v>
      </c>
      <c r="U2105" s="4">
        <v>214000</v>
      </c>
      <c r="V2105" t="s">
        <v>23739</v>
      </c>
      <c r="W2105" t="s">
        <v>24742</v>
      </c>
      <c r="X2105" t="s">
        <v>3</v>
      </c>
      <c r="AA2105" s="5" t="str">
        <f>HYPERLINK("https://www.zillow.com/homes/151-W-STEVENSON-GLENDALE-HTS-IL-60139_rb/","check listing")</f>
        <v>check listing</v>
      </c>
      <c r="AB2105" s="5" t="str">
        <f>HYPERLINK("https://propertylookup.dupagecounty.gov/Datalets/Datalet.aspx?UseSearch=no&amp;mode=sales&amp;pin=0228402100","sales record")</f>
        <v>sales record</v>
      </c>
      <c r="AC2105" t="s">
        <v>3</v>
      </c>
      <c r="AD2105">
        <v>41.922014</v>
      </c>
      <c r="AE2105">
        <v>-88.09843100000001</v>
      </c>
      <c r="AF2105" s="5" t="str">
        <f>HYPERLINK("https://www.google.com/maps/search/?api=1&amp;query=41.922014,-88.098431","map")</f>
        <v>map</v>
      </c>
    </row>
    <row r="2106" spans="1:32">
      <c r="A2106" t="s">
        <v>2156</v>
      </c>
      <c r="B2106" t="s">
        <v>9710</v>
      </c>
      <c r="C2106" t="s">
        <v>15389</v>
      </c>
      <c r="D2106" t="s">
        <v>16202</v>
      </c>
      <c r="E2106" t="s">
        <v>16218</v>
      </c>
      <c r="F2106" t="s">
        <v>16221</v>
      </c>
      <c r="G2106" t="s">
        <v>16238</v>
      </c>
      <c r="H2106" t="s">
        <v>16238</v>
      </c>
      <c r="I2106" t="s">
        <v>16335</v>
      </c>
      <c r="J2106" t="s">
        <v>16386</v>
      </c>
      <c r="K2106">
        <v>0.157</v>
      </c>
      <c r="L2106">
        <v>6854</v>
      </c>
      <c r="M2106">
        <v>1616</v>
      </c>
      <c r="N2106" t="s">
        <v>16393</v>
      </c>
      <c r="O2106" s="4">
        <v>26942</v>
      </c>
      <c r="P2106" s="4">
        <v>84962</v>
      </c>
      <c r="Q2106" s="4">
        <v>111904</v>
      </c>
      <c r="R2106" s="4">
        <v>335712</v>
      </c>
      <c r="S2106" t="s">
        <v>18442</v>
      </c>
      <c r="T2106" s="6">
        <v>38749</v>
      </c>
      <c r="U2106" s="4">
        <v>255000</v>
      </c>
      <c r="V2106" t="s">
        <v>23739</v>
      </c>
      <c r="W2106" t="s">
        <v>18442</v>
      </c>
      <c r="X2106" t="s">
        <v>3</v>
      </c>
      <c r="AA2106" s="5" t="str">
        <f>HYPERLINK("https://www.zillow.com/homes/147-W-STEVENSON-DR-GLENDALE-HTS-IL-60139_rb/","check listing")</f>
        <v>check listing</v>
      </c>
      <c r="AB2106" s="5" t="str">
        <f>HYPERLINK("https://propertylookup.dupagecounty.gov/Datalets/Datalet.aspx?UseSearch=no&amp;mode=sales&amp;pin=0228402101","sales record")</f>
        <v>sales record</v>
      </c>
      <c r="AC2106" t="s">
        <v>3</v>
      </c>
      <c r="AD2106">
        <v>41.92202</v>
      </c>
      <c r="AE2106">
        <v>-88.098181</v>
      </c>
      <c r="AF2106" s="5" t="str">
        <f>HYPERLINK("https://www.google.com/maps/search/?api=1&amp;query=41.92202,-88.098181","map")</f>
        <v>map</v>
      </c>
    </row>
    <row r="2107" spans="1:32">
      <c r="A2107" t="s">
        <v>2157</v>
      </c>
      <c r="B2107" t="s">
        <v>9711</v>
      </c>
      <c r="C2107" t="s">
        <v>15389</v>
      </c>
      <c r="D2107" t="s">
        <v>16202</v>
      </c>
      <c r="E2107" t="s">
        <v>16218</v>
      </c>
      <c r="F2107" t="s">
        <v>16221</v>
      </c>
      <c r="G2107" t="s">
        <v>16238</v>
      </c>
      <c r="H2107" t="s">
        <v>16238</v>
      </c>
      <c r="I2107" t="s">
        <v>16335</v>
      </c>
      <c r="J2107" t="s">
        <v>16386</v>
      </c>
      <c r="K2107">
        <v>0.156</v>
      </c>
      <c r="L2107">
        <v>6782</v>
      </c>
      <c r="M2107">
        <v>1715</v>
      </c>
      <c r="N2107" t="s">
        <v>16393</v>
      </c>
      <c r="O2107" s="4">
        <v>26942</v>
      </c>
      <c r="P2107" s="4">
        <v>88656</v>
      </c>
      <c r="Q2107" s="4">
        <v>115598</v>
      </c>
      <c r="R2107" s="4">
        <v>346794</v>
      </c>
      <c r="S2107" t="s">
        <v>18443</v>
      </c>
      <c r="T2107" s="6">
        <v>39630</v>
      </c>
      <c r="U2107" s="4">
        <v>208000</v>
      </c>
      <c r="V2107" t="s">
        <v>16232</v>
      </c>
      <c r="W2107" t="s">
        <v>18443</v>
      </c>
      <c r="X2107" t="s">
        <v>3</v>
      </c>
      <c r="AA2107" s="5" t="str">
        <f>HYPERLINK("https://www.zillow.com/homes/171-W-STEVENSON-DR-GLENDALE-HTS-IL-60139_rb/","check listing")</f>
        <v>check listing</v>
      </c>
      <c r="AB2107" s="5" t="str">
        <f>HYPERLINK("https://propertylookup.dupagecounty.gov/Datalets/Datalet.aspx?UseSearch=no&amp;mode=sales&amp;pin=0228402097","sales record")</f>
        <v>sales record</v>
      </c>
      <c r="AC2107" t="s">
        <v>3</v>
      </c>
      <c r="AD2107">
        <v>41.921988</v>
      </c>
      <c r="AE2107">
        <v>-88.099431</v>
      </c>
      <c r="AF2107" s="5" t="str">
        <f>HYPERLINK("https://www.google.com/maps/search/?api=1&amp;query=41.921988,-88.099431","map")</f>
        <v>map</v>
      </c>
    </row>
    <row r="2108" spans="1:32">
      <c r="A2108" t="s">
        <v>2158</v>
      </c>
      <c r="B2108" t="s">
        <v>9712</v>
      </c>
      <c r="C2108" t="s">
        <v>15389</v>
      </c>
      <c r="D2108" t="s">
        <v>16202</v>
      </c>
      <c r="E2108" t="s">
        <v>16218</v>
      </c>
      <c r="F2108" t="s">
        <v>16221</v>
      </c>
      <c r="G2108" t="s">
        <v>16238</v>
      </c>
      <c r="H2108" t="s">
        <v>16238</v>
      </c>
      <c r="I2108" t="s">
        <v>16335</v>
      </c>
      <c r="J2108" t="s">
        <v>16386</v>
      </c>
      <c r="K2108">
        <v>0.151</v>
      </c>
      <c r="L2108">
        <v>6564</v>
      </c>
      <c r="N2108" t="s">
        <v>16393</v>
      </c>
      <c r="O2108" s="4">
        <v>22341</v>
      </c>
      <c r="P2108" s="4">
        <v>53227</v>
      </c>
      <c r="Q2108" s="4">
        <v>75568</v>
      </c>
      <c r="R2108" s="4">
        <v>226704</v>
      </c>
      <c r="S2108" t="s">
        <v>18444</v>
      </c>
      <c r="T2108" s="6">
        <v>41395</v>
      </c>
      <c r="U2108" s="4">
        <v>67000</v>
      </c>
      <c r="V2108" t="s">
        <v>23739</v>
      </c>
      <c r="W2108" t="s">
        <v>24743</v>
      </c>
      <c r="X2108" t="s">
        <v>3</v>
      </c>
      <c r="AA2108" s="5" t="str">
        <f>HYPERLINK("https://www.zillow.com/homes/16-YARDLEY-CT-GLENDALE-HTS-IL-60139_rb/","check listing")</f>
        <v>check listing</v>
      </c>
      <c r="AB2108" s="5" t="str">
        <f>HYPERLINK("https://propertylookup.dupagecounty.gov/Datalets/Datalet.aspx?UseSearch=no&amp;mode=sales&amp;pin=0221400073","sales record")</f>
        <v>sales record</v>
      </c>
      <c r="AC2108" t="s">
        <v>27873</v>
      </c>
      <c r="AD2108">
        <v>41.934243</v>
      </c>
      <c r="AE2108">
        <v>-88.09173699999999</v>
      </c>
      <c r="AF2108" s="5" t="str">
        <f>HYPERLINK("https://www.google.com/maps/search/?api=1&amp;query=41.934243,-88.091737","map")</f>
        <v>map</v>
      </c>
    </row>
    <row r="2109" spans="1:32">
      <c r="A2109" t="s">
        <v>2159</v>
      </c>
      <c r="B2109" t="s">
        <v>9713</v>
      </c>
      <c r="C2109" t="s">
        <v>15403</v>
      </c>
      <c r="D2109" t="s">
        <v>16202</v>
      </c>
      <c r="E2109" t="s">
        <v>16218</v>
      </c>
      <c r="F2109" t="s">
        <v>16221</v>
      </c>
      <c r="G2109" t="s">
        <v>16238</v>
      </c>
      <c r="H2109" t="s">
        <v>16238</v>
      </c>
      <c r="I2109" t="s">
        <v>16335</v>
      </c>
      <c r="J2109" t="s">
        <v>16386</v>
      </c>
      <c r="K2109">
        <v>0.145</v>
      </c>
      <c r="L2109">
        <v>6302</v>
      </c>
      <c r="N2109" t="s">
        <v>16393</v>
      </c>
      <c r="O2109" s="4">
        <v>22341</v>
      </c>
      <c r="P2109" s="4">
        <v>53227</v>
      </c>
      <c r="Q2109" s="4">
        <v>75568</v>
      </c>
      <c r="R2109" s="4">
        <v>226704</v>
      </c>
      <c r="S2109" t="s">
        <v>18445</v>
      </c>
      <c r="T2109" s="6">
        <v>45854</v>
      </c>
      <c r="U2109" s="4">
        <v>299000</v>
      </c>
      <c r="V2109" t="s">
        <v>23739</v>
      </c>
      <c r="W2109" t="s">
        <v>24744</v>
      </c>
      <c r="X2109" t="s">
        <v>3</v>
      </c>
      <c r="AA2109" s="5" t="str">
        <f>HYPERLINK("https://www.zillow.com/homes/2126-BRITTANY-LN-GLENDALE-HTS-IL-601391872_rb/","check listing")</f>
        <v>check listing</v>
      </c>
      <c r="AB2109" s="5" t="str">
        <f>HYPERLINK("https://propertylookup.dupagecounty.gov/Datalets/Datalet.aspx?UseSearch=no&amp;mode=sales&amp;pin=0221403069","sales record")</f>
        <v>sales record</v>
      </c>
      <c r="AC2109" t="s">
        <v>3</v>
      </c>
      <c r="AD2109">
        <v>41.936285</v>
      </c>
      <c r="AE2109">
        <v>-88.09329</v>
      </c>
      <c r="AF2109" s="5" t="str">
        <f>HYPERLINK("https://www.google.com/maps/search/?api=1&amp;query=41.936285,-88.09329","map")</f>
        <v>map</v>
      </c>
    </row>
    <row r="2110" spans="1:32">
      <c r="A2110" t="s">
        <v>2160</v>
      </c>
      <c r="B2110" t="s">
        <v>9714</v>
      </c>
      <c r="C2110" t="s">
        <v>15403</v>
      </c>
      <c r="D2110" t="s">
        <v>16202</v>
      </c>
      <c r="E2110" t="s">
        <v>16218</v>
      </c>
      <c r="F2110" t="s">
        <v>16221</v>
      </c>
      <c r="G2110" t="s">
        <v>16238</v>
      </c>
      <c r="H2110" t="s">
        <v>16238</v>
      </c>
      <c r="I2110" t="s">
        <v>16335</v>
      </c>
      <c r="J2110" t="s">
        <v>16386</v>
      </c>
      <c r="K2110">
        <v>0.141</v>
      </c>
      <c r="L2110">
        <v>6152</v>
      </c>
      <c r="N2110" t="s">
        <v>16393</v>
      </c>
      <c r="O2110" s="4">
        <v>22341</v>
      </c>
      <c r="P2110" s="4">
        <v>55977</v>
      </c>
      <c r="Q2110" s="4">
        <v>78318</v>
      </c>
      <c r="R2110" s="4">
        <v>234954</v>
      </c>
      <c r="S2110" t="s">
        <v>18446</v>
      </c>
      <c r="T2110" s="6">
        <v>44348</v>
      </c>
      <c r="U2110" s="4">
        <v>200000</v>
      </c>
      <c r="V2110" t="s">
        <v>23739</v>
      </c>
      <c r="W2110" t="s">
        <v>24745</v>
      </c>
      <c r="X2110" t="s">
        <v>3</v>
      </c>
      <c r="AA2110" s="5" t="str">
        <f>HYPERLINK("https://www.zillow.com/homes/2142-BRITTANY-LN-GLENDALE-HTS-IL-601391872_rb/","check listing")</f>
        <v>check listing</v>
      </c>
      <c r="AB2110" s="5" t="str">
        <f>HYPERLINK("https://propertylookup.dupagecounty.gov/Datalets/Datalet.aspx?UseSearch=no&amp;mode=sales&amp;pin=0221403051","sales record")</f>
        <v>sales record</v>
      </c>
      <c r="AC2110" t="s">
        <v>27873</v>
      </c>
      <c r="AD2110">
        <v>41.936941</v>
      </c>
      <c r="AE2110">
        <v>-88.093289</v>
      </c>
      <c r="AF2110" s="5" t="str">
        <f>HYPERLINK("https://www.google.com/maps/search/?api=1&amp;query=41.936941,-88.093289","map")</f>
        <v>map</v>
      </c>
    </row>
    <row r="2111" spans="1:32">
      <c r="A2111" t="s">
        <v>2161</v>
      </c>
      <c r="B2111" t="s">
        <v>9715</v>
      </c>
      <c r="C2111" t="s">
        <v>15403</v>
      </c>
      <c r="D2111" t="s">
        <v>16202</v>
      </c>
      <c r="E2111" t="s">
        <v>16218</v>
      </c>
      <c r="F2111" t="s">
        <v>16221</v>
      </c>
      <c r="G2111" t="s">
        <v>16238</v>
      </c>
      <c r="H2111" t="s">
        <v>16238</v>
      </c>
      <c r="I2111" t="s">
        <v>16335</v>
      </c>
      <c r="J2111" t="s">
        <v>16386</v>
      </c>
      <c r="K2111">
        <v>0.14</v>
      </c>
      <c r="L2111">
        <v>6085</v>
      </c>
      <c r="N2111" t="s">
        <v>16393</v>
      </c>
      <c r="O2111" s="4">
        <v>22341</v>
      </c>
      <c r="P2111" s="4">
        <v>53227</v>
      </c>
      <c r="Q2111" s="4">
        <v>75568</v>
      </c>
      <c r="R2111" s="4">
        <v>226704</v>
      </c>
      <c r="S2111" t="s">
        <v>18447</v>
      </c>
      <c r="T2111" s="6">
        <v>43647</v>
      </c>
      <c r="U2111" s="4">
        <v>183000</v>
      </c>
      <c r="V2111" t="s">
        <v>23739</v>
      </c>
      <c r="W2111" t="s">
        <v>18447</v>
      </c>
      <c r="X2111" t="s">
        <v>3</v>
      </c>
      <c r="AA2111" s="5" t="str">
        <f>HYPERLINK("https://www.zillow.com/homes/2160-BRITTANY-LN-GLENDALE-HTS-IL-601391872_rb/","check listing")</f>
        <v>check listing</v>
      </c>
      <c r="AB2111" s="5" t="str">
        <f>HYPERLINK("https://propertylookup.dupagecounty.gov/Datalets/Datalet.aspx?UseSearch=no&amp;mode=sales&amp;pin=0221403043","sales record")</f>
        <v>sales record</v>
      </c>
      <c r="AC2111" t="s">
        <v>27873</v>
      </c>
      <c r="AD2111">
        <v>41.937573</v>
      </c>
      <c r="AE2111">
        <v>-88.09327999999999</v>
      </c>
      <c r="AF2111" s="5" t="str">
        <f>HYPERLINK("https://www.google.com/maps/search/?api=1&amp;query=41.937573,-88.09328","map")</f>
        <v>map</v>
      </c>
    </row>
    <row r="2112" spans="1:32">
      <c r="A2112" t="s">
        <v>2162</v>
      </c>
      <c r="B2112" t="s">
        <v>9716</v>
      </c>
      <c r="C2112" t="s">
        <v>15389</v>
      </c>
      <c r="D2112" t="s">
        <v>16202</v>
      </c>
      <c r="E2112" t="s">
        <v>16218</v>
      </c>
      <c r="F2112" t="s">
        <v>16221</v>
      </c>
      <c r="G2112" t="s">
        <v>16238</v>
      </c>
      <c r="H2112" t="s">
        <v>16238</v>
      </c>
      <c r="I2112" t="s">
        <v>16335</v>
      </c>
      <c r="J2112" t="s">
        <v>16386</v>
      </c>
      <c r="K2112">
        <v>0.129</v>
      </c>
      <c r="L2112">
        <v>5625</v>
      </c>
      <c r="N2112" t="s">
        <v>16393</v>
      </c>
      <c r="O2112" s="4">
        <v>22341</v>
      </c>
      <c r="P2112" s="4">
        <v>55977</v>
      </c>
      <c r="Q2112" s="4">
        <v>78318</v>
      </c>
      <c r="R2112" s="4">
        <v>234954</v>
      </c>
      <c r="S2112" t="s">
        <v>18448</v>
      </c>
      <c r="T2112" s="6">
        <v>33817</v>
      </c>
      <c r="U2112" s="4">
        <v>101500</v>
      </c>
      <c r="X2112" t="s">
        <v>3</v>
      </c>
      <c r="AA2112" s="5" t="str">
        <f>HYPERLINK("https://www.zillow.com/homes/10-YARDLEY-CT-GLENDALE-HTS-IL-60139_rb/","check listing")</f>
        <v>check listing</v>
      </c>
      <c r="AB2112" s="5" t="str">
        <f>HYPERLINK("https://propertylookup.dupagecounty.gov/Datalets/Datalet.aspx?UseSearch=no&amp;mode=sales&amp;pin=0221400079","sales record")</f>
        <v>sales record</v>
      </c>
      <c r="AC2112" t="s">
        <v>27873</v>
      </c>
      <c r="AD2112">
        <v>41.93402</v>
      </c>
      <c r="AE2112">
        <v>-88.091562</v>
      </c>
      <c r="AF2112" s="5" t="str">
        <f>HYPERLINK("https://www.google.com/maps/search/?api=1&amp;query=41.93402,-88.091562","map")</f>
        <v>map</v>
      </c>
    </row>
    <row r="2113" spans="1:32">
      <c r="A2113" t="s">
        <v>2163</v>
      </c>
      <c r="B2113" t="s">
        <v>9717</v>
      </c>
      <c r="C2113" t="s">
        <v>15389</v>
      </c>
      <c r="D2113" t="s">
        <v>16202</v>
      </c>
      <c r="E2113" t="s">
        <v>16218</v>
      </c>
      <c r="F2113" t="s">
        <v>16221</v>
      </c>
      <c r="G2113" t="s">
        <v>16238</v>
      </c>
      <c r="H2113" t="s">
        <v>16238</v>
      </c>
      <c r="I2113" t="s">
        <v>16335</v>
      </c>
      <c r="J2113" t="s">
        <v>16386</v>
      </c>
      <c r="K2113">
        <v>0.122</v>
      </c>
      <c r="L2113">
        <v>5294</v>
      </c>
      <c r="N2113" t="s">
        <v>16393</v>
      </c>
      <c r="O2113" s="4">
        <v>20822</v>
      </c>
      <c r="P2113" s="4">
        <v>42696</v>
      </c>
      <c r="Q2113" s="4">
        <v>63518</v>
      </c>
      <c r="R2113" s="4">
        <v>190554</v>
      </c>
      <c r="S2113" t="s">
        <v>18449</v>
      </c>
      <c r="T2113" s="6">
        <v>31291</v>
      </c>
      <c r="U2113" s="4">
        <v>74755</v>
      </c>
      <c r="X2113" t="s">
        <v>3</v>
      </c>
      <c r="AA2113" s="5" t="str">
        <f>HYPERLINK("https://www.zillow.com/homes/1827-SCHMALE-CT-GLENDALE-HTS-IL-60139_rb/","check listing")</f>
        <v>check listing</v>
      </c>
      <c r="AB2113" s="5" t="str">
        <f>HYPERLINK("https://propertylookup.dupagecounty.gov/Datalets/Datalet.aspx?UseSearch=no&amp;mode=sales&amp;pin=0228201047","sales record")</f>
        <v>sales record</v>
      </c>
      <c r="AC2113" t="s">
        <v>27873</v>
      </c>
      <c r="AD2113">
        <v>41.925261</v>
      </c>
      <c r="AE2113">
        <v>-88.099772</v>
      </c>
      <c r="AF2113" s="5" t="str">
        <f>HYPERLINK("https://www.google.com/maps/search/?api=1&amp;query=41.925261,-88.099772","map")</f>
        <v>map</v>
      </c>
    </row>
    <row r="2114" spans="1:32">
      <c r="A2114" t="s">
        <v>2164</v>
      </c>
      <c r="B2114" t="s">
        <v>9718</v>
      </c>
      <c r="C2114" t="s">
        <v>15389</v>
      </c>
      <c r="D2114" t="s">
        <v>16202</v>
      </c>
      <c r="E2114" t="s">
        <v>16218</v>
      </c>
      <c r="F2114" t="s">
        <v>16221</v>
      </c>
      <c r="G2114" t="s">
        <v>16238</v>
      </c>
      <c r="H2114" t="s">
        <v>16238</v>
      </c>
      <c r="I2114" t="s">
        <v>16335</v>
      </c>
      <c r="J2114" t="s">
        <v>16386</v>
      </c>
      <c r="K2114">
        <v>0.121</v>
      </c>
      <c r="L2114">
        <v>5292</v>
      </c>
      <c r="N2114" t="s">
        <v>16393</v>
      </c>
      <c r="O2114" s="4">
        <v>17822</v>
      </c>
      <c r="P2114" s="4">
        <v>62825</v>
      </c>
      <c r="Q2114" s="4">
        <v>80647</v>
      </c>
      <c r="R2114" s="4">
        <v>241941</v>
      </c>
      <c r="S2114" t="s">
        <v>18450</v>
      </c>
      <c r="T2114" s="6">
        <v>37712</v>
      </c>
      <c r="U2114" s="4">
        <v>135000</v>
      </c>
      <c r="V2114" t="s">
        <v>23739</v>
      </c>
      <c r="W2114" t="s">
        <v>24746</v>
      </c>
      <c r="X2114" t="s">
        <v>3</v>
      </c>
      <c r="AA2114" s="5" t="str">
        <f>HYPERLINK("https://www.zillow.com/homes/1769-GILBERTO-ST-GLENDALE-HTS-IL-60139_rb/","check listing")</f>
        <v>check listing</v>
      </c>
      <c r="AB2114" s="5" t="str">
        <f>HYPERLINK("https://propertylookup.dupagecounty.gov/Datalets/Datalet.aspx?UseSearch=no&amp;mode=sales&amp;pin=0228409039","sales record")</f>
        <v>sales record</v>
      </c>
      <c r="AC2114" t="s">
        <v>27873</v>
      </c>
      <c r="AD2114">
        <v>41.923275</v>
      </c>
      <c r="AE2114">
        <v>-88.09692200000001</v>
      </c>
      <c r="AF2114" s="5" t="str">
        <f>HYPERLINK("https://www.google.com/maps/search/?api=1&amp;query=41.923275,-88.096922","map")</f>
        <v>map</v>
      </c>
    </row>
    <row r="2115" spans="1:32">
      <c r="A2115" t="s">
        <v>2165</v>
      </c>
      <c r="B2115" t="s">
        <v>9719</v>
      </c>
      <c r="C2115" t="s">
        <v>15389</v>
      </c>
      <c r="D2115" t="s">
        <v>16202</v>
      </c>
      <c r="E2115" t="s">
        <v>16218</v>
      </c>
      <c r="F2115" t="s">
        <v>16221</v>
      </c>
      <c r="G2115" t="s">
        <v>16238</v>
      </c>
      <c r="H2115" t="s">
        <v>16238</v>
      </c>
      <c r="I2115" t="s">
        <v>16335</v>
      </c>
      <c r="J2115" t="s">
        <v>16386</v>
      </c>
      <c r="K2115">
        <v>0.116</v>
      </c>
      <c r="L2115">
        <v>5056</v>
      </c>
      <c r="N2115" t="s">
        <v>16393</v>
      </c>
      <c r="O2115" s="4">
        <v>22341</v>
      </c>
      <c r="P2115" s="4">
        <v>53227</v>
      </c>
      <c r="Q2115" s="4">
        <v>75568</v>
      </c>
      <c r="R2115" s="4">
        <v>226704</v>
      </c>
      <c r="S2115" t="s">
        <v>18451</v>
      </c>
      <c r="T2115" s="6">
        <v>38930</v>
      </c>
      <c r="U2115" s="4">
        <v>219000</v>
      </c>
      <c r="V2115" t="s">
        <v>23739</v>
      </c>
      <c r="W2115" t="s">
        <v>24747</v>
      </c>
      <c r="X2115" t="s">
        <v>3</v>
      </c>
      <c r="AA2115" s="5" t="str">
        <f>HYPERLINK("https://www.zillow.com/homes/23-YARDLEY-CT-GLENDALE-HTS-IL-60139_rb/","check listing")</f>
        <v>check listing</v>
      </c>
      <c r="AB2115" s="5" t="str">
        <f>HYPERLINK("https://propertylookup.dupagecounty.gov/Datalets/Datalet.aspx?UseSearch=no&amp;mode=sales&amp;pin=0221400067","sales record")</f>
        <v>sales record</v>
      </c>
      <c r="AC2115" t="s">
        <v>27873</v>
      </c>
      <c r="AD2115">
        <v>41.934025</v>
      </c>
      <c r="AE2115">
        <v>-88.092279</v>
      </c>
      <c r="AF2115" s="5" t="str">
        <f>HYPERLINK("https://www.google.com/maps/search/?api=1&amp;query=41.934025,-88.092279","map")</f>
        <v>map</v>
      </c>
    </row>
    <row r="2116" spans="1:32">
      <c r="A2116" t="s">
        <v>2166</v>
      </c>
      <c r="B2116" t="s">
        <v>9720</v>
      </c>
      <c r="C2116" t="s">
        <v>15389</v>
      </c>
      <c r="D2116" t="s">
        <v>16202</v>
      </c>
      <c r="E2116" t="s">
        <v>16218</v>
      </c>
      <c r="F2116" t="s">
        <v>16221</v>
      </c>
      <c r="G2116" t="s">
        <v>16238</v>
      </c>
      <c r="H2116" t="s">
        <v>16238</v>
      </c>
      <c r="I2116" t="s">
        <v>16335</v>
      </c>
      <c r="J2116" t="s">
        <v>16386</v>
      </c>
      <c r="K2116">
        <v>0.11</v>
      </c>
      <c r="L2116">
        <v>4781</v>
      </c>
      <c r="N2116" t="s">
        <v>16393</v>
      </c>
      <c r="O2116" s="4">
        <v>22341</v>
      </c>
      <c r="P2116" s="4">
        <v>53227</v>
      </c>
      <c r="Q2116" s="4">
        <v>75568</v>
      </c>
      <c r="R2116" s="4">
        <v>226704</v>
      </c>
      <c r="S2116" t="s">
        <v>18452</v>
      </c>
      <c r="T2116" s="6">
        <v>43040</v>
      </c>
      <c r="U2116" s="4">
        <v>168000</v>
      </c>
      <c r="V2116" t="s">
        <v>23739</v>
      </c>
      <c r="W2116" t="s">
        <v>18452</v>
      </c>
      <c r="X2116" t="s">
        <v>3</v>
      </c>
      <c r="AA2116" s="5" t="str">
        <f>HYPERLINK("https://www.zillow.com/homes/15-YARDLEY-CT-GLENDALE-HTS-IL-60139_rb/","check listing")</f>
        <v>check listing</v>
      </c>
      <c r="AB2116" s="5" t="str">
        <f>HYPERLINK("https://propertylookup.dupagecounty.gov/Datalets/Datalet.aspx?UseSearch=no&amp;mode=sales&amp;pin=0221400069","sales record")</f>
        <v>sales record</v>
      </c>
      <c r="AC2116" t="s">
        <v>27873</v>
      </c>
      <c r="AD2116">
        <v>41.933626</v>
      </c>
      <c r="AE2116">
        <v>-88.09193</v>
      </c>
      <c r="AF2116" s="5" t="str">
        <f>HYPERLINK("https://www.google.com/maps/search/?api=1&amp;query=41.933626,-88.09193","map")</f>
        <v>map</v>
      </c>
    </row>
    <row r="2117" spans="1:32">
      <c r="A2117" t="s">
        <v>2167</v>
      </c>
      <c r="B2117" t="s">
        <v>9721</v>
      </c>
      <c r="C2117" t="s">
        <v>15389</v>
      </c>
      <c r="D2117" t="s">
        <v>16202</v>
      </c>
      <c r="E2117" t="s">
        <v>16218</v>
      </c>
      <c r="F2117" t="s">
        <v>16221</v>
      </c>
      <c r="G2117" t="s">
        <v>16238</v>
      </c>
      <c r="H2117" t="s">
        <v>16238</v>
      </c>
      <c r="I2117" t="s">
        <v>16335</v>
      </c>
      <c r="J2117" t="s">
        <v>16386</v>
      </c>
      <c r="K2117">
        <v>0.1</v>
      </c>
      <c r="L2117">
        <v>4373</v>
      </c>
      <c r="N2117" t="s">
        <v>16393</v>
      </c>
      <c r="O2117" s="4">
        <v>22341</v>
      </c>
      <c r="P2117" s="4">
        <v>53227</v>
      </c>
      <c r="Q2117" s="4">
        <v>75568</v>
      </c>
      <c r="R2117" s="4">
        <v>226704</v>
      </c>
      <c r="S2117" t="s">
        <v>18453</v>
      </c>
      <c r="T2117" s="6">
        <v>33390</v>
      </c>
      <c r="U2117" s="4">
        <v>98500</v>
      </c>
      <c r="X2117" t="s">
        <v>3</v>
      </c>
      <c r="AA2117" s="5" t="str">
        <f>HYPERLINK("https://www.zillow.com/homes/5-YARDLEY-CT-GLENDALE-HTS-IL-60139_rb/","check listing")</f>
        <v>check listing</v>
      </c>
      <c r="AB2117" s="5" t="str">
        <f>HYPERLINK("https://propertylookup.dupagecounty.gov/Datalets/Datalet.aspx?UseSearch=no&amp;mode=sales&amp;pin=0221400083","sales record")</f>
        <v>sales record</v>
      </c>
      <c r="AC2117" t="s">
        <v>3</v>
      </c>
      <c r="AD2117">
        <v>41.933475</v>
      </c>
      <c r="AE2117">
        <v>-88.091329</v>
      </c>
      <c r="AF2117" s="5" t="str">
        <f>HYPERLINK("https://www.google.com/maps/search/?api=1&amp;query=41.933475,-88.091329","map")</f>
        <v>map</v>
      </c>
    </row>
    <row r="2118" spans="1:32">
      <c r="A2118" t="s">
        <v>2168</v>
      </c>
      <c r="B2118" t="s">
        <v>9722</v>
      </c>
      <c r="C2118" t="s">
        <v>15404</v>
      </c>
      <c r="D2118" t="s">
        <v>16202</v>
      </c>
      <c r="E2118" t="s">
        <v>16218</v>
      </c>
      <c r="F2118" t="s">
        <v>16221</v>
      </c>
      <c r="G2118" t="s">
        <v>16238</v>
      </c>
      <c r="H2118" t="s">
        <v>16238</v>
      </c>
      <c r="I2118" t="s">
        <v>16335</v>
      </c>
      <c r="J2118" t="s">
        <v>16386</v>
      </c>
      <c r="K2118">
        <v>0.099</v>
      </c>
      <c r="L2118">
        <v>4293</v>
      </c>
      <c r="N2118" t="s">
        <v>16393</v>
      </c>
      <c r="O2118" s="4">
        <v>22341</v>
      </c>
      <c r="P2118" s="4">
        <v>57076</v>
      </c>
      <c r="Q2118" s="4">
        <v>79417</v>
      </c>
      <c r="R2118" s="4">
        <v>238251</v>
      </c>
      <c r="S2118" t="s">
        <v>18454</v>
      </c>
      <c r="T2118" s="6">
        <v>42887</v>
      </c>
      <c r="U2118" s="4">
        <v>171500</v>
      </c>
      <c r="V2118" t="s">
        <v>23739</v>
      </c>
      <c r="W2118" t="s">
        <v>24748</v>
      </c>
      <c r="X2118" t="s">
        <v>3</v>
      </c>
      <c r="AA2118" s="5" t="str">
        <f>HYPERLINK("https://www.zillow.com/homes/19-YARDLEY-CT-GLENDALE-HTS-IL-601391883_rb/","check listing")</f>
        <v>check listing</v>
      </c>
      <c r="AB2118" s="5" t="str">
        <f>HYPERLINK("https://propertylookup.dupagecounty.gov/Datalets/Datalet.aspx?UseSearch=no&amp;mode=sales&amp;pin=0221400081","sales record")</f>
        <v>sales record</v>
      </c>
      <c r="AC2118" t="s">
        <v>27873</v>
      </c>
      <c r="AD2118">
        <v>41.93378</v>
      </c>
      <c r="AE2118">
        <v>-88.09216600000001</v>
      </c>
      <c r="AF2118" s="5" t="str">
        <f>HYPERLINK("https://www.google.com/maps/search/?api=1&amp;query=41.93378,-88.092166","map")</f>
        <v>map</v>
      </c>
    </row>
    <row r="2119" spans="1:32">
      <c r="A2119" t="s">
        <v>2169</v>
      </c>
      <c r="B2119" t="s">
        <v>9723</v>
      </c>
      <c r="C2119" t="s">
        <v>15389</v>
      </c>
      <c r="D2119" t="s">
        <v>16202</v>
      </c>
      <c r="E2119" t="s">
        <v>16218</v>
      </c>
      <c r="F2119" t="s">
        <v>16221</v>
      </c>
      <c r="G2119" t="s">
        <v>16238</v>
      </c>
      <c r="H2119" t="s">
        <v>16238</v>
      </c>
      <c r="I2119" t="s">
        <v>16335</v>
      </c>
      <c r="J2119" t="s">
        <v>16386</v>
      </c>
      <c r="K2119">
        <v>0.097</v>
      </c>
      <c r="L2119">
        <v>4214</v>
      </c>
      <c r="N2119" t="s">
        <v>16393</v>
      </c>
      <c r="O2119" s="4">
        <v>22341</v>
      </c>
      <c r="P2119" s="4">
        <v>53227</v>
      </c>
      <c r="Q2119" s="4">
        <v>75568</v>
      </c>
      <c r="R2119" s="4">
        <v>226704</v>
      </c>
      <c r="S2119" t="s">
        <v>18455</v>
      </c>
      <c r="T2119" s="6">
        <v>45593</v>
      </c>
      <c r="U2119" s="4">
        <v>280000</v>
      </c>
      <c r="V2119" t="s">
        <v>23739</v>
      </c>
      <c r="W2119" t="s">
        <v>24749</v>
      </c>
      <c r="X2119" t="s">
        <v>3</v>
      </c>
      <c r="AA2119" s="5" t="str">
        <f>HYPERLINK("https://www.zillow.com/homes/2147-BRITTANY-LN-GLENDALE-HTS-IL-60139_rb/","check listing")</f>
        <v>check listing</v>
      </c>
      <c r="AB2119" s="5" t="str">
        <f>HYPERLINK("https://propertylookup.dupagecounty.gov/Datalets/Datalet.aspx?UseSearch=no&amp;mode=sales&amp;pin=0221404051","sales record")</f>
        <v>sales record</v>
      </c>
      <c r="AC2119" t="s">
        <v>27873</v>
      </c>
      <c r="AD2119">
        <v>41.937091</v>
      </c>
      <c r="AE2119">
        <v>-88.092635</v>
      </c>
      <c r="AF2119" s="5" t="str">
        <f>HYPERLINK("https://www.google.com/maps/search/?api=1&amp;query=41.937091,-88.092635","map")</f>
        <v>map</v>
      </c>
    </row>
    <row r="2120" spans="1:32">
      <c r="A2120" t="s">
        <v>2170</v>
      </c>
      <c r="B2120" t="s">
        <v>9724</v>
      </c>
      <c r="C2120" t="s">
        <v>15405</v>
      </c>
      <c r="D2120" t="s">
        <v>16202</v>
      </c>
      <c r="E2120" t="s">
        <v>16218</v>
      </c>
      <c r="F2120" t="s">
        <v>16221</v>
      </c>
      <c r="G2120" t="s">
        <v>16238</v>
      </c>
      <c r="H2120" t="s">
        <v>16238</v>
      </c>
      <c r="I2120" t="s">
        <v>16335</v>
      </c>
      <c r="J2120" t="s">
        <v>16386</v>
      </c>
      <c r="K2120">
        <v>0.095</v>
      </c>
      <c r="L2120">
        <v>4144</v>
      </c>
      <c r="N2120" t="s">
        <v>16393</v>
      </c>
      <c r="O2120" s="4">
        <v>22341</v>
      </c>
      <c r="P2120" s="4">
        <v>53227</v>
      </c>
      <c r="Q2120" s="4">
        <v>75568</v>
      </c>
      <c r="R2120" s="4">
        <v>226704</v>
      </c>
      <c r="S2120" t="s">
        <v>18456</v>
      </c>
      <c r="T2120" s="6">
        <v>45981</v>
      </c>
      <c r="U2120" s="4">
        <v>130000</v>
      </c>
      <c r="V2120" t="s">
        <v>23739</v>
      </c>
      <c r="W2120" t="s">
        <v>24750</v>
      </c>
      <c r="X2120" t="s">
        <v>3</v>
      </c>
      <c r="AA2120" s="5" t="str">
        <f>HYPERLINK("https://www.zillow.com/homes/2135-BRITTANY-LN-GLENDALE-HTS-IL-601391886_rb/","check listing")</f>
        <v>check listing</v>
      </c>
      <c r="AB2120" s="5" t="str">
        <f>HYPERLINK("https://propertylookup.dupagecounty.gov/Datalets/Datalet.aspx?UseSearch=no&amp;mode=sales&amp;pin=0221404057","sales record")</f>
        <v>sales record</v>
      </c>
      <c r="AC2120" t="s">
        <v>27873</v>
      </c>
      <c r="AD2120">
        <v>41.936651</v>
      </c>
      <c r="AE2120">
        <v>-88.092634</v>
      </c>
      <c r="AF2120" s="5" t="str">
        <f>HYPERLINK("https://www.google.com/maps/search/?api=1&amp;query=41.936651,-88.092634","map")</f>
        <v>map</v>
      </c>
    </row>
    <row r="2121" spans="1:32">
      <c r="A2121" t="s">
        <v>2171</v>
      </c>
      <c r="B2121" t="s">
        <v>9725</v>
      </c>
      <c r="C2121" t="s">
        <v>15389</v>
      </c>
      <c r="D2121" t="s">
        <v>16202</v>
      </c>
      <c r="E2121" t="s">
        <v>16218</v>
      </c>
      <c r="F2121" t="s">
        <v>16221</v>
      </c>
      <c r="G2121" t="s">
        <v>16238</v>
      </c>
      <c r="H2121" t="s">
        <v>16238</v>
      </c>
      <c r="I2121" t="s">
        <v>16335</v>
      </c>
      <c r="J2121" t="s">
        <v>16386</v>
      </c>
      <c r="K2121">
        <v>0.092</v>
      </c>
      <c r="L2121">
        <v>4021</v>
      </c>
      <c r="N2121" t="s">
        <v>16393</v>
      </c>
      <c r="O2121" s="4">
        <v>22341</v>
      </c>
      <c r="P2121" s="4">
        <v>60363</v>
      </c>
      <c r="Q2121" s="4">
        <v>82704</v>
      </c>
      <c r="R2121" s="4">
        <v>248112</v>
      </c>
      <c r="S2121" t="s">
        <v>18457</v>
      </c>
      <c r="T2121" s="6">
        <v>42491</v>
      </c>
      <c r="U2121" s="4">
        <v>175000</v>
      </c>
      <c r="V2121" t="s">
        <v>23739</v>
      </c>
      <c r="W2121" t="s">
        <v>24751</v>
      </c>
      <c r="X2121" t="s">
        <v>3</v>
      </c>
      <c r="AA2121" s="5" t="str">
        <f>HYPERLINK("https://www.zillow.com/homes/2098-CARDINAL-DR-GLENDALE-HTS-IL-60139_rb/","check listing")</f>
        <v>check listing</v>
      </c>
      <c r="AB2121" s="5" t="str">
        <f>HYPERLINK("https://propertylookup.dupagecounty.gov/Datalets/Datalet.aspx?UseSearch=no&amp;mode=sales&amp;pin=0221400059","sales record")</f>
        <v>sales record</v>
      </c>
      <c r="AC2121" t="s">
        <v>27873</v>
      </c>
      <c r="AD2121">
        <v>41.935324</v>
      </c>
      <c r="AE2121">
        <v>-88.09116899999999</v>
      </c>
      <c r="AF2121" s="5" t="str">
        <f>HYPERLINK("https://www.google.com/maps/search/?api=1&amp;query=41.935324,-88.091169","map")</f>
        <v>map</v>
      </c>
    </row>
    <row r="2122" spans="1:32">
      <c r="A2122" t="s">
        <v>2172</v>
      </c>
      <c r="B2122" t="s">
        <v>9726</v>
      </c>
      <c r="C2122" t="s">
        <v>15406</v>
      </c>
      <c r="D2122" t="s">
        <v>16202</v>
      </c>
      <c r="E2122" t="s">
        <v>16218</v>
      </c>
      <c r="F2122" t="s">
        <v>16221</v>
      </c>
      <c r="G2122" t="s">
        <v>16238</v>
      </c>
      <c r="H2122" t="s">
        <v>16238</v>
      </c>
      <c r="I2122" t="s">
        <v>16335</v>
      </c>
      <c r="J2122" t="s">
        <v>16386</v>
      </c>
      <c r="K2122">
        <v>0.079</v>
      </c>
      <c r="L2122">
        <v>3429</v>
      </c>
      <c r="N2122" t="s">
        <v>16393</v>
      </c>
      <c r="O2122" s="4">
        <v>17822</v>
      </c>
      <c r="P2122" s="4">
        <v>50215</v>
      </c>
      <c r="Q2122" s="4">
        <v>68037</v>
      </c>
      <c r="R2122" s="4">
        <v>204111</v>
      </c>
      <c r="S2122" t="s">
        <v>18458</v>
      </c>
      <c r="T2122" s="6">
        <v>44470</v>
      </c>
      <c r="U2122" s="4">
        <v>190000</v>
      </c>
      <c r="V2122" t="s">
        <v>23739</v>
      </c>
      <c r="W2122" t="s">
        <v>18458</v>
      </c>
      <c r="X2122" t="s">
        <v>3</v>
      </c>
      <c r="AA2122" s="5" t="str">
        <f>HYPERLINK("https://www.zillow.com/homes/136-GOLDEN-DR-GLENDALE-HTS-IL-601392437_rb/","check listing")</f>
        <v>check listing</v>
      </c>
      <c r="AB2122" s="5" t="str">
        <f>HYPERLINK("https://propertylookup.dupagecounty.gov/Datalets/Datalet.aspx?UseSearch=no&amp;mode=sales&amp;pin=0228400049","sales record")</f>
        <v>sales record</v>
      </c>
      <c r="AC2122" t="s">
        <v>3</v>
      </c>
      <c r="AD2122">
        <v>41.924219</v>
      </c>
      <c r="AE2122">
        <v>-88.097872</v>
      </c>
      <c r="AF2122" s="5" t="str">
        <f>HYPERLINK("https://www.google.com/maps/search/?api=1&amp;query=41.924219,-88.097872","map")</f>
        <v>map</v>
      </c>
    </row>
    <row r="2123" spans="1:32">
      <c r="A2123" t="s">
        <v>2173</v>
      </c>
      <c r="B2123" t="s">
        <v>9727</v>
      </c>
      <c r="C2123" t="s">
        <v>15389</v>
      </c>
      <c r="D2123" t="s">
        <v>16202</v>
      </c>
      <c r="E2123" t="s">
        <v>16217</v>
      </c>
      <c r="F2123" t="s">
        <v>16221</v>
      </c>
      <c r="G2123" t="s">
        <v>16238</v>
      </c>
      <c r="H2123" t="s">
        <v>16238</v>
      </c>
      <c r="I2123" t="s">
        <v>16335</v>
      </c>
      <c r="J2123" t="s">
        <v>16386</v>
      </c>
      <c r="K2123">
        <v>0.102</v>
      </c>
      <c r="L2123">
        <v>4464</v>
      </c>
      <c r="N2123" t="s">
        <v>16392</v>
      </c>
      <c r="O2123" s="4">
        <v>15121</v>
      </c>
      <c r="P2123" s="4">
        <v>0</v>
      </c>
      <c r="Q2123" s="4">
        <v>15121</v>
      </c>
      <c r="R2123" s="4">
        <v>45363</v>
      </c>
      <c r="S2123" t="s">
        <v>18459</v>
      </c>
      <c r="X2123" t="s">
        <v>3</v>
      </c>
      <c r="AA2123" s="5" t="str">
        <f>HYPERLINK("https://www.zillow.com/homes/1210-BLOOMINGDALE-RD-GLENDALE-HTS-IL-60139_rb/","check listing")</f>
        <v>check listing</v>
      </c>
      <c r="AB2123" s="5" t="str">
        <f>HYPERLINK("https://propertylookup.dupagecounty.gov/Datalets/Datalet.aspx?UseSearch=no&amp;mode=sales&amp;pin=0234311047","sales record")</f>
        <v>sales record</v>
      </c>
      <c r="AC2123" t="s">
        <v>27872</v>
      </c>
      <c r="AD2123">
        <v>41.904076</v>
      </c>
      <c r="AE2123">
        <v>-88.08292899999999</v>
      </c>
      <c r="AF2123" s="5" t="str">
        <f>HYPERLINK("https://www.google.com/maps/search/?api=1&amp;query=41.904076,-88.082929","map")</f>
        <v>map</v>
      </c>
    </row>
    <row r="2124" spans="1:32">
      <c r="A2124" t="s">
        <v>2174</v>
      </c>
      <c r="B2124" t="s">
        <v>9728</v>
      </c>
      <c r="C2124" t="s">
        <v>15407</v>
      </c>
      <c r="D2124" t="s">
        <v>16203</v>
      </c>
      <c r="E2124" t="s">
        <v>16217</v>
      </c>
      <c r="F2124" t="s">
        <v>16222</v>
      </c>
      <c r="G2124" t="s">
        <v>16257</v>
      </c>
      <c r="H2124" t="s">
        <v>16257</v>
      </c>
      <c r="I2124" t="s">
        <v>16336</v>
      </c>
      <c r="J2124" t="s">
        <v>16386</v>
      </c>
      <c r="K2124">
        <v>57.444</v>
      </c>
      <c r="L2124">
        <v>2502267</v>
      </c>
      <c r="N2124" t="s">
        <v>16395</v>
      </c>
      <c r="O2124" s="4">
        <v>24585</v>
      </c>
      <c r="P2124" s="4">
        <v>0</v>
      </c>
      <c r="Q2124" s="4">
        <v>24585</v>
      </c>
      <c r="R2124" s="4">
        <v>73755</v>
      </c>
      <c r="S2124" t="s">
        <v>18460</v>
      </c>
      <c r="X2124" t="s">
        <v>3</v>
      </c>
      <c r="AA2124" s="5" t="str">
        <f>HYPERLINK("https://www.zillow.com/homes/21W471-DEVON-AVE-HANOVER-PARK-IL-60133_rb/","check listing")</f>
        <v>check listing</v>
      </c>
      <c r="AB2124" s="5" t="str">
        <f>HYPERLINK("https://propertylookup.dupagecounty.gov/Datalets/Datalet.aspx?UseSearch=no&amp;mode=sales&amp;pin=0101105007","sales record")</f>
        <v>sales record</v>
      </c>
      <c r="AC2124" t="s">
        <v>27872</v>
      </c>
      <c r="AD2124">
        <v>41.985133</v>
      </c>
      <c r="AE2124">
        <v>-88.155829</v>
      </c>
      <c r="AF2124" s="5" t="str">
        <f>HYPERLINK("https://www.google.com/maps/search/?api=1&amp;query=41.985133,-88.155829","map")</f>
        <v>map</v>
      </c>
    </row>
    <row r="2125" spans="1:32">
      <c r="A2125" t="s">
        <v>2175</v>
      </c>
      <c r="B2125" t="s">
        <v>9729</v>
      </c>
      <c r="C2125" t="s">
        <v>15407</v>
      </c>
      <c r="D2125" t="s">
        <v>16203</v>
      </c>
      <c r="E2125" t="s">
        <v>16217</v>
      </c>
      <c r="F2125" t="s">
        <v>16222</v>
      </c>
      <c r="G2125" t="s">
        <v>16257</v>
      </c>
      <c r="H2125" t="s">
        <v>16257</v>
      </c>
      <c r="I2125" t="s">
        <v>16336</v>
      </c>
      <c r="J2125" t="s">
        <v>16386</v>
      </c>
      <c r="K2125">
        <v>27.792</v>
      </c>
      <c r="L2125">
        <v>1210603</v>
      </c>
      <c r="N2125" t="s">
        <v>16395</v>
      </c>
      <c r="O2125" s="4">
        <v>12947</v>
      </c>
      <c r="P2125" s="4">
        <v>0</v>
      </c>
      <c r="Q2125" s="4">
        <v>12947</v>
      </c>
      <c r="R2125" s="4">
        <v>38841</v>
      </c>
      <c r="S2125" t="s">
        <v>18461</v>
      </c>
      <c r="X2125" t="s">
        <v>3</v>
      </c>
      <c r="AA2125" s="5" t="str">
        <f>HYPERLINK("https://www.zillow.com/homes/2089-W-DEVON-AVE-HANOVER-PARK-IL-60133_rb/","check listing")</f>
        <v>check listing</v>
      </c>
      <c r="AB2125" s="5" t="str">
        <f>HYPERLINK("https://propertylookup.dupagecounty.gov/Datalets/Datalet.aspx?UseSearch=no&amp;mode=sales&amp;pin=0101105004","sales record")</f>
        <v>sales record</v>
      </c>
      <c r="AC2125" t="s">
        <v>3</v>
      </c>
      <c r="AD2125">
        <v>41.982759</v>
      </c>
      <c r="AE2125">
        <v>-88.158637</v>
      </c>
      <c r="AF2125" s="5" t="str">
        <f>HYPERLINK("https://www.google.com/maps/search/?api=1&amp;query=41.982759,-88.158637","map")</f>
        <v>map</v>
      </c>
    </row>
    <row r="2126" spans="1:32">
      <c r="A2126" t="s">
        <v>2176</v>
      </c>
      <c r="B2126" t="s">
        <v>9730</v>
      </c>
      <c r="C2126" t="s">
        <v>15407</v>
      </c>
      <c r="D2126" t="s">
        <v>16203</v>
      </c>
      <c r="E2126" t="s">
        <v>16217</v>
      </c>
      <c r="F2126" t="s">
        <v>16222</v>
      </c>
      <c r="G2126" t="s">
        <v>16257</v>
      </c>
      <c r="H2126" t="s">
        <v>16257</v>
      </c>
      <c r="I2126" t="s">
        <v>16336</v>
      </c>
      <c r="J2126" t="s">
        <v>16386</v>
      </c>
      <c r="K2126">
        <v>6.307</v>
      </c>
      <c r="L2126">
        <v>274712</v>
      </c>
      <c r="N2126" t="s">
        <v>16393</v>
      </c>
      <c r="O2126" s="4">
        <v>35008</v>
      </c>
      <c r="P2126" s="4">
        <v>0</v>
      </c>
      <c r="Q2126" s="4">
        <v>35008</v>
      </c>
      <c r="R2126" s="4">
        <v>105024</v>
      </c>
      <c r="S2126" t="s">
        <v>18462</v>
      </c>
      <c r="X2126" t="s">
        <v>27865</v>
      </c>
      <c r="Y2126" s="5" t="str">
        <f>HYPERLINK("https://www.redfin.com/city/29485/IL/Hanover-Park/land","listing")</f>
        <v>listing</v>
      </c>
      <c r="Z2126" s="4">
        <v>475000</v>
      </c>
      <c r="AA2126" s="5" t="str">
        <f>HYPERLINK("https://www.zillow.com/homes/27W607-DEVON-AVE-HANOVER-PARK-IL-60133_rb/","check listing")</f>
        <v>check listing</v>
      </c>
      <c r="AB2126" s="5" t="str">
        <f>HYPERLINK("https://propertylookup.dupagecounty.gov/Datalets/Datalet.aspx?UseSearch=no&amp;mode=sales&amp;pin=0101100019","sales record")</f>
        <v>sales record</v>
      </c>
      <c r="AC2126" t="s">
        <v>3</v>
      </c>
      <c r="AD2126">
        <v>41.98197</v>
      </c>
      <c r="AE2126">
        <v>-88.159901</v>
      </c>
      <c r="AF2126" s="5" t="str">
        <f>HYPERLINK("https://www.google.com/maps/search/?api=1&amp;query=41.98197,-88.159901","map")</f>
        <v>map</v>
      </c>
    </row>
    <row r="2127" spans="1:32">
      <c r="A2127" t="s">
        <v>2177</v>
      </c>
      <c r="B2127" t="s">
        <v>9731</v>
      </c>
      <c r="C2127" t="s">
        <v>15407</v>
      </c>
      <c r="D2127" t="s">
        <v>16203</v>
      </c>
      <c r="E2127" t="s">
        <v>16217</v>
      </c>
      <c r="F2127" t="s">
        <v>16222</v>
      </c>
      <c r="G2127" t="s">
        <v>16258</v>
      </c>
      <c r="H2127" t="s">
        <v>16258</v>
      </c>
      <c r="I2127" t="s">
        <v>16337</v>
      </c>
      <c r="J2127" t="s">
        <v>16386</v>
      </c>
      <c r="K2127">
        <v>5.324</v>
      </c>
      <c r="L2127">
        <v>231930</v>
      </c>
      <c r="M2127">
        <v>594</v>
      </c>
      <c r="N2127" t="s">
        <v>16393</v>
      </c>
      <c r="O2127" s="4">
        <v>33355</v>
      </c>
      <c r="P2127" s="4">
        <v>0</v>
      </c>
      <c r="Q2127" s="4">
        <v>33355</v>
      </c>
      <c r="R2127" s="4">
        <v>100065</v>
      </c>
      <c r="S2127" t="s">
        <v>18463</v>
      </c>
      <c r="T2127" s="6">
        <v>44348</v>
      </c>
      <c r="U2127" s="4">
        <v>200000</v>
      </c>
      <c r="V2127" t="s">
        <v>23739</v>
      </c>
      <c r="W2127" t="s">
        <v>18463</v>
      </c>
      <c r="X2127" t="s">
        <v>3</v>
      </c>
      <c r="AA2127" s="5" t="str">
        <f>HYPERLINK("https://www.zillow.com/homes/1-COUNTY-FARM-RD-HANOVER-PARK-IL-60133_rb/","check listing")</f>
        <v>check listing</v>
      </c>
      <c r="AB2127" s="5" t="str">
        <f>HYPERLINK("https://propertylookup.dupagecounty.gov/Datalets/Datalet.aspx?UseSearch=no&amp;mode=sales&amp;pin=0101204013","sales record")</f>
        <v>sales record</v>
      </c>
      <c r="AC2127" t="s">
        <v>11</v>
      </c>
      <c r="AD2127">
        <v>41.983892</v>
      </c>
      <c r="AE2127">
        <v>-88.149237</v>
      </c>
      <c r="AF2127" s="5" t="str">
        <f>HYPERLINK("https://www.google.com/maps/search/?api=1&amp;query=41.983892,-88.149237","map")</f>
        <v>map</v>
      </c>
    </row>
    <row r="2128" spans="1:32">
      <c r="A2128" t="s">
        <v>2178</v>
      </c>
      <c r="B2128" t="s">
        <v>9730</v>
      </c>
      <c r="C2128" t="s">
        <v>15407</v>
      </c>
      <c r="D2128" t="s">
        <v>16203</v>
      </c>
      <c r="E2128" t="s">
        <v>16217</v>
      </c>
      <c r="F2128" t="s">
        <v>16222</v>
      </c>
      <c r="G2128" t="s">
        <v>16257</v>
      </c>
      <c r="H2128" t="s">
        <v>16257</v>
      </c>
      <c r="I2128" t="s">
        <v>16336</v>
      </c>
      <c r="J2128" t="s">
        <v>16386</v>
      </c>
      <c r="K2128">
        <v>1.506</v>
      </c>
      <c r="L2128">
        <v>65607</v>
      </c>
      <c r="N2128" t="s">
        <v>16393</v>
      </c>
      <c r="O2128" s="4">
        <v>42508</v>
      </c>
      <c r="P2128" s="4">
        <v>0</v>
      </c>
      <c r="Q2128" s="4">
        <v>42508</v>
      </c>
      <c r="R2128" s="4">
        <v>127524</v>
      </c>
      <c r="S2128" t="s">
        <v>18462</v>
      </c>
      <c r="T2128" s="6">
        <v>41091</v>
      </c>
      <c r="U2128" s="4">
        <v>55000</v>
      </c>
      <c r="V2128" t="s">
        <v>23740</v>
      </c>
      <c r="W2128" t="s">
        <v>24752</v>
      </c>
      <c r="X2128" t="s">
        <v>27865</v>
      </c>
      <c r="Y2128" s="5" t="str">
        <f>HYPERLINK("https://www.redfin.com/city/29485/IL/Hanover-Park/land","listing")</f>
        <v>listing</v>
      </c>
      <c r="Z2128" s="4">
        <v>475000</v>
      </c>
      <c r="AA2128" s="5" t="str">
        <f>HYPERLINK("https://www.zillow.com/homes/27W607-DEVON-AVE-HANOVER-PARK-IL-60133_rb/","check listing")</f>
        <v>check listing</v>
      </c>
      <c r="AB2128" s="5" t="str">
        <f>HYPERLINK("https://propertylookup.dupagecounty.gov/Datalets/Datalet.aspx?UseSearch=no&amp;mode=sales&amp;pin=0101100017","sales record")</f>
        <v>sales record</v>
      </c>
      <c r="AC2128" t="s">
        <v>3</v>
      </c>
      <c r="AD2128">
        <v>41.987072</v>
      </c>
      <c r="AE2128">
        <v>-88.15989999999999</v>
      </c>
      <c r="AF2128" s="5" t="str">
        <f>HYPERLINK("https://www.google.com/maps/search/?api=1&amp;query=41.987072,-88.1599","map")</f>
        <v>map</v>
      </c>
    </row>
    <row r="2129" spans="1:32">
      <c r="A2129" t="s">
        <v>2179</v>
      </c>
      <c r="B2129" t="s">
        <v>9732</v>
      </c>
      <c r="C2129" t="s">
        <v>15407</v>
      </c>
      <c r="D2129" t="s">
        <v>16203</v>
      </c>
      <c r="E2129" t="s">
        <v>16217</v>
      </c>
      <c r="F2129" t="s">
        <v>16222</v>
      </c>
      <c r="G2129" t="s">
        <v>16258</v>
      </c>
      <c r="H2129" t="s">
        <v>16258</v>
      </c>
      <c r="I2129" t="s">
        <v>16337</v>
      </c>
      <c r="J2129" t="s">
        <v>16386</v>
      </c>
      <c r="K2129">
        <v>0.435</v>
      </c>
      <c r="L2129">
        <v>18958</v>
      </c>
      <c r="N2129" t="s">
        <v>16392</v>
      </c>
      <c r="O2129" s="4">
        <v>5751</v>
      </c>
      <c r="P2129" s="4">
        <v>0</v>
      </c>
      <c r="Q2129" s="4">
        <v>5751</v>
      </c>
      <c r="R2129" s="4">
        <v>17253</v>
      </c>
      <c r="S2129" t="s">
        <v>18464</v>
      </c>
      <c r="T2129" s="6">
        <v>37530</v>
      </c>
      <c r="U2129" s="4">
        <v>10500</v>
      </c>
      <c r="V2129" t="s">
        <v>23740</v>
      </c>
      <c r="W2129" t="s">
        <v>23978</v>
      </c>
      <c r="X2129" t="s">
        <v>3</v>
      </c>
      <c r="AA2129" s="5" t="str">
        <f>HYPERLINK("https://www.zillow.com/homes/27W351-DEVON-AVE-HANOVER-PARK-IL-60133_rb/","check listing")</f>
        <v>check listing</v>
      </c>
      <c r="AB2129" s="5" t="str">
        <f>HYPERLINK("https://propertylookup.dupagecounty.gov/Datalets/Datalet.aspx?UseSearch=no&amp;mode=sales&amp;pin=0101201006","sales record")</f>
        <v>sales record</v>
      </c>
      <c r="AC2129" t="s">
        <v>3</v>
      </c>
      <c r="AD2129">
        <v>41.987455</v>
      </c>
      <c r="AE2129">
        <v>-88.153029</v>
      </c>
      <c r="AF2129" s="5" t="str">
        <f>HYPERLINK("https://www.google.com/maps/search/?api=1&amp;query=41.987455,-88.153029","map")</f>
        <v>map</v>
      </c>
    </row>
    <row r="2130" spans="1:32">
      <c r="A2130" t="s">
        <v>2180</v>
      </c>
      <c r="B2130" t="s">
        <v>9733</v>
      </c>
      <c r="C2130" t="s">
        <v>15407</v>
      </c>
      <c r="D2130" t="s">
        <v>16203</v>
      </c>
      <c r="E2130" t="s">
        <v>16218</v>
      </c>
      <c r="F2130" t="s">
        <v>16220</v>
      </c>
      <c r="G2130" t="s">
        <v>16238</v>
      </c>
      <c r="H2130" t="s">
        <v>16238</v>
      </c>
      <c r="I2130" t="s">
        <v>16338</v>
      </c>
      <c r="J2130" t="s">
        <v>16385</v>
      </c>
      <c r="K2130">
        <v>0.647</v>
      </c>
      <c r="L2130">
        <v>28187</v>
      </c>
      <c r="M2130">
        <v>2442</v>
      </c>
      <c r="N2130" t="s">
        <v>16393</v>
      </c>
      <c r="O2130" s="4">
        <v>42508</v>
      </c>
      <c r="P2130" s="4">
        <v>31438</v>
      </c>
      <c r="Q2130" s="4">
        <v>73946</v>
      </c>
      <c r="R2130" s="4">
        <v>221838</v>
      </c>
      <c r="S2130" t="s">
        <v>18465</v>
      </c>
      <c r="T2130" s="6">
        <v>43586</v>
      </c>
      <c r="U2130" s="4">
        <v>158000</v>
      </c>
      <c r="V2130" t="s">
        <v>23739</v>
      </c>
      <c r="W2130" t="s">
        <v>24753</v>
      </c>
      <c r="X2130" t="s">
        <v>3</v>
      </c>
      <c r="AA2130" s="5" t="str">
        <f>HYPERLINK("https://www.zillow.com/homes/7N581-MERWIN-AVE-HANOVER-PARK-IL-60133_rb/","check listing")</f>
        <v>check listing</v>
      </c>
      <c r="AB2130" s="5" t="str">
        <f>HYPERLINK("https://propertylookup.dupagecounty.gov/Datalets/Datalet.aspx?UseSearch=no&amp;mode=sales&amp;pin=0101211003","sales record")</f>
        <v>sales record</v>
      </c>
      <c r="AC2130" t="s">
        <v>3</v>
      </c>
      <c r="AD2130">
        <v>41.984399</v>
      </c>
      <c r="AE2130">
        <v>-88.14687000000001</v>
      </c>
      <c r="AF2130" s="5" t="str">
        <f>HYPERLINK("https://www.google.com/maps/search/?api=1&amp;query=41.984399,-88.14687","map")</f>
        <v>map</v>
      </c>
    </row>
    <row r="2131" spans="1:32">
      <c r="A2131" t="s">
        <v>2181</v>
      </c>
      <c r="B2131" t="s">
        <v>9734</v>
      </c>
      <c r="C2131" t="s">
        <v>15407</v>
      </c>
      <c r="D2131" t="s">
        <v>16203</v>
      </c>
      <c r="E2131" t="s">
        <v>16218</v>
      </c>
      <c r="F2131" t="s">
        <v>16220</v>
      </c>
      <c r="G2131" t="s">
        <v>16238</v>
      </c>
      <c r="H2131" t="s">
        <v>16238</v>
      </c>
      <c r="I2131" t="s">
        <v>16338</v>
      </c>
      <c r="J2131" t="s">
        <v>16385</v>
      </c>
      <c r="K2131">
        <v>0.643</v>
      </c>
      <c r="L2131">
        <v>27989</v>
      </c>
      <c r="M2131">
        <v>1716</v>
      </c>
      <c r="N2131" t="s">
        <v>16393</v>
      </c>
      <c r="O2131" s="4">
        <v>42508</v>
      </c>
      <c r="P2131" s="4">
        <v>39106</v>
      </c>
      <c r="Q2131" s="4">
        <v>81614</v>
      </c>
      <c r="R2131" s="4">
        <v>244842</v>
      </c>
      <c r="S2131" t="s">
        <v>18466</v>
      </c>
      <c r="T2131" s="6">
        <v>35977</v>
      </c>
      <c r="U2131" s="4">
        <v>99500</v>
      </c>
      <c r="X2131" t="s">
        <v>3</v>
      </c>
      <c r="AA2131" s="5" t="str">
        <f>HYPERLINK("https://www.zillow.com/homes/7N595-COUNTY-FARM-RD-HANOVER-PARK-IL-60133_rb/","check listing")</f>
        <v>check listing</v>
      </c>
      <c r="AB2131" s="5" t="str">
        <f>HYPERLINK("https://propertylookup.dupagecounty.gov/Datalets/Datalet.aspx?UseSearch=no&amp;mode=sales&amp;pin=0101211002","sales record")</f>
        <v>sales record</v>
      </c>
      <c r="AC2131" t="s">
        <v>3</v>
      </c>
      <c r="AD2131">
        <v>41.98465</v>
      </c>
      <c r="AE2131">
        <v>-88.146867</v>
      </c>
      <c r="AF2131" s="5" t="str">
        <f>HYPERLINK("https://www.google.com/maps/search/?api=1&amp;query=41.98465,-88.146867","map")</f>
        <v>map</v>
      </c>
    </row>
    <row r="2132" spans="1:32">
      <c r="A2132" t="s">
        <v>2182</v>
      </c>
      <c r="B2132" t="s">
        <v>9735</v>
      </c>
      <c r="C2132" t="s">
        <v>15407</v>
      </c>
      <c r="D2132" t="s">
        <v>16203</v>
      </c>
      <c r="E2132" t="s">
        <v>16218</v>
      </c>
      <c r="F2132" t="s">
        <v>16220</v>
      </c>
      <c r="G2132" t="s">
        <v>16238</v>
      </c>
      <c r="H2132" t="s">
        <v>16238</v>
      </c>
      <c r="I2132" t="s">
        <v>16338</v>
      </c>
      <c r="J2132" t="s">
        <v>16385</v>
      </c>
      <c r="K2132">
        <v>0.377</v>
      </c>
      <c r="L2132">
        <v>16420</v>
      </c>
      <c r="M2132">
        <v>2370</v>
      </c>
      <c r="N2132" t="s">
        <v>16393</v>
      </c>
      <c r="O2132" s="4">
        <v>31534</v>
      </c>
      <c r="P2132" s="4">
        <v>41945</v>
      </c>
      <c r="Q2132" s="4">
        <v>73479</v>
      </c>
      <c r="R2132" s="4">
        <v>220437</v>
      </c>
      <c r="S2132" t="s">
        <v>18467</v>
      </c>
      <c r="T2132" s="6">
        <v>43647</v>
      </c>
      <c r="U2132" s="4">
        <v>81750</v>
      </c>
      <c r="V2132" t="s">
        <v>23739</v>
      </c>
      <c r="W2132" t="s">
        <v>18467</v>
      </c>
      <c r="X2132" t="s">
        <v>3</v>
      </c>
      <c r="AA2132" s="5" t="str">
        <f>HYPERLINK("https://www.zillow.com/homes/27W040-ONTARIOVILLE-RD-HANOVER-PARK-IL-60133_rb/","check listing")</f>
        <v>check listing</v>
      </c>
      <c r="AB2132" s="5" t="str">
        <f>HYPERLINK("https://propertylookup.dupagecounty.gov/Datalets/Datalet.aspx?UseSearch=no&amp;mode=sales&amp;pin=0101207001","sales record")</f>
        <v>sales record</v>
      </c>
      <c r="AC2132" t="s">
        <v>3</v>
      </c>
      <c r="AD2132">
        <v>41.985327</v>
      </c>
      <c r="AE2132">
        <v>-88.145815</v>
      </c>
      <c r="AF2132" s="5" t="str">
        <f>HYPERLINK("https://www.google.com/maps/search/?api=1&amp;query=41.985327,-88.145815","map")</f>
        <v>map</v>
      </c>
    </row>
    <row r="2133" spans="1:32">
      <c r="A2133" t="s">
        <v>2183</v>
      </c>
      <c r="B2133" t="s">
        <v>9736</v>
      </c>
      <c r="C2133" t="s">
        <v>15408</v>
      </c>
      <c r="D2133" t="s">
        <v>16203</v>
      </c>
      <c r="E2133" t="s">
        <v>16218</v>
      </c>
      <c r="F2133" t="s">
        <v>16220</v>
      </c>
      <c r="G2133" t="s">
        <v>16238</v>
      </c>
      <c r="H2133" t="s">
        <v>16238</v>
      </c>
      <c r="I2133" t="s">
        <v>16338</v>
      </c>
      <c r="J2133" t="s">
        <v>16385</v>
      </c>
      <c r="K2133">
        <v>0.342</v>
      </c>
      <c r="L2133">
        <v>14884</v>
      </c>
      <c r="M2133">
        <v>2359</v>
      </c>
      <c r="N2133" t="s">
        <v>16393</v>
      </c>
      <c r="O2133" s="4">
        <v>36878</v>
      </c>
      <c r="P2133" s="4">
        <v>96015</v>
      </c>
      <c r="Q2133" s="4">
        <v>132893</v>
      </c>
      <c r="R2133" s="4">
        <v>398679</v>
      </c>
      <c r="S2133" t="s">
        <v>18468</v>
      </c>
      <c r="T2133" s="6">
        <v>45831</v>
      </c>
      <c r="U2133" s="4">
        <v>490000</v>
      </c>
      <c r="V2133" t="s">
        <v>23739</v>
      </c>
      <c r="W2133" t="s">
        <v>24754</v>
      </c>
      <c r="X2133" t="s">
        <v>3</v>
      </c>
      <c r="AA2133" s="5" t="str">
        <f>HYPERLINK("https://www.zillow.com/homes/1947-LUCILLE-LN-HANOVER-PARK-IL-601335352_rb/","check listing")</f>
        <v>check listing</v>
      </c>
      <c r="AB2133" s="5" t="str">
        <f>HYPERLINK("https://propertylookup.dupagecounty.gov/Datalets/Datalet.aspx?UseSearch=no&amp;mode=sales&amp;pin=0112210033","sales record")</f>
        <v>sales record</v>
      </c>
      <c r="AC2133" t="s">
        <v>3</v>
      </c>
      <c r="AD2133">
        <v>41.971378</v>
      </c>
      <c r="AE2133">
        <v>-88.15109699999999</v>
      </c>
      <c r="AF2133" s="5" t="str">
        <f>HYPERLINK("https://www.google.com/maps/search/?api=1&amp;query=41.971378,-88.151097","map")</f>
        <v>map</v>
      </c>
    </row>
    <row r="2134" spans="1:32">
      <c r="A2134" t="s">
        <v>2184</v>
      </c>
      <c r="B2134" t="s">
        <v>9737</v>
      </c>
      <c r="C2134" t="s">
        <v>15407</v>
      </c>
      <c r="D2134" t="s">
        <v>16203</v>
      </c>
      <c r="E2134" t="s">
        <v>16218</v>
      </c>
      <c r="F2134" t="s">
        <v>16220</v>
      </c>
      <c r="G2134" t="s">
        <v>16238</v>
      </c>
      <c r="H2134" t="s">
        <v>16238</v>
      </c>
      <c r="I2134" t="s">
        <v>16338</v>
      </c>
      <c r="J2134" t="s">
        <v>16385</v>
      </c>
      <c r="K2134">
        <v>0.336</v>
      </c>
      <c r="L2134">
        <v>14643</v>
      </c>
      <c r="M2134">
        <v>2999</v>
      </c>
      <c r="N2134" t="s">
        <v>16393</v>
      </c>
      <c r="O2134" s="4">
        <v>36878</v>
      </c>
      <c r="P2134" s="4">
        <v>126926</v>
      </c>
      <c r="Q2134" s="4">
        <v>163804</v>
      </c>
      <c r="R2134" s="4">
        <v>491412</v>
      </c>
      <c r="S2134" t="s">
        <v>18469</v>
      </c>
      <c r="T2134" s="6">
        <v>34060</v>
      </c>
      <c r="U2134" s="4">
        <v>185600</v>
      </c>
      <c r="X2134" t="s">
        <v>3</v>
      </c>
      <c r="AA2134" s="5" t="str">
        <f>HYPERLINK("https://www.zillow.com/homes/1939-LUCILLE-LN-HANOVER-PARK-IL-60133_rb/","check listing")</f>
        <v>check listing</v>
      </c>
      <c r="AB2134" s="5" t="str">
        <f>HYPERLINK("https://propertylookup.dupagecounty.gov/Datalets/Datalet.aspx?UseSearch=no&amp;mode=sales&amp;pin=0112210025","sales record")</f>
        <v>sales record</v>
      </c>
      <c r="AC2134" t="s">
        <v>3</v>
      </c>
      <c r="AD2134">
        <v>41.971476</v>
      </c>
      <c r="AE2134">
        <v>-88.15079799999999</v>
      </c>
      <c r="AF2134" s="5" t="str">
        <f>HYPERLINK("https://www.google.com/maps/search/?api=1&amp;query=41.971476,-88.150798","map")</f>
        <v>map</v>
      </c>
    </row>
    <row r="2135" spans="1:32">
      <c r="A2135" t="s">
        <v>2185</v>
      </c>
      <c r="B2135" t="s">
        <v>9738</v>
      </c>
      <c r="C2135" t="s">
        <v>15407</v>
      </c>
      <c r="D2135" t="s">
        <v>16203</v>
      </c>
      <c r="E2135" t="s">
        <v>16218</v>
      </c>
      <c r="F2135" t="s">
        <v>16220</v>
      </c>
      <c r="G2135" t="s">
        <v>16238</v>
      </c>
      <c r="H2135" t="s">
        <v>16238</v>
      </c>
      <c r="I2135" t="s">
        <v>16338</v>
      </c>
      <c r="J2135" t="s">
        <v>16385</v>
      </c>
      <c r="K2135">
        <v>0.324</v>
      </c>
      <c r="L2135">
        <v>14101</v>
      </c>
      <c r="M2135">
        <v>2721</v>
      </c>
      <c r="N2135" t="s">
        <v>16393</v>
      </c>
      <c r="O2135" s="4">
        <v>36878</v>
      </c>
      <c r="P2135" s="4">
        <v>108966</v>
      </c>
      <c r="Q2135" s="4">
        <v>145844</v>
      </c>
      <c r="R2135" s="4">
        <v>437532</v>
      </c>
      <c r="S2135" t="s">
        <v>18470</v>
      </c>
      <c r="T2135" s="6">
        <v>39722</v>
      </c>
      <c r="U2135" s="4">
        <v>300000</v>
      </c>
      <c r="V2135" t="s">
        <v>23739</v>
      </c>
      <c r="W2135" t="s">
        <v>24755</v>
      </c>
      <c r="X2135" t="s">
        <v>3</v>
      </c>
      <c r="AA2135" s="5" t="str">
        <f>HYPERLINK("https://www.zillow.com/homes/1890-LUCILLE-LN-HANOVER-PARK-IL-60133_rb/","check listing")</f>
        <v>check listing</v>
      </c>
      <c r="AB2135" s="5" t="str">
        <f>HYPERLINK("https://propertylookup.dupagecounty.gov/Datalets/Datalet.aspx?UseSearch=no&amp;mode=sales&amp;pin=0112214009","sales record")</f>
        <v>sales record</v>
      </c>
      <c r="AC2135" t="s">
        <v>3</v>
      </c>
      <c r="AD2135">
        <v>41.971052</v>
      </c>
      <c r="AE2135">
        <v>-88.148917</v>
      </c>
      <c r="AF2135" s="5" t="str">
        <f>HYPERLINK("https://www.google.com/maps/search/?api=1&amp;query=41.971052,-88.148917","map")</f>
        <v>map</v>
      </c>
    </row>
    <row r="2136" spans="1:32">
      <c r="A2136" t="s">
        <v>2186</v>
      </c>
      <c r="B2136" t="s">
        <v>9739</v>
      </c>
      <c r="C2136" t="s">
        <v>15407</v>
      </c>
      <c r="D2136" t="s">
        <v>16203</v>
      </c>
      <c r="E2136" t="s">
        <v>16218</v>
      </c>
      <c r="F2136" t="s">
        <v>16220</v>
      </c>
      <c r="G2136" t="s">
        <v>16238</v>
      </c>
      <c r="H2136" t="s">
        <v>16238</v>
      </c>
      <c r="I2136" t="s">
        <v>16338</v>
      </c>
      <c r="J2136" t="s">
        <v>16385</v>
      </c>
      <c r="K2136">
        <v>0.323</v>
      </c>
      <c r="L2136">
        <v>14075</v>
      </c>
      <c r="M2136">
        <v>2640</v>
      </c>
      <c r="N2136" t="s">
        <v>16393</v>
      </c>
      <c r="O2136" s="4">
        <v>36530</v>
      </c>
      <c r="P2136" s="4">
        <v>78511</v>
      </c>
      <c r="Q2136" s="4">
        <v>115041</v>
      </c>
      <c r="R2136" s="4">
        <v>345123</v>
      </c>
      <c r="S2136" t="s">
        <v>18471</v>
      </c>
      <c r="T2136" s="6">
        <v>37408</v>
      </c>
      <c r="U2136" s="4">
        <v>208000</v>
      </c>
      <c r="V2136" t="s">
        <v>23739</v>
      </c>
      <c r="W2136" t="s">
        <v>24756</v>
      </c>
      <c r="X2136" t="s">
        <v>3</v>
      </c>
      <c r="AA2136" s="5" t="str">
        <f>HYPERLINK("https://www.zillow.com/homes/2180-OAKDALE-CIR-HANOVER-PARK-IL-60133_rb/","check listing")</f>
        <v>check listing</v>
      </c>
      <c r="AB2136" s="5" t="str">
        <f>HYPERLINK("https://propertylookup.dupagecounty.gov/Datalets/Datalet.aspx?UseSearch=no&amp;mode=sales&amp;pin=0112114003","sales record")</f>
        <v>sales record</v>
      </c>
      <c r="AC2136" t="s">
        <v>3</v>
      </c>
      <c r="AD2136">
        <v>41.973464</v>
      </c>
      <c r="AE2136">
        <v>-88.15559</v>
      </c>
      <c r="AF2136" s="5" t="str">
        <f>HYPERLINK("https://www.google.com/maps/search/?api=1&amp;query=41.973464,-88.15559","map")</f>
        <v>map</v>
      </c>
    </row>
    <row r="2137" spans="1:32">
      <c r="A2137" t="s">
        <v>2187</v>
      </c>
      <c r="B2137" t="s">
        <v>9740</v>
      </c>
      <c r="C2137" t="s">
        <v>15407</v>
      </c>
      <c r="D2137" t="s">
        <v>16203</v>
      </c>
      <c r="E2137" t="s">
        <v>16218</v>
      </c>
      <c r="F2137" t="s">
        <v>16220</v>
      </c>
      <c r="G2137" t="s">
        <v>16238</v>
      </c>
      <c r="H2137" t="s">
        <v>16238</v>
      </c>
      <c r="I2137" t="s">
        <v>16338</v>
      </c>
      <c r="J2137" t="s">
        <v>16385</v>
      </c>
      <c r="K2137">
        <v>0.309</v>
      </c>
      <c r="L2137">
        <v>13439</v>
      </c>
      <c r="M2137">
        <v>2431</v>
      </c>
      <c r="N2137" t="s">
        <v>16393</v>
      </c>
      <c r="O2137" s="4">
        <v>36878</v>
      </c>
      <c r="P2137" s="4">
        <v>114658</v>
      </c>
      <c r="Q2137" s="4">
        <v>151536</v>
      </c>
      <c r="R2137" s="4">
        <v>454608</v>
      </c>
      <c r="S2137" t="s">
        <v>18472</v>
      </c>
      <c r="T2137" s="6">
        <v>42186</v>
      </c>
      <c r="U2137" s="4">
        <v>285000</v>
      </c>
      <c r="V2137" t="s">
        <v>23739</v>
      </c>
      <c r="W2137" t="s">
        <v>24757</v>
      </c>
      <c r="X2137" t="s">
        <v>3</v>
      </c>
      <c r="AA2137" s="5" t="str">
        <f>HYPERLINK("https://www.zillow.com/homes/5497-RIDGE-CROSSING-HANOVER-PARK-IL-60133_rb/","check listing")</f>
        <v>check listing</v>
      </c>
      <c r="AB2137" s="5" t="str">
        <f>HYPERLINK("https://propertylookup.dupagecounty.gov/Datalets/Datalet.aspx?UseSearch=no&amp;mode=sales&amp;pin=0112215043","sales record")</f>
        <v>sales record</v>
      </c>
      <c r="AC2137" t="s">
        <v>3</v>
      </c>
      <c r="AD2137">
        <v>41.971795</v>
      </c>
      <c r="AE2137">
        <v>-88.14621</v>
      </c>
      <c r="AF2137" s="5" t="str">
        <f>HYPERLINK("https://www.google.com/maps/search/?api=1&amp;query=41.971795,-88.14621","map")</f>
        <v>map</v>
      </c>
    </row>
    <row r="2138" spans="1:32">
      <c r="A2138" t="s">
        <v>2188</v>
      </c>
      <c r="B2138" t="s">
        <v>9741</v>
      </c>
      <c r="C2138" t="s">
        <v>15407</v>
      </c>
      <c r="D2138" t="s">
        <v>16203</v>
      </c>
      <c r="E2138" t="s">
        <v>16218</v>
      </c>
      <c r="F2138" t="s">
        <v>16220</v>
      </c>
      <c r="G2138" t="s">
        <v>16238</v>
      </c>
      <c r="H2138" t="s">
        <v>16238</v>
      </c>
      <c r="I2138" t="s">
        <v>16338</v>
      </c>
      <c r="J2138" t="s">
        <v>16385</v>
      </c>
      <c r="K2138">
        <v>0.295</v>
      </c>
      <c r="L2138">
        <v>12829</v>
      </c>
      <c r="M2138">
        <v>2573</v>
      </c>
      <c r="N2138" t="s">
        <v>16393</v>
      </c>
      <c r="O2138" s="4">
        <v>36878</v>
      </c>
      <c r="P2138" s="4">
        <v>114682</v>
      </c>
      <c r="Q2138" s="4">
        <v>151560</v>
      </c>
      <c r="R2138" s="4">
        <v>454680</v>
      </c>
      <c r="S2138" t="s">
        <v>18473</v>
      </c>
      <c r="T2138" s="6">
        <v>35765</v>
      </c>
      <c r="U2138" s="4">
        <v>220000</v>
      </c>
      <c r="X2138" t="s">
        <v>3</v>
      </c>
      <c r="AA2138" s="5" t="str">
        <f>HYPERLINK("https://www.zillow.com/homes/1929-SUNSET-DR-HANOVER-PARK-IL-60133_rb/","check listing")</f>
        <v>check listing</v>
      </c>
      <c r="AB2138" s="5" t="str">
        <f>HYPERLINK("https://propertylookup.dupagecounty.gov/Datalets/Datalet.aspx?UseSearch=no&amp;mode=sales&amp;pin=0112214004","sales record")</f>
        <v>sales record</v>
      </c>
      <c r="AC2138" t="s">
        <v>3</v>
      </c>
      <c r="AD2138">
        <v>41.97047</v>
      </c>
      <c r="AE2138">
        <v>-88.149823</v>
      </c>
      <c r="AF2138" s="5" t="str">
        <f>HYPERLINK("https://www.google.com/maps/search/?api=1&amp;query=41.97047,-88.149823","map")</f>
        <v>map</v>
      </c>
    </row>
    <row r="2139" spans="1:32">
      <c r="A2139" t="s">
        <v>2189</v>
      </c>
      <c r="B2139" t="s">
        <v>9742</v>
      </c>
      <c r="C2139" t="s">
        <v>15407</v>
      </c>
      <c r="D2139" t="s">
        <v>16203</v>
      </c>
      <c r="E2139" t="s">
        <v>16218</v>
      </c>
      <c r="F2139" t="s">
        <v>16220</v>
      </c>
      <c r="G2139" t="s">
        <v>16238</v>
      </c>
      <c r="H2139" t="s">
        <v>16238</v>
      </c>
      <c r="I2139" t="s">
        <v>16338</v>
      </c>
      <c r="J2139" t="s">
        <v>16385</v>
      </c>
      <c r="K2139">
        <v>0.294</v>
      </c>
      <c r="L2139">
        <v>12825</v>
      </c>
      <c r="M2139">
        <v>2926</v>
      </c>
      <c r="N2139" t="s">
        <v>16393</v>
      </c>
      <c r="O2139" s="4">
        <v>36878</v>
      </c>
      <c r="P2139" s="4">
        <v>102725</v>
      </c>
      <c r="Q2139" s="4">
        <v>139603</v>
      </c>
      <c r="R2139" s="4">
        <v>418809</v>
      </c>
      <c r="S2139" t="s">
        <v>18474</v>
      </c>
      <c r="T2139" s="6">
        <v>42795</v>
      </c>
      <c r="U2139" s="4">
        <v>279500</v>
      </c>
      <c r="V2139" t="s">
        <v>23739</v>
      </c>
      <c r="W2139" t="s">
        <v>24758</v>
      </c>
      <c r="X2139" t="s">
        <v>3</v>
      </c>
      <c r="AA2139" s="5" t="str">
        <f>HYPERLINK("https://www.zillow.com/homes/1945-SUNSET-DR-HANOVER-PARK-IL-60133_rb/","check listing")</f>
        <v>check listing</v>
      </c>
      <c r="AB2139" s="5" t="str">
        <f>HYPERLINK("https://propertylookup.dupagecounty.gov/Datalets/Datalet.aspx?UseSearch=no&amp;mode=sales&amp;pin=0112214003","sales record")</f>
        <v>sales record</v>
      </c>
      <c r="AC2139" t="s">
        <v>3</v>
      </c>
      <c r="AD2139">
        <v>41.970365</v>
      </c>
      <c r="AE2139">
        <v>-88.15006200000001</v>
      </c>
      <c r="AF2139" s="5" t="str">
        <f>HYPERLINK("https://www.google.com/maps/search/?api=1&amp;query=41.970365,-88.150062","map")</f>
        <v>map</v>
      </c>
    </row>
    <row r="2140" spans="1:32">
      <c r="A2140" t="s">
        <v>2190</v>
      </c>
      <c r="B2140" t="s">
        <v>9743</v>
      </c>
      <c r="C2140" t="s">
        <v>15407</v>
      </c>
      <c r="D2140" t="s">
        <v>16203</v>
      </c>
      <c r="E2140" t="s">
        <v>16218</v>
      </c>
      <c r="F2140" t="s">
        <v>16220</v>
      </c>
      <c r="G2140" t="s">
        <v>16238</v>
      </c>
      <c r="H2140" t="s">
        <v>16238</v>
      </c>
      <c r="I2140" t="s">
        <v>16338</v>
      </c>
      <c r="J2140" t="s">
        <v>16385</v>
      </c>
      <c r="K2140">
        <v>0.287</v>
      </c>
      <c r="L2140">
        <v>12512</v>
      </c>
      <c r="M2140">
        <v>2886</v>
      </c>
      <c r="N2140" t="s">
        <v>16393</v>
      </c>
      <c r="O2140" s="4">
        <v>31534</v>
      </c>
      <c r="P2140" s="4">
        <v>55508</v>
      </c>
      <c r="Q2140" s="4">
        <v>87042</v>
      </c>
      <c r="R2140" s="4">
        <v>261126</v>
      </c>
      <c r="S2140" t="s">
        <v>18475</v>
      </c>
      <c r="T2140" s="6">
        <v>38869</v>
      </c>
      <c r="U2140" s="4">
        <v>218000</v>
      </c>
      <c r="V2140" t="s">
        <v>23739</v>
      </c>
      <c r="W2140" t="s">
        <v>18475</v>
      </c>
      <c r="X2140" t="s">
        <v>3</v>
      </c>
      <c r="AA2140" s="5" t="str">
        <f>HYPERLINK("https://www.zillow.com/homes/27W014-ONTARIOVILLE-RD-HANOVER-PARK-IL-60133_rb/","check listing")</f>
        <v>check listing</v>
      </c>
      <c r="AB2140" s="5" t="str">
        <f>HYPERLINK("https://propertylookup.dupagecounty.gov/Datalets/Datalet.aspx?UseSearch=no&amp;mode=sales&amp;pin=0101207004","sales record")</f>
        <v>sales record</v>
      </c>
      <c r="AC2140" t="s">
        <v>3</v>
      </c>
      <c r="AD2140">
        <v>41.985193</v>
      </c>
      <c r="AE2140">
        <v>-88.145184</v>
      </c>
      <c r="AF2140" s="5" t="str">
        <f>HYPERLINK("https://www.google.com/maps/search/?api=1&amp;query=41.985193,-88.145184","map")</f>
        <v>map</v>
      </c>
    </row>
    <row r="2141" spans="1:32">
      <c r="A2141" t="s">
        <v>2191</v>
      </c>
      <c r="B2141" t="s">
        <v>9744</v>
      </c>
      <c r="C2141" t="s">
        <v>15409</v>
      </c>
      <c r="D2141" t="s">
        <v>16203</v>
      </c>
      <c r="E2141" t="s">
        <v>16218</v>
      </c>
      <c r="F2141" t="s">
        <v>16220</v>
      </c>
      <c r="G2141" t="s">
        <v>16238</v>
      </c>
      <c r="H2141" t="s">
        <v>16238</v>
      </c>
      <c r="I2141" t="s">
        <v>16338</v>
      </c>
      <c r="J2141" t="s">
        <v>16385</v>
      </c>
      <c r="K2141">
        <v>0.284</v>
      </c>
      <c r="L2141">
        <v>12392</v>
      </c>
      <c r="M2141">
        <v>1994</v>
      </c>
      <c r="N2141" t="s">
        <v>16393</v>
      </c>
      <c r="O2141" s="4">
        <v>36530</v>
      </c>
      <c r="P2141" s="4">
        <v>87533</v>
      </c>
      <c r="Q2141" s="4">
        <v>124063</v>
      </c>
      <c r="R2141" s="4">
        <v>372189</v>
      </c>
      <c r="S2141" t="s">
        <v>18476</v>
      </c>
      <c r="T2141" s="6">
        <v>44531</v>
      </c>
      <c r="U2141" s="4">
        <v>295000</v>
      </c>
      <c r="V2141" t="s">
        <v>23739</v>
      </c>
      <c r="W2141" t="s">
        <v>18476</v>
      </c>
      <c r="X2141" t="s">
        <v>3</v>
      </c>
      <c r="AA2141" s="5" t="str">
        <f>HYPERLINK("https://www.zillow.com/homes/2083-NEWPORT-CIR-HANOVER-PARK-IL-601335185_rb/","check listing")</f>
        <v>check listing</v>
      </c>
      <c r="AB2141" s="5" t="str">
        <f>HYPERLINK("https://propertylookup.dupagecounty.gov/Datalets/Datalet.aspx?UseSearch=no&amp;mode=sales&amp;pin=0112211017","sales record")</f>
        <v>sales record</v>
      </c>
      <c r="AC2141" t="s">
        <v>3</v>
      </c>
      <c r="AD2141">
        <v>41.971845</v>
      </c>
      <c r="AE2141">
        <v>-88.1519</v>
      </c>
      <c r="AF2141" s="5" t="str">
        <f>HYPERLINK("https://www.google.com/maps/search/?api=1&amp;query=41.971845,-88.1519","map")</f>
        <v>map</v>
      </c>
    </row>
    <row r="2142" spans="1:32">
      <c r="A2142" t="s">
        <v>2192</v>
      </c>
      <c r="B2142" t="s">
        <v>9745</v>
      </c>
      <c r="C2142" t="s">
        <v>15410</v>
      </c>
      <c r="D2142" t="s">
        <v>16203</v>
      </c>
      <c r="E2142" t="s">
        <v>16218</v>
      </c>
      <c r="F2142" t="s">
        <v>16220</v>
      </c>
      <c r="G2142" t="s">
        <v>16238</v>
      </c>
      <c r="H2142" t="s">
        <v>16238</v>
      </c>
      <c r="I2142" t="s">
        <v>16338</v>
      </c>
      <c r="J2142" t="s">
        <v>16385</v>
      </c>
      <c r="K2142">
        <v>0.284</v>
      </c>
      <c r="L2142">
        <v>12366</v>
      </c>
      <c r="M2142">
        <v>2639</v>
      </c>
      <c r="N2142" t="s">
        <v>16393</v>
      </c>
      <c r="O2142" s="4">
        <v>36878</v>
      </c>
      <c r="P2142" s="4">
        <v>111889</v>
      </c>
      <c r="Q2142" s="4">
        <v>148767</v>
      </c>
      <c r="R2142" s="4">
        <v>446301</v>
      </c>
      <c r="S2142" t="s">
        <v>18477</v>
      </c>
      <c r="T2142" s="6">
        <v>41153</v>
      </c>
      <c r="U2142" s="4">
        <v>175869</v>
      </c>
      <c r="V2142" t="s">
        <v>16232</v>
      </c>
      <c r="W2142" t="s">
        <v>24759</v>
      </c>
      <c r="X2142" t="s">
        <v>3</v>
      </c>
      <c r="AA2142" s="5" t="str">
        <f>HYPERLINK("https://www.zillow.com/homes/1913-SUNSET-DR-HANOVER-PARK-IL-601335360_rb/","check listing")</f>
        <v>check listing</v>
      </c>
      <c r="AB2142" s="5" t="str">
        <f>HYPERLINK("https://propertylookup.dupagecounty.gov/Datalets/Datalet.aspx?UseSearch=no&amp;mode=sales&amp;pin=0112214005","sales record")</f>
        <v>sales record</v>
      </c>
      <c r="AC2142" t="s">
        <v>3</v>
      </c>
      <c r="AD2142">
        <v>41.970506</v>
      </c>
      <c r="AE2142">
        <v>-88.149591</v>
      </c>
      <c r="AF2142" s="5" t="str">
        <f>HYPERLINK("https://www.google.com/maps/search/?api=1&amp;query=41.970506,-88.149591","map")</f>
        <v>map</v>
      </c>
    </row>
    <row r="2143" spans="1:32">
      <c r="A2143" t="s">
        <v>2193</v>
      </c>
      <c r="B2143" t="s">
        <v>9746</v>
      </c>
      <c r="C2143" t="s">
        <v>15407</v>
      </c>
      <c r="D2143" t="s">
        <v>16203</v>
      </c>
      <c r="E2143" t="s">
        <v>16218</v>
      </c>
      <c r="F2143" t="s">
        <v>16220</v>
      </c>
      <c r="G2143" t="s">
        <v>16238</v>
      </c>
      <c r="H2143" t="s">
        <v>16238</v>
      </c>
      <c r="I2143" t="s">
        <v>16338</v>
      </c>
      <c r="J2143" t="s">
        <v>16385</v>
      </c>
      <c r="K2143">
        <v>0.269</v>
      </c>
      <c r="L2143">
        <v>11719</v>
      </c>
      <c r="M2143">
        <v>2306</v>
      </c>
      <c r="N2143" t="s">
        <v>16393</v>
      </c>
      <c r="O2143" s="4">
        <v>31534</v>
      </c>
      <c r="P2143" s="4">
        <v>47025</v>
      </c>
      <c r="Q2143" s="4">
        <v>78559</v>
      </c>
      <c r="R2143" s="4">
        <v>235677</v>
      </c>
      <c r="S2143" t="s">
        <v>18478</v>
      </c>
      <c r="T2143" s="6">
        <v>45240</v>
      </c>
      <c r="U2143" s="4">
        <v>250000</v>
      </c>
      <c r="V2143" t="s">
        <v>23739</v>
      </c>
      <c r="W2143" t="s">
        <v>24760</v>
      </c>
      <c r="X2143" t="s">
        <v>3</v>
      </c>
      <c r="AA2143" s="5" t="str">
        <f>HYPERLINK("https://www.zillow.com/homes/27W010-OAK-ST-HANOVER-PARK-IL-60133_rb/","check listing")</f>
        <v>check listing</v>
      </c>
      <c r="AB2143" s="5" t="str">
        <f>HYPERLINK("https://propertylookup.dupagecounty.gov/Datalets/Datalet.aspx?UseSearch=no&amp;mode=sales&amp;pin=0101205057","sales record")</f>
        <v>sales record</v>
      </c>
      <c r="AC2143" t="s">
        <v>3</v>
      </c>
      <c r="AD2143">
        <v>41.986673</v>
      </c>
      <c r="AE2143">
        <v>-88.145122</v>
      </c>
      <c r="AF2143" s="5" t="str">
        <f>HYPERLINK("https://www.google.com/maps/search/?api=1&amp;query=41.986673,-88.145122","map")</f>
        <v>map</v>
      </c>
    </row>
    <row r="2144" spans="1:32">
      <c r="A2144" t="s">
        <v>2194</v>
      </c>
      <c r="B2144" t="s">
        <v>9747</v>
      </c>
      <c r="C2144" t="s">
        <v>15407</v>
      </c>
      <c r="D2144" t="s">
        <v>16203</v>
      </c>
      <c r="E2144" t="s">
        <v>16218</v>
      </c>
      <c r="F2144" t="s">
        <v>16220</v>
      </c>
      <c r="G2144" t="s">
        <v>16238</v>
      </c>
      <c r="H2144" t="s">
        <v>16238</v>
      </c>
      <c r="I2144" t="s">
        <v>16338</v>
      </c>
      <c r="J2144" t="s">
        <v>16385</v>
      </c>
      <c r="K2144">
        <v>0.263</v>
      </c>
      <c r="L2144">
        <v>11454</v>
      </c>
      <c r="M2144">
        <v>2310</v>
      </c>
      <c r="N2144" t="s">
        <v>16393</v>
      </c>
      <c r="O2144" s="4">
        <v>36878</v>
      </c>
      <c r="P2144" s="4">
        <v>96398</v>
      </c>
      <c r="Q2144" s="4">
        <v>133276</v>
      </c>
      <c r="R2144" s="4">
        <v>399828</v>
      </c>
      <c r="S2144" t="s">
        <v>18479</v>
      </c>
      <c r="T2144" s="6">
        <v>36008</v>
      </c>
      <c r="U2144" s="4">
        <v>175000</v>
      </c>
      <c r="X2144" t="s">
        <v>3</v>
      </c>
      <c r="AA2144" s="5" t="str">
        <f>HYPERLINK("https://www.zillow.com/homes/1897-SUNSET-DR-HANOVER-PARK-IL-60133_rb/","check listing")</f>
        <v>check listing</v>
      </c>
      <c r="AB2144" s="5" t="str">
        <f>HYPERLINK("https://propertylookup.dupagecounty.gov/Datalets/Datalet.aspx?UseSearch=no&amp;mode=sales&amp;pin=0112214006","sales record")</f>
        <v>sales record</v>
      </c>
      <c r="AC2144" t="s">
        <v>3</v>
      </c>
      <c r="AD2144">
        <v>41.970576</v>
      </c>
      <c r="AE2144">
        <v>-88.14937</v>
      </c>
      <c r="AF2144" s="5" t="str">
        <f>HYPERLINK("https://www.google.com/maps/search/?api=1&amp;query=41.970576,-88.14937","map")</f>
        <v>map</v>
      </c>
    </row>
    <row r="2145" spans="1:32">
      <c r="A2145" t="s">
        <v>2195</v>
      </c>
      <c r="B2145" t="s">
        <v>9748</v>
      </c>
      <c r="C2145" t="s">
        <v>15407</v>
      </c>
      <c r="D2145" t="s">
        <v>16203</v>
      </c>
      <c r="E2145" t="s">
        <v>16218</v>
      </c>
      <c r="F2145" t="s">
        <v>16220</v>
      </c>
      <c r="G2145" t="s">
        <v>16238</v>
      </c>
      <c r="H2145" t="s">
        <v>16238</v>
      </c>
      <c r="I2145" t="s">
        <v>16338</v>
      </c>
      <c r="J2145" t="s">
        <v>16385</v>
      </c>
      <c r="K2145">
        <v>0.263</v>
      </c>
      <c r="L2145">
        <v>11448</v>
      </c>
      <c r="M2145">
        <v>2357</v>
      </c>
      <c r="N2145" t="s">
        <v>16393</v>
      </c>
      <c r="O2145" s="4">
        <v>36878</v>
      </c>
      <c r="P2145" s="4">
        <v>100640</v>
      </c>
      <c r="Q2145" s="4">
        <v>137518</v>
      </c>
      <c r="R2145" s="4">
        <v>412554</v>
      </c>
      <c r="S2145" t="s">
        <v>18480</v>
      </c>
      <c r="T2145" s="6">
        <v>34578</v>
      </c>
      <c r="U2145" s="4">
        <v>194819</v>
      </c>
      <c r="X2145" t="s">
        <v>3</v>
      </c>
      <c r="AA2145" s="5" t="str">
        <f>HYPERLINK("https://www.zillow.com/homes/1955-LUCILLE-LN-HANOVER-PARK-IL-60133_rb/","check listing")</f>
        <v>check listing</v>
      </c>
      <c r="AB2145" s="5" t="str">
        <f>HYPERLINK("https://propertylookup.dupagecounty.gov/Datalets/Datalet.aspx?UseSearch=no&amp;mode=sales&amp;pin=0112210034","sales record")</f>
        <v>sales record</v>
      </c>
      <c r="AC2145" t="s">
        <v>3</v>
      </c>
      <c r="AD2145">
        <v>41.971159</v>
      </c>
      <c r="AE2145">
        <v>-88.151169</v>
      </c>
      <c r="AF2145" s="5" t="str">
        <f>HYPERLINK("https://www.google.com/maps/search/?api=1&amp;query=41.971159,-88.151169","map")</f>
        <v>map</v>
      </c>
    </row>
    <row r="2146" spans="1:32">
      <c r="A2146" t="s">
        <v>2196</v>
      </c>
      <c r="B2146" t="s">
        <v>9749</v>
      </c>
      <c r="C2146" t="s">
        <v>15407</v>
      </c>
      <c r="D2146" t="s">
        <v>16203</v>
      </c>
      <c r="E2146" t="s">
        <v>16218</v>
      </c>
      <c r="F2146" t="s">
        <v>16220</v>
      </c>
      <c r="G2146" t="s">
        <v>16238</v>
      </c>
      <c r="H2146" t="s">
        <v>16238</v>
      </c>
      <c r="I2146" t="s">
        <v>16338</v>
      </c>
      <c r="J2146" t="s">
        <v>16385</v>
      </c>
      <c r="K2146">
        <v>0.262</v>
      </c>
      <c r="L2146">
        <v>11403</v>
      </c>
      <c r="M2146">
        <v>2374</v>
      </c>
      <c r="N2146" t="s">
        <v>16393</v>
      </c>
      <c r="O2146" s="4">
        <v>36530</v>
      </c>
      <c r="P2146" s="4">
        <v>82808</v>
      </c>
      <c r="Q2146" s="4">
        <v>119338</v>
      </c>
      <c r="R2146" s="4">
        <v>358014</v>
      </c>
      <c r="S2146" t="s">
        <v>18481</v>
      </c>
      <c r="T2146" s="6">
        <v>45568</v>
      </c>
      <c r="U2146" s="4">
        <v>410000</v>
      </c>
      <c r="V2146" t="s">
        <v>23739</v>
      </c>
      <c r="W2146" t="s">
        <v>24761</v>
      </c>
      <c r="X2146" t="s">
        <v>3</v>
      </c>
      <c r="AA2146" s="5" t="str">
        <f>HYPERLINK("https://www.zillow.com/homes/2060-NEWPORT-CIR-HANOVER-PARK-IL-60133_rb/","check listing")</f>
        <v>check listing</v>
      </c>
      <c r="AB2146" s="5" t="str">
        <f>HYPERLINK("https://propertylookup.dupagecounty.gov/Datalets/Datalet.aspx?UseSearch=no&amp;mode=sales&amp;pin=0112213013","sales record")</f>
        <v>sales record</v>
      </c>
      <c r="AC2146" t="s">
        <v>3</v>
      </c>
      <c r="AD2146">
        <v>41.97233</v>
      </c>
      <c r="AE2146">
        <v>-88.15242000000001</v>
      </c>
      <c r="AF2146" s="5" t="str">
        <f>HYPERLINK("https://www.google.com/maps/search/?api=1&amp;query=41.97233,-88.15242","map")</f>
        <v>map</v>
      </c>
    </row>
    <row r="2147" spans="1:32">
      <c r="A2147" t="s">
        <v>2197</v>
      </c>
      <c r="B2147" t="s">
        <v>9750</v>
      </c>
      <c r="C2147" t="s">
        <v>15407</v>
      </c>
      <c r="D2147" t="s">
        <v>16203</v>
      </c>
      <c r="E2147" t="s">
        <v>16218</v>
      </c>
      <c r="F2147" t="s">
        <v>16220</v>
      </c>
      <c r="G2147" t="s">
        <v>16238</v>
      </c>
      <c r="H2147" t="s">
        <v>16238</v>
      </c>
      <c r="I2147" t="s">
        <v>16338</v>
      </c>
      <c r="J2147" t="s">
        <v>16385</v>
      </c>
      <c r="K2147">
        <v>0.261</v>
      </c>
      <c r="L2147">
        <v>11387</v>
      </c>
      <c r="M2147">
        <v>2706</v>
      </c>
      <c r="N2147" t="s">
        <v>16393</v>
      </c>
      <c r="O2147" s="4">
        <v>36878</v>
      </c>
      <c r="P2147" s="4">
        <v>113136</v>
      </c>
      <c r="Q2147" s="4">
        <v>150014</v>
      </c>
      <c r="R2147" s="4">
        <v>450042</v>
      </c>
      <c r="S2147" t="s">
        <v>18482</v>
      </c>
      <c r="T2147" s="6">
        <v>38139</v>
      </c>
      <c r="U2147" s="4">
        <v>339777</v>
      </c>
      <c r="V2147" t="s">
        <v>23739</v>
      </c>
      <c r="W2147" t="s">
        <v>24762</v>
      </c>
      <c r="X2147" t="s">
        <v>3</v>
      </c>
      <c r="AA2147" s="5" t="str">
        <f>HYPERLINK("https://www.zillow.com/homes/5501-RIDGE-CROSSING-HANOVER-PARK-IL-60133_rb/","check listing")</f>
        <v>check listing</v>
      </c>
      <c r="AB2147" s="5" t="str">
        <f>HYPERLINK("https://propertylookup.dupagecounty.gov/Datalets/Datalet.aspx?UseSearch=no&amp;mode=sales&amp;pin=0112215044","sales record")</f>
        <v>sales record</v>
      </c>
      <c r="AC2147" t="s">
        <v>3</v>
      </c>
      <c r="AD2147">
        <v>41.971831</v>
      </c>
      <c r="AE2147">
        <v>-88.146486</v>
      </c>
      <c r="AF2147" s="5" t="str">
        <f>HYPERLINK("https://www.google.com/maps/search/?api=1&amp;query=41.971831,-88.146486","map")</f>
        <v>map</v>
      </c>
    </row>
    <row r="2148" spans="1:32">
      <c r="A2148" t="s">
        <v>2198</v>
      </c>
      <c r="B2148" t="s">
        <v>9751</v>
      </c>
      <c r="C2148" t="s">
        <v>15411</v>
      </c>
      <c r="D2148" t="s">
        <v>16203</v>
      </c>
      <c r="E2148" t="s">
        <v>16218</v>
      </c>
      <c r="F2148" t="s">
        <v>16220</v>
      </c>
      <c r="G2148" t="s">
        <v>16238</v>
      </c>
      <c r="H2148" t="s">
        <v>16238</v>
      </c>
      <c r="I2148" t="s">
        <v>16338</v>
      </c>
      <c r="J2148" t="s">
        <v>16385</v>
      </c>
      <c r="K2148">
        <v>0.257</v>
      </c>
      <c r="L2148">
        <v>11215</v>
      </c>
      <c r="M2148">
        <v>2373</v>
      </c>
      <c r="N2148" t="s">
        <v>16393</v>
      </c>
      <c r="O2148" s="4">
        <v>36878</v>
      </c>
      <c r="P2148" s="4">
        <v>98615</v>
      </c>
      <c r="Q2148" s="4">
        <v>135493</v>
      </c>
      <c r="R2148" s="4">
        <v>406479</v>
      </c>
      <c r="S2148" t="s">
        <v>18483</v>
      </c>
      <c r="T2148" s="6">
        <v>36678</v>
      </c>
      <c r="U2148" s="4">
        <v>214500</v>
      </c>
      <c r="V2148" t="s">
        <v>23739</v>
      </c>
      <c r="W2148" t="s">
        <v>24763</v>
      </c>
      <c r="X2148" t="s">
        <v>3</v>
      </c>
      <c r="AA2148" s="5" t="str">
        <f>HYPERLINK("https://www.zillow.com/homes/1960-LUCILLE-LN-HANOVER-PARK-IL-601335355_rb/","check listing")</f>
        <v>check listing</v>
      </c>
      <c r="AB2148" s="5" t="str">
        <f>HYPERLINK("https://propertylookup.dupagecounty.gov/Datalets/Datalet.aspx?UseSearch=no&amp;mode=sales&amp;pin=0112214016","sales record")</f>
        <v>sales record</v>
      </c>
      <c r="AC2148" t="s">
        <v>3</v>
      </c>
      <c r="AD2148">
        <v>41.970636</v>
      </c>
      <c r="AE2148">
        <v>-88.150448</v>
      </c>
      <c r="AF2148" s="5" t="str">
        <f>HYPERLINK("https://www.google.com/maps/search/?api=1&amp;query=41.970636,-88.150448","map")</f>
        <v>map</v>
      </c>
    </row>
    <row r="2149" spans="1:32">
      <c r="A2149" t="s">
        <v>2199</v>
      </c>
      <c r="B2149" t="s">
        <v>9752</v>
      </c>
      <c r="C2149" t="s">
        <v>15407</v>
      </c>
      <c r="D2149" t="s">
        <v>16203</v>
      </c>
      <c r="E2149" t="s">
        <v>16218</v>
      </c>
      <c r="F2149" t="s">
        <v>16220</v>
      </c>
      <c r="G2149" t="s">
        <v>16238</v>
      </c>
      <c r="H2149" t="s">
        <v>16238</v>
      </c>
      <c r="I2149" t="s">
        <v>16338</v>
      </c>
      <c r="J2149" t="s">
        <v>16385</v>
      </c>
      <c r="K2149">
        <v>0.253</v>
      </c>
      <c r="L2149">
        <v>11028</v>
      </c>
      <c r="M2149">
        <v>2358</v>
      </c>
      <c r="N2149" t="s">
        <v>16393</v>
      </c>
      <c r="O2149" s="4">
        <v>36878</v>
      </c>
      <c r="P2149" s="4">
        <v>104965</v>
      </c>
      <c r="Q2149" s="4">
        <v>141843</v>
      </c>
      <c r="R2149" s="4">
        <v>425529</v>
      </c>
      <c r="S2149" t="s">
        <v>18484</v>
      </c>
      <c r="T2149" s="6">
        <v>35582</v>
      </c>
      <c r="U2149" s="4">
        <v>205876</v>
      </c>
      <c r="X2149" t="s">
        <v>3</v>
      </c>
      <c r="AA2149" s="5" t="str">
        <f>HYPERLINK("https://www.zillow.com/homes/5481-RIDGE-CROSSING-HANOVER-PARK-IL-60133_rb/","check listing")</f>
        <v>check listing</v>
      </c>
      <c r="AB2149" s="5" t="str">
        <f>HYPERLINK("https://propertylookup.dupagecounty.gov/Datalets/Datalet.aspx?UseSearch=no&amp;mode=sales&amp;pin=0112215100","sales record")</f>
        <v>sales record</v>
      </c>
      <c r="AC2149" t="s">
        <v>3</v>
      </c>
      <c r="AD2149">
        <v>41.971364</v>
      </c>
      <c r="AE2149">
        <v>-88.145297</v>
      </c>
      <c r="AF2149" s="5" t="str">
        <f>HYPERLINK("https://www.google.com/maps/search/?api=1&amp;query=41.971364,-88.145297","map")</f>
        <v>map</v>
      </c>
    </row>
    <row r="2150" spans="1:32">
      <c r="A2150" t="s">
        <v>2200</v>
      </c>
      <c r="B2150" t="s">
        <v>9753</v>
      </c>
      <c r="C2150" t="s">
        <v>15407</v>
      </c>
      <c r="D2150" t="s">
        <v>16203</v>
      </c>
      <c r="E2150" t="s">
        <v>16218</v>
      </c>
      <c r="F2150" t="s">
        <v>16220</v>
      </c>
      <c r="G2150" t="s">
        <v>16238</v>
      </c>
      <c r="H2150" t="s">
        <v>16238</v>
      </c>
      <c r="I2150" t="s">
        <v>16338</v>
      </c>
      <c r="J2150" t="s">
        <v>16385</v>
      </c>
      <c r="K2150">
        <v>0.247</v>
      </c>
      <c r="L2150">
        <v>10749</v>
      </c>
      <c r="M2150">
        <v>2082</v>
      </c>
      <c r="N2150" t="s">
        <v>16393</v>
      </c>
      <c r="O2150" s="4">
        <v>36878</v>
      </c>
      <c r="P2150" s="4">
        <v>90300</v>
      </c>
      <c r="Q2150" s="4">
        <v>127178</v>
      </c>
      <c r="R2150" s="4">
        <v>381534</v>
      </c>
      <c r="S2150" t="s">
        <v>18485</v>
      </c>
      <c r="T2150" s="6">
        <v>36342</v>
      </c>
      <c r="U2150" s="4">
        <v>187500</v>
      </c>
      <c r="X2150" t="s">
        <v>3</v>
      </c>
      <c r="AA2150" s="5" t="str">
        <f>HYPERLINK("https://www.zillow.com/homes/1910-LUCILLE-LN-HANOVER-PARK-IL-60133_rb/","check listing")</f>
        <v>check listing</v>
      </c>
      <c r="AB2150" s="5" t="str">
        <f>HYPERLINK("https://propertylookup.dupagecounty.gov/Datalets/Datalet.aspx?UseSearch=no&amp;mode=sales&amp;pin=0112214011","sales record")</f>
        <v>sales record</v>
      </c>
      <c r="AC2150" t="s">
        <v>3</v>
      </c>
      <c r="AD2150">
        <v>41.970953</v>
      </c>
      <c r="AE2150">
        <v>-88.149582</v>
      </c>
      <c r="AF2150" s="5" t="str">
        <f>HYPERLINK("https://www.google.com/maps/search/?api=1&amp;query=41.970953,-88.149582","map")</f>
        <v>map</v>
      </c>
    </row>
    <row r="2151" spans="1:32">
      <c r="A2151" t="s">
        <v>2201</v>
      </c>
      <c r="B2151" t="s">
        <v>9754</v>
      </c>
      <c r="C2151" t="s">
        <v>15407</v>
      </c>
      <c r="D2151" t="s">
        <v>16203</v>
      </c>
      <c r="E2151" t="s">
        <v>16218</v>
      </c>
      <c r="F2151" t="s">
        <v>16220</v>
      </c>
      <c r="G2151" t="s">
        <v>16238</v>
      </c>
      <c r="H2151" t="s">
        <v>16238</v>
      </c>
      <c r="I2151" t="s">
        <v>16338</v>
      </c>
      <c r="J2151" t="s">
        <v>16385</v>
      </c>
      <c r="K2151">
        <v>0.243</v>
      </c>
      <c r="L2151">
        <v>10566</v>
      </c>
      <c r="M2151">
        <v>2280</v>
      </c>
      <c r="N2151" t="s">
        <v>16393</v>
      </c>
      <c r="O2151" s="4">
        <v>36878</v>
      </c>
      <c r="P2151" s="4">
        <v>106079</v>
      </c>
      <c r="Q2151" s="4">
        <v>142957</v>
      </c>
      <c r="R2151" s="4">
        <v>428871</v>
      </c>
      <c r="S2151" t="s">
        <v>18486</v>
      </c>
      <c r="T2151" s="6">
        <v>34182</v>
      </c>
      <c r="U2151" s="4">
        <v>196773</v>
      </c>
      <c r="X2151" t="s">
        <v>3</v>
      </c>
      <c r="AA2151" s="5" t="str">
        <f>HYPERLINK("https://www.zillow.com/homes/1931-LUCILLE-LN-HANOVER-PARK-IL-60133_rb/","check listing")</f>
        <v>check listing</v>
      </c>
      <c r="AB2151" s="5" t="str">
        <f>HYPERLINK("https://propertylookup.dupagecounty.gov/Datalets/Datalet.aspx?UseSearch=no&amp;mode=sales&amp;pin=0112210024","sales record")</f>
        <v>sales record</v>
      </c>
      <c r="AC2151" t="s">
        <v>3</v>
      </c>
      <c r="AD2151">
        <v>41.971513</v>
      </c>
      <c r="AE2151">
        <v>-88.150476</v>
      </c>
      <c r="AF2151" s="5" t="str">
        <f>HYPERLINK("https://www.google.com/maps/search/?api=1&amp;query=41.971513,-88.150476","map")</f>
        <v>map</v>
      </c>
    </row>
    <row r="2152" spans="1:32">
      <c r="A2152" t="s">
        <v>2202</v>
      </c>
      <c r="B2152" t="s">
        <v>9755</v>
      </c>
      <c r="C2152" t="s">
        <v>15407</v>
      </c>
      <c r="D2152" t="s">
        <v>16203</v>
      </c>
      <c r="E2152" t="s">
        <v>16218</v>
      </c>
      <c r="F2152" t="s">
        <v>16220</v>
      </c>
      <c r="G2152" t="s">
        <v>16238</v>
      </c>
      <c r="H2152" t="s">
        <v>16238</v>
      </c>
      <c r="I2152" t="s">
        <v>16338</v>
      </c>
      <c r="J2152" t="s">
        <v>16385</v>
      </c>
      <c r="K2152">
        <v>0.242</v>
      </c>
      <c r="L2152">
        <v>10524</v>
      </c>
      <c r="M2152">
        <v>2359</v>
      </c>
      <c r="N2152" t="s">
        <v>16393</v>
      </c>
      <c r="O2152" s="4">
        <v>36530</v>
      </c>
      <c r="P2152" s="4">
        <v>72737</v>
      </c>
      <c r="Q2152" s="4">
        <v>109267</v>
      </c>
      <c r="R2152" s="4">
        <v>327801</v>
      </c>
      <c r="S2152" t="s">
        <v>18487</v>
      </c>
      <c r="T2152" s="6">
        <v>40391</v>
      </c>
      <c r="U2152" s="4">
        <v>221000</v>
      </c>
      <c r="V2152" t="s">
        <v>23739</v>
      </c>
      <c r="W2152" t="s">
        <v>24764</v>
      </c>
      <c r="X2152" t="s">
        <v>3</v>
      </c>
      <c r="AA2152" s="5" t="str">
        <f>HYPERLINK("https://www.zillow.com/homes/2207-OAKDALE-CIR-HANOVER-PARK-IL-60133_rb/","check listing")</f>
        <v>check listing</v>
      </c>
      <c r="AB2152" s="5" t="str">
        <f>HYPERLINK("https://propertylookup.dupagecounty.gov/Datalets/Datalet.aspx?UseSearch=no&amp;mode=sales&amp;pin=0112115003","sales record")</f>
        <v>sales record</v>
      </c>
      <c r="AC2152" t="s">
        <v>3</v>
      </c>
      <c r="AD2152">
        <v>41.972794</v>
      </c>
      <c r="AE2152">
        <v>-88.15492500000001</v>
      </c>
      <c r="AF2152" s="5" t="str">
        <f>HYPERLINK("https://www.google.com/maps/search/?api=1&amp;query=41.972794,-88.154925","map")</f>
        <v>map</v>
      </c>
    </row>
    <row r="2153" spans="1:32">
      <c r="A2153" t="s">
        <v>2203</v>
      </c>
      <c r="B2153" t="s">
        <v>9756</v>
      </c>
      <c r="C2153" t="s">
        <v>15407</v>
      </c>
      <c r="D2153" t="s">
        <v>16203</v>
      </c>
      <c r="E2153" t="s">
        <v>16218</v>
      </c>
      <c r="F2153" t="s">
        <v>16220</v>
      </c>
      <c r="G2153" t="s">
        <v>16238</v>
      </c>
      <c r="H2153" t="s">
        <v>16238</v>
      </c>
      <c r="I2153" t="s">
        <v>16338</v>
      </c>
      <c r="J2153" t="s">
        <v>16385</v>
      </c>
      <c r="K2153">
        <v>0.237</v>
      </c>
      <c r="L2153">
        <v>10340</v>
      </c>
      <c r="M2153">
        <v>2609</v>
      </c>
      <c r="N2153" t="s">
        <v>16393</v>
      </c>
      <c r="O2153" s="4">
        <v>36878</v>
      </c>
      <c r="P2153" s="4">
        <v>104342</v>
      </c>
      <c r="Q2153" s="4">
        <v>141220</v>
      </c>
      <c r="R2153" s="4">
        <v>423660</v>
      </c>
      <c r="S2153" t="s">
        <v>18488</v>
      </c>
      <c r="T2153" s="6">
        <v>34335</v>
      </c>
      <c r="U2153" s="4">
        <v>205148</v>
      </c>
      <c r="X2153" t="s">
        <v>3</v>
      </c>
      <c r="AA2153" s="5" t="str">
        <f>HYPERLINK("https://www.zillow.com/homes/1900-LUCILLE-LN-HANOVER-PARK-IL-60133_rb/","check listing")</f>
        <v>check listing</v>
      </c>
      <c r="AB2153" s="5" t="str">
        <f>HYPERLINK("https://propertylookup.dupagecounty.gov/Datalets/Datalet.aspx?UseSearch=no&amp;mode=sales&amp;pin=0112214010","sales record")</f>
        <v>sales record</v>
      </c>
      <c r="AC2153" t="s">
        <v>3</v>
      </c>
      <c r="AD2153">
        <v>41.970889</v>
      </c>
      <c r="AE2153">
        <v>-88.149354</v>
      </c>
      <c r="AF2153" s="5" t="str">
        <f>HYPERLINK("https://www.google.com/maps/search/?api=1&amp;query=41.970889,-88.149354","map")</f>
        <v>map</v>
      </c>
    </row>
    <row r="2154" spans="1:32">
      <c r="A2154" t="s">
        <v>2204</v>
      </c>
      <c r="B2154" t="s">
        <v>9757</v>
      </c>
      <c r="C2154" t="s">
        <v>15407</v>
      </c>
      <c r="D2154" t="s">
        <v>16203</v>
      </c>
      <c r="E2154" t="s">
        <v>16218</v>
      </c>
      <c r="F2154" t="s">
        <v>16220</v>
      </c>
      <c r="G2154" t="s">
        <v>16238</v>
      </c>
      <c r="H2154" t="s">
        <v>16238</v>
      </c>
      <c r="I2154" t="s">
        <v>16338</v>
      </c>
      <c r="J2154" t="s">
        <v>16385</v>
      </c>
      <c r="K2154">
        <v>0.233</v>
      </c>
      <c r="L2154">
        <v>10153</v>
      </c>
      <c r="M2154">
        <v>2770</v>
      </c>
      <c r="N2154" t="s">
        <v>16393</v>
      </c>
      <c r="O2154" s="4">
        <v>36878</v>
      </c>
      <c r="P2154" s="4">
        <v>107816</v>
      </c>
      <c r="Q2154" s="4">
        <v>144694</v>
      </c>
      <c r="R2154" s="4">
        <v>434082</v>
      </c>
      <c r="S2154" t="s">
        <v>18489</v>
      </c>
      <c r="T2154" s="6">
        <v>44902</v>
      </c>
      <c r="U2154" s="4">
        <v>400000</v>
      </c>
      <c r="V2154" t="s">
        <v>23739</v>
      </c>
      <c r="W2154" t="s">
        <v>24765</v>
      </c>
      <c r="X2154" t="s">
        <v>3</v>
      </c>
      <c r="AA2154" s="5" t="str">
        <f>HYPERLINK("https://www.zillow.com/homes/5538-RIDGE-CROSSING-HANOVER-PARK-IL-60133_rb/","check listing")</f>
        <v>check listing</v>
      </c>
      <c r="AB2154" s="5" t="str">
        <f>HYPERLINK("https://propertylookup.dupagecounty.gov/Datalets/Datalet.aspx?UseSearch=no&amp;mode=sales&amp;pin=0112210040","sales record")</f>
        <v>sales record</v>
      </c>
      <c r="AC2154" t="s">
        <v>3</v>
      </c>
      <c r="AD2154">
        <v>41.97263</v>
      </c>
      <c r="AE2154">
        <v>-88.14876</v>
      </c>
      <c r="AF2154" s="5" t="str">
        <f>HYPERLINK("https://www.google.com/maps/search/?api=1&amp;query=41.97263,-88.14876","map")</f>
        <v>map</v>
      </c>
    </row>
    <row r="2155" spans="1:32">
      <c r="A2155" t="s">
        <v>2205</v>
      </c>
      <c r="B2155" t="s">
        <v>9758</v>
      </c>
      <c r="C2155" t="s">
        <v>15407</v>
      </c>
      <c r="D2155" t="s">
        <v>16203</v>
      </c>
      <c r="E2155" t="s">
        <v>16218</v>
      </c>
      <c r="F2155" t="s">
        <v>16220</v>
      </c>
      <c r="G2155" t="s">
        <v>16238</v>
      </c>
      <c r="H2155" t="s">
        <v>16238</v>
      </c>
      <c r="I2155" t="s">
        <v>16338</v>
      </c>
      <c r="J2155" t="s">
        <v>16385</v>
      </c>
      <c r="K2155">
        <v>0.232</v>
      </c>
      <c r="L2155">
        <v>10111</v>
      </c>
      <c r="M2155">
        <v>2968</v>
      </c>
      <c r="N2155" t="s">
        <v>16393</v>
      </c>
      <c r="O2155" s="4">
        <v>36530</v>
      </c>
      <c r="P2155" s="4">
        <v>76953</v>
      </c>
      <c r="Q2155" s="4">
        <v>113483</v>
      </c>
      <c r="R2155" s="4">
        <v>340449</v>
      </c>
      <c r="S2155" t="s">
        <v>18490</v>
      </c>
      <c r="T2155" s="6">
        <v>38047</v>
      </c>
      <c r="U2155" s="4">
        <v>240000</v>
      </c>
      <c r="V2155" t="s">
        <v>23739</v>
      </c>
      <c r="W2155" t="s">
        <v>18490</v>
      </c>
      <c r="X2155" t="s">
        <v>3</v>
      </c>
      <c r="AA2155" s="5" t="str">
        <f>HYPERLINK("https://www.zillow.com/homes/2195-OAKDALE-CIR-HANOVER-PARK-IL-60133_rb/","check listing")</f>
        <v>check listing</v>
      </c>
      <c r="AB2155" s="5" t="str">
        <f>HYPERLINK("https://propertylookup.dupagecounty.gov/Datalets/Datalet.aspx?UseSearch=no&amp;mode=sales&amp;pin=0112213001","sales record")</f>
        <v>sales record</v>
      </c>
      <c r="AC2155" t="s">
        <v>3</v>
      </c>
      <c r="AD2155">
        <v>41.972974</v>
      </c>
      <c r="AE2155">
        <v>-88.154662</v>
      </c>
      <c r="AF2155" s="5" t="str">
        <f>HYPERLINK("https://www.google.com/maps/search/?api=1&amp;query=41.972974,-88.154662","map")</f>
        <v>map</v>
      </c>
    </row>
    <row r="2156" spans="1:32">
      <c r="A2156" t="s">
        <v>2206</v>
      </c>
      <c r="B2156" t="s">
        <v>9759</v>
      </c>
      <c r="C2156" t="s">
        <v>15407</v>
      </c>
      <c r="D2156" t="s">
        <v>16203</v>
      </c>
      <c r="E2156" t="s">
        <v>16218</v>
      </c>
      <c r="F2156" t="s">
        <v>16220</v>
      </c>
      <c r="G2156" t="s">
        <v>16238</v>
      </c>
      <c r="H2156" t="s">
        <v>16238</v>
      </c>
      <c r="I2156" t="s">
        <v>16338</v>
      </c>
      <c r="J2156" t="s">
        <v>16385</v>
      </c>
      <c r="K2156">
        <v>0.232</v>
      </c>
      <c r="L2156">
        <v>10108</v>
      </c>
      <c r="M2156">
        <v>2309</v>
      </c>
      <c r="N2156" t="s">
        <v>16393</v>
      </c>
      <c r="O2156" s="4">
        <v>36878</v>
      </c>
      <c r="P2156" s="4">
        <v>100771</v>
      </c>
      <c r="Q2156" s="4">
        <v>137649</v>
      </c>
      <c r="R2156" s="4">
        <v>412947</v>
      </c>
      <c r="S2156" t="s">
        <v>18491</v>
      </c>
      <c r="T2156" s="6">
        <v>39508</v>
      </c>
      <c r="U2156" s="4">
        <v>300000</v>
      </c>
      <c r="V2156" t="s">
        <v>23739</v>
      </c>
      <c r="W2156" t="s">
        <v>24766</v>
      </c>
      <c r="X2156" t="s">
        <v>3</v>
      </c>
      <c r="AA2156" s="5" t="str">
        <f>HYPERLINK("https://www.zillow.com/homes/1940-LUCILLE-LN-HANOVER-PARK-IL-60133_rb/","check listing")</f>
        <v>check listing</v>
      </c>
      <c r="AB2156" s="5" t="str">
        <f>HYPERLINK("https://propertylookup.dupagecounty.gov/Datalets/Datalet.aspx?UseSearch=no&amp;mode=sales&amp;pin=0112214014","sales record")</f>
        <v>sales record</v>
      </c>
      <c r="AC2156" t="s">
        <v>3</v>
      </c>
      <c r="AD2156">
        <v>41.971028</v>
      </c>
      <c r="AE2156">
        <v>-88.150408</v>
      </c>
      <c r="AF2156" s="5" t="str">
        <f>HYPERLINK("https://www.google.com/maps/search/?api=1&amp;query=41.971028,-88.150408","map")</f>
        <v>map</v>
      </c>
    </row>
    <row r="2157" spans="1:32">
      <c r="A2157" t="s">
        <v>2207</v>
      </c>
      <c r="B2157" t="s">
        <v>9760</v>
      </c>
      <c r="C2157" t="s">
        <v>15407</v>
      </c>
      <c r="D2157" t="s">
        <v>16203</v>
      </c>
      <c r="E2157" t="s">
        <v>16218</v>
      </c>
      <c r="F2157" t="s">
        <v>16220</v>
      </c>
      <c r="G2157" t="s">
        <v>16238</v>
      </c>
      <c r="H2157" t="s">
        <v>16238</v>
      </c>
      <c r="I2157" t="s">
        <v>16338</v>
      </c>
      <c r="J2157" t="s">
        <v>16385</v>
      </c>
      <c r="K2157">
        <v>0.231</v>
      </c>
      <c r="L2157">
        <v>10076</v>
      </c>
      <c r="M2157">
        <v>2389</v>
      </c>
      <c r="N2157" t="s">
        <v>16393</v>
      </c>
      <c r="O2157" s="4">
        <v>36878</v>
      </c>
      <c r="P2157" s="4">
        <v>109889</v>
      </c>
      <c r="Q2157" s="4">
        <v>146767</v>
      </c>
      <c r="R2157" s="4">
        <v>440301</v>
      </c>
      <c r="S2157" t="s">
        <v>18492</v>
      </c>
      <c r="T2157" s="6">
        <v>42064</v>
      </c>
      <c r="U2157" s="4">
        <v>266000</v>
      </c>
      <c r="V2157" t="s">
        <v>23739</v>
      </c>
      <c r="W2157" t="s">
        <v>24767</v>
      </c>
      <c r="X2157" t="s">
        <v>3</v>
      </c>
      <c r="AA2157" s="5" t="str">
        <f>HYPERLINK("https://www.zillow.com/homes/1920-LUCILLE-LN-HANOVER-PARK-IL-60133_rb/","check listing")</f>
        <v>check listing</v>
      </c>
      <c r="AB2157" s="5" t="str">
        <f>HYPERLINK("https://propertylookup.dupagecounty.gov/Datalets/Datalet.aspx?UseSearch=no&amp;mode=sales&amp;pin=0112214012","sales record")</f>
        <v>sales record</v>
      </c>
      <c r="AC2157" t="s">
        <v>27873</v>
      </c>
      <c r="AD2157">
        <v>41.970954</v>
      </c>
      <c r="AE2157">
        <v>-88.149822</v>
      </c>
      <c r="AF2157" s="5" t="str">
        <f>HYPERLINK("https://www.google.com/maps/search/?api=1&amp;query=41.970954,-88.149822","map")</f>
        <v>map</v>
      </c>
    </row>
    <row r="2158" spans="1:32">
      <c r="A2158" t="s">
        <v>2208</v>
      </c>
      <c r="B2158" t="s">
        <v>9761</v>
      </c>
      <c r="C2158" t="s">
        <v>15407</v>
      </c>
      <c r="D2158" t="s">
        <v>16203</v>
      </c>
      <c r="E2158" t="s">
        <v>16218</v>
      </c>
      <c r="F2158" t="s">
        <v>16220</v>
      </c>
      <c r="G2158" t="s">
        <v>16238</v>
      </c>
      <c r="H2158" t="s">
        <v>16238</v>
      </c>
      <c r="I2158" t="s">
        <v>16338</v>
      </c>
      <c r="J2158" t="s">
        <v>16385</v>
      </c>
      <c r="K2158">
        <v>0.231</v>
      </c>
      <c r="L2158">
        <v>10074</v>
      </c>
      <c r="M2158">
        <v>2153</v>
      </c>
      <c r="N2158" t="s">
        <v>16393</v>
      </c>
      <c r="O2158" s="4">
        <v>36878</v>
      </c>
      <c r="P2158" s="4">
        <v>75600</v>
      </c>
      <c r="Q2158" s="4">
        <v>112478</v>
      </c>
      <c r="R2158" s="4">
        <v>337434</v>
      </c>
      <c r="S2158" t="s">
        <v>18493</v>
      </c>
      <c r="T2158" s="6">
        <v>40087</v>
      </c>
      <c r="U2158" s="4">
        <v>215000</v>
      </c>
      <c r="V2158" t="s">
        <v>23739</v>
      </c>
      <c r="W2158" t="s">
        <v>24768</v>
      </c>
      <c r="X2158" t="s">
        <v>3</v>
      </c>
      <c r="AA2158" s="5" t="str">
        <f>HYPERLINK("https://www.zillow.com/homes/1930-LUCILLE-LN-HANOVER-PARK-IL-60133_rb/","check listing")</f>
        <v>check listing</v>
      </c>
      <c r="AB2158" s="5" t="str">
        <f>HYPERLINK("https://propertylookup.dupagecounty.gov/Datalets/Datalet.aspx?UseSearch=no&amp;mode=sales&amp;pin=0112214013","sales record")</f>
        <v>sales record</v>
      </c>
      <c r="AC2158" t="s">
        <v>27873</v>
      </c>
      <c r="AD2158">
        <v>41.971043</v>
      </c>
      <c r="AE2158">
        <v>-88.15006099999999</v>
      </c>
      <c r="AF2158" s="5" t="str">
        <f>HYPERLINK("https://www.google.com/maps/search/?api=1&amp;query=41.971043,-88.150061","map")</f>
        <v>map</v>
      </c>
    </row>
    <row r="2159" spans="1:32">
      <c r="A2159" t="s">
        <v>2209</v>
      </c>
      <c r="B2159" t="s">
        <v>9762</v>
      </c>
      <c r="C2159" t="s">
        <v>15407</v>
      </c>
      <c r="D2159" t="s">
        <v>16203</v>
      </c>
      <c r="E2159" t="s">
        <v>16218</v>
      </c>
      <c r="F2159" t="s">
        <v>16220</v>
      </c>
      <c r="G2159" t="s">
        <v>16238</v>
      </c>
      <c r="H2159" t="s">
        <v>16238</v>
      </c>
      <c r="I2159" t="s">
        <v>16338</v>
      </c>
      <c r="J2159" t="s">
        <v>16385</v>
      </c>
      <c r="K2159">
        <v>0.231</v>
      </c>
      <c r="L2159">
        <v>10073</v>
      </c>
      <c r="M2159">
        <v>2331</v>
      </c>
      <c r="N2159" t="s">
        <v>16393</v>
      </c>
      <c r="O2159" s="4">
        <v>36530</v>
      </c>
      <c r="P2159" s="4">
        <v>70544</v>
      </c>
      <c r="Q2159" s="4">
        <v>107074</v>
      </c>
      <c r="R2159" s="4">
        <v>321222</v>
      </c>
      <c r="S2159" t="s">
        <v>18494</v>
      </c>
      <c r="T2159" s="6">
        <v>37956</v>
      </c>
      <c r="U2159" s="4">
        <v>230000</v>
      </c>
      <c r="V2159" t="s">
        <v>23739</v>
      </c>
      <c r="W2159" t="s">
        <v>24769</v>
      </c>
      <c r="X2159" t="s">
        <v>3</v>
      </c>
      <c r="AA2159" s="5" t="str">
        <f>HYPERLINK("https://www.zillow.com/homes/2183-OAKDALE-CIR-HANOVER-PARK-IL-60133_rb/","check listing")</f>
        <v>check listing</v>
      </c>
      <c r="AB2159" s="5" t="str">
        <f>HYPERLINK("https://propertylookup.dupagecounty.gov/Datalets/Datalet.aspx?UseSearch=no&amp;mode=sales&amp;pin=0112213002","sales record")</f>
        <v>sales record</v>
      </c>
      <c r="AC2159" t="s">
        <v>3</v>
      </c>
      <c r="AD2159">
        <v>41.972734</v>
      </c>
      <c r="AE2159">
        <v>-88.154566</v>
      </c>
      <c r="AF2159" s="5" t="str">
        <f>HYPERLINK("https://www.google.com/maps/search/?api=1&amp;query=41.972734,-88.154566","map")</f>
        <v>map</v>
      </c>
    </row>
    <row r="2160" spans="1:32">
      <c r="A2160" t="s">
        <v>2210</v>
      </c>
      <c r="B2160" t="s">
        <v>9763</v>
      </c>
      <c r="C2160" t="s">
        <v>15407</v>
      </c>
      <c r="D2160" t="s">
        <v>16203</v>
      </c>
      <c r="E2160" t="s">
        <v>16218</v>
      </c>
      <c r="F2160" t="s">
        <v>16220</v>
      </c>
      <c r="G2160" t="s">
        <v>16238</v>
      </c>
      <c r="H2160" t="s">
        <v>16238</v>
      </c>
      <c r="I2160" t="s">
        <v>16338</v>
      </c>
      <c r="J2160" t="s">
        <v>16385</v>
      </c>
      <c r="K2160">
        <v>0.231</v>
      </c>
      <c r="L2160">
        <v>10050</v>
      </c>
      <c r="M2160">
        <v>2573</v>
      </c>
      <c r="N2160" t="s">
        <v>16393</v>
      </c>
      <c r="O2160" s="4">
        <v>36878</v>
      </c>
      <c r="P2160" s="4">
        <v>111974</v>
      </c>
      <c r="Q2160" s="4">
        <v>148852</v>
      </c>
      <c r="R2160" s="4">
        <v>446556</v>
      </c>
      <c r="S2160" t="s">
        <v>18495</v>
      </c>
      <c r="T2160" s="6">
        <v>41883</v>
      </c>
      <c r="U2160" s="4">
        <v>317000</v>
      </c>
      <c r="V2160" t="s">
        <v>23739</v>
      </c>
      <c r="W2160" t="s">
        <v>24770</v>
      </c>
      <c r="X2160" t="s">
        <v>3</v>
      </c>
      <c r="AA2160" s="5" t="str">
        <f>HYPERLINK("https://www.zillow.com/homes/1801-SUNSET-DR-HANOVER-PARK-IL-60133_rb/","check listing")</f>
        <v>check listing</v>
      </c>
      <c r="AB2160" s="5" t="str">
        <f>HYPERLINK("https://propertylookup.dupagecounty.gov/Datalets/Datalet.aspx?UseSearch=no&amp;mode=sales&amp;pin=0112210015","sales record")</f>
        <v>sales record</v>
      </c>
      <c r="AC2160" t="s">
        <v>3</v>
      </c>
      <c r="AD2160">
        <v>41.971913</v>
      </c>
      <c r="AE2160">
        <v>-88.14872800000001</v>
      </c>
      <c r="AF2160" s="5" t="str">
        <f>HYPERLINK("https://www.google.com/maps/search/?api=1&amp;query=41.971913,-88.148728","map")</f>
        <v>map</v>
      </c>
    </row>
    <row r="2161" spans="1:32">
      <c r="A2161" t="s">
        <v>2211</v>
      </c>
      <c r="B2161" t="s">
        <v>9764</v>
      </c>
      <c r="C2161" t="s">
        <v>15412</v>
      </c>
      <c r="D2161" t="s">
        <v>16203</v>
      </c>
      <c r="E2161" t="s">
        <v>16218</v>
      </c>
      <c r="F2161" t="s">
        <v>16220</v>
      </c>
      <c r="G2161" t="s">
        <v>16238</v>
      </c>
      <c r="H2161" t="s">
        <v>16238</v>
      </c>
      <c r="I2161" t="s">
        <v>16338</v>
      </c>
      <c r="J2161" t="s">
        <v>16385</v>
      </c>
      <c r="K2161">
        <v>0.228</v>
      </c>
      <c r="L2161">
        <v>9934</v>
      </c>
      <c r="M2161">
        <v>1826</v>
      </c>
      <c r="N2161" t="s">
        <v>16393</v>
      </c>
      <c r="O2161" s="4">
        <v>36878</v>
      </c>
      <c r="P2161" s="4">
        <v>76498</v>
      </c>
      <c r="Q2161" s="4">
        <v>113376</v>
      </c>
      <c r="R2161" s="4">
        <v>340128</v>
      </c>
      <c r="S2161" t="s">
        <v>18496</v>
      </c>
      <c r="T2161" s="6">
        <v>44770</v>
      </c>
      <c r="U2161" s="4">
        <v>345000</v>
      </c>
      <c r="V2161" t="s">
        <v>23739</v>
      </c>
      <c r="W2161" t="s">
        <v>24771</v>
      </c>
      <c r="X2161" t="s">
        <v>3</v>
      </c>
      <c r="AA2161" s="5" t="str">
        <f>HYPERLINK("https://www.zillow.com/homes/5493-RIDGE-XING-HANOVER-PARK-IL-601335371_rb/","check listing")</f>
        <v>check listing</v>
      </c>
      <c r="AB2161" s="5" t="str">
        <f>HYPERLINK("https://propertylookup.dupagecounty.gov/Datalets/Datalet.aspx?UseSearch=no&amp;mode=sales&amp;pin=0112215042","sales record")</f>
        <v>sales record</v>
      </c>
      <c r="AC2161" t="s">
        <v>3</v>
      </c>
      <c r="AD2161">
        <v>41.971696</v>
      </c>
      <c r="AE2161">
        <v>-88.145956</v>
      </c>
      <c r="AF2161" s="5" t="str">
        <f>HYPERLINK("https://www.google.com/maps/search/?api=1&amp;query=41.971696,-88.145956","map")</f>
        <v>map</v>
      </c>
    </row>
    <row r="2162" spans="1:32">
      <c r="A2162" t="s">
        <v>2212</v>
      </c>
      <c r="B2162" t="s">
        <v>9765</v>
      </c>
      <c r="C2162" t="s">
        <v>15413</v>
      </c>
      <c r="D2162" t="s">
        <v>16203</v>
      </c>
      <c r="E2162" t="s">
        <v>16218</v>
      </c>
      <c r="F2162" t="s">
        <v>16220</v>
      </c>
      <c r="G2162" t="s">
        <v>16238</v>
      </c>
      <c r="H2162" t="s">
        <v>16238</v>
      </c>
      <c r="I2162" t="s">
        <v>16338</v>
      </c>
      <c r="J2162" t="s">
        <v>16385</v>
      </c>
      <c r="K2162">
        <v>0.226</v>
      </c>
      <c r="L2162">
        <v>9856</v>
      </c>
      <c r="M2162">
        <v>2219</v>
      </c>
      <c r="N2162" t="s">
        <v>16393</v>
      </c>
      <c r="O2162" s="4">
        <v>36530</v>
      </c>
      <c r="P2162" s="4">
        <v>87880</v>
      </c>
      <c r="Q2162" s="4">
        <v>124410</v>
      </c>
      <c r="R2162" s="4">
        <v>373230</v>
      </c>
      <c r="S2162" t="s">
        <v>18497</v>
      </c>
      <c r="T2162" s="6">
        <v>43891</v>
      </c>
      <c r="U2162" s="4">
        <v>285000</v>
      </c>
      <c r="V2162" t="s">
        <v>23739</v>
      </c>
      <c r="W2162" t="s">
        <v>18497</v>
      </c>
      <c r="X2162" t="s">
        <v>3</v>
      </c>
      <c r="AA2162" s="5" t="str">
        <f>HYPERLINK("https://www.zillow.com/homes/2132-NEWPORT-CIR-HANOVER-PARK-IL-601335198_rb/","check listing")</f>
        <v>check listing</v>
      </c>
      <c r="AB2162" s="5" t="str">
        <f>HYPERLINK("https://propertylookup.dupagecounty.gov/Datalets/Datalet.aspx?UseSearch=no&amp;mode=sales&amp;pin=0112213019","sales record")</f>
        <v>sales record</v>
      </c>
      <c r="AC2162" t="s">
        <v>3</v>
      </c>
      <c r="AD2162">
        <v>41.972348</v>
      </c>
      <c r="AE2162">
        <v>-88.15367000000001</v>
      </c>
      <c r="AF2162" s="5" t="str">
        <f>HYPERLINK("https://www.google.com/maps/search/?api=1&amp;query=41.972348,-88.15367","map")</f>
        <v>map</v>
      </c>
    </row>
    <row r="2163" spans="1:32">
      <c r="A2163" t="s">
        <v>2213</v>
      </c>
      <c r="B2163" t="s">
        <v>9766</v>
      </c>
      <c r="C2163" t="s">
        <v>15407</v>
      </c>
      <c r="D2163" t="s">
        <v>16203</v>
      </c>
      <c r="E2163" t="s">
        <v>16218</v>
      </c>
      <c r="F2163" t="s">
        <v>16220</v>
      </c>
      <c r="G2163" t="s">
        <v>16238</v>
      </c>
      <c r="H2163" t="s">
        <v>16238</v>
      </c>
      <c r="I2163" t="s">
        <v>16338</v>
      </c>
      <c r="J2163" t="s">
        <v>16385</v>
      </c>
      <c r="K2163">
        <v>0.225</v>
      </c>
      <c r="L2163">
        <v>9802</v>
      </c>
      <c r="M2163">
        <v>2573</v>
      </c>
      <c r="N2163" t="s">
        <v>16393</v>
      </c>
      <c r="O2163" s="4">
        <v>36878</v>
      </c>
      <c r="P2163" s="4">
        <v>101898</v>
      </c>
      <c r="Q2163" s="4">
        <v>138776</v>
      </c>
      <c r="R2163" s="4">
        <v>416328</v>
      </c>
      <c r="S2163" t="s">
        <v>18498</v>
      </c>
      <c r="X2163" t="s">
        <v>3</v>
      </c>
      <c r="AA2163" s="5" t="str">
        <f>HYPERLINK("https://www.zillow.com/homes/5485-RIDGE-CROSSING-HANOVER-PARK-IL-60133_rb/","check listing")</f>
        <v>check listing</v>
      </c>
      <c r="AB2163" s="5" t="str">
        <f>HYPERLINK("https://propertylookup.dupagecounty.gov/Datalets/Datalet.aspx?UseSearch=no&amp;mode=sales&amp;pin=0112215101","sales record")</f>
        <v>sales record</v>
      </c>
      <c r="AC2163" t="s">
        <v>3</v>
      </c>
      <c r="AD2163">
        <v>41.971454</v>
      </c>
      <c r="AE2163">
        <v>-88.145516</v>
      </c>
      <c r="AF2163" s="5" t="str">
        <f>HYPERLINK("https://www.google.com/maps/search/?api=1&amp;query=41.971454,-88.145516","map")</f>
        <v>map</v>
      </c>
    </row>
    <row r="2164" spans="1:32">
      <c r="A2164" t="s">
        <v>2214</v>
      </c>
      <c r="B2164" t="s">
        <v>9767</v>
      </c>
      <c r="C2164" t="s">
        <v>15407</v>
      </c>
      <c r="D2164" t="s">
        <v>16203</v>
      </c>
      <c r="E2164" t="s">
        <v>16218</v>
      </c>
      <c r="F2164" t="s">
        <v>16220</v>
      </c>
      <c r="G2164" t="s">
        <v>16238</v>
      </c>
      <c r="H2164" t="s">
        <v>16238</v>
      </c>
      <c r="I2164" t="s">
        <v>16338</v>
      </c>
      <c r="J2164" t="s">
        <v>16385</v>
      </c>
      <c r="K2164">
        <v>0.225</v>
      </c>
      <c r="L2164">
        <v>9780</v>
      </c>
      <c r="M2164">
        <v>2696</v>
      </c>
      <c r="N2164" t="s">
        <v>16393</v>
      </c>
      <c r="O2164" s="4">
        <v>36878</v>
      </c>
      <c r="P2164" s="4">
        <v>106750</v>
      </c>
      <c r="Q2164" s="4">
        <v>143628</v>
      </c>
      <c r="R2164" s="4">
        <v>430884</v>
      </c>
      <c r="S2164" t="s">
        <v>18499</v>
      </c>
      <c r="T2164" s="6">
        <v>37043</v>
      </c>
      <c r="U2164" s="4">
        <v>216000</v>
      </c>
      <c r="V2164" t="s">
        <v>23742</v>
      </c>
      <c r="W2164" t="s">
        <v>18499</v>
      </c>
      <c r="X2164" t="s">
        <v>3</v>
      </c>
      <c r="AA2164" s="5" t="str">
        <f>HYPERLINK("https://www.zillow.com/homes/1987-LUCILLE-LN-HANOVER-PARK-IL-60133_rb/","check listing")</f>
        <v>check listing</v>
      </c>
      <c r="AB2164" s="5" t="str">
        <f>HYPERLINK("https://propertylookup.dupagecounty.gov/Datalets/Datalet.aspx?UseSearch=no&amp;mode=sales&amp;pin=0112210031","sales record")</f>
        <v>sales record</v>
      </c>
      <c r="AC2164" t="s">
        <v>3</v>
      </c>
      <c r="AD2164">
        <v>41.97035</v>
      </c>
      <c r="AE2164">
        <v>-88.151183</v>
      </c>
      <c r="AF2164" s="5" t="str">
        <f>HYPERLINK("https://www.google.com/maps/search/?api=1&amp;query=41.97035,-88.151183","map")</f>
        <v>map</v>
      </c>
    </row>
    <row r="2165" spans="1:32">
      <c r="A2165" t="s">
        <v>2215</v>
      </c>
      <c r="B2165" t="s">
        <v>9768</v>
      </c>
      <c r="C2165" t="s">
        <v>15407</v>
      </c>
      <c r="D2165" t="s">
        <v>16203</v>
      </c>
      <c r="E2165" t="s">
        <v>16218</v>
      </c>
      <c r="F2165" t="s">
        <v>16220</v>
      </c>
      <c r="G2165" t="s">
        <v>16238</v>
      </c>
      <c r="H2165" t="s">
        <v>16238</v>
      </c>
      <c r="I2165" t="s">
        <v>16338</v>
      </c>
      <c r="J2165" t="s">
        <v>16385</v>
      </c>
      <c r="K2165">
        <v>0.223</v>
      </c>
      <c r="L2165">
        <v>9716</v>
      </c>
      <c r="M2165">
        <v>1979</v>
      </c>
      <c r="N2165" t="s">
        <v>16393</v>
      </c>
      <c r="O2165" s="4">
        <v>36530</v>
      </c>
      <c r="P2165" s="4">
        <v>69561</v>
      </c>
      <c r="Q2165" s="4">
        <v>106091</v>
      </c>
      <c r="R2165" s="4">
        <v>318273</v>
      </c>
      <c r="S2165" t="s">
        <v>18500</v>
      </c>
      <c r="T2165" s="6">
        <v>33664</v>
      </c>
      <c r="U2165" s="4">
        <v>131890</v>
      </c>
      <c r="X2165" t="s">
        <v>3</v>
      </c>
      <c r="AA2165" s="5" t="str">
        <f>HYPERLINK("https://www.zillow.com/homes/2084-NEWPORT-CIR-HANOVER-PARK-IL-60133_rb/","check listing")</f>
        <v>check listing</v>
      </c>
      <c r="AB2165" s="5" t="str">
        <f>HYPERLINK("https://propertylookup.dupagecounty.gov/Datalets/Datalet.aspx?UseSearch=no&amp;mode=sales&amp;pin=0112213015","sales record")</f>
        <v>sales record</v>
      </c>
      <c r="AC2165" t="s">
        <v>3</v>
      </c>
      <c r="AD2165">
        <v>41.972557</v>
      </c>
      <c r="AE2165">
        <v>-88.152796</v>
      </c>
      <c r="AF2165" s="5" t="str">
        <f>HYPERLINK("https://www.google.com/maps/search/?api=1&amp;query=41.972557,-88.152796","map")</f>
        <v>map</v>
      </c>
    </row>
    <row r="2166" spans="1:32">
      <c r="A2166" t="s">
        <v>2216</v>
      </c>
      <c r="B2166" t="s">
        <v>9769</v>
      </c>
      <c r="C2166" t="s">
        <v>15407</v>
      </c>
      <c r="D2166" t="s">
        <v>16203</v>
      </c>
      <c r="E2166" t="s">
        <v>16218</v>
      </c>
      <c r="F2166" t="s">
        <v>16220</v>
      </c>
      <c r="G2166" t="s">
        <v>16238</v>
      </c>
      <c r="H2166" t="s">
        <v>16238</v>
      </c>
      <c r="I2166" t="s">
        <v>16338</v>
      </c>
      <c r="J2166" t="s">
        <v>16385</v>
      </c>
      <c r="K2166">
        <v>0.221</v>
      </c>
      <c r="L2166">
        <v>9636</v>
      </c>
      <c r="M2166">
        <v>1979</v>
      </c>
      <c r="N2166" t="s">
        <v>16393</v>
      </c>
      <c r="O2166" s="4">
        <v>36530</v>
      </c>
      <c r="P2166" s="4">
        <v>83136</v>
      </c>
      <c r="Q2166" s="4">
        <v>119666</v>
      </c>
      <c r="R2166" s="4">
        <v>358998</v>
      </c>
      <c r="S2166" t="s">
        <v>18501</v>
      </c>
      <c r="T2166" s="6">
        <v>37773</v>
      </c>
      <c r="U2166" s="4">
        <v>258000</v>
      </c>
      <c r="V2166" t="s">
        <v>23739</v>
      </c>
      <c r="W2166" t="s">
        <v>24772</v>
      </c>
      <c r="X2166" t="s">
        <v>3</v>
      </c>
      <c r="AA2166" s="5" t="str">
        <f>HYPERLINK("https://www.zillow.com/homes/2159-OAKDALE-CIR-HANOVER-PARK-IL-60133_rb/","check listing")</f>
        <v>check listing</v>
      </c>
      <c r="AB2166" s="5" t="str">
        <f>HYPERLINK("https://propertylookup.dupagecounty.gov/Datalets/Datalet.aspx?UseSearch=no&amp;mode=sales&amp;pin=0112213004","sales record")</f>
        <v>sales record</v>
      </c>
      <c r="AC2166" t="s">
        <v>3</v>
      </c>
      <c r="AD2166">
        <v>41.972693</v>
      </c>
      <c r="AE2166">
        <v>-88.154015</v>
      </c>
      <c r="AF2166" s="5" t="str">
        <f>HYPERLINK("https://www.google.com/maps/search/?api=1&amp;query=41.972693,-88.154015","map")</f>
        <v>map</v>
      </c>
    </row>
    <row r="2167" spans="1:32">
      <c r="A2167" t="s">
        <v>2217</v>
      </c>
      <c r="B2167" t="s">
        <v>9770</v>
      </c>
      <c r="C2167" t="s">
        <v>15414</v>
      </c>
      <c r="D2167" t="s">
        <v>16203</v>
      </c>
      <c r="E2167" t="s">
        <v>16218</v>
      </c>
      <c r="F2167" t="s">
        <v>16220</v>
      </c>
      <c r="G2167" t="s">
        <v>16238</v>
      </c>
      <c r="H2167" t="s">
        <v>16238</v>
      </c>
      <c r="I2167" t="s">
        <v>16338</v>
      </c>
      <c r="J2167" t="s">
        <v>16385</v>
      </c>
      <c r="K2167">
        <v>0.221</v>
      </c>
      <c r="L2167">
        <v>9608</v>
      </c>
      <c r="M2167">
        <v>2244</v>
      </c>
      <c r="N2167" t="s">
        <v>16393</v>
      </c>
      <c r="O2167" s="4">
        <v>36530</v>
      </c>
      <c r="P2167" s="4">
        <v>70544</v>
      </c>
      <c r="Q2167" s="4">
        <v>107074</v>
      </c>
      <c r="R2167" s="4">
        <v>321222</v>
      </c>
      <c r="S2167" t="s">
        <v>18502</v>
      </c>
      <c r="T2167" s="6">
        <v>37500</v>
      </c>
      <c r="U2167" s="4">
        <v>220000</v>
      </c>
      <c r="V2167" t="s">
        <v>23739</v>
      </c>
      <c r="W2167" t="s">
        <v>24773</v>
      </c>
      <c r="X2167" t="s">
        <v>3</v>
      </c>
      <c r="AA2167" s="5" t="str">
        <f>HYPERLINK("https://www.zillow.com/homes/2135-OAKDALE-CIR-HANOVER-PARK-IL-601338803_rb/","check listing")</f>
        <v>check listing</v>
      </c>
      <c r="AB2167" s="5" t="str">
        <f>HYPERLINK("https://propertylookup.dupagecounty.gov/Datalets/Datalet.aspx?UseSearch=no&amp;mode=sales&amp;pin=0112213006","sales record")</f>
        <v>sales record</v>
      </c>
      <c r="AC2167" t="s">
        <v>3</v>
      </c>
      <c r="AD2167">
        <v>41.97296</v>
      </c>
      <c r="AE2167">
        <v>-88.153696</v>
      </c>
      <c r="AF2167" s="5" t="str">
        <f>HYPERLINK("https://www.google.com/maps/search/?api=1&amp;query=41.97296,-88.153696","map")</f>
        <v>map</v>
      </c>
    </row>
    <row r="2168" spans="1:32">
      <c r="A2168" t="s">
        <v>2218</v>
      </c>
      <c r="B2168" t="s">
        <v>9771</v>
      </c>
      <c r="C2168" t="s">
        <v>15407</v>
      </c>
      <c r="D2168" t="s">
        <v>16203</v>
      </c>
      <c r="E2168" t="s">
        <v>16218</v>
      </c>
      <c r="F2168" t="s">
        <v>16220</v>
      </c>
      <c r="G2168" t="s">
        <v>16238</v>
      </c>
      <c r="H2168" t="s">
        <v>16238</v>
      </c>
      <c r="I2168" t="s">
        <v>16338</v>
      </c>
      <c r="J2168" t="s">
        <v>16385</v>
      </c>
      <c r="K2168">
        <v>0.22</v>
      </c>
      <c r="L2168">
        <v>9599</v>
      </c>
      <c r="M2168">
        <v>2573</v>
      </c>
      <c r="N2168" t="s">
        <v>16393</v>
      </c>
      <c r="O2168" s="4">
        <v>36878</v>
      </c>
      <c r="P2168" s="4">
        <v>104965</v>
      </c>
      <c r="Q2168" s="4">
        <v>141843</v>
      </c>
      <c r="R2168" s="4">
        <v>425529</v>
      </c>
      <c r="S2168" t="s">
        <v>18503</v>
      </c>
      <c r="T2168" s="6">
        <v>35704</v>
      </c>
      <c r="U2168" s="4">
        <v>204000</v>
      </c>
      <c r="X2168" t="s">
        <v>3</v>
      </c>
      <c r="AA2168" s="5" t="str">
        <f>HYPERLINK("https://www.zillow.com/homes/1977-SUNSET-DR-HANOVER-PARK-IL-60133_rb/","check listing")</f>
        <v>check listing</v>
      </c>
      <c r="AB2168" s="5" t="str">
        <f>HYPERLINK("https://propertylookup.dupagecounty.gov/Datalets/Datalet.aspx?UseSearch=no&amp;mode=sales&amp;pin=0112214001","sales record")</f>
        <v>sales record</v>
      </c>
      <c r="AC2168" t="s">
        <v>3</v>
      </c>
      <c r="AD2168">
        <v>41.970365</v>
      </c>
      <c r="AE2168">
        <v>-88.15056800000001</v>
      </c>
      <c r="AF2168" s="5" t="str">
        <f>HYPERLINK("https://www.google.com/maps/search/?api=1&amp;query=41.970365,-88.150568","map")</f>
        <v>map</v>
      </c>
    </row>
    <row r="2169" spans="1:32">
      <c r="A2169" t="s">
        <v>2219</v>
      </c>
      <c r="B2169" t="s">
        <v>9772</v>
      </c>
      <c r="C2169" t="s">
        <v>15407</v>
      </c>
      <c r="D2169" t="s">
        <v>16203</v>
      </c>
      <c r="E2169" t="s">
        <v>16218</v>
      </c>
      <c r="F2169" t="s">
        <v>16220</v>
      </c>
      <c r="G2169" t="s">
        <v>16238</v>
      </c>
      <c r="H2169" t="s">
        <v>16238</v>
      </c>
      <c r="I2169" t="s">
        <v>16338</v>
      </c>
      <c r="J2169" t="s">
        <v>16385</v>
      </c>
      <c r="K2169">
        <v>0.22</v>
      </c>
      <c r="L2169">
        <v>9590</v>
      </c>
      <c r="M2169">
        <v>2144</v>
      </c>
      <c r="N2169" t="s">
        <v>16393</v>
      </c>
      <c r="O2169" s="4">
        <v>36878</v>
      </c>
      <c r="P2169" s="4">
        <v>104066</v>
      </c>
      <c r="Q2169" s="4">
        <v>140944</v>
      </c>
      <c r="R2169" s="4">
        <v>422832</v>
      </c>
      <c r="S2169" t="s">
        <v>18504</v>
      </c>
      <c r="T2169" s="6">
        <v>35096</v>
      </c>
      <c r="U2169" s="4">
        <v>208721</v>
      </c>
      <c r="X2169" t="s">
        <v>3</v>
      </c>
      <c r="AA2169" s="5" t="str">
        <f>HYPERLINK("https://www.zillow.com/homes/5545-RIDGE-CROSSING-HANOVER-PARK-IL-60133_rb/","check listing")</f>
        <v>check listing</v>
      </c>
      <c r="AB2169" s="5" t="str">
        <f>HYPERLINK("https://propertylookup.dupagecounty.gov/Datalets/Datalet.aspx?UseSearch=no&amp;mode=sales&amp;pin=0112215066","sales record")</f>
        <v>sales record</v>
      </c>
      <c r="AC2169" t="s">
        <v>3</v>
      </c>
      <c r="AD2169">
        <v>41.973397</v>
      </c>
      <c r="AE2169">
        <v>-88.14801799999999</v>
      </c>
      <c r="AF2169" s="5" t="str">
        <f>HYPERLINK("https://www.google.com/maps/search/?api=1&amp;query=41.973397,-88.148018","map")</f>
        <v>map</v>
      </c>
    </row>
    <row r="2170" spans="1:32">
      <c r="A2170" t="s">
        <v>2220</v>
      </c>
      <c r="B2170" t="s">
        <v>9773</v>
      </c>
      <c r="C2170" t="s">
        <v>15407</v>
      </c>
      <c r="D2170" t="s">
        <v>16203</v>
      </c>
      <c r="E2170" t="s">
        <v>16218</v>
      </c>
      <c r="F2170" t="s">
        <v>16220</v>
      </c>
      <c r="G2170" t="s">
        <v>16238</v>
      </c>
      <c r="H2170" t="s">
        <v>16238</v>
      </c>
      <c r="I2170" t="s">
        <v>16338</v>
      </c>
      <c r="J2170" t="s">
        <v>16385</v>
      </c>
      <c r="K2170">
        <v>0.219</v>
      </c>
      <c r="L2170">
        <v>9533</v>
      </c>
      <c r="M2170">
        <v>2143</v>
      </c>
      <c r="N2170" t="s">
        <v>16393</v>
      </c>
      <c r="O2170" s="4">
        <v>36878</v>
      </c>
      <c r="P2170" s="4">
        <v>76258</v>
      </c>
      <c r="Q2170" s="4">
        <v>113136</v>
      </c>
      <c r="R2170" s="4">
        <v>339408</v>
      </c>
      <c r="S2170" t="s">
        <v>18505</v>
      </c>
      <c r="T2170" s="6">
        <v>37895</v>
      </c>
      <c r="U2170" s="4">
        <v>242000</v>
      </c>
      <c r="V2170" t="s">
        <v>23739</v>
      </c>
      <c r="W2170" t="s">
        <v>24774</v>
      </c>
      <c r="X2170" t="s">
        <v>3</v>
      </c>
      <c r="AA2170" s="5" t="str">
        <f>HYPERLINK("https://www.zillow.com/homes/1875-LUCILLE-LN-HANOVER-PARK-IL-60133_rb/","check listing")</f>
        <v>check listing</v>
      </c>
      <c r="AB2170" s="5" t="str">
        <f>HYPERLINK("https://propertylookup.dupagecounty.gov/Datalets/Datalet.aspx?UseSearch=no&amp;mode=sales&amp;pin=0112210017","sales record")</f>
        <v>sales record</v>
      </c>
      <c r="AC2170" t="s">
        <v>3</v>
      </c>
      <c r="AD2170">
        <v>41.971468</v>
      </c>
      <c r="AE2170">
        <v>-88.148718</v>
      </c>
      <c r="AF2170" s="5" t="str">
        <f>HYPERLINK("https://www.google.com/maps/search/?api=1&amp;query=41.971468,-88.148718","map")</f>
        <v>map</v>
      </c>
    </row>
    <row r="2171" spans="1:32">
      <c r="A2171" t="s">
        <v>2221</v>
      </c>
      <c r="B2171" t="s">
        <v>9774</v>
      </c>
      <c r="C2171" t="s">
        <v>15407</v>
      </c>
      <c r="D2171" t="s">
        <v>16203</v>
      </c>
      <c r="E2171" t="s">
        <v>16218</v>
      </c>
      <c r="F2171" t="s">
        <v>16220</v>
      </c>
      <c r="G2171" t="s">
        <v>16238</v>
      </c>
      <c r="H2171" t="s">
        <v>16238</v>
      </c>
      <c r="I2171" t="s">
        <v>16338</v>
      </c>
      <c r="J2171" t="s">
        <v>16385</v>
      </c>
      <c r="K2171">
        <v>0.219</v>
      </c>
      <c r="L2171">
        <v>9522</v>
      </c>
      <c r="M2171">
        <v>2358</v>
      </c>
      <c r="N2171" t="s">
        <v>16393</v>
      </c>
      <c r="O2171" s="4">
        <v>36878</v>
      </c>
      <c r="P2171" s="4">
        <v>111638</v>
      </c>
      <c r="Q2171" s="4">
        <v>148516</v>
      </c>
      <c r="R2171" s="4">
        <v>445548</v>
      </c>
      <c r="S2171" t="s">
        <v>18506</v>
      </c>
      <c r="T2171" s="6">
        <v>41791</v>
      </c>
      <c r="U2171" s="4">
        <v>242000</v>
      </c>
      <c r="V2171" t="s">
        <v>23739</v>
      </c>
      <c r="W2171" t="s">
        <v>18506</v>
      </c>
      <c r="X2171" t="s">
        <v>3</v>
      </c>
      <c r="AA2171" s="5" t="str">
        <f>HYPERLINK("https://www.zillow.com/homes/5509-RIDGE-CROSSING-HANOVER-PARK-IL-60133_rb/","check listing")</f>
        <v>check listing</v>
      </c>
      <c r="AB2171" s="5" t="str">
        <f>HYPERLINK("https://propertylookup.dupagecounty.gov/Datalets/Datalet.aspx?UseSearch=no&amp;mode=sales&amp;pin=0112215046","sales record")</f>
        <v>sales record</v>
      </c>
      <c r="AC2171" t="s">
        <v>3</v>
      </c>
      <c r="AD2171">
        <v>41.971787</v>
      </c>
      <c r="AE2171">
        <v>-88.147054</v>
      </c>
      <c r="AF2171" s="5" t="str">
        <f>HYPERLINK("https://www.google.com/maps/search/?api=1&amp;query=41.971787,-88.147054","map")</f>
        <v>map</v>
      </c>
    </row>
    <row r="2172" spans="1:32">
      <c r="A2172" t="s">
        <v>2222</v>
      </c>
      <c r="B2172" t="s">
        <v>9775</v>
      </c>
      <c r="C2172" t="s">
        <v>15407</v>
      </c>
      <c r="D2172" t="s">
        <v>16203</v>
      </c>
      <c r="E2172" t="s">
        <v>16218</v>
      </c>
      <c r="F2172" t="s">
        <v>16220</v>
      </c>
      <c r="G2172" t="s">
        <v>16238</v>
      </c>
      <c r="H2172" t="s">
        <v>16238</v>
      </c>
      <c r="I2172" t="s">
        <v>16338</v>
      </c>
      <c r="J2172" t="s">
        <v>16385</v>
      </c>
      <c r="K2172">
        <v>0.218</v>
      </c>
      <c r="L2172">
        <v>9479</v>
      </c>
      <c r="M2172">
        <v>2435</v>
      </c>
      <c r="N2172" t="s">
        <v>16393</v>
      </c>
      <c r="O2172" s="4">
        <v>36878</v>
      </c>
      <c r="P2172" s="4">
        <v>108343</v>
      </c>
      <c r="Q2172" s="4">
        <v>145221</v>
      </c>
      <c r="R2172" s="4">
        <v>435663</v>
      </c>
      <c r="S2172" t="s">
        <v>18507</v>
      </c>
      <c r="T2172" s="6">
        <v>40817</v>
      </c>
      <c r="U2172" s="4">
        <v>225000</v>
      </c>
      <c r="V2172" t="s">
        <v>16232</v>
      </c>
      <c r="W2172" t="s">
        <v>24775</v>
      </c>
      <c r="X2172" t="s">
        <v>3</v>
      </c>
      <c r="AA2172" s="5" t="str">
        <f>HYPERLINK("https://www.zillow.com/homes/5517-RIDGE-CROSSING-HANOVER-PARK-IL-60133_rb/","check listing")</f>
        <v>check listing</v>
      </c>
      <c r="AB2172" s="5" t="str">
        <f>HYPERLINK("https://propertylookup.dupagecounty.gov/Datalets/Datalet.aspx?UseSearch=no&amp;mode=sales&amp;pin=0112215048","sales record")</f>
        <v>sales record</v>
      </c>
      <c r="AC2172" t="s">
        <v>3</v>
      </c>
      <c r="AD2172">
        <v>41.972128</v>
      </c>
      <c r="AE2172">
        <v>-88.1473</v>
      </c>
      <c r="AF2172" s="5" t="str">
        <f>HYPERLINK("https://www.google.com/maps/search/?api=1&amp;query=41.972128,-88.1473","map")</f>
        <v>map</v>
      </c>
    </row>
    <row r="2173" spans="1:32">
      <c r="A2173" t="s">
        <v>2223</v>
      </c>
      <c r="B2173" t="s">
        <v>9776</v>
      </c>
      <c r="C2173" t="s">
        <v>15407</v>
      </c>
      <c r="D2173" t="s">
        <v>16203</v>
      </c>
      <c r="E2173" t="s">
        <v>16218</v>
      </c>
      <c r="F2173" t="s">
        <v>16220</v>
      </c>
      <c r="G2173" t="s">
        <v>16238</v>
      </c>
      <c r="H2173" t="s">
        <v>16238</v>
      </c>
      <c r="I2173" t="s">
        <v>16338</v>
      </c>
      <c r="J2173" t="s">
        <v>16385</v>
      </c>
      <c r="K2173">
        <v>0.217</v>
      </c>
      <c r="L2173">
        <v>9444</v>
      </c>
      <c r="M2173">
        <v>2721</v>
      </c>
      <c r="N2173" t="s">
        <v>16393</v>
      </c>
      <c r="O2173" s="4">
        <v>36530</v>
      </c>
      <c r="P2173" s="4">
        <v>83208</v>
      </c>
      <c r="Q2173" s="4">
        <v>119738</v>
      </c>
      <c r="R2173" s="4">
        <v>359214</v>
      </c>
      <c r="S2173" t="s">
        <v>18508</v>
      </c>
      <c r="T2173" s="6">
        <v>33573</v>
      </c>
      <c r="U2173" s="4">
        <v>152240</v>
      </c>
      <c r="X2173" t="s">
        <v>3</v>
      </c>
      <c r="AA2173" s="5" t="str">
        <f>HYPERLINK("https://www.zillow.com/homes/2072-NEWPORT-CIR-HANOVER-PARK-IL-60133_rb/","check listing")</f>
        <v>check listing</v>
      </c>
      <c r="AB2173" s="5" t="str">
        <f>HYPERLINK("https://propertylookup.dupagecounty.gov/Datalets/Datalet.aspx?UseSearch=no&amp;mode=sales&amp;pin=0112213014","sales record")</f>
        <v>sales record</v>
      </c>
      <c r="AC2173" t="s">
        <v>3</v>
      </c>
      <c r="AD2173">
        <v>41.97224</v>
      </c>
      <c r="AE2173">
        <v>-88.15280199999999</v>
      </c>
      <c r="AF2173" s="5" t="str">
        <f>HYPERLINK("https://www.google.com/maps/search/?api=1&amp;query=41.97224,-88.152802","map")</f>
        <v>map</v>
      </c>
    </row>
    <row r="2174" spans="1:32">
      <c r="A2174" t="s">
        <v>2224</v>
      </c>
      <c r="B2174" t="s">
        <v>9777</v>
      </c>
      <c r="C2174" t="s">
        <v>15407</v>
      </c>
      <c r="D2174" t="s">
        <v>16203</v>
      </c>
      <c r="E2174" t="s">
        <v>16218</v>
      </c>
      <c r="F2174" t="s">
        <v>16220</v>
      </c>
      <c r="G2174" t="s">
        <v>16238</v>
      </c>
      <c r="H2174" t="s">
        <v>16238</v>
      </c>
      <c r="I2174" t="s">
        <v>16338</v>
      </c>
      <c r="J2174" t="s">
        <v>16385</v>
      </c>
      <c r="K2174">
        <v>0.216</v>
      </c>
      <c r="L2174">
        <v>9392</v>
      </c>
      <c r="M2174">
        <v>2358</v>
      </c>
      <c r="N2174" t="s">
        <v>16393</v>
      </c>
      <c r="O2174" s="4">
        <v>36878</v>
      </c>
      <c r="P2174" s="4">
        <v>103407</v>
      </c>
      <c r="Q2174" s="4">
        <v>140285</v>
      </c>
      <c r="R2174" s="4">
        <v>420855</v>
      </c>
      <c r="S2174" t="s">
        <v>18509</v>
      </c>
      <c r="T2174" s="6">
        <v>36251</v>
      </c>
      <c r="U2174" s="4">
        <v>226500</v>
      </c>
      <c r="X2174" t="s">
        <v>3</v>
      </c>
      <c r="AA2174" s="5" t="str">
        <f>HYPERLINK("https://www.zillow.com/homes/1950-LUCILLE-LN-HANOVER-PARK-IL-60133_rb/","check listing")</f>
        <v>check listing</v>
      </c>
      <c r="AB2174" s="5" t="str">
        <f>HYPERLINK("https://propertylookup.dupagecounty.gov/Datalets/Datalet.aspx?UseSearch=no&amp;mode=sales&amp;pin=0112214015","sales record")</f>
        <v>sales record</v>
      </c>
      <c r="AC2174" t="s">
        <v>3</v>
      </c>
      <c r="AD2174">
        <v>41.970794</v>
      </c>
      <c r="AE2174">
        <v>-88.150447</v>
      </c>
      <c r="AF2174" s="5" t="str">
        <f>HYPERLINK("https://www.google.com/maps/search/?api=1&amp;query=41.970794,-88.150447","map")</f>
        <v>map</v>
      </c>
    </row>
    <row r="2175" spans="1:32">
      <c r="A2175" t="s">
        <v>2225</v>
      </c>
      <c r="B2175" t="s">
        <v>9778</v>
      </c>
      <c r="C2175" t="s">
        <v>15407</v>
      </c>
      <c r="D2175" t="s">
        <v>16203</v>
      </c>
      <c r="E2175" t="s">
        <v>16218</v>
      </c>
      <c r="F2175" t="s">
        <v>16220</v>
      </c>
      <c r="G2175" t="s">
        <v>16238</v>
      </c>
      <c r="H2175" t="s">
        <v>16238</v>
      </c>
      <c r="I2175" t="s">
        <v>16338</v>
      </c>
      <c r="J2175" t="s">
        <v>16385</v>
      </c>
      <c r="K2175">
        <v>0.214</v>
      </c>
      <c r="L2175">
        <v>9334</v>
      </c>
      <c r="M2175">
        <v>2638</v>
      </c>
      <c r="N2175" t="s">
        <v>16393</v>
      </c>
      <c r="O2175" s="4">
        <v>36530</v>
      </c>
      <c r="P2175" s="4">
        <v>74066</v>
      </c>
      <c r="Q2175" s="4">
        <v>110596</v>
      </c>
      <c r="R2175" s="4">
        <v>331788</v>
      </c>
      <c r="S2175" t="s">
        <v>18510</v>
      </c>
      <c r="T2175" s="6">
        <v>34243</v>
      </c>
      <c r="U2175" s="4">
        <v>166085</v>
      </c>
      <c r="X2175" t="s">
        <v>3</v>
      </c>
      <c r="AA2175" s="5" t="str">
        <f>HYPERLINK("https://www.zillow.com/homes/2100-OAKDALE-CIR-HANOVER-PARK-IL-60133_rb/","check listing")</f>
        <v>check listing</v>
      </c>
      <c r="AB2175" s="5" t="str">
        <f>HYPERLINK("https://propertylookup.dupagecounty.gov/Datalets/Datalet.aspx?UseSearch=no&amp;mode=sales&amp;pin=0112212001","sales record")</f>
        <v>sales record</v>
      </c>
      <c r="AC2175" t="s">
        <v>3</v>
      </c>
      <c r="AD2175">
        <v>41.973431</v>
      </c>
      <c r="AE2175">
        <v>-88.153166</v>
      </c>
      <c r="AF2175" s="5" t="str">
        <f>HYPERLINK("https://www.google.com/maps/search/?api=1&amp;query=41.973431,-88.153166","map")</f>
        <v>map</v>
      </c>
    </row>
    <row r="2176" spans="1:32">
      <c r="A2176" t="s">
        <v>2226</v>
      </c>
      <c r="B2176" t="s">
        <v>9779</v>
      </c>
      <c r="C2176" t="s">
        <v>15407</v>
      </c>
      <c r="D2176" t="s">
        <v>16203</v>
      </c>
      <c r="E2176" t="s">
        <v>16218</v>
      </c>
      <c r="F2176" t="s">
        <v>16220</v>
      </c>
      <c r="G2176" t="s">
        <v>16238</v>
      </c>
      <c r="H2176" t="s">
        <v>16238</v>
      </c>
      <c r="I2176" t="s">
        <v>16338</v>
      </c>
      <c r="J2176" t="s">
        <v>16385</v>
      </c>
      <c r="K2176">
        <v>0.211</v>
      </c>
      <c r="L2176">
        <v>9212</v>
      </c>
      <c r="M2176">
        <v>2226</v>
      </c>
      <c r="N2176" t="s">
        <v>16393</v>
      </c>
      <c r="O2176" s="4">
        <v>36530</v>
      </c>
      <c r="P2176" s="4">
        <v>89198</v>
      </c>
      <c r="Q2176" s="4">
        <v>125728</v>
      </c>
      <c r="R2176" s="4">
        <v>377184</v>
      </c>
      <c r="S2176" t="s">
        <v>18511</v>
      </c>
      <c r="T2176" s="6">
        <v>42705</v>
      </c>
      <c r="U2176" s="4">
        <v>175000</v>
      </c>
      <c r="V2176" t="s">
        <v>23739</v>
      </c>
      <c r="W2176" t="s">
        <v>24776</v>
      </c>
      <c r="X2176" t="s">
        <v>3</v>
      </c>
      <c r="AA2176" s="5" t="str">
        <f>HYPERLINK("https://www.zillow.com/homes/2172-OAKDALE-CIR-HANOVER-PARK-IL-60133_rb/","check listing")</f>
        <v>check listing</v>
      </c>
      <c r="AB2176" s="5" t="str">
        <f>HYPERLINK("https://propertylookup.dupagecounty.gov/Datalets/Datalet.aspx?UseSearch=no&amp;mode=sales&amp;pin=0112114002","sales record")</f>
        <v>sales record</v>
      </c>
      <c r="AC2176" t="s">
        <v>3</v>
      </c>
      <c r="AD2176">
        <v>41.973436</v>
      </c>
      <c r="AE2176">
        <v>-88.155243</v>
      </c>
      <c r="AF2176" s="5" t="str">
        <f>HYPERLINK("https://www.google.com/maps/search/?api=1&amp;query=41.973436,-88.155243","map")</f>
        <v>map</v>
      </c>
    </row>
    <row r="2177" spans="1:32">
      <c r="A2177" t="s">
        <v>2227</v>
      </c>
      <c r="B2177" t="s">
        <v>9780</v>
      </c>
      <c r="C2177" t="s">
        <v>15415</v>
      </c>
      <c r="D2177" t="s">
        <v>16203</v>
      </c>
      <c r="E2177" t="s">
        <v>16218</v>
      </c>
      <c r="F2177" t="s">
        <v>16220</v>
      </c>
      <c r="G2177" t="s">
        <v>16238</v>
      </c>
      <c r="H2177" t="s">
        <v>16238</v>
      </c>
      <c r="I2177" t="s">
        <v>16338</v>
      </c>
      <c r="J2177" t="s">
        <v>16385</v>
      </c>
      <c r="K2177">
        <v>0.211</v>
      </c>
      <c r="L2177">
        <v>9180</v>
      </c>
      <c r="M2177">
        <v>3693</v>
      </c>
      <c r="N2177" t="s">
        <v>16393</v>
      </c>
      <c r="O2177" s="4">
        <v>36530</v>
      </c>
      <c r="P2177" s="4">
        <v>74521</v>
      </c>
      <c r="Q2177" s="4">
        <v>111051</v>
      </c>
      <c r="R2177" s="4">
        <v>333153</v>
      </c>
      <c r="S2177" t="s">
        <v>18512</v>
      </c>
      <c r="T2177" s="6">
        <v>45082</v>
      </c>
      <c r="U2177" s="4">
        <v>349000</v>
      </c>
      <c r="V2177" t="s">
        <v>23739</v>
      </c>
      <c r="W2177" t="s">
        <v>24777</v>
      </c>
      <c r="X2177" t="s">
        <v>3</v>
      </c>
      <c r="AA2177" s="5" t="str">
        <f>HYPERLINK("https://www.zillow.com/homes/5571-REDFORD-LN-HANOVER-PARK-IL-601335184_rb/","check listing")</f>
        <v>check listing</v>
      </c>
      <c r="AB2177" s="5" t="str">
        <f>HYPERLINK("https://propertylookup.dupagecounty.gov/Datalets/Datalet.aspx?UseSearch=no&amp;mode=sales&amp;pin=0112114015","sales record")</f>
        <v>sales record</v>
      </c>
      <c r="AC2177" t="s">
        <v>3</v>
      </c>
      <c r="AD2177">
        <v>41.973464</v>
      </c>
      <c r="AE2177">
        <v>-88.15595500000001</v>
      </c>
      <c r="AF2177" s="5" t="str">
        <f>HYPERLINK("https://www.google.com/maps/search/?api=1&amp;query=41.973464,-88.155955","map")</f>
        <v>map</v>
      </c>
    </row>
    <row r="2178" spans="1:32">
      <c r="A2178" t="s">
        <v>2228</v>
      </c>
      <c r="B2178" t="s">
        <v>9781</v>
      </c>
      <c r="C2178" t="s">
        <v>15407</v>
      </c>
      <c r="D2178" t="s">
        <v>16203</v>
      </c>
      <c r="E2178" t="s">
        <v>16218</v>
      </c>
      <c r="F2178" t="s">
        <v>16220</v>
      </c>
      <c r="G2178" t="s">
        <v>16238</v>
      </c>
      <c r="H2178" t="s">
        <v>16238</v>
      </c>
      <c r="I2178" t="s">
        <v>16338</v>
      </c>
      <c r="J2178" t="s">
        <v>16385</v>
      </c>
      <c r="K2178">
        <v>0.21</v>
      </c>
      <c r="L2178">
        <v>9152</v>
      </c>
      <c r="M2178">
        <v>2960</v>
      </c>
      <c r="N2178" t="s">
        <v>16393</v>
      </c>
      <c r="O2178" s="4">
        <v>36530</v>
      </c>
      <c r="P2178" s="4">
        <v>74941</v>
      </c>
      <c r="Q2178" s="4">
        <v>111471</v>
      </c>
      <c r="R2178" s="4">
        <v>334413</v>
      </c>
      <c r="S2178" t="s">
        <v>18513</v>
      </c>
      <c r="T2178" s="6">
        <v>35582</v>
      </c>
      <c r="U2178" s="4">
        <v>155000</v>
      </c>
      <c r="X2178" t="s">
        <v>3</v>
      </c>
      <c r="AA2178" s="5" t="str">
        <f>HYPERLINK("https://www.zillow.com/homes/2096-NEWPORT-CIR-HANOVER-PARK-IL-60133_rb/","check listing")</f>
        <v>check listing</v>
      </c>
      <c r="AB2178" s="5" t="str">
        <f>HYPERLINK("https://propertylookup.dupagecounty.gov/Datalets/Datalet.aspx?UseSearch=no&amp;mode=sales&amp;pin=0112213016","sales record")</f>
        <v>sales record</v>
      </c>
      <c r="AC2178" t="s">
        <v>3</v>
      </c>
      <c r="AD2178">
        <v>41.972611</v>
      </c>
      <c r="AE2178">
        <v>-88.153057</v>
      </c>
      <c r="AF2178" s="5" t="str">
        <f>HYPERLINK("https://www.google.com/maps/search/?api=1&amp;query=41.972611,-88.153057","map")</f>
        <v>map</v>
      </c>
    </row>
    <row r="2179" spans="1:32">
      <c r="A2179" t="s">
        <v>2229</v>
      </c>
      <c r="B2179" t="s">
        <v>9782</v>
      </c>
      <c r="C2179" t="s">
        <v>15416</v>
      </c>
      <c r="D2179" t="s">
        <v>16203</v>
      </c>
      <c r="E2179" t="s">
        <v>16218</v>
      </c>
      <c r="F2179" t="s">
        <v>16220</v>
      </c>
      <c r="G2179" t="s">
        <v>16238</v>
      </c>
      <c r="H2179" t="s">
        <v>16238</v>
      </c>
      <c r="I2179" t="s">
        <v>16338</v>
      </c>
      <c r="J2179" t="s">
        <v>16385</v>
      </c>
      <c r="K2179">
        <v>0.208</v>
      </c>
      <c r="L2179">
        <v>9080</v>
      </c>
      <c r="M2179">
        <v>2721</v>
      </c>
      <c r="N2179" t="s">
        <v>16393</v>
      </c>
      <c r="O2179" s="4">
        <v>36530</v>
      </c>
      <c r="P2179" s="4">
        <v>74521</v>
      </c>
      <c r="Q2179" s="4">
        <v>111051</v>
      </c>
      <c r="R2179" s="4">
        <v>333153</v>
      </c>
      <c r="S2179" t="s">
        <v>18514</v>
      </c>
      <c r="T2179" s="6">
        <v>44562</v>
      </c>
      <c r="U2179" s="4">
        <v>275000</v>
      </c>
      <c r="V2179" t="s">
        <v>23740</v>
      </c>
      <c r="W2179" t="s">
        <v>24778</v>
      </c>
      <c r="X2179" t="s">
        <v>3</v>
      </c>
      <c r="AA2179" s="5" t="str">
        <f>HYPERLINK("https://www.zillow.com/homes/2220-OAKDALE-CIR-HANOVER-PARK-IL-601338802_rb/","check listing")</f>
        <v>check listing</v>
      </c>
      <c r="AB2179" s="5" t="str">
        <f>HYPERLINK("https://propertylookup.dupagecounty.gov/Datalets/Datalet.aspx?UseSearch=no&amp;mode=sales&amp;pin=0112114008","sales record")</f>
        <v>sales record</v>
      </c>
      <c r="AC2179" t="s">
        <v>3</v>
      </c>
      <c r="AD2179">
        <v>41.972394</v>
      </c>
      <c r="AE2179">
        <v>-88.155576</v>
      </c>
      <c r="AF2179" s="5" t="str">
        <f>HYPERLINK("https://www.google.com/maps/search/?api=1&amp;query=41.972394,-88.155576","map")</f>
        <v>map</v>
      </c>
    </row>
    <row r="2180" spans="1:32">
      <c r="A2180" t="s">
        <v>2230</v>
      </c>
      <c r="B2180" t="s">
        <v>9783</v>
      </c>
      <c r="C2180" t="s">
        <v>15407</v>
      </c>
      <c r="D2180" t="s">
        <v>16203</v>
      </c>
      <c r="E2180" t="s">
        <v>16218</v>
      </c>
      <c r="F2180" t="s">
        <v>16220</v>
      </c>
      <c r="G2180" t="s">
        <v>16238</v>
      </c>
      <c r="H2180" t="s">
        <v>16238</v>
      </c>
      <c r="I2180" t="s">
        <v>16338</v>
      </c>
      <c r="J2180" t="s">
        <v>16385</v>
      </c>
      <c r="K2180">
        <v>0.204</v>
      </c>
      <c r="L2180">
        <v>8893</v>
      </c>
      <c r="M2180">
        <v>2375</v>
      </c>
      <c r="N2180" t="s">
        <v>16393</v>
      </c>
      <c r="O2180" s="4">
        <v>36878</v>
      </c>
      <c r="P2180" s="4">
        <v>102808</v>
      </c>
      <c r="Q2180" s="4">
        <v>139686</v>
      </c>
      <c r="R2180" s="4">
        <v>419058</v>
      </c>
      <c r="S2180" t="s">
        <v>18515</v>
      </c>
      <c r="T2180" s="6">
        <v>35735</v>
      </c>
      <c r="U2180" s="4">
        <v>198317</v>
      </c>
      <c r="X2180" t="s">
        <v>3</v>
      </c>
      <c r="AA2180" s="5" t="str">
        <f>HYPERLINK("https://www.zillow.com/homes/5554-RIDGE-CROSSING-HANOVER-PARK-IL-60133_rb/","check listing")</f>
        <v>check listing</v>
      </c>
      <c r="AB2180" s="5" t="str">
        <f>HYPERLINK("https://propertylookup.dupagecounty.gov/Datalets/Datalet.aspx?UseSearch=no&amp;mode=sales&amp;pin=0112210036","sales record")</f>
        <v>sales record</v>
      </c>
      <c r="AC2180" t="s">
        <v>3</v>
      </c>
      <c r="AD2180">
        <v>41.973398</v>
      </c>
      <c r="AE2180">
        <v>-88.148809</v>
      </c>
      <c r="AF2180" s="5" t="str">
        <f>HYPERLINK("https://www.google.com/maps/search/?api=1&amp;query=41.973398,-88.148809","map")</f>
        <v>map</v>
      </c>
    </row>
    <row r="2181" spans="1:32">
      <c r="A2181" t="s">
        <v>2231</v>
      </c>
      <c r="B2181" t="s">
        <v>9784</v>
      </c>
      <c r="C2181" t="s">
        <v>15407</v>
      </c>
      <c r="D2181" t="s">
        <v>16203</v>
      </c>
      <c r="E2181" t="s">
        <v>16218</v>
      </c>
      <c r="F2181" t="s">
        <v>16220</v>
      </c>
      <c r="G2181" t="s">
        <v>16238</v>
      </c>
      <c r="H2181" t="s">
        <v>16238</v>
      </c>
      <c r="I2181" t="s">
        <v>16338</v>
      </c>
      <c r="J2181" t="s">
        <v>16385</v>
      </c>
      <c r="K2181">
        <v>0.204</v>
      </c>
      <c r="L2181">
        <v>8886</v>
      </c>
      <c r="M2181">
        <v>1979</v>
      </c>
      <c r="N2181" t="s">
        <v>16393</v>
      </c>
      <c r="O2181" s="4">
        <v>36878</v>
      </c>
      <c r="P2181" s="4">
        <v>100244</v>
      </c>
      <c r="Q2181" s="4">
        <v>137122</v>
      </c>
      <c r="R2181" s="4">
        <v>411366</v>
      </c>
      <c r="S2181" t="s">
        <v>18516</v>
      </c>
      <c r="T2181" s="6">
        <v>42005</v>
      </c>
      <c r="U2181" s="4">
        <v>249900</v>
      </c>
      <c r="V2181" t="s">
        <v>23739</v>
      </c>
      <c r="W2181" t="s">
        <v>18516</v>
      </c>
      <c r="X2181" t="s">
        <v>3</v>
      </c>
      <c r="AA2181" s="5" t="str">
        <f>HYPERLINK("https://www.zillow.com/homes/5477-RIDGE-CROSSING-HANOVER-PARK-IL-60133_rb/","check listing")</f>
        <v>check listing</v>
      </c>
      <c r="AB2181" s="5" t="str">
        <f>HYPERLINK("https://propertylookup.dupagecounty.gov/Datalets/Datalet.aspx?UseSearch=no&amp;mode=sales&amp;pin=0112215099","sales record")</f>
        <v>sales record</v>
      </c>
      <c r="AC2181" t="s">
        <v>3</v>
      </c>
      <c r="AD2181">
        <v>41.971125</v>
      </c>
      <c r="AE2181">
        <v>-88.145324</v>
      </c>
      <c r="AF2181" s="5" t="str">
        <f>HYPERLINK("https://www.google.com/maps/search/?api=1&amp;query=41.971125,-88.145324","map")</f>
        <v>map</v>
      </c>
    </row>
    <row r="2182" spans="1:32">
      <c r="A2182" t="s">
        <v>2232</v>
      </c>
      <c r="B2182" t="s">
        <v>9785</v>
      </c>
      <c r="C2182" t="s">
        <v>15417</v>
      </c>
      <c r="D2182" t="s">
        <v>16203</v>
      </c>
      <c r="E2182" t="s">
        <v>16218</v>
      </c>
      <c r="F2182" t="s">
        <v>16220</v>
      </c>
      <c r="G2182" t="s">
        <v>16238</v>
      </c>
      <c r="H2182" t="s">
        <v>16238</v>
      </c>
      <c r="I2182" t="s">
        <v>16338</v>
      </c>
      <c r="J2182" t="s">
        <v>16385</v>
      </c>
      <c r="K2182">
        <v>0.203</v>
      </c>
      <c r="L2182">
        <v>8836</v>
      </c>
      <c r="M2182">
        <v>2177</v>
      </c>
      <c r="N2182" t="s">
        <v>16393</v>
      </c>
      <c r="O2182" s="4">
        <v>36530</v>
      </c>
      <c r="P2182" s="4">
        <v>70412</v>
      </c>
      <c r="Q2182" s="4">
        <v>106942</v>
      </c>
      <c r="R2182" s="4">
        <v>320826</v>
      </c>
      <c r="S2182" t="s">
        <v>18517</v>
      </c>
      <c r="T2182" s="6">
        <v>42979</v>
      </c>
      <c r="U2182" s="4">
        <v>229000</v>
      </c>
      <c r="V2182" t="s">
        <v>23739</v>
      </c>
      <c r="W2182" t="s">
        <v>18517</v>
      </c>
      <c r="X2182" t="s">
        <v>3</v>
      </c>
      <c r="AA2182" s="5" t="str">
        <f>HYPERLINK("https://www.zillow.com/homes/2231-OAKDALE-CIR-HANOVER-PARK-IL-601331946_rb/","check listing")</f>
        <v>check listing</v>
      </c>
      <c r="AB2182" s="5" t="str">
        <f>HYPERLINK("https://propertylookup.dupagecounty.gov/Datalets/Datalet.aspx?UseSearch=no&amp;mode=sales&amp;pin=0112115001","sales record")</f>
        <v>sales record</v>
      </c>
      <c r="AC2182" t="s">
        <v>3</v>
      </c>
      <c r="AD2182">
        <v>41.972362</v>
      </c>
      <c r="AE2182">
        <v>-88.15495900000001</v>
      </c>
      <c r="AF2182" s="5" t="str">
        <f>HYPERLINK("https://www.google.com/maps/search/?api=1&amp;query=41.972362,-88.154959","map")</f>
        <v>map</v>
      </c>
    </row>
    <row r="2183" spans="1:32">
      <c r="A2183" t="s">
        <v>2233</v>
      </c>
      <c r="B2183" t="s">
        <v>9786</v>
      </c>
      <c r="C2183" t="s">
        <v>15407</v>
      </c>
      <c r="D2183" t="s">
        <v>16203</v>
      </c>
      <c r="E2183" t="s">
        <v>16218</v>
      </c>
      <c r="F2183" t="s">
        <v>16220</v>
      </c>
      <c r="G2183" t="s">
        <v>16238</v>
      </c>
      <c r="H2183" t="s">
        <v>16238</v>
      </c>
      <c r="I2183" t="s">
        <v>16338</v>
      </c>
      <c r="J2183" t="s">
        <v>16385</v>
      </c>
      <c r="K2183">
        <v>0.2</v>
      </c>
      <c r="L2183">
        <v>8730</v>
      </c>
      <c r="M2183">
        <v>1826</v>
      </c>
      <c r="N2183" t="s">
        <v>16393</v>
      </c>
      <c r="O2183" s="4">
        <v>36878</v>
      </c>
      <c r="P2183" s="4">
        <v>76474</v>
      </c>
      <c r="Q2183" s="4">
        <v>113352</v>
      </c>
      <c r="R2183" s="4">
        <v>340056</v>
      </c>
      <c r="S2183" t="s">
        <v>18518</v>
      </c>
      <c r="T2183" s="6">
        <v>37530</v>
      </c>
      <c r="U2183" s="4">
        <v>230000</v>
      </c>
      <c r="V2183" t="s">
        <v>23739</v>
      </c>
      <c r="W2183" t="s">
        <v>18518</v>
      </c>
      <c r="X2183" t="s">
        <v>3</v>
      </c>
      <c r="AA2183" s="5" t="str">
        <f>HYPERLINK("https://www.zillow.com/homes/5521-RIDGE-CROSSING-HANOVER-PARK-IL-60133_rb/","check listing")</f>
        <v>check listing</v>
      </c>
      <c r="AB2183" s="5" t="str">
        <f>HYPERLINK("https://propertylookup.dupagecounty.gov/Datalets/Datalet.aspx?UseSearch=no&amp;mode=sales&amp;pin=0112215073","sales record")</f>
        <v>sales record</v>
      </c>
      <c r="AC2183" t="s">
        <v>3</v>
      </c>
      <c r="AD2183">
        <v>41.972277</v>
      </c>
      <c r="AE2183">
        <v>-88.14747199999999</v>
      </c>
      <c r="AF2183" s="5" t="str">
        <f>HYPERLINK("https://www.google.com/maps/search/?api=1&amp;query=41.972277,-88.147472","map")</f>
        <v>map</v>
      </c>
    </row>
    <row r="2184" spans="1:32">
      <c r="A2184" t="s">
        <v>2234</v>
      </c>
      <c r="B2184" t="s">
        <v>9787</v>
      </c>
      <c r="C2184" t="s">
        <v>15407</v>
      </c>
      <c r="D2184" t="s">
        <v>16203</v>
      </c>
      <c r="E2184" t="s">
        <v>16218</v>
      </c>
      <c r="F2184" t="s">
        <v>16220</v>
      </c>
      <c r="G2184" t="s">
        <v>16238</v>
      </c>
      <c r="H2184" t="s">
        <v>16238</v>
      </c>
      <c r="I2184" t="s">
        <v>16338</v>
      </c>
      <c r="J2184" t="s">
        <v>16385</v>
      </c>
      <c r="K2184">
        <v>0.2</v>
      </c>
      <c r="L2184">
        <v>8705</v>
      </c>
      <c r="M2184">
        <v>1925</v>
      </c>
      <c r="N2184" t="s">
        <v>16393</v>
      </c>
      <c r="O2184" s="4">
        <v>36878</v>
      </c>
      <c r="P2184" s="4">
        <v>102892</v>
      </c>
      <c r="Q2184" s="4">
        <v>139770</v>
      </c>
      <c r="R2184" s="4">
        <v>419310</v>
      </c>
      <c r="S2184" t="s">
        <v>18519</v>
      </c>
      <c r="T2184" s="6">
        <v>34243</v>
      </c>
      <c r="U2184" s="4">
        <v>186879</v>
      </c>
      <c r="X2184" t="s">
        <v>3</v>
      </c>
      <c r="AA2184" s="5" t="str">
        <f>HYPERLINK("https://www.zillow.com/homes/1817-SUNSET-DR-HANOVER-PARK-IL-60133_rb/","check listing")</f>
        <v>check listing</v>
      </c>
      <c r="AB2184" s="5" t="str">
        <f>HYPERLINK("https://propertylookup.dupagecounty.gov/Datalets/Datalet.aspx?UseSearch=no&amp;mode=sales&amp;pin=0112210016","sales record")</f>
        <v>sales record</v>
      </c>
      <c r="AC2184" t="s">
        <v>3</v>
      </c>
      <c r="AD2184">
        <v>41.971704</v>
      </c>
      <c r="AE2184">
        <v>-88.148792</v>
      </c>
      <c r="AF2184" s="5" t="str">
        <f>HYPERLINK("https://www.google.com/maps/search/?api=1&amp;query=41.971704,-88.148792","map")</f>
        <v>map</v>
      </c>
    </row>
    <row r="2185" spans="1:32">
      <c r="A2185" t="s">
        <v>2235</v>
      </c>
      <c r="B2185" t="s">
        <v>9788</v>
      </c>
      <c r="C2185" t="s">
        <v>15407</v>
      </c>
      <c r="D2185" t="s">
        <v>16203</v>
      </c>
      <c r="E2185" t="s">
        <v>16218</v>
      </c>
      <c r="F2185" t="s">
        <v>16220</v>
      </c>
      <c r="G2185" t="s">
        <v>16238</v>
      </c>
      <c r="H2185" t="s">
        <v>16238</v>
      </c>
      <c r="I2185" t="s">
        <v>16338</v>
      </c>
      <c r="J2185" t="s">
        <v>16385</v>
      </c>
      <c r="K2185">
        <v>0.2</v>
      </c>
      <c r="L2185">
        <v>8698</v>
      </c>
      <c r="M2185">
        <v>3167</v>
      </c>
      <c r="N2185" t="s">
        <v>16393</v>
      </c>
      <c r="O2185" s="4">
        <v>36530</v>
      </c>
      <c r="P2185" s="4">
        <v>74521</v>
      </c>
      <c r="Q2185" s="4">
        <v>111051</v>
      </c>
      <c r="R2185" s="4">
        <v>333153</v>
      </c>
      <c r="S2185" t="s">
        <v>18520</v>
      </c>
      <c r="T2185" s="6">
        <v>35977</v>
      </c>
      <c r="U2185" s="4">
        <v>158000</v>
      </c>
      <c r="X2185" t="s">
        <v>3</v>
      </c>
      <c r="AA2185" s="5" t="str">
        <f>HYPERLINK("https://www.zillow.com/homes/2227-NEWPORT-CIR-HANOVER-PARK-IL-60133_rb/","check listing")</f>
        <v>check listing</v>
      </c>
      <c r="AB2185" s="5" t="str">
        <f>HYPERLINK("https://propertylookup.dupagecounty.gov/Datalets/Datalet.aspx?UseSearch=no&amp;mode=sales&amp;pin=0112116001","sales record")</f>
        <v>sales record</v>
      </c>
      <c r="AC2185" t="s">
        <v>3</v>
      </c>
      <c r="AD2185">
        <v>41.972038</v>
      </c>
      <c r="AE2185">
        <v>-88.156013</v>
      </c>
      <c r="AF2185" s="5" t="str">
        <f>HYPERLINK("https://www.google.com/maps/search/?api=1&amp;query=41.972038,-88.156013","map")</f>
        <v>map</v>
      </c>
    </row>
    <row r="2186" spans="1:32">
      <c r="A2186" t="s">
        <v>2236</v>
      </c>
      <c r="B2186" t="s">
        <v>9789</v>
      </c>
      <c r="C2186" t="s">
        <v>15407</v>
      </c>
      <c r="D2186" t="s">
        <v>16203</v>
      </c>
      <c r="E2186" t="s">
        <v>16218</v>
      </c>
      <c r="F2186" t="s">
        <v>16220</v>
      </c>
      <c r="G2186" t="s">
        <v>16238</v>
      </c>
      <c r="H2186" t="s">
        <v>16238</v>
      </c>
      <c r="I2186" t="s">
        <v>16338</v>
      </c>
      <c r="J2186" t="s">
        <v>16385</v>
      </c>
      <c r="K2186">
        <v>0.198</v>
      </c>
      <c r="L2186">
        <v>8632</v>
      </c>
      <c r="M2186">
        <v>2375</v>
      </c>
      <c r="N2186" t="s">
        <v>16393</v>
      </c>
      <c r="O2186" s="4">
        <v>36878</v>
      </c>
      <c r="P2186" s="4">
        <v>98675</v>
      </c>
      <c r="Q2186" s="4">
        <v>135553</v>
      </c>
      <c r="R2186" s="4">
        <v>406659</v>
      </c>
      <c r="S2186" t="s">
        <v>18521</v>
      </c>
      <c r="T2186" s="6">
        <v>35247</v>
      </c>
      <c r="U2186" s="4">
        <v>205112</v>
      </c>
      <c r="X2186" t="s">
        <v>3</v>
      </c>
      <c r="AA2186" s="5" t="str">
        <f>HYPERLINK("https://www.zillow.com/homes/5542-RIDGE-CROSSING-HANOVER-PARK-IL-60133_rb/","check listing")</f>
        <v>check listing</v>
      </c>
      <c r="AB2186" s="5" t="str">
        <f>HYPERLINK("https://propertylookup.dupagecounty.gov/Datalets/Datalet.aspx?UseSearch=no&amp;mode=sales&amp;pin=0112210039","sales record")</f>
        <v>sales record</v>
      </c>
      <c r="AC2186" t="s">
        <v>3</v>
      </c>
      <c r="AD2186">
        <v>41.972797</v>
      </c>
      <c r="AE2186">
        <v>-88.14878899999999</v>
      </c>
      <c r="AF2186" s="5" t="str">
        <f>HYPERLINK("https://www.google.com/maps/search/?api=1&amp;query=41.972797,-88.148789","map")</f>
        <v>map</v>
      </c>
    </row>
    <row r="2187" spans="1:32">
      <c r="A2187" t="s">
        <v>2237</v>
      </c>
      <c r="B2187" t="s">
        <v>9790</v>
      </c>
      <c r="C2187" t="s">
        <v>15407</v>
      </c>
      <c r="D2187" t="s">
        <v>16203</v>
      </c>
      <c r="E2187" t="s">
        <v>16218</v>
      </c>
      <c r="F2187" t="s">
        <v>16220</v>
      </c>
      <c r="G2187" t="s">
        <v>16238</v>
      </c>
      <c r="H2187" t="s">
        <v>16238</v>
      </c>
      <c r="I2187" t="s">
        <v>16338</v>
      </c>
      <c r="J2187" t="s">
        <v>16385</v>
      </c>
      <c r="K2187">
        <v>0.198</v>
      </c>
      <c r="L2187">
        <v>8632</v>
      </c>
      <c r="M2187">
        <v>2722</v>
      </c>
      <c r="N2187" t="s">
        <v>16393</v>
      </c>
      <c r="O2187" s="4">
        <v>36530</v>
      </c>
      <c r="P2187" s="4">
        <v>80320</v>
      </c>
      <c r="Q2187" s="4">
        <v>116850</v>
      </c>
      <c r="R2187" s="4">
        <v>350550</v>
      </c>
      <c r="S2187" t="s">
        <v>18522</v>
      </c>
      <c r="T2187" s="6">
        <v>36404</v>
      </c>
      <c r="U2187" s="4">
        <v>184000</v>
      </c>
      <c r="X2187" t="s">
        <v>3</v>
      </c>
      <c r="AA2187" s="5" t="str">
        <f>HYPERLINK("https://www.zillow.com/homes/5511-REDFORD-LN-HANOVER-PARK-IL-60133_rb/","check listing")</f>
        <v>check listing</v>
      </c>
      <c r="AB2187" s="5" t="str">
        <f>HYPERLINK("https://propertylookup.dupagecounty.gov/Datalets/Datalet.aspx?UseSearch=no&amp;mode=sales&amp;pin=0112114009","sales record")</f>
        <v>sales record</v>
      </c>
      <c r="AC2187" t="s">
        <v>3</v>
      </c>
      <c r="AD2187">
        <v>41.972406</v>
      </c>
      <c r="AE2187">
        <v>-88.15596600000001</v>
      </c>
      <c r="AF2187" s="5" t="str">
        <f>HYPERLINK("https://www.google.com/maps/search/?api=1&amp;query=41.972406,-88.155966","map")</f>
        <v>map</v>
      </c>
    </row>
    <row r="2188" spans="1:32">
      <c r="A2188" t="s">
        <v>2238</v>
      </c>
      <c r="B2188" t="s">
        <v>9791</v>
      </c>
      <c r="C2188" t="s">
        <v>15407</v>
      </c>
      <c r="D2188" t="s">
        <v>16203</v>
      </c>
      <c r="E2188" t="s">
        <v>16218</v>
      </c>
      <c r="F2188" t="s">
        <v>16220</v>
      </c>
      <c r="G2188" t="s">
        <v>16238</v>
      </c>
      <c r="H2188" t="s">
        <v>16238</v>
      </c>
      <c r="I2188" t="s">
        <v>16338</v>
      </c>
      <c r="J2188" t="s">
        <v>16385</v>
      </c>
      <c r="K2188">
        <v>0.198</v>
      </c>
      <c r="L2188">
        <v>8604</v>
      </c>
      <c r="M2188">
        <v>1980</v>
      </c>
      <c r="N2188" t="s">
        <v>16393</v>
      </c>
      <c r="O2188" s="4">
        <v>36878</v>
      </c>
      <c r="P2188" s="4">
        <v>76258</v>
      </c>
      <c r="Q2188" s="4">
        <v>113136</v>
      </c>
      <c r="R2188" s="4">
        <v>339408</v>
      </c>
      <c r="S2188" t="s">
        <v>18523</v>
      </c>
      <c r="T2188" s="6">
        <v>39264</v>
      </c>
      <c r="U2188" s="4">
        <v>260000</v>
      </c>
      <c r="V2188" t="s">
        <v>23739</v>
      </c>
      <c r="W2188" t="s">
        <v>24779</v>
      </c>
      <c r="X2188" t="s">
        <v>3</v>
      </c>
      <c r="AA2188" s="5" t="str">
        <f>HYPERLINK("https://www.zillow.com/homes/1963-LUCILLE-LN-HANOVER-PARK-IL-60133_rb/","check listing")</f>
        <v>check listing</v>
      </c>
      <c r="AB2188" s="5" t="str">
        <f>HYPERLINK("https://propertylookup.dupagecounty.gov/Datalets/Datalet.aspx?UseSearch=no&amp;mode=sales&amp;pin=0112210035","sales record")</f>
        <v>sales record</v>
      </c>
      <c r="AC2188" t="s">
        <v>3</v>
      </c>
      <c r="AD2188">
        <v>41.970937</v>
      </c>
      <c r="AE2188">
        <v>-88.151172</v>
      </c>
      <c r="AF2188" s="5" t="str">
        <f>HYPERLINK("https://www.google.com/maps/search/?api=1&amp;query=41.970937,-88.151172","map")</f>
        <v>map</v>
      </c>
    </row>
    <row r="2189" spans="1:32">
      <c r="A2189" t="s">
        <v>2239</v>
      </c>
      <c r="B2189" t="s">
        <v>9792</v>
      </c>
      <c r="C2189" t="s">
        <v>15407</v>
      </c>
      <c r="D2189" t="s">
        <v>16203</v>
      </c>
      <c r="E2189" t="s">
        <v>16218</v>
      </c>
      <c r="F2189" t="s">
        <v>16220</v>
      </c>
      <c r="G2189" t="s">
        <v>16238</v>
      </c>
      <c r="H2189" t="s">
        <v>16238</v>
      </c>
      <c r="I2189" t="s">
        <v>16338</v>
      </c>
      <c r="J2189" t="s">
        <v>16385</v>
      </c>
      <c r="K2189">
        <v>0.197</v>
      </c>
      <c r="L2189">
        <v>8574</v>
      </c>
      <c r="M2189">
        <v>3057</v>
      </c>
      <c r="N2189" t="s">
        <v>16393</v>
      </c>
      <c r="O2189" s="4">
        <v>36878</v>
      </c>
      <c r="P2189" s="4">
        <v>109410</v>
      </c>
      <c r="Q2189" s="4">
        <v>146288</v>
      </c>
      <c r="R2189" s="4">
        <v>438864</v>
      </c>
      <c r="S2189" t="s">
        <v>18524</v>
      </c>
      <c r="T2189" s="6">
        <v>38504</v>
      </c>
      <c r="U2189" s="4">
        <v>347500</v>
      </c>
      <c r="V2189" t="s">
        <v>23739</v>
      </c>
      <c r="W2189" t="s">
        <v>24780</v>
      </c>
      <c r="X2189" t="s">
        <v>3</v>
      </c>
      <c r="AA2189" s="5" t="str">
        <f>HYPERLINK("https://www.zillow.com/homes/5489-RIDGE-CROSSING-HANOVER-PARK-IL-60133_rb/","check listing")</f>
        <v>check listing</v>
      </c>
      <c r="AB2189" s="5" t="str">
        <f>HYPERLINK("https://propertylookup.dupagecounty.gov/Datalets/Datalet.aspx?UseSearch=no&amp;mode=sales&amp;pin=0112215041","sales record")</f>
        <v>sales record</v>
      </c>
      <c r="AC2189" t="s">
        <v>3</v>
      </c>
      <c r="AD2189">
        <v>41.971598</v>
      </c>
      <c r="AE2189">
        <v>-88.145737</v>
      </c>
      <c r="AF2189" s="5" t="str">
        <f>HYPERLINK("https://www.google.com/maps/search/?api=1&amp;query=41.971598,-88.145737","map")</f>
        <v>map</v>
      </c>
    </row>
    <row r="2190" spans="1:32">
      <c r="A2190" t="s">
        <v>2240</v>
      </c>
      <c r="B2190" t="s">
        <v>9793</v>
      </c>
      <c r="C2190" t="s">
        <v>15407</v>
      </c>
      <c r="D2190" t="s">
        <v>16203</v>
      </c>
      <c r="E2190" t="s">
        <v>16218</v>
      </c>
      <c r="F2190" t="s">
        <v>16220</v>
      </c>
      <c r="G2190" t="s">
        <v>16238</v>
      </c>
      <c r="H2190" t="s">
        <v>16238</v>
      </c>
      <c r="I2190" t="s">
        <v>16338</v>
      </c>
      <c r="J2190" t="s">
        <v>16385</v>
      </c>
      <c r="K2190">
        <v>0.195</v>
      </c>
      <c r="L2190">
        <v>8501</v>
      </c>
      <c r="M2190">
        <v>2639</v>
      </c>
      <c r="N2190" t="s">
        <v>16393</v>
      </c>
      <c r="O2190" s="4">
        <v>36530</v>
      </c>
      <c r="P2190" s="4">
        <v>78571</v>
      </c>
      <c r="Q2190" s="4">
        <v>115101</v>
      </c>
      <c r="R2190" s="4">
        <v>345303</v>
      </c>
      <c r="S2190" t="s">
        <v>18525</v>
      </c>
      <c r="T2190" s="6">
        <v>33573</v>
      </c>
      <c r="U2190" s="4">
        <v>154090</v>
      </c>
      <c r="X2190" t="s">
        <v>3</v>
      </c>
      <c r="AA2190" s="5" t="str">
        <f>HYPERLINK("https://www.zillow.com/homes/2171-OAKDALE-CIR-HANOVER-PARK-IL-60133_rb/","check listing")</f>
        <v>check listing</v>
      </c>
      <c r="AB2190" s="5" t="str">
        <f>HYPERLINK("https://propertylookup.dupagecounty.gov/Datalets/Datalet.aspx?UseSearch=no&amp;mode=sales&amp;pin=0112213003","sales record")</f>
        <v>sales record</v>
      </c>
      <c r="AC2190" t="s">
        <v>3</v>
      </c>
      <c r="AD2190">
        <v>41.97268</v>
      </c>
      <c r="AE2190">
        <v>-88.154307</v>
      </c>
      <c r="AF2190" s="5" t="str">
        <f>HYPERLINK("https://www.google.com/maps/search/?api=1&amp;query=41.97268,-88.154307","map")</f>
        <v>map</v>
      </c>
    </row>
    <row r="2191" spans="1:32">
      <c r="A2191" t="s">
        <v>2241</v>
      </c>
      <c r="B2191" t="s">
        <v>9794</v>
      </c>
      <c r="C2191" t="s">
        <v>15407</v>
      </c>
      <c r="D2191" t="s">
        <v>16203</v>
      </c>
      <c r="E2191" t="s">
        <v>16218</v>
      </c>
      <c r="F2191" t="s">
        <v>16220</v>
      </c>
      <c r="G2191" t="s">
        <v>16238</v>
      </c>
      <c r="H2191" t="s">
        <v>16238</v>
      </c>
      <c r="I2191" t="s">
        <v>16338</v>
      </c>
      <c r="J2191" t="s">
        <v>16385</v>
      </c>
      <c r="K2191">
        <v>0.195</v>
      </c>
      <c r="L2191">
        <v>8484</v>
      </c>
      <c r="M2191">
        <v>2520</v>
      </c>
      <c r="N2191" t="s">
        <v>16393</v>
      </c>
      <c r="O2191" s="4">
        <v>36878</v>
      </c>
      <c r="P2191" s="4">
        <v>107565</v>
      </c>
      <c r="Q2191" s="4">
        <v>144443</v>
      </c>
      <c r="R2191" s="4">
        <v>433329</v>
      </c>
      <c r="S2191" t="s">
        <v>18526</v>
      </c>
      <c r="T2191" s="6">
        <v>37104</v>
      </c>
      <c r="U2191" s="4">
        <v>254000</v>
      </c>
      <c r="V2191" t="s">
        <v>23739</v>
      </c>
      <c r="W2191" t="s">
        <v>24781</v>
      </c>
      <c r="X2191" t="s">
        <v>3</v>
      </c>
      <c r="AA2191" s="5" t="str">
        <f>HYPERLINK("https://www.zillow.com/homes/5505-RIDGE-CROSSING-HANOVER-PARK-IL-60133_rb/","check listing")</f>
        <v>check listing</v>
      </c>
      <c r="AB2191" s="5" t="str">
        <f>HYPERLINK("https://propertylookup.dupagecounty.gov/Datalets/Datalet.aspx?UseSearch=no&amp;mode=sales&amp;pin=0112215045","sales record")</f>
        <v>sales record</v>
      </c>
      <c r="AC2191" t="s">
        <v>3</v>
      </c>
      <c r="AD2191">
        <v>41.971798</v>
      </c>
      <c r="AE2191">
        <v>-88.146739</v>
      </c>
      <c r="AF2191" s="5" t="str">
        <f>HYPERLINK("https://www.google.com/maps/search/?api=1&amp;query=41.971798,-88.146739","map")</f>
        <v>map</v>
      </c>
    </row>
    <row r="2192" spans="1:32">
      <c r="A2192" t="s">
        <v>2242</v>
      </c>
      <c r="B2192" t="s">
        <v>9795</v>
      </c>
      <c r="C2192" t="s">
        <v>15407</v>
      </c>
      <c r="D2192" t="s">
        <v>16203</v>
      </c>
      <c r="E2192" t="s">
        <v>16218</v>
      </c>
      <c r="F2192" t="s">
        <v>16220</v>
      </c>
      <c r="G2192" t="s">
        <v>16238</v>
      </c>
      <c r="H2192" t="s">
        <v>16238</v>
      </c>
      <c r="I2192" t="s">
        <v>16338</v>
      </c>
      <c r="J2192" t="s">
        <v>16385</v>
      </c>
      <c r="K2192">
        <v>0.193</v>
      </c>
      <c r="L2192">
        <v>8411</v>
      </c>
      <c r="M2192">
        <v>2573</v>
      </c>
      <c r="N2192" t="s">
        <v>16393</v>
      </c>
      <c r="O2192" s="4">
        <v>36878</v>
      </c>
      <c r="P2192" s="4">
        <v>111447</v>
      </c>
      <c r="Q2192" s="4">
        <v>148325</v>
      </c>
      <c r="R2192" s="4">
        <v>444975</v>
      </c>
      <c r="S2192" t="s">
        <v>18527</v>
      </c>
      <c r="T2192" s="6">
        <v>37622</v>
      </c>
      <c r="U2192" s="4">
        <v>300000</v>
      </c>
      <c r="V2192" t="s">
        <v>23739</v>
      </c>
      <c r="W2192" t="s">
        <v>24782</v>
      </c>
      <c r="X2192" t="s">
        <v>3</v>
      </c>
      <c r="AA2192" s="5" t="str">
        <f>HYPERLINK("https://www.zillow.com/homes/5513-RIDGE-CROSSING-HANOVER-PARK-IL-60133_rb/","check listing")</f>
        <v>check listing</v>
      </c>
      <c r="AB2192" s="5" t="str">
        <f>HYPERLINK("https://propertylookup.dupagecounty.gov/Datalets/Datalet.aspx?UseSearch=no&amp;mode=sales&amp;pin=0112215047","sales record")</f>
        <v>sales record</v>
      </c>
      <c r="AC2192" t="s">
        <v>3</v>
      </c>
      <c r="AD2192">
        <v>41.971976</v>
      </c>
      <c r="AE2192">
        <v>-88.147165</v>
      </c>
      <c r="AF2192" s="5" t="str">
        <f>HYPERLINK("https://www.google.com/maps/search/?api=1&amp;query=41.971976,-88.147165","map")</f>
        <v>map</v>
      </c>
    </row>
    <row r="2193" spans="1:32">
      <c r="A2193" t="s">
        <v>2243</v>
      </c>
      <c r="B2193" t="s">
        <v>9796</v>
      </c>
      <c r="C2193" t="s">
        <v>15407</v>
      </c>
      <c r="D2193" t="s">
        <v>16203</v>
      </c>
      <c r="E2193" t="s">
        <v>16218</v>
      </c>
      <c r="F2193" t="s">
        <v>16220</v>
      </c>
      <c r="G2193" t="s">
        <v>16238</v>
      </c>
      <c r="H2193" t="s">
        <v>16238</v>
      </c>
      <c r="I2193" t="s">
        <v>16338</v>
      </c>
      <c r="J2193" t="s">
        <v>16385</v>
      </c>
      <c r="K2193">
        <v>0.191</v>
      </c>
      <c r="L2193">
        <v>8308</v>
      </c>
      <c r="M2193">
        <v>2804</v>
      </c>
      <c r="N2193" t="s">
        <v>16393</v>
      </c>
      <c r="O2193" s="4">
        <v>36530</v>
      </c>
      <c r="P2193" s="4">
        <v>78547</v>
      </c>
      <c r="Q2193" s="4">
        <v>115077</v>
      </c>
      <c r="R2193" s="4">
        <v>345231</v>
      </c>
      <c r="S2193" t="s">
        <v>18528</v>
      </c>
      <c r="T2193" s="6">
        <v>41061</v>
      </c>
      <c r="U2193" s="4">
        <v>190000</v>
      </c>
      <c r="V2193" t="s">
        <v>23739</v>
      </c>
      <c r="W2193" t="s">
        <v>24783</v>
      </c>
      <c r="X2193" t="s">
        <v>3</v>
      </c>
      <c r="AA2193" s="5" t="str">
        <f>HYPERLINK("https://www.zillow.com/homes/2120-NEWPORT-CIR-HANOVER-PARK-IL-60133_rb/","check listing")</f>
        <v>check listing</v>
      </c>
      <c r="AB2193" s="5" t="str">
        <f>HYPERLINK("https://propertylookup.dupagecounty.gov/Datalets/Datalet.aspx?UseSearch=no&amp;mode=sales&amp;pin=0112213018","sales record")</f>
        <v>sales record</v>
      </c>
      <c r="AC2193" t="s">
        <v>3</v>
      </c>
      <c r="AD2193">
        <v>41.972535</v>
      </c>
      <c r="AE2193">
        <v>-88.153616</v>
      </c>
      <c r="AF2193" s="5" t="str">
        <f>HYPERLINK("https://www.google.com/maps/search/?api=1&amp;query=41.972535,-88.153616","map")</f>
        <v>map</v>
      </c>
    </row>
    <row r="2194" spans="1:32">
      <c r="A2194" t="s">
        <v>2244</v>
      </c>
      <c r="B2194" t="s">
        <v>9797</v>
      </c>
      <c r="C2194" t="s">
        <v>15418</v>
      </c>
      <c r="D2194" t="s">
        <v>16203</v>
      </c>
      <c r="E2194" t="s">
        <v>16218</v>
      </c>
      <c r="F2194" t="s">
        <v>16220</v>
      </c>
      <c r="G2194" t="s">
        <v>16238</v>
      </c>
      <c r="H2194" t="s">
        <v>16238</v>
      </c>
      <c r="I2194" t="s">
        <v>16338</v>
      </c>
      <c r="J2194" t="s">
        <v>16385</v>
      </c>
      <c r="K2194">
        <v>0.191</v>
      </c>
      <c r="L2194">
        <v>8307</v>
      </c>
      <c r="M2194">
        <v>2572</v>
      </c>
      <c r="N2194" t="s">
        <v>16393</v>
      </c>
      <c r="O2194" s="4">
        <v>36878</v>
      </c>
      <c r="P2194" s="4">
        <v>118886</v>
      </c>
      <c r="Q2194" s="4">
        <v>155764</v>
      </c>
      <c r="R2194" s="4">
        <v>467292</v>
      </c>
      <c r="S2194" t="s">
        <v>18529</v>
      </c>
      <c r="T2194" s="6">
        <v>44621</v>
      </c>
      <c r="U2194" s="4">
        <v>420000</v>
      </c>
      <c r="V2194" t="s">
        <v>23739</v>
      </c>
      <c r="W2194" t="s">
        <v>18529</v>
      </c>
      <c r="X2194" t="s">
        <v>3</v>
      </c>
      <c r="AA2194" s="5" t="str">
        <f>HYPERLINK("https://www.zillow.com/homes/5525-RIDGE-XING-HANOVER-PARK-IL-601335370_rb/","check listing")</f>
        <v>check listing</v>
      </c>
      <c r="AB2194" s="5" t="str">
        <f>HYPERLINK("https://propertylookup.dupagecounty.gov/Datalets/Datalet.aspx?UseSearch=no&amp;mode=sales&amp;pin=0112215072","sales record")</f>
        <v>sales record</v>
      </c>
      <c r="AC2194" t="s">
        <v>3</v>
      </c>
      <c r="AD2194">
        <v>41.972417</v>
      </c>
      <c r="AE2194">
        <v>-88.147657</v>
      </c>
      <c r="AF2194" s="5" t="str">
        <f>HYPERLINK("https://www.google.com/maps/search/?api=1&amp;query=41.972417,-88.147657","map")</f>
        <v>map</v>
      </c>
    </row>
    <row r="2195" spans="1:32">
      <c r="A2195" t="s">
        <v>2245</v>
      </c>
      <c r="B2195" t="s">
        <v>9798</v>
      </c>
      <c r="C2195" t="s">
        <v>15407</v>
      </c>
      <c r="D2195" t="s">
        <v>16203</v>
      </c>
      <c r="E2195" t="s">
        <v>16218</v>
      </c>
      <c r="F2195" t="s">
        <v>16220</v>
      </c>
      <c r="G2195" t="s">
        <v>16238</v>
      </c>
      <c r="H2195" t="s">
        <v>16238</v>
      </c>
      <c r="I2195" t="s">
        <v>16338</v>
      </c>
      <c r="J2195" t="s">
        <v>16385</v>
      </c>
      <c r="K2195">
        <v>0.19</v>
      </c>
      <c r="L2195">
        <v>8273</v>
      </c>
      <c r="M2195">
        <v>2500</v>
      </c>
      <c r="N2195" t="s">
        <v>16393</v>
      </c>
      <c r="O2195" s="4">
        <v>36530</v>
      </c>
      <c r="P2195" s="4">
        <v>85796</v>
      </c>
      <c r="Q2195" s="4">
        <v>122326</v>
      </c>
      <c r="R2195" s="4">
        <v>366978</v>
      </c>
      <c r="S2195" t="s">
        <v>18530</v>
      </c>
      <c r="T2195" s="6">
        <v>41456</v>
      </c>
      <c r="U2195" s="4">
        <v>184900</v>
      </c>
      <c r="V2195" t="s">
        <v>16232</v>
      </c>
      <c r="W2195" t="s">
        <v>18530</v>
      </c>
      <c r="X2195" t="s">
        <v>3</v>
      </c>
      <c r="AA2195" s="5" t="str">
        <f>HYPERLINK("https://www.zillow.com/homes/2091-NEWPORT-CIR-HANOVER-PARK-IL-60133_rb/","check listing")</f>
        <v>check listing</v>
      </c>
      <c r="AB2195" s="5" t="str">
        <f>HYPERLINK("https://propertylookup.dupagecounty.gov/Datalets/Datalet.aspx?UseSearch=no&amp;mode=sales&amp;pin=0112211016","sales record")</f>
        <v>sales record</v>
      </c>
      <c r="AC2195" t="s">
        <v>3</v>
      </c>
      <c r="AD2195">
        <v>41.971825</v>
      </c>
      <c r="AE2195">
        <v>-88.152208</v>
      </c>
      <c r="AF2195" s="5" t="str">
        <f>HYPERLINK("https://www.google.com/maps/search/?api=1&amp;query=41.971825,-88.152208","map")</f>
        <v>map</v>
      </c>
    </row>
    <row r="2196" spans="1:32">
      <c r="A2196" t="s">
        <v>2246</v>
      </c>
      <c r="B2196" t="s">
        <v>9799</v>
      </c>
      <c r="C2196" t="s">
        <v>15418</v>
      </c>
      <c r="D2196" t="s">
        <v>16203</v>
      </c>
      <c r="E2196" t="s">
        <v>16218</v>
      </c>
      <c r="F2196" t="s">
        <v>16220</v>
      </c>
      <c r="G2196" t="s">
        <v>16238</v>
      </c>
      <c r="H2196" t="s">
        <v>16238</v>
      </c>
      <c r="I2196" t="s">
        <v>16338</v>
      </c>
      <c r="J2196" t="s">
        <v>16385</v>
      </c>
      <c r="K2196">
        <v>0.19</v>
      </c>
      <c r="L2196">
        <v>8261</v>
      </c>
      <c r="M2196">
        <v>2307</v>
      </c>
      <c r="N2196" t="s">
        <v>16393</v>
      </c>
      <c r="O2196" s="4">
        <v>36878</v>
      </c>
      <c r="P2196" s="4">
        <v>94566</v>
      </c>
      <c r="Q2196" s="4">
        <v>131444</v>
      </c>
      <c r="R2196" s="4">
        <v>394332</v>
      </c>
      <c r="S2196" t="s">
        <v>18531</v>
      </c>
      <c r="T2196" s="6">
        <v>43466</v>
      </c>
      <c r="U2196" s="4">
        <v>260000</v>
      </c>
      <c r="V2196" t="s">
        <v>23739</v>
      </c>
      <c r="W2196" t="s">
        <v>24784</v>
      </c>
      <c r="X2196" t="s">
        <v>3</v>
      </c>
      <c r="AA2196" s="5" t="str">
        <f>HYPERLINK("https://www.zillow.com/homes/5537-RIDGE-XING-HANOVER-PARK-IL-601335370_rb/","check listing")</f>
        <v>check listing</v>
      </c>
      <c r="AB2196" s="5" t="str">
        <f>HYPERLINK("https://propertylookup.dupagecounty.gov/Datalets/Datalet.aspx?UseSearch=no&amp;mode=sales&amp;pin=0112215068","sales record")</f>
        <v>sales record</v>
      </c>
      <c r="AC2196" t="s">
        <v>3</v>
      </c>
      <c r="AD2196">
        <v>41.972995</v>
      </c>
      <c r="AE2196">
        <v>-88.148003</v>
      </c>
      <c r="AF2196" s="5" t="str">
        <f>HYPERLINK("https://www.google.com/maps/search/?api=1&amp;query=41.972995,-88.148003","map")</f>
        <v>map</v>
      </c>
    </row>
    <row r="2197" spans="1:32">
      <c r="A2197" t="s">
        <v>2247</v>
      </c>
      <c r="B2197" t="s">
        <v>9800</v>
      </c>
      <c r="C2197" t="s">
        <v>15407</v>
      </c>
      <c r="D2197" t="s">
        <v>16203</v>
      </c>
      <c r="E2197" t="s">
        <v>16218</v>
      </c>
      <c r="F2197" t="s">
        <v>16220</v>
      </c>
      <c r="G2197" t="s">
        <v>16238</v>
      </c>
      <c r="H2197" t="s">
        <v>16238</v>
      </c>
      <c r="I2197" t="s">
        <v>16338</v>
      </c>
      <c r="J2197" t="s">
        <v>16385</v>
      </c>
      <c r="K2197">
        <v>0.188</v>
      </c>
      <c r="L2197">
        <v>8209</v>
      </c>
      <c r="M2197">
        <v>2205</v>
      </c>
      <c r="N2197" t="s">
        <v>16393</v>
      </c>
      <c r="O2197" s="4">
        <v>36530</v>
      </c>
      <c r="P2197" s="4">
        <v>92660</v>
      </c>
      <c r="Q2197" s="4">
        <v>129190</v>
      </c>
      <c r="R2197" s="4">
        <v>387570</v>
      </c>
      <c r="S2197" t="s">
        <v>18532</v>
      </c>
      <c r="T2197" s="6">
        <v>38596</v>
      </c>
      <c r="U2197" s="4">
        <v>321000</v>
      </c>
      <c r="V2197" t="s">
        <v>23739</v>
      </c>
      <c r="W2197" t="s">
        <v>18532</v>
      </c>
      <c r="X2197" t="s">
        <v>3</v>
      </c>
      <c r="AA2197" s="5" t="str">
        <f>HYPERLINK("https://www.zillow.com/homes/2024-NEWPORT-CIR-HANOVER-PARK-IL-60133_rb/","check listing")</f>
        <v>check listing</v>
      </c>
      <c r="AB2197" s="5" t="str">
        <f>HYPERLINK("https://propertylookup.dupagecounty.gov/Datalets/Datalet.aspx?UseSearch=no&amp;mode=sales&amp;pin=0112213010","sales record")</f>
        <v>sales record</v>
      </c>
      <c r="AC2197" t="s">
        <v>3</v>
      </c>
      <c r="AD2197">
        <v>41.972863</v>
      </c>
      <c r="AE2197">
        <v>-88.15271799999999</v>
      </c>
      <c r="AF2197" s="5" t="str">
        <f>HYPERLINK("https://www.google.com/maps/search/?api=1&amp;query=41.972863,-88.152718","map")</f>
        <v>map</v>
      </c>
    </row>
    <row r="2198" spans="1:32">
      <c r="A2198" t="s">
        <v>2248</v>
      </c>
      <c r="B2198" t="s">
        <v>9801</v>
      </c>
      <c r="C2198" t="s">
        <v>15407</v>
      </c>
      <c r="D2198" t="s">
        <v>16203</v>
      </c>
      <c r="E2198" t="s">
        <v>16218</v>
      </c>
      <c r="F2198" t="s">
        <v>16220</v>
      </c>
      <c r="G2198" t="s">
        <v>16238</v>
      </c>
      <c r="H2198" t="s">
        <v>16238</v>
      </c>
      <c r="I2198" t="s">
        <v>16338</v>
      </c>
      <c r="J2198" t="s">
        <v>16385</v>
      </c>
      <c r="K2198">
        <v>0.188</v>
      </c>
      <c r="L2198">
        <v>8180</v>
      </c>
      <c r="M2198">
        <v>2639</v>
      </c>
      <c r="N2198" t="s">
        <v>16393</v>
      </c>
      <c r="O2198" s="4">
        <v>36530</v>
      </c>
      <c r="P2198" s="4">
        <v>71885</v>
      </c>
      <c r="Q2198" s="4">
        <v>108415</v>
      </c>
      <c r="R2198" s="4">
        <v>325245</v>
      </c>
      <c r="S2198" t="s">
        <v>18533</v>
      </c>
      <c r="T2198" s="6">
        <v>34790</v>
      </c>
      <c r="U2198" s="4">
        <v>165000</v>
      </c>
      <c r="X2198" t="s">
        <v>3</v>
      </c>
      <c r="AA2198" s="5" t="str">
        <f>HYPERLINK("https://www.zillow.com/homes/2188-OAKDALE-CIR-HANOVER-PARK-IL-60133_rb/","check listing")</f>
        <v>check listing</v>
      </c>
      <c r="AB2198" s="5" t="str">
        <f>HYPERLINK("https://propertylookup.dupagecounty.gov/Datalets/Datalet.aspx?UseSearch=no&amp;mode=sales&amp;pin=0112114004","sales record")</f>
        <v>sales record</v>
      </c>
      <c r="AC2198" t="s">
        <v>3</v>
      </c>
      <c r="AD2198">
        <v>41.973126</v>
      </c>
      <c r="AE2198">
        <v>-88.155564</v>
      </c>
      <c r="AF2198" s="5" t="str">
        <f>HYPERLINK("https://www.google.com/maps/search/?api=1&amp;query=41.973126,-88.155564","map")</f>
        <v>map</v>
      </c>
    </row>
    <row r="2199" spans="1:32">
      <c r="A2199" t="s">
        <v>2249</v>
      </c>
      <c r="B2199" t="s">
        <v>9802</v>
      </c>
      <c r="C2199" t="s">
        <v>15407</v>
      </c>
      <c r="D2199" t="s">
        <v>16203</v>
      </c>
      <c r="E2199" t="s">
        <v>16218</v>
      </c>
      <c r="F2199" t="s">
        <v>16220</v>
      </c>
      <c r="G2199" t="s">
        <v>16238</v>
      </c>
      <c r="H2199" t="s">
        <v>16238</v>
      </c>
      <c r="I2199" t="s">
        <v>16338</v>
      </c>
      <c r="J2199" t="s">
        <v>16385</v>
      </c>
      <c r="K2199">
        <v>0.187</v>
      </c>
      <c r="L2199">
        <v>8161</v>
      </c>
      <c r="M2199">
        <v>1584</v>
      </c>
      <c r="N2199" t="s">
        <v>16393</v>
      </c>
      <c r="O2199" s="4">
        <v>36878</v>
      </c>
      <c r="P2199" s="4">
        <v>77984</v>
      </c>
      <c r="Q2199" s="4">
        <v>114862</v>
      </c>
      <c r="R2199" s="4">
        <v>344586</v>
      </c>
      <c r="S2199" t="s">
        <v>18534</v>
      </c>
      <c r="T2199" s="6">
        <v>35247</v>
      </c>
      <c r="U2199" s="4">
        <v>176111</v>
      </c>
      <c r="X2199" t="s">
        <v>3</v>
      </c>
      <c r="AA2199" s="5" t="str">
        <f>HYPERLINK("https://www.zillow.com/homes/5533-RIDGE-CROSSING-HANOVER-PARK-IL-60133_rb/","check listing")</f>
        <v>check listing</v>
      </c>
      <c r="AB2199" s="5" t="str">
        <f>HYPERLINK("https://propertylookup.dupagecounty.gov/Datalets/Datalet.aspx?UseSearch=no&amp;mode=sales&amp;pin=0112215069","sales record")</f>
        <v>sales record</v>
      </c>
      <c r="AC2199" t="s">
        <v>3</v>
      </c>
      <c r="AD2199">
        <v>41.972803</v>
      </c>
      <c r="AE2199">
        <v>-88.14796200000001</v>
      </c>
      <c r="AF2199" s="5" t="str">
        <f>HYPERLINK("https://www.google.com/maps/search/?api=1&amp;query=41.972803,-88.147962","map")</f>
        <v>map</v>
      </c>
    </row>
    <row r="2200" spans="1:32">
      <c r="A2200" t="s">
        <v>2250</v>
      </c>
      <c r="B2200" t="s">
        <v>9803</v>
      </c>
      <c r="C2200" t="s">
        <v>15407</v>
      </c>
      <c r="D2200" t="s">
        <v>16203</v>
      </c>
      <c r="E2200" t="s">
        <v>16218</v>
      </c>
      <c r="F2200" t="s">
        <v>16220</v>
      </c>
      <c r="G2200" t="s">
        <v>16238</v>
      </c>
      <c r="H2200" t="s">
        <v>16238</v>
      </c>
      <c r="I2200" t="s">
        <v>16338</v>
      </c>
      <c r="J2200" t="s">
        <v>16385</v>
      </c>
      <c r="K2200">
        <v>0.187</v>
      </c>
      <c r="L2200">
        <v>8155</v>
      </c>
      <c r="M2200">
        <v>2374</v>
      </c>
      <c r="N2200" t="s">
        <v>16393</v>
      </c>
      <c r="O2200" s="4">
        <v>36878</v>
      </c>
      <c r="P2200" s="4">
        <v>108942</v>
      </c>
      <c r="Q2200" s="4">
        <v>145820</v>
      </c>
      <c r="R2200" s="4">
        <v>437460</v>
      </c>
      <c r="S2200" t="s">
        <v>18535</v>
      </c>
      <c r="T2200" s="6">
        <v>39479</v>
      </c>
      <c r="U2200" s="4">
        <v>365000</v>
      </c>
      <c r="V2200" t="s">
        <v>23739</v>
      </c>
      <c r="W2200" t="s">
        <v>24785</v>
      </c>
      <c r="X2200" t="s">
        <v>3</v>
      </c>
      <c r="AA2200" s="5" t="str">
        <f>HYPERLINK("https://www.zillow.com/homes/5534-RIDGE-CROSSING-HANOVER-PARK-IL-60133_rb/","check listing")</f>
        <v>check listing</v>
      </c>
      <c r="AB2200" s="5" t="str">
        <f>HYPERLINK("https://propertylookup.dupagecounty.gov/Datalets/Datalet.aspx?UseSearch=no&amp;mode=sales&amp;pin=0112210041","sales record")</f>
        <v>sales record</v>
      </c>
      <c r="AC2200" t="s">
        <v>3</v>
      </c>
      <c r="AD2200">
        <v>41.972455</v>
      </c>
      <c r="AE2200">
        <v>-88.148647</v>
      </c>
      <c r="AF2200" s="5" t="str">
        <f>HYPERLINK("https://www.google.com/maps/search/?api=1&amp;query=41.972455,-88.148647","map")</f>
        <v>map</v>
      </c>
    </row>
    <row r="2201" spans="1:32">
      <c r="A2201" t="s">
        <v>2251</v>
      </c>
      <c r="B2201" t="s">
        <v>9804</v>
      </c>
      <c r="C2201" t="s">
        <v>15413</v>
      </c>
      <c r="D2201" t="s">
        <v>16203</v>
      </c>
      <c r="E2201" t="s">
        <v>16218</v>
      </c>
      <c r="F2201" t="s">
        <v>16220</v>
      </c>
      <c r="G2201" t="s">
        <v>16238</v>
      </c>
      <c r="H2201" t="s">
        <v>16238</v>
      </c>
      <c r="I2201" t="s">
        <v>16338</v>
      </c>
      <c r="J2201" t="s">
        <v>16385</v>
      </c>
      <c r="K2201">
        <v>0.187</v>
      </c>
      <c r="L2201">
        <v>8140</v>
      </c>
      <c r="M2201">
        <v>2144</v>
      </c>
      <c r="N2201" t="s">
        <v>16393</v>
      </c>
      <c r="O2201" s="4">
        <v>36530</v>
      </c>
      <c r="P2201" s="4">
        <v>94409</v>
      </c>
      <c r="Q2201" s="4">
        <v>130939</v>
      </c>
      <c r="R2201" s="4">
        <v>392817</v>
      </c>
      <c r="S2201" t="s">
        <v>18536</v>
      </c>
      <c r="T2201" s="6">
        <v>44348</v>
      </c>
      <c r="U2201" s="4">
        <v>300000</v>
      </c>
      <c r="V2201" t="s">
        <v>23739</v>
      </c>
      <c r="W2201" t="s">
        <v>18536</v>
      </c>
      <c r="X2201" t="s">
        <v>3</v>
      </c>
      <c r="AA2201" s="5" t="str">
        <f>HYPERLINK("https://www.zillow.com/homes/2036-NEWPORT-CIR-HANOVER-PARK-IL-601335198_rb/","check listing")</f>
        <v>check listing</v>
      </c>
      <c r="AB2201" s="5" t="str">
        <f>HYPERLINK("https://propertylookup.dupagecounty.gov/Datalets/Datalet.aspx?UseSearch=no&amp;mode=sales&amp;pin=0112213011","sales record")</f>
        <v>sales record</v>
      </c>
      <c r="AC2201" t="s">
        <v>3</v>
      </c>
      <c r="AD2201">
        <v>41.972787</v>
      </c>
      <c r="AE2201">
        <v>-88.152478</v>
      </c>
      <c r="AF2201" s="5" t="str">
        <f>HYPERLINK("https://www.google.com/maps/search/?api=1&amp;query=41.972787,-88.152478","map")</f>
        <v>map</v>
      </c>
    </row>
    <row r="2202" spans="1:32">
      <c r="A2202" t="s">
        <v>2252</v>
      </c>
      <c r="B2202" t="s">
        <v>9805</v>
      </c>
      <c r="C2202" t="s">
        <v>15409</v>
      </c>
      <c r="D2202" t="s">
        <v>16203</v>
      </c>
      <c r="E2202" t="s">
        <v>16218</v>
      </c>
      <c r="F2202" t="s">
        <v>16220</v>
      </c>
      <c r="G2202" t="s">
        <v>16238</v>
      </c>
      <c r="H2202" t="s">
        <v>16238</v>
      </c>
      <c r="I2202" t="s">
        <v>16338</v>
      </c>
      <c r="J2202" t="s">
        <v>16385</v>
      </c>
      <c r="K2202">
        <v>0.186</v>
      </c>
      <c r="L2202">
        <v>8123</v>
      </c>
      <c r="M2202">
        <v>3211</v>
      </c>
      <c r="N2202" t="s">
        <v>16393</v>
      </c>
      <c r="O2202" s="4">
        <v>36530</v>
      </c>
      <c r="P2202" s="4">
        <v>76211</v>
      </c>
      <c r="Q2202" s="4">
        <v>112741</v>
      </c>
      <c r="R2202" s="4">
        <v>338223</v>
      </c>
      <c r="S2202" t="s">
        <v>18537</v>
      </c>
      <c r="T2202" s="6">
        <v>44501</v>
      </c>
      <c r="U2202" s="4">
        <v>280000</v>
      </c>
      <c r="V2202" t="s">
        <v>23739</v>
      </c>
      <c r="W2202" t="s">
        <v>18537</v>
      </c>
      <c r="X2202" t="s">
        <v>3</v>
      </c>
      <c r="AA2202" s="5" t="str">
        <f>HYPERLINK("https://www.zillow.com/homes/2075-NEWPORT-CIR-HANOVER-PARK-IL-601335185_rb/","check listing")</f>
        <v>check listing</v>
      </c>
      <c r="AB2202" s="5" t="str">
        <f>HYPERLINK("https://propertylookup.dupagecounty.gov/Datalets/Datalet.aspx?UseSearch=no&amp;mode=sales&amp;pin=0112211018","sales record")</f>
        <v>sales record</v>
      </c>
      <c r="AC2202" t="s">
        <v>3</v>
      </c>
      <c r="AD2202">
        <v>41.972075</v>
      </c>
      <c r="AE2202">
        <v>-88.151848</v>
      </c>
      <c r="AF2202" s="5" t="str">
        <f>HYPERLINK("https://www.google.com/maps/search/?api=1&amp;query=41.972075,-88.151848","map")</f>
        <v>map</v>
      </c>
    </row>
    <row r="2203" spans="1:32">
      <c r="A2203" t="s">
        <v>2253</v>
      </c>
      <c r="B2203" t="s">
        <v>9806</v>
      </c>
      <c r="C2203" t="s">
        <v>15407</v>
      </c>
      <c r="D2203" t="s">
        <v>16203</v>
      </c>
      <c r="E2203" t="s">
        <v>16218</v>
      </c>
      <c r="F2203" t="s">
        <v>16220</v>
      </c>
      <c r="G2203" t="s">
        <v>16238</v>
      </c>
      <c r="H2203" t="s">
        <v>16238</v>
      </c>
      <c r="I2203" t="s">
        <v>16338</v>
      </c>
      <c r="J2203" t="s">
        <v>16385</v>
      </c>
      <c r="K2203">
        <v>0.186</v>
      </c>
      <c r="L2203">
        <v>8117</v>
      </c>
      <c r="M2203">
        <v>2359</v>
      </c>
      <c r="N2203" t="s">
        <v>16393</v>
      </c>
      <c r="O2203" s="4">
        <v>36878</v>
      </c>
      <c r="P2203" s="4">
        <v>106294</v>
      </c>
      <c r="Q2203" s="4">
        <v>143172</v>
      </c>
      <c r="R2203" s="4">
        <v>429516</v>
      </c>
      <c r="S2203" t="s">
        <v>18538</v>
      </c>
      <c r="T2203" s="6">
        <v>34851</v>
      </c>
      <c r="U2203" s="4">
        <v>200658</v>
      </c>
      <c r="X2203" t="s">
        <v>3</v>
      </c>
      <c r="AA2203" s="5" t="str">
        <f>HYPERLINK("https://www.zillow.com/homes/5530-RIDGE-CROSSING-HANOVER-PARK-IL-60133_rb/","check listing")</f>
        <v>check listing</v>
      </c>
      <c r="AB2203" s="5" t="str">
        <f>HYPERLINK("https://propertylookup.dupagecounty.gov/Datalets/Datalet.aspx?UseSearch=no&amp;mode=sales&amp;pin=0112210042","sales record")</f>
        <v>sales record</v>
      </c>
      <c r="AC2203" t="s">
        <v>3</v>
      </c>
      <c r="AD2203">
        <v>41.972195</v>
      </c>
      <c r="AE2203">
        <v>-88.14857000000001</v>
      </c>
      <c r="AF2203" s="5" t="str">
        <f>HYPERLINK("https://www.google.com/maps/search/?api=1&amp;query=41.972195,-88.14857","map")</f>
        <v>map</v>
      </c>
    </row>
    <row r="2204" spans="1:32">
      <c r="A2204" t="s">
        <v>2254</v>
      </c>
      <c r="B2204" t="s">
        <v>9807</v>
      </c>
      <c r="C2204" t="s">
        <v>15407</v>
      </c>
      <c r="D2204" t="s">
        <v>16203</v>
      </c>
      <c r="E2204" t="s">
        <v>16218</v>
      </c>
      <c r="F2204" t="s">
        <v>16220</v>
      </c>
      <c r="G2204" t="s">
        <v>16238</v>
      </c>
      <c r="H2204" t="s">
        <v>16238</v>
      </c>
      <c r="I2204" t="s">
        <v>16338</v>
      </c>
      <c r="J2204" t="s">
        <v>16385</v>
      </c>
      <c r="K2204">
        <v>0.183</v>
      </c>
      <c r="L2204">
        <v>7980</v>
      </c>
      <c r="M2204">
        <v>2144</v>
      </c>
      <c r="N2204" t="s">
        <v>16393</v>
      </c>
      <c r="O2204" s="4">
        <v>36878</v>
      </c>
      <c r="P2204" s="4">
        <v>92577</v>
      </c>
      <c r="Q2204" s="4">
        <v>129455</v>
      </c>
      <c r="R2204" s="4">
        <v>388365</v>
      </c>
      <c r="S2204" t="s">
        <v>18539</v>
      </c>
      <c r="T2204" s="6">
        <v>35247</v>
      </c>
      <c r="U2204" s="4">
        <v>190620</v>
      </c>
      <c r="X2204" t="s">
        <v>3</v>
      </c>
      <c r="AA2204" s="5" t="str">
        <f>HYPERLINK("https://www.zillow.com/homes/5529-RIDGE-CROSSING-HANOVER-PARK-IL-60133_rb/","check listing")</f>
        <v>check listing</v>
      </c>
      <c r="AB2204" s="5" t="str">
        <f>HYPERLINK("https://propertylookup.dupagecounty.gov/Datalets/Datalet.aspx?UseSearch=no&amp;mode=sales&amp;pin=0112215070","sales record")</f>
        <v>sales record</v>
      </c>
      <c r="AC2204" t="s">
        <v>3</v>
      </c>
      <c r="AD2204">
        <v>41.972627</v>
      </c>
      <c r="AE2204">
        <v>-88.147893</v>
      </c>
      <c r="AF2204" s="5" t="str">
        <f>HYPERLINK("https://www.google.com/maps/search/?api=1&amp;query=41.972627,-88.147893","map")</f>
        <v>map</v>
      </c>
    </row>
    <row r="2205" spans="1:32">
      <c r="A2205" t="s">
        <v>2255</v>
      </c>
      <c r="B2205" t="s">
        <v>9808</v>
      </c>
      <c r="C2205" t="s">
        <v>15407</v>
      </c>
      <c r="D2205" t="s">
        <v>16203</v>
      </c>
      <c r="E2205" t="s">
        <v>16218</v>
      </c>
      <c r="F2205" t="s">
        <v>16220</v>
      </c>
      <c r="G2205" t="s">
        <v>16238</v>
      </c>
      <c r="H2205" t="s">
        <v>16238</v>
      </c>
      <c r="I2205" t="s">
        <v>16338</v>
      </c>
      <c r="J2205" t="s">
        <v>16385</v>
      </c>
      <c r="K2205">
        <v>0.183</v>
      </c>
      <c r="L2205">
        <v>7965</v>
      </c>
      <c r="M2205">
        <v>2768</v>
      </c>
      <c r="N2205" t="s">
        <v>16393</v>
      </c>
      <c r="O2205" s="4">
        <v>36878</v>
      </c>
      <c r="P2205" s="4">
        <v>104269</v>
      </c>
      <c r="Q2205" s="4">
        <v>141147</v>
      </c>
      <c r="R2205" s="4">
        <v>423441</v>
      </c>
      <c r="S2205" t="s">
        <v>18540</v>
      </c>
      <c r="T2205" s="6">
        <v>35217</v>
      </c>
      <c r="U2205" s="4">
        <v>218520</v>
      </c>
      <c r="X2205" t="s">
        <v>3</v>
      </c>
      <c r="AA2205" s="5" t="str">
        <f>HYPERLINK("https://www.zillow.com/homes/5546-RIDGE-CROSSING-HANOVER-PARK-IL-60133_rb/","check listing")</f>
        <v>check listing</v>
      </c>
      <c r="AB2205" s="5" t="str">
        <f>HYPERLINK("https://propertylookup.dupagecounty.gov/Datalets/Datalet.aspx?UseSearch=no&amp;mode=sales&amp;pin=0112210038","sales record")</f>
        <v>sales record</v>
      </c>
      <c r="AC2205" t="s">
        <v>3</v>
      </c>
      <c r="AD2205">
        <v>41.972983</v>
      </c>
      <c r="AE2205">
        <v>-88.14880599999999</v>
      </c>
      <c r="AF2205" s="5" t="str">
        <f>HYPERLINK("https://www.google.com/maps/search/?api=1&amp;query=41.972983,-88.148806","map")</f>
        <v>map</v>
      </c>
    </row>
    <row r="2206" spans="1:32">
      <c r="A2206" t="s">
        <v>2256</v>
      </c>
      <c r="B2206" t="s">
        <v>9809</v>
      </c>
      <c r="C2206" t="s">
        <v>15407</v>
      </c>
      <c r="D2206" t="s">
        <v>16203</v>
      </c>
      <c r="E2206" t="s">
        <v>16218</v>
      </c>
      <c r="F2206" t="s">
        <v>16220</v>
      </c>
      <c r="G2206" t="s">
        <v>16238</v>
      </c>
      <c r="H2206" t="s">
        <v>16238</v>
      </c>
      <c r="I2206" t="s">
        <v>16338</v>
      </c>
      <c r="J2206" t="s">
        <v>16385</v>
      </c>
      <c r="K2206">
        <v>0.183</v>
      </c>
      <c r="L2206">
        <v>7953</v>
      </c>
      <c r="M2206">
        <v>2573</v>
      </c>
      <c r="N2206" t="s">
        <v>16393</v>
      </c>
      <c r="O2206" s="4">
        <v>36878</v>
      </c>
      <c r="P2206" s="4">
        <v>114082</v>
      </c>
      <c r="Q2206" s="4">
        <v>150960</v>
      </c>
      <c r="R2206" s="4">
        <v>452880</v>
      </c>
      <c r="S2206" t="s">
        <v>18541</v>
      </c>
      <c r="T2206" s="6">
        <v>35704</v>
      </c>
      <c r="U2206" s="4">
        <v>202462</v>
      </c>
      <c r="X2206" t="s">
        <v>3</v>
      </c>
      <c r="AA2206" s="5" t="str">
        <f>HYPERLINK("https://www.zillow.com/homes/5550-RIDGE-CROSSING-HANOVER-PARK-IL-60133_rb/","check listing")</f>
        <v>check listing</v>
      </c>
      <c r="AB2206" s="5" t="str">
        <f>HYPERLINK("https://propertylookup.dupagecounty.gov/Datalets/Datalet.aspx?UseSearch=no&amp;mode=sales&amp;pin=0112210037","sales record")</f>
        <v>sales record</v>
      </c>
      <c r="AC2206" t="s">
        <v>3</v>
      </c>
      <c r="AD2206">
        <v>41.973205</v>
      </c>
      <c r="AE2206">
        <v>-88.148809</v>
      </c>
      <c r="AF2206" s="5" t="str">
        <f>HYPERLINK("https://www.google.com/maps/search/?api=1&amp;query=41.973205,-88.148809","map")</f>
        <v>map</v>
      </c>
    </row>
    <row r="2207" spans="1:32">
      <c r="A2207" t="s">
        <v>2257</v>
      </c>
      <c r="B2207" t="s">
        <v>9810</v>
      </c>
      <c r="C2207" t="s">
        <v>15408</v>
      </c>
      <c r="D2207" t="s">
        <v>16203</v>
      </c>
      <c r="E2207" t="s">
        <v>16218</v>
      </c>
      <c r="F2207" t="s">
        <v>16220</v>
      </c>
      <c r="G2207" t="s">
        <v>16238</v>
      </c>
      <c r="H2207" t="s">
        <v>16238</v>
      </c>
      <c r="I2207" t="s">
        <v>16338</v>
      </c>
      <c r="J2207" t="s">
        <v>16385</v>
      </c>
      <c r="K2207">
        <v>0.182</v>
      </c>
      <c r="L2207">
        <v>7917</v>
      </c>
      <c r="M2207">
        <v>1584</v>
      </c>
      <c r="N2207" t="s">
        <v>16393</v>
      </c>
      <c r="O2207" s="4">
        <v>36878</v>
      </c>
      <c r="P2207" s="4">
        <v>77637</v>
      </c>
      <c r="Q2207" s="4">
        <v>114515</v>
      </c>
      <c r="R2207" s="4">
        <v>343545</v>
      </c>
      <c r="S2207" t="s">
        <v>18542</v>
      </c>
      <c r="T2207" s="6">
        <v>43586</v>
      </c>
      <c r="U2207" s="4">
        <v>265000</v>
      </c>
      <c r="V2207" t="s">
        <v>23739</v>
      </c>
      <c r="W2207" t="s">
        <v>24786</v>
      </c>
      <c r="X2207" t="s">
        <v>3</v>
      </c>
      <c r="AA2207" s="5" t="str">
        <f>HYPERLINK("https://www.zillow.com/homes/1979-LUCILLE-LN-HANOVER-PARK-IL-601335352_rb/","check listing")</f>
        <v>check listing</v>
      </c>
      <c r="AB2207" s="5" t="str">
        <f>HYPERLINK("https://propertylookup.dupagecounty.gov/Datalets/Datalet.aspx?UseSearch=no&amp;mode=sales&amp;pin=0112210030","sales record")</f>
        <v>sales record</v>
      </c>
      <c r="AC2207" t="s">
        <v>3</v>
      </c>
      <c r="AD2207">
        <v>41.970549</v>
      </c>
      <c r="AE2207">
        <v>-88.15118099999999</v>
      </c>
      <c r="AF2207" s="5" t="str">
        <f>HYPERLINK("https://www.google.com/maps/search/?api=1&amp;query=41.970549,-88.151181","map")</f>
        <v>map</v>
      </c>
    </row>
    <row r="2208" spans="1:32">
      <c r="A2208" t="s">
        <v>2258</v>
      </c>
      <c r="B2208" t="s">
        <v>9811</v>
      </c>
      <c r="C2208" t="s">
        <v>15407</v>
      </c>
      <c r="D2208" t="s">
        <v>16203</v>
      </c>
      <c r="E2208" t="s">
        <v>16218</v>
      </c>
      <c r="F2208" t="s">
        <v>16220</v>
      </c>
      <c r="G2208" t="s">
        <v>16238</v>
      </c>
      <c r="H2208" t="s">
        <v>16238</v>
      </c>
      <c r="I2208" t="s">
        <v>16338</v>
      </c>
      <c r="J2208" t="s">
        <v>16385</v>
      </c>
      <c r="K2208">
        <v>0.181</v>
      </c>
      <c r="L2208">
        <v>7888</v>
      </c>
      <c r="M2208">
        <v>2375</v>
      </c>
      <c r="N2208" t="s">
        <v>16393</v>
      </c>
      <c r="O2208" s="4">
        <v>36878</v>
      </c>
      <c r="P2208" s="4">
        <v>90348</v>
      </c>
      <c r="Q2208" s="4">
        <v>127226</v>
      </c>
      <c r="R2208" s="4">
        <v>381678</v>
      </c>
      <c r="S2208" t="s">
        <v>18543</v>
      </c>
      <c r="T2208" s="6">
        <v>37803</v>
      </c>
      <c r="U2208" s="4">
        <v>282000</v>
      </c>
      <c r="V2208" t="s">
        <v>23739</v>
      </c>
      <c r="W2208" t="s">
        <v>24787</v>
      </c>
      <c r="X2208" t="s">
        <v>3</v>
      </c>
      <c r="AA2208" s="5" t="str">
        <f>HYPERLINK("https://www.zillow.com/homes/1971-LUCILLE-LN-HANOVER-PARK-IL-60133_rb/","check listing")</f>
        <v>check listing</v>
      </c>
      <c r="AB2208" s="5" t="str">
        <f>HYPERLINK("https://propertylookup.dupagecounty.gov/Datalets/Datalet.aspx?UseSearch=no&amp;mode=sales&amp;pin=0112210029","sales record")</f>
        <v>sales record</v>
      </c>
      <c r="AC2208" t="s">
        <v>3</v>
      </c>
      <c r="AD2208">
        <v>41.970727</v>
      </c>
      <c r="AE2208">
        <v>-88.15118</v>
      </c>
      <c r="AF2208" s="5" t="str">
        <f>HYPERLINK("https://www.google.com/maps/search/?api=1&amp;query=41.970727,-88.15118","map")</f>
        <v>map</v>
      </c>
    </row>
    <row r="2209" spans="1:32">
      <c r="A2209" t="s">
        <v>2259</v>
      </c>
      <c r="B2209" t="s">
        <v>9812</v>
      </c>
      <c r="C2209" t="s">
        <v>15416</v>
      </c>
      <c r="D2209" t="s">
        <v>16203</v>
      </c>
      <c r="E2209" t="s">
        <v>16218</v>
      </c>
      <c r="F2209" t="s">
        <v>16220</v>
      </c>
      <c r="G2209" t="s">
        <v>16238</v>
      </c>
      <c r="H2209" t="s">
        <v>16238</v>
      </c>
      <c r="I2209" t="s">
        <v>16338</v>
      </c>
      <c r="J2209" t="s">
        <v>16385</v>
      </c>
      <c r="K2209">
        <v>0.181</v>
      </c>
      <c r="L2209">
        <v>7881</v>
      </c>
      <c r="M2209">
        <v>1978</v>
      </c>
      <c r="N2209" t="s">
        <v>16393</v>
      </c>
      <c r="O2209" s="4">
        <v>36530</v>
      </c>
      <c r="P2209" s="4">
        <v>78691</v>
      </c>
      <c r="Q2209" s="4">
        <v>115221</v>
      </c>
      <c r="R2209" s="4">
        <v>345663</v>
      </c>
      <c r="S2209" t="s">
        <v>18544</v>
      </c>
      <c r="T2209" s="6">
        <v>43132</v>
      </c>
      <c r="U2209" s="4">
        <v>280000</v>
      </c>
      <c r="V2209" t="s">
        <v>23739</v>
      </c>
      <c r="W2209" t="s">
        <v>24788</v>
      </c>
      <c r="X2209" t="s">
        <v>3</v>
      </c>
      <c r="AA2209" s="5" t="str">
        <f>HYPERLINK("https://www.zillow.com/homes/2196-OAKDALE-CIR-HANOVER-PARK-IL-601338802_rb/","check listing")</f>
        <v>check listing</v>
      </c>
      <c r="AB2209" s="5" t="str">
        <f>HYPERLINK("https://propertylookup.dupagecounty.gov/Datalets/Datalet.aspx?UseSearch=no&amp;mode=sales&amp;pin=0112114005","sales record")</f>
        <v>sales record</v>
      </c>
      <c r="AC2209" t="s">
        <v>3</v>
      </c>
      <c r="AD2209">
        <v>41.97293</v>
      </c>
      <c r="AE2209">
        <v>-88.155518</v>
      </c>
      <c r="AF2209" s="5" t="str">
        <f>HYPERLINK("https://www.google.com/maps/search/?api=1&amp;query=41.97293,-88.155518","map")</f>
        <v>map</v>
      </c>
    </row>
    <row r="2210" spans="1:32">
      <c r="A2210" t="s">
        <v>2260</v>
      </c>
      <c r="B2210" t="s">
        <v>9813</v>
      </c>
      <c r="C2210" t="s">
        <v>15413</v>
      </c>
      <c r="D2210" t="s">
        <v>16203</v>
      </c>
      <c r="E2210" t="s">
        <v>16218</v>
      </c>
      <c r="F2210" t="s">
        <v>16220</v>
      </c>
      <c r="G2210" t="s">
        <v>16238</v>
      </c>
      <c r="H2210" t="s">
        <v>16238</v>
      </c>
      <c r="I2210" t="s">
        <v>16338</v>
      </c>
      <c r="J2210" t="s">
        <v>16385</v>
      </c>
      <c r="K2210">
        <v>0.18</v>
      </c>
      <c r="L2210">
        <v>7832</v>
      </c>
      <c r="M2210">
        <v>2376</v>
      </c>
      <c r="N2210" t="s">
        <v>16393</v>
      </c>
      <c r="O2210" s="4">
        <v>36530</v>
      </c>
      <c r="P2210" s="4">
        <v>70544</v>
      </c>
      <c r="Q2210" s="4">
        <v>107074</v>
      </c>
      <c r="R2210" s="4">
        <v>321222</v>
      </c>
      <c r="S2210" t="s">
        <v>18545</v>
      </c>
      <c r="T2210" s="6">
        <v>33543</v>
      </c>
      <c r="U2210" s="4">
        <v>132480</v>
      </c>
      <c r="X2210" t="s">
        <v>3</v>
      </c>
      <c r="AA2210" s="5" t="str">
        <f>HYPERLINK("https://www.zillow.com/homes/2048-NEWPORT-CIR-HANOVER-PARK-IL-601335198_rb/","check listing")</f>
        <v>check listing</v>
      </c>
      <c r="AB2210" s="5" t="str">
        <f>HYPERLINK("https://propertylookup.dupagecounty.gov/Datalets/Datalet.aspx?UseSearch=no&amp;mode=sales&amp;pin=0112213012","sales record")</f>
        <v>sales record</v>
      </c>
      <c r="AC2210" t="s">
        <v>3</v>
      </c>
      <c r="AD2210">
        <v>41.972628</v>
      </c>
      <c r="AE2210">
        <v>-88.152417</v>
      </c>
      <c r="AF2210" s="5" t="str">
        <f>HYPERLINK("https://www.google.com/maps/search/?api=1&amp;query=41.972628,-88.152417","map")</f>
        <v>map</v>
      </c>
    </row>
    <row r="2211" spans="1:32">
      <c r="A2211" t="s">
        <v>2261</v>
      </c>
      <c r="B2211" t="s">
        <v>9814</v>
      </c>
      <c r="C2211" t="s">
        <v>15407</v>
      </c>
      <c r="D2211" t="s">
        <v>16203</v>
      </c>
      <c r="E2211" t="s">
        <v>16218</v>
      </c>
      <c r="F2211" t="s">
        <v>16220</v>
      </c>
      <c r="G2211" t="s">
        <v>16238</v>
      </c>
      <c r="H2211" t="s">
        <v>16238</v>
      </c>
      <c r="I2211" t="s">
        <v>16338</v>
      </c>
      <c r="J2211" t="s">
        <v>16385</v>
      </c>
      <c r="K2211">
        <v>0.18</v>
      </c>
      <c r="L2211">
        <v>7823</v>
      </c>
      <c r="M2211">
        <v>1978</v>
      </c>
      <c r="N2211" t="s">
        <v>16393</v>
      </c>
      <c r="O2211" s="4">
        <v>36878</v>
      </c>
      <c r="P2211" s="4">
        <v>77157</v>
      </c>
      <c r="Q2211" s="4">
        <v>114035</v>
      </c>
      <c r="R2211" s="4">
        <v>342105</v>
      </c>
      <c r="S2211" t="s">
        <v>18546</v>
      </c>
      <c r="T2211" s="6">
        <v>34943</v>
      </c>
      <c r="U2211" s="4">
        <v>165844</v>
      </c>
      <c r="X2211" t="s">
        <v>3</v>
      </c>
      <c r="AA2211" s="5" t="str">
        <f>HYPERLINK("https://www.zillow.com/homes/5469-RIDGE-CROSSING-HANOVER-PARK-IL-60133_rb/","check listing")</f>
        <v>check listing</v>
      </c>
      <c r="AB2211" s="5" t="str">
        <f>HYPERLINK("https://propertylookup.dupagecounty.gov/Datalets/Datalet.aspx?UseSearch=no&amp;mode=sales&amp;pin=0112215036","sales record")</f>
        <v>sales record</v>
      </c>
      <c r="AC2211" t="s">
        <v>3</v>
      </c>
      <c r="AD2211">
        <v>41.970719</v>
      </c>
      <c r="AE2211">
        <v>-88.145331</v>
      </c>
      <c r="AF2211" s="5" t="str">
        <f>HYPERLINK("https://www.google.com/maps/search/?api=1&amp;query=41.970719,-88.145331","map")</f>
        <v>map</v>
      </c>
    </row>
    <row r="2212" spans="1:32">
      <c r="A2212" t="s">
        <v>2262</v>
      </c>
      <c r="B2212" t="s">
        <v>9815</v>
      </c>
      <c r="C2212" t="s">
        <v>15407</v>
      </c>
      <c r="D2212" t="s">
        <v>16203</v>
      </c>
      <c r="E2212" t="s">
        <v>16218</v>
      </c>
      <c r="F2212" t="s">
        <v>16220</v>
      </c>
      <c r="G2212" t="s">
        <v>16238</v>
      </c>
      <c r="H2212" t="s">
        <v>16238</v>
      </c>
      <c r="I2212" t="s">
        <v>16338</v>
      </c>
      <c r="J2212" t="s">
        <v>16385</v>
      </c>
      <c r="K2212">
        <v>0.179</v>
      </c>
      <c r="L2212">
        <v>7802</v>
      </c>
      <c r="M2212">
        <v>2740</v>
      </c>
      <c r="N2212" t="s">
        <v>16393</v>
      </c>
      <c r="O2212" s="4">
        <v>36878</v>
      </c>
      <c r="P2212" s="4">
        <v>96398</v>
      </c>
      <c r="Q2212" s="4">
        <v>133276</v>
      </c>
      <c r="R2212" s="4">
        <v>399828</v>
      </c>
      <c r="S2212" t="s">
        <v>18547</v>
      </c>
      <c r="T2212" s="6">
        <v>37530</v>
      </c>
      <c r="U2212" s="4">
        <v>173000</v>
      </c>
      <c r="V2212" t="s">
        <v>23739</v>
      </c>
      <c r="W2212" t="s">
        <v>18547</v>
      </c>
      <c r="X2212" t="s">
        <v>3</v>
      </c>
      <c r="AA2212" s="5" t="str">
        <f>HYPERLINK("https://www.zillow.com/homes/1923-LUCILLE-LN-HANOVER-PARK-IL-60133_rb/","check listing")</f>
        <v>check listing</v>
      </c>
      <c r="AB2212" s="5" t="str">
        <f>HYPERLINK("https://propertylookup.dupagecounty.gov/Datalets/Datalet.aspx?UseSearch=no&amp;mode=sales&amp;pin=0112210023","sales record")</f>
        <v>sales record</v>
      </c>
      <c r="AC2212" t="s">
        <v>3</v>
      </c>
      <c r="AD2212">
        <v>41.971513</v>
      </c>
      <c r="AE2212">
        <v>-88.150199</v>
      </c>
      <c r="AF2212" s="5" t="str">
        <f>HYPERLINK("https://www.google.com/maps/search/?api=1&amp;query=41.971513,-88.150199","map")</f>
        <v>map</v>
      </c>
    </row>
    <row r="2213" spans="1:32">
      <c r="A2213" t="s">
        <v>2263</v>
      </c>
      <c r="B2213" t="s">
        <v>9816</v>
      </c>
      <c r="C2213" t="s">
        <v>15408</v>
      </c>
      <c r="D2213" t="s">
        <v>16203</v>
      </c>
      <c r="E2213" t="s">
        <v>16218</v>
      </c>
      <c r="F2213" t="s">
        <v>16220</v>
      </c>
      <c r="G2213" t="s">
        <v>16238</v>
      </c>
      <c r="H2213" t="s">
        <v>16238</v>
      </c>
      <c r="I2213" t="s">
        <v>16338</v>
      </c>
      <c r="J2213" t="s">
        <v>16385</v>
      </c>
      <c r="K2213">
        <v>0.179</v>
      </c>
      <c r="L2213">
        <v>7802</v>
      </c>
      <c r="M2213">
        <v>2313</v>
      </c>
      <c r="N2213" t="s">
        <v>16393</v>
      </c>
      <c r="O2213" s="4">
        <v>36878</v>
      </c>
      <c r="P2213" s="4">
        <v>101334</v>
      </c>
      <c r="Q2213" s="4">
        <v>138212</v>
      </c>
      <c r="R2213" s="4">
        <v>414636</v>
      </c>
      <c r="S2213" t="s">
        <v>18548</v>
      </c>
      <c r="T2213" s="6">
        <v>43252</v>
      </c>
      <c r="U2213" s="4">
        <v>280000</v>
      </c>
      <c r="V2213" t="s">
        <v>23739</v>
      </c>
      <c r="W2213" t="s">
        <v>24789</v>
      </c>
      <c r="X2213" t="s">
        <v>3</v>
      </c>
      <c r="AA2213" s="5" t="str">
        <f>HYPERLINK("https://www.zillow.com/homes/1899-LUCILLE-LN-HANOVER-PARK-IL-601335352_rb/","check listing")</f>
        <v>check listing</v>
      </c>
      <c r="AB2213" s="5" t="str">
        <f>HYPERLINK("https://propertylookup.dupagecounty.gov/Datalets/Datalet.aspx?UseSearch=no&amp;mode=sales&amp;pin=0112210020","sales record")</f>
        <v>sales record</v>
      </c>
      <c r="AC2213" t="s">
        <v>3</v>
      </c>
      <c r="AD2213">
        <v>41.971512</v>
      </c>
      <c r="AE2213">
        <v>-88.14948200000001</v>
      </c>
      <c r="AF2213" s="5" t="str">
        <f>HYPERLINK("https://www.google.com/maps/search/?api=1&amp;query=41.971512,-88.149482","map")</f>
        <v>map</v>
      </c>
    </row>
    <row r="2214" spans="1:32">
      <c r="A2214" t="s">
        <v>2264</v>
      </c>
      <c r="B2214" t="s">
        <v>9817</v>
      </c>
      <c r="C2214" t="s">
        <v>15410</v>
      </c>
      <c r="D2214" t="s">
        <v>16203</v>
      </c>
      <c r="E2214" t="s">
        <v>16218</v>
      </c>
      <c r="F2214" t="s">
        <v>16220</v>
      </c>
      <c r="G2214" t="s">
        <v>16238</v>
      </c>
      <c r="H2214" t="s">
        <v>16238</v>
      </c>
      <c r="I2214" t="s">
        <v>16338</v>
      </c>
      <c r="J2214" t="s">
        <v>16385</v>
      </c>
      <c r="K2214">
        <v>0.179</v>
      </c>
      <c r="L2214">
        <v>7802</v>
      </c>
      <c r="M2214">
        <v>2141</v>
      </c>
      <c r="N2214" t="s">
        <v>16393</v>
      </c>
      <c r="O2214" s="4">
        <v>36878</v>
      </c>
      <c r="P2214" s="4">
        <v>78367</v>
      </c>
      <c r="Q2214" s="4">
        <v>115245</v>
      </c>
      <c r="R2214" s="4">
        <v>345735</v>
      </c>
      <c r="S2214" t="s">
        <v>18549</v>
      </c>
      <c r="T2214" s="6">
        <v>42339</v>
      </c>
      <c r="U2214" s="4">
        <v>245000</v>
      </c>
      <c r="V2214" t="s">
        <v>23739</v>
      </c>
      <c r="W2214" t="s">
        <v>24790</v>
      </c>
      <c r="X2214" t="s">
        <v>3</v>
      </c>
      <c r="AA2214" s="5" t="str">
        <f>HYPERLINK("https://www.zillow.com/homes/1961-SUNSET-DR-HANOVER-PARK-IL-601335360_rb/","check listing")</f>
        <v>check listing</v>
      </c>
      <c r="AB2214" s="5" t="str">
        <f>HYPERLINK("https://propertylookup.dupagecounty.gov/Datalets/Datalet.aspx?UseSearch=no&amp;mode=sales&amp;pin=0112214002","sales record")</f>
        <v>sales record</v>
      </c>
      <c r="AC2214" t="s">
        <v>3</v>
      </c>
      <c r="AD2214">
        <v>41.970365</v>
      </c>
      <c r="AE2214">
        <v>-88.150301</v>
      </c>
      <c r="AF2214" s="5" t="str">
        <f>HYPERLINK("https://www.google.com/maps/search/?api=1&amp;query=41.970365,-88.150301","map")</f>
        <v>map</v>
      </c>
    </row>
    <row r="2215" spans="1:32">
      <c r="A2215" t="s">
        <v>2265</v>
      </c>
      <c r="B2215" t="s">
        <v>9818</v>
      </c>
      <c r="C2215" t="s">
        <v>15410</v>
      </c>
      <c r="D2215" t="s">
        <v>16203</v>
      </c>
      <c r="E2215" t="s">
        <v>16218</v>
      </c>
      <c r="F2215" t="s">
        <v>16220</v>
      </c>
      <c r="G2215" t="s">
        <v>16238</v>
      </c>
      <c r="H2215" t="s">
        <v>16238</v>
      </c>
      <c r="I2215" t="s">
        <v>16338</v>
      </c>
      <c r="J2215" t="s">
        <v>16385</v>
      </c>
      <c r="K2215">
        <v>0.179</v>
      </c>
      <c r="L2215">
        <v>7801</v>
      </c>
      <c r="M2215">
        <v>2177</v>
      </c>
      <c r="N2215" t="s">
        <v>16393</v>
      </c>
      <c r="O2215" s="4">
        <v>36878</v>
      </c>
      <c r="P2215" s="4">
        <v>94518</v>
      </c>
      <c r="Q2215" s="4">
        <v>131396</v>
      </c>
      <c r="R2215" s="4">
        <v>394188</v>
      </c>
      <c r="S2215" t="s">
        <v>18550</v>
      </c>
      <c r="T2215" s="6">
        <v>44105</v>
      </c>
      <c r="U2215" s="4">
        <v>282000</v>
      </c>
      <c r="V2215" t="s">
        <v>16232</v>
      </c>
      <c r="W2215" t="s">
        <v>24791</v>
      </c>
      <c r="X2215" t="s">
        <v>3</v>
      </c>
      <c r="AA2215" s="5" t="str">
        <f>HYPERLINK("https://www.zillow.com/homes/1865-SUNSET-DR-HANOVER-PARK-IL-601335360_rb/","check listing")</f>
        <v>check listing</v>
      </c>
      <c r="AB2215" s="5" t="str">
        <f>HYPERLINK("https://propertylookup.dupagecounty.gov/Datalets/Datalet.aspx?UseSearch=no&amp;mode=sales&amp;pin=0112214008","sales record")</f>
        <v>sales record</v>
      </c>
      <c r="AC2215" t="s">
        <v>3</v>
      </c>
      <c r="AD2215">
        <v>41.970815</v>
      </c>
      <c r="AE2215">
        <v>-88.14905</v>
      </c>
      <c r="AF2215" s="5" t="str">
        <f>HYPERLINK("https://www.google.com/maps/search/?api=1&amp;query=41.970815,-88.14905","map")</f>
        <v>map</v>
      </c>
    </row>
    <row r="2216" spans="1:32">
      <c r="A2216" t="s">
        <v>2266</v>
      </c>
      <c r="B2216" t="s">
        <v>9819</v>
      </c>
      <c r="C2216" t="s">
        <v>15407</v>
      </c>
      <c r="D2216" t="s">
        <v>16203</v>
      </c>
      <c r="E2216" t="s">
        <v>16218</v>
      </c>
      <c r="F2216" t="s">
        <v>16220</v>
      </c>
      <c r="G2216" t="s">
        <v>16238</v>
      </c>
      <c r="H2216" t="s">
        <v>16238</v>
      </c>
      <c r="I2216" t="s">
        <v>16338</v>
      </c>
      <c r="J2216" t="s">
        <v>16385</v>
      </c>
      <c r="K2216">
        <v>0.179</v>
      </c>
      <c r="L2216">
        <v>7799</v>
      </c>
      <c r="M2216">
        <v>2141</v>
      </c>
      <c r="N2216" t="s">
        <v>16393</v>
      </c>
      <c r="O2216" s="4">
        <v>36878</v>
      </c>
      <c r="P2216" s="4">
        <v>95535</v>
      </c>
      <c r="Q2216" s="4">
        <v>132413</v>
      </c>
      <c r="R2216" s="4">
        <v>397239</v>
      </c>
      <c r="S2216" t="s">
        <v>18551</v>
      </c>
      <c r="T2216" s="6">
        <v>37012</v>
      </c>
      <c r="U2216" s="4">
        <v>220000</v>
      </c>
      <c r="V2216" t="s">
        <v>23739</v>
      </c>
      <c r="W2216" t="s">
        <v>24792</v>
      </c>
      <c r="X2216" t="s">
        <v>3</v>
      </c>
      <c r="AA2216" s="5" t="str">
        <f>HYPERLINK("https://www.zillow.com/homes/1891-LUCILLE-LN-HANOVER-PARK-IL-60133_rb/","check listing")</f>
        <v>check listing</v>
      </c>
      <c r="AB2216" s="5" t="str">
        <f>HYPERLINK("https://propertylookup.dupagecounty.gov/Datalets/Datalet.aspx?UseSearch=no&amp;mode=sales&amp;pin=0112210019","sales record")</f>
        <v>sales record</v>
      </c>
      <c r="AC2216" t="s">
        <v>3</v>
      </c>
      <c r="AD2216">
        <v>41.971511</v>
      </c>
      <c r="AE2216">
        <v>-88.149243</v>
      </c>
      <c r="AF2216" s="5" t="str">
        <f>HYPERLINK("https://www.google.com/maps/search/?api=1&amp;query=41.971511,-88.149243","map")</f>
        <v>map</v>
      </c>
    </row>
    <row r="2217" spans="1:32">
      <c r="A2217" t="s">
        <v>2267</v>
      </c>
      <c r="B2217" t="s">
        <v>9820</v>
      </c>
      <c r="C2217" t="s">
        <v>15419</v>
      </c>
      <c r="D2217" t="s">
        <v>16203</v>
      </c>
      <c r="E2217" t="s">
        <v>16218</v>
      </c>
      <c r="F2217" t="s">
        <v>16220</v>
      </c>
      <c r="G2217" t="s">
        <v>16238</v>
      </c>
      <c r="H2217" t="s">
        <v>16238</v>
      </c>
      <c r="I2217" t="s">
        <v>16338</v>
      </c>
      <c r="J2217" t="s">
        <v>16385</v>
      </c>
      <c r="K2217">
        <v>0.179</v>
      </c>
      <c r="L2217">
        <v>7799</v>
      </c>
      <c r="M2217">
        <v>1786</v>
      </c>
      <c r="N2217" t="s">
        <v>16393</v>
      </c>
      <c r="O2217" s="4">
        <v>36878</v>
      </c>
      <c r="P2217" s="4">
        <v>78331</v>
      </c>
      <c r="Q2217" s="4">
        <v>115209</v>
      </c>
      <c r="R2217" s="4">
        <v>345627</v>
      </c>
      <c r="S2217" t="s">
        <v>18552</v>
      </c>
      <c r="T2217" s="6">
        <v>38443</v>
      </c>
      <c r="U2217" s="4">
        <v>250000</v>
      </c>
      <c r="V2217" t="s">
        <v>23739</v>
      </c>
      <c r="W2217" t="s">
        <v>24793</v>
      </c>
      <c r="X2217" t="s">
        <v>3</v>
      </c>
      <c r="AA2217" s="5" t="str">
        <f>HYPERLINK("https://www.zillow.com/homes/1907-LUCILLE-LN-HANOVER-PARK-IL-60103_rb/","check listing")</f>
        <v>check listing</v>
      </c>
      <c r="AB2217" s="5" t="str">
        <f>HYPERLINK("https://propertylookup.dupagecounty.gov/Datalets/Datalet.aspx?UseSearch=no&amp;mode=sales&amp;pin=0112210021","sales record")</f>
        <v>sales record</v>
      </c>
      <c r="AC2217" t="s">
        <v>3</v>
      </c>
      <c r="AD2217">
        <v>41.971512</v>
      </c>
      <c r="AE2217">
        <v>-88.149721</v>
      </c>
      <c r="AF2217" s="5" t="str">
        <f>HYPERLINK("https://www.google.com/maps/search/?api=1&amp;query=41.971512,-88.149721","map")</f>
        <v>map</v>
      </c>
    </row>
    <row r="2218" spans="1:32">
      <c r="A2218" t="s">
        <v>2268</v>
      </c>
      <c r="B2218" t="s">
        <v>9821</v>
      </c>
      <c r="C2218" t="s">
        <v>15410</v>
      </c>
      <c r="D2218" t="s">
        <v>16203</v>
      </c>
      <c r="E2218" t="s">
        <v>16218</v>
      </c>
      <c r="F2218" t="s">
        <v>16220</v>
      </c>
      <c r="G2218" t="s">
        <v>16238</v>
      </c>
      <c r="H2218" t="s">
        <v>16238</v>
      </c>
      <c r="I2218" t="s">
        <v>16338</v>
      </c>
      <c r="J2218" t="s">
        <v>16385</v>
      </c>
      <c r="K2218">
        <v>0.179</v>
      </c>
      <c r="L2218">
        <v>7785</v>
      </c>
      <c r="M2218">
        <v>2473</v>
      </c>
      <c r="N2218" t="s">
        <v>16393</v>
      </c>
      <c r="O2218" s="4">
        <v>36878</v>
      </c>
      <c r="P2218" s="4">
        <v>103791</v>
      </c>
      <c r="Q2218" s="4">
        <v>140669</v>
      </c>
      <c r="R2218" s="4">
        <v>422007</v>
      </c>
      <c r="S2218" t="s">
        <v>18553</v>
      </c>
      <c r="T2218" s="6">
        <v>42979</v>
      </c>
      <c r="U2218" s="4">
        <v>267500</v>
      </c>
      <c r="V2218" t="s">
        <v>23739</v>
      </c>
      <c r="W2218" t="s">
        <v>24794</v>
      </c>
      <c r="X2218" t="s">
        <v>3</v>
      </c>
      <c r="AA2218" s="5" t="str">
        <f>HYPERLINK("https://www.zillow.com/homes/1881-SUNSET-DR-HANOVER-PARK-IL-601335360_rb/","check listing")</f>
        <v>check listing</v>
      </c>
      <c r="AB2218" s="5" t="str">
        <f>HYPERLINK("https://propertylookup.dupagecounty.gov/Datalets/Datalet.aspx?UseSearch=no&amp;mode=sales&amp;pin=0112214007","sales record")</f>
        <v>sales record</v>
      </c>
      <c r="AC2218" t="s">
        <v>3</v>
      </c>
      <c r="AD2218">
        <v>41.970655</v>
      </c>
      <c r="AE2218">
        <v>-88.149157</v>
      </c>
      <c r="AF2218" s="5" t="str">
        <f>HYPERLINK("https://www.google.com/maps/search/?api=1&amp;query=41.970655,-88.149157","map")</f>
        <v>map</v>
      </c>
    </row>
    <row r="2219" spans="1:32">
      <c r="A2219" t="s">
        <v>2269</v>
      </c>
      <c r="B2219" t="s">
        <v>9822</v>
      </c>
      <c r="C2219" t="s">
        <v>15407</v>
      </c>
      <c r="D2219" t="s">
        <v>16203</v>
      </c>
      <c r="E2219" t="s">
        <v>16218</v>
      </c>
      <c r="F2219" t="s">
        <v>16220</v>
      </c>
      <c r="G2219" t="s">
        <v>16238</v>
      </c>
      <c r="H2219" t="s">
        <v>16238</v>
      </c>
      <c r="I2219" t="s">
        <v>16338</v>
      </c>
      <c r="J2219" t="s">
        <v>16385</v>
      </c>
      <c r="K2219">
        <v>0.179</v>
      </c>
      <c r="L2219">
        <v>7776</v>
      </c>
      <c r="M2219">
        <v>2151</v>
      </c>
      <c r="N2219" t="s">
        <v>16393</v>
      </c>
      <c r="O2219" s="4">
        <v>36878</v>
      </c>
      <c r="P2219" s="4">
        <v>99321</v>
      </c>
      <c r="Q2219" s="4">
        <v>136199</v>
      </c>
      <c r="R2219" s="4">
        <v>408597</v>
      </c>
      <c r="S2219" t="s">
        <v>18554</v>
      </c>
      <c r="T2219" s="6">
        <v>36678</v>
      </c>
      <c r="U2219" s="4">
        <v>228000</v>
      </c>
      <c r="V2219" t="s">
        <v>23739</v>
      </c>
      <c r="W2219" t="s">
        <v>24795</v>
      </c>
      <c r="X2219" t="s">
        <v>3</v>
      </c>
      <c r="AA2219" s="5" t="str">
        <f>HYPERLINK("https://www.zillow.com/homes/5541-RIDGE-CROSSING-HANOVER-PARK-IL-60133_rb/","check listing")</f>
        <v>check listing</v>
      </c>
      <c r="AB2219" s="5" t="str">
        <f>HYPERLINK("https://propertylookup.dupagecounty.gov/Datalets/Datalet.aspx?UseSearch=no&amp;mode=sales&amp;pin=0112215067","sales record")</f>
        <v>sales record</v>
      </c>
      <c r="AC2219" t="s">
        <v>3</v>
      </c>
      <c r="AD2219">
        <v>41.973203</v>
      </c>
      <c r="AE2219">
        <v>-88.14801799999999</v>
      </c>
      <c r="AF2219" s="5" t="str">
        <f>HYPERLINK("https://www.google.com/maps/search/?api=1&amp;query=41.973203,-88.148018","map")</f>
        <v>map</v>
      </c>
    </row>
    <row r="2220" spans="1:32">
      <c r="A2220" t="s">
        <v>2270</v>
      </c>
      <c r="B2220" t="s">
        <v>9823</v>
      </c>
      <c r="C2220" t="s">
        <v>15407</v>
      </c>
      <c r="D2220" t="s">
        <v>16203</v>
      </c>
      <c r="E2220" t="s">
        <v>16218</v>
      </c>
      <c r="F2220" t="s">
        <v>16220</v>
      </c>
      <c r="G2220" t="s">
        <v>16238</v>
      </c>
      <c r="H2220" t="s">
        <v>16238</v>
      </c>
      <c r="I2220" t="s">
        <v>16338</v>
      </c>
      <c r="J2220" t="s">
        <v>16385</v>
      </c>
      <c r="K2220">
        <v>0.175</v>
      </c>
      <c r="L2220">
        <v>7615</v>
      </c>
      <c r="M2220">
        <v>2572</v>
      </c>
      <c r="N2220" t="s">
        <v>16393</v>
      </c>
      <c r="O2220" s="4">
        <v>36878</v>
      </c>
      <c r="P2220" s="4">
        <v>106881</v>
      </c>
      <c r="Q2220" s="4">
        <v>143759</v>
      </c>
      <c r="R2220" s="4">
        <v>431277</v>
      </c>
      <c r="S2220" t="s">
        <v>18555</v>
      </c>
      <c r="T2220" s="6">
        <v>45065</v>
      </c>
      <c r="U2220" s="4">
        <v>419000</v>
      </c>
      <c r="V2220" t="s">
        <v>23739</v>
      </c>
      <c r="W2220" t="s">
        <v>24796</v>
      </c>
      <c r="X2220" t="s">
        <v>3</v>
      </c>
      <c r="AA2220" s="5" t="str">
        <f>HYPERLINK("https://www.zillow.com/homes/1883-LUCILLE-LN-HANOVER-PARK-IL-60133_rb/","check listing")</f>
        <v>check listing</v>
      </c>
      <c r="AB2220" s="5" t="str">
        <f>HYPERLINK("https://propertylookup.dupagecounty.gov/Datalets/Datalet.aspx?UseSearch=no&amp;mode=sales&amp;pin=0112210018","sales record")</f>
        <v>sales record</v>
      </c>
      <c r="AC2220" t="s">
        <v>3</v>
      </c>
      <c r="AD2220">
        <v>41.971498</v>
      </c>
      <c r="AE2220">
        <v>-88.14900400000001</v>
      </c>
      <c r="AF2220" s="5" t="str">
        <f>HYPERLINK("https://www.google.com/maps/search/?api=1&amp;query=41.971498,-88.149004","map")</f>
        <v>map</v>
      </c>
    </row>
    <row r="2221" spans="1:32">
      <c r="A2221" t="s">
        <v>2271</v>
      </c>
      <c r="B2221" t="s">
        <v>9824</v>
      </c>
      <c r="C2221" t="s">
        <v>15407</v>
      </c>
      <c r="D2221" t="s">
        <v>16203</v>
      </c>
      <c r="E2221" t="s">
        <v>16218</v>
      </c>
      <c r="F2221" t="s">
        <v>16220</v>
      </c>
      <c r="G2221" t="s">
        <v>16238</v>
      </c>
      <c r="H2221" t="s">
        <v>16238</v>
      </c>
      <c r="I2221" t="s">
        <v>16338</v>
      </c>
      <c r="J2221" t="s">
        <v>16385</v>
      </c>
      <c r="K2221">
        <v>0.174</v>
      </c>
      <c r="L2221">
        <v>7577</v>
      </c>
      <c r="M2221">
        <v>2376</v>
      </c>
      <c r="N2221" t="s">
        <v>16393</v>
      </c>
      <c r="O2221" s="4">
        <v>36878</v>
      </c>
      <c r="P2221" s="4">
        <v>96434</v>
      </c>
      <c r="Q2221" s="4">
        <v>133312</v>
      </c>
      <c r="R2221" s="4">
        <v>399936</v>
      </c>
      <c r="S2221" t="s">
        <v>18556</v>
      </c>
      <c r="T2221" s="6">
        <v>34759</v>
      </c>
      <c r="U2221" s="4">
        <v>182631</v>
      </c>
      <c r="X2221" t="s">
        <v>3</v>
      </c>
      <c r="AA2221" s="5" t="str">
        <f>HYPERLINK("https://www.zillow.com/homes/5473-RIDGE-CROSSING-HANOVER-PARK-IL-60133_rb/","check listing")</f>
        <v>check listing</v>
      </c>
      <c r="AB2221" s="5" t="str">
        <f>HYPERLINK("https://propertylookup.dupagecounty.gov/Datalets/Datalet.aspx?UseSearch=no&amp;mode=sales&amp;pin=0112215037","sales record")</f>
        <v>sales record</v>
      </c>
      <c r="AC2221" t="s">
        <v>3</v>
      </c>
      <c r="AD2221">
        <v>41.970897</v>
      </c>
      <c r="AE2221">
        <v>-88.145323</v>
      </c>
      <c r="AF2221" s="5" t="str">
        <f>HYPERLINK("https://www.google.com/maps/search/?api=1&amp;query=41.970897,-88.145323","map")</f>
        <v>map</v>
      </c>
    </row>
    <row r="2222" spans="1:32">
      <c r="A2222" t="s">
        <v>2272</v>
      </c>
      <c r="B2222" t="s">
        <v>9825</v>
      </c>
      <c r="C2222" t="s">
        <v>15407</v>
      </c>
      <c r="D2222" t="s">
        <v>16203</v>
      </c>
      <c r="E2222" t="s">
        <v>16218</v>
      </c>
      <c r="F2222" t="s">
        <v>16220</v>
      </c>
      <c r="G2222" t="s">
        <v>16238</v>
      </c>
      <c r="H2222" t="s">
        <v>16238</v>
      </c>
      <c r="I2222" t="s">
        <v>16338</v>
      </c>
      <c r="J2222" t="s">
        <v>16385</v>
      </c>
      <c r="K2222">
        <v>0.173</v>
      </c>
      <c r="L2222">
        <v>7523</v>
      </c>
      <c r="M2222">
        <v>2939</v>
      </c>
      <c r="N2222" t="s">
        <v>16393</v>
      </c>
      <c r="O2222" s="4">
        <v>36530</v>
      </c>
      <c r="P2222" s="4">
        <v>85160</v>
      </c>
      <c r="Q2222" s="4">
        <v>121690</v>
      </c>
      <c r="R2222" s="4">
        <v>365070</v>
      </c>
      <c r="S2222" t="s">
        <v>18557</v>
      </c>
      <c r="T2222" s="6">
        <v>45951</v>
      </c>
      <c r="U2222" s="4">
        <v>410000</v>
      </c>
      <c r="V2222" t="s">
        <v>23739</v>
      </c>
      <c r="W2222" t="s">
        <v>24797</v>
      </c>
      <c r="X2222" t="s">
        <v>3</v>
      </c>
      <c r="AA2222" s="5" t="str">
        <f>HYPERLINK("https://www.zillow.com/homes/2012-NEWPORT-CIR-HANOVER-PARK-IL-60133_rb/","check listing")</f>
        <v>check listing</v>
      </c>
      <c r="AB2222" s="5" t="str">
        <f>HYPERLINK("https://propertylookup.dupagecounty.gov/Datalets/Datalet.aspx?UseSearch=no&amp;mode=sales&amp;pin=0112213009","sales record")</f>
        <v>sales record</v>
      </c>
      <c r="AC2222" t="s">
        <v>3</v>
      </c>
      <c r="AD2222">
        <v>41.972941</v>
      </c>
      <c r="AE2222">
        <v>-88.15293800000001</v>
      </c>
      <c r="AF2222" s="5" t="str">
        <f>HYPERLINK("https://www.google.com/maps/search/?api=1&amp;query=41.972941,-88.152938","map")</f>
        <v>map</v>
      </c>
    </row>
    <row r="2223" spans="1:32">
      <c r="A2223" t="s">
        <v>2273</v>
      </c>
      <c r="B2223" t="s">
        <v>9826</v>
      </c>
      <c r="C2223" t="s">
        <v>15407</v>
      </c>
      <c r="D2223" t="s">
        <v>16203</v>
      </c>
      <c r="E2223" t="s">
        <v>16218</v>
      </c>
      <c r="F2223" t="s">
        <v>16220</v>
      </c>
      <c r="G2223" t="s">
        <v>16238</v>
      </c>
      <c r="H2223" t="s">
        <v>16238</v>
      </c>
      <c r="I2223" t="s">
        <v>16338</v>
      </c>
      <c r="J2223" t="s">
        <v>16385</v>
      </c>
      <c r="K2223">
        <v>0.169</v>
      </c>
      <c r="L2223">
        <v>7360</v>
      </c>
      <c r="M2223">
        <v>2714</v>
      </c>
      <c r="N2223" t="s">
        <v>16393</v>
      </c>
      <c r="O2223" s="4">
        <v>36530</v>
      </c>
      <c r="P2223" s="4">
        <v>82428</v>
      </c>
      <c r="Q2223" s="4">
        <v>118958</v>
      </c>
      <c r="R2223" s="4">
        <v>356874</v>
      </c>
      <c r="S2223" t="s">
        <v>18558</v>
      </c>
      <c r="T2223" s="6">
        <v>34578</v>
      </c>
      <c r="U2223" s="4">
        <v>168500</v>
      </c>
      <c r="X2223" t="s">
        <v>3</v>
      </c>
      <c r="AA2223" s="5" t="str">
        <f>HYPERLINK("https://www.zillow.com/homes/2164-OAKDALE-CIR-HANOVER-PARK-IL-60133_rb/","check listing")</f>
        <v>check listing</v>
      </c>
      <c r="AB2223" s="5" t="str">
        <f>HYPERLINK("https://propertylookup.dupagecounty.gov/Datalets/Datalet.aspx?UseSearch=no&amp;mode=sales&amp;pin=0112114001","sales record")</f>
        <v>sales record</v>
      </c>
      <c r="AC2223" t="s">
        <v>3</v>
      </c>
      <c r="AD2223">
        <v>41.973435</v>
      </c>
      <c r="AE2223">
        <v>-88.154977</v>
      </c>
      <c r="AF2223" s="5" t="str">
        <f>HYPERLINK("https://www.google.com/maps/search/?api=1&amp;query=41.973435,-88.154977","map")</f>
        <v>map</v>
      </c>
    </row>
    <row r="2224" spans="1:32">
      <c r="A2224" t="s">
        <v>2274</v>
      </c>
      <c r="B2224" t="s">
        <v>9827</v>
      </c>
      <c r="C2224" t="s">
        <v>15407</v>
      </c>
      <c r="D2224" t="s">
        <v>16203</v>
      </c>
      <c r="E2224" t="s">
        <v>16218</v>
      </c>
      <c r="F2224" t="s">
        <v>16220</v>
      </c>
      <c r="G2224" t="s">
        <v>16238</v>
      </c>
      <c r="H2224" t="s">
        <v>16238</v>
      </c>
      <c r="I2224" t="s">
        <v>16338</v>
      </c>
      <c r="J2224" t="s">
        <v>16385</v>
      </c>
      <c r="K2224">
        <v>0.166</v>
      </c>
      <c r="L2224">
        <v>7245</v>
      </c>
      <c r="M2224">
        <v>1993</v>
      </c>
      <c r="N2224" t="s">
        <v>16393</v>
      </c>
      <c r="O2224" s="4">
        <v>36530</v>
      </c>
      <c r="P2224" s="4">
        <v>82967</v>
      </c>
      <c r="Q2224" s="4">
        <v>119497</v>
      </c>
      <c r="R2224" s="4">
        <v>358491</v>
      </c>
      <c r="S2224" t="s">
        <v>18559</v>
      </c>
      <c r="T2224" s="6">
        <v>39417</v>
      </c>
      <c r="U2224" s="4">
        <v>283000</v>
      </c>
      <c r="V2224" t="s">
        <v>23739</v>
      </c>
      <c r="W2224" t="s">
        <v>18559</v>
      </c>
      <c r="X2224" t="s">
        <v>3</v>
      </c>
      <c r="AA2224" s="5" t="str">
        <f>HYPERLINK("https://www.zillow.com/homes/2156-OAKDALE-CIR-HANOVER-PARK-IL-60133_rb/","check listing")</f>
        <v>check listing</v>
      </c>
      <c r="AB2224" s="5" t="str">
        <f>HYPERLINK("https://propertylookup.dupagecounty.gov/Datalets/Datalet.aspx?UseSearch=no&amp;mode=sales&amp;pin=0112212008","sales record")</f>
        <v>sales record</v>
      </c>
      <c r="AC2224" t="s">
        <v>3</v>
      </c>
      <c r="AD2224">
        <v>41.973429</v>
      </c>
      <c r="AE2224">
        <v>-88.15475600000001</v>
      </c>
      <c r="AF2224" s="5" t="str">
        <f>HYPERLINK("https://www.google.com/maps/search/?api=1&amp;query=41.973429,-88.154756","map")</f>
        <v>map</v>
      </c>
    </row>
    <row r="2225" spans="1:32">
      <c r="A2225" t="s">
        <v>2275</v>
      </c>
      <c r="B2225" t="s">
        <v>9828</v>
      </c>
      <c r="C2225" t="s">
        <v>15407</v>
      </c>
      <c r="D2225" t="s">
        <v>16203</v>
      </c>
      <c r="E2225" t="s">
        <v>16218</v>
      </c>
      <c r="F2225" t="s">
        <v>16220</v>
      </c>
      <c r="G2225" t="s">
        <v>16238</v>
      </c>
      <c r="H2225" t="s">
        <v>16238</v>
      </c>
      <c r="I2225" t="s">
        <v>16338</v>
      </c>
      <c r="J2225" t="s">
        <v>16385</v>
      </c>
      <c r="K2225">
        <v>0.162</v>
      </c>
      <c r="L2225">
        <v>7076</v>
      </c>
      <c r="M2225">
        <v>2720</v>
      </c>
      <c r="N2225" t="s">
        <v>16393</v>
      </c>
      <c r="O2225" s="4">
        <v>36530</v>
      </c>
      <c r="P2225" s="4">
        <v>79925</v>
      </c>
      <c r="Q2225" s="4">
        <v>116455</v>
      </c>
      <c r="R2225" s="4">
        <v>349365</v>
      </c>
      <c r="S2225" t="s">
        <v>18560</v>
      </c>
      <c r="T2225" s="6">
        <v>33756</v>
      </c>
      <c r="U2225" s="4">
        <v>148040</v>
      </c>
      <c r="X2225" t="s">
        <v>3</v>
      </c>
      <c r="AA2225" s="5" t="str">
        <f>HYPERLINK("https://www.zillow.com/homes/2219-OAKDALE-CIR-HANOVER-PARK-IL-60133_rb/","check listing")</f>
        <v>check listing</v>
      </c>
      <c r="AB2225" s="5" t="str">
        <f>HYPERLINK("https://propertylookup.dupagecounty.gov/Datalets/Datalet.aspx?UseSearch=no&amp;mode=sales&amp;pin=0112115002","sales record")</f>
        <v>sales record</v>
      </c>
      <c r="AC2225" t="s">
        <v>3</v>
      </c>
      <c r="AD2225">
        <v>41.972522</v>
      </c>
      <c r="AE2225">
        <v>-88.154934</v>
      </c>
      <c r="AF2225" s="5" t="str">
        <f>HYPERLINK("https://www.google.com/maps/search/?api=1&amp;query=41.972522,-88.154934","map")</f>
        <v>map</v>
      </c>
    </row>
    <row r="2226" spans="1:32">
      <c r="A2226" t="s">
        <v>2276</v>
      </c>
      <c r="B2226" t="s">
        <v>9829</v>
      </c>
      <c r="C2226" t="s">
        <v>15407</v>
      </c>
      <c r="D2226" t="s">
        <v>16203</v>
      </c>
      <c r="E2226" t="s">
        <v>16218</v>
      </c>
      <c r="F2226" t="s">
        <v>16220</v>
      </c>
      <c r="G2226" t="s">
        <v>16238</v>
      </c>
      <c r="H2226" t="s">
        <v>16238</v>
      </c>
      <c r="I2226" t="s">
        <v>16338</v>
      </c>
      <c r="J2226" t="s">
        <v>16385</v>
      </c>
      <c r="K2226">
        <v>0.161</v>
      </c>
      <c r="L2226">
        <v>7026</v>
      </c>
      <c r="M2226">
        <v>2307</v>
      </c>
      <c r="N2226" t="s">
        <v>16393</v>
      </c>
      <c r="O2226" s="4">
        <v>36530</v>
      </c>
      <c r="P2226" s="4">
        <v>86431</v>
      </c>
      <c r="Q2226" s="4">
        <v>122961</v>
      </c>
      <c r="R2226" s="4">
        <v>368883</v>
      </c>
      <c r="S2226" t="s">
        <v>18561</v>
      </c>
      <c r="T2226" s="6">
        <v>45552</v>
      </c>
      <c r="U2226" s="4">
        <v>465000</v>
      </c>
      <c r="V2226" t="s">
        <v>23739</v>
      </c>
      <c r="W2226" t="s">
        <v>24798</v>
      </c>
      <c r="X2226" t="s">
        <v>3</v>
      </c>
      <c r="AA2226" s="5" t="str">
        <f>HYPERLINK("https://www.zillow.com/homes/2204-OAKDALE-CIR-HANOVER-PARK-IL-60133_rb/","check listing")</f>
        <v>check listing</v>
      </c>
      <c r="AB2226" s="5" t="str">
        <f>HYPERLINK("https://propertylookup.dupagecounty.gov/Datalets/Datalet.aspx?UseSearch=no&amp;mode=sales&amp;pin=0112114006","sales record")</f>
        <v>sales record</v>
      </c>
      <c r="AC2226" t="s">
        <v>3</v>
      </c>
      <c r="AD2226">
        <v>41.972757</v>
      </c>
      <c r="AE2226">
        <v>-88.155556</v>
      </c>
      <c r="AF2226" s="5" t="str">
        <f>HYPERLINK("https://www.google.com/maps/search/?api=1&amp;query=41.972757,-88.155556","map")</f>
        <v>map</v>
      </c>
    </row>
    <row r="2227" spans="1:32">
      <c r="A2227" t="s">
        <v>2277</v>
      </c>
      <c r="B2227" t="s">
        <v>9830</v>
      </c>
      <c r="C2227" t="s">
        <v>15407</v>
      </c>
      <c r="D2227" t="s">
        <v>16203</v>
      </c>
      <c r="E2227" t="s">
        <v>16218</v>
      </c>
      <c r="F2227" t="s">
        <v>16220</v>
      </c>
      <c r="G2227" t="s">
        <v>16238</v>
      </c>
      <c r="H2227" t="s">
        <v>16238</v>
      </c>
      <c r="I2227" t="s">
        <v>16338</v>
      </c>
      <c r="J2227" t="s">
        <v>16385</v>
      </c>
      <c r="K2227">
        <v>0.159</v>
      </c>
      <c r="L2227">
        <v>6923</v>
      </c>
      <c r="M2227">
        <v>1873</v>
      </c>
      <c r="N2227" t="s">
        <v>16393</v>
      </c>
      <c r="O2227" s="4">
        <v>36530</v>
      </c>
      <c r="P2227" s="4">
        <v>78343</v>
      </c>
      <c r="Q2227" s="4">
        <v>114873</v>
      </c>
      <c r="R2227" s="4">
        <v>344619</v>
      </c>
      <c r="S2227" t="s">
        <v>18562</v>
      </c>
      <c r="T2227" s="6">
        <v>36770</v>
      </c>
      <c r="U2227" s="4">
        <v>165000</v>
      </c>
      <c r="V2227" t="s">
        <v>23739</v>
      </c>
      <c r="W2227" t="s">
        <v>24799</v>
      </c>
      <c r="X2227" t="s">
        <v>3</v>
      </c>
      <c r="AA2227" s="5" t="str">
        <f>HYPERLINK("https://www.zillow.com/homes/2111-OAKDALE-CIR-HANOVER-PARK-IL-60133_rb/","check listing")</f>
        <v>check listing</v>
      </c>
      <c r="AB2227" s="5" t="str">
        <f>HYPERLINK("https://propertylookup.dupagecounty.gov/Datalets/Datalet.aspx?UseSearch=no&amp;mode=sales&amp;pin=0112213008","sales record")</f>
        <v>sales record</v>
      </c>
      <c r="AC2227" t="s">
        <v>3</v>
      </c>
      <c r="AD2227">
        <v>41.97296</v>
      </c>
      <c r="AE2227">
        <v>-88.153165</v>
      </c>
      <c r="AF2227" s="5" t="str">
        <f>HYPERLINK("https://www.google.com/maps/search/?api=1&amp;query=41.97296,-88.153165","map")</f>
        <v>map</v>
      </c>
    </row>
    <row r="2228" spans="1:32">
      <c r="A2228" t="s">
        <v>2278</v>
      </c>
      <c r="B2228" t="s">
        <v>9831</v>
      </c>
      <c r="C2228" t="s">
        <v>15409</v>
      </c>
      <c r="D2228" t="s">
        <v>16203</v>
      </c>
      <c r="E2228" t="s">
        <v>16218</v>
      </c>
      <c r="F2228" t="s">
        <v>16220</v>
      </c>
      <c r="G2228" t="s">
        <v>16238</v>
      </c>
      <c r="H2228" t="s">
        <v>16238</v>
      </c>
      <c r="I2228" t="s">
        <v>16338</v>
      </c>
      <c r="J2228" t="s">
        <v>16385</v>
      </c>
      <c r="K2228">
        <v>0.158</v>
      </c>
      <c r="L2228">
        <v>6903</v>
      </c>
      <c r="M2228">
        <v>2581</v>
      </c>
      <c r="N2228" t="s">
        <v>16393</v>
      </c>
      <c r="O2228" s="4">
        <v>36530</v>
      </c>
      <c r="P2228" s="4">
        <v>76690</v>
      </c>
      <c r="Q2228" s="4">
        <v>113220</v>
      </c>
      <c r="R2228" s="4">
        <v>339660</v>
      </c>
      <c r="S2228" t="s">
        <v>18563</v>
      </c>
      <c r="T2228" s="6">
        <v>43191</v>
      </c>
      <c r="U2228" s="4">
        <v>245000</v>
      </c>
      <c r="V2228" t="s">
        <v>23739</v>
      </c>
      <c r="W2228" t="s">
        <v>24800</v>
      </c>
      <c r="X2228" t="s">
        <v>3</v>
      </c>
      <c r="AA2228" s="5" t="str">
        <f>HYPERLINK("https://www.zillow.com/homes/2099-NEWPORT-CIR-HANOVER-PARK-IL-601335185_rb/","check listing")</f>
        <v>check listing</v>
      </c>
      <c r="AB2228" s="5" t="str">
        <f>HYPERLINK("https://propertylookup.dupagecounty.gov/Datalets/Datalet.aspx?UseSearch=no&amp;mode=sales&amp;pin=0112211015","sales record")</f>
        <v>sales record</v>
      </c>
      <c r="AC2228" t="s">
        <v>3</v>
      </c>
      <c r="AD2228">
        <v>41.971832</v>
      </c>
      <c r="AE2228">
        <v>-88.15245299999999</v>
      </c>
      <c r="AF2228" s="5" t="str">
        <f>HYPERLINK("https://www.google.com/maps/search/?api=1&amp;query=41.971832,-88.152453","map")</f>
        <v>map</v>
      </c>
    </row>
    <row r="2229" spans="1:32">
      <c r="A2229" t="s">
        <v>2279</v>
      </c>
      <c r="B2229" t="s">
        <v>9832</v>
      </c>
      <c r="C2229" t="s">
        <v>15407</v>
      </c>
      <c r="D2229" t="s">
        <v>16203</v>
      </c>
      <c r="E2229" t="s">
        <v>16218</v>
      </c>
      <c r="F2229" t="s">
        <v>16220</v>
      </c>
      <c r="G2229" t="s">
        <v>16238</v>
      </c>
      <c r="H2229" t="s">
        <v>16238</v>
      </c>
      <c r="I2229" t="s">
        <v>16338</v>
      </c>
      <c r="J2229" t="s">
        <v>16385</v>
      </c>
      <c r="K2229">
        <v>0.158</v>
      </c>
      <c r="L2229">
        <v>6884</v>
      </c>
      <c r="M2229">
        <v>1583</v>
      </c>
      <c r="N2229" t="s">
        <v>16393</v>
      </c>
      <c r="O2229" s="4">
        <v>21027</v>
      </c>
      <c r="P2229" s="4">
        <v>45096</v>
      </c>
      <c r="Q2229" s="4">
        <v>66123</v>
      </c>
      <c r="R2229" s="4">
        <v>198369</v>
      </c>
      <c r="S2229" t="s">
        <v>18564</v>
      </c>
      <c r="T2229" s="6">
        <v>44317</v>
      </c>
      <c r="U2229" s="4">
        <v>225500</v>
      </c>
      <c r="V2229" t="s">
        <v>23739</v>
      </c>
      <c r="W2229" t="s">
        <v>18564</v>
      </c>
      <c r="X2229" t="s">
        <v>3</v>
      </c>
      <c r="AA2229" s="5" t="str">
        <f>HYPERLINK("https://www.zillow.com/homes/27W071-OAK-ST-HANOVER-PARK-IL-60133_rb/","check listing")</f>
        <v>check listing</v>
      </c>
      <c r="AB2229" s="5" t="str">
        <f>HYPERLINK("https://propertylookup.dupagecounty.gov/Datalets/Datalet.aspx?UseSearch=no&amp;mode=sales&amp;pin=0101206001","sales record")</f>
        <v>sales record</v>
      </c>
      <c r="AC2229" t="s">
        <v>3</v>
      </c>
      <c r="AD2229">
        <v>41.986175</v>
      </c>
      <c r="AE2229">
        <v>-88.146899</v>
      </c>
      <c r="AF2229" s="5" t="str">
        <f>HYPERLINK("https://www.google.com/maps/search/?api=1&amp;query=41.986175,-88.146899","map")</f>
        <v>map</v>
      </c>
    </row>
    <row r="2230" spans="1:32">
      <c r="A2230" t="s">
        <v>2280</v>
      </c>
      <c r="B2230" t="s">
        <v>9833</v>
      </c>
      <c r="C2230" t="s">
        <v>15407</v>
      </c>
      <c r="D2230" t="s">
        <v>16203</v>
      </c>
      <c r="E2230" t="s">
        <v>16218</v>
      </c>
      <c r="F2230" t="s">
        <v>16220</v>
      </c>
      <c r="G2230" t="s">
        <v>16238</v>
      </c>
      <c r="H2230" t="s">
        <v>16238</v>
      </c>
      <c r="I2230" t="s">
        <v>16338</v>
      </c>
      <c r="J2230" t="s">
        <v>16385</v>
      </c>
      <c r="K2230">
        <v>0.157</v>
      </c>
      <c r="L2230">
        <v>6851</v>
      </c>
      <c r="M2230">
        <v>2125</v>
      </c>
      <c r="N2230" t="s">
        <v>16393</v>
      </c>
      <c r="O2230" s="4">
        <v>36530</v>
      </c>
      <c r="P2230" s="4">
        <v>70544</v>
      </c>
      <c r="Q2230" s="4">
        <v>107074</v>
      </c>
      <c r="R2230" s="4">
        <v>321222</v>
      </c>
      <c r="S2230" t="s">
        <v>18565</v>
      </c>
      <c r="T2230" s="6">
        <v>37895</v>
      </c>
      <c r="U2230" s="4">
        <v>225900</v>
      </c>
      <c r="V2230" t="s">
        <v>23739</v>
      </c>
      <c r="W2230" t="s">
        <v>24801</v>
      </c>
      <c r="X2230" t="s">
        <v>3</v>
      </c>
      <c r="AA2230" s="5" t="str">
        <f>HYPERLINK("https://www.zillow.com/homes/2051-NEWPORT-CIR-HANOVER-PARK-IL-60133_rb/","check listing")</f>
        <v>check listing</v>
      </c>
      <c r="AB2230" s="5" t="str">
        <f>HYPERLINK("https://propertylookup.dupagecounty.gov/Datalets/Datalet.aspx?UseSearch=no&amp;mode=sales&amp;pin=0112211021","sales record")</f>
        <v>sales record</v>
      </c>
      <c r="AC2230" t="s">
        <v>3</v>
      </c>
      <c r="AD2230">
        <v>41.972606</v>
      </c>
      <c r="AE2230">
        <v>-88.15177300000001</v>
      </c>
      <c r="AF2230" s="5" t="str">
        <f>HYPERLINK("https://www.google.com/maps/search/?api=1&amp;query=41.972606,-88.151773","map")</f>
        <v>map</v>
      </c>
    </row>
    <row r="2231" spans="1:32">
      <c r="A2231" t="s">
        <v>2281</v>
      </c>
      <c r="B2231" t="s">
        <v>9834</v>
      </c>
      <c r="C2231" t="s">
        <v>15407</v>
      </c>
      <c r="D2231" t="s">
        <v>16203</v>
      </c>
      <c r="E2231" t="s">
        <v>16218</v>
      </c>
      <c r="F2231" t="s">
        <v>16220</v>
      </c>
      <c r="G2231" t="s">
        <v>16238</v>
      </c>
      <c r="H2231" t="s">
        <v>16238</v>
      </c>
      <c r="I2231" t="s">
        <v>16338</v>
      </c>
      <c r="J2231" t="s">
        <v>16385</v>
      </c>
      <c r="K2231">
        <v>0.156</v>
      </c>
      <c r="L2231">
        <v>6806</v>
      </c>
      <c r="M2231">
        <v>1847</v>
      </c>
      <c r="N2231" t="s">
        <v>16393</v>
      </c>
      <c r="O2231" s="4">
        <v>21027</v>
      </c>
      <c r="P2231" s="4">
        <v>51518</v>
      </c>
      <c r="Q2231" s="4">
        <v>72545</v>
      </c>
      <c r="R2231" s="4">
        <v>217635</v>
      </c>
      <c r="S2231" t="s">
        <v>18566</v>
      </c>
      <c r="T2231" s="6">
        <v>45442</v>
      </c>
      <c r="U2231" s="4">
        <v>170000</v>
      </c>
      <c r="V2231" t="s">
        <v>23739</v>
      </c>
      <c r="W2231" t="s">
        <v>24802</v>
      </c>
      <c r="X2231" t="s">
        <v>3</v>
      </c>
      <c r="AA2231" s="5" t="str">
        <f>HYPERLINK("https://www.zillow.com/homes/27W028-OAK-ST-HANOVER-PARK-IL-60133_rb/","check listing")</f>
        <v>check listing</v>
      </c>
      <c r="AB2231" s="5" t="str">
        <f>HYPERLINK("https://propertylookup.dupagecounty.gov/Datalets/Datalet.aspx?UseSearch=no&amp;mode=sales&amp;pin=0101205012","sales record")</f>
        <v>sales record</v>
      </c>
      <c r="AC2231" t="s">
        <v>27873</v>
      </c>
      <c r="AD2231">
        <v>41.986626</v>
      </c>
      <c r="AE2231">
        <v>-88.14688200000001</v>
      </c>
      <c r="AF2231" s="5" t="str">
        <f>HYPERLINK("https://www.google.com/maps/search/?api=1&amp;query=41.986626,-88.146882","map")</f>
        <v>map</v>
      </c>
    </row>
    <row r="2232" spans="1:32">
      <c r="A2232" t="s">
        <v>2282</v>
      </c>
      <c r="B2232" t="s">
        <v>9835</v>
      </c>
      <c r="C2232" t="s">
        <v>15407</v>
      </c>
      <c r="D2232" t="s">
        <v>16203</v>
      </c>
      <c r="E2232" t="s">
        <v>16218</v>
      </c>
      <c r="F2232" t="s">
        <v>16220</v>
      </c>
      <c r="G2232" t="s">
        <v>16238</v>
      </c>
      <c r="H2232" t="s">
        <v>16238</v>
      </c>
      <c r="I2232" t="s">
        <v>16338</v>
      </c>
      <c r="J2232" t="s">
        <v>16385</v>
      </c>
      <c r="K2232">
        <v>0.156</v>
      </c>
      <c r="L2232">
        <v>6775</v>
      </c>
      <c r="M2232">
        <v>2513</v>
      </c>
      <c r="N2232" t="s">
        <v>16393</v>
      </c>
      <c r="O2232" s="4">
        <v>36530</v>
      </c>
      <c r="P2232" s="4">
        <v>71682</v>
      </c>
      <c r="Q2232" s="4">
        <v>108212</v>
      </c>
      <c r="R2232" s="4">
        <v>324636</v>
      </c>
      <c r="S2232" t="s">
        <v>18567</v>
      </c>
      <c r="T2232" s="6">
        <v>45883</v>
      </c>
      <c r="U2232" s="4">
        <v>370000</v>
      </c>
      <c r="V2232" t="s">
        <v>23739</v>
      </c>
      <c r="W2232" t="s">
        <v>24803</v>
      </c>
      <c r="X2232" t="s">
        <v>3</v>
      </c>
      <c r="AA2232" s="5" t="str">
        <f>HYPERLINK("https://www.zillow.com/homes/2180-NEWPORT-CIR-HANOVER-PARK-IL-60133_rb/","check listing")</f>
        <v>check listing</v>
      </c>
      <c r="AB2232" s="5" t="str">
        <f>HYPERLINK("https://propertylookup.dupagecounty.gov/Datalets/Datalet.aspx?UseSearch=no&amp;mode=sales&amp;pin=0112213023","sales record")</f>
        <v>sales record</v>
      </c>
      <c r="AC2232" t="s">
        <v>3</v>
      </c>
      <c r="AD2232">
        <v>41.972353</v>
      </c>
      <c r="AE2232">
        <v>-88.154647</v>
      </c>
      <c r="AF2232" s="5" t="str">
        <f>HYPERLINK("https://www.google.com/maps/search/?api=1&amp;query=41.972353,-88.154647","map")</f>
        <v>map</v>
      </c>
    </row>
    <row r="2233" spans="1:32">
      <c r="A2233" t="s">
        <v>2283</v>
      </c>
      <c r="B2233" t="s">
        <v>9836</v>
      </c>
      <c r="C2233" t="s">
        <v>15407</v>
      </c>
      <c r="D2233" t="s">
        <v>16203</v>
      </c>
      <c r="E2233" t="s">
        <v>16218</v>
      </c>
      <c r="F2233" t="s">
        <v>16220</v>
      </c>
      <c r="G2233" t="s">
        <v>16238</v>
      </c>
      <c r="H2233" t="s">
        <v>16238</v>
      </c>
      <c r="I2233" t="s">
        <v>16338</v>
      </c>
      <c r="J2233" t="s">
        <v>16385</v>
      </c>
      <c r="K2233">
        <v>0.154</v>
      </c>
      <c r="L2233">
        <v>6716</v>
      </c>
      <c r="M2233">
        <v>2969</v>
      </c>
      <c r="N2233" t="s">
        <v>16393</v>
      </c>
      <c r="O2233" s="4">
        <v>36530</v>
      </c>
      <c r="P2233" s="4">
        <v>81578</v>
      </c>
      <c r="Q2233" s="4">
        <v>118108</v>
      </c>
      <c r="R2233" s="4">
        <v>354324</v>
      </c>
      <c r="S2233" t="s">
        <v>18568</v>
      </c>
      <c r="T2233" s="6">
        <v>36617</v>
      </c>
      <c r="U2233" s="4">
        <v>185000</v>
      </c>
      <c r="V2233" t="s">
        <v>23739</v>
      </c>
      <c r="W2233" t="s">
        <v>24804</v>
      </c>
      <c r="X2233" t="s">
        <v>3</v>
      </c>
      <c r="AA2233" s="5" t="str">
        <f>HYPERLINK("https://www.zillow.com/homes/2059-NEWPORT-CIR-HANOVER-PARK-IL-60133_rb/","check listing")</f>
        <v>check listing</v>
      </c>
      <c r="AB2233" s="5" t="str">
        <f>HYPERLINK("https://propertylookup.dupagecounty.gov/Datalets/Datalet.aspx?UseSearch=no&amp;mode=sales&amp;pin=0112211020","sales record")</f>
        <v>sales record</v>
      </c>
      <c r="AC2233" t="s">
        <v>3</v>
      </c>
      <c r="AD2233">
        <v>41.97246</v>
      </c>
      <c r="AE2233">
        <v>-88.151769</v>
      </c>
      <c r="AF2233" s="5" t="str">
        <f>HYPERLINK("https://www.google.com/maps/search/?api=1&amp;query=41.97246,-88.151769","map")</f>
        <v>map</v>
      </c>
    </row>
    <row r="2234" spans="1:32">
      <c r="A2234" t="s">
        <v>2284</v>
      </c>
      <c r="B2234" t="s">
        <v>9837</v>
      </c>
      <c r="C2234" t="s">
        <v>15407</v>
      </c>
      <c r="D2234" t="s">
        <v>16203</v>
      </c>
      <c r="E2234" t="s">
        <v>16218</v>
      </c>
      <c r="F2234" t="s">
        <v>16220</v>
      </c>
      <c r="G2234" t="s">
        <v>16238</v>
      </c>
      <c r="H2234" t="s">
        <v>16238</v>
      </c>
      <c r="I2234" t="s">
        <v>16338</v>
      </c>
      <c r="J2234" t="s">
        <v>16385</v>
      </c>
      <c r="K2234">
        <v>0.152</v>
      </c>
      <c r="L2234">
        <v>6627</v>
      </c>
      <c r="M2234">
        <v>2590</v>
      </c>
      <c r="N2234" t="s">
        <v>16393</v>
      </c>
      <c r="O2234" s="4">
        <v>36530</v>
      </c>
      <c r="P2234" s="4">
        <v>74941</v>
      </c>
      <c r="Q2234" s="4">
        <v>111471</v>
      </c>
      <c r="R2234" s="4">
        <v>334413</v>
      </c>
      <c r="S2234" t="s">
        <v>18569</v>
      </c>
      <c r="T2234" s="6">
        <v>33451</v>
      </c>
      <c r="U2234" s="4">
        <v>136790</v>
      </c>
      <c r="X2234" t="s">
        <v>3</v>
      </c>
      <c r="AA2234" s="5" t="str">
        <f>HYPERLINK("https://www.zillow.com/homes/2148-OAKDALE-CIR-HANOVER-PARK-IL-60133_rb/","check listing")</f>
        <v>check listing</v>
      </c>
      <c r="AB2234" s="5" t="str">
        <f>HYPERLINK("https://propertylookup.dupagecounty.gov/Datalets/Datalet.aspx?UseSearch=no&amp;mode=sales&amp;pin=0112212007","sales record")</f>
        <v>sales record</v>
      </c>
      <c r="AC2234" t="s">
        <v>3</v>
      </c>
      <c r="AD2234">
        <v>41.973433</v>
      </c>
      <c r="AE2234">
        <v>-88.154535</v>
      </c>
      <c r="AF2234" s="5" t="str">
        <f>HYPERLINK("https://www.google.com/maps/search/?api=1&amp;query=41.973433,-88.154535","map")</f>
        <v>map</v>
      </c>
    </row>
    <row r="2235" spans="1:32">
      <c r="A2235" t="s">
        <v>2285</v>
      </c>
      <c r="B2235" t="s">
        <v>9838</v>
      </c>
      <c r="C2235" t="s">
        <v>15407</v>
      </c>
      <c r="D2235" t="s">
        <v>16203</v>
      </c>
      <c r="E2235" t="s">
        <v>16218</v>
      </c>
      <c r="F2235" t="s">
        <v>16220</v>
      </c>
      <c r="G2235" t="s">
        <v>16238</v>
      </c>
      <c r="H2235" t="s">
        <v>16238</v>
      </c>
      <c r="I2235" t="s">
        <v>16338</v>
      </c>
      <c r="J2235" t="s">
        <v>16385</v>
      </c>
      <c r="K2235">
        <v>0.152</v>
      </c>
      <c r="L2235">
        <v>6616</v>
      </c>
      <c r="M2235">
        <v>2613</v>
      </c>
      <c r="N2235" t="s">
        <v>16393</v>
      </c>
      <c r="O2235" s="4">
        <v>36530</v>
      </c>
      <c r="P2235" s="4">
        <v>80847</v>
      </c>
      <c r="Q2235" s="4">
        <v>117377</v>
      </c>
      <c r="R2235" s="4">
        <v>352131</v>
      </c>
      <c r="S2235" t="s">
        <v>18570</v>
      </c>
      <c r="T2235" s="6">
        <v>36281</v>
      </c>
      <c r="U2235" s="4">
        <v>175000</v>
      </c>
      <c r="X2235" t="s">
        <v>3</v>
      </c>
      <c r="AA2235" s="5" t="str">
        <f>HYPERLINK("https://www.zillow.com/homes/2168-NEWPORT-CIR-HANOVER-PARK-IL-60133_rb/","check listing")</f>
        <v>check listing</v>
      </c>
      <c r="AB2235" s="5" t="str">
        <f>HYPERLINK("https://propertylookup.dupagecounty.gov/Datalets/Datalet.aspx?UseSearch=no&amp;mode=sales&amp;pin=0112213022","sales record")</f>
        <v>sales record</v>
      </c>
      <c r="AC2235" t="s">
        <v>3</v>
      </c>
      <c r="AD2235">
        <v>41.972374</v>
      </c>
      <c r="AE2235">
        <v>-88.15442400000001</v>
      </c>
      <c r="AF2235" s="5" t="str">
        <f>HYPERLINK("https://www.google.com/maps/search/?api=1&amp;query=41.972374,-88.154424","map")</f>
        <v>map</v>
      </c>
    </row>
    <row r="2236" spans="1:32">
      <c r="A2236" t="s">
        <v>2286</v>
      </c>
      <c r="B2236" t="s">
        <v>9839</v>
      </c>
      <c r="C2236" t="s">
        <v>15416</v>
      </c>
      <c r="D2236" t="s">
        <v>16203</v>
      </c>
      <c r="E2236" t="s">
        <v>16218</v>
      </c>
      <c r="F2236" t="s">
        <v>16220</v>
      </c>
      <c r="G2236" t="s">
        <v>16238</v>
      </c>
      <c r="H2236" t="s">
        <v>16238</v>
      </c>
      <c r="I2236" t="s">
        <v>16338</v>
      </c>
      <c r="J2236" t="s">
        <v>16385</v>
      </c>
      <c r="K2236">
        <v>0.151</v>
      </c>
      <c r="L2236">
        <v>6590</v>
      </c>
      <c r="M2236">
        <v>2446</v>
      </c>
      <c r="N2236" t="s">
        <v>16393</v>
      </c>
      <c r="O2236" s="4">
        <v>36530</v>
      </c>
      <c r="P2236" s="4">
        <v>68088</v>
      </c>
      <c r="Q2236" s="4">
        <v>104618</v>
      </c>
      <c r="R2236" s="4">
        <v>313854</v>
      </c>
      <c r="S2236" t="s">
        <v>18571</v>
      </c>
      <c r="T2236" s="6">
        <v>43739</v>
      </c>
      <c r="U2236" s="4">
        <v>281000</v>
      </c>
      <c r="V2236" t="s">
        <v>23739</v>
      </c>
      <c r="W2236" t="s">
        <v>24805</v>
      </c>
      <c r="X2236" t="s">
        <v>3</v>
      </c>
      <c r="AA2236" s="5" t="str">
        <f>HYPERLINK("https://www.zillow.com/homes/2212-OAKDALE-CIR-HANOVER-PARK-IL-601338802_rb/","check listing")</f>
        <v>check listing</v>
      </c>
      <c r="AB2236" s="5" t="str">
        <f>HYPERLINK("https://propertylookup.dupagecounty.gov/Datalets/Datalet.aspx?UseSearch=no&amp;mode=sales&amp;pin=0112114007","sales record")</f>
        <v>sales record</v>
      </c>
      <c r="AC2236" t="s">
        <v>3</v>
      </c>
      <c r="AD2236">
        <v>41.972593</v>
      </c>
      <c r="AE2236">
        <v>-88.15556599999999</v>
      </c>
      <c r="AF2236" s="5" t="str">
        <f>HYPERLINK("https://www.google.com/maps/search/?api=1&amp;query=41.972593,-88.155566","map")</f>
        <v>map</v>
      </c>
    </row>
    <row r="2237" spans="1:32">
      <c r="A2237" t="s">
        <v>2287</v>
      </c>
      <c r="B2237" t="s">
        <v>9840</v>
      </c>
      <c r="C2237" t="s">
        <v>15407</v>
      </c>
      <c r="D2237" t="s">
        <v>16203</v>
      </c>
      <c r="E2237" t="s">
        <v>16218</v>
      </c>
      <c r="F2237" t="s">
        <v>16220</v>
      </c>
      <c r="G2237" t="s">
        <v>16238</v>
      </c>
      <c r="H2237" t="s">
        <v>16238</v>
      </c>
      <c r="I2237" t="s">
        <v>16338</v>
      </c>
      <c r="J2237" t="s">
        <v>16385</v>
      </c>
      <c r="K2237">
        <v>0.151</v>
      </c>
      <c r="L2237">
        <v>6586</v>
      </c>
      <c r="M2237">
        <v>2196</v>
      </c>
      <c r="N2237" t="s">
        <v>16393</v>
      </c>
      <c r="O2237" s="4">
        <v>36530</v>
      </c>
      <c r="P2237" s="4">
        <v>89964</v>
      </c>
      <c r="Q2237" s="4">
        <v>126494</v>
      </c>
      <c r="R2237" s="4">
        <v>379482</v>
      </c>
      <c r="S2237" t="s">
        <v>18572</v>
      </c>
      <c r="T2237" s="6">
        <v>34213</v>
      </c>
      <c r="U2237" s="4">
        <v>175000</v>
      </c>
      <c r="X2237" t="s">
        <v>3</v>
      </c>
      <c r="AA2237" s="5" t="str">
        <f>HYPERLINK("https://www.zillow.com/homes/2116-OAKDALE-CIR-HANOVER-PARK-IL-60133_rb/","check listing")</f>
        <v>check listing</v>
      </c>
      <c r="AB2237" s="5" t="str">
        <f>HYPERLINK("https://propertylookup.dupagecounty.gov/Datalets/Datalet.aspx?UseSearch=no&amp;mode=sales&amp;pin=0112212003","sales record")</f>
        <v>sales record</v>
      </c>
      <c r="AC2237" t="s">
        <v>3</v>
      </c>
      <c r="AD2237">
        <v>41.973432</v>
      </c>
      <c r="AE2237">
        <v>-88.15365300000001</v>
      </c>
      <c r="AF2237" s="5" t="str">
        <f>HYPERLINK("https://www.google.com/maps/search/?api=1&amp;query=41.973432,-88.153653","map")</f>
        <v>map</v>
      </c>
    </row>
    <row r="2238" spans="1:32">
      <c r="A2238" t="s">
        <v>2288</v>
      </c>
      <c r="B2238" t="s">
        <v>9841</v>
      </c>
      <c r="C2238" t="s">
        <v>15407</v>
      </c>
      <c r="D2238" t="s">
        <v>16203</v>
      </c>
      <c r="E2238" t="s">
        <v>16218</v>
      </c>
      <c r="F2238" t="s">
        <v>16220</v>
      </c>
      <c r="G2238" t="s">
        <v>16238</v>
      </c>
      <c r="H2238" t="s">
        <v>16238</v>
      </c>
      <c r="I2238" t="s">
        <v>16338</v>
      </c>
      <c r="J2238" t="s">
        <v>16385</v>
      </c>
      <c r="K2238">
        <v>0.151</v>
      </c>
      <c r="L2238">
        <v>6586</v>
      </c>
      <c r="M2238">
        <v>2055</v>
      </c>
      <c r="N2238" t="s">
        <v>16393</v>
      </c>
      <c r="O2238" s="4">
        <v>36530</v>
      </c>
      <c r="P2238" s="4">
        <v>69561</v>
      </c>
      <c r="Q2238" s="4">
        <v>106091</v>
      </c>
      <c r="R2238" s="4">
        <v>318273</v>
      </c>
      <c r="S2238" t="s">
        <v>18573</v>
      </c>
      <c r="T2238" s="6">
        <v>33451</v>
      </c>
      <c r="U2238" s="4">
        <v>129640</v>
      </c>
      <c r="X2238" t="s">
        <v>3</v>
      </c>
      <c r="AA2238" s="5" t="str">
        <f>HYPERLINK("https://www.zillow.com/homes/2140-OAKDALE-CIR-HANOVER-PARK-IL-60133_rb/","check listing")</f>
        <v>check listing</v>
      </c>
      <c r="AB2238" s="5" t="str">
        <f>HYPERLINK("https://propertylookup.dupagecounty.gov/Datalets/Datalet.aspx?UseSearch=no&amp;mode=sales&amp;pin=0112212006","sales record")</f>
        <v>sales record</v>
      </c>
      <c r="AC2238" t="s">
        <v>3</v>
      </c>
      <c r="AD2238">
        <v>41.973433</v>
      </c>
      <c r="AE2238">
        <v>-88.154314</v>
      </c>
      <c r="AF2238" s="5" t="str">
        <f>HYPERLINK("https://www.google.com/maps/search/?api=1&amp;query=41.973433,-88.154314","map")</f>
        <v>map</v>
      </c>
    </row>
    <row r="2239" spans="1:32">
      <c r="A2239" t="s">
        <v>2289</v>
      </c>
      <c r="B2239" t="s">
        <v>9842</v>
      </c>
      <c r="C2239" t="s">
        <v>15407</v>
      </c>
      <c r="D2239" t="s">
        <v>16203</v>
      </c>
      <c r="E2239" t="s">
        <v>16218</v>
      </c>
      <c r="F2239" t="s">
        <v>16220</v>
      </c>
      <c r="G2239" t="s">
        <v>16238</v>
      </c>
      <c r="H2239" t="s">
        <v>16238</v>
      </c>
      <c r="I2239" t="s">
        <v>16338</v>
      </c>
      <c r="J2239" t="s">
        <v>16385</v>
      </c>
      <c r="K2239">
        <v>0.151</v>
      </c>
      <c r="L2239">
        <v>6585</v>
      </c>
      <c r="M2239">
        <v>2720</v>
      </c>
      <c r="N2239" t="s">
        <v>16393</v>
      </c>
      <c r="O2239" s="4">
        <v>36530</v>
      </c>
      <c r="P2239" s="4">
        <v>78391</v>
      </c>
      <c r="Q2239" s="4">
        <v>114921</v>
      </c>
      <c r="R2239" s="4">
        <v>344763</v>
      </c>
      <c r="S2239" t="s">
        <v>18574</v>
      </c>
      <c r="T2239" s="6">
        <v>33635</v>
      </c>
      <c r="U2239" s="4">
        <v>154565</v>
      </c>
      <c r="X2239" t="s">
        <v>3</v>
      </c>
      <c r="AA2239" s="5" t="str">
        <f>HYPERLINK("https://www.zillow.com/homes/2132-OAKDALE-CIR-HANOVER-PARK-IL-60133_rb/","check listing")</f>
        <v>check listing</v>
      </c>
      <c r="AB2239" s="5" t="str">
        <f>HYPERLINK("https://propertylookup.dupagecounty.gov/Datalets/Datalet.aspx?UseSearch=no&amp;mode=sales&amp;pin=0112212005","sales record")</f>
        <v>sales record</v>
      </c>
      <c r="AC2239" t="s">
        <v>3</v>
      </c>
      <c r="AD2239">
        <v>41.973432</v>
      </c>
      <c r="AE2239">
        <v>-88.154094</v>
      </c>
      <c r="AF2239" s="5" t="str">
        <f>HYPERLINK("https://www.google.com/maps/search/?api=1&amp;query=41.973432,-88.154094","map")</f>
        <v>map</v>
      </c>
    </row>
    <row r="2240" spans="1:32">
      <c r="A2240" t="s">
        <v>2290</v>
      </c>
      <c r="B2240" t="s">
        <v>9843</v>
      </c>
      <c r="C2240" t="s">
        <v>15407</v>
      </c>
      <c r="D2240" t="s">
        <v>16203</v>
      </c>
      <c r="E2240" t="s">
        <v>16218</v>
      </c>
      <c r="F2240" t="s">
        <v>16220</v>
      </c>
      <c r="G2240" t="s">
        <v>16238</v>
      </c>
      <c r="H2240" t="s">
        <v>16238</v>
      </c>
      <c r="I2240" t="s">
        <v>16338</v>
      </c>
      <c r="J2240" t="s">
        <v>16385</v>
      </c>
      <c r="K2240">
        <v>0.149</v>
      </c>
      <c r="L2240">
        <v>6507</v>
      </c>
      <c r="M2240">
        <v>2229</v>
      </c>
      <c r="N2240" t="s">
        <v>16393</v>
      </c>
      <c r="O2240" s="4">
        <v>36530</v>
      </c>
      <c r="P2240" s="4">
        <v>73239</v>
      </c>
      <c r="Q2240" s="4">
        <v>109769</v>
      </c>
      <c r="R2240" s="4">
        <v>329307</v>
      </c>
      <c r="S2240" t="s">
        <v>18575</v>
      </c>
      <c r="T2240" s="6">
        <v>33878</v>
      </c>
      <c r="U2240" s="4">
        <v>139740</v>
      </c>
      <c r="X2240" t="s">
        <v>3</v>
      </c>
      <c r="AA2240" s="5" t="str">
        <f>HYPERLINK("https://www.zillow.com/homes/2107-NEWPORT-CIR-HANOVER-PARK-IL-60133_rb/","check listing")</f>
        <v>check listing</v>
      </c>
      <c r="AB2240" s="5" t="str">
        <f>HYPERLINK("https://propertylookup.dupagecounty.gov/Datalets/Datalet.aspx?UseSearch=no&amp;mode=sales&amp;pin=0112211014","sales record")</f>
        <v>sales record</v>
      </c>
      <c r="AC2240" t="s">
        <v>3</v>
      </c>
      <c r="AD2240">
        <v>41.971841</v>
      </c>
      <c r="AE2240">
        <v>-88.15267299999999</v>
      </c>
      <c r="AF2240" s="5" t="str">
        <f>HYPERLINK("https://www.google.com/maps/search/?api=1&amp;query=41.971841,-88.152673","map")</f>
        <v>map</v>
      </c>
    </row>
    <row r="2241" spans="1:32">
      <c r="A2241" t="s">
        <v>2291</v>
      </c>
      <c r="B2241" t="s">
        <v>9844</v>
      </c>
      <c r="C2241" t="s">
        <v>15407</v>
      </c>
      <c r="D2241" t="s">
        <v>16203</v>
      </c>
      <c r="E2241" t="s">
        <v>16218</v>
      </c>
      <c r="F2241" t="s">
        <v>16220</v>
      </c>
      <c r="G2241" t="s">
        <v>16238</v>
      </c>
      <c r="H2241" t="s">
        <v>16238</v>
      </c>
      <c r="I2241" t="s">
        <v>16338</v>
      </c>
      <c r="J2241" t="s">
        <v>16385</v>
      </c>
      <c r="K2241">
        <v>0.149</v>
      </c>
      <c r="L2241">
        <v>6475</v>
      </c>
      <c r="M2241">
        <v>2001</v>
      </c>
      <c r="N2241" t="s">
        <v>16393</v>
      </c>
      <c r="O2241" s="4">
        <v>36530</v>
      </c>
      <c r="P2241" s="4">
        <v>70544</v>
      </c>
      <c r="Q2241" s="4">
        <v>107074</v>
      </c>
      <c r="R2241" s="4">
        <v>321222</v>
      </c>
      <c r="S2241" t="s">
        <v>18576</v>
      </c>
      <c r="T2241" s="6">
        <v>42491</v>
      </c>
      <c r="U2241" s="4">
        <v>212000</v>
      </c>
      <c r="V2241" t="s">
        <v>23739</v>
      </c>
      <c r="W2241" t="s">
        <v>24806</v>
      </c>
      <c r="X2241" t="s">
        <v>3</v>
      </c>
      <c r="AA2241" s="5" t="str">
        <f>HYPERLINK("https://www.zillow.com/homes/2139-NEWPORT-CIR-HANOVER-PARK-IL-60133_rb/","check listing")</f>
        <v>check listing</v>
      </c>
      <c r="AB2241" s="5" t="str">
        <f>HYPERLINK("https://propertylookup.dupagecounty.gov/Datalets/Datalet.aspx?UseSearch=no&amp;mode=sales&amp;pin=0112211010","sales record")</f>
        <v>sales record</v>
      </c>
      <c r="AC2241" t="s">
        <v>3</v>
      </c>
      <c r="AD2241">
        <v>41.971877</v>
      </c>
      <c r="AE2241">
        <v>-88.153555</v>
      </c>
      <c r="AF2241" s="5" t="str">
        <f>HYPERLINK("https://www.google.com/maps/search/?api=1&amp;query=41.971877,-88.153555","map")</f>
        <v>map</v>
      </c>
    </row>
    <row r="2242" spans="1:32">
      <c r="A2242" t="s">
        <v>2292</v>
      </c>
      <c r="B2242" t="s">
        <v>9845</v>
      </c>
      <c r="C2242" t="s">
        <v>15407</v>
      </c>
      <c r="D2242" t="s">
        <v>16203</v>
      </c>
      <c r="E2242" t="s">
        <v>16218</v>
      </c>
      <c r="F2242" t="s">
        <v>16220</v>
      </c>
      <c r="G2242" t="s">
        <v>16238</v>
      </c>
      <c r="H2242" t="s">
        <v>16238</v>
      </c>
      <c r="I2242" t="s">
        <v>16338</v>
      </c>
      <c r="J2242" t="s">
        <v>16385</v>
      </c>
      <c r="K2242">
        <v>0.149</v>
      </c>
      <c r="L2242">
        <v>6475</v>
      </c>
      <c r="M2242">
        <v>2239</v>
      </c>
      <c r="N2242" t="s">
        <v>16393</v>
      </c>
      <c r="O2242" s="4">
        <v>36530</v>
      </c>
      <c r="P2242" s="4">
        <v>71562</v>
      </c>
      <c r="Q2242" s="4">
        <v>108092</v>
      </c>
      <c r="R2242" s="4">
        <v>324276</v>
      </c>
      <c r="S2242" t="s">
        <v>18577</v>
      </c>
      <c r="T2242" s="6">
        <v>41122</v>
      </c>
      <c r="U2242" s="4">
        <v>175000</v>
      </c>
      <c r="V2242" t="s">
        <v>23739</v>
      </c>
      <c r="W2242" t="s">
        <v>18577</v>
      </c>
      <c r="X2242" t="s">
        <v>3</v>
      </c>
      <c r="AA2242" s="5" t="str">
        <f>HYPERLINK("https://www.zillow.com/homes/2123-NEWPORT-CIR-HANOVER-PARK-IL-60133_rb/","check listing")</f>
        <v>check listing</v>
      </c>
      <c r="AB2242" s="5" t="str">
        <f>HYPERLINK("https://propertylookup.dupagecounty.gov/Datalets/Datalet.aspx?UseSearch=no&amp;mode=sales&amp;pin=0112211012","sales record")</f>
        <v>sales record</v>
      </c>
      <c r="AC2242" t="s">
        <v>3</v>
      </c>
      <c r="AD2242">
        <v>41.971858</v>
      </c>
      <c r="AE2242">
        <v>-88.153114</v>
      </c>
      <c r="AF2242" s="5" t="str">
        <f>HYPERLINK("https://www.google.com/maps/search/?api=1&amp;query=41.971858,-88.153114","map")</f>
        <v>map</v>
      </c>
    </row>
    <row r="2243" spans="1:32">
      <c r="A2243" t="s">
        <v>2293</v>
      </c>
      <c r="B2243" t="s">
        <v>9846</v>
      </c>
      <c r="C2243" t="s">
        <v>15409</v>
      </c>
      <c r="D2243" t="s">
        <v>16203</v>
      </c>
      <c r="E2243" t="s">
        <v>16218</v>
      </c>
      <c r="F2243" t="s">
        <v>16220</v>
      </c>
      <c r="G2243" t="s">
        <v>16238</v>
      </c>
      <c r="H2243" t="s">
        <v>16238</v>
      </c>
      <c r="I2243" t="s">
        <v>16338</v>
      </c>
      <c r="J2243" t="s">
        <v>16385</v>
      </c>
      <c r="K2243">
        <v>0.149</v>
      </c>
      <c r="L2243">
        <v>6475</v>
      </c>
      <c r="M2243">
        <v>2325</v>
      </c>
      <c r="N2243" t="s">
        <v>16393</v>
      </c>
      <c r="O2243" s="4">
        <v>36530</v>
      </c>
      <c r="P2243" s="4">
        <v>70412</v>
      </c>
      <c r="Q2243" s="4">
        <v>106942</v>
      </c>
      <c r="R2243" s="4">
        <v>320826</v>
      </c>
      <c r="S2243" t="s">
        <v>18578</v>
      </c>
      <c r="T2243" s="6">
        <v>33543</v>
      </c>
      <c r="U2243" s="4">
        <v>126990</v>
      </c>
      <c r="X2243" t="s">
        <v>3</v>
      </c>
      <c r="AA2243" s="5" t="str">
        <f>HYPERLINK("https://www.zillow.com/homes/2219-NEWPORT-CIR-HANOVER-PARK-IL-601335185_rb/","check listing")</f>
        <v>check listing</v>
      </c>
      <c r="AB2243" s="5" t="str">
        <f>HYPERLINK("https://propertylookup.dupagecounty.gov/Datalets/Datalet.aspx?UseSearch=no&amp;mode=sales&amp;pin=0112116002","sales record")</f>
        <v>sales record</v>
      </c>
      <c r="AC2243" t="s">
        <v>3</v>
      </c>
      <c r="AD2243">
        <v>41.971972</v>
      </c>
      <c r="AE2243">
        <v>-88.15575699999999</v>
      </c>
      <c r="AF2243" s="5" t="str">
        <f>HYPERLINK("https://www.google.com/maps/search/?api=1&amp;query=41.971972,-88.155757","map")</f>
        <v>map</v>
      </c>
    </row>
    <row r="2244" spans="1:32">
      <c r="A2244" t="s">
        <v>2294</v>
      </c>
      <c r="B2244" t="s">
        <v>9847</v>
      </c>
      <c r="C2244" t="s">
        <v>15407</v>
      </c>
      <c r="D2244" t="s">
        <v>16203</v>
      </c>
      <c r="E2244" t="s">
        <v>16218</v>
      </c>
      <c r="F2244" t="s">
        <v>16220</v>
      </c>
      <c r="G2244" t="s">
        <v>16238</v>
      </c>
      <c r="H2244" t="s">
        <v>16238</v>
      </c>
      <c r="I2244" t="s">
        <v>16338</v>
      </c>
      <c r="J2244" t="s">
        <v>16385</v>
      </c>
      <c r="K2244">
        <v>0.149</v>
      </c>
      <c r="L2244">
        <v>6475</v>
      </c>
      <c r="M2244">
        <v>2539</v>
      </c>
      <c r="N2244" t="s">
        <v>16393</v>
      </c>
      <c r="O2244" s="4">
        <v>36530</v>
      </c>
      <c r="P2244" s="4">
        <v>75300</v>
      </c>
      <c r="Q2244" s="4">
        <v>111830</v>
      </c>
      <c r="R2244" s="4">
        <v>335490</v>
      </c>
      <c r="S2244" t="s">
        <v>18579</v>
      </c>
      <c r="T2244" s="6">
        <v>33543</v>
      </c>
      <c r="U2244" s="4">
        <v>139240</v>
      </c>
      <c r="X2244" t="s">
        <v>3</v>
      </c>
      <c r="AA2244" s="5" t="str">
        <f>HYPERLINK("https://www.zillow.com/homes/2171-NEWPORT-CIR-HANOVER-PARK-IL-60133_rb/","check listing")</f>
        <v>check listing</v>
      </c>
      <c r="AB2244" s="5" t="str">
        <f>HYPERLINK("https://propertylookup.dupagecounty.gov/Datalets/Datalet.aspx?UseSearch=no&amp;mode=sales&amp;pin=0112211006","sales record")</f>
        <v>sales record</v>
      </c>
      <c r="AC2244" t="s">
        <v>3</v>
      </c>
      <c r="AD2244">
        <v>41.971915</v>
      </c>
      <c r="AE2244">
        <v>-88.154436</v>
      </c>
      <c r="AF2244" s="5" t="str">
        <f>HYPERLINK("https://www.google.com/maps/search/?api=1&amp;query=41.971915,-88.154436","map")</f>
        <v>map</v>
      </c>
    </row>
    <row r="2245" spans="1:32">
      <c r="A2245" t="s">
        <v>2295</v>
      </c>
      <c r="B2245" t="s">
        <v>9848</v>
      </c>
      <c r="C2245" t="s">
        <v>15407</v>
      </c>
      <c r="D2245" t="s">
        <v>16203</v>
      </c>
      <c r="E2245" t="s">
        <v>16218</v>
      </c>
      <c r="F2245" t="s">
        <v>16220</v>
      </c>
      <c r="G2245" t="s">
        <v>16238</v>
      </c>
      <c r="H2245" t="s">
        <v>16238</v>
      </c>
      <c r="I2245" t="s">
        <v>16338</v>
      </c>
      <c r="J2245" t="s">
        <v>16385</v>
      </c>
      <c r="K2245">
        <v>0.149</v>
      </c>
      <c r="L2245">
        <v>6474</v>
      </c>
      <c r="M2245">
        <v>2534</v>
      </c>
      <c r="N2245" t="s">
        <v>16393</v>
      </c>
      <c r="O2245" s="4">
        <v>36530</v>
      </c>
      <c r="P2245" s="4">
        <v>75360</v>
      </c>
      <c r="Q2245" s="4">
        <v>111890</v>
      </c>
      <c r="R2245" s="4">
        <v>335670</v>
      </c>
      <c r="S2245" t="s">
        <v>18580</v>
      </c>
      <c r="T2245" s="6">
        <v>38808</v>
      </c>
      <c r="U2245" s="4">
        <v>250000</v>
      </c>
      <c r="V2245" t="s">
        <v>23739</v>
      </c>
      <c r="W2245" t="s">
        <v>24807</v>
      </c>
      <c r="X2245" t="s">
        <v>3</v>
      </c>
      <c r="AA2245" s="5" t="str">
        <f>HYPERLINK("https://www.zillow.com/homes/2163-NEWPORT-CIR-HANOVER-PARK-IL-60133_rb/","check listing")</f>
        <v>check listing</v>
      </c>
      <c r="AB2245" s="5" t="str">
        <f>HYPERLINK("https://propertylookup.dupagecounty.gov/Datalets/Datalet.aspx?UseSearch=no&amp;mode=sales&amp;pin=0112211007","sales record")</f>
        <v>sales record</v>
      </c>
      <c r="AC2245" t="s">
        <v>3</v>
      </c>
      <c r="AD2245">
        <v>41.971905</v>
      </c>
      <c r="AE2245">
        <v>-88.15421499999999</v>
      </c>
      <c r="AF2245" s="5" t="str">
        <f>HYPERLINK("https://www.google.com/maps/search/?api=1&amp;query=41.971905,-88.154215","map")</f>
        <v>map</v>
      </c>
    </row>
    <row r="2246" spans="1:32">
      <c r="A2246" t="s">
        <v>2296</v>
      </c>
      <c r="B2246" t="s">
        <v>9849</v>
      </c>
      <c r="C2246" t="s">
        <v>15407</v>
      </c>
      <c r="D2246" t="s">
        <v>16203</v>
      </c>
      <c r="E2246" t="s">
        <v>16218</v>
      </c>
      <c r="F2246" t="s">
        <v>16220</v>
      </c>
      <c r="G2246" t="s">
        <v>16238</v>
      </c>
      <c r="H2246" t="s">
        <v>16238</v>
      </c>
      <c r="I2246" t="s">
        <v>16338</v>
      </c>
      <c r="J2246" t="s">
        <v>16385</v>
      </c>
      <c r="K2246">
        <v>0.149</v>
      </c>
      <c r="L2246">
        <v>6474</v>
      </c>
      <c r="M2246">
        <v>2635</v>
      </c>
      <c r="N2246" t="s">
        <v>16393</v>
      </c>
      <c r="O2246" s="4">
        <v>36530</v>
      </c>
      <c r="P2246" s="4">
        <v>77960</v>
      </c>
      <c r="Q2246" s="4">
        <v>114490</v>
      </c>
      <c r="R2246" s="4">
        <v>343470</v>
      </c>
      <c r="S2246" t="s">
        <v>18581</v>
      </c>
      <c r="T2246" s="6">
        <v>45139</v>
      </c>
      <c r="U2246" s="4">
        <v>360000</v>
      </c>
      <c r="V2246" t="s">
        <v>23739</v>
      </c>
      <c r="W2246" t="s">
        <v>24808</v>
      </c>
      <c r="X2246" t="s">
        <v>3</v>
      </c>
      <c r="AA2246" s="5" t="str">
        <f>HYPERLINK("https://www.zillow.com/homes/2147-NEWPORT-CIR-HANOVER-PARK-IL-60133_rb/","check listing")</f>
        <v>check listing</v>
      </c>
      <c r="AB2246" s="5" t="str">
        <f>HYPERLINK("https://propertylookup.dupagecounty.gov/Datalets/Datalet.aspx?UseSearch=no&amp;mode=sales&amp;pin=0112211009","sales record")</f>
        <v>sales record</v>
      </c>
      <c r="AC2246" t="s">
        <v>3</v>
      </c>
      <c r="AD2246">
        <v>41.971886</v>
      </c>
      <c r="AE2246">
        <v>-88.153775</v>
      </c>
      <c r="AF2246" s="5" t="str">
        <f>HYPERLINK("https://www.google.com/maps/search/?api=1&amp;query=41.971886,-88.153775","map")</f>
        <v>map</v>
      </c>
    </row>
    <row r="2247" spans="1:32">
      <c r="A2247" t="s">
        <v>2297</v>
      </c>
      <c r="B2247" t="s">
        <v>9850</v>
      </c>
      <c r="C2247" t="s">
        <v>15407</v>
      </c>
      <c r="D2247" t="s">
        <v>16203</v>
      </c>
      <c r="E2247" t="s">
        <v>16218</v>
      </c>
      <c r="F2247" t="s">
        <v>16220</v>
      </c>
      <c r="G2247" t="s">
        <v>16238</v>
      </c>
      <c r="H2247" t="s">
        <v>16238</v>
      </c>
      <c r="I2247" t="s">
        <v>16338</v>
      </c>
      <c r="J2247" t="s">
        <v>16385</v>
      </c>
      <c r="K2247">
        <v>0.149</v>
      </c>
      <c r="L2247">
        <v>6474</v>
      </c>
      <c r="M2247">
        <v>2570</v>
      </c>
      <c r="N2247" t="s">
        <v>16393</v>
      </c>
      <c r="O2247" s="4">
        <v>36530</v>
      </c>
      <c r="P2247" s="4">
        <v>79913</v>
      </c>
      <c r="Q2247" s="4">
        <v>116443</v>
      </c>
      <c r="R2247" s="4">
        <v>349329</v>
      </c>
      <c r="S2247" t="s">
        <v>18582</v>
      </c>
      <c r="T2247" s="6">
        <v>38991</v>
      </c>
      <c r="U2247" s="4">
        <v>288500</v>
      </c>
      <c r="V2247" t="s">
        <v>23739</v>
      </c>
      <c r="W2247" t="s">
        <v>24809</v>
      </c>
      <c r="X2247" t="s">
        <v>3</v>
      </c>
      <c r="AA2247" s="5" t="str">
        <f>HYPERLINK("https://www.zillow.com/homes/2115-NEWPORT-CIR-HANOVER-PARK-IL-60133_rb/","check listing")</f>
        <v>check listing</v>
      </c>
      <c r="AB2247" s="5" t="str">
        <f>HYPERLINK("https://propertylookup.dupagecounty.gov/Datalets/Datalet.aspx?UseSearch=no&amp;mode=sales&amp;pin=0112211013","sales record")</f>
        <v>sales record</v>
      </c>
      <c r="AC2247" t="s">
        <v>3</v>
      </c>
      <c r="AD2247">
        <v>41.971848</v>
      </c>
      <c r="AE2247">
        <v>-88.152894</v>
      </c>
      <c r="AF2247" s="5" t="str">
        <f>HYPERLINK("https://www.google.com/maps/search/?api=1&amp;query=41.971848,-88.152894","map")</f>
        <v>map</v>
      </c>
    </row>
    <row r="2248" spans="1:32">
      <c r="A2248" t="s">
        <v>2298</v>
      </c>
      <c r="B2248" t="s">
        <v>9851</v>
      </c>
      <c r="C2248" t="s">
        <v>15407</v>
      </c>
      <c r="D2248" t="s">
        <v>16203</v>
      </c>
      <c r="E2248" t="s">
        <v>16218</v>
      </c>
      <c r="F2248" t="s">
        <v>16220</v>
      </c>
      <c r="G2248" t="s">
        <v>16238</v>
      </c>
      <c r="H2248" t="s">
        <v>16238</v>
      </c>
      <c r="I2248" t="s">
        <v>16338</v>
      </c>
      <c r="J2248" t="s">
        <v>16385</v>
      </c>
      <c r="K2248">
        <v>0.149</v>
      </c>
      <c r="L2248">
        <v>6473</v>
      </c>
      <c r="M2248">
        <v>1881</v>
      </c>
      <c r="N2248" t="s">
        <v>16393</v>
      </c>
      <c r="O2248" s="4">
        <v>36530</v>
      </c>
      <c r="P2248" s="4">
        <v>86136</v>
      </c>
      <c r="Q2248" s="4">
        <v>122666</v>
      </c>
      <c r="R2248" s="4">
        <v>367998</v>
      </c>
      <c r="S2248" t="s">
        <v>18583</v>
      </c>
      <c r="T2248" s="6">
        <v>36312</v>
      </c>
      <c r="U2248" s="4">
        <v>172000</v>
      </c>
      <c r="X2248" t="s">
        <v>3</v>
      </c>
      <c r="AA2248" s="5" t="str">
        <f>HYPERLINK("https://www.zillow.com/homes/2131-NEWPORT-CIR-HANOVER-PARK-IL-60133_rb/","check listing")</f>
        <v>check listing</v>
      </c>
      <c r="AB2248" s="5" t="str">
        <f>HYPERLINK("https://propertylookup.dupagecounty.gov/Datalets/Datalet.aspx?UseSearch=no&amp;mode=sales&amp;pin=0112211011","sales record")</f>
        <v>sales record</v>
      </c>
      <c r="AC2248" t="s">
        <v>3</v>
      </c>
      <c r="AD2248">
        <v>41.971867</v>
      </c>
      <c r="AE2248">
        <v>-88.153334</v>
      </c>
      <c r="AF2248" s="5" t="str">
        <f>HYPERLINK("https://www.google.com/maps/search/?api=1&amp;query=41.971867,-88.153334","map")</f>
        <v>map</v>
      </c>
    </row>
    <row r="2249" spans="1:32">
      <c r="A2249" t="s">
        <v>2299</v>
      </c>
      <c r="B2249" t="s">
        <v>9852</v>
      </c>
      <c r="C2249" t="s">
        <v>15407</v>
      </c>
      <c r="D2249" t="s">
        <v>16203</v>
      </c>
      <c r="E2249" t="s">
        <v>16218</v>
      </c>
      <c r="F2249" t="s">
        <v>16220</v>
      </c>
      <c r="G2249" t="s">
        <v>16238</v>
      </c>
      <c r="H2249" t="s">
        <v>16238</v>
      </c>
      <c r="I2249" t="s">
        <v>16338</v>
      </c>
      <c r="J2249" t="s">
        <v>16385</v>
      </c>
      <c r="K2249">
        <v>0.149</v>
      </c>
      <c r="L2249">
        <v>6473</v>
      </c>
      <c r="M2249">
        <v>2316</v>
      </c>
      <c r="N2249" t="s">
        <v>16393</v>
      </c>
      <c r="O2249" s="4">
        <v>36530</v>
      </c>
      <c r="P2249" s="4">
        <v>69561</v>
      </c>
      <c r="Q2249" s="4">
        <v>106091</v>
      </c>
      <c r="R2249" s="4">
        <v>318273</v>
      </c>
      <c r="S2249" t="s">
        <v>18584</v>
      </c>
      <c r="T2249" s="6">
        <v>33482</v>
      </c>
      <c r="U2249" s="4">
        <v>126030</v>
      </c>
      <c r="X2249" t="s">
        <v>3</v>
      </c>
      <c r="AA2249" s="5" t="str">
        <f>HYPERLINK("https://www.zillow.com/homes/2187-NEWPORT-CIR-HANOVER-PARK-IL-60133_rb/","check listing")</f>
        <v>check listing</v>
      </c>
      <c r="AB2249" s="5" t="str">
        <f>HYPERLINK("https://propertylookup.dupagecounty.gov/Datalets/Datalet.aspx?UseSearch=no&amp;mode=sales&amp;pin=0112116006","sales record")</f>
        <v>sales record</v>
      </c>
      <c r="AC2249" t="s">
        <v>3</v>
      </c>
      <c r="AD2249">
        <v>41.971934</v>
      </c>
      <c r="AE2249">
        <v>-88.154876</v>
      </c>
      <c r="AF2249" s="5" t="str">
        <f>HYPERLINK("https://www.google.com/maps/search/?api=1&amp;query=41.971934,-88.154876","map")</f>
        <v>map</v>
      </c>
    </row>
    <row r="2250" spans="1:32">
      <c r="A2250" t="s">
        <v>2300</v>
      </c>
      <c r="B2250" t="s">
        <v>9853</v>
      </c>
      <c r="C2250" t="s">
        <v>15407</v>
      </c>
      <c r="D2250" t="s">
        <v>16203</v>
      </c>
      <c r="E2250" t="s">
        <v>16218</v>
      </c>
      <c r="F2250" t="s">
        <v>16220</v>
      </c>
      <c r="G2250" t="s">
        <v>16238</v>
      </c>
      <c r="H2250" t="s">
        <v>16238</v>
      </c>
      <c r="I2250" t="s">
        <v>16338</v>
      </c>
      <c r="J2250" t="s">
        <v>16385</v>
      </c>
      <c r="K2250">
        <v>0.149</v>
      </c>
      <c r="L2250">
        <v>6472</v>
      </c>
      <c r="M2250">
        <v>2747</v>
      </c>
      <c r="N2250" t="s">
        <v>16393</v>
      </c>
      <c r="O2250" s="4">
        <v>36530</v>
      </c>
      <c r="P2250" s="4">
        <v>74941</v>
      </c>
      <c r="Q2250" s="4">
        <v>111471</v>
      </c>
      <c r="R2250" s="4">
        <v>334413</v>
      </c>
      <c r="S2250" t="s">
        <v>18585</v>
      </c>
      <c r="T2250" s="6">
        <v>41791</v>
      </c>
      <c r="U2250" s="4">
        <v>198000</v>
      </c>
      <c r="V2250" t="s">
        <v>23739</v>
      </c>
      <c r="W2250" t="s">
        <v>24810</v>
      </c>
      <c r="X2250" t="s">
        <v>3</v>
      </c>
      <c r="AA2250" s="5" t="str">
        <f>HYPERLINK("https://www.zillow.com/homes/2179-NEWPORT-CIR-HANOVER-PARK-IL-60133_rb/","check listing")</f>
        <v>check listing</v>
      </c>
      <c r="AB2250" s="5" t="str">
        <f>HYPERLINK("https://propertylookup.dupagecounty.gov/Datalets/Datalet.aspx?UseSearch=no&amp;mode=sales&amp;pin=0112211005","sales record")</f>
        <v>sales record</v>
      </c>
      <c r="AC2250" t="s">
        <v>3</v>
      </c>
      <c r="AD2250">
        <v>41.971924</v>
      </c>
      <c r="AE2250">
        <v>-88.154656</v>
      </c>
      <c r="AF2250" s="5" t="str">
        <f>HYPERLINK("https://www.google.com/maps/search/?api=1&amp;query=41.971924,-88.154656","map")</f>
        <v>map</v>
      </c>
    </row>
    <row r="2251" spans="1:32">
      <c r="A2251" t="s">
        <v>2301</v>
      </c>
      <c r="B2251" t="s">
        <v>9854</v>
      </c>
      <c r="C2251" t="s">
        <v>15407</v>
      </c>
      <c r="D2251" t="s">
        <v>16203</v>
      </c>
      <c r="E2251" t="s">
        <v>16218</v>
      </c>
      <c r="F2251" t="s">
        <v>16220</v>
      </c>
      <c r="G2251" t="s">
        <v>16238</v>
      </c>
      <c r="H2251" t="s">
        <v>16238</v>
      </c>
      <c r="I2251" t="s">
        <v>16338</v>
      </c>
      <c r="J2251" t="s">
        <v>16385</v>
      </c>
      <c r="K2251">
        <v>0.149</v>
      </c>
      <c r="L2251">
        <v>6472</v>
      </c>
      <c r="M2251">
        <v>2213</v>
      </c>
      <c r="N2251" t="s">
        <v>16393</v>
      </c>
      <c r="O2251" s="4">
        <v>36530</v>
      </c>
      <c r="P2251" s="4">
        <v>70544</v>
      </c>
      <c r="Q2251" s="4">
        <v>107074</v>
      </c>
      <c r="R2251" s="4">
        <v>321222</v>
      </c>
      <c r="S2251" t="s">
        <v>18586</v>
      </c>
      <c r="T2251" s="6">
        <v>40544</v>
      </c>
      <c r="U2251" s="4">
        <v>173000</v>
      </c>
      <c r="V2251" t="s">
        <v>16232</v>
      </c>
      <c r="W2251" t="s">
        <v>24811</v>
      </c>
      <c r="X2251" t="s">
        <v>3</v>
      </c>
      <c r="AA2251" s="5" t="str">
        <f>HYPERLINK("https://www.zillow.com/homes/2155-NEWPORT-CIR-HANOVER-PARK-IL-60133_rb/","check listing")</f>
        <v>check listing</v>
      </c>
      <c r="AB2251" s="5" t="str">
        <f>HYPERLINK("https://propertylookup.dupagecounty.gov/Datalets/Datalet.aspx?UseSearch=no&amp;mode=sales&amp;pin=0112211008","sales record")</f>
        <v>sales record</v>
      </c>
      <c r="AC2251" t="s">
        <v>3</v>
      </c>
      <c r="AD2251">
        <v>41.971896</v>
      </c>
      <c r="AE2251">
        <v>-88.15399499999999</v>
      </c>
      <c r="AF2251" s="5" t="str">
        <f>HYPERLINK("https://www.google.com/maps/search/?api=1&amp;query=41.971896,-88.153995","map")</f>
        <v>map</v>
      </c>
    </row>
    <row r="2252" spans="1:32">
      <c r="A2252" t="s">
        <v>2302</v>
      </c>
      <c r="B2252" t="s">
        <v>9855</v>
      </c>
      <c r="C2252" t="s">
        <v>15407</v>
      </c>
      <c r="D2252" t="s">
        <v>16203</v>
      </c>
      <c r="E2252" t="s">
        <v>16218</v>
      </c>
      <c r="F2252" t="s">
        <v>16220</v>
      </c>
      <c r="G2252" t="s">
        <v>16238</v>
      </c>
      <c r="H2252" t="s">
        <v>16238</v>
      </c>
      <c r="I2252" t="s">
        <v>16338</v>
      </c>
      <c r="J2252" t="s">
        <v>16385</v>
      </c>
      <c r="K2252">
        <v>0.148</v>
      </c>
      <c r="L2252">
        <v>6439</v>
      </c>
      <c r="M2252">
        <v>1995</v>
      </c>
      <c r="N2252" t="s">
        <v>16393</v>
      </c>
      <c r="O2252" s="4">
        <v>36530</v>
      </c>
      <c r="P2252" s="4">
        <v>82597</v>
      </c>
      <c r="Q2252" s="4">
        <v>119127</v>
      </c>
      <c r="R2252" s="4">
        <v>357381</v>
      </c>
      <c r="S2252" t="s">
        <v>18587</v>
      </c>
      <c r="T2252" s="6">
        <v>33695</v>
      </c>
      <c r="U2252" s="4">
        <v>159990</v>
      </c>
      <c r="X2252" t="s">
        <v>3</v>
      </c>
      <c r="AA2252" s="5" t="str">
        <f>HYPERLINK("https://www.zillow.com/homes/5531-REDFORD-LN-HANOVER-PARK-IL-60133_rb/","check listing")</f>
        <v>check listing</v>
      </c>
      <c r="AB2252" s="5" t="str">
        <f>HYPERLINK("https://propertylookup.dupagecounty.gov/Datalets/Datalet.aspx?UseSearch=no&amp;mode=sales&amp;pin=0112114011","sales record")</f>
        <v>sales record</v>
      </c>
      <c r="AC2252" t="s">
        <v>3</v>
      </c>
      <c r="AD2252">
        <v>41.972767</v>
      </c>
      <c r="AE2252">
        <v>-88.155961</v>
      </c>
      <c r="AF2252" s="5" t="str">
        <f>HYPERLINK("https://www.google.com/maps/search/?api=1&amp;query=41.972767,-88.155961","map")</f>
        <v>map</v>
      </c>
    </row>
    <row r="2253" spans="1:32">
      <c r="A2253" t="s">
        <v>2303</v>
      </c>
      <c r="B2253" t="s">
        <v>9856</v>
      </c>
      <c r="C2253" t="s">
        <v>15407</v>
      </c>
      <c r="D2253" t="s">
        <v>16203</v>
      </c>
      <c r="E2253" t="s">
        <v>16218</v>
      </c>
      <c r="F2253" t="s">
        <v>16220</v>
      </c>
      <c r="G2253" t="s">
        <v>16238</v>
      </c>
      <c r="H2253" t="s">
        <v>16238</v>
      </c>
      <c r="I2253" t="s">
        <v>16338</v>
      </c>
      <c r="J2253" t="s">
        <v>16385</v>
      </c>
      <c r="K2253">
        <v>0.148</v>
      </c>
      <c r="L2253">
        <v>6438</v>
      </c>
      <c r="M2253">
        <v>2318</v>
      </c>
      <c r="N2253" t="s">
        <v>16393</v>
      </c>
      <c r="O2253" s="4">
        <v>36530</v>
      </c>
      <c r="P2253" s="4">
        <v>71682</v>
      </c>
      <c r="Q2253" s="4">
        <v>108212</v>
      </c>
      <c r="R2253" s="4">
        <v>324636</v>
      </c>
      <c r="S2253" t="s">
        <v>18588</v>
      </c>
      <c r="T2253" s="6">
        <v>41214</v>
      </c>
      <c r="U2253" s="4">
        <v>147000</v>
      </c>
      <c r="V2253" t="s">
        <v>16232</v>
      </c>
      <c r="W2253" t="s">
        <v>18588</v>
      </c>
      <c r="X2253" t="s">
        <v>3</v>
      </c>
      <c r="AA2253" s="5" t="str">
        <f>HYPERLINK("https://www.zillow.com/homes/5521-REDFORD-LN-HANOVER-PARK-IL-60133_rb/","check listing")</f>
        <v>check listing</v>
      </c>
      <c r="AB2253" s="5" t="str">
        <f>HYPERLINK("https://propertylookup.dupagecounty.gov/Datalets/Datalet.aspx?UseSearch=no&amp;mode=sales&amp;pin=0112114010","sales record")</f>
        <v>sales record</v>
      </c>
      <c r="AC2253" t="s">
        <v>3</v>
      </c>
      <c r="AD2253">
        <v>41.972601</v>
      </c>
      <c r="AE2253">
        <v>-88.155963</v>
      </c>
      <c r="AF2253" s="5" t="str">
        <f>HYPERLINK("https://www.google.com/maps/search/?api=1&amp;query=41.972601,-88.155963","map")</f>
        <v>map</v>
      </c>
    </row>
    <row r="2254" spans="1:32">
      <c r="A2254" t="s">
        <v>2304</v>
      </c>
      <c r="B2254" t="s">
        <v>9857</v>
      </c>
      <c r="C2254" t="s">
        <v>15407</v>
      </c>
      <c r="D2254" t="s">
        <v>16203</v>
      </c>
      <c r="E2254" t="s">
        <v>16218</v>
      </c>
      <c r="F2254" t="s">
        <v>16220</v>
      </c>
      <c r="G2254" t="s">
        <v>16238</v>
      </c>
      <c r="H2254" t="s">
        <v>16238</v>
      </c>
      <c r="I2254" t="s">
        <v>16338</v>
      </c>
      <c r="J2254" t="s">
        <v>16385</v>
      </c>
      <c r="K2254">
        <v>0.148</v>
      </c>
      <c r="L2254">
        <v>6437</v>
      </c>
      <c r="M2254">
        <v>2177</v>
      </c>
      <c r="N2254" t="s">
        <v>16393</v>
      </c>
      <c r="O2254" s="4">
        <v>36530</v>
      </c>
      <c r="P2254" s="4">
        <v>86000</v>
      </c>
      <c r="Q2254" s="4">
        <v>122530</v>
      </c>
      <c r="R2254" s="4">
        <v>367590</v>
      </c>
      <c r="S2254" t="s">
        <v>18589</v>
      </c>
      <c r="T2254" s="6">
        <v>33573</v>
      </c>
      <c r="U2254" s="4">
        <v>163120</v>
      </c>
      <c r="X2254" t="s">
        <v>3</v>
      </c>
      <c r="AA2254" s="5" t="str">
        <f>HYPERLINK("https://www.zillow.com/homes/5551-REDFORD-LN-HANOVER-PARK-IL-60133_rb/","check listing")</f>
        <v>check listing</v>
      </c>
      <c r="AB2254" s="5" t="str">
        <f>HYPERLINK("https://propertylookup.dupagecounty.gov/Datalets/Datalet.aspx?UseSearch=no&amp;mode=sales&amp;pin=0112114013","sales record")</f>
        <v>sales record</v>
      </c>
      <c r="AC2254" t="s">
        <v>3</v>
      </c>
      <c r="AD2254">
        <v>41.973099</v>
      </c>
      <c r="AE2254">
        <v>-88.155958</v>
      </c>
      <c r="AF2254" s="5" t="str">
        <f>HYPERLINK("https://www.google.com/maps/search/?api=1&amp;query=41.973099,-88.155958","map")</f>
        <v>map</v>
      </c>
    </row>
    <row r="2255" spans="1:32">
      <c r="A2255" t="s">
        <v>2305</v>
      </c>
      <c r="B2255" t="s">
        <v>9858</v>
      </c>
      <c r="C2255" t="s">
        <v>15415</v>
      </c>
      <c r="D2255" t="s">
        <v>16203</v>
      </c>
      <c r="E2255" t="s">
        <v>16218</v>
      </c>
      <c r="F2255" t="s">
        <v>16220</v>
      </c>
      <c r="G2255" t="s">
        <v>16238</v>
      </c>
      <c r="H2255" t="s">
        <v>16238</v>
      </c>
      <c r="I2255" t="s">
        <v>16338</v>
      </c>
      <c r="J2255" t="s">
        <v>16385</v>
      </c>
      <c r="K2255">
        <v>0.148</v>
      </c>
      <c r="L2255">
        <v>6437</v>
      </c>
      <c r="M2255">
        <v>2721</v>
      </c>
      <c r="N2255" t="s">
        <v>16393</v>
      </c>
      <c r="O2255" s="4">
        <v>36530</v>
      </c>
      <c r="P2255" s="4">
        <v>79553</v>
      </c>
      <c r="Q2255" s="4">
        <v>116083</v>
      </c>
      <c r="R2255" s="4">
        <v>348249</v>
      </c>
      <c r="S2255" t="s">
        <v>18590</v>
      </c>
      <c r="T2255" s="6">
        <v>44256</v>
      </c>
      <c r="U2255" s="4">
        <v>275100</v>
      </c>
      <c r="V2255" t="s">
        <v>23739</v>
      </c>
      <c r="W2255" t="s">
        <v>24812</v>
      </c>
      <c r="X2255" t="s">
        <v>3</v>
      </c>
      <c r="AA2255" s="5" t="str">
        <f>HYPERLINK("https://www.zillow.com/homes/5541-REDFORD-LN-HANOVER-PARK-IL-601335184_rb/","check listing")</f>
        <v>check listing</v>
      </c>
      <c r="AB2255" s="5" t="str">
        <f>HYPERLINK("https://propertylookup.dupagecounty.gov/Datalets/Datalet.aspx?UseSearch=no&amp;mode=sales&amp;pin=0112114012","sales record")</f>
        <v>sales record</v>
      </c>
      <c r="AC2255" t="s">
        <v>3</v>
      </c>
      <c r="AD2255">
        <v>41.972933</v>
      </c>
      <c r="AE2255">
        <v>-88.15595999999999</v>
      </c>
      <c r="AF2255" s="5" t="str">
        <f>HYPERLINK("https://www.google.com/maps/search/?api=1&amp;query=41.972933,-88.15596","map")</f>
        <v>map</v>
      </c>
    </row>
    <row r="2256" spans="1:32">
      <c r="A2256" t="s">
        <v>2306</v>
      </c>
      <c r="B2256" t="s">
        <v>9859</v>
      </c>
      <c r="C2256" t="s">
        <v>15407</v>
      </c>
      <c r="D2256" t="s">
        <v>16203</v>
      </c>
      <c r="E2256" t="s">
        <v>16218</v>
      </c>
      <c r="F2256" t="s">
        <v>16220</v>
      </c>
      <c r="G2256" t="s">
        <v>16238</v>
      </c>
      <c r="H2256" t="s">
        <v>16238</v>
      </c>
      <c r="I2256" t="s">
        <v>16338</v>
      </c>
      <c r="J2256" t="s">
        <v>16385</v>
      </c>
      <c r="K2256">
        <v>0.147</v>
      </c>
      <c r="L2256">
        <v>6405</v>
      </c>
      <c r="M2256">
        <v>2177</v>
      </c>
      <c r="N2256" t="s">
        <v>16393</v>
      </c>
      <c r="O2256" s="4">
        <v>36530</v>
      </c>
      <c r="P2256" s="4">
        <v>72568</v>
      </c>
      <c r="Q2256" s="4">
        <v>109098</v>
      </c>
      <c r="R2256" s="4">
        <v>327294</v>
      </c>
      <c r="S2256" t="s">
        <v>18591</v>
      </c>
      <c r="T2256" s="6">
        <v>37073</v>
      </c>
      <c r="U2256" s="4">
        <v>200000</v>
      </c>
      <c r="V2256" t="s">
        <v>23739</v>
      </c>
      <c r="W2256" t="s">
        <v>18591</v>
      </c>
      <c r="X2256" t="s">
        <v>3</v>
      </c>
      <c r="AA2256" s="5" t="str">
        <f>HYPERLINK("https://www.zillow.com/homes/2156-NEWPORT-CIR-HANOVER-PARK-IL-60133_rb/","check listing")</f>
        <v>check listing</v>
      </c>
      <c r="AB2256" s="5" t="str">
        <f>HYPERLINK("https://propertylookup.dupagecounty.gov/Datalets/Datalet.aspx?UseSearch=no&amp;mode=sales&amp;pin=0112213021","sales record")</f>
        <v>sales record</v>
      </c>
      <c r="AC2256" t="s">
        <v>3</v>
      </c>
      <c r="AD2256">
        <v>41.972364</v>
      </c>
      <c r="AE2256">
        <v>-88.15420399999999</v>
      </c>
      <c r="AF2256" s="5" t="str">
        <f>HYPERLINK("https://www.google.com/maps/search/?api=1&amp;query=41.972364,-88.154204","map")</f>
        <v>map</v>
      </c>
    </row>
    <row r="2257" spans="1:32">
      <c r="A2257" t="s">
        <v>2307</v>
      </c>
      <c r="B2257" t="s">
        <v>9860</v>
      </c>
      <c r="C2257" t="s">
        <v>15413</v>
      </c>
      <c r="D2257" t="s">
        <v>16203</v>
      </c>
      <c r="E2257" t="s">
        <v>16218</v>
      </c>
      <c r="F2257" t="s">
        <v>16220</v>
      </c>
      <c r="G2257" t="s">
        <v>16238</v>
      </c>
      <c r="H2257" t="s">
        <v>16238</v>
      </c>
      <c r="I2257" t="s">
        <v>16338</v>
      </c>
      <c r="J2257" t="s">
        <v>16385</v>
      </c>
      <c r="K2257">
        <v>0.146</v>
      </c>
      <c r="L2257">
        <v>6376</v>
      </c>
      <c r="M2257">
        <v>2176</v>
      </c>
      <c r="N2257" t="s">
        <v>16393</v>
      </c>
      <c r="O2257" s="4">
        <v>36530</v>
      </c>
      <c r="P2257" s="4">
        <v>86431</v>
      </c>
      <c r="Q2257" s="4">
        <v>122961</v>
      </c>
      <c r="R2257" s="4">
        <v>368883</v>
      </c>
      <c r="S2257" t="s">
        <v>18592</v>
      </c>
      <c r="T2257" s="6">
        <v>44698</v>
      </c>
      <c r="U2257" s="4">
        <v>375000</v>
      </c>
      <c r="V2257" t="s">
        <v>23739</v>
      </c>
      <c r="W2257" t="s">
        <v>24813</v>
      </c>
      <c r="X2257" t="s">
        <v>3</v>
      </c>
      <c r="AA2257" s="5" t="str">
        <f>HYPERLINK("https://www.zillow.com/homes/2144-NEWPORT-CIR-HANOVER-PARK-IL-601335198_rb/","check listing")</f>
        <v>check listing</v>
      </c>
      <c r="AB2257" s="5" t="str">
        <f>HYPERLINK("https://propertylookup.dupagecounty.gov/Datalets/Datalet.aspx?UseSearch=no&amp;mode=sales&amp;pin=0112213020","sales record")</f>
        <v>sales record</v>
      </c>
      <c r="AC2257" t="s">
        <v>3</v>
      </c>
      <c r="AD2257">
        <v>41.972352</v>
      </c>
      <c r="AE2257">
        <v>-88.15398399999999</v>
      </c>
      <c r="AF2257" s="5" t="str">
        <f>HYPERLINK("https://www.google.com/maps/search/?api=1&amp;query=41.972352,-88.153984","map")</f>
        <v>map</v>
      </c>
    </row>
    <row r="2258" spans="1:32">
      <c r="A2258" t="s">
        <v>2308</v>
      </c>
      <c r="B2258" t="s">
        <v>9861</v>
      </c>
      <c r="C2258" t="s">
        <v>15407</v>
      </c>
      <c r="D2258" t="s">
        <v>16203</v>
      </c>
      <c r="E2258" t="s">
        <v>16218</v>
      </c>
      <c r="F2258" t="s">
        <v>16220</v>
      </c>
      <c r="G2258" t="s">
        <v>16238</v>
      </c>
      <c r="H2258" t="s">
        <v>16238</v>
      </c>
      <c r="I2258" t="s">
        <v>16338</v>
      </c>
      <c r="J2258" t="s">
        <v>16385</v>
      </c>
      <c r="K2258">
        <v>0.135</v>
      </c>
      <c r="L2258">
        <v>5879</v>
      </c>
      <c r="M2258">
        <v>798</v>
      </c>
      <c r="N2258" t="s">
        <v>16393</v>
      </c>
      <c r="O2258" s="4">
        <v>21027</v>
      </c>
      <c r="P2258" s="4">
        <v>45827</v>
      </c>
      <c r="Q2258" s="4">
        <v>66854</v>
      </c>
      <c r="R2258" s="4">
        <v>200562</v>
      </c>
      <c r="S2258" t="s">
        <v>18593</v>
      </c>
      <c r="X2258" t="s">
        <v>3</v>
      </c>
      <c r="AA2258" s="5" t="str">
        <f>HYPERLINK("https://www.zillow.com/homes/7N608-BARRINGTON-RD-HANOVER-PARK-IL-60133_rb/","check listing")</f>
        <v>check listing</v>
      </c>
      <c r="AB2258" s="5" t="str">
        <f>HYPERLINK("https://propertylookup.dupagecounty.gov/Datalets/Datalet.aspx?UseSearch=no&amp;mode=sales&amp;pin=0101206022","sales record")</f>
        <v>sales record</v>
      </c>
      <c r="AC2258" t="s">
        <v>27873</v>
      </c>
      <c r="AD2258">
        <v>41.98589</v>
      </c>
      <c r="AE2258">
        <v>-88.14504700000001</v>
      </c>
      <c r="AF2258" s="5" t="str">
        <f>HYPERLINK("https://www.google.com/maps/search/?api=1&amp;query=41.98589,-88.145047","map")</f>
        <v>map</v>
      </c>
    </row>
    <row r="2259" spans="1:32">
      <c r="A2259" t="s">
        <v>2309</v>
      </c>
      <c r="B2259" t="s">
        <v>9862</v>
      </c>
      <c r="C2259" t="s">
        <v>15407</v>
      </c>
      <c r="D2259" t="s">
        <v>16203</v>
      </c>
      <c r="E2259" t="s">
        <v>16218</v>
      </c>
      <c r="F2259" t="s">
        <v>16220</v>
      </c>
      <c r="G2259" t="s">
        <v>16238</v>
      </c>
      <c r="H2259" t="s">
        <v>16238</v>
      </c>
      <c r="I2259" t="s">
        <v>16338</v>
      </c>
      <c r="J2259" t="s">
        <v>16385</v>
      </c>
      <c r="K2259">
        <v>0.135</v>
      </c>
      <c r="L2259">
        <v>5878</v>
      </c>
      <c r="M2259">
        <v>1961</v>
      </c>
      <c r="N2259" t="s">
        <v>16393</v>
      </c>
      <c r="O2259" s="4">
        <v>21027</v>
      </c>
      <c r="P2259" s="4">
        <v>37775</v>
      </c>
      <c r="Q2259" s="4">
        <v>58802</v>
      </c>
      <c r="R2259" s="4">
        <v>176406</v>
      </c>
      <c r="S2259" t="s">
        <v>18594</v>
      </c>
      <c r="T2259" s="6">
        <v>38961</v>
      </c>
      <c r="U2259" s="4">
        <v>179000</v>
      </c>
      <c r="V2259" t="s">
        <v>23739</v>
      </c>
      <c r="W2259" t="s">
        <v>24814</v>
      </c>
      <c r="X2259" t="s">
        <v>3</v>
      </c>
      <c r="AA2259" s="5" t="str">
        <f>HYPERLINK("https://www.zillow.com/homes/27W009-OAK-ST-HANOVER-PARK-IL-60133_rb/","check listing")</f>
        <v>check listing</v>
      </c>
      <c r="AB2259" s="5" t="str">
        <f>HYPERLINK("https://propertylookup.dupagecounty.gov/Datalets/Datalet.aspx?UseSearch=no&amp;mode=sales&amp;pin=0101206011","sales record")</f>
        <v>sales record</v>
      </c>
      <c r="AC2259" t="s">
        <v>27873</v>
      </c>
      <c r="AD2259">
        <v>41.986213</v>
      </c>
      <c r="AE2259">
        <v>-88.14503999999999</v>
      </c>
      <c r="AF2259" s="5" t="str">
        <f>HYPERLINK("https://www.google.com/maps/search/?api=1&amp;query=41.986213,-88.14504","map")</f>
        <v>map</v>
      </c>
    </row>
    <row r="2260" spans="1:32">
      <c r="A2260" t="s">
        <v>2310</v>
      </c>
      <c r="B2260" t="s">
        <v>9863</v>
      </c>
      <c r="C2260" t="s">
        <v>15407</v>
      </c>
      <c r="D2260" t="s">
        <v>16203</v>
      </c>
      <c r="E2260" t="s">
        <v>16218</v>
      </c>
      <c r="F2260" t="s">
        <v>16220</v>
      </c>
      <c r="G2260" t="s">
        <v>16238</v>
      </c>
      <c r="H2260" t="s">
        <v>16238</v>
      </c>
      <c r="I2260" t="s">
        <v>16338</v>
      </c>
      <c r="J2260" t="s">
        <v>16385</v>
      </c>
      <c r="K2260">
        <v>0.134</v>
      </c>
      <c r="L2260">
        <v>5846</v>
      </c>
      <c r="M2260">
        <v>2130</v>
      </c>
      <c r="N2260" t="s">
        <v>16393</v>
      </c>
      <c r="O2260" s="4">
        <v>21027</v>
      </c>
      <c r="P2260" s="4">
        <v>98770</v>
      </c>
      <c r="Q2260" s="4">
        <v>119797</v>
      </c>
      <c r="R2260" s="4">
        <v>359391</v>
      </c>
      <c r="S2260" t="s">
        <v>18595</v>
      </c>
      <c r="T2260" s="6">
        <v>43221</v>
      </c>
      <c r="U2260" s="4">
        <v>200000</v>
      </c>
      <c r="V2260" t="s">
        <v>23739</v>
      </c>
      <c r="W2260" t="s">
        <v>24815</v>
      </c>
      <c r="X2260" t="s">
        <v>3</v>
      </c>
      <c r="AA2260" s="5" t="str">
        <f>HYPERLINK("https://www.zillow.com/homes/1618-OAK-ST-HANOVER-PARK-IL-60133_rb/","check listing")</f>
        <v>check listing</v>
      </c>
      <c r="AB2260" s="5" t="str">
        <f>HYPERLINK("https://propertylookup.dupagecounty.gov/Datalets/Datalet.aspx?UseSearch=no&amp;mode=sales&amp;pin=0101205020","sales record")</f>
        <v>sales record</v>
      </c>
      <c r="AC2260" t="s">
        <v>3</v>
      </c>
      <c r="AD2260">
        <v>41.986666</v>
      </c>
      <c r="AE2260">
        <v>-88.145397</v>
      </c>
      <c r="AF2260" s="5" t="str">
        <f>HYPERLINK("https://www.google.com/maps/search/?api=1&amp;query=41.986666,-88.145397","map")</f>
        <v>map</v>
      </c>
    </row>
    <row r="2261" spans="1:32">
      <c r="A2261" t="s">
        <v>2311</v>
      </c>
      <c r="B2261" t="s">
        <v>9864</v>
      </c>
      <c r="C2261" t="s">
        <v>15407</v>
      </c>
      <c r="D2261" t="s">
        <v>16203</v>
      </c>
      <c r="E2261" t="s">
        <v>16218</v>
      </c>
      <c r="F2261" t="s">
        <v>16220</v>
      </c>
      <c r="G2261" t="s">
        <v>16238</v>
      </c>
      <c r="H2261" t="s">
        <v>16238</v>
      </c>
      <c r="I2261" t="s">
        <v>16338</v>
      </c>
      <c r="J2261" t="s">
        <v>16385</v>
      </c>
      <c r="K2261">
        <v>0.134</v>
      </c>
      <c r="L2261">
        <v>5837</v>
      </c>
      <c r="M2261">
        <v>1689</v>
      </c>
      <c r="N2261" t="s">
        <v>16393</v>
      </c>
      <c r="O2261" s="4">
        <v>21027</v>
      </c>
      <c r="P2261" s="4">
        <v>81398</v>
      </c>
      <c r="Q2261" s="4">
        <v>102425</v>
      </c>
      <c r="R2261" s="4">
        <v>307275</v>
      </c>
      <c r="S2261" t="s">
        <v>18596</v>
      </c>
      <c r="T2261" s="6">
        <v>35551</v>
      </c>
      <c r="U2261" s="4">
        <v>159000</v>
      </c>
      <c r="X2261" t="s">
        <v>3</v>
      </c>
      <c r="AA2261" s="5" t="str">
        <f>HYPERLINK("https://www.zillow.com/homes/1626-OAK-ST-HANOVER-PARK-IL-60133_rb/","check listing")</f>
        <v>check listing</v>
      </c>
      <c r="AB2261" s="5" t="str">
        <f>HYPERLINK("https://propertylookup.dupagecounty.gov/Datalets/Datalet.aspx?UseSearch=no&amp;mode=sales&amp;pin=0101205019","sales record")</f>
        <v>sales record</v>
      </c>
      <c r="AC2261" t="s">
        <v>3</v>
      </c>
      <c r="AD2261">
        <v>41.986661</v>
      </c>
      <c r="AE2261">
        <v>-88.14558100000001</v>
      </c>
      <c r="AF2261" s="5" t="str">
        <f>HYPERLINK("https://www.google.com/maps/search/?api=1&amp;query=41.986661,-88.145581","map")</f>
        <v>map</v>
      </c>
    </row>
    <row r="2262" spans="1:32">
      <c r="A2262" t="s">
        <v>2312</v>
      </c>
      <c r="B2262" t="s">
        <v>9865</v>
      </c>
      <c r="C2262" t="s">
        <v>15407</v>
      </c>
      <c r="D2262" t="s">
        <v>16203</v>
      </c>
      <c r="E2262" t="s">
        <v>16218</v>
      </c>
      <c r="F2262" t="s">
        <v>16220</v>
      </c>
      <c r="G2262" t="s">
        <v>16238</v>
      </c>
      <c r="H2262" t="s">
        <v>16238</v>
      </c>
      <c r="I2262" t="s">
        <v>16338</v>
      </c>
      <c r="J2262" t="s">
        <v>16385</v>
      </c>
      <c r="K2262">
        <v>0.134</v>
      </c>
      <c r="L2262">
        <v>5827</v>
      </c>
      <c r="M2262">
        <v>1677</v>
      </c>
      <c r="N2262" t="s">
        <v>16393</v>
      </c>
      <c r="O2262" s="4">
        <v>21027</v>
      </c>
      <c r="P2262" s="4">
        <v>84981</v>
      </c>
      <c r="Q2262" s="4">
        <v>106008</v>
      </c>
      <c r="R2262" s="4">
        <v>318024</v>
      </c>
      <c r="S2262" t="s">
        <v>18597</v>
      </c>
      <c r="T2262" s="6">
        <v>34881</v>
      </c>
      <c r="U2262" s="4">
        <v>143150</v>
      </c>
      <c r="X2262" t="s">
        <v>3</v>
      </c>
      <c r="AA2262" s="5" t="str">
        <f>HYPERLINK("https://www.zillow.com/homes/1634-OAK-ST-HANOVER-PARK-IL-60133_rb/","check listing")</f>
        <v>check listing</v>
      </c>
      <c r="AB2262" s="5" t="str">
        <f>HYPERLINK("https://propertylookup.dupagecounty.gov/Datalets/Datalet.aspx?UseSearch=no&amp;mode=sales&amp;pin=0101205018","sales record")</f>
        <v>sales record</v>
      </c>
      <c r="AC2262" t="s">
        <v>3</v>
      </c>
      <c r="AD2262">
        <v>41.986656</v>
      </c>
      <c r="AE2262">
        <v>-88.145764</v>
      </c>
      <c r="AF2262" s="5" t="str">
        <f>HYPERLINK("https://www.google.com/maps/search/?api=1&amp;query=41.986656,-88.145764","map")</f>
        <v>map</v>
      </c>
    </row>
    <row r="2263" spans="1:32">
      <c r="A2263" t="s">
        <v>2313</v>
      </c>
      <c r="B2263" t="s">
        <v>9866</v>
      </c>
      <c r="C2263" t="s">
        <v>15407</v>
      </c>
      <c r="D2263" t="s">
        <v>16203</v>
      </c>
      <c r="E2263" t="s">
        <v>16218</v>
      </c>
      <c r="F2263" t="s">
        <v>16220</v>
      </c>
      <c r="G2263" t="s">
        <v>16238</v>
      </c>
      <c r="H2263" t="s">
        <v>16238</v>
      </c>
      <c r="I2263" t="s">
        <v>16338</v>
      </c>
      <c r="J2263" t="s">
        <v>16385</v>
      </c>
      <c r="K2263">
        <v>0.134</v>
      </c>
      <c r="L2263">
        <v>5820</v>
      </c>
      <c r="M2263">
        <v>1854</v>
      </c>
      <c r="N2263" t="s">
        <v>16393</v>
      </c>
      <c r="O2263" s="4">
        <v>21027</v>
      </c>
      <c r="P2263" s="4">
        <v>90456</v>
      </c>
      <c r="Q2263" s="4">
        <v>111483</v>
      </c>
      <c r="R2263" s="4">
        <v>334449</v>
      </c>
      <c r="S2263" t="s">
        <v>18598</v>
      </c>
      <c r="T2263" s="6">
        <v>42675</v>
      </c>
      <c r="U2263" s="4">
        <v>266000</v>
      </c>
      <c r="V2263" t="s">
        <v>23739</v>
      </c>
      <c r="W2263" t="s">
        <v>18598</v>
      </c>
      <c r="X2263" t="s">
        <v>3</v>
      </c>
      <c r="AA2263" s="5" t="str">
        <f>HYPERLINK("https://www.zillow.com/homes/1642-OAK-ST-HANOVER-PARK-IL-60133_rb/","check listing")</f>
        <v>check listing</v>
      </c>
      <c r="AB2263" s="5" t="str">
        <f>HYPERLINK("https://propertylookup.dupagecounty.gov/Datalets/Datalet.aspx?UseSearch=no&amp;mode=sales&amp;pin=0101205017","sales record")</f>
        <v>sales record</v>
      </c>
      <c r="AC2263" t="s">
        <v>27873</v>
      </c>
      <c r="AD2263">
        <v>41.986651</v>
      </c>
      <c r="AE2263">
        <v>-88.145948</v>
      </c>
      <c r="AF2263" s="5" t="str">
        <f>HYPERLINK("https://www.google.com/maps/search/?api=1&amp;query=41.986651,-88.145948","map")</f>
        <v>map</v>
      </c>
    </row>
    <row r="2264" spans="1:32">
      <c r="A2264" t="s">
        <v>2314</v>
      </c>
      <c r="B2264" t="s">
        <v>9867</v>
      </c>
      <c r="C2264" t="s">
        <v>15407</v>
      </c>
      <c r="D2264" t="s">
        <v>16203</v>
      </c>
      <c r="E2264" t="s">
        <v>16218</v>
      </c>
      <c r="F2264" t="s">
        <v>16220</v>
      </c>
      <c r="G2264" t="s">
        <v>16238</v>
      </c>
      <c r="H2264" t="s">
        <v>16238</v>
      </c>
      <c r="I2264" t="s">
        <v>16338</v>
      </c>
      <c r="J2264" t="s">
        <v>16385</v>
      </c>
      <c r="K2264">
        <v>0.133</v>
      </c>
      <c r="L2264">
        <v>5811</v>
      </c>
      <c r="M2264">
        <v>1854</v>
      </c>
      <c r="N2264" t="s">
        <v>16393</v>
      </c>
      <c r="O2264" s="4">
        <v>21027</v>
      </c>
      <c r="P2264" s="4">
        <v>81398</v>
      </c>
      <c r="Q2264" s="4">
        <v>102425</v>
      </c>
      <c r="R2264" s="4">
        <v>307275</v>
      </c>
      <c r="S2264" t="s">
        <v>18599</v>
      </c>
      <c r="T2264" s="6">
        <v>38231</v>
      </c>
      <c r="U2264" s="4">
        <v>233500</v>
      </c>
      <c r="V2264" t="s">
        <v>23739</v>
      </c>
      <c r="W2264" t="s">
        <v>24816</v>
      </c>
      <c r="X2264" t="s">
        <v>3</v>
      </c>
      <c r="AA2264" s="5" t="str">
        <f>HYPERLINK("https://www.zillow.com/homes/1650-OAK-ST-HANOVER-PARK-IL-60133_rb/","check listing")</f>
        <v>check listing</v>
      </c>
      <c r="AB2264" s="5" t="str">
        <f>HYPERLINK("https://propertylookup.dupagecounty.gov/Datalets/Datalet.aspx?UseSearch=no&amp;mode=sales&amp;pin=0101205016","sales record")</f>
        <v>sales record</v>
      </c>
      <c r="AC2264" t="s">
        <v>27873</v>
      </c>
      <c r="AD2264">
        <v>41.986646</v>
      </c>
      <c r="AE2264">
        <v>-88.14613199999999</v>
      </c>
      <c r="AF2264" s="5" t="str">
        <f>HYPERLINK("https://www.google.com/maps/search/?api=1&amp;query=41.986646,-88.146132","map")</f>
        <v>map</v>
      </c>
    </row>
    <row r="2265" spans="1:32">
      <c r="A2265" t="s">
        <v>2315</v>
      </c>
      <c r="B2265" t="s">
        <v>9868</v>
      </c>
      <c r="C2265" t="s">
        <v>15420</v>
      </c>
      <c r="D2265" t="s">
        <v>16203</v>
      </c>
      <c r="E2265" t="s">
        <v>16218</v>
      </c>
      <c r="F2265" t="s">
        <v>16220</v>
      </c>
      <c r="G2265" t="s">
        <v>16238</v>
      </c>
      <c r="H2265" t="s">
        <v>16238</v>
      </c>
      <c r="I2265" t="s">
        <v>16338</v>
      </c>
      <c r="J2265" t="s">
        <v>16385</v>
      </c>
      <c r="K2265">
        <v>0.133</v>
      </c>
      <c r="L2265">
        <v>5801</v>
      </c>
      <c r="M2265">
        <v>1815</v>
      </c>
      <c r="N2265" t="s">
        <v>16393</v>
      </c>
      <c r="O2265" s="4">
        <v>21027</v>
      </c>
      <c r="P2265" s="4">
        <v>104834</v>
      </c>
      <c r="Q2265" s="4">
        <v>125861</v>
      </c>
      <c r="R2265" s="4">
        <v>377583</v>
      </c>
      <c r="S2265" t="s">
        <v>18600</v>
      </c>
      <c r="T2265" s="6">
        <v>44317</v>
      </c>
      <c r="U2265" s="4">
        <v>320000</v>
      </c>
      <c r="V2265" t="s">
        <v>23739</v>
      </c>
      <c r="W2265" t="s">
        <v>24817</v>
      </c>
      <c r="X2265" t="s">
        <v>3</v>
      </c>
      <c r="AA2265" s="5" t="str">
        <f>HYPERLINK("https://www.zillow.com/homes/1658-OAK-ST-HANOVER-PARK-IL-601334855_rb/","check listing")</f>
        <v>check listing</v>
      </c>
      <c r="AB2265" s="5" t="str">
        <f>HYPERLINK("https://propertylookup.dupagecounty.gov/Datalets/Datalet.aspx?UseSearch=no&amp;mode=sales&amp;pin=0101205015","sales record")</f>
        <v>sales record</v>
      </c>
      <c r="AC2265" t="s">
        <v>27873</v>
      </c>
      <c r="AD2265">
        <v>41.986641</v>
      </c>
      <c r="AE2265">
        <v>-88.146315</v>
      </c>
      <c r="AF2265" s="5" t="str">
        <f>HYPERLINK("https://www.google.com/maps/search/?api=1&amp;query=41.986641,-88.146315","map")</f>
        <v>map</v>
      </c>
    </row>
    <row r="2266" spans="1:32">
      <c r="A2266" t="s">
        <v>2316</v>
      </c>
      <c r="B2266" t="s">
        <v>9869</v>
      </c>
      <c r="C2266" t="s">
        <v>15407</v>
      </c>
      <c r="D2266" t="s">
        <v>16203</v>
      </c>
      <c r="E2266" t="s">
        <v>16218</v>
      </c>
      <c r="F2266" t="s">
        <v>16220</v>
      </c>
      <c r="G2266" t="s">
        <v>16238</v>
      </c>
      <c r="H2266" t="s">
        <v>16238</v>
      </c>
      <c r="I2266" t="s">
        <v>16338</v>
      </c>
      <c r="J2266" t="s">
        <v>16385</v>
      </c>
      <c r="K2266">
        <v>0.133</v>
      </c>
      <c r="L2266">
        <v>5790</v>
      </c>
      <c r="M2266">
        <v>1657</v>
      </c>
      <c r="N2266" t="s">
        <v>16393</v>
      </c>
      <c r="O2266" s="4">
        <v>21027</v>
      </c>
      <c r="P2266" s="4">
        <v>104989</v>
      </c>
      <c r="Q2266" s="4">
        <v>126016</v>
      </c>
      <c r="R2266" s="4">
        <v>378048</v>
      </c>
      <c r="S2266" t="s">
        <v>18601</v>
      </c>
      <c r="T2266" s="6">
        <v>44883</v>
      </c>
      <c r="U2266" s="4">
        <v>365000</v>
      </c>
      <c r="V2266" t="s">
        <v>23739</v>
      </c>
      <c r="W2266" t="s">
        <v>24818</v>
      </c>
      <c r="X2266" t="s">
        <v>3</v>
      </c>
      <c r="AA2266" s="5" t="str">
        <f>HYPERLINK("https://www.zillow.com/homes/1666-OAK-ST-HANOVER-PARK-IL-60133_rb/","check listing")</f>
        <v>check listing</v>
      </c>
      <c r="AB2266" s="5" t="str">
        <f>HYPERLINK("https://propertylookup.dupagecounty.gov/Datalets/Datalet.aspx?UseSearch=no&amp;mode=sales&amp;pin=0101205014","sales record")</f>
        <v>sales record</v>
      </c>
      <c r="AC2266" t="s">
        <v>27873</v>
      </c>
      <c r="AD2266">
        <v>41.986636</v>
      </c>
      <c r="AE2266">
        <v>-88.14649900000001</v>
      </c>
      <c r="AF2266" s="5" t="str">
        <f>HYPERLINK("https://www.google.com/maps/search/?api=1&amp;query=41.986636,-88.146499","map")</f>
        <v>map</v>
      </c>
    </row>
    <row r="2267" spans="1:32">
      <c r="A2267" t="s">
        <v>2317</v>
      </c>
      <c r="B2267" t="s">
        <v>9870</v>
      </c>
      <c r="C2267" t="s">
        <v>15407</v>
      </c>
      <c r="D2267" t="s">
        <v>16203</v>
      </c>
      <c r="E2267" t="s">
        <v>16218</v>
      </c>
      <c r="F2267" t="s">
        <v>16220</v>
      </c>
      <c r="G2267" t="s">
        <v>16238</v>
      </c>
      <c r="H2267" t="s">
        <v>16238</v>
      </c>
      <c r="I2267" t="s">
        <v>16338</v>
      </c>
      <c r="J2267" t="s">
        <v>16385</v>
      </c>
      <c r="K2267">
        <v>0.132</v>
      </c>
      <c r="L2267">
        <v>5751</v>
      </c>
      <c r="M2267">
        <v>1715</v>
      </c>
      <c r="N2267" t="s">
        <v>16393</v>
      </c>
      <c r="O2267" s="4">
        <v>21027</v>
      </c>
      <c r="P2267" s="4">
        <v>80608</v>
      </c>
      <c r="Q2267" s="4">
        <v>101635</v>
      </c>
      <c r="R2267" s="4">
        <v>304905</v>
      </c>
      <c r="S2267" t="s">
        <v>18602</v>
      </c>
      <c r="T2267" s="6">
        <v>45121</v>
      </c>
      <c r="U2267" s="4">
        <v>360000</v>
      </c>
      <c r="V2267" t="s">
        <v>23739</v>
      </c>
      <c r="W2267" t="s">
        <v>24819</v>
      </c>
      <c r="X2267" t="s">
        <v>3</v>
      </c>
      <c r="AA2267" s="5" t="str">
        <f>HYPERLINK("https://www.zillow.com/homes/1645-OAK-ST-HANOVER-PARK-IL-60133_rb/","check listing")</f>
        <v>check listing</v>
      </c>
      <c r="AB2267" s="5" t="str">
        <f>HYPERLINK("https://propertylookup.dupagecounty.gov/Datalets/Datalet.aspx?UseSearch=no&amp;mode=sales&amp;pin=0101206006","sales record")</f>
        <v>sales record</v>
      </c>
      <c r="AC2267" t="s">
        <v>3</v>
      </c>
      <c r="AD2267">
        <v>41.986194</v>
      </c>
      <c r="AE2267">
        <v>-88.14596</v>
      </c>
      <c r="AF2267" s="5" t="str">
        <f>HYPERLINK("https://www.google.com/maps/search/?api=1&amp;query=41.986194,-88.14596","map")</f>
        <v>map</v>
      </c>
    </row>
    <row r="2268" spans="1:32">
      <c r="A2268" t="s">
        <v>2318</v>
      </c>
      <c r="B2268" t="s">
        <v>9871</v>
      </c>
      <c r="C2268" t="s">
        <v>15421</v>
      </c>
      <c r="D2268" t="s">
        <v>16203</v>
      </c>
      <c r="E2268" t="s">
        <v>16218</v>
      </c>
      <c r="F2268" t="s">
        <v>16220</v>
      </c>
      <c r="G2268" t="s">
        <v>16238</v>
      </c>
      <c r="H2268" t="s">
        <v>16238</v>
      </c>
      <c r="I2268" t="s">
        <v>16338</v>
      </c>
      <c r="J2268" t="s">
        <v>16385</v>
      </c>
      <c r="K2268">
        <v>0.131</v>
      </c>
      <c r="L2268">
        <v>5724</v>
      </c>
      <c r="M2268">
        <v>1780</v>
      </c>
      <c r="N2268" t="s">
        <v>16393</v>
      </c>
      <c r="O2268" s="4">
        <v>21027</v>
      </c>
      <c r="P2268" s="4">
        <v>83639</v>
      </c>
      <c r="Q2268" s="4">
        <v>104666</v>
      </c>
      <c r="R2268" s="4">
        <v>313998</v>
      </c>
      <c r="S2268" t="s">
        <v>18603</v>
      </c>
      <c r="T2268" s="6">
        <v>43770</v>
      </c>
      <c r="U2268" s="4">
        <v>250000</v>
      </c>
      <c r="V2268" t="s">
        <v>23739</v>
      </c>
      <c r="W2268" t="s">
        <v>24820</v>
      </c>
      <c r="X2268" t="s">
        <v>3</v>
      </c>
      <c r="AA2268" s="5" t="str">
        <f>HYPERLINK("https://www.zillow.com/homes/1653-OAK-ST-HANOVER-PARK-IL-601334854_rb/","check listing")</f>
        <v>check listing</v>
      </c>
      <c r="AB2268" s="5" t="str">
        <f>HYPERLINK("https://propertylookup.dupagecounty.gov/Datalets/Datalet.aspx?UseSearch=no&amp;mode=sales&amp;pin=0101206005","sales record")</f>
        <v>sales record</v>
      </c>
      <c r="AC2268" t="s">
        <v>3</v>
      </c>
      <c r="AD2268">
        <v>41.98619</v>
      </c>
      <c r="AE2268">
        <v>-88.146143</v>
      </c>
      <c r="AF2268" s="5" t="str">
        <f>HYPERLINK("https://www.google.com/maps/search/?api=1&amp;query=41.98619,-88.146143","map")</f>
        <v>map</v>
      </c>
    </row>
    <row r="2269" spans="1:32">
      <c r="A2269" t="s">
        <v>2319</v>
      </c>
      <c r="B2269" t="s">
        <v>9872</v>
      </c>
      <c r="C2269" t="s">
        <v>15407</v>
      </c>
      <c r="D2269" t="s">
        <v>16203</v>
      </c>
      <c r="E2269" t="s">
        <v>16218</v>
      </c>
      <c r="F2269" t="s">
        <v>16220</v>
      </c>
      <c r="G2269" t="s">
        <v>16238</v>
      </c>
      <c r="H2269" t="s">
        <v>16238</v>
      </c>
      <c r="I2269" t="s">
        <v>16338</v>
      </c>
      <c r="J2269" t="s">
        <v>16385</v>
      </c>
      <c r="K2269">
        <v>0.131</v>
      </c>
      <c r="L2269">
        <v>5702</v>
      </c>
      <c r="M2269">
        <v>1715</v>
      </c>
      <c r="N2269" t="s">
        <v>16393</v>
      </c>
      <c r="O2269" s="4">
        <v>21027</v>
      </c>
      <c r="P2269" s="4">
        <v>75779</v>
      </c>
      <c r="Q2269" s="4">
        <v>96806</v>
      </c>
      <c r="R2269" s="4">
        <v>290418</v>
      </c>
      <c r="S2269" t="s">
        <v>18604</v>
      </c>
      <c r="T2269" s="6">
        <v>34547</v>
      </c>
      <c r="U2269" s="4">
        <v>132500</v>
      </c>
      <c r="X2269" t="s">
        <v>3</v>
      </c>
      <c r="AA2269" s="5" t="str">
        <f>HYPERLINK("https://www.zillow.com/homes/1661-OAK-ST-HANOVER-PARK-IL-60133_rb/","check listing")</f>
        <v>check listing</v>
      </c>
      <c r="AB2269" s="5" t="str">
        <f>HYPERLINK("https://propertylookup.dupagecounty.gov/Datalets/Datalet.aspx?UseSearch=no&amp;mode=sales&amp;pin=0101206004","sales record")</f>
        <v>sales record</v>
      </c>
      <c r="AC2269" t="s">
        <v>3</v>
      </c>
      <c r="AD2269">
        <v>41.986187</v>
      </c>
      <c r="AE2269">
        <v>-88.146327</v>
      </c>
      <c r="AF2269" s="5" t="str">
        <f>HYPERLINK("https://www.google.com/maps/search/?api=1&amp;query=41.986187,-88.146327","map")</f>
        <v>map</v>
      </c>
    </row>
    <row r="2270" spans="1:32">
      <c r="A2270" t="s">
        <v>2320</v>
      </c>
      <c r="B2270" t="s">
        <v>9873</v>
      </c>
      <c r="C2270" t="s">
        <v>15407</v>
      </c>
      <c r="D2270" t="s">
        <v>16203</v>
      </c>
      <c r="E2270" t="s">
        <v>16218</v>
      </c>
      <c r="F2270" t="s">
        <v>16220</v>
      </c>
      <c r="G2270" t="s">
        <v>16238</v>
      </c>
      <c r="H2270" t="s">
        <v>16238</v>
      </c>
      <c r="I2270" t="s">
        <v>16338</v>
      </c>
      <c r="J2270" t="s">
        <v>16385</v>
      </c>
      <c r="K2270">
        <v>0.13</v>
      </c>
      <c r="L2270">
        <v>5677</v>
      </c>
      <c r="M2270">
        <v>1820</v>
      </c>
      <c r="N2270" t="s">
        <v>16393</v>
      </c>
      <c r="O2270" s="4">
        <v>21027</v>
      </c>
      <c r="P2270" s="4">
        <v>104834</v>
      </c>
      <c r="Q2270" s="4">
        <v>125861</v>
      </c>
      <c r="R2270" s="4">
        <v>377583</v>
      </c>
      <c r="S2270" t="s">
        <v>18605</v>
      </c>
      <c r="T2270" s="6">
        <v>44742</v>
      </c>
      <c r="U2270" s="4">
        <v>375000</v>
      </c>
      <c r="V2270" t="s">
        <v>23739</v>
      </c>
      <c r="W2270" t="s">
        <v>24821</v>
      </c>
      <c r="X2270" t="s">
        <v>3</v>
      </c>
      <c r="AA2270" s="5" t="str">
        <f>HYPERLINK("https://www.zillow.com/homes/1666-ONTARIOVILLE-RD-HANOVER-PARK-IL-60133_rb/","check listing")</f>
        <v>check listing</v>
      </c>
      <c r="AB2270" s="5" t="str">
        <f>HYPERLINK("https://propertylookup.dupagecounty.gov/Datalets/Datalet.aspx?UseSearch=no&amp;mode=sales&amp;pin=0101206014","sales record")</f>
        <v>sales record</v>
      </c>
      <c r="AC2270" t="s">
        <v>3</v>
      </c>
      <c r="AD2270">
        <v>41.985871</v>
      </c>
      <c r="AE2270">
        <v>-88.146518</v>
      </c>
      <c r="AF2270" s="5" t="str">
        <f>HYPERLINK("https://www.google.com/maps/search/?api=1&amp;query=41.985871,-88.146518","map")</f>
        <v>map</v>
      </c>
    </row>
    <row r="2271" spans="1:32">
      <c r="A2271" t="s">
        <v>2321</v>
      </c>
      <c r="B2271" t="s">
        <v>9874</v>
      </c>
      <c r="C2271" t="s">
        <v>15421</v>
      </c>
      <c r="D2271" t="s">
        <v>16203</v>
      </c>
      <c r="E2271" t="s">
        <v>16218</v>
      </c>
      <c r="F2271" t="s">
        <v>16220</v>
      </c>
      <c r="G2271" t="s">
        <v>16238</v>
      </c>
      <c r="H2271" t="s">
        <v>16238</v>
      </c>
      <c r="I2271" t="s">
        <v>16338</v>
      </c>
      <c r="J2271" t="s">
        <v>16385</v>
      </c>
      <c r="K2271">
        <v>0.13</v>
      </c>
      <c r="L2271">
        <v>5674</v>
      </c>
      <c r="M2271">
        <v>845</v>
      </c>
      <c r="N2271" t="s">
        <v>16393</v>
      </c>
      <c r="O2271" s="4">
        <v>21027</v>
      </c>
      <c r="P2271" s="4">
        <v>104834</v>
      </c>
      <c r="Q2271" s="4">
        <v>125861</v>
      </c>
      <c r="R2271" s="4">
        <v>377583</v>
      </c>
      <c r="S2271" t="s">
        <v>18606</v>
      </c>
      <c r="T2271" s="6">
        <v>44197</v>
      </c>
      <c r="U2271" s="4">
        <v>297500</v>
      </c>
      <c r="V2271" t="s">
        <v>23739</v>
      </c>
      <c r="W2271" t="s">
        <v>24822</v>
      </c>
      <c r="X2271" t="s">
        <v>3</v>
      </c>
      <c r="AA2271" s="5" t="str">
        <f>HYPERLINK("https://www.zillow.com/homes/1669-OAK-ST-HANOVER-PARK-IL-601334854_rb/","check listing")</f>
        <v>check listing</v>
      </c>
      <c r="AB2271" s="5" t="str">
        <f>HYPERLINK("https://propertylookup.dupagecounty.gov/Datalets/Datalet.aspx?UseSearch=no&amp;mode=sales&amp;pin=0101206003","sales record")</f>
        <v>sales record</v>
      </c>
      <c r="AC2271" t="s">
        <v>3</v>
      </c>
      <c r="AD2271">
        <v>41.986183</v>
      </c>
      <c r="AE2271">
        <v>-88.146511</v>
      </c>
      <c r="AF2271" s="5" t="str">
        <f>HYPERLINK("https://www.google.com/maps/search/?api=1&amp;query=41.986183,-88.146511","map")</f>
        <v>map</v>
      </c>
    </row>
    <row r="2272" spans="1:32">
      <c r="A2272" t="s">
        <v>2322</v>
      </c>
      <c r="B2272" t="s">
        <v>9875</v>
      </c>
      <c r="C2272" t="s">
        <v>15422</v>
      </c>
      <c r="D2272" t="s">
        <v>16203</v>
      </c>
      <c r="E2272" t="s">
        <v>16218</v>
      </c>
      <c r="F2272" t="s">
        <v>16220</v>
      </c>
      <c r="G2272" t="s">
        <v>16238</v>
      </c>
      <c r="H2272" t="s">
        <v>16238</v>
      </c>
      <c r="I2272" t="s">
        <v>16338</v>
      </c>
      <c r="J2272" t="s">
        <v>16385</v>
      </c>
      <c r="K2272">
        <v>0.118</v>
      </c>
      <c r="L2272">
        <v>5144</v>
      </c>
      <c r="M2272">
        <v>1319</v>
      </c>
      <c r="N2272" t="s">
        <v>16393</v>
      </c>
      <c r="O2272" s="4">
        <v>21027</v>
      </c>
      <c r="P2272" s="4">
        <v>33511</v>
      </c>
      <c r="Q2272" s="4">
        <v>54538</v>
      </c>
      <c r="R2272" s="4">
        <v>163614</v>
      </c>
      <c r="S2272" t="s">
        <v>18607</v>
      </c>
      <c r="T2272" s="6">
        <v>32568</v>
      </c>
      <c r="U2272" s="4">
        <v>80000</v>
      </c>
      <c r="X2272" t="s">
        <v>3</v>
      </c>
      <c r="AA2272" s="5" t="str">
        <f>HYPERLINK("https://www.zillow.com/homes/27W072-ONTARIOVILLE-RD-HANOVER-PARK-IL-601334817_rb/","check listing")</f>
        <v>check listing</v>
      </c>
      <c r="AB2272" s="5" t="str">
        <f>HYPERLINK("https://propertylookup.dupagecounty.gov/Datalets/Datalet.aspx?UseSearch=no&amp;mode=sales&amp;pin=0101206013","sales record")</f>
        <v>sales record</v>
      </c>
      <c r="AC2272" t="s">
        <v>3</v>
      </c>
      <c r="AD2272">
        <v>41.985905</v>
      </c>
      <c r="AE2272">
        <v>-88.14670099999999</v>
      </c>
      <c r="AF2272" s="5" t="str">
        <f>HYPERLINK("https://www.google.com/maps/search/?api=1&amp;query=41.985905,-88.146701","map")</f>
        <v>map</v>
      </c>
    </row>
    <row r="2273" spans="1:32">
      <c r="A2273" t="s">
        <v>2323</v>
      </c>
      <c r="B2273" t="s">
        <v>9876</v>
      </c>
      <c r="C2273" t="s">
        <v>15407</v>
      </c>
      <c r="D2273" t="s">
        <v>16203</v>
      </c>
      <c r="E2273" t="s">
        <v>16218</v>
      </c>
      <c r="F2273" t="s">
        <v>16220</v>
      </c>
      <c r="G2273" t="s">
        <v>16238</v>
      </c>
      <c r="H2273" t="s">
        <v>16238</v>
      </c>
      <c r="I2273" t="s">
        <v>16338</v>
      </c>
      <c r="J2273" t="s">
        <v>16385</v>
      </c>
      <c r="K2273">
        <v>0.075</v>
      </c>
      <c r="L2273">
        <v>3273</v>
      </c>
      <c r="M2273">
        <v>592</v>
      </c>
      <c r="N2273" t="s">
        <v>16393</v>
      </c>
      <c r="O2273" s="4">
        <v>7327</v>
      </c>
      <c r="P2273" s="4">
        <v>60243</v>
      </c>
      <c r="Q2273" s="4">
        <v>67570</v>
      </c>
      <c r="R2273" s="4">
        <v>202710</v>
      </c>
      <c r="S2273" t="s">
        <v>18608</v>
      </c>
      <c r="T2273" s="6">
        <v>38869</v>
      </c>
      <c r="U2273" s="4">
        <v>175000</v>
      </c>
      <c r="V2273" t="s">
        <v>23739</v>
      </c>
      <c r="W2273" t="s">
        <v>18608</v>
      </c>
      <c r="X2273" t="s">
        <v>3</v>
      </c>
      <c r="AA2273" s="5" t="str">
        <f>HYPERLINK("https://www.zillow.com/homes/1365-COURT-MARGUERITE-HANOVER-PARK-IL-60133_rb/","check listing")</f>
        <v>check listing</v>
      </c>
      <c r="AB2273" s="5" t="str">
        <f>HYPERLINK("https://propertylookup.dupagecounty.gov/Datalets/Datalet.aspx?UseSearch=no&amp;mode=sales&amp;pin=0206404120","sales record")</f>
        <v>sales record</v>
      </c>
      <c r="AC2273" t="s">
        <v>3</v>
      </c>
      <c r="AD2273">
        <v>41.975331</v>
      </c>
      <c r="AE2273">
        <v>-88.13564100000001</v>
      </c>
      <c r="AF2273" s="5" t="str">
        <f>HYPERLINK("https://www.google.com/maps/search/?api=1&amp;query=41.975331,-88.135641","map")</f>
        <v>map</v>
      </c>
    </row>
    <row r="2274" spans="1:32">
      <c r="A2274" t="s">
        <v>2324</v>
      </c>
      <c r="B2274" t="s">
        <v>9877</v>
      </c>
      <c r="C2274" t="s">
        <v>15407</v>
      </c>
      <c r="D2274" t="s">
        <v>16203</v>
      </c>
      <c r="E2274" t="s">
        <v>16217</v>
      </c>
      <c r="F2274" t="s">
        <v>16220</v>
      </c>
      <c r="G2274" t="s">
        <v>16238</v>
      </c>
      <c r="H2274" t="s">
        <v>16238</v>
      </c>
      <c r="I2274" t="s">
        <v>16338</v>
      </c>
      <c r="J2274" t="s">
        <v>16385</v>
      </c>
      <c r="K2274">
        <v>15.2</v>
      </c>
      <c r="L2274">
        <v>662097</v>
      </c>
      <c r="N2274" t="s">
        <v>16393</v>
      </c>
      <c r="O2274" s="4">
        <v>10531</v>
      </c>
      <c r="P2274" s="4">
        <v>0</v>
      </c>
      <c r="Q2274" s="4">
        <v>10531</v>
      </c>
      <c r="R2274" s="4">
        <v>31593</v>
      </c>
      <c r="S2274" t="s">
        <v>18609</v>
      </c>
      <c r="T2274" s="6">
        <v>42644</v>
      </c>
      <c r="U2274" s="4">
        <v>20000</v>
      </c>
      <c r="V2274" t="s">
        <v>23740</v>
      </c>
      <c r="W2274" t="s">
        <v>18609</v>
      </c>
      <c r="X2274" t="s">
        <v>3</v>
      </c>
      <c r="AA2274" s="5" t="str">
        <f>HYPERLINK("https://www.zillow.com/homes/ONTARIOVILLE-RD-HANOVER-PARK-IL-60133_rb/","check listing")</f>
        <v>check listing</v>
      </c>
      <c r="AB2274" s="5" t="str">
        <f>HYPERLINK("https://propertylookup.dupagecounty.gov/Datalets/Datalet.aspx?UseSearch=no&amp;mode=sales&amp;pin=0101212005","sales record")</f>
        <v>sales record</v>
      </c>
      <c r="AC2274" t="s">
        <v>3</v>
      </c>
      <c r="AD2274">
        <v>41.983818</v>
      </c>
      <c r="AE2274">
        <v>-88.146719</v>
      </c>
      <c r="AF2274" s="5" t="str">
        <f>HYPERLINK("https://www.google.com/maps/search/?api=1&amp;query=41.983818,-88.146719","map")</f>
        <v>map</v>
      </c>
    </row>
    <row r="2275" spans="1:32">
      <c r="A2275" t="s">
        <v>2325</v>
      </c>
      <c r="B2275" t="s">
        <v>9878</v>
      </c>
      <c r="C2275" t="s">
        <v>15407</v>
      </c>
      <c r="D2275" t="s">
        <v>16203</v>
      </c>
      <c r="E2275" t="s">
        <v>16217</v>
      </c>
      <c r="F2275" t="s">
        <v>16220</v>
      </c>
      <c r="G2275" t="s">
        <v>16238</v>
      </c>
      <c r="H2275" t="s">
        <v>16238</v>
      </c>
      <c r="I2275" t="s">
        <v>16338</v>
      </c>
      <c r="J2275" t="s">
        <v>16385</v>
      </c>
      <c r="K2275">
        <v>0.959</v>
      </c>
      <c r="L2275">
        <v>41761</v>
      </c>
      <c r="N2275" t="s">
        <v>16393</v>
      </c>
      <c r="O2275" s="4">
        <v>22053</v>
      </c>
      <c r="P2275" s="4">
        <v>0</v>
      </c>
      <c r="Q2275" s="4">
        <v>22053</v>
      </c>
      <c r="R2275" s="4">
        <v>66159</v>
      </c>
      <c r="S2275" t="s">
        <v>18610</v>
      </c>
      <c r="X2275" t="s">
        <v>3</v>
      </c>
      <c r="AA2275" s="5" t="str">
        <f>HYPERLINK("https://www.zillow.com/homes/GREENBROOK-CT-HANOVER-PARK-IL-60133_rb/","check listing")</f>
        <v>check listing</v>
      </c>
      <c r="AB2275" s="5" t="str">
        <f>HYPERLINK("https://propertylookup.dupagecounty.gov/Datalets/Datalet.aspx?UseSearch=no&amp;mode=sales&amp;pin=0206403058","sales record")</f>
        <v>sales record</v>
      </c>
      <c r="AC2275" t="s">
        <v>3</v>
      </c>
      <c r="AD2275">
        <v>41.976728</v>
      </c>
      <c r="AE2275">
        <v>-88.136616</v>
      </c>
      <c r="AF2275" s="5" t="str">
        <f>HYPERLINK("https://www.google.com/maps/search/?api=1&amp;query=41.976728,-88.136616","map")</f>
        <v>map</v>
      </c>
    </row>
    <row r="2276" spans="1:32">
      <c r="A2276" t="s">
        <v>2326</v>
      </c>
      <c r="B2276" t="s">
        <v>9879</v>
      </c>
      <c r="C2276" t="s">
        <v>15407</v>
      </c>
      <c r="D2276" t="s">
        <v>16203</v>
      </c>
      <c r="E2276" t="s">
        <v>16217</v>
      </c>
      <c r="F2276" t="s">
        <v>16220</v>
      </c>
      <c r="G2276" t="s">
        <v>16238</v>
      </c>
      <c r="H2276" t="s">
        <v>16238</v>
      </c>
      <c r="I2276" t="s">
        <v>16338</v>
      </c>
      <c r="J2276" t="s">
        <v>16385</v>
      </c>
      <c r="K2276">
        <v>0.474</v>
      </c>
      <c r="L2276">
        <v>20632</v>
      </c>
      <c r="N2276" t="s">
        <v>16393</v>
      </c>
      <c r="O2276" s="4">
        <v>27420</v>
      </c>
      <c r="P2276" s="4">
        <v>0</v>
      </c>
      <c r="Q2276" s="4">
        <v>27420</v>
      </c>
      <c r="R2276" s="4">
        <v>82260</v>
      </c>
      <c r="S2276" t="s">
        <v>18611</v>
      </c>
      <c r="X2276" t="s">
        <v>3</v>
      </c>
      <c r="AA2276" s="5" t="str">
        <f>HYPERLINK("https://www.zillow.com/homes/LAKE-ST-HANOVER-PARK-IL-60133_rb/","check listing")</f>
        <v>check listing</v>
      </c>
      <c r="AB2276" s="5" t="str">
        <f>HYPERLINK("https://propertylookup.dupagecounty.gov/Datalets/Datalet.aspx?UseSearch=no&amp;mode=sales&amp;pin=0206102034","sales record")</f>
        <v>sales record</v>
      </c>
      <c r="AC2276" t="s">
        <v>3</v>
      </c>
      <c r="AD2276">
        <v>41.985526</v>
      </c>
      <c r="AE2276">
        <v>-88.142875</v>
      </c>
      <c r="AF2276" s="5" t="str">
        <f>HYPERLINK("https://www.google.com/maps/search/?api=1&amp;query=41.985526,-88.142875","map")</f>
        <v>map</v>
      </c>
    </row>
    <row r="2277" spans="1:32">
      <c r="A2277" t="s">
        <v>2327</v>
      </c>
      <c r="B2277" t="s">
        <v>9834</v>
      </c>
      <c r="C2277" t="s">
        <v>15407</v>
      </c>
      <c r="D2277" t="s">
        <v>16203</v>
      </c>
      <c r="E2277" t="s">
        <v>16217</v>
      </c>
      <c r="F2277" t="s">
        <v>16220</v>
      </c>
      <c r="G2277" t="s">
        <v>16238</v>
      </c>
      <c r="H2277" t="s">
        <v>16238</v>
      </c>
      <c r="I2277" t="s">
        <v>16338</v>
      </c>
      <c r="J2277" t="s">
        <v>16385</v>
      </c>
      <c r="K2277">
        <v>0.135</v>
      </c>
      <c r="L2277">
        <v>5860</v>
      </c>
      <c r="N2277" t="s">
        <v>16393</v>
      </c>
      <c r="O2277" s="4">
        <v>10507</v>
      </c>
      <c r="P2277" s="4">
        <v>0</v>
      </c>
      <c r="Q2277" s="4">
        <v>10507</v>
      </c>
      <c r="R2277" s="4">
        <v>31521</v>
      </c>
      <c r="S2277" t="s">
        <v>18566</v>
      </c>
      <c r="T2277" s="6">
        <v>45442</v>
      </c>
      <c r="U2277" s="4">
        <v>170000</v>
      </c>
      <c r="V2277" t="s">
        <v>23739</v>
      </c>
      <c r="W2277" t="s">
        <v>24802</v>
      </c>
      <c r="X2277" t="s">
        <v>3</v>
      </c>
      <c r="AA2277" s="5" t="str">
        <f>HYPERLINK("https://www.zillow.com/homes/27W028-OAK-ST-HANOVER-PARK-IL-60133_rb/","check listing")</f>
        <v>check listing</v>
      </c>
      <c r="AB2277" s="5" t="str">
        <f>HYPERLINK("https://propertylookup.dupagecounty.gov/Datalets/Datalet.aspx?UseSearch=no&amp;mode=sales&amp;pin=0101205011","sales record")</f>
        <v>sales record</v>
      </c>
      <c r="AC2277" t="s">
        <v>27872</v>
      </c>
      <c r="AD2277">
        <v>41.98662</v>
      </c>
      <c r="AE2277">
        <v>-88.14708400000001</v>
      </c>
      <c r="AF2277" s="5" t="str">
        <f>HYPERLINK("https://www.google.com/maps/search/?api=1&amp;query=41.98662,-88.147084","map")</f>
        <v>map</v>
      </c>
    </row>
    <row r="2278" spans="1:32">
      <c r="A2278" t="s">
        <v>2328</v>
      </c>
      <c r="B2278" t="s">
        <v>9880</v>
      </c>
      <c r="C2278" t="s">
        <v>15423</v>
      </c>
      <c r="D2278" t="s">
        <v>16203</v>
      </c>
      <c r="E2278" t="s">
        <v>16217</v>
      </c>
      <c r="F2278" t="s">
        <v>16220</v>
      </c>
      <c r="G2278" t="s">
        <v>16238</v>
      </c>
      <c r="H2278" t="s">
        <v>16238</v>
      </c>
      <c r="I2278" t="s">
        <v>16338</v>
      </c>
      <c r="J2278" t="s">
        <v>16385</v>
      </c>
      <c r="K2278">
        <v>0.134</v>
      </c>
      <c r="L2278">
        <v>5854</v>
      </c>
      <c r="N2278" t="s">
        <v>16393</v>
      </c>
      <c r="O2278" s="4">
        <v>10507</v>
      </c>
      <c r="P2278" s="4">
        <v>0</v>
      </c>
      <c r="Q2278" s="4">
        <v>10507</v>
      </c>
      <c r="R2278" s="4">
        <v>31521</v>
      </c>
      <c r="S2278" t="s">
        <v>18593</v>
      </c>
      <c r="X2278" t="s">
        <v>3</v>
      </c>
      <c r="AA2278" s="5" t="str">
        <f>HYPERLINK("https://www.zillow.com/homes/7N708-BARRINGTON-RD-ONTARIOVILLE-IL-60103_rb/","check listing")</f>
        <v>check listing</v>
      </c>
      <c r="AB2278" s="5" t="str">
        <f>HYPERLINK("https://propertylookup.dupagecounty.gov/Datalets/Datalet.aspx?UseSearch=no&amp;mode=sales&amp;pin=0101206021","sales record")</f>
        <v>sales record</v>
      </c>
      <c r="AC2278" t="s">
        <v>27872</v>
      </c>
      <c r="AD2278">
        <v>41.985888</v>
      </c>
      <c r="AE2278">
        <v>-88.145231</v>
      </c>
      <c r="AF2278" s="5" t="str">
        <f>HYPERLINK("https://www.google.com/maps/search/?api=1&amp;query=41.985888,-88.145231","map")</f>
        <v>map</v>
      </c>
    </row>
    <row r="2279" spans="1:32">
      <c r="A2279" t="s">
        <v>2329</v>
      </c>
      <c r="B2279" t="s">
        <v>9881</v>
      </c>
      <c r="C2279" t="s">
        <v>15407</v>
      </c>
      <c r="D2279" t="s">
        <v>16203</v>
      </c>
      <c r="E2279" t="s">
        <v>16217</v>
      </c>
      <c r="F2279" t="s">
        <v>16220</v>
      </c>
      <c r="G2279" t="s">
        <v>16238</v>
      </c>
      <c r="H2279" t="s">
        <v>16238</v>
      </c>
      <c r="I2279" t="s">
        <v>16338</v>
      </c>
      <c r="J2279" t="s">
        <v>16385</v>
      </c>
      <c r="K2279">
        <v>0.134</v>
      </c>
      <c r="L2279">
        <v>5851</v>
      </c>
      <c r="N2279" t="s">
        <v>16393</v>
      </c>
      <c r="O2279" s="4">
        <v>10507</v>
      </c>
      <c r="P2279" s="4">
        <v>0</v>
      </c>
      <c r="Q2279" s="4">
        <v>10507</v>
      </c>
      <c r="R2279" s="4">
        <v>31521</v>
      </c>
      <c r="S2279" t="s">
        <v>18612</v>
      </c>
      <c r="T2279" s="6">
        <v>32629</v>
      </c>
      <c r="U2279" s="4">
        <v>60000</v>
      </c>
      <c r="X2279" t="s">
        <v>3</v>
      </c>
      <c r="AA2279" s="5" t="str">
        <f>HYPERLINK("https://www.zillow.com/homes/1615-OAK-ST-HANOVER-PARK-IL-60133_rb/","check listing")</f>
        <v>check listing</v>
      </c>
      <c r="AB2279" s="5" t="str">
        <f>HYPERLINK("https://propertylookup.dupagecounty.gov/Datalets/Datalet.aspx?UseSearch=no&amp;mode=sales&amp;pin=0101206010","sales record")</f>
        <v>sales record</v>
      </c>
      <c r="AC2279" t="s">
        <v>3</v>
      </c>
      <c r="AD2279">
        <v>41.986209</v>
      </c>
      <c r="AE2279">
        <v>-88.145224</v>
      </c>
      <c r="AF2279" s="5" t="str">
        <f>HYPERLINK("https://www.google.com/maps/search/?api=1&amp;query=41.986209,-88.145224","map")</f>
        <v>map</v>
      </c>
    </row>
    <row r="2280" spans="1:32">
      <c r="A2280" t="s">
        <v>2330</v>
      </c>
      <c r="B2280" t="s">
        <v>9882</v>
      </c>
      <c r="C2280" t="s">
        <v>15407</v>
      </c>
      <c r="D2280" t="s">
        <v>16203</v>
      </c>
      <c r="E2280" t="s">
        <v>16217</v>
      </c>
      <c r="F2280" t="s">
        <v>16220</v>
      </c>
      <c r="G2280" t="s">
        <v>16238</v>
      </c>
      <c r="H2280" t="s">
        <v>16238</v>
      </c>
      <c r="I2280" t="s">
        <v>16338</v>
      </c>
      <c r="J2280" t="s">
        <v>16385</v>
      </c>
      <c r="K2280">
        <v>0.134</v>
      </c>
      <c r="L2280">
        <v>5827</v>
      </c>
      <c r="N2280" t="s">
        <v>16393</v>
      </c>
      <c r="O2280" s="4">
        <v>10507</v>
      </c>
      <c r="P2280" s="4">
        <v>0</v>
      </c>
      <c r="Q2280" s="4">
        <v>10507</v>
      </c>
      <c r="R2280" s="4">
        <v>31521</v>
      </c>
      <c r="S2280" t="s">
        <v>18613</v>
      </c>
      <c r="X2280" t="s">
        <v>3</v>
      </c>
      <c r="AA2280" s="5" t="str">
        <f>HYPERLINK("https://www.zillow.com/homes/OAK-ST-HANOVER-PARK-IL-60133_rb/","check listing")</f>
        <v>check listing</v>
      </c>
      <c r="AB2280" s="5" t="str">
        <f>HYPERLINK("https://propertylookup.dupagecounty.gov/Datalets/Datalet.aspx?UseSearch=no&amp;mode=sales&amp;pin=0101206026","sales record")</f>
        <v>sales record</v>
      </c>
      <c r="AC2280" t="s">
        <v>3</v>
      </c>
      <c r="AD2280">
        <v>41.985886</v>
      </c>
      <c r="AE2280">
        <v>-88.145415</v>
      </c>
      <c r="AF2280" s="5" t="str">
        <f>HYPERLINK("https://www.google.com/maps/search/?api=1&amp;query=41.985886,-88.145415","map")</f>
        <v>map</v>
      </c>
    </row>
    <row r="2281" spans="1:32">
      <c r="A2281" t="s">
        <v>2331</v>
      </c>
      <c r="B2281" t="s">
        <v>9875</v>
      </c>
      <c r="C2281" t="s">
        <v>15422</v>
      </c>
      <c r="D2281" t="s">
        <v>16203</v>
      </c>
      <c r="E2281" t="s">
        <v>16217</v>
      </c>
      <c r="F2281" t="s">
        <v>16220</v>
      </c>
      <c r="G2281" t="s">
        <v>16238</v>
      </c>
      <c r="H2281" t="s">
        <v>16238</v>
      </c>
      <c r="I2281" t="s">
        <v>16338</v>
      </c>
      <c r="J2281" t="s">
        <v>16385</v>
      </c>
      <c r="K2281">
        <v>0.091</v>
      </c>
      <c r="L2281">
        <v>3947</v>
      </c>
      <c r="N2281" t="s">
        <v>16393</v>
      </c>
      <c r="O2281" s="4">
        <v>10507</v>
      </c>
      <c r="P2281" s="4">
        <v>0</v>
      </c>
      <c r="Q2281" s="4">
        <v>10507</v>
      </c>
      <c r="R2281" s="4">
        <v>31521</v>
      </c>
      <c r="S2281" t="s">
        <v>18607</v>
      </c>
      <c r="T2281" s="6">
        <v>42856</v>
      </c>
      <c r="U2281" s="4">
        <v>133900</v>
      </c>
      <c r="V2281" t="s">
        <v>23739</v>
      </c>
      <c r="W2281" t="s">
        <v>18607</v>
      </c>
      <c r="X2281" t="s">
        <v>3</v>
      </c>
      <c r="AA2281" s="5" t="str">
        <f>HYPERLINK("https://www.zillow.com/homes/27W072-ONTARIOVILLE-RD-HANOVER-PARK-IL-601334817_rb/","check listing")</f>
        <v>check listing</v>
      </c>
      <c r="AB2281" s="5" t="str">
        <f>HYPERLINK("https://propertylookup.dupagecounty.gov/Datalets/Datalet.aspx?UseSearch=no&amp;mode=sales&amp;pin=0101206012","sales record")</f>
        <v>sales record</v>
      </c>
      <c r="AC2281" t="s">
        <v>27872</v>
      </c>
      <c r="AD2281">
        <v>41.985847</v>
      </c>
      <c r="AE2281">
        <v>-88.146852</v>
      </c>
      <c r="AF2281" s="5" t="str">
        <f>HYPERLINK("https://www.google.com/maps/search/?api=1&amp;query=41.985847,-88.146852","map")</f>
        <v>map</v>
      </c>
    </row>
    <row r="2282" spans="1:32">
      <c r="A2282" t="s">
        <v>2332</v>
      </c>
      <c r="B2282" t="s">
        <v>9883</v>
      </c>
      <c r="C2282" t="s">
        <v>15407</v>
      </c>
      <c r="D2282" t="s">
        <v>16203</v>
      </c>
      <c r="E2282" t="s">
        <v>16217</v>
      </c>
      <c r="F2282" t="s">
        <v>16221</v>
      </c>
      <c r="G2282" t="s">
        <v>16259</v>
      </c>
      <c r="H2282" t="s">
        <v>16259</v>
      </c>
      <c r="I2282" t="s">
        <v>16339</v>
      </c>
      <c r="J2282" t="s">
        <v>16386</v>
      </c>
      <c r="K2282">
        <v>19.206</v>
      </c>
      <c r="L2282">
        <v>836611</v>
      </c>
      <c r="N2282" t="s">
        <v>16395</v>
      </c>
      <c r="O2282" s="4">
        <v>8426</v>
      </c>
      <c r="P2282" s="4">
        <v>0</v>
      </c>
      <c r="Q2282" s="4">
        <v>8426</v>
      </c>
      <c r="R2282" s="4">
        <v>25278</v>
      </c>
      <c r="S2282" t="s">
        <v>18614</v>
      </c>
      <c r="X2282" t="s">
        <v>3</v>
      </c>
      <c r="AA2282" s="5" t="str">
        <f>HYPERLINK("https://www.zillow.com/homes/DEVON-AVE-HANOVER-PARK-IL-60133_rb/","check listing")</f>
        <v>check listing</v>
      </c>
      <c r="AB2282" s="5" t="str">
        <f>HYPERLINK("https://propertylookup.dupagecounty.gov/Datalets/Datalet.aspx?UseSearch=no&amp;mode=sales&amp;pin=0101208014","sales record")</f>
        <v>sales record</v>
      </c>
      <c r="AC2282" t="s">
        <v>3</v>
      </c>
      <c r="AD2282">
        <v>41.985188</v>
      </c>
      <c r="AE2282">
        <v>-88.152782</v>
      </c>
      <c r="AF2282" s="5" t="str">
        <f>HYPERLINK("https://www.google.com/maps/search/?api=1&amp;query=41.985188,-88.152782","map")</f>
        <v>map</v>
      </c>
    </row>
    <row r="2283" spans="1:32">
      <c r="A2283" t="s">
        <v>2333</v>
      </c>
      <c r="B2283" t="s">
        <v>9884</v>
      </c>
      <c r="C2283" t="s">
        <v>15407</v>
      </c>
      <c r="D2283" t="s">
        <v>16203</v>
      </c>
      <c r="E2283" t="s">
        <v>16217</v>
      </c>
      <c r="F2283" t="s">
        <v>16221</v>
      </c>
      <c r="G2283" t="s">
        <v>16259</v>
      </c>
      <c r="H2283" t="s">
        <v>16259</v>
      </c>
      <c r="I2283" t="s">
        <v>16339</v>
      </c>
      <c r="J2283" t="s">
        <v>16386</v>
      </c>
      <c r="K2283">
        <v>4.613</v>
      </c>
      <c r="L2283">
        <v>200947</v>
      </c>
      <c r="N2283" t="s">
        <v>16395</v>
      </c>
      <c r="O2283" s="4">
        <v>1969</v>
      </c>
      <c r="P2283" s="4">
        <v>0</v>
      </c>
      <c r="Q2283" s="4">
        <v>1969</v>
      </c>
      <c r="R2283" s="4">
        <v>5907</v>
      </c>
      <c r="S2283" t="s">
        <v>18615</v>
      </c>
      <c r="T2283" s="6">
        <v>37073</v>
      </c>
      <c r="U2283" s="4">
        <v>300000</v>
      </c>
      <c r="V2283" t="s">
        <v>23739</v>
      </c>
      <c r="W2283" t="s">
        <v>24823</v>
      </c>
      <c r="X2283" t="s">
        <v>3</v>
      </c>
      <c r="AA2283" s="5" t="str">
        <f>HYPERLINK("https://www.zillow.com/homes/6211-CHURCH-RD-HANOVER-PARK-IL-60133_rb/","check listing")</f>
        <v>check listing</v>
      </c>
      <c r="AB2283" s="5" t="str">
        <f>HYPERLINK("https://propertylookup.dupagecounty.gov/Datalets/Datalet.aspx?UseSearch=no&amp;mode=sales&amp;pin=0101203006","sales record")</f>
        <v>sales record</v>
      </c>
      <c r="AC2283" t="s">
        <v>27872</v>
      </c>
      <c r="AD2283">
        <v>41.986162</v>
      </c>
      <c r="AE2283">
        <v>-88.15294900000001</v>
      </c>
      <c r="AF2283" s="5" t="str">
        <f>HYPERLINK("https://www.google.com/maps/search/?api=1&amp;query=41.986162,-88.152949","map")</f>
        <v>map</v>
      </c>
    </row>
    <row r="2284" spans="1:32">
      <c r="A2284" t="s">
        <v>2334</v>
      </c>
      <c r="B2284" t="s">
        <v>9885</v>
      </c>
      <c r="C2284" t="s">
        <v>15407</v>
      </c>
      <c r="D2284" t="s">
        <v>16203</v>
      </c>
      <c r="E2284" t="s">
        <v>16217</v>
      </c>
      <c r="F2284" t="s">
        <v>16221</v>
      </c>
      <c r="G2284" t="s">
        <v>16259</v>
      </c>
      <c r="H2284" t="s">
        <v>16259</v>
      </c>
      <c r="I2284" t="s">
        <v>16339</v>
      </c>
      <c r="J2284" t="s">
        <v>16386</v>
      </c>
      <c r="K2284">
        <v>0.704</v>
      </c>
      <c r="L2284">
        <v>30672</v>
      </c>
      <c r="N2284" t="s">
        <v>16393</v>
      </c>
      <c r="O2284" s="4">
        <v>26861</v>
      </c>
      <c r="P2284" s="4">
        <v>0</v>
      </c>
      <c r="Q2284" s="4">
        <v>26861</v>
      </c>
      <c r="R2284" s="4">
        <v>80583</v>
      </c>
      <c r="S2284" t="s">
        <v>18616</v>
      </c>
      <c r="T2284" s="6">
        <v>43952</v>
      </c>
      <c r="U2284" s="4">
        <v>30000</v>
      </c>
      <c r="V2284" t="s">
        <v>23739</v>
      </c>
      <c r="W2284" t="s">
        <v>18616</v>
      </c>
      <c r="X2284" t="s">
        <v>3</v>
      </c>
      <c r="AA2284" s="5" t="str">
        <f>HYPERLINK("https://www.zillow.com/homes/27W431-DEVON-AVE-HANOVER-PARK-IL-60133_rb/","check listing")</f>
        <v>check listing</v>
      </c>
      <c r="AB2284" s="5" t="str">
        <f>HYPERLINK("https://propertylookup.dupagecounty.gov/Datalets/Datalet.aspx?UseSearch=no&amp;mode=sales&amp;pin=0101105001","sales record")</f>
        <v>sales record</v>
      </c>
      <c r="AC2284" t="s">
        <v>27872</v>
      </c>
      <c r="AD2284">
        <v>41.987749</v>
      </c>
      <c r="AE2284">
        <v>-88.155496</v>
      </c>
      <c r="AF2284" s="5" t="str">
        <f>HYPERLINK("https://www.google.com/maps/search/?api=1&amp;query=41.987749,-88.155496","map")</f>
        <v>map</v>
      </c>
    </row>
    <row r="2285" spans="1:32">
      <c r="A2285" t="s">
        <v>2335</v>
      </c>
      <c r="B2285" t="s">
        <v>9886</v>
      </c>
      <c r="C2285" t="s">
        <v>15407</v>
      </c>
      <c r="D2285" t="s">
        <v>16203</v>
      </c>
      <c r="E2285" t="s">
        <v>16217</v>
      </c>
      <c r="F2285" t="s">
        <v>16221</v>
      </c>
      <c r="G2285" t="s">
        <v>16259</v>
      </c>
      <c r="H2285" t="s">
        <v>16259</v>
      </c>
      <c r="I2285" t="s">
        <v>16339</v>
      </c>
      <c r="J2285" t="s">
        <v>16386</v>
      </c>
      <c r="K2285">
        <v>0.615</v>
      </c>
      <c r="L2285">
        <v>26777</v>
      </c>
      <c r="N2285" t="s">
        <v>16393</v>
      </c>
      <c r="O2285" s="4">
        <v>41549</v>
      </c>
      <c r="P2285" s="4">
        <v>0</v>
      </c>
      <c r="Q2285" s="4">
        <v>41549</v>
      </c>
      <c r="R2285" s="4">
        <v>124647</v>
      </c>
      <c r="S2285" t="s">
        <v>18617</v>
      </c>
      <c r="T2285" s="6">
        <v>38443</v>
      </c>
      <c r="U2285" s="4">
        <v>229900</v>
      </c>
      <c r="V2285" t="s">
        <v>23739</v>
      </c>
      <c r="W2285" t="s">
        <v>24824</v>
      </c>
      <c r="X2285" t="s">
        <v>3</v>
      </c>
      <c r="AA2285" s="5" t="str">
        <f>HYPERLINK("https://www.zillow.com/homes/7N630-COUNTY-FARM-RD-HANOVER-PARK-IL-60133_rb/","check listing")</f>
        <v>check listing</v>
      </c>
      <c r="AB2285" s="5" t="str">
        <f>HYPERLINK("https://propertylookup.dupagecounty.gov/Datalets/Datalet.aspx?UseSearch=no&amp;mode=sales&amp;pin=0101204009","sales record")</f>
        <v>sales record</v>
      </c>
      <c r="AC2285" t="s">
        <v>3</v>
      </c>
      <c r="AD2285">
        <v>41.985413</v>
      </c>
      <c r="AE2285">
        <v>-88.14815</v>
      </c>
      <c r="AF2285" s="5" t="str">
        <f>HYPERLINK("https://www.google.com/maps/search/?api=1&amp;query=41.985413,-88.14815","map")</f>
        <v>map</v>
      </c>
    </row>
    <row r="2286" spans="1:32">
      <c r="A2286" t="s">
        <v>2336</v>
      </c>
      <c r="B2286" t="s">
        <v>9887</v>
      </c>
      <c r="C2286" t="s">
        <v>15424</v>
      </c>
      <c r="D2286" t="s">
        <v>16204</v>
      </c>
      <c r="E2286" t="s">
        <v>16218</v>
      </c>
      <c r="F2286" t="s">
        <v>16222</v>
      </c>
      <c r="G2286" t="s">
        <v>16260</v>
      </c>
      <c r="H2286" t="s">
        <v>16260</v>
      </c>
      <c r="I2286" t="s">
        <v>16340</v>
      </c>
      <c r="J2286" t="s">
        <v>16385</v>
      </c>
      <c r="K2286">
        <v>0.399</v>
      </c>
      <c r="L2286">
        <v>17392</v>
      </c>
      <c r="M2286">
        <v>890</v>
      </c>
      <c r="N2286" t="s">
        <v>16393</v>
      </c>
      <c r="O2286" s="4">
        <v>51503</v>
      </c>
      <c r="P2286" s="4">
        <v>48102</v>
      </c>
      <c r="Q2286" s="4">
        <v>99605</v>
      </c>
      <c r="R2286" s="4">
        <v>298815</v>
      </c>
      <c r="S2286" t="s">
        <v>18618</v>
      </c>
      <c r="T2286" s="6">
        <v>36100</v>
      </c>
      <c r="U2286" s="4">
        <v>150000</v>
      </c>
      <c r="X2286" t="s">
        <v>3</v>
      </c>
      <c r="AA2286" s="5" t="str">
        <f>HYPERLINK("https://www.zillow.com/homes/4606-MAIN-ST-LISLE-IL-60532_rb/","check listing")</f>
        <v>check listing</v>
      </c>
      <c r="AB2286" s="5" t="str">
        <f>HYPERLINK("https://propertylookup.dupagecounty.gov/Datalets/Datalet.aspx?UseSearch=no&amp;mode=sales&amp;pin=0803415020","sales record")</f>
        <v>sales record</v>
      </c>
      <c r="AC2286" t="s">
        <v>3</v>
      </c>
      <c r="AD2286">
        <v>41.802619</v>
      </c>
      <c r="AE2286">
        <v>-88.07536</v>
      </c>
      <c r="AF2286" s="5" t="str">
        <f>HYPERLINK("https://www.google.com/maps/search/?api=1&amp;query=41.802619,-88.07536","map")</f>
        <v>map</v>
      </c>
    </row>
    <row r="2287" spans="1:32">
      <c r="A2287" t="s">
        <v>2337</v>
      </c>
      <c r="B2287" t="s">
        <v>9888</v>
      </c>
      <c r="C2287" t="s">
        <v>15424</v>
      </c>
      <c r="D2287" t="s">
        <v>16204</v>
      </c>
      <c r="E2287" t="s">
        <v>16218</v>
      </c>
      <c r="F2287" t="s">
        <v>16222</v>
      </c>
      <c r="G2287" t="s">
        <v>16260</v>
      </c>
      <c r="H2287" t="s">
        <v>16260</v>
      </c>
      <c r="I2287" t="s">
        <v>16340</v>
      </c>
      <c r="J2287" t="s">
        <v>16385</v>
      </c>
      <c r="K2287">
        <v>0.336</v>
      </c>
      <c r="L2287">
        <v>14625</v>
      </c>
      <c r="M2287">
        <v>1452</v>
      </c>
      <c r="N2287" t="s">
        <v>16393</v>
      </c>
      <c r="O2287" s="4">
        <v>43012</v>
      </c>
      <c r="P2287" s="4">
        <v>36341</v>
      </c>
      <c r="Q2287" s="4">
        <v>79353</v>
      </c>
      <c r="R2287" s="4">
        <v>238059</v>
      </c>
      <c r="S2287" t="s">
        <v>18619</v>
      </c>
      <c r="T2287" s="6">
        <v>36130</v>
      </c>
      <c r="U2287" s="4">
        <v>115000</v>
      </c>
      <c r="X2287" t="s">
        <v>3</v>
      </c>
      <c r="AA2287" s="5" t="str">
        <f>HYPERLINK("https://www.zillow.com/homes/920-SCHOOL-ST-LISLE-IL-60532_rb/","check listing")</f>
        <v>check listing</v>
      </c>
      <c r="AB2287" s="5" t="str">
        <f>HYPERLINK("https://propertylookup.dupagecounty.gov/Datalets/Datalet.aspx?UseSearch=no&amp;mode=sales&amp;pin=0811100008","sales record")</f>
        <v>sales record</v>
      </c>
      <c r="AC2287" t="s">
        <v>3</v>
      </c>
      <c r="AD2287">
        <v>41.800193</v>
      </c>
      <c r="AE2287">
        <v>-88.070993</v>
      </c>
      <c r="AF2287" s="5" t="str">
        <f>HYPERLINK("https://www.google.com/maps/search/?api=1&amp;query=41.800193,-88.070993","map")</f>
        <v>map</v>
      </c>
    </row>
    <row r="2288" spans="1:32">
      <c r="A2288" t="s">
        <v>2338</v>
      </c>
      <c r="B2288" t="s">
        <v>9889</v>
      </c>
      <c r="C2288" t="s">
        <v>15424</v>
      </c>
      <c r="D2288" t="s">
        <v>16204</v>
      </c>
      <c r="E2288" t="s">
        <v>16218</v>
      </c>
      <c r="F2288" t="s">
        <v>16222</v>
      </c>
      <c r="G2288" t="s">
        <v>16260</v>
      </c>
      <c r="H2288" t="s">
        <v>16260</v>
      </c>
      <c r="I2288" t="s">
        <v>16340</v>
      </c>
      <c r="J2288" t="s">
        <v>16385</v>
      </c>
      <c r="K2288">
        <v>0.308</v>
      </c>
      <c r="L2288">
        <v>13412</v>
      </c>
      <c r="M2288">
        <v>965</v>
      </c>
      <c r="N2288" t="s">
        <v>16393</v>
      </c>
      <c r="O2288" s="4">
        <v>47674</v>
      </c>
      <c r="P2288" s="4">
        <v>35996</v>
      </c>
      <c r="Q2288" s="4">
        <v>83670</v>
      </c>
      <c r="R2288" s="4">
        <v>251010</v>
      </c>
      <c r="S2288" t="s">
        <v>18620</v>
      </c>
      <c r="T2288" s="6">
        <v>45021</v>
      </c>
      <c r="U2288" s="4">
        <v>180000</v>
      </c>
      <c r="V2288" t="s">
        <v>23739</v>
      </c>
      <c r="W2288" t="s">
        <v>24825</v>
      </c>
      <c r="X2288" t="s">
        <v>3</v>
      </c>
      <c r="AA2288" s="5" t="str">
        <f>HYPERLINK("https://www.zillow.com/homes/4902-REILLY-PL-LISLE-IL-60532_rb/","check listing")</f>
        <v>check listing</v>
      </c>
      <c r="AB2288" s="5" t="str">
        <f>HYPERLINK("https://propertylookup.dupagecounty.gov/Datalets/Datalet.aspx?UseSearch=no&amp;mode=sales&amp;pin=0810214005","sales record")</f>
        <v>sales record</v>
      </c>
      <c r="AC2288" t="s">
        <v>3</v>
      </c>
      <c r="AD2288">
        <v>41.796602</v>
      </c>
      <c r="AE2288">
        <v>-88.07606800000001</v>
      </c>
      <c r="AF2288" s="5" t="str">
        <f>HYPERLINK("https://www.google.com/maps/search/?api=1&amp;query=41.796602,-88.076068","map")</f>
        <v>map</v>
      </c>
    </row>
    <row r="2289" spans="1:32">
      <c r="A2289" t="s">
        <v>2339</v>
      </c>
      <c r="B2289" t="s">
        <v>9890</v>
      </c>
      <c r="C2289" t="s">
        <v>15424</v>
      </c>
      <c r="D2289" t="s">
        <v>16204</v>
      </c>
      <c r="E2289" t="s">
        <v>16218</v>
      </c>
      <c r="F2289" t="s">
        <v>16222</v>
      </c>
      <c r="G2289" t="s">
        <v>16260</v>
      </c>
      <c r="H2289" t="s">
        <v>16260</v>
      </c>
      <c r="I2289" t="s">
        <v>16340</v>
      </c>
      <c r="J2289" t="s">
        <v>16385</v>
      </c>
      <c r="K2289">
        <v>0.304</v>
      </c>
      <c r="L2289">
        <v>13249</v>
      </c>
      <c r="M2289">
        <v>3956</v>
      </c>
      <c r="N2289" t="s">
        <v>16393</v>
      </c>
      <c r="O2289" s="4">
        <v>75738</v>
      </c>
      <c r="P2289" s="4">
        <v>76201</v>
      </c>
      <c r="Q2289" s="4">
        <v>151939</v>
      </c>
      <c r="R2289" s="4">
        <v>455817</v>
      </c>
      <c r="S2289" t="s">
        <v>18621</v>
      </c>
      <c r="T2289" s="6">
        <v>45866</v>
      </c>
      <c r="U2289" s="4">
        <v>510000</v>
      </c>
      <c r="V2289" t="s">
        <v>23739</v>
      </c>
      <c r="W2289" t="s">
        <v>24826</v>
      </c>
      <c r="X2289" t="s">
        <v>3</v>
      </c>
      <c r="AA2289" s="5" t="str">
        <f>HYPERLINK("https://www.zillow.com/homes/4610-MAIN-ST-LISLE-IL-60532_rb/","check listing")</f>
        <v>check listing</v>
      </c>
      <c r="AB2289" s="5" t="str">
        <f>HYPERLINK("https://propertylookup.dupagecounty.gov/Datalets/Datalet.aspx?UseSearch=no&amp;mode=sales&amp;pin=0803419015","sales record")</f>
        <v>sales record</v>
      </c>
      <c r="AC2289" t="s">
        <v>3</v>
      </c>
      <c r="AD2289">
        <v>41.802185</v>
      </c>
      <c r="AE2289">
        <v>-88.075333</v>
      </c>
      <c r="AF2289" s="5" t="str">
        <f>HYPERLINK("https://www.google.com/maps/search/?api=1&amp;query=41.802185,-88.075333","map")</f>
        <v>map</v>
      </c>
    </row>
    <row r="2290" spans="1:32">
      <c r="A2290" t="s">
        <v>2340</v>
      </c>
      <c r="B2290" t="s">
        <v>9891</v>
      </c>
      <c r="C2290" t="s">
        <v>15425</v>
      </c>
      <c r="D2290" t="s">
        <v>16204</v>
      </c>
      <c r="E2290" t="s">
        <v>16218</v>
      </c>
      <c r="F2290" t="s">
        <v>16222</v>
      </c>
      <c r="G2290" t="s">
        <v>16261</v>
      </c>
      <c r="H2290" t="s">
        <v>16261</v>
      </c>
      <c r="I2290" t="s">
        <v>16341</v>
      </c>
      <c r="J2290" t="s">
        <v>16385</v>
      </c>
      <c r="K2290">
        <v>0.239</v>
      </c>
      <c r="L2290">
        <v>10431</v>
      </c>
      <c r="M2290">
        <v>1840</v>
      </c>
      <c r="N2290" t="s">
        <v>16393</v>
      </c>
      <c r="O2290" s="4">
        <v>39897</v>
      </c>
      <c r="P2290" s="4">
        <v>63073</v>
      </c>
      <c r="Q2290" s="4">
        <v>102970</v>
      </c>
      <c r="R2290" s="4">
        <v>308910</v>
      </c>
      <c r="S2290" t="s">
        <v>18622</v>
      </c>
      <c r="X2290" t="s">
        <v>3</v>
      </c>
      <c r="AA2290" s="5" t="str">
        <f>HYPERLINK("https://www.zillow.com/homes/4703-GARFIELD-AVE-LISLE-IL-605321732_rb/","check listing")</f>
        <v>check listing</v>
      </c>
      <c r="AB2290" s="5" t="str">
        <f>HYPERLINK("https://propertylookup.dupagecounty.gov/Datalets/Datalet.aspx?UseSearch=no&amp;mode=sales&amp;pin=0803425007","sales record")</f>
        <v>sales record</v>
      </c>
      <c r="AC2290" t="s">
        <v>3</v>
      </c>
      <c r="AD2290">
        <v>41.800746</v>
      </c>
      <c r="AE2290">
        <v>-88.075737</v>
      </c>
      <c r="AF2290" s="5" t="str">
        <f>HYPERLINK("https://www.google.com/maps/search/?api=1&amp;query=41.800746,-88.075737","map")</f>
        <v>map</v>
      </c>
    </row>
    <row r="2291" spans="1:32">
      <c r="A2291" t="s">
        <v>2341</v>
      </c>
      <c r="B2291" t="s">
        <v>9892</v>
      </c>
      <c r="C2291" t="s">
        <v>15426</v>
      </c>
      <c r="D2291" t="s">
        <v>16204</v>
      </c>
      <c r="E2291" t="s">
        <v>16218</v>
      </c>
      <c r="F2291" t="s">
        <v>16222</v>
      </c>
      <c r="G2291" t="s">
        <v>16261</v>
      </c>
      <c r="H2291" t="s">
        <v>16261</v>
      </c>
      <c r="I2291" t="s">
        <v>16341</v>
      </c>
      <c r="J2291" t="s">
        <v>16385</v>
      </c>
      <c r="K2291">
        <v>0.234</v>
      </c>
      <c r="L2291">
        <v>10207</v>
      </c>
      <c r="M2291">
        <v>773</v>
      </c>
      <c r="N2291" t="s">
        <v>16393</v>
      </c>
      <c r="O2291" s="4">
        <v>41977</v>
      </c>
      <c r="P2291" s="4">
        <v>32215</v>
      </c>
      <c r="Q2291" s="4">
        <v>74192</v>
      </c>
      <c r="R2291" s="4">
        <v>222576</v>
      </c>
      <c r="S2291" t="s">
        <v>18623</v>
      </c>
      <c r="T2291" s="6">
        <v>32782</v>
      </c>
      <c r="U2291" s="4">
        <v>85000</v>
      </c>
      <c r="X2291" t="s">
        <v>3</v>
      </c>
      <c r="AA2291" s="5" t="str">
        <f>HYPERLINK("https://www.zillow.com/homes/0N661-HERRICK-DR-WHEATON-IL-60187_rb/","check listing")</f>
        <v>check listing</v>
      </c>
      <c r="AB2291" s="5" t="str">
        <f>HYPERLINK("https://propertylookup.dupagecounty.gov/Datalets/Datalet.aspx?UseSearch=no&amp;mode=sales&amp;pin=0810221010","sales record")</f>
        <v>sales record</v>
      </c>
      <c r="AC2291" t="s">
        <v>27873</v>
      </c>
      <c r="AD2291">
        <v>41.796103</v>
      </c>
      <c r="AE2291">
        <v>-88.075087</v>
      </c>
      <c r="AF2291" s="5" t="str">
        <f>HYPERLINK("https://www.google.com/maps/search/?api=1&amp;query=41.796103,-88.075087","map")</f>
        <v>map</v>
      </c>
    </row>
    <row r="2292" spans="1:32">
      <c r="A2292" t="s">
        <v>2342</v>
      </c>
      <c r="B2292" t="s">
        <v>9893</v>
      </c>
      <c r="C2292" t="s">
        <v>15424</v>
      </c>
      <c r="D2292" t="s">
        <v>16204</v>
      </c>
      <c r="E2292" t="s">
        <v>16218</v>
      </c>
      <c r="F2292" t="s">
        <v>16222</v>
      </c>
      <c r="G2292" t="s">
        <v>16261</v>
      </c>
      <c r="H2292" t="s">
        <v>16261</v>
      </c>
      <c r="I2292" t="s">
        <v>16341</v>
      </c>
      <c r="J2292" t="s">
        <v>16385</v>
      </c>
      <c r="K2292">
        <v>0.234</v>
      </c>
      <c r="L2292">
        <v>10172</v>
      </c>
      <c r="N2292" t="s">
        <v>16393</v>
      </c>
      <c r="O2292" s="4">
        <v>42049</v>
      </c>
      <c r="P2292" s="4">
        <v>28790</v>
      </c>
      <c r="Q2292" s="4">
        <v>70839</v>
      </c>
      <c r="R2292" s="4">
        <v>212517</v>
      </c>
      <c r="S2292" t="s">
        <v>18624</v>
      </c>
      <c r="T2292" s="6">
        <v>37622</v>
      </c>
      <c r="U2292" s="4">
        <v>205500</v>
      </c>
      <c r="V2292" t="s">
        <v>23739</v>
      </c>
      <c r="W2292" t="s">
        <v>24827</v>
      </c>
      <c r="X2292" t="s">
        <v>3</v>
      </c>
      <c r="AA2292" s="5" t="str">
        <f>HYPERLINK("https://www.zillow.com/homes/1112-BURLINGTON-AVE-LISLE-IL-60532_rb/","check listing")</f>
        <v>check listing</v>
      </c>
      <c r="AB2292" s="5" t="str">
        <f>HYPERLINK("https://propertylookup.dupagecounty.gov/Datalets/Datalet.aspx?UseSearch=no&amp;mode=sales&amp;pin=0810205011","sales record")</f>
        <v>sales record</v>
      </c>
      <c r="AC2292" t="s">
        <v>3</v>
      </c>
      <c r="AD2292">
        <v>41.798609</v>
      </c>
      <c r="AE2292">
        <v>-88.07572999999999</v>
      </c>
      <c r="AF2292" s="5" t="str">
        <f>HYPERLINK("https://www.google.com/maps/search/?api=1&amp;query=41.798609,-88.07573","map")</f>
        <v>map</v>
      </c>
    </row>
    <row r="2293" spans="1:32">
      <c r="A2293" t="s">
        <v>2343</v>
      </c>
      <c r="B2293" t="s">
        <v>9894</v>
      </c>
      <c r="C2293" t="s">
        <v>15427</v>
      </c>
      <c r="D2293" t="s">
        <v>16204</v>
      </c>
      <c r="E2293" t="s">
        <v>16218</v>
      </c>
      <c r="F2293" t="s">
        <v>16222</v>
      </c>
      <c r="G2293" t="s">
        <v>16261</v>
      </c>
      <c r="H2293" t="s">
        <v>16261</v>
      </c>
      <c r="I2293" t="s">
        <v>16341</v>
      </c>
      <c r="J2293" t="s">
        <v>16385</v>
      </c>
      <c r="K2293">
        <v>0.231</v>
      </c>
      <c r="L2293">
        <v>10046</v>
      </c>
      <c r="M2293">
        <v>1583</v>
      </c>
      <c r="N2293" t="s">
        <v>16393</v>
      </c>
      <c r="O2293" s="4">
        <v>42620</v>
      </c>
      <c r="P2293" s="4">
        <v>41514</v>
      </c>
      <c r="Q2293" s="4">
        <v>84134</v>
      </c>
      <c r="R2293" s="4">
        <v>252402</v>
      </c>
      <c r="S2293" t="s">
        <v>18625</v>
      </c>
      <c r="T2293" s="6">
        <v>37561</v>
      </c>
      <c r="U2293" s="4">
        <v>179900</v>
      </c>
      <c r="V2293" t="s">
        <v>23739</v>
      </c>
      <c r="W2293" t="s">
        <v>24828</v>
      </c>
      <c r="X2293" t="s">
        <v>3</v>
      </c>
      <c r="AA2293" s="5" t="str">
        <f>HYPERLINK("https://www.zillow.com/homes/1204-BURLINGTON-AVE-LISLE-IL-605321707_rb/","check listing")</f>
        <v>check listing</v>
      </c>
      <c r="AB2293" s="5" t="str">
        <f>HYPERLINK("https://propertylookup.dupagecounty.gov/Datalets/Datalet.aspx?UseSearch=no&amp;mode=sales&amp;pin=0810204032","sales record")</f>
        <v>sales record</v>
      </c>
      <c r="AC2293" t="s">
        <v>3</v>
      </c>
      <c r="AD2293">
        <v>41.798484</v>
      </c>
      <c r="AE2293">
        <v>-88.076527</v>
      </c>
      <c r="AF2293" s="5" t="str">
        <f>HYPERLINK("https://www.google.com/maps/search/?api=1&amp;query=41.798484,-88.076527","map")</f>
        <v>map</v>
      </c>
    </row>
    <row r="2294" spans="1:32">
      <c r="A2294" t="s">
        <v>2344</v>
      </c>
      <c r="B2294" t="s">
        <v>9895</v>
      </c>
      <c r="C2294" t="s">
        <v>15428</v>
      </c>
      <c r="D2294" t="s">
        <v>16204</v>
      </c>
      <c r="E2294" t="s">
        <v>16218</v>
      </c>
      <c r="F2294" t="s">
        <v>16222</v>
      </c>
      <c r="G2294" t="s">
        <v>16260</v>
      </c>
      <c r="H2294" t="s">
        <v>16260</v>
      </c>
      <c r="I2294" t="s">
        <v>16340</v>
      </c>
      <c r="J2294" t="s">
        <v>16385</v>
      </c>
      <c r="K2294">
        <v>0.227</v>
      </c>
      <c r="L2294">
        <v>9889</v>
      </c>
      <c r="M2294">
        <v>1715</v>
      </c>
      <c r="N2294" t="s">
        <v>16393</v>
      </c>
      <c r="O2294" s="4">
        <v>59077</v>
      </c>
      <c r="P2294" s="4">
        <v>49255</v>
      </c>
      <c r="Q2294" s="4">
        <v>108332</v>
      </c>
      <c r="R2294" s="4">
        <v>324996</v>
      </c>
      <c r="S2294" t="s">
        <v>18626</v>
      </c>
      <c r="T2294" s="6">
        <v>44378</v>
      </c>
      <c r="U2294" s="4">
        <v>265000</v>
      </c>
      <c r="V2294" t="s">
        <v>23739</v>
      </c>
      <c r="W2294" t="s">
        <v>24829</v>
      </c>
      <c r="X2294" t="s">
        <v>3</v>
      </c>
      <c r="AA2294" s="5" t="str">
        <f>HYPERLINK("https://www.zillow.com/homes/4910-SPENCER-AVE-LISLE-IL-605322267_rb/","check listing")</f>
        <v>check listing</v>
      </c>
      <c r="AB2294" s="5" t="str">
        <f>HYPERLINK("https://propertylookup.dupagecounty.gov/Datalets/Datalet.aspx?UseSearch=no&amp;mode=sales&amp;pin=0810217019","sales record")</f>
        <v>sales record</v>
      </c>
      <c r="AC2294" t="s">
        <v>3</v>
      </c>
      <c r="AD2294">
        <v>41.796533</v>
      </c>
      <c r="AE2294">
        <v>-88.07350599999999</v>
      </c>
      <c r="AF2294" s="5" t="str">
        <f>HYPERLINK("https://www.google.com/maps/search/?api=1&amp;query=41.796533,-88.073506","map")</f>
        <v>map</v>
      </c>
    </row>
    <row r="2295" spans="1:32">
      <c r="A2295" t="s">
        <v>2345</v>
      </c>
      <c r="B2295" t="s">
        <v>9896</v>
      </c>
      <c r="C2295" t="s">
        <v>15424</v>
      </c>
      <c r="D2295" t="s">
        <v>16204</v>
      </c>
      <c r="E2295" t="s">
        <v>16218</v>
      </c>
      <c r="F2295" t="s">
        <v>16222</v>
      </c>
      <c r="G2295" t="s">
        <v>16261</v>
      </c>
      <c r="H2295" t="s">
        <v>16261</v>
      </c>
      <c r="I2295" t="s">
        <v>16341</v>
      </c>
      <c r="J2295" t="s">
        <v>16385</v>
      </c>
      <c r="K2295">
        <v>0.204</v>
      </c>
      <c r="L2295">
        <v>8907</v>
      </c>
      <c r="M2295">
        <v>1476</v>
      </c>
      <c r="N2295" t="s">
        <v>16393</v>
      </c>
      <c r="O2295" s="4">
        <v>42132</v>
      </c>
      <c r="P2295" s="4">
        <v>51372</v>
      </c>
      <c r="Q2295" s="4">
        <v>93504</v>
      </c>
      <c r="R2295" s="4">
        <v>280512</v>
      </c>
      <c r="S2295" t="s">
        <v>18627</v>
      </c>
      <c r="T2295" s="6">
        <v>45986</v>
      </c>
      <c r="U2295" s="4">
        <v>325000</v>
      </c>
      <c r="V2295" t="s">
        <v>23738</v>
      </c>
      <c r="W2295" t="s">
        <v>18627</v>
      </c>
      <c r="X2295" t="s">
        <v>3</v>
      </c>
      <c r="AA2295" s="5" t="str">
        <f>HYPERLINK("https://www.zillow.com/homes/4707-GARFIELD-AVE-LISLE-IL-60532_rb/","check listing")</f>
        <v>check listing</v>
      </c>
      <c r="AB2295" s="5" t="str">
        <f>HYPERLINK("https://propertylookup.dupagecounty.gov/Datalets/Datalet.aspx?UseSearch=no&amp;mode=sales&amp;pin=0810205001","sales record")</f>
        <v>sales record</v>
      </c>
      <c r="AC2295" t="s">
        <v>27873</v>
      </c>
      <c r="AD2295">
        <v>41.800365</v>
      </c>
      <c r="AE2295">
        <v>-88.0757</v>
      </c>
      <c r="AF2295" s="5" t="str">
        <f>HYPERLINK("https://www.google.com/maps/search/?api=1&amp;query=41.800365,-88.0757","map")</f>
        <v>map</v>
      </c>
    </row>
    <row r="2296" spans="1:32">
      <c r="A2296" t="s">
        <v>2346</v>
      </c>
      <c r="B2296" t="s">
        <v>9897</v>
      </c>
      <c r="C2296" t="s">
        <v>15429</v>
      </c>
      <c r="D2296" t="s">
        <v>16204</v>
      </c>
      <c r="E2296" t="s">
        <v>16218</v>
      </c>
      <c r="F2296" t="s">
        <v>16222</v>
      </c>
      <c r="G2296" t="s">
        <v>16260</v>
      </c>
      <c r="H2296" t="s">
        <v>16260</v>
      </c>
      <c r="I2296" t="s">
        <v>16340</v>
      </c>
      <c r="J2296" t="s">
        <v>16385</v>
      </c>
      <c r="K2296">
        <v>0.202</v>
      </c>
      <c r="L2296">
        <v>8807</v>
      </c>
      <c r="M2296">
        <v>1484</v>
      </c>
      <c r="N2296" t="s">
        <v>16393</v>
      </c>
      <c r="O2296" s="4">
        <v>43095</v>
      </c>
      <c r="P2296" s="4">
        <v>35318</v>
      </c>
      <c r="Q2296" s="4">
        <v>78413</v>
      </c>
      <c r="R2296" s="4">
        <v>235239</v>
      </c>
      <c r="S2296" t="s">
        <v>18628</v>
      </c>
      <c r="T2296" s="6">
        <v>43497</v>
      </c>
      <c r="U2296" s="4">
        <v>198500</v>
      </c>
      <c r="V2296" t="s">
        <v>23739</v>
      </c>
      <c r="W2296" t="s">
        <v>18628</v>
      </c>
      <c r="X2296" t="s">
        <v>3</v>
      </c>
      <c r="AA2296" s="5" t="str">
        <f>HYPERLINK("https://www.zillow.com/homes/4601-MAIN-ST-LISLE-IL-605321219_rb/","check listing")</f>
        <v>check listing</v>
      </c>
      <c r="AB2296" s="5" t="str">
        <f>HYPERLINK("https://propertylookup.dupagecounty.gov/Datalets/Datalet.aspx?UseSearch=no&amp;mode=sales&amp;pin=0803416001","sales record")</f>
        <v>sales record</v>
      </c>
      <c r="AC2296" t="s">
        <v>3</v>
      </c>
      <c r="AD2296">
        <v>41.803147</v>
      </c>
      <c r="AE2296">
        <v>-88.07444700000001</v>
      </c>
      <c r="AF2296" s="5" t="str">
        <f>HYPERLINK("https://www.google.com/maps/search/?api=1&amp;query=41.803147,-88.074447","map")</f>
        <v>map</v>
      </c>
    </row>
    <row r="2297" spans="1:32">
      <c r="A2297" t="s">
        <v>2347</v>
      </c>
      <c r="B2297" t="s">
        <v>9898</v>
      </c>
      <c r="C2297" t="s">
        <v>15424</v>
      </c>
      <c r="D2297" t="s">
        <v>16204</v>
      </c>
      <c r="E2297" t="s">
        <v>16218</v>
      </c>
      <c r="F2297" t="s">
        <v>16222</v>
      </c>
      <c r="G2297" t="s">
        <v>16260</v>
      </c>
      <c r="H2297" t="s">
        <v>16260</v>
      </c>
      <c r="I2297" t="s">
        <v>16340</v>
      </c>
      <c r="J2297" t="s">
        <v>16385</v>
      </c>
      <c r="K2297">
        <v>0.181</v>
      </c>
      <c r="L2297">
        <v>7885</v>
      </c>
      <c r="M2297">
        <v>891</v>
      </c>
      <c r="N2297" t="s">
        <v>16393</v>
      </c>
      <c r="O2297" s="4">
        <v>50539</v>
      </c>
      <c r="P2297" s="4">
        <v>48245</v>
      </c>
      <c r="Q2297" s="4">
        <v>98784</v>
      </c>
      <c r="R2297" s="4">
        <v>296352</v>
      </c>
      <c r="S2297" t="s">
        <v>18629</v>
      </c>
      <c r="X2297" t="s">
        <v>3</v>
      </c>
      <c r="AA2297" s="5" t="str">
        <f>HYPERLINK("https://www.zillow.com/homes/4729-CENTER-AVE-LISLE-IL-60532_rb/","check listing")</f>
        <v>check listing</v>
      </c>
      <c r="AB2297" s="5" t="str">
        <f>HYPERLINK("https://propertylookup.dupagecounty.gov/Datalets/Datalet.aspx?UseSearch=no&amp;mode=sales&amp;pin=0811101004","sales record")</f>
        <v>sales record</v>
      </c>
      <c r="AC2297" t="s">
        <v>3</v>
      </c>
      <c r="AD2297">
        <v>41.799187</v>
      </c>
      <c r="AE2297">
        <v>-88.071709</v>
      </c>
      <c r="AF2297" s="5" t="str">
        <f>HYPERLINK("https://www.google.com/maps/search/?api=1&amp;query=41.799187,-88.071709","map")</f>
        <v>map</v>
      </c>
    </row>
    <row r="2298" spans="1:32">
      <c r="A2298" t="s">
        <v>2348</v>
      </c>
      <c r="B2298" t="s">
        <v>9899</v>
      </c>
      <c r="C2298" t="s">
        <v>15430</v>
      </c>
      <c r="D2298" t="s">
        <v>16204</v>
      </c>
      <c r="E2298" t="s">
        <v>16218</v>
      </c>
      <c r="F2298" t="s">
        <v>16222</v>
      </c>
      <c r="G2298" t="s">
        <v>16260</v>
      </c>
      <c r="H2298" t="s">
        <v>16260</v>
      </c>
      <c r="I2298" t="s">
        <v>16340</v>
      </c>
      <c r="J2298" t="s">
        <v>16385</v>
      </c>
      <c r="K2298">
        <v>0.18</v>
      </c>
      <c r="L2298">
        <v>7850</v>
      </c>
      <c r="N2298" t="s">
        <v>16393</v>
      </c>
      <c r="O2298" s="4">
        <v>45450</v>
      </c>
      <c r="P2298" s="4">
        <v>128037</v>
      </c>
      <c r="Q2298" s="4">
        <v>173487</v>
      </c>
      <c r="R2298" s="4">
        <v>520461</v>
      </c>
      <c r="S2298" t="s">
        <v>18630</v>
      </c>
      <c r="T2298" s="6">
        <v>43800</v>
      </c>
      <c r="U2298" s="4">
        <v>377250</v>
      </c>
      <c r="V2298" t="s">
        <v>23739</v>
      </c>
      <c r="W2298" t="s">
        <v>24830</v>
      </c>
      <c r="X2298" t="s">
        <v>3</v>
      </c>
      <c r="AA2298" s="5" t="str">
        <f>HYPERLINK("https://www.zillow.com/homes/1205-LISLE-PL-LISLE-IL-605322263_rb/","check listing")</f>
        <v>check listing</v>
      </c>
      <c r="AB2298" s="5" t="str">
        <f>HYPERLINK("https://propertylookup.dupagecounty.gov/Datalets/Datalet.aspx?UseSearch=no&amp;mode=sales&amp;pin=0810221004","sales record")</f>
        <v>sales record</v>
      </c>
      <c r="AC2298" t="s">
        <v>3</v>
      </c>
      <c r="AD2298">
        <v>41.796081</v>
      </c>
      <c r="AE2298">
        <v>-88.076246</v>
      </c>
      <c r="AF2298" s="5" t="str">
        <f>HYPERLINK("https://www.google.com/maps/search/?api=1&amp;query=41.796081,-88.076246","map")</f>
        <v>map</v>
      </c>
    </row>
    <row r="2299" spans="1:32">
      <c r="A2299" t="s">
        <v>2349</v>
      </c>
      <c r="B2299" t="s">
        <v>9900</v>
      </c>
      <c r="C2299" t="s">
        <v>15430</v>
      </c>
      <c r="D2299" t="s">
        <v>16204</v>
      </c>
      <c r="E2299" t="s">
        <v>16218</v>
      </c>
      <c r="F2299" t="s">
        <v>16222</v>
      </c>
      <c r="G2299" t="s">
        <v>16260</v>
      </c>
      <c r="H2299" t="s">
        <v>16260</v>
      </c>
      <c r="I2299" t="s">
        <v>16340</v>
      </c>
      <c r="J2299" t="s">
        <v>16385</v>
      </c>
      <c r="K2299">
        <v>0.174</v>
      </c>
      <c r="L2299">
        <v>7561</v>
      </c>
      <c r="N2299" t="s">
        <v>16393</v>
      </c>
      <c r="O2299" s="4">
        <v>45450</v>
      </c>
      <c r="P2299" s="4">
        <v>45760</v>
      </c>
      <c r="Q2299" s="4">
        <v>91210</v>
      </c>
      <c r="R2299" s="4">
        <v>273630</v>
      </c>
      <c r="S2299" t="s">
        <v>18631</v>
      </c>
      <c r="T2299" s="6">
        <v>43009</v>
      </c>
      <c r="U2299" s="4">
        <v>235000</v>
      </c>
      <c r="V2299" t="s">
        <v>23739</v>
      </c>
      <c r="W2299" t="s">
        <v>24831</v>
      </c>
      <c r="X2299" t="s">
        <v>3</v>
      </c>
      <c r="AA2299" s="5" t="str">
        <f>HYPERLINK("https://www.zillow.com/homes/1207-LISLE-PL-LISLE-IL-605322263_rb/","check listing")</f>
        <v>check listing</v>
      </c>
      <c r="AB2299" s="5" t="str">
        <f>HYPERLINK("https://propertylookup.dupagecounty.gov/Datalets/Datalet.aspx?UseSearch=no&amp;mode=sales&amp;pin=0810221003","sales record")</f>
        <v>sales record</v>
      </c>
      <c r="AC2299" t="s">
        <v>3</v>
      </c>
      <c r="AD2299">
        <v>41.796078</v>
      </c>
      <c r="AE2299">
        <v>-88.07643</v>
      </c>
      <c r="AF2299" s="5" t="str">
        <f>HYPERLINK("https://www.google.com/maps/search/?api=1&amp;query=41.796078,-88.07643","map")</f>
        <v>map</v>
      </c>
    </row>
    <row r="2300" spans="1:32">
      <c r="A2300" t="s">
        <v>2350</v>
      </c>
      <c r="B2300" t="s">
        <v>9901</v>
      </c>
      <c r="C2300" t="s">
        <v>15424</v>
      </c>
      <c r="D2300" t="s">
        <v>16204</v>
      </c>
      <c r="E2300" t="s">
        <v>16218</v>
      </c>
      <c r="F2300" t="s">
        <v>16222</v>
      </c>
      <c r="G2300" t="s">
        <v>16260</v>
      </c>
      <c r="H2300" t="s">
        <v>16260</v>
      </c>
      <c r="I2300" t="s">
        <v>16340</v>
      </c>
      <c r="J2300" t="s">
        <v>16385</v>
      </c>
      <c r="K2300">
        <v>0.17</v>
      </c>
      <c r="L2300">
        <v>7394</v>
      </c>
      <c r="M2300">
        <v>2079</v>
      </c>
      <c r="N2300" t="s">
        <v>16393</v>
      </c>
      <c r="O2300" s="4">
        <v>38636</v>
      </c>
      <c r="P2300" s="4">
        <v>71933</v>
      </c>
      <c r="Q2300" s="4">
        <v>110569</v>
      </c>
      <c r="R2300" s="4">
        <v>331707</v>
      </c>
      <c r="S2300" t="s">
        <v>18632</v>
      </c>
      <c r="T2300" s="6">
        <v>32721</v>
      </c>
      <c r="U2300" s="4">
        <v>130000</v>
      </c>
      <c r="X2300" t="s">
        <v>3</v>
      </c>
      <c r="AA2300" s="5" t="str">
        <f>HYPERLINK("https://www.zillow.com/homes/4604-MAIN-ST-LISLE-IL-60532_rb/","check listing")</f>
        <v>check listing</v>
      </c>
      <c r="AB2300" s="5" t="str">
        <f>HYPERLINK("https://propertylookup.dupagecounty.gov/Datalets/Datalet.aspx?UseSearch=no&amp;mode=sales&amp;pin=0803415019","sales record")</f>
        <v>sales record</v>
      </c>
      <c r="AC2300" t="s">
        <v>3</v>
      </c>
      <c r="AD2300">
        <v>41.802881</v>
      </c>
      <c r="AE2300">
        <v>-88.07538</v>
      </c>
      <c r="AF2300" s="5" t="str">
        <f>HYPERLINK("https://www.google.com/maps/search/?api=1&amp;query=41.802881,-88.07538","map")</f>
        <v>map</v>
      </c>
    </row>
    <row r="2301" spans="1:32">
      <c r="A2301" t="s">
        <v>2351</v>
      </c>
      <c r="B2301" t="s">
        <v>9902</v>
      </c>
      <c r="C2301" t="s">
        <v>15424</v>
      </c>
      <c r="D2301" t="s">
        <v>16204</v>
      </c>
      <c r="E2301" t="s">
        <v>16218</v>
      </c>
      <c r="F2301" t="s">
        <v>16222</v>
      </c>
      <c r="G2301" t="s">
        <v>16260</v>
      </c>
      <c r="H2301" t="s">
        <v>16260</v>
      </c>
      <c r="I2301" t="s">
        <v>16340</v>
      </c>
      <c r="J2301" t="s">
        <v>16385</v>
      </c>
      <c r="K2301">
        <v>0.151</v>
      </c>
      <c r="L2301">
        <v>6596</v>
      </c>
      <c r="M2301">
        <v>1168</v>
      </c>
      <c r="N2301" t="s">
        <v>16393</v>
      </c>
      <c r="O2301" s="4">
        <v>59077</v>
      </c>
      <c r="P2301" s="4">
        <v>33760</v>
      </c>
      <c r="Q2301" s="4">
        <v>92837</v>
      </c>
      <c r="R2301" s="4">
        <v>278511</v>
      </c>
      <c r="S2301" t="s">
        <v>18633</v>
      </c>
      <c r="T2301" s="6">
        <v>36708</v>
      </c>
      <c r="U2301" s="4">
        <v>120000</v>
      </c>
      <c r="V2301" t="s">
        <v>23739</v>
      </c>
      <c r="W2301" t="s">
        <v>24832</v>
      </c>
      <c r="X2301" t="s">
        <v>3</v>
      </c>
      <c r="AA2301" s="5" t="str">
        <f>HYPERLINK("https://www.zillow.com/homes/4912-SPENCER-ST-LISLE-IL-60532_rb/","check listing")</f>
        <v>check listing</v>
      </c>
      <c r="AB2301" s="5" t="str">
        <f>HYPERLINK("https://propertylookup.dupagecounty.gov/Datalets/Datalet.aspx?UseSearch=no&amp;mode=sales&amp;pin=0810217015","sales record")</f>
        <v>sales record</v>
      </c>
      <c r="AC2301" t="s">
        <v>3</v>
      </c>
      <c r="AD2301">
        <v>41.796362</v>
      </c>
      <c r="AE2301">
        <v>-88.07349000000001</v>
      </c>
      <c r="AF2301" s="5" t="str">
        <f>HYPERLINK("https://www.google.com/maps/search/?api=1&amp;query=41.796362,-88.07349","map")</f>
        <v>map</v>
      </c>
    </row>
    <row r="2302" spans="1:32">
      <c r="A2302" t="s">
        <v>2352</v>
      </c>
      <c r="B2302" t="s">
        <v>9903</v>
      </c>
      <c r="C2302" t="s">
        <v>15424</v>
      </c>
      <c r="D2302" t="s">
        <v>16204</v>
      </c>
      <c r="E2302" t="s">
        <v>16218</v>
      </c>
      <c r="F2302" t="s">
        <v>16222</v>
      </c>
      <c r="G2302" t="s">
        <v>16260</v>
      </c>
      <c r="H2302" t="s">
        <v>16260</v>
      </c>
      <c r="I2302" t="s">
        <v>16340</v>
      </c>
      <c r="J2302" t="s">
        <v>16385</v>
      </c>
      <c r="K2302">
        <v>0.151</v>
      </c>
      <c r="L2302">
        <v>6593</v>
      </c>
      <c r="M2302">
        <v>2111</v>
      </c>
      <c r="N2302" t="s">
        <v>16393</v>
      </c>
      <c r="O2302" s="4">
        <v>50016</v>
      </c>
      <c r="P2302" s="4">
        <v>50278</v>
      </c>
      <c r="Q2302" s="4">
        <v>100294</v>
      </c>
      <c r="R2302" s="4">
        <v>300882</v>
      </c>
      <c r="S2302" t="s">
        <v>18634</v>
      </c>
      <c r="T2302" s="6">
        <v>35582</v>
      </c>
      <c r="U2302" s="4">
        <v>147000</v>
      </c>
      <c r="X2302" t="s">
        <v>3</v>
      </c>
      <c r="AA2302" s="5" t="str">
        <f>HYPERLINK("https://www.zillow.com/homes/4916-SPENCER-AVE-LISLE-IL-60532_rb/","check listing")</f>
        <v>check listing</v>
      </c>
      <c r="AB2302" s="5" t="str">
        <f>HYPERLINK("https://propertylookup.dupagecounty.gov/Datalets/Datalet.aspx?UseSearch=no&amp;mode=sales&amp;pin=0810217017","sales record")</f>
        <v>sales record</v>
      </c>
      <c r="AC2302" t="s">
        <v>27873</v>
      </c>
      <c r="AD2302">
        <v>41.796088</v>
      </c>
      <c r="AE2302">
        <v>-88.073466</v>
      </c>
      <c r="AF2302" s="5" t="str">
        <f>HYPERLINK("https://www.google.com/maps/search/?api=1&amp;query=41.796088,-88.073466","map")</f>
        <v>map</v>
      </c>
    </row>
    <row r="2303" spans="1:32">
      <c r="A2303" t="s">
        <v>2353</v>
      </c>
      <c r="B2303" t="s">
        <v>9904</v>
      </c>
      <c r="C2303" t="s">
        <v>15424</v>
      </c>
      <c r="D2303" t="s">
        <v>16204</v>
      </c>
      <c r="E2303" t="s">
        <v>16218</v>
      </c>
      <c r="F2303" t="s">
        <v>16222</v>
      </c>
      <c r="G2303" t="s">
        <v>16260</v>
      </c>
      <c r="H2303" t="s">
        <v>16260</v>
      </c>
      <c r="I2303" t="s">
        <v>16340</v>
      </c>
      <c r="J2303" t="s">
        <v>16385</v>
      </c>
      <c r="K2303">
        <v>0.141</v>
      </c>
      <c r="L2303">
        <v>6149</v>
      </c>
      <c r="M2303">
        <v>593</v>
      </c>
      <c r="N2303" t="s">
        <v>16393</v>
      </c>
      <c r="O2303" s="4">
        <v>36365</v>
      </c>
      <c r="P2303" s="4">
        <v>31144</v>
      </c>
      <c r="Q2303" s="4">
        <v>67509</v>
      </c>
      <c r="R2303" s="4">
        <v>202527</v>
      </c>
      <c r="S2303" t="s">
        <v>18635</v>
      </c>
      <c r="T2303" s="6">
        <v>36831</v>
      </c>
      <c r="U2303" s="4">
        <v>110000</v>
      </c>
      <c r="V2303" t="s">
        <v>23740</v>
      </c>
      <c r="W2303" t="s">
        <v>18635</v>
      </c>
      <c r="X2303" t="s">
        <v>3</v>
      </c>
      <c r="AA2303" s="5" t="str">
        <f>HYPERLINK("https://www.zillow.com/homes/4906-SPENCER-AVE-LISLE-IL-60532_rb/","check listing")</f>
        <v>check listing</v>
      </c>
      <c r="AB2303" s="5" t="str">
        <f>HYPERLINK("https://propertylookup.dupagecounty.gov/Datalets/Datalet.aspx?UseSearch=no&amp;mode=sales&amp;pin=0810217018","sales record")</f>
        <v>sales record</v>
      </c>
      <c r="AC2303" t="s">
        <v>3</v>
      </c>
      <c r="AD2303">
        <v>41.796681</v>
      </c>
      <c r="AE2303">
        <v>-88.073519</v>
      </c>
      <c r="AF2303" s="5" t="str">
        <f>HYPERLINK("https://www.google.com/maps/search/?api=1&amp;query=41.796681,-88.073519","map")</f>
        <v>map</v>
      </c>
    </row>
    <row r="2304" spans="1:32">
      <c r="A2304" t="s">
        <v>2354</v>
      </c>
      <c r="B2304" t="s">
        <v>9905</v>
      </c>
      <c r="C2304" t="s">
        <v>15424</v>
      </c>
      <c r="D2304" t="s">
        <v>16204</v>
      </c>
      <c r="E2304" t="s">
        <v>16217</v>
      </c>
      <c r="F2304" t="s">
        <v>16222</v>
      </c>
      <c r="G2304" t="s">
        <v>16260</v>
      </c>
      <c r="H2304" t="s">
        <v>16260</v>
      </c>
      <c r="I2304" t="s">
        <v>16340</v>
      </c>
      <c r="J2304" t="s">
        <v>16385</v>
      </c>
      <c r="K2304">
        <v>0.392</v>
      </c>
      <c r="L2304">
        <v>17056</v>
      </c>
      <c r="N2304" t="s">
        <v>16392</v>
      </c>
      <c r="O2304" s="4">
        <v>22356</v>
      </c>
      <c r="P2304" s="4">
        <v>0</v>
      </c>
      <c r="Q2304" s="4">
        <v>22356</v>
      </c>
      <c r="R2304" s="4">
        <v>67068</v>
      </c>
      <c r="S2304" t="s">
        <v>18636</v>
      </c>
      <c r="X2304" t="s">
        <v>3</v>
      </c>
      <c r="AA2304" s="5" t="str">
        <f>HYPERLINK("https://www.zillow.com/homes/4900-LINCOLN-HWY-LISLE-IL-60532_rb/","check listing")</f>
        <v>check listing</v>
      </c>
      <c r="AB2304" s="5" t="str">
        <f>HYPERLINK("https://propertylookup.dupagecounty.gov/Datalets/Datalet.aspx?UseSearch=no&amp;mode=sales&amp;pin=0810220013","sales record")</f>
        <v>sales record</v>
      </c>
      <c r="AC2304" t="s">
        <v>27872</v>
      </c>
      <c r="AD2304">
        <v>41.796453</v>
      </c>
      <c r="AE2304">
        <v>-88.077786</v>
      </c>
      <c r="AF2304" s="5" t="str">
        <f>HYPERLINK("https://www.google.com/maps/search/?api=1&amp;query=41.796453,-88.077786","map")</f>
        <v>map</v>
      </c>
    </row>
    <row r="2305" spans="1:32">
      <c r="A2305" t="s">
        <v>2355</v>
      </c>
      <c r="B2305" t="s">
        <v>9906</v>
      </c>
      <c r="C2305" t="s">
        <v>15424</v>
      </c>
      <c r="D2305" t="s">
        <v>16204</v>
      </c>
      <c r="E2305" t="s">
        <v>16217</v>
      </c>
      <c r="F2305" t="s">
        <v>16222</v>
      </c>
      <c r="G2305" t="s">
        <v>16260</v>
      </c>
      <c r="H2305" t="s">
        <v>16260</v>
      </c>
      <c r="I2305" t="s">
        <v>16340</v>
      </c>
      <c r="J2305" t="s">
        <v>16385</v>
      </c>
      <c r="K2305">
        <v>0.359</v>
      </c>
      <c r="L2305">
        <v>15628</v>
      </c>
      <c r="N2305" t="s">
        <v>16392</v>
      </c>
      <c r="O2305" s="4">
        <v>116217</v>
      </c>
      <c r="P2305" s="4">
        <v>0</v>
      </c>
      <c r="Q2305" s="4">
        <v>116217</v>
      </c>
      <c r="R2305" s="4">
        <v>348651</v>
      </c>
      <c r="S2305" t="s">
        <v>18637</v>
      </c>
      <c r="T2305" s="6">
        <v>39295</v>
      </c>
      <c r="U2305" s="4">
        <v>327500</v>
      </c>
      <c r="V2305" t="s">
        <v>23739</v>
      </c>
      <c r="W2305" t="s">
        <v>24833</v>
      </c>
      <c r="X2305" t="s">
        <v>3</v>
      </c>
      <c r="AA2305" s="5" t="str">
        <f>HYPERLINK("https://www.zillow.com/homes/1002-OGDEN-AVE-LISLE-IL-60532_rb/","check listing")</f>
        <v>check listing</v>
      </c>
      <c r="AB2305" s="5" t="str">
        <f>HYPERLINK("https://propertylookup.dupagecounty.gov/Datalets/Datalet.aspx?UseSearch=no&amp;mode=sales&amp;pin=0803420022","sales record")</f>
        <v>sales record</v>
      </c>
      <c r="AC2305" t="s">
        <v>3</v>
      </c>
      <c r="AD2305">
        <v>41.801871</v>
      </c>
      <c r="AE2305">
        <v>-88.072039</v>
      </c>
      <c r="AF2305" s="5" t="str">
        <f>HYPERLINK("https://www.google.com/maps/search/?api=1&amp;query=41.801871,-88.072039","map")</f>
        <v>map</v>
      </c>
    </row>
    <row r="2306" spans="1:32">
      <c r="A2306" t="s">
        <v>2356</v>
      </c>
      <c r="B2306" t="s">
        <v>9907</v>
      </c>
      <c r="C2306" t="s">
        <v>15424</v>
      </c>
      <c r="D2306" t="s">
        <v>16204</v>
      </c>
      <c r="E2306" t="s">
        <v>16217</v>
      </c>
      <c r="F2306" t="s">
        <v>16222</v>
      </c>
      <c r="G2306" t="s">
        <v>16261</v>
      </c>
      <c r="H2306" t="s">
        <v>16261</v>
      </c>
      <c r="I2306" t="s">
        <v>16341</v>
      </c>
      <c r="J2306" t="s">
        <v>16385</v>
      </c>
      <c r="K2306">
        <v>0.353</v>
      </c>
      <c r="L2306">
        <v>15357</v>
      </c>
      <c r="N2306" t="s">
        <v>16392</v>
      </c>
      <c r="O2306" s="4">
        <v>138609</v>
      </c>
      <c r="P2306" s="4">
        <v>0</v>
      </c>
      <c r="Q2306" s="4">
        <v>138609</v>
      </c>
      <c r="R2306" s="4">
        <v>415827</v>
      </c>
      <c r="S2306" t="s">
        <v>18638</v>
      </c>
      <c r="T2306" s="6">
        <v>38626</v>
      </c>
      <c r="U2306" s="4">
        <v>190000</v>
      </c>
      <c r="V2306" t="s">
        <v>23740</v>
      </c>
      <c r="W2306" t="s">
        <v>18638</v>
      </c>
      <c r="X2306" t="s">
        <v>3</v>
      </c>
      <c r="AA2306" s="5" t="str">
        <f>HYPERLINK("https://www.zillow.com/homes/1013-FRONT-ST-LISLE-IL-60532_rb/","check listing")</f>
        <v>check listing</v>
      </c>
      <c r="AB2306" s="5" t="str">
        <f>HYPERLINK("https://propertylookup.dupagecounty.gov/Datalets/Datalet.aspx?UseSearch=no&amp;mode=sales&amp;pin=0810217022","sales record")</f>
        <v>sales record</v>
      </c>
      <c r="AC2306" t="s">
        <v>3</v>
      </c>
      <c r="AD2306">
        <v>41.797005</v>
      </c>
      <c r="AE2306">
        <v>-88.073519</v>
      </c>
      <c r="AF2306" s="5" t="str">
        <f>HYPERLINK("https://www.google.com/maps/search/?api=1&amp;query=41.797005,-88.073519","map")</f>
        <v>map</v>
      </c>
    </row>
    <row r="2307" spans="1:32">
      <c r="A2307" t="s">
        <v>2357</v>
      </c>
      <c r="B2307" t="s">
        <v>9908</v>
      </c>
      <c r="C2307" t="s">
        <v>15431</v>
      </c>
      <c r="D2307" t="s">
        <v>16204</v>
      </c>
      <c r="E2307" t="s">
        <v>16217</v>
      </c>
      <c r="F2307" t="s">
        <v>16222</v>
      </c>
      <c r="G2307" t="s">
        <v>16260</v>
      </c>
      <c r="H2307" t="s">
        <v>16260</v>
      </c>
      <c r="I2307" t="s">
        <v>16340</v>
      </c>
      <c r="J2307" t="s">
        <v>16385</v>
      </c>
      <c r="K2307">
        <v>0.289</v>
      </c>
      <c r="L2307">
        <v>12582</v>
      </c>
      <c r="N2307" t="s">
        <v>16392</v>
      </c>
      <c r="O2307" s="4">
        <v>51312</v>
      </c>
      <c r="P2307" s="4">
        <v>0</v>
      </c>
      <c r="Q2307" s="4">
        <v>51312</v>
      </c>
      <c r="R2307" s="4">
        <v>153936</v>
      </c>
      <c r="S2307" t="s">
        <v>18639</v>
      </c>
      <c r="T2307" s="6">
        <v>46087</v>
      </c>
      <c r="U2307" s="4">
        <v>100000</v>
      </c>
      <c r="V2307" t="s">
        <v>23739</v>
      </c>
      <c r="W2307" t="s">
        <v>18639</v>
      </c>
      <c r="X2307" t="s">
        <v>3</v>
      </c>
      <c r="AA2307" s="5" t="str">
        <f>HYPERLINK("https://www.zillow.com/homes/4706-CENTER-AVE-LISLE-IL-605321859_rb/","check listing")</f>
        <v>check listing</v>
      </c>
      <c r="AB2307" s="5" t="str">
        <f>HYPERLINK("https://propertylookup.dupagecounty.gov/Datalets/Datalet.aspx?UseSearch=no&amp;mode=sales&amp;pin=0803427007","sales record")</f>
        <v>sales record</v>
      </c>
      <c r="AC2307" t="s">
        <v>3</v>
      </c>
      <c r="AD2307">
        <v>41.800817</v>
      </c>
      <c r="AE2307">
        <v>-88.072625</v>
      </c>
      <c r="AF2307" s="5" t="str">
        <f>HYPERLINK("https://www.google.com/maps/search/?api=1&amp;query=41.800817,-88.072625","map")</f>
        <v>map</v>
      </c>
    </row>
    <row r="2308" spans="1:32">
      <c r="A2308" t="s">
        <v>2358</v>
      </c>
      <c r="B2308" t="s">
        <v>9909</v>
      </c>
      <c r="C2308" t="s">
        <v>15424</v>
      </c>
      <c r="D2308" t="s">
        <v>16204</v>
      </c>
      <c r="E2308" t="s">
        <v>16217</v>
      </c>
      <c r="F2308" t="s">
        <v>16222</v>
      </c>
      <c r="G2308" t="s">
        <v>16260</v>
      </c>
      <c r="H2308" t="s">
        <v>16260</v>
      </c>
      <c r="I2308" t="s">
        <v>16340</v>
      </c>
      <c r="J2308" t="s">
        <v>16385</v>
      </c>
      <c r="K2308">
        <v>0.207</v>
      </c>
      <c r="L2308">
        <v>9031</v>
      </c>
      <c r="M2308">
        <v>1188</v>
      </c>
      <c r="N2308" t="s">
        <v>16393</v>
      </c>
      <c r="O2308" s="4">
        <v>43095</v>
      </c>
      <c r="P2308" s="4">
        <v>0</v>
      </c>
      <c r="Q2308" s="4">
        <v>43095</v>
      </c>
      <c r="R2308" s="4">
        <v>129285</v>
      </c>
      <c r="S2308" t="s">
        <v>18640</v>
      </c>
      <c r="T2308" s="6">
        <v>31594</v>
      </c>
      <c r="U2308" s="4">
        <v>77050</v>
      </c>
      <c r="X2308" t="s">
        <v>3</v>
      </c>
      <c r="AA2308" s="5" t="str">
        <f>HYPERLINK("https://www.zillow.com/homes/1020-SOUTHPORT-AVE-LISLE-IL-60532_rb/","check listing")</f>
        <v>check listing</v>
      </c>
      <c r="AB2308" s="5" t="str">
        <f>HYPERLINK("https://propertylookup.dupagecounty.gov/Datalets/Datalet.aspx?UseSearch=no&amp;mode=sales&amp;pin=0803416005","sales record")</f>
        <v>sales record</v>
      </c>
      <c r="AC2308" t="s">
        <v>27871</v>
      </c>
      <c r="AD2308">
        <v>41.802649</v>
      </c>
      <c r="AE2308">
        <v>-88.074414</v>
      </c>
      <c r="AF2308" s="5" t="str">
        <f>HYPERLINK("https://www.google.com/maps/search/?api=1&amp;query=41.802649,-88.074414","map")</f>
        <v>map</v>
      </c>
    </row>
    <row r="2309" spans="1:32">
      <c r="A2309" t="s">
        <v>2359</v>
      </c>
      <c r="B2309" t="s">
        <v>9910</v>
      </c>
      <c r="C2309" t="s">
        <v>15424</v>
      </c>
      <c r="D2309" t="s">
        <v>16204</v>
      </c>
      <c r="E2309" t="s">
        <v>16217</v>
      </c>
      <c r="F2309" t="s">
        <v>16222</v>
      </c>
      <c r="G2309" t="s">
        <v>16260</v>
      </c>
      <c r="H2309" t="s">
        <v>16260</v>
      </c>
      <c r="I2309" t="s">
        <v>16340</v>
      </c>
      <c r="J2309" t="s">
        <v>16385</v>
      </c>
      <c r="K2309">
        <v>0.191</v>
      </c>
      <c r="L2309">
        <v>8322</v>
      </c>
      <c r="N2309" t="s">
        <v>16393</v>
      </c>
      <c r="O2309" s="4">
        <v>4983</v>
      </c>
      <c r="P2309" s="4">
        <v>0</v>
      </c>
      <c r="Q2309" s="4">
        <v>4983</v>
      </c>
      <c r="R2309" s="4">
        <v>14949</v>
      </c>
      <c r="S2309" t="s">
        <v>18641</v>
      </c>
      <c r="X2309" t="s">
        <v>3</v>
      </c>
      <c r="AA2309" s="5" t="str">
        <f>HYPERLINK("https://www.zillow.com/homes/RT-53-RT-34-LISLE-IL-60532_rb/","check listing")</f>
        <v>check listing</v>
      </c>
      <c r="AB2309" s="5" t="str">
        <f>HYPERLINK("https://propertylookup.dupagecounty.gov/Datalets/Datalet.aspx?UseSearch=no&amp;mode=sales&amp;pin=0803419014","sales record")</f>
        <v>sales record</v>
      </c>
      <c r="AC2309" t="s">
        <v>3</v>
      </c>
      <c r="AD2309">
        <v>41.801501</v>
      </c>
      <c r="AE2309">
        <v>-88.076573</v>
      </c>
      <c r="AF2309" s="5" t="str">
        <f>HYPERLINK("https://www.google.com/maps/search/?api=1&amp;query=41.801501,-88.076573","map")</f>
        <v>map</v>
      </c>
    </row>
    <row r="2310" spans="1:32">
      <c r="A2310" t="s">
        <v>2360</v>
      </c>
      <c r="B2310" t="s">
        <v>3</v>
      </c>
      <c r="C2310" t="s">
        <v>15424</v>
      </c>
      <c r="D2310" t="s">
        <v>16204</v>
      </c>
      <c r="E2310" t="s">
        <v>16217</v>
      </c>
      <c r="F2310" t="s">
        <v>16222</v>
      </c>
      <c r="G2310" t="s">
        <v>16260</v>
      </c>
      <c r="H2310" t="s">
        <v>16260</v>
      </c>
      <c r="I2310" t="s">
        <v>16340</v>
      </c>
      <c r="J2310" t="s">
        <v>16385</v>
      </c>
      <c r="K2310">
        <v>0.155</v>
      </c>
      <c r="L2310">
        <v>6752</v>
      </c>
      <c r="N2310" t="s">
        <v>16393</v>
      </c>
      <c r="O2310" s="4">
        <v>4983</v>
      </c>
      <c r="P2310" s="4">
        <v>0</v>
      </c>
      <c r="Q2310" s="4">
        <v>4983</v>
      </c>
      <c r="R2310" s="4">
        <v>14949</v>
      </c>
      <c r="S2310" t="s">
        <v>18642</v>
      </c>
      <c r="X2310" t="s">
        <v>3</v>
      </c>
      <c r="AB2310" s="5" t="str">
        <f>HYPERLINK("https://propertylookup.dupagecounty.gov/Datalets/Datalet.aspx?UseSearch=no&amp;mode=sales&amp;pin=0803419011","sales record")</f>
        <v>sales record</v>
      </c>
      <c r="AC2310" t="s">
        <v>3</v>
      </c>
      <c r="AD2310">
        <v>41.801458</v>
      </c>
      <c r="AE2310">
        <v>-88.07714</v>
      </c>
      <c r="AF2310" s="5" t="str">
        <f>HYPERLINK("https://www.google.com/maps/search/?api=1&amp;query=41.801458,-88.07714","map")</f>
        <v>map</v>
      </c>
    </row>
    <row r="2311" spans="1:32">
      <c r="A2311" t="s">
        <v>2361</v>
      </c>
      <c r="B2311" t="s">
        <v>9911</v>
      </c>
      <c r="C2311" t="s">
        <v>15424</v>
      </c>
      <c r="D2311" t="s">
        <v>16204</v>
      </c>
      <c r="E2311" t="s">
        <v>16217</v>
      </c>
      <c r="F2311" t="s">
        <v>16222</v>
      </c>
      <c r="G2311" t="s">
        <v>16261</v>
      </c>
      <c r="H2311" t="s">
        <v>16261</v>
      </c>
      <c r="I2311" t="s">
        <v>16341</v>
      </c>
      <c r="J2311" t="s">
        <v>16385</v>
      </c>
      <c r="K2311">
        <v>0.152</v>
      </c>
      <c r="L2311">
        <v>6614</v>
      </c>
      <c r="N2311" t="s">
        <v>16392</v>
      </c>
      <c r="O2311" s="4">
        <v>58935</v>
      </c>
      <c r="P2311" s="4">
        <v>0</v>
      </c>
      <c r="Q2311" s="4">
        <v>58935</v>
      </c>
      <c r="R2311" s="4">
        <v>176805</v>
      </c>
      <c r="S2311" t="s">
        <v>18643</v>
      </c>
      <c r="T2311" s="6">
        <v>33239</v>
      </c>
      <c r="U2311" s="4">
        <v>150000</v>
      </c>
      <c r="X2311" t="s">
        <v>3</v>
      </c>
      <c r="AA2311" s="5" t="str">
        <f>HYPERLINK("https://www.zillow.com/homes/4911-MAIN-ST-LISLE-IL-60532_rb/","check listing")</f>
        <v>check listing</v>
      </c>
      <c r="AB2311" s="5" t="str">
        <f>HYPERLINK("https://propertylookup.dupagecounty.gov/Datalets/Datalet.aspx?UseSearch=no&amp;mode=sales&amp;pin=0810217009","sales record")</f>
        <v>sales record</v>
      </c>
      <c r="AC2311" t="s">
        <v>27872</v>
      </c>
      <c r="AD2311">
        <v>41.796358</v>
      </c>
      <c r="AE2311">
        <v>-88.07402999999999</v>
      </c>
      <c r="AF2311" s="5" t="str">
        <f>HYPERLINK("https://www.google.com/maps/search/?api=1&amp;query=41.796358,-88.07403","map")</f>
        <v>map</v>
      </c>
    </row>
    <row r="2312" spans="1:32">
      <c r="A2312" t="s">
        <v>2362</v>
      </c>
      <c r="B2312" t="s">
        <v>3</v>
      </c>
      <c r="C2312" t="s">
        <v>15424</v>
      </c>
      <c r="D2312" t="s">
        <v>16204</v>
      </c>
      <c r="E2312" t="s">
        <v>16217</v>
      </c>
      <c r="F2312" t="s">
        <v>16222</v>
      </c>
      <c r="G2312" t="s">
        <v>16261</v>
      </c>
      <c r="H2312" t="s">
        <v>16261</v>
      </c>
      <c r="I2312" t="s">
        <v>16341</v>
      </c>
      <c r="J2312" t="s">
        <v>16385</v>
      </c>
      <c r="K2312">
        <v>0.152</v>
      </c>
      <c r="L2312">
        <v>6603</v>
      </c>
      <c r="N2312" t="s">
        <v>16393</v>
      </c>
      <c r="O2312" s="4">
        <v>43773</v>
      </c>
      <c r="P2312" s="4">
        <v>0</v>
      </c>
      <c r="Q2312" s="4">
        <v>43773</v>
      </c>
      <c r="R2312" s="4">
        <v>131319</v>
      </c>
      <c r="S2312" t="s">
        <v>18644</v>
      </c>
      <c r="X2312" t="s">
        <v>3</v>
      </c>
      <c r="AB2312" s="5" t="str">
        <f>HYPERLINK("https://propertylookup.dupagecounty.gov/Datalets/Datalet.aspx?UseSearch=no&amp;mode=sales&amp;pin=0810217011","sales record")</f>
        <v>sales record</v>
      </c>
      <c r="AC2312" t="s">
        <v>3</v>
      </c>
      <c r="AD2312">
        <v>41.796062</v>
      </c>
      <c r="AE2312">
        <v>-88.074003</v>
      </c>
      <c r="AF2312" s="5" t="str">
        <f>HYPERLINK("https://www.google.com/maps/search/?api=1&amp;query=41.796062,-88.074003","map")</f>
        <v>map</v>
      </c>
    </row>
    <row r="2313" spans="1:32">
      <c r="A2313" t="s">
        <v>2363</v>
      </c>
      <c r="B2313" t="s">
        <v>9910</v>
      </c>
      <c r="C2313" t="s">
        <v>15424</v>
      </c>
      <c r="D2313" t="s">
        <v>16204</v>
      </c>
      <c r="E2313" t="s">
        <v>16217</v>
      </c>
      <c r="F2313" t="s">
        <v>16222</v>
      </c>
      <c r="G2313" t="s">
        <v>16260</v>
      </c>
      <c r="H2313" t="s">
        <v>16260</v>
      </c>
      <c r="I2313" t="s">
        <v>16340</v>
      </c>
      <c r="J2313" t="s">
        <v>16385</v>
      </c>
      <c r="K2313">
        <v>0.152</v>
      </c>
      <c r="L2313">
        <v>6601</v>
      </c>
      <c r="N2313" t="s">
        <v>16393</v>
      </c>
      <c r="O2313" s="4">
        <v>4983</v>
      </c>
      <c r="P2313" s="4">
        <v>0</v>
      </c>
      <c r="Q2313" s="4">
        <v>4983</v>
      </c>
      <c r="R2313" s="4">
        <v>14949</v>
      </c>
      <c r="S2313" t="s">
        <v>18641</v>
      </c>
      <c r="T2313" s="6">
        <v>30407</v>
      </c>
      <c r="U2313" s="4">
        <v>2000</v>
      </c>
      <c r="X2313" t="s">
        <v>3</v>
      </c>
      <c r="AA2313" s="5" t="str">
        <f>HYPERLINK("https://www.zillow.com/homes/RT-53-RT-34-LISLE-IL-60532_rb/","check listing")</f>
        <v>check listing</v>
      </c>
      <c r="AB2313" s="5" t="str">
        <f>HYPERLINK("https://propertylookup.dupagecounty.gov/Datalets/Datalet.aspx?UseSearch=no&amp;mode=sales&amp;pin=0803419013","sales record")</f>
        <v>sales record</v>
      </c>
      <c r="AC2313" t="s">
        <v>3</v>
      </c>
      <c r="AD2313">
        <v>41.801499</v>
      </c>
      <c r="AE2313">
        <v>-88.07678</v>
      </c>
      <c r="AF2313" s="5" t="str">
        <f>HYPERLINK("https://www.google.com/maps/search/?api=1&amp;query=41.801499,-88.07678","map")</f>
        <v>map</v>
      </c>
    </row>
    <row r="2314" spans="1:32">
      <c r="A2314" t="s">
        <v>2364</v>
      </c>
      <c r="B2314" t="s">
        <v>9910</v>
      </c>
      <c r="C2314" t="s">
        <v>15424</v>
      </c>
      <c r="D2314" t="s">
        <v>16204</v>
      </c>
      <c r="E2314" t="s">
        <v>16217</v>
      </c>
      <c r="F2314" t="s">
        <v>16222</v>
      </c>
      <c r="G2314" t="s">
        <v>16260</v>
      </c>
      <c r="H2314" t="s">
        <v>16260</v>
      </c>
      <c r="I2314" t="s">
        <v>16340</v>
      </c>
      <c r="J2314" t="s">
        <v>16385</v>
      </c>
      <c r="K2314">
        <v>0.147</v>
      </c>
      <c r="L2314">
        <v>6388</v>
      </c>
      <c r="N2314" t="s">
        <v>16393</v>
      </c>
      <c r="O2314" s="4">
        <v>4983</v>
      </c>
      <c r="P2314" s="4">
        <v>0</v>
      </c>
      <c r="Q2314" s="4">
        <v>4983</v>
      </c>
      <c r="R2314" s="4">
        <v>14949</v>
      </c>
      <c r="S2314" t="s">
        <v>18641</v>
      </c>
      <c r="T2314" s="6">
        <v>30407</v>
      </c>
      <c r="U2314" s="4">
        <v>1200</v>
      </c>
      <c r="X2314" t="s">
        <v>3</v>
      </c>
      <c r="AA2314" s="5" t="str">
        <f>HYPERLINK("https://www.zillow.com/homes/RT-53-RT-34-LISLE-IL-60532_rb/","check listing")</f>
        <v>check listing</v>
      </c>
      <c r="AB2314" s="5" t="str">
        <f>HYPERLINK("https://propertylookup.dupagecounty.gov/Datalets/Datalet.aspx?UseSearch=no&amp;mode=sales&amp;pin=0803419012","sales record")</f>
        <v>sales record</v>
      </c>
      <c r="AC2314" t="s">
        <v>3</v>
      </c>
      <c r="AD2314">
        <v>41.801479</v>
      </c>
      <c r="AE2314">
        <v>-88.076959</v>
      </c>
      <c r="AF2314" s="5" t="str">
        <f>HYPERLINK("https://www.google.com/maps/search/?api=1&amp;query=41.801479,-88.076959","map")</f>
        <v>map</v>
      </c>
    </row>
    <row r="2315" spans="1:32">
      <c r="A2315" t="s">
        <v>2365</v>
      </c>
      <c r="B2315" t="s">
        <v>9906</v>
      </c>
      <c r="C2315" t="s">
        <v>15424</v>
      </c>
      <c r="D2315" t="s">
        <v>16204</v>
      </c>
      <c r="E2315" t="s">
        <v>16217</v>
      </c>
      <c r="F2315" t="s">
        <v>16222</v>
      </c>
      <c r="G2315" t="s">
        <v>16260</v>
      </c>
      <c r="H2315" t="s">
        <v>16260</v>
      </c>
      <c r="I2315" t="s">
        <v>16340</v>
      </c>
      <c r="J2315" t="s">
        <v>16385</v>
      </c>
      <c r="K2315">
        <v>0.122</v>
      </c>
      <c r="L2315">
        <v>5293</v>
      </c>
      <c r="N2315" t="s">
        <v>16392</v>
      </c>
      <c r="O2315" s="4">
        <v>46033</v>
      </c>
      <c r="P2315" s="4">
        <v>0</v>
      </c>
      <c r="Q2315" s="4">
        <v>46033</v>
      </c>
      <c r="R2315" s="4">
        <v>138099</v>
      </c>
      <c r="S2315" t="s">
        <v>18637</v>
      </c>
      <c r="X2315" t="s">
        <v>3</v>
      </c>
      <c r="AA2315" s="5" t="str">
        <f>HYPERLINK("https://www.zillow.com/homes/1002-OGDEN-AVE-LISLE-IL-60532_rb/","check listing")</f>
        <v>check listing</v>
      </c>
      <c r="AB2315" s="5" t="str">
        <f>HYPERLINK("https://propertylookup.dupagecounty.gov/Datalets/Datalet.aspx?UseSearch=no&amp;mode=sales&amp;pin=0802312006","sales record")</f>
        <v>sales record</v>
      </c>
      <c r="AC2315" t="s">
        <v>3</v>
      </c>
      <c r="AD2315">
        <v>41.801899</v>
      </c>
      <c r="AE2315">
        <v>-88.07177299999999</v>
      </c>
      <c r="AF2315" s="5" t="str">
        <f>HYPERLINK("https://www.google.com/maps/search/?api=1&amp;query=41.801899,-88.071773","map")</f>
        <v>map</v>
      </c>
    </row>
    <row r="2316" spans="1:32">
      <c r="A2316" t="s">
        <v>2366</v>
      </c>
      <c r="B2316" t="s">
        <v>3</v>
      </c>
      <c r="C2316" t="s">
        <v>15424</v>
      </c>
      <c r="D2316" t="s">
        <v>16204</v>
      </c>
      <c r="E2316" t="s">
        <v>16217</v>
      </c>
      <c r="F2316" t="s">
        <v>16222</v>
      </c>
      <c r="G2316" t="s">
        <v>16260</v>
      </c>
      <c r="H2316" t="s">
        <v>16260</v>
      </c>
      <c r="I2316" t="s">
        <v>16340</v>
      </c>
      <c r="J2316" t="s">
        <v>16385</v>
      </c>
      <c r="K2316">
        <v>0.11</v>
      </c>
      <c r="L2316">
        <v>4794</v>
      </c>
      <c r="N2316" t="s">
        <v>16393</v>
      </c>
      <c r="O2316" s="4">
        <v>4983</v>
      </c>
      <c r="P2316" s="4">
        <v>0</v>
      </c>
      <c r="Q2316" s="4">
        <v>4983</v>
      </c>
      <c r="R2316" s="4">
        <v>14949</v>
      </c>
      <c r="S2316" t="s">
        <v>18642</v>
      </c>
      <c r="T2316" s="6">
        <v>31260</v>
      </c>
      <c r="U2316" s="4">
        <v>18000</v>
      </c>
      <c r="X2316" t="s">
        <v>3</v>
      </c>
      <c r="AB2316" s="5" t="str">
        <f>HYPERLINK("https://propertylookup.dupagecounty.gov/Datalets/Datalet.aspx?UseSearch=no&amp;mode=sales&amp;pin=0803419010","sales record")</f>
        <v>sales record</v>
      </c>
      <c r="AC2316" t="s">
        <v>3</v>
      </c>
      <c r="AD2316">
        <v>41.801436</v>
      </c>
      <c r="AE2316">
        <v>-88.077299</v>
      </c>
      <c r="AF2316" s="5" t="str">
        <f>HYPERLINK("https://www.google.com/maps/search/?api=1&amp;query=41.801436,-88.077299","map")</f>
        <v>map</v>
      </c>
    </row>
    <row r="2317" spans="1:32">
      <c r="A2317" t="s">
        <v>2367</v>
      </c>
      <c r="B2317" t="s">
        <v>9912</v>
      </c>
      <c r="C2317" t="s">
        <v>15424</v>
      </c>
      <c r="D2317" t="s">
        <v>16204</v>
      </c>
      <c r="E2317" t="s">
        <v>16217</v>
      </c>
      <c r="F2317" t="s">
        <v>16222</v>
      </c>
      <c r="G2317" t="s">
        <v>16260</v>
      </c>
      <c r="H2317" t="s">
        <v>16260</v>
      </c>
      <c r="I2317" t="s">
        <v>16340</v>
      </c>
      <c r="J2317" t="s">
        <v>16385</v>
      </c>
      <c r="K2317">
        <v>0.076</v>
      </c>
      <c r="L2317">
        <v>3303</v>
      </c>
      <c r="N2317" t="s">
        <v>16392</v>
      </c>
      <c r="O2317" s="4">
        <v>16457</v>
      </c>
      <c r="P2317" s="4">
        <v>0</v>
      </c>
      <c r="Q2317" s="4">
        <v>16457</v>
      </c>
      <c r="R2317" s="4">
        <v>49371</v>
      </c>
      <c r="S2317" t="s">
        <v>18645</v>
      </c>
      <c r="T2317" s="6">
        <v>45353</v>
      </c>
      <c r="U2317" s="4">
        <v>450000</v>
      </c>
      <c r="V2317" t="s">
        <v>23739</v>
      </c>
      <c r="W2317" t="s">
        <v>18645</v>
      </c>
      <c r="X2317" t="s">
        <v>3</v>
      </c>
      <c r="AA2317" s="5" t="str">
        <f>HYPERLINK("https://www.zillow.com/homes/1108-FRONT-ST-LISLE-IL-60532_rb/","check listing")</f>
        <v>check listing</v>
      </c>
      <c r="AB2317" s="5" t="str">
        <f>HYPERLINK("https://propertylookup.dupagecounty.gov/Datalets/Datalet.aspx?UseSearch=no&amp;mode=sales&amp;pin=0810215003","sales record")</f>
        <v>sales record</v>
      </c>
      <c r="AC2317" t="s">
        <v>27872</v>
      </c>
      <c r="AD2317">
        <v>41.797157</v>
      </c>
      <c r="AE2317">
        <v>-88.075001</v>
      </c>
      <c r="AF2317" s="5" t="str">
        <f>HYPERLINK("https://www.google.com/maps/search/?api=1&amp;query=41.797157,-88.075001","map")</f>
        <v>map</v>
      </c>
    </row>
    <row r="2318" spans="1:32">
      <c r="A2318" t="s">
        <v>2368</v>
      </c>
      <c r="B2318" t="s">
        <v>9913</v>
      </c>
      <c r="C2318" t="s">
        <v>15424</v>
      </c>
      <c r="D2318" t="s">
        <v>16204</v>
      </c>
      <c r="E2318" t="s">
        <v>16218</v>
      </c>
      <c r="F2318" t="s">
        <v>16220</v>
      </c>
      <c r="G2318" t="s">
        <v>16238</v>
      </c>
      <c r="H2318" t="s">
        <v>16238</v>
      </c>
      <c r="I2318" t="s">
        <v>16342</v>
      </c>
      <c r="J2318" t="s">
        <v>16385</v>
      </c>
      <c r="K2318">
        <v>0.796</v>
      </c>
      <c r="L2318">
        <v>34666</v>
      </c>
      <c r="M2318">
        <v>4749</v>
      </c>
      <c r="N2318" t="s">
        <v>16393</v>
      </c>
      <c r="O2318" s="4">
        <v>81172</v>
      </c>
      <c r="P2318" s="4">
        <v>51693</v>
      </c>
      <c r="Q2318" s="4">
        <v>132865</v>
      </c>
      <c r="R2318" s="4">
        <v>398595</v>
      </c>
      <c r="S2318" t="s">
        <v>18646</v>
      </c>
      <c r="T2318" s="6">
        <v>44803</v>
      </c>
      <c r="U2318" s="4">
        <v>11550000</v>
      </c>
      <c r="V2318" t="s">
        <v>23739</v>
      </c>
      <c r="W2318" t="s">
        <v>24834</v>
      </c>
      <c r="X2318" t="s">
        <v>3</v>
      </c>
      <c r="AA2318" s="5" t="str">
        <f>HYPERLINK("https://www.zillow.com/homes/4935-KELLER-ST-LISLE-IL-60532_rb/","check listing")</f>
        <v>check listing</v>
      </c>
      <c r="AB2318" s="5" t="str">
        <f>HYPERLINK("https://propertylookup.dupagecounty.gov/Datalets/Datalet.aspx?UseSearch=no&amp;mode=sales&amp;pin=0809103033","sales record")</f>
        <v>sales record</v>
      </c>
      <c r="AC2318" t="s">
        <v>3</v>
      </c>
      <c r="AD2318">
        <v>41.795206</v>
      </c>
      <c r="AE2318">
        <v>-88.107883</v>
      </c>
      <c r="AF2318" s="5" t="str">
        <f>HYPERLINK("https://www.google.com/maps/search/?api=1&amp;query=41.795206,-88.107883","map")</f>
        <v>map</v>
      </c>
    </row>
    <row r="2319" spans="1:32">
      <c r="A2319" t="s">
        <v>2369</v>
      </c>
      <c r="B2319" t="s">
        <v>9914</v>
      </c>
      <c r="C2319" t="s">
        <v>15424</v>
      </c>
      <c r="D2319" t="s">
        <v>16204</v>
      </c>
      <c r="E2319" t="s">
        <v>16218</v>
      </c>
      <c r="F2319" t="s">
        <v>16220</v>
      </c>
      <c r="G2319" t="s">
        <v>16238</v>
      </c>
      <c r="H2319" t="s">
        <v>16238</v>
      </c>
      <c r="I2319" t="s">
        <v>16342</v>
      </c>
      <c r="J2319" t="s">
        <v>16385</v>
      </c>
      <c r="K2319">
        <v>0.454</v>
      </c>
      <c r="L2319">
        <v>19778</v>
      </c>
      <c r="M2319">
        <v>3347</v>
      </c>
      <c r="N2319" t="s">
        <v>16393</v>
      </c>
      <c r="O2319" s="4">
        <v>77272</v>
      </c>
      <c r="P2319" s="4">
        <v>54048</v>
      </c>
      <c r="Q2319" s="4">
        <v>131320</v>
      </c>
      <c r="R2319" s="4">
        <v>393960</v>
      </c>
      <c r="S2319" t="s">
        <v>18647</v>
      </c>
      <c r="X2319" t="s">
        <v>3</v>
      </c>
      <c r="AA2319" s="5" t="str">
        <f>HYPERLINK("https://www.zillow.com/homes/4838-COLUMBIA-AVE-LISLE-IL-60532_rb/","check listing")</f>
        <v>check listing</v>
      </c>
      <c r="AB2319" s="5" t="str">
        <f>HYPERLINK("https://propertylookup.dupagecounty.gov/Datalets/Datalet.aspx?UseSearch=no&amp;mode=sales&amp;pin=0811109025","sales record")</f>
        <v>sales record</v>
      </c>
      <c r="AC2319" t="s">
        <v>3</v>
      </c>
      <c r="AD2319">
        <v>41.797043</v>
      </c>
      <c r="AE2319">
        <v>-88.070971</v>
      </c>
      <c r="AF2319" s="5" t="str">
        <f>HYPERLINK("https://www.google.com/maps/search/?api=1&amp;query=41.797043,-88.070971","map")</f>
        <v>map</v>
      </c>
    </row>
    <row r="2320" spans="1:32">
      <c r="A2320" t="s">
        <v>2370</v>
      </c>
      <c r="B2320" t="s">
        <v>9915</v>
      </c>
      <c r="C2320" t="s">
        <v>15424</v>
      </c>
      <c r="D2320" t="s">
        <v>16204</v>
      </c>
      <c r="E2320" t="s">
        <v>16218</v>
      </c>
      <c r="F2320" t="s">
        <v>16220</v>
      </c>
      <c r="G2320" t="s">
        <v>16238</v>
      </c>
      <c r="H2320" t="s">
        <v>16238</v>
      </c>
      <c r="I2320" t="s">
        <v>16342</v>
      </c>
      <c r="J2320" t="s">
        <v>16385</v>
      </c>
      <c r="K2320">
        <v>0.282</v>
      </c>
      <c r="L2320">
        <v>12289</v>
      </c>
      <c r="M2320">
        <v>1361</v>
      </c>
      <c r="N2320" t="s">
        <v>16393</v>
      </c>
      <c r="O2320" s="4">
        <v>63656</v>
      </c>
      <c r="P2320" s="4">
        <v>39933</v>
      </c>
      <c r="Q2320" s="4">
        <v>103589</v>
      </c>
      <c r="R2320" s="4">
        <v>310767</v>
      </c>
      <c r="S2320" t="s">
        <v>18648</v>
      </c>
      <c r="X2320" t="s">
        <v>3</v>
      </c>
      <c r="AA2320" s="5" t="str">
        <f>HYPERLINK("https://www.zillow.com/homes/4905-CENTER-AVE-LISLE-IL-60532_rb/","check listing")</f>
        <v>check listing</v>
      </c>
      <c r="AB2320" s="5" t="str">
        <f>HYPERLINK("https://propertylookup.dupagecounty.gov/Datalets/Datalet.aspx?UseSearch=no&amp;mode=sales&amp;pin=0811109022","sales record")</f>
        <v>sales record</v>
      </c>
      <c r="AC2320" t="s">
        <v>3</v>
      </c>
      <c r="AD2320">
        <v>41.797107</v>
      </c>
      <c r="AE2320">
        <v>-88.071583</v>
      </c>
      <c r="AF2320" s="5" t="str">
        <f>HYPERLINK("https://www.google.com/maps/search/?api=1&amp;query=41.797107,-88.071583","map")</f>
        <v>map</v>
      </c>
    </row>
    <row r="2321" spans="1:32">
      <c r="A2321" t="s">
        <v>2371</v>
      </c>
      <c r="B2321" t="s">
        <v>9916</v>
      </c>
      <c r="C2321" t="s">
        <v>15432</v>
      </c>
      <c r="D2321" t="s">
        <v>16204</v>
      </c>
      <c r="E2321" t="s">
        <v>16218</v>
      </c>
      <c r="F2321" t="s">
        <v>16220</v>
      </c>
      <c r="G2321" t="s">
        <v>16238</v>
      </c>
      <c r="H2321" t="s">
        <v>16238</v>
      </c>
      <c r="I2321" t="s">
        <v>16342</v>
      </c>
      <c r="J2321" t="s">
        <v>16385</v>
      </c>
      <c r="K2321">
        <v>0.179</v>
      </c>
      <c r="L2321">
        <v>7801</v>
      </c>
      <c r="M2321">
        <v>2639</v>
      </c>
      <c r="N2321" t="s">
        <v>16393</v>
      </c>
      <c r="O2321" s="4">
        <v>47020</v>
      </c>
      <c r="P2321" s="4">
        <v>133008</v>
      </c>
      <c r="Q2321" s="4">
        <v>180028</v>
      </c>
      <c r="R2321" s="4">
        <v>540084</v>
      </c>
      <c r="S2321" t="s">
        <v>18649</v>
      </c>
      <c r="T2321" s="6">
        <v>44105</v>
      </c>
      <c r="U2321" s="4">
        <v>378000</v>
      </c>
      <c r="V2321" t="s">
        <v>23739</v>
      </c>
      <c r="W2321" t="s">
        <v>18649</v>
      </c>
      <c r="X2321" t="s">
        <v>3</v>
      </c>
      <c r="AA2321" s="5" t="str">
        <f>HYPERLINK("https://www.zillow.com/homes/1240-LAKE-SHORE-DR-LISLE-IL-605324561_rb/","check listing")</f>
        <v>check listing</v>
      </c>
      <c r="AB2321" s="5" t="str">
        <f>HYPERLINK("https://propertylookup.dupagecounty.gov/Datalets/Datalet.aspx?UseSearch=no&amp;mode=sales&amp;pin=0815408001","sales record")</f>
        <v>sales record</v>
      </c>
      <c r="AC2321" t="s">
        <v>3</v>
      </c>
      <c r="AD2321">
        <v>41.776995</v>
      </c>
      <c r="AE2321">
        <v>-88.07671000000001</v>
      </c>
      <c r="AF2321" s="5" t="str">
        <f>HYPERLINK("https://www.google.com/maps/search/?api=1&amp;query=41.776995,-88.07671","map")</f>
        <v>map</v>
      </c>
    </row>
    <row r="2322" spans="1:32">
      <c r="A2322" t="s">
        <v>2372</v>
      </c>
      <c r="B2322" t="s">
        <v>9917</v>
      </c>
      <c r="C2322" t="s">
        <v>15424</v>
      </c>
      <c r="D2322" t="s">
        <v>16204</v>
      </c>
      <c r="E2322" t="s">
        <v>16218</v>
      </c>
      <c r="F2322" t="s">
        <v>16220</v>
      </c>
      <c r="G2322" t="s">
        <v>16238</v>
      </c>
      <c r="H2322" t="s">
        <v>16238</v>
      </c>
      <c r="I2322" t="s">
        <v>16342</v>
      </c>
      <c r="J2322" t="s">
        <v>16385</v>
      </c>
      <c r="K2322">
        <v>0.153</v>
      </c>
      <c r="L2322">
        <v>6675</v>
      </c>
      <c r="M2322">
        <v>2499</v>
      </c>
      <c r="N2322" t="s">
        <v>16393</v>
      </c>
      <c r="O2322" s="4">
        <v>47020</v>
      </c>
      <c r="P2322" s="4">
        <v>124719</v>
      </c>
      <c r="Q2322" s="4">
        <v>171739</v>
      </c>
      <c r="R2322" s="4">
        <v>515217</v>
      </c>
      <c r="S2322" t="s">
        <v>18650</v>
      </c>
      <c r="T2322" s="6">
        <v>38322</v>
      </c>
      <c r="U2322" s="4">
        <v>431683</v>
      </c>
      <c r="V2322" t="s">
        <v>23739</v>
      </c>
      <c r="W2322" t="s">
        <v>24835</v>
      </c>
      <c r="X2322" t="s">
        <v>3</v>
      </c>
      <c r="AA2322" s="5" t="str">
        <f>HYPERLINK("https://www.zillow.com/homes/1201-LAKE-SHORE-DR-LISLE-IL-60532_rb/","check listing")</f>
        <v>check listing</v>
      </c>
      <c r="AB2322" s="5" t="str">
        <f>HYPERLINK("https://propertylookup.dupagecounty.gov/Datalets/Datalet.aspx?UseSearch=no&amp;mode=sales&amp;pin=0815408023","sales record")</f>
        <v>sales record</v>
      </c>
      <c r="AC2322" t="s">
        <v>3</v>
      </c>
      <c r="AD2322">
        <v>41.776246</v>
      </c>
      <c r="AE2322">
        <v>-88.074487</v>
      </c>
      <c r="AF2322" s="5" t="str">
        <f>HYPERLINK("https://www.google.com/maps/search/?api=1&amp;query=41.776246,-88.074487","map")</f>
        <v>map</v>
      </c>
    </row>
    <row r="2323" spans="1:32">
      <c r="A2323" t="s">
        <v>2373</v>
      </c>
      <c r="B2323" t="s">
        <v>9918</v>
      </c>
      <c r="C2323" t="s">
        <v>15424</v>
      </c>
      <c r="D2323" t="s">
        <v>16204</v>
      </c>
      <c r="E2323" t="s">
        <v>16218</v>
      </c>
      <c r="F2323" t="s">
        <v>16220</v>
      </c>
      <c r="G2323" t="s">
        <v>16238</v>
      </c>
      <c r="H2323" t="s">
        <v>16238</v>
      </c>
      <c r="I2323" t="s">
        <v>16342</v>
      </c>
      <c r="J2323" t="s">
        <v>16385</v>
      </c>
      <c r="K2323">
        <v>0.137</v>
      </c>
      <c r="L2323">
        <v>5974</v>
      </c>
      <c r="M2323">
        <v>1977</v>
      </c>
      <c r="N2323" t="s">
        <v>16393</v>
      </c>
      <c r="O2323" s="4">
        <v>49255</v>
      </c>
      <c r="P2323" s="4">
        <v>139751</v>
      </c>
      <c r="Q2323" s="4">
        <v>189006</v>
      </c>
      <c r="R2323" s="4">
        <v>567018</v>
      </c>
      <c r="S2323" t="s">
        <v>18651</v>
      </c>
      <c r="T2323" s="6">
        <v>45138</v>
      </c>
      <c r="U2323" s="4">
        <v>615000</v>
      </c>
      <c r="V2323" t="s">
        <v>23739</v>
      </c>
      <c r="W2323" t="s">
        <v>24836</v>
      </c>
      <c r="X2323" t="s">
        <v>3</v>
      </c>
      <c r="AA2323" s="5" t="str">
        <f>HYPERLINK("https://www.zillow.com/homes/1244-LAKE-SHORE-DR-LISLE-IL-60532_rb/","check listing")</f>
        <v>check listing</v>
      </c>
      <c r="AB2323" s="5" t="str">
        <f>HYPERLINK("https://propertylookup.dupagecounty.gov/Datalets/Datalet.aspx?UseSearch=no&amp;mode=sales&amp;pin=0815408002","sales record")</f>
        <v>sales record</v>
      </c>
      <c r="AC2323" t="s">
        <v>3</v>
      </c>
      <c r="AD2323">
        <v>41.776808</v>
      </c>
      <c r="AE2323">
        <v>-88.07674</v>
      </c>
      <c r="AF2323" s="5" t="str">
        <f>HYPERLINK("https://www.google.com/maps/search/?api=1&amp;query=41.776808,-88.07674","map")</f>
        <v>map</v>
      </c>
    </row>
    <row r="2324" spans="1:32">
      <c r="A2324" t="s">
        <v>2374</v>
      </c>
      <c r="B2324" t="s">
        <v>9919</v>
      </c>
      <c r="C2324" t="s">
        <v>15424</v>
      </c>
      <c r="D2324" t="s">
        <v>16204</v>
      </c>
      <c r="E2324" t="s">
        <v>16218</v>
      </c>
      <c r="F2324" t="s">
        <v>16220</v>
      </c>
      <c r="G2324" t="s">
        <v>16238</v>
      </c>
      <c r="H2324" t="s">
        <v>16238</v>
      </c>
      <c r="I2324" t="s">
        <v>16342</v>
      </c>
      <c r="J2324" t="s">
        <v>16385</v>
      </c>
      <c r="K2324">
        <v>0.133</v>
      </c>
      <c r="L2324">
        <v>5789</v>
      </c>
      <c r="M2324">
        <v>2310</v>
      </c>
      <c r="N2324" t="s">
        <v>16393</v>
      </c>
      <c r="O2324" s="4">
        <v>49255</v>
      </c>
      <c r="P2324" s="4">
        <v>175188</v>
      </c>
      <c r="Q2324" s="4">
        <v>224443</v>
      </c>
      <c r="R2324" s="4">
        <v>673329</v>
      </c>
      <c r="S2324" t="s">
        <v>18652</v>
      </c>
      <c r="T2324" s="6">
        <v>43983</v>
      </c>
      <c r="U2324" s="4">
        <v>535000</v>
      </c>
      <c r="V2324" t="s">
        <v>23739</v>
      </c>
      <c r="W2324" t="s">
        <v>24837</v>
      </c>
      <c r="X2324" t="s">
        <v>3</v>
      </c>
      <c r="AA2324" s="5" t="str">
        <f>HYPERLINK("https://www.zillow.com/homes/1248-LAKE-SHORE-DR-LISLE-IL-60532_rb/","check listing")</f>
        <v>check listing</v>
      </c>
      <c r="AB2324" s="5" t="str">
        <f>HYPERLINK("https://propertylookup.dupagecounty.gov/Datalets/Datalet.aspx?UseSearch=no&amp;mode=sales&amp;pin=0815408003","sales record")</f>
        <v>sales record</v>
      </c>
      <c r="AC2324" t="s">
        <v>3</v>
      </c>
      <c r="AD2324">
        <v>41.776666</v>
      </c>
      <c r="AE2324">
        <v>-88.076761</v>
      </c>
      <c r="AF2324" s="5" t="str">
        <f>HYPERLINK("https://www.google.com/maps/search/?api=1&amp;query=41.776666,-88.076761","map")</f>
        <v>map</v>
      </c>
    </row>
    <row r="2325" spans="1:32">
      <c r="A2325" t="s">
        <v>2375</v>
      </c>
      <c r="B2325" t="s">
        <v>9920</v>
      </c>
      <c r="C2325" t="s">
        <v>15424</v>
      </c>
      <c r="D2325" t="s">
        <v>16204</v>
      </c>
      <c r="E2325" t="s">
        <v>16218</v>
      </c>
      <c r="F2325" t="s">
        <v>16220</v>
      </c>
      <c r="G2325" t="s">
        <v>16238</v>
      </c>
      <c r="H2325" t="s">
        <v>16238</v>
      </c>
      <c r="I2325" t="s">
        <v>16342</v>
      </c>
      <c r="J2325" t="s">
        <v>16385</v>
      </c>
      <c r="K2325">
        <v>0.13</v>
      </c>
      <c r="L2325">
        <v>5659</v>
      </c>
      <c r="M2325">
        <v>2640</v>
      </c>
      <c r="N2325" t="s">
        <v>16393</v>
      </c>
      <c r="O2325" s="4">
        <v>49255</v>
      </c>
      <c r="P2325" s="4">
        <v>156945</v>
      </c>
      <c r="Q2325" s="4">
        <v>206200</v>
      </c>
      <c r="R2325" s="4">
        <v>618600</v>
      </c>
      <c r="S2325" t="s">
        <v>18653</v>
      </c>
      <c r="T2325" s="6">
        <v>42583</v>
      </c>
      <c r="U2325" s="4">
        <v>461250</v>
      </c>
      <c r="V2325" t="s">
        <v>23739</v>
      </c>
      <c r="W2325" t="s">
        <v>24838</v>
      </c>
      <c r="X2325" t="s">
        <v>3</v>
      </c>
      <c r="AA2325" s="5" t="str">
        <f>HYPERLINK("https://www.zillow.com/homes/1264-LAKE-SHORE-DR-LISLE-IL-60532_rb/","check listing")</f>
        <v>check listing</v>
      </c>
      <c r="AB2325" s="5" t="str">
        <f>HYPERLINK("https://propertylookup.dupagecounty.gov/Datalets/Datalet.aspx?UseSearch=no&amp;mode=sales&amp;pin=0815408007","sales record")</f>
        <v>sales record</v>
      </c>
      <c r="AC2325" t="s">
        <v>3</v>
      </c>
      <c r="AD2325">
        <v>41.77613</v>
      </c>
      <c r="AE2325">
        <v>-88.076695</v>
      </c>
      <c r="AF2325" s="5" t="str">
        <f>HYPERLINK("https://www.google.com/maps/search/?api=1&amp;query=41.77613,-88.076695","map")</f>
        <v>map</v>
      </c>
    </row>
    <row r="2326" spans="1:32">
      <c r="A2326" t="s">
        <v>2376</v>
      </c>
      <c r="B2326" t="s">
        <v>9921</v>
      </c>
      <c r="C2326" t="s">
        <v>15432</v>
      </c>
      <c r="D2326" t="s">
        <v>16204</v>
      </c>
      <c r="E2326" t="s">
        <v>16218</v>
      </c>
      <c r="F2326" t="s">
        <v>16220</v>
      </c>
      <c r="G2326" t="s">
        <v>16238</v>
      </c>
      <c r="H2326" t="s">
        <v>16238</v>
      </c>
      <c r="I2326" t="s">
        <v>16342</v>
      </c>
      <c r="J2326" t="s">
        <v>16385</v>
      </c>
      <c r="K2326">
        <v>0.125</v>
      </c>
      <c r="L2326">
        <v>5457</v>
      </c>
      <c r="M2326">
        <v>2637</v>
      </c>
      <c r="N2326" t="s">
        <v>16393</v>
      </c>
      <c r="O2326" s="4">
        <v>49255</v>
      </c>
      <c r="P2326" s="4">
        <v>144448</v>
      </c>
      <c r="Q2326" s="4">
        <v>193703</v>
      </c>
      <c r="R2326" s="4">
        <v>581109</v>
      </c>
      <c r="S2326" t="s">
        <v>18654</v>
      </c>
      <c r="T2326" s="6">
        <v>42917</v>
      </c>
      <c r="U2326" s="4">
        <v>505000</v>
      </c>
      <c r="V2326" t="s">
        <v>23739</v>
      </c>
      <c r="W2326" t="s">
        <v>24839</v>
      </c>
      <c r="X2326" t="s">
        <v>3</v>
      </c>
      <c r="AA2326" s="5" t="str">
        <f>HYPERLINK("https://www.zillow.com/homes/1268-LAKE-SHORE-DR-LISLE-IL-605324561_rb/","check listing")</f>
        <v>check listing</v>
      </c>
      <c r="AB2326" s="5" t="str">
        <f>HYPERLINK("https://propertylookup.dupagecounty.gov/Datalets/Datalet.aspx?UseSearch=no&amp;mode=sales&amp;pin=0815408008","sales record")</f>
        <v>sales record</v>
      </c>
      <c r="AC2326" t="s">
        <v>3</v>
      </c>
      <c r="AD2326">
        <v>41.775973</v>
      </c>
      <c r="AE2326">
        <v>-88.076688</v>
      </c>
      <c r="AF2326" s="5" t="str">
        <f>HYPERLINK("https://www.google.com/maps/search/?api=1&amp;query=41.775973,-88.076688","map")</f>
        <v>map</v>
      </c>
    </row>
    <row r="2327" spans="1:32">
      <c r="A2327" t="s">
        <v>2377</v>
      </c>
      <c r="B2327" t="s">
        <v>9922</v>
      </c>
      <c r="C2327" t="s">
        <v>15424</v>
      </c>
      <c r="D2327" t="s">
        <v>16204</v>
      </c>
      <c r="E2327" t="s">
        <v>16218</v>
      </c>
      <c r="F2327" t="s">
        <v>16220</v>
      </c>
      <c r="G2327" t="s">
        <v>16238</v>
      </c>
      <c r="H2327" t="s">
        <v>16238</v>
      </c>
      <c r="I2327" t="s">
        <v>16342</v>
      </c>
      <c r="J2327" t="s">
        <v>16385</v>
      </c>
      <c r="K2327">
        <v>0.118</v>
      </c>
      <c r="L2327">
        <v>5145</v>
      </c>
      <c r="M2327">
        <v>2110</v>
      </c>
      <c r="N2327" t="s">
        <v>16393</v>
      </c>
      <c r="O2327" s="4">
        <v>49255</v>
      </c>
      <c r="P2327" s="4">
        <v>112982</v>
      </c>
      <c r="Q2327" s="4">
        <v>162237</v>
      </c>
      <c r="R2327" s="4">
        <v>486711</v>
      </c>
      <c r="S2327" t="s">
        <v>18655</v>
      </c>
      <c r="T2327" s="6">
        <v>38626</v>
      </c>
      <c r="U2327" s="4">
        <v>427750</v>
      </c>
      <c r="V2327" t="s">
        <v>23739</v>
      </c>
      <c r="W2327" t="s">
        <v>24840</v>
      </c>
      <c r="X2327" t="s">
        <v>3</v>
      </c>
      <c r="AA2327" s="5" t="str">
        <f>HYPERLINK("https://www.zillow.com/homes/1252-LAKE-SHORE-DR-LISLE-IL-60532_rb/","check listing")</f>
        <v>check listing</v>
      </c>
      <c r="AB2327" s="5" t="str">
        <f>HYPERLINK("https://propertylookup.dupagecounty.gov/Datalets/Datalet.aspx?UseSearch=no&amp;mode=sales&amp;pin=0815408004","sales record")</f>
        <v>sales record</v>
      </c>
      <c r="AC2327" t="s">
        <v>3</v>
      </c>
      <c r="AD2327">
        <v>41.776523</v>
      </c>
      <c r="AE2327">
        <v>-88.076758</v>
      </c>
      <c r="AF2327" s="5" t="str">
        <f>HYPERLINK("https://www.google.com/maps/search/?api=1&amp;query=41.776523,-88.076758","map")</f>
        <v>map</v>
      </c>
    </row>
    <row r="2328" spans="1:32">
      <c r="A2328" t="s">
        <v>2378</v>
      </c>
      <c r="B2328" t="s">
        <v>9923</v>
      </c>
      <c r="C2328" t="s">
        <v>15424</v>
      </c>
      <c r="D2328" t="s">
        <v>16204</v>
      </c>
      <c r="E2328" t="s">
        <v>16218</v>
      </c>
      <c r="F2328" t="s">
        <v>16220</v>
      </c>
      <c r="G2328" t="s">
        <v>16238</v>
      </c>
      <c r="H2328" t="s">
        <v>16238</v>
      </c>
      <c r="I2328" t="s">
        <v>16342</v>
      </c>
      <c r="J2328" t="s">
        <v>16385</v>
      </c>
      <c r="K2328">
        <v>0.117</v>
      </c>
      <c r="L2328">
        <v>5111</v>
      </c>
      <c r="M2328">
        <v>2111</v>
      </c>
      <c r="N2328" t="s">
        <v>16393</v>
      </c>
      <c r="O2328" s="4">
        <v>44808</v>
      </c>
      <c r="P2328" s="4">
        <v>115052</v>
      </c>
      <c r="Q2328" s="4">
        <v>159860</v>
      </c>
      <c r="R2328" s="4">
        <v>479580</v>
      </c>
      <c r="S2328" t="s">
        <v>18656</v>
      </c>
      <c r="T2328" s="6">
        <v>38565</v>
      </c>
      <c r="U2328" s="4">
        <v>412437</v>
      </c>
      <c r="V2328" t="s">
        <v>23739</v>
      </c>
      <c r="W2328" t="s">
        <v>24841</v>
      </c>
      <c r="X2328" t="s">
        <v>3</v>
      </c>
      <c r="AA2328" s="5" t="str">
        <f>HYPERLINK("https://www.zillow.com/homes/6001-RIVERBEND-DR-LISLE-IL-60532_rb/","check listing")</f>
        <v>check listing</v>
      </c>
      <c r="AB2328" s="5" t="str">
        <f>HYPERLINK("https://propertylookup.dupagecounty.gov/Datalets/Datalet.aspx?UseSearch=no&amp;mode=sales&amp;pin=0815404006","sales record")</f>
        <v>sales record</v>
      </c>
      <c r="AC2328" t="s">
        <v>3</v>
      </c>
      <c r="AD2328">
        <v>41.776677</v>
      </c>
      <c r="AE2328">
        <v>-88.07397899999999</v>
      </c>
      <c r="AF2328" s="5" t="str">
        <f>HYPERLINK("https://www.google.com/maps/search/?api=1&amp;query=41.776677,-88.073979","map")</f>
        <v>map</v>
      </c>
    </row>
    <row r="2329" spans="1:32">
      <c r="A2329" t="s">
        <v>2379</v>
      </c>
      <c r="B2329" t="s">
        <v>9924</v>
      </c>
      <c r="C2329" t="s">
        <v>15424</v>
      </c>
      <c r="D2329" t="s">
        <v>16204</v>
      </c>
      <c r="E2329" t="s">
        <v>16218</v>
      </c>
      <c r="F2329" t="s">
        <v>16220</v>
      </c>
      <c r="G2329" t="s">
        <v>16238</v>
      </c>
      <c r="H2329" t="s">
        <v>16238</v>
      </c>
      <c r="I2329" t="s">
        <v>16342</v>
      </c>
      <c r="J2329" t="s">
        <v>16385</v>
      </c>
      <c r="K2329">
        <v>0.112</v>
      </c>
      <c r="L2329">
        <v>4858</v>
      </c>
      <c r="M2329">
        <v>2109</v>
      </c>
      <c r="N2329" t="s">
        <v>16393</v>
      </c>
      <c r="O2329" s="4">
        <v>49255</v>
      </c>
      <c r="P2329" s="4">
        <v>119475</v>
      </c>
      <c r="Q2329" s="4">
        <v>168730</v>
      </c>
      <c r="R2329" s="4">
        <v>506190</v>
      </c>
      <c r="S2329" t="s">
        <v>18657</v>
      </c>
      <c r="T2329" s="6">
        <v>38687</v>
      </c>
      <c r="U2329" s="4">
        <v>440252</v>
      </c>
      <c r="V2329" t="s">
        <v>23739</v>
      </c>
      <c r="W2329" t="s">
        <v>24842</v>
      </c>
      <c r="X2329" t="s">
        <v>3</v>
      </c>
      <c r="AA2329" s="5" t="str">
        <f>HYPERLINK("https://www.zillow.com/homes/1260-LAKE-SHORE-DR-LISLE-IL-60532_rb/","check listing")</f>
        <v>check listing</v>
      </c>
      <c r="AB2329" s="5" t="str">
        <f>HYPERLINK("https://propertylookup.dupagecounty.gov/Datalets/Datalet.aspx?UseSearch=no&amp;mode=sales&amp;pin=0815408006","sales record")</f>
        <v>sales record</v>
      </c>
      <c r="AC2329" t="s">
        <v>3</v>
      </c>
      <c r="AD2329">
        <v>41.776239</v>
      </c>
      <c r="AE2329">
        <v>-88.07671499999999</v>
      </c>
      <c r="AF2329" s="5" t="str">
        <f>HYPERLINK("https://www.google.com/maps/search/?api=1&amp;query=41.776239,-88.076715","map")</f>
        <v>map</v>
      </c>
    </row>
    <row r="2330" spans="1:32">
      <c r="A2330" t="s">
        <v>2380</v>
      </c>
      <c r="B2330" t="s">
        <v>9925</v>
      </c>
      <c r="C2330" t="s">
        <v>15424</v>
      </c>
      <c r="D2330" t="s">
        <v>16204</v>
      </c>
      <c r="E2330" t="s">
        <v>16218</v>
      </c>
      <c r="F2330" t="s">
        <v>16220</v>
      </c>
      <c r="G2330" t="s">
        <v>16238</v>
      </c>
      <c r="H2330" t="s">
        <v>16238</v>
      </c>
      <c r="I2330" t="s">
        <v>16342</v>
      </c>
      <c r="J2330" t="s">
        <v>16385</v>
      </c>
      <c r="K2330">
        <v>0.107</v>
      </c>
      <c r="L2330">
        <v>4646</v>
      </c>
      <c r="M2330">
        <v>2375</v>
      </c>
      <c r="N2330" t="s">
        <v>16393</v>
      </c>
      <c r="O2330" s="4">
        <v>44784</v>
      </c>
      <c r="P2330" s="4">
        <v>118215</v>
      </c>
      <c r="Q2330" s="4">
        <v>162999</v>
      </c>
      <c r="R2330" s="4">
        <v>488997</v>
      </c>
      <c r="S2330" t="s">
        <v>18658</v>
      </c>
      <c r="T2330" s="6">
        <v>41306</v>
      </c>
      <c r="U2330" s="4">
        <v>350000</v>
      </c>
      <c r="V2330" t="s">
        <v>23739</v>
      </c>
      <c r="W2330" t="s">
        <v>24843</v>
      </c>
      <c r="X2330" t="s">
        <v>3</v>
      </c>
      <c r="AA2330" s="5" t="str">
        <f>HYPERLINK("https://www.zillow.com/homes/6017-RIVER-BEND-DR-LISLE-IL-60532_rb/","check listing")</f>
        <v>check listing</v>
      </c>
      <c r="AB2330" s="5" t="str">
        <f>HYPERLINK("https://propertylookup.dupagecounty.gov/Datalets/Datalet.aspx?UseSearch=no&amp;mode=sales&amp;pin=0815404010","sales record")</f>
        <v>sales record</v>
      </c>
      <c r="AC2330" t="s">
        <v>3</v>
      </c>
      <c r="AD2330">
        <v>41.776182</v>
      </c>
      <c r="AE2330">
        <v>-88.073919</v>
      </c>
      <c r="AF2330" s="5" t="str">
        <f>HYPERLINK("https://www.google.com/maps/search/?api=1&amp;query=41.776182,-88.073919","map")</f>
        <v>map</v>
      </c>
    </row>
    <row r="2331" spans="1:32">
      <c r="A2331" t="s">
        <v>2381</v>
      </c>
      <c r="B2331" t="s">
        <v>9926</v>
      </c>
      <c r="C2331" t="s">
        <v>15433</v>
      </c>
      <c r="D2331" t="s">
        <v>16204</v>
      </c>
      <c r="E2331" t="s">
        <v>16218</v>
      </c>
      <c r="F2331" t="s">
        <v>16220</v>
      </c>
      <c r="G2331" t="s">
        <v>16238</v>
      </c>
      <c r="H2331" t="s">
        <v>16238</v>
      </c>
      <c r="I2331" t="s">
        <v>16342</v>
      </c>
      <c r="J2331" t="s">
        <v>16385</v>
      </c>
      <c r="K2331">
        <v>0.105</v>
      </c>
      <c r="L2331">
        <v>4580</v>
      </c>
      <c r="M2331">
        <v>1979</v>
      </c>
      <c r="N2331" t="s">
        <v>16393</v>
      </c>
      <c r="O2331" s="4">
        <v>44808</v>
      </c>
      <c r="P2331" s="4">
        <v>116776</v>
      </c>
      <c r="Q2331" s="4">
        <v>161584</v>
      </c>
      <c r="R2331" s="4">
        <v>484752</v>
      </c>
      <c r="S2331" t="s">
        <v>18659</v>
      </c>
      <c r="T2331" s="6">
        <v>44593</v>
      </c>
      <c r="U2331" s="4">
        <v>501500</v>
      </c>
      <c r="V2331" t="s">
        <v>23739</v>
      </c>
      <c r="W2331" t="s">
        <v>24844</v>
      </c>
      <c r="X2331" t="s">
        <v>3</v>
      </c>
      <c r="AA2331" s="5" t="str">
        <f>HYPERLINK("https://www.zillow.com/homes/6009-RIVER-BEND-DR-LISLE-IL-605322194_rb/","check listing")</f>
        <v>check listing</v>
      </c>
      <c r="AB2331" s="5" t="str">
        <f>HYPERLINK("https://propertylookup.dupagecounty.gov/Datalets/Datalet.aspx?UseSearch=no&amp;mode=sales&amp;pin=0815404008","sales record")</f>
        <v>sales record</v>
      </c>
      <c r="AC2331" t="s">
        <v>3</v>
      </c>
      <c r="AD2331">
        <v>41.776418</v>
      </c>
      <c r="AE2331">
        <v>-88.073948</v>
      </c>
      <c r="AF2331" s="5" t="str">
        <f>HYPERLINK("https://www.google.com/maps/search/?api=1&amp;query=41.776418,-88.073948","map")</f>
        <v>map</v>
      </c>
    </row>
    <row r="2332" spans="1:32">
      <c r="A2332" t="s">
        <v>2382</v>
      </c>
      <c r="B2332" t="s">
        <v>9927</v>
      </c>
      <c r="C2332" t="s">
        <v>15424</v>
      </c>
      <c r="D2332" t="s">
        <v>16204</v>
      </c>
      <c r="E2332" t="s">
        <v>16218</v>
      </c>
      <c r="F2332" t="s">
        <v>16220</v>
      </c>
      <c r="G2332" t="s">
        <v>16238</v>
      </c>
      <c r="H2332" t="s">
        <v>16238</v>
      </c>
      <c r="I2332" t="s">
        <v>16342</v>
      </c>
      <c r="J2332" t="s">
        <v>16385</v>
      </c>
      <c r="K2332">
        <v>0.103</v>
      </c>
      <c r="L2332">
        <v>4482</v>
      </c>
      <c r="M2332">
        <v>1979</v>
      </c>
      <c r="N2332" t="s">
        <v>16393</v>
      </c>
      <c r="O2332" s="4">
        <v>44808</v>
      </c>
      <c r="P2332" s="4">
        <v>116776</v>
      </c>
      <c r="Q2332" s="4">
        <v>161584</v>
      </c>
      <c r="R2332" s="4">
        <v>484752</v>
      </c>
      <c r="S2332" t="s">
        <v>18660</v>
      </c>
      <c r="T2332" s="6">
        <v>38930</v>
      </c>
      <c r="U2332" s="4">
        <v>425000</v>
      </c>
      <c r="V2332" t="s">
        <v>23739</v>
      </c>
      <c r="W2332" t="s">
        <v>24845</v>
      </c>
      <c r="X2332" t="s">
        <v>3</v>
      </c>
      <c r="AA2332" s="5" t="str">
        <f>HYPERLINK("https://www.zillow.com/homes/6013-RIVER-BEND-DR-LISLE-IL-60532_rb/","check listing")</f>
        <v>check listing</v>
      </c>
      <c r="AB2332" s="5" t="str">
        <f>HYPERLINK("https://propertylookup.dupagecounty.gov/Datalets/Datalet.aspx?UseSearch=no&amp;mode=sales&amp;pin=0815404009","sales record")</f>
        <v>sales record</v>
      </c>
      <c r="AC2332" t="s">
        <v>3</v>
      </c>
      <c r="AD2332">
        <v>41.77629</v>
      </c>
      <c r="AE2332">
        <v>-88.073932</v>
      </c>
      <c r="AF2332" s="5" t="str">
        <f>HYPERLINK("https://www.google.com/maps/search/?api=1&amp;query=41.77629,-88.073932","map")</f>
        <v>map</v>
      </c>
    </row>
    <row r="2333" spans="1:32">
      <c r="A2333" t="s">
        <v>2383</v>
      </c>
      <c r="B2333" t="s">
        <v>9928</v>
      </c>
      <c r="C2333" t="s">
        <v>15424</v>
      </c>
      <c r="D2333" t="s">
        <v>16204</v>
      </c>
      <c r="E2333" t="s">
        <v>16218</v>
      </c>
      <c r="F2333" t="s">
        <v>16220</v>
      </c>
      <c r="G2333" t="s">
        <v>16238</v>
      </c>
      <c r="H2333" t="s">
        <v>16238</v>
      </c>
      <c r="I2333" t="s">
        <v>16342</v>
      </c>
      <c r="J2333" t="s">
        <v>16385</v>
      </c>
      <c r="K2333">
        <v>0.096</v>
      </c>
      <c r="L2333">
        <v>4192</v>
      </c>
      <c r="M2333">
        <v>1848</v>
      </c>
      <c r="N2333" t="s">
        <v>16393</v>
      </c>
      <c r="O2333" s="4">
        <v>44808</v>
      </c>
      <c r="P2333" s="4">
        <v>114850</v>
      </c>
      <c r="Q2333" s="4">
        <v>159658</v>
      </c>
      <c r="R2333" s="4">
        <v>478974</v>
      </c>
      <c r="S2333" t="s">
        <v>18661</v>
      </c>
      <c r="T2333" s="6">
        <v>45825</v>
      </c>
      <c r="U2333" s="4">
        <v>550000</v>
      </c>
      <c r="V2333" t="s">
        <v>23739</v>
      </c>
      <c r="W2333" t="s">
        <v>24846</v>
      </c>
      <c r="X2333" t="s">
        <v>3</v>
      </c>
      <c r="AA2333" s="5" t="str">
        <f>HYPERLINK("https://www.zillow.com/homes/6005-RIVERBEND-DR-LISLE-IL-60532_rb/","check listing")</f>
        <v>check listing</v>
      </c>
      <c r="AB2333" s="5" t="str">
        <f>HYPERLINK("https://propertylookup.dupagecounty.gov/Datalets/Datalet.aspx?UseSearch=no&amp;mode=sales&amp;pin=0815404007","sales record")</f>
        <v>sales record</v>
      </c>
      <c r="AC2333" t="s">
        <v>3</v>
      </c>
      <c r="AD2333">
        <v>41.776542</v>
      </c>
      <c r="AE2333">
        <v>-88.07396300000001</v>
      </c>
      <c r="AF2333" s="5" t="str">
        <f>HYPERLINK("https://www.google.com/maps/search/?api=1&amp;query=41.776542,-88.073963","map")</f>
        <v>map</v>
      </c>
    </row>
    <row r="2334" spans="1:32">
      <c r="A2334" t="s">
        <v>2384</v>
      </c>
      <c r="B2334" t="s">
        <v>9929</v>
      </c>
      <c r="C2334" t="s">
        <v>15424</v>
      </c>
      <c r="D2334" t="s">
        <v>16204</v>
      </c>
      <c r="E2334" t="s">
        <v>16217</v>
      </c>
      <c r="F2334" t="s">
        <v>16220</v>
      </c>
      <c r="G2334" t="s">
        <v>16238</v>
      </c>
      <c r="H2334" t="s">
        <v>16238</v>
      </c>
      <c r="I2334" t="s">
        <v>16342</v>
      </c>
      <c r="J2334" t="s">
        <v>16385</v>
      </c>
      <c r="K2334">
        <v>7.459</v>
      </c>
      <c r="L2334">
        <v>324911</v>
      </c>
      <c r="N2334" t="s">
        <v>16395</v>
      </c>
      <c r="O2334" s="4">
        <v>2600</v>
      </c>
      <c r="P2334" s="4">
        <v>0</v>
      </c>
      <c r="Q2334" s="4">
        <v>2600</v>
      </c>
      <c r="R2334" s="4">
        <v>7800</v>
      </c>
      <c r="S2334" t="s">
        <v>18662</v>
      </c>
      <c r="X2334" t="s">
        <v>3</v>
      </c>
      <c r="AA2334" s="5" t="str">
        <f>HYPERLINK("https://www.zillow.com/homes/1555-WARRENVILLE-RD-LISLE-IL-60532_rb/","check listing")</f>
        <v>check listing</v>
      </c>
      <c r="AB2334" s="5" t="str">
        <f>HYPERLINK("https://propertylookup.dupagecounty.gov/Datalets/Datalet.aspx?UseSearch=no&amp;mode=sales&amp;pin=0803104010","sales record")</f>
        <v>sales record</v>
      </c>
      <c r="AC2334" t="s">
        <v>3</v>
      </c>
      <c r="AD2334">
        <v>41.807313</v>
      </c>
      <c r="AE2334">
        <v>-88.08431400000001</v>
      </c>
      <c r="AF2334" s="5" t="str">
        <f>HYPERLINK("https://www.google.com/maps/search/?api=1&amp;query=41.807313,-88.084314","map")</f>
        <v>map</v>
      </c>
    </row>
    <row r="2335" spans="1:32">
      <c r="A2335" t="s">
        <v>2385</v>
      </c>
      <c r="B2335" t="s">
        <v>9930</v>
      </c>
      <c r="C2335" t="s">
        <v>15424</v>
      </c>
      <c r="D2335" t="s">
        <v>16204</v>
      </c>
      <c r="E2335" t="s">
        <v>16218</v>
      </c>
      <c r="F2335" t="s">
        <v>16221</v>
      </c>
      <c r="G2335" t="s">
        <v>16241</v>
      </c>
      <c r="H2335" t="s">
        <v>16241</v>
      </c>
      <c r="I2335" t="s">
        <v>16343</v>
      </c>
      <c r="J2335" t="s">
        <v>16385</v>
      </c>
      <c r="K2335">
        <v>0.6870000000000001</v>
      </c>
      <c r="L2335">
        <v>29915</v>
      </c>
      <c r="M2335">
        <v>4485</v>
      </c>
      <c r="N2335" t="s">
        <v>16393</v>
      </c>
      <c r="O2335" s="4">
        <v>61896</v>
      </c>
      <c r="P2335" s="4">
        <v>386847</v>
      </c>
      <c r="Q2335" s="4">
        <v>448743</v>
      </c>
      <c r="R2335" s="4">
        <v>1346229</v>
      </c>
      <c r="S2335" t="s">
        <v>18663</v>
      </c>
      <c r="T2335" s="6">
        <v>41518</v>
      </c>
      <c r="U2335" s="4">
        <v>570000</v>
      </c>
      <c r="V2335" t="s">
        <v>23742</v>
      </c>
      <c r="W2335" t="s">
        <v>24847</v>
      </c>
      <c r="X2335" t="s">
        <v>3</v>
      </c>
      <c r="AA2335" s="5" t="str">
        <f>HYPERLINK("https://www.zillow.com/homes/4709-DEVON-AVE-LISLE-IL-60532_rb/","check listing")</f>
        <v>check listing</v>
      </c>
      <c r="AB2335" s="5" t="str">
        <f>HYPERLINK("https://propertylookup.dupagecounty.gov/Datalets/Datalet.aspx?UseSearch=no&amp;mode=sales&amp;pin=0810103009","sales record")</f>
        <v>sales record</v>
      </c>
      <c r="AC2335" t="s">
        <v>3</v>
      </c>
      <c r="AD2335">
        <v>41.799382</v>
      </c>
      <c r="AE2335">
        <v>-88.08633399999999</v>
      </c>
      <c r="AF2335" s="5" t="str">
        <f>HYPERLINK("https://www.google.com/maps/search/?api=1&amp;query=41.799382,-88.086334","map")</f>
        <v>map</v>
      </c>
    </row>
    <row r="2336" spans="1:32">
      <c r="A2336" t="s">
        <v>2386</v>
      </c>
      <c r="B2336" t="s">
        <v>9931</v>
      </c>
      <c r="C2336" t="s">
        <v>15424</v>
      </c>
      <c r="D2336" t="s">
        <v>16204</v>
      </c>
      <c r="E2336" t="s">
        <v>16218</v>
      </c>
      <c r="F2336" t="s">
        <v>16221</v>
      </c>
      <c r="G2336" t="s">
        <v>16241</v>
      </c>
      <c r="H2336" t="s">
        <v>16241</v>
      </c>
      <c r="I2336" t="s">
        <v>16343</v>
      </c>
      <c r="J2336" t="s">
        <v>16385</v>
      </c>
      <c r="K2336">
        <v>0.302</v>
      </c>
      <c r="L2336">
        <v>13174</v>
      </c>
      <c r="M2336">
        <v>2967</v>
      </c>
      <c r="N2336" t="s">
        <v>16393</v>
      </c>
      <c r="O2336" s="4">
        <v>78604</v>
      </c>
      <c r="P2336" s="4">
        <v>68639</v>
      </c>
      <c r="Q2336" s="4">
        <v>147243</v>
      </c>
      <c r="R2336" s="4">
        <v>441729</v>
      </c>
      <c r="S2336" t="s">
        <v>18664</v>
      </c>
      <c r="T2336" s="6">
        <v>34274</v>
      </c>
      <c r="U2336" s="4">
        <v>151500</v>
      </c>
      <c r="X2336" t="s">
        <v>3</v>
      </c>
      <c r="AA2336" s="5" t="str">
        <f>HYPERLINK("https://www.zillow.com/homes/1020-DIVISION-ST-LISLE-IL-60532_rb/","check listing")</f>
        <v>check listing</v>
      </c>
      <c r="AB2336" s="5" t="str">
        <f>HYPERLINK("https://propertylookup.dupagecounty.gov/Datalets/Datalet.aspx?UseSearch=no&amp;mode=sales&amp;pin=0810218019","sales record")</f>
        <v>sales record</v>
      </c>
      <c r="AC2336" t="s">
        <v>27873</v>
      </c>
      <c r="AD2336">
        <v>41.796163</v>
      </c>
      <c r="AE2336">
        <v>-88.07276899999999</v>
      </c>
      <c r="AF2336" s="5" t="str">
        <f>HYPERLINK("https://www.google.com/maps/search/?api=1&amp;query=41.796163,-88.072769","map")</f>
        <v>map</v>
      </c>
    </row>
    <row r="2337" spans="1:32">
      <c r="A2337" t="s">
        <v>2387</v>
      </c>
      <c r="B2337" t="s">
        <v>9932</v>
      </c>
      <c r="C2337" t="s">
        <v>15424</v>
      </c>
      <c r="D2337" t="s">
        <v>16204</v>
      </c>
      <c r="E2337" t="s">
        <v>16218</v>
      </c>
      <c r="F2337" t="s">
        <v>16221</v>
      </c>
      <c r="G2337" t="s">
        <v>16241</v>
      </c>
      <c r="H2337" t="s">
        <v>16241</v>
      </c>
      <c r="I2337" t="s">
        <v>16343</v>
      </c>
      <c r="J2337" t="s">
        <v>16385</v>
      </c>
      <c r="K2337">
        <v>0.244</v>
      </c>
      <c r="L2337">
        <v>10638</v>
      </c>
      <c r="M2337">
        <v>1500</v>
      </c>
      <c r="N2337" t="s">
        <v>16393</v>
      </c>
      <c r="O2337" s="4">
        <v>66545</v>
      </c>
      <c r="P2337" s="4">
        <v>89390</v>
      </c>
      <c r="Q2337" s="4">
        <v>155935</v>
      </c>
      <c r="R2337" s="4">
        <v>467805</v>
      </c>
      <c r="S2337" t="s">
        <v>18665</v>
      </c>
      <c r="T2337" s="6">
        <v>45999</v>
      </c>
      <c r="U2337" s="4">
        <v>405000</v>
      </c>
      <c r="V2337" t="s">
        <v>23739</v>
      </c>
      <c r="W2337" t="s">
        <v>24848</v>
      </c>
      <c r="X2337" t="s">
        <v>3</v>
      </c>
      <c r="AA2337" s="5" t="str">
        <f>HYPERLINK("https://www.zillow.com/homes/4705-ELM-ST-LISLE-IL-60532_rb/","check listing")</f>
        <v>check listing</v>
      </c>
      <c r="AB2337" s="5" t="str">
        <f>HYPERLINK("https://propertylookup.dupagecounty.gov/Datalets/Datalet.aspx?UseSearch=no&amp;mode=sales&amp;pin=0811200021","sales record")</f>
        <v>sales record</v>
      </c>
      <c r="AC2337" t="s">
        <v>3</v>
      </c>
      <c r="AD2337">
        <v>41.799899</v>
      </c>
      <c r="AE2337">
        <v>-88.061617</v>
      </c>
      <c r="AF2337" s="5" t="str">
        <f>HYPERLINK("https://www.google.com/maps/search/?api=1&amp;query=41.799899,-88.061617","map")</f>
        <v>map</v>
      </c>
    </row>
    <row r="2338" spans="1:32">
      <c r="A2338" t="s">
        <v>2388</v>
      </c>
      <c r="B2338" t="s">
        <v>9933</v>
      </c>
      <c r="C2338" t="s">
        <v>15424</v>
      </c>
      <c r="D2338" t="s">
        <v>16204</v>
      </c>
      <c r="E2338" t="s">
        <v>16218</v>
      </c>
      <c r="F2338" t="s">
        <v>16221</v>
      </c>
      <c r="G2338" t="s">
        <v>16241</v>
      </c>
      <c r="H2338" t="s">
        <v>16241</v>
      </c>
      <c r="I2338" t="s">
        <v>16343</v>
      </c>
      <c r="J2338" t="s">
        <v>16385</v>
      </c>
      <c r="K2338">
        <v>0.215</v>
      </c>
      <c r="L2338">
        <v>9385</v>
      </c>
      <c r="M2338">
        <v>412</v>
      </c>
      <c r="N2338" t="s">
        <v>16393</v>
      </c>
      <c r="O2338" s="4">
        <v>62978</v>
      </c>
      <c r="P2338" s="4">
        <v>82267</v>
      </c>
      <c r="Q2338" s="4">
        <v>145245</v>
      </c>
      <c r="R2338" s="4">
        <v>435735</v>
      </c>
      <c r="S2338" t="s">
        <v>18666</v>
      </c>
      <c r="X2338" t="s">
        <v>3</v>
      </c>
      <c r="AA2338" s="5" t="str">
        <f>HYPERLINK("https://www.zillow.com/homes/4707-ELM-ST-LISLE-IL-60532_rb/","check listing")</f>
        <v>check listing</v>
      </c>
      <c r="AB2338" s="5" t="str">
        <f>HYPERLINK("https://propertylookup.dupagecounty.gov/Datalets/Datalet.aspx?UseSearch=no&amp;mode=sales&amp;pin=0811200022","sales record")</f>
        <v>sales record</v>
      </c>
      <c r="AC2338" t="s">
        <v>3</v>
      </c>
      <c r="AD2338">
        <v>41.799628</v>
      </c>
      <c r="AE2338">
        <v>-88.06160800000001</v>
      </c>
      <c r="AF2338" s="5" t="str">
        <f>HYPERLINK("https://www.google.com/maps/search/?api=1&amp;query=41.799628,-88.061608","map")</f>
        <v>map</v>
      </c>
    </row>
    <row r="2339" spans="1:32">
      <c r="A2339" t="s">
        <v>2389</v>
      </c>
      <c r="B2339" t="s">
        <v>9934</v>
      </c>
      <c r="C2339" t="s">
        <v>15434</v>
      </c>
      <c r="D2339" t="s">
        <v>16204</v>
      </c>
      <c r="E2339" t="s">
        <v>16218</v>
      </c>
      <c r="F2339" t="s">
        <v>16221</v>
      </c>
      <c r="G2339" t="s">
        <v>16241</v>
      </c>
      <c r="H2339" t="s">
        <v>16241</v>
      </c>
      <c r="I2339" t="s">
        <v>16343</v>
      </c>
      <c r="J2339" t="s">
        <v>16385</v>
      </c>
      <c r="K2339">
        <v>0.206</v>
      </c>
      <c r="L2339">
        <v>8982</v>
      </c>
      <c r="N2339" t="s">
        <v>16393</v>
      </c>
      <c r="O2339" s="4">
        <v>61694</v>
      </c>
      <c r="P2339" s="4">
        <v>201515</v>
      </c>
      <c r="Q2339" s="4">
        <v>263209</v>
      </c>
      <c r="R2339" s="4">
        <v>789627</v>
      </c>
      <c r="S2339" t="s">
        <v>18667</v>
      </c>
      <c r="T2339" s="6">
        <v>44105</v>
      </c>
      <c r="U2339" s="4">
        <v>580000</v>
      </c>
      <c r="V2339" t="s">
        <v>23739</v>
      </c>
      <c r="W2339" t="s">
        <v>18667</v>
      </c>
      <c r="X2339" t="s">
        <v>3</v>
      </c>
      <c r="AA2339" s="5" t="str">
        <f>HYPERLINK("https://www.zillow.com/homes/4907-CENTER-AVE-LISLE-IL-605323501_rb/","check listing")</f>
        <v>check listing</v>
      </c>
      <c r="AB2339" s="5" t="str">
        <f>HYPERLINK("https://propertylookup.dupagecounty.gov/Datalets/Datalet.aspx?UseSearch=no&amp;mode=sales&amp;pin=0811109026","sales record")</f>
        <v>sales record</v>
      </c>
      <c r="AC2339" t="s">
        <v>3</v>
      </c>
      <c r="AD2339">
        <v>41.796912</v>
      </c>
      <c r="AE2339">
        <v>-88.071564</v>
      </c>
      <c r="AF2339" s="5" t="str">
        <f>HYPERLINK("https://www.google.com/maps/search/?api=1&amp;query=41.796912,-88.071564","map")</f>
        <v>map</v>
      </c>
    </row>
    <row r="2340" spans="1:32">
      <c r="A2340" t="s">
        <v>2390</v>
      </c>
      <c r="B2340" t="s">
        <v>9935</v>
      </c>
      <c r="C2340" t="s">
        <v>15424</v>
      </c>
      <c r="D2340" t="s">
        <v>16204</v>
      </c>
      <c r="E2340" t="s">
        <v>16218</v>
      </c>
      <c r="F2340" t="s">
        <v>16221</v>
      </c>
      <c r="G2340" t="s">
        <v>16241</v>
      </c>
      <c r="H2340" t="s">
        <v>16241</v>
      </c>
      <c r="I2340" t="s">
        <v>16343</v>
      </c>
      <c r="J2340" t="s">
        <v>16385</v>
      </c>
      <c r="K2340">
        <v>0.151</v>
      </c>
      <c r="L2340">
        <v>6588</v>
      </c>
      <c r="M2340">
        <v>1466</v>
      </c>
      <c r="N2340" t="s">
        <v>16393</v>
      </c>
      <c r="O2340" s="4">
        <v>63656</v>
      </c>
      <c r="P2340" s="4">
        <v>38577</v>
      </c>
      <c r="Q2340" s="4">
        <v>102233</v>
      </c>
      <c r="R2340" s="4">
        <v>306699</v>
      </c>
      <c r="S2340" t="s">
        <v>18668</v>
      </c>
      <c r="T2340" s="6">
        <v>34090</v>
      </c>
      <c r="U2340" s="4">
        <v>139000</v>
      </c>
      <c r="X2340" t="s">
        <v>3</v>
      </c>
      <c r="AA2340" s="5" t="str">
        <f>HYPERLINK("https://www.zillow.com/homes/4913-SPENCER-AVE-LISLE-IL-60532_rb/","check listing")</f>
        <v>check listing</v>
      </c>
      <c r="AB2340" s="5" t="str">
        <f>HYPERLINK("https://propertylookup.dupagecounty.gov/Datalets/Datalet.aspx?UseSearch=no&amp;mode=sales&amp;pin=0810218007","sales record")</f>
        <v>sales record</v>
      </c>
      <c r="AC2340" t="s">
        <v>27873</v>
      </c>
      <c r="AD2340">
        <v>41.796368</v>
      </c>
      <c r="AE2340">
        <v>-88.072789</v>
      </c>
      <c r="AF2340" s="5" t="str">
        <f>HYPERLINK("https://www.google.com/maps/search/?api=1&amp;query=41.796368,-88.072789","map")</f>
        <v>map</v>
      </c>
    </row>
    <row r="2341" spans="1:32">
      <c r="A2341" t="s">
        <v>2391</v>
      </c>
      <c r="B2341" t="s">
        <v>9936</v>
      </c>
      <c r="C2341" t="s">
        <v>15424</v>
      </c>
      <c r="D2341" t="s">
        <v>16204</v>
      </c>
      <c r="E2341" t="s">
        <v>16218</v>
      </c>
      <c r="F2341" t="s">
        <v>16221</v>
      </c>
      <c r="G2341" t="s">
        <v>16241</v>
      </c>
      <c r="H2341" t="s">
        <v>16241</v>
      </c>
      <c r="I2341" t="s">
        <v>16343</v>
      </c>
      <c r="J2341" t="s">
        <v>16385</v>
      </c>
      <c r="K2341">
        <v>0.151</v>
      </c>
      <c r="L2341">
        <v>6578</v>
      </c>
      <c r="N2341" t="s">
        <v>16393</v>
      </c>
      <c r="O2341" s="4">
        <v>50539</v>
      </c>
      <c r="P2341" s="4">
        <v>51585</v>
      </c>
      <c r="Q2341" s="4">
        <v>102124</v>
      </c>
      <c r="R2341" s="4">
        <v>306372</v>
      </c>
      <c r="S2341" t="s">
        <v>18669</v>
      </c>
      <c r="T2341" s="6">
        <v>41153</v>
      </c>
      <c r="U2341" s="4">
        <v>219500</v>
      </c>
      <c r="V2341" t="s">
        <v>23739</v>
      </c>
      <c r="W2341" t="s">
        <v>18669</v>
      </c>
      <c r="X2341" t="s">
        <v>3</v>
      </c>
      <c r="AA2341" s="5" t="str">
        <f>HYPERLINK("https://www.zillow.com/homes/1000-DIVISION-ST-LISLE-IL-60532_rb/","check listing")</f>
        <v>check listing</v>
      </c>
      <c r="AB2341" s="5" t="str">
        <f>HYPERLINK("https://propertylookup.dupagecounty.gov/Datalets/Datalet.aspx?UseSearch=no&amp;mode=sales&amp;pin=0810218016","sales record")</f>
        <v>sales record</v>
      </c>
      <c r="AC2341" t="s">
        <v>3</v>
      </c>
      <c r="AD2341">
        <v>41.796168</v>
      </c>
      <c r="AE2341">
        <v>-88.072109</v>
      </c>
      <c r="AF2341" s="5" t="str">
        <f>HYPERLINK("https://www.google.com/maps/search/?api=1&amp;query=41.796168,-88.072109","map")</f>
        <v>map</v>
      </c>
    </row>
    <row r="2342" spans="1:32">
      <c r="A2342" t="s">
        <v>2392</v>
      </c>
      <c r="B2342" t="s">
        <v>9937</v>
      </c>
      <c r="C2342" t="s">
        <v>15424</v>
      </c>
      <c r="D2342" t="s">
        <v>16204</v>
      </c>
      <c r="E2342" t="s">
        <v>16217</v>
      </c>
      <c r="F2342" t="s">
        <v>16221</v>
      </c>
      <c r="G2342" t="s">
        <v>16241</v>
      </c>
      <c r="H2342" t="s">
        <v>16241</v>
      </c>
      <c r="I2342" t="s">
        <v>16343</v>
      </c>
      <c r="J2342" t="s">
        <v>16385</v>
      </c>
      <c r="K2342">
        <v>0.223</v>
      </c>
      <c r="L2342">
        <v>9731</v>
      </c>
      <c r="N2342" t="s">
        <v>16393</v>
      </c>
      <c r="O2342" s="4">
        <v>61694</v>
      </c>
      <c r="P2342" s="4">
        <v>0</v>
      </c>
      <c r="Q2342" s="4">
        <v>61694</v>
      </c>
      <c r="R2342" s="4">
        <v>185082</v>
      </c>
      <c r="S2342" t="s">
        <v>18670</v>
      </c>
      <c r="T2342" s="6">
        <v>44682</v>
      </c>
      <c r="U2342" s="4">
        <v>180000</v>
      </c>
      <c r="V2342" t="s">
        <v>23739</v>
      </c>
      <c r="W2342" t="s">
        <v>18670</v>
      </c>
      <c r="X2342" t="s">
        <v>3</v>
      </c>
      <c r="AA2342" s="5" t="str">
        <f>HYPERLINK("https://www.zillow.com/homes/4909-CENTER-AVE-LISLE-IL-60532_rb/","check listing")</f>
        <v>check listing</v>
      </c>
      <c r="AB2342" s="5" t="str">
        <f>HYPERLINK("https://propertylookup.dupagecounty.gov/Datalets/Datalet.aspx?UseSearch=no&amp;mode=sales&amp;pin=0811109027","sales record")</f>
        <v>sales record</v>
      </c>
      <c r="AC2342" t="s">
        <v>3</v>
      </c>
      <c r="AD2342">
        <v>41.796741</v>
      </c>
      <c r="AE2342">
        <v>-88.07154800000001</v>
      </c>
      <c r="AF2342" s="5" t="str">
        <f>HYPERLINK("https://www.google.com/maps/search/?api=1&amp;query=41.796741,-88.071548","map")</f>
        <v>map</v>
      </c>
    </row>
    <row r="2343" spans="1:32">
      <c r="A2343" t="s">
        <v>2393</v>
      </c>
      <c r="B2343" t="s">
        <v>9938</v>
      </c>
      <c r="C2343" t="s">
        <v>15435</v>
      </c>
      <c r="D2343" t="s">
        <v>16205</v>
      </c>
      <c r="E2343" t="s">
        <v>16218</v>
      </c>
      <c r="F2343" t="s">
        <v>16222</v>
      </c>
      <c r="G2343" t="s">
        <v>16262</v>
      </c>
      <c r="H2343" t="s">
        <v>16262</v>
      </c>
      <c r="I2343" t="s">
        <v>16344</v>
      </c>
      <c r="J2343" t="s">
        <v>16387</v>
      </c>
      <c r="K2343">
        <v>0.227</v>
      </c>
      <c r="L2343">
        <v>9901</v>
      </c>
      <c r="M2343">
        <v>1138</v>
      </c>
      <c r="N2343" t="s">
        <v>16393</v>
      </c>
      <c r="O2343" s="4">
        <v>51380</v>
      </c>
      <c r="P2343" s="4">
        <v>27551</v>
      </c>
      <c r="Q2343" s="4">
        <v>78931</v>
      </c>
      <c r="R2343" s="4">
        <v>236793</v>
      </c>
      <c r="S2343" t="s">
        <v>18671</v>
      </c>
      <c r="T2343" s="6">
        <v>34608</v>
      </c>
      <c r="U2343" s="4">
        <v>218000</v>
      </c>
      <c r="X2343" t="s">
        <v>3</v>
      </c>
      <c r="AA2343" s="5" t="str">
        <f>HYPERLINK("https://www.zillow.com/homes/134-W-ST-CHARLES-RD-LOMBARD-IL-60148_rb/","check listing")</f>
        <v>check listing</v>
      </c>
      <c r="AB2343" s="5" t="str">
        <f>HYPERLINK("https://propertylookup.dupagecounty.gov/Datalets/Datalet.aspx?UseSearch=no&amp;mode=sales&amp;pin=0607204024","sales record")</f>
        <v>sales record</v>
      </c>
      <c r="AC2343" t="s">
        <v>3</v>
      </c>
      <c r="AD2343">
        <v>41.886886</v>
      </c>
      <c r="AE2343">
        <v>-88.021368</v>
      </c>
      <c r="AF2343" s="5" t="str">
        <f>HYPERLINK("https://www.google.com/maps/search/?api=1&amp;query=41.886886,-88.021368","map")</f>
        <v>map</v>
      </c>
    </row>
    <row r="2344" spans="1:32">
      <c r="A2344" t="s">
        <v>2394</v>
      </c>
      <c r="B2344" t="s">
        <v>9939</v>
      </c>
      <c r="C2344" t="s">
        <v>15435</v>
      </c>
      <c r="D2344" t="s">
        <v>16205</v>
      </c>
      <c r="E2344" t="s">
        <v>16217</v>
      </c>
      <c r="F2344" t="s">
        <v>16222</v>
      </c>
      <c r="G2344" t="s">
        <v>16263</v>
      </c>
      <c r="H2344" t="s">
        <v>16262</v>
      </c>
      <c r="I2344" t="s">
        <v>16344</v>
      </c>
      <c r="J2344" t="s">
        <v>16387</v>
      </c>
      <c r="K2344">
        <v>0.706</v>
      </c>
      <c r="L2344">
        <v>30765</v>
      </c>
      <c r="N2344" t="s">
        <v>16392</v>
      </c>
      <c r="O2344" s="4">
        <v>112523</v>
      </c>
      <c r="P2344" s="4">
        <v>0</v>
      </c>
      <c r="Q2344" s="4">
        <v>112523</v>
      </c>
      <c r="R2344" s="4">
        <v>337569</v>
      </c>
      <c r="S2344" t="s">
        <v>18672</v>
      </c>
      <c r="T2344" s="6">
        <v>41609</v>
      </c>
      <c r="U2344" s="4">
        <v>450000</v>
      </c>
      <c r="V2344" t="s">
        <v>16232</v>
      </c>
      <c r="W2344" t="s">
        <v>24849</v>
      </c>
      <c r="X2344" t="s">
        <v>3</v>
      </c>
      <c r="AA2344" s="5" t="str">
        <f>HYPERLINK("https://www.zillow.com/homes/226-W-ST-CHARLES-RD-LOMBARD-IL-60148_rb/","check listing")</f>
        <v>check listing</v>
      </c>
      <c r="AB2344" s="5" t="str">
        <f>HYPERLINK("https://propertylookup.dupagecounty.gov/Datalets/Datalet.aspx?UseSearch=no&amp;mode=sales&amp;pin=0607203021","sales record")</f>
        <v>sales record</v>
      </c>
      <c r="AC2344" t="s">
        <v>3</v>
      </c>
      <c r="AD2344">
        <v>41.886381</v>
      </c>
      <c r="AE2344">
        <v>-88.023771</v>
      </c>
      <c r="AF2344" s="5" t="str">
        <f>HYPERLINK("https://www.google.com/maps/search/?api=1&amp;query=41.886381,-88.023771","map")</f>
        <v>map</v>
      </c>
    </row>
    <row r="2345" spans="1:32">
      <c r="A2345" t="s">
        <v>2395</v>
      </c>
      <c r="B2345" t="s">
        <v>9939</v>
      </c>
      <c r="C2345" t="s">
        <v>15435</v>
      </c>
      <c r="D2345" t="s">
        <v>16205</v>
      </c>
      <c r="E2345" t="s">
        <v>16217</v>
      </c>
      <c r="F2345" t="s">
        <v>16222</v>
      </c>
      <c r="G2345" t="s">
        <v>16263</v>
      </c>
      <c r="H2345" t="s">
        <v>16262</v>
      </c>
      <c r="I2345" t="s">
        <v>16344</v>
      </c>
      <c r="J2345" t="s">
        <v>16387</v>
      </c>
      <c r="K2345">
        <v>0.347</v>
      </c>
      <c r="L2345">
        <v>15120</v>
      </c>
      <c r="N2345" t="s">
        <v>16392</v>
      </c>
      <c r="O2345" s="4">
        <v>58436</v>
      </c>
      <c r="P2345" s="4">
        <v>0</v>
      </c>
      <c r="Q2345" s="4">
        <v>58436</v>
      </c>
      <c r="R2345" s="4">
        <v>175308</v>
      </c>
      <c r="S2345" t="s">
        <v>18672</v>
      </c>
      <c r="T2345" s="6">
        <v>38930</v>
      </c>
      <c r="U2345" s="4">
        <v>1575000</v>
      </c>
      <c r="V2345" t="s">
        <v>16232</v>
      </c>
      <c r="W2345" t="s">
        <v>24850</v>
      </c>
      <c r="X2345" t="s">
        <v>3</v>
      </c>
      <c r="AA2345" s="5" t="str">
        <f>HYPERLINK("https://www.zillow.com/homes/226-W-ST-CHARLES-RD-LOMBARD-IL-60148_rb/","check listing")</f>
        <v>check listing</v>
      </c>
      <c r="AB2345" s="5" t="str">
        <f>HYPERLINK("https://propertylookup.dupagecounty.gov/Datalets/Datalet.aspx?UseSearch=no&amp;mode=sales&amp;pin=0607203035","sales record")</f>
        <v>sales record</v>
      </c>
      <c r="AC2345" t="s">
        <v>3</v>
      </c>
      <c r="AD2345">
        <v>41.886465</v>
      </c>
      <c r="AE2345">
        <v>-88.02341</v>
      </c>
      <c r="AF2345" s="5" t="str">
        <f>HYPERLINK("https://www.google.com/maps/search/?api=1&amp;query=41.886465,-88.02341","map")</f>
        <v>map</v>
      </c>
    </row>
    <row r="2346" spans="1:32">
      <c r="A2346" t="s">
        <v>2396</v>
      </c>
      <c r="B2346" t="s">
        <v>9940</v>
      </c>
      <c r="C2346" t="s">
        <v>15435</v>
      </c>
      <c r="D2346" t="s">
        <v>16205</v>
      </c>
      <c r="E2346" t="s">
        <v>16217</v>
      </c>
      <c r="F2346" t="s">
        <v>16222</v>
      </c>
      <c r="G2346" t="s">
        <v>16264</v>
      </c>
      <c r="H2346" t="s">
        <v>16264</v>
      </c>
      <c r="I2346" t="s">
        <v>16345</v>
      </c>
      <c r="J2346" t="s">
        <v>16387</v>
      </c>
      <c r="K2346">
        <v>0.31</v>
      </c>
      <c r="L2346">
        <v>13517</v>
      </c>
      <c r="N2346" t="s">
        <v>16393</v>
      </c>
      <c r="O2346" s="4">
        <v>41781</v>
      </c>
      <c r="P2346" s="4">
        <v>0</v>
      </c>
      <c r="Q2346" s="4">
        <v>41781</v>
      </c>
      <c r="R2346" s="4">
        <v>125343</v>
      </c>
      <c r="S2346" t="s">
        <v>18673</v>
      </c>
      <c r="T2346" s="6">
        <v>44531</v>
      </c>
      <c r="U2346" s="4">
        <v>125000</v>
      </c>
      <c r="V2346" t="s">
        <v>23740</v>
      </c>
      <c r="W2346" t="s">
        <v>18673</v>
      </c>
      <c r="X2346" t="s">
        <v>3</v>
      </c>
      <c r="AA2346" s="5" t="str">
        <f>HYPERLINK("https://www.zillow.com/homes/324-S-MAIN-ST-LOMBARD-IL-60148_rb/","check listing")</f>
        <v>check listing</v>
      </c>
      <c r="AB2346" s="5" t="str">
        <f>HYPERLINK("https://propertylookup.dupagecounty.gov/Datalets/Datalet.aspx?UseSearch=no&amp;mode=sales&amp;pin=0607403007","sales record")</f>
        <v>sales record</v>
      </c>
      <c r="AC2346" t="s">
        <v>3</v>
      </c>
      <c r="AD2346">
        <v>41.881708</v>
      </c>
      <c r="AE2346">
        <v>-88.018807</v>
      </c>
      <c r="AF2346" s="5" t="str">
        <f>HYPERLINK("https://www.google.com/maps/search/?api=1&amp;query=41.881708,-88.018807","map")</f>
        <v>map</v>
      </c>
    </row>
    <row r="2347" spans="1:32">
      <c r="A2347" t="s">
        <v>2397</v>
      </c>
      <c r="B2347" t="s">
        <v>9941</v>
      </c>
      <c r="C2347" t="s">
        <v>15435</v>
      </c>
      <c r="D2347" t="s">
        <v>16205</v>
      </c>
      <c r="E2347" t="s">
        <v>16217</v>
      </c>
      <c r="F2347" t="s">
        <v>16222</v>
      </c>
      <c r="G2347" t="s">
        <v>16265</v>
      </c>
      <c r="H2347" t="s">
        <v>16264</v>
      </c>
      <c r="I2347" t="s">
        <v>16345</v>
      </c>
      <c r="J2347" t="s">
        <v>16387</v>
      </c>
      <c r="K2347">
        <v>0.262</v>
      </c>
      <c r="L2347">
        <v>11393</v>
      </c>
      <c r="N2347" t="s">
        <v>16392</v>
      </c>
      <c r="O2347" s="4">
        <v>45314</v>
      </c>
      <c r="P2347" s="4">
        <v>0</v>
      </c>
      <c r="Q2347" s="4">
        <v>45314</v>
      </c>
      <c r="R2347" s="4">
        <v>135942</v>
      </c>
      <c r="S2347" t="s">
        <v>18674</v>
      </c>
      <c r="X2347" t="s">
        <v>3</v>
      </c>
      <c r="AA2347" s="5" t="str">
        <f>HYPERLINK("https://www.zillow.com/homes/144-E-ST-CHARLES-RD-LOMBARD-IL-60148_rb/","check listing")</f>
        <v>check listing</v>
      </c>
      <c r="AB2347" s="5" t="str">
        <f>HYPERLINK("https://propertylookup.dupagecounty.gov/Datalets/Datalet.aspx?UseSearch=no&amp;mode=sales&amp;pin=0608104010","sales record")</f>
        <v>sales record</v>
      </c>
      <c r="AC2347" t="s">
        <v>3</v>
      </c>
      <c r="AD2347">
        <v>41.888531</v>
      </c>
      <c r="AE2347">
        <v>-88.01410199999999</v>
      </c>
      <c r="AF2347" s="5" t="str">
        <f>HYPERLINK("https://www.google.com/maps/search/?api=1&amp;query=41.888531,-88.014102","map")</f>
        <v>map</v>
      </c>
    </row>
    <row r="2348" spans="1:32">
      <c r="A2348" t="s">
        <v>2398</v>
      </c>
      <c r="B2348" t="s">
        <v>9942</v>
      </c>
      <c r="C2348" t="s">
        <v>15435</v>
      </c>
      <c r="D2348" t="s">
        <v>16205</v>
      </c>
      <c r="E2348" t="s">
        <v>16217</v>
      </c>
      <c r="F2348" t="s">
        <v>16222</v>
      </c>
      <c r="G2348" t="s">
        <v>16264</v>
      </c>
      <c r="H2348" t="s">
        <v>16264</v>
      </c>
      <c r="I2348" t="s">
        <v>16345</v>
      </c>
      <c r="J2348" t="s">
        <v>16387</v>
      </c>
      <c r="K2348">
        <v>0.201</v>
      </c>
      <c r="L2348">
        <v>8750</v>
      </c>
      <c r="N2348" t="s">
        <v>16392</v>
      </c>
      <c r="O2348" s="4">
        <v>33429</v>
      </c>
      <c r="P2348" s="4">
        <v>0</v>
      </c>
      <c r="Q2348" s="4">
        <v>33429</v>
      </c>
      <c r="R2348" s="4">
        <v>100287</v>
      </c>
      <c r="S2348" t="s">
        <v>18675</v>
      </c>
      <c r="X2348" t="s">
        <v>3</v>
      </c>
      <c r="AA2348" s="5" t="str">
        <f>HYPERLINK("https://www.zillow.com/homes/337-S-MAIN-ST-LOMBARD-IL-60148_rb/","check listing")</f>
        <v>check listing</v>
      </c>
      <c r="AB2348" s="5" t="str">
        <f>HYPERLINK("https://propertylookup.dupagecounty.gov/Datalets/Datalet.aspx?UseSearch=no&amp;mode=sales&amp;pin=0608301004","sales record")</f>
        <v>sales record</v>
      </c>
      <c r="AC2348" t="s">
        <v>27872</v>
      </c>
      <c r="AD2348">
        <v>41.881047</v>
      </c>
      <c r="AE2348">
        <v>-88.017809</v>
      </c>
      <c r="AF2348" s="5" t="str">
        <f>HYPERLINK("https://www.google.com/maps/search/?api=1&amp;query=41.881047,-88.017809","map")</f>
        <v>map</v>
      </c>
    </row>
    <row r="2349" spans="1:32">
      <c r="A2349" t="s">
        <v>2399</v>
      </c>
      <c r="B2349" t="s">
        <v>9943</v>
      </c>
      <c r="C2349" t="s">
        <v>15436</v>
      </c>
      <c r="D2349" t="s">
        <v>16205</v>
      </c>
      <c r="E2349" t="s">
        <v>16217</v>
      </c>
      <c r="F2349" t="s">
        <v>16222</v>
      </c>
      <c r="G2349" t="s">
        <v>16265</v>
      </c>
      <c r="H2349" t="s">
        <v>16264</v>
      </c>
      <c r="I2349" t="s">
        <v>16345</v>
      </c>
      <c r="J2349" t="s">
        <v>16387</v>
      </c>
      <c r="K2349">
        <v>0.154</v>
      </c>
      <c r="L2349">
        <v>6726</v>
      </c>
      <c r="N2349" t="s">
        <v>16392</v>
      </c>
      <c r="O2349" s="4">
        <v>18196</v>
      </c>
      <c r="P2349" s="4">
        <v>0</v>
      </c>
      <c r="Q2349" s="4">
        <v>18196</v>
      </c>
      <c r="R2349" s="4">
        <v>54588</v>
      </c>
      <c r="S2349" t="s">
        <v>18676</v>
      </c>
      <c r="T2349" s="6">
        <v>43770</v>
      </c>
      <c r="U2349" s="4">
        <v>85000</v>
      </c>
      <c r="V2349" t="s">
        <v>23740</v>
      </c>
      <c r="W2349" t="s">
        <v>18676</v>
      </c>
      <c r="X2349" t="s">
        <v>3</v>
      </c>
      <c r="AA2349" s="5" t="str">
        <f>HYPERLINK("https://www.zillow.com/homes/142-E-SAINT-CHARLES-RD-LOMBARD-IL-601482330_rb/","check listing")</f>
        <v>check listing</v>
      </c>
      <c r="AB2349" s="5" t="str">
        <f>HYPERLINK("https://propertylookup.dupagecounty.gov/Datalets/Datalet.aspx?UseSearch=no&amp;mode=sales&amp;pin=0608104008","sales record")</f>
        <v>sales record</v>
      </c>
      <c r="AC2349" t="s">
        <v>3</v>
      </c>
      <c r="AD2349">
        <v>41.888434</v>
      </c>
      <c r="AE2349">
        <v>-88.01451900000001</v>
      </c>
      <c r="AF2349" s="5" t="str">
        <f>HYPERLINK("https://www.google.com/maps/search/?api=1&amp;query=41.888434,-88.014519","map")</f>
        <v>map</v>
      </c>
    </row>
    <row r="2350" spans="1:32">
      <c r="A2350" t="s">
        <v>2400</v>
      </c>
      <c r="B2350" t="s">
        <v>9944</v>
      </c>
      <c r="C2350" t="s">
        <v>15435</v>
      </c>
      <c r="D2350" t="s">
        <v>16205</v>
      </c>
      <c r="E2350" t="s">
        <v>16217</v>
      </c>
      <c r="F2350" t="s">
        <v>16222</v>
      </c>
      <c r="G2350" t="s">
        <v>16265</v>
      </c>
      <c r="H2350" t="s">
        <v>16264</v>
      </c>
      <c r="I2350" t="s">
        <v>16345</v>
      </c>
      <c r="J2350" t="s">
        <v>16387</v>
      </c>
      <c r="K2350">
        <v>0.154</v>
      </c>
      <c r="L2350">
        <v>6723</v>
      </c>
      <c r="N2350" t="s">
        <v>16392</v>
      </c>
      <c r="O2350" s="4">
        <v>18196</v>
      </c>
      <c r="P2350" s="4">
        <v>0</v>
      </c>
      <c r="Q2350" s="4">
        <v>18196</v>
      </c>
      <c r="R2350" s="4">
        <v>54588</v>
      </c>
      <c r="S2350" t="s">
        <v>18676</v>
      </c>
      <c r="X2350" t="s">
        <v>3</v>
      </c>
      <c r="AA2350" s="5" t="str">
        <f>HYPERLINK("https://www.zillow.com/homes/142-E-ST-CHARLES-RD-LOMBARD-IL-60148_rb/","check listing")</f>
        <v>check listing</v>
      </c>
      <c r="AB2350" s="5" t="str">
        <f>HYPERLINK("https://propertylookup.dupagecounty.gov/Datalets/Datalet.aspx?UseSearch=no&amp;mode=sales&amp;pin=0608104009","sales record")</f>
        <v>sales record</v>
      </c>
      <c r="AC2350" t="s">
        <v>3</v>
      </c>
      <c r="AD2350">
        <v>41.888475</v>
      </c>
      <c r="AE2350">
        <v>-88.014341</v>
      </c>
      <c r="AF2350" s="5" t="str">
        <f>HYPERLINK("https://www.google.com/maps/search/?api=1&amp;query=41.888475,-88.014341","map")</f>
        <v>map</v>
      </c>
    </row>
    <row r="2351" spans="1:32">
      <c r="A2351" t="s">
        <v>2401</v>
      </c>
      <c r="B2351" t="s">
        <v>9945</v>
      </c>
      <c r="C2351" t="s">
        <v>15435</v>
      </c>
      <c r="D2351" t="s">
        <v>16205</v>
      </c>
      <c r="E2351" t="s">
        <v>16217</v>
      </c>
      <c r="F2351" t="s">
        <v>16222</v>
      </c>
      <c r="G2351" t="s">
        <v>16262</v>
      </c>
      <c r="H2351" t="s">
        <v>16262</v>
      </c>
      <c r="I2351" t="s">
        <v>16344</v>
      </c>
      <c r="J2351" t="s">
        <v>16387</v>
      </c>
      <c r="K2351">
        <v>0.105</v>
      </c>
      <c r="L2351">
        <v>4584</v>
      </c>
      <c r="M2351">
        <v>82</v>
      </c>
      <c r="N2351" t="s">
        <v>16392</v>
      </c>
      <c r="O2351" s="4">
        <v>13239</v>
      </c>
      <c r="P2351" s="4">
        <v>0</v>
      </c>
      <c r="Q2351" s="4">
        <v>13239</v>
      </c>
      <c r="R2351" s="4">
        <v>39717</v>
      </c>
      <c r="S2351" t="s">
        <v>18677</v>
      </c>
      <c r="T2351" s="6">
        <v>36281</v>
      </c>
      <c r="U2351" s="4">
        <v>0</v>
      </c>
      <c r="X2351" t="s">
        <v>3</v>
      </c>
      <c r="AA2351" s="5" t="str">
        <f>HYPERLINK("https://www.zillow.com/homes/117-W-ST-CHARLES-RD-LOMBARD-IL-60148_rb/","check listing")</f>
        <v>check listing</v>
      </c>
      <c r="AB2351" s="5" t="str">
        <f>HYPERLINK("https://propertylookup.dupagecounty.gov/Datalets/Datalet.aspx?UseSearch=no&amp;mode=sales&amp;pin=0607209023","sales record")</f>
        <v>sales record</v>
      </c>
      <c r="AC2351" t="s">
        <v>11</v>
      </c>
      <c r="AD2351">
        <v>41.886412</v>
      </c>
      <c r="AE2351">
        <v>-88.020627</v>
      </c>
      <c r="AF2351" s="5" t="str">
        <f>HYPERLINK("https://www.google.com/maps/search/?api=1&amp;query=41.886412,-88.020627","map")</f>
        <v>map</v>
      </c>
    </row>
    <row r="2352" spans="1:32">
      <c r="A2352" t="s">
        <v>2402</v>
      </c>
      <c r="B2352" t="s">
        <v>9946</v>
      </c>
      <c r="C2352" t="s">
        <v>15435</v>
      </c>
      <c r="D2352" t="s">
        <v>16205</v>
      </c>
      <c r="E2352" t="s">
        <v>16217</v>
      </c>
      <c r="F2352" t="s">
        <v>16222</v>
      </c>
      <c r="G2352" t="s">
        <v>16262</v>
      </c>
      <c r="H2352" t="s">
        <v>16262</v>
      </c>
      <c r="I2352" t="s">
        <v>16344</v>
      </c>
      <c r="J2352" t="s">
        <v>16387</v>
      </c>
      <c r="K2352">
        <v>0.082</v>
      </c>
      <c r="L2352">
        <v>3579</v>
      </c>
      <c r="N2352" t="s">
        <v>16392</v>
      </c>
      <c r="O2352" s="4">
        <v>10509</v>
      </c>
      <c r="P2352" s="4">
        <v>0</v>
      </c>
      <c r="Q2352" s="4">
        <v>10509</v>
      </c>
      <c r="R2352" s="4">
        <v>31527</v>
      </c>
      <c r="S2352" t="s">
        <v>18678</v>
      </c>
      <c r="T2352" s="6">
        <v>44684</v>
      </c>
      <c r="U2352" s="4">
        <v>950000</v>
      </c>
      <c r="V2352" t="s">
        <v>16232</v>
      </c>
      <c r="W2352" t="s">
        <v>24851</v>
      </c>
      <c r="X2352" t="s">
        <v>3</v>
      </c>
      <c r="AA2352" s="5" t="str">
        <f>HYPERLINK("https://www.zillow.com/homes/10004-W-ST-CHARLES-RD-LOMBARD-IL-60148_rb/","check listing")</f>
        <v>check listing</v>
      </c>
      <c r="AB2352" s="5" t="str">
        <f>HYPERLINK("https://propertylookup.dupagecounty.gov/Datalets/Datalet.aspx?UseSearch=no&amp;mode=sales&amp;pin=0607204032","sales record")</f>
        <v>sales record</v>
      </c>
      <c r="AC2352" t="s">
        <v>27872</v>
      </c>
      <c r="AD2352">
        <v>41.887374</v>
      </c>
      <c r="AE2352">
        <v>-88.02004100000001</v>
      </c>
      <c r="AF2352" s="5" t="str">
        <f>HYPERLINK("https://www.google.com/maps/search/?api=1&amp;query=41.887374,-88.020041","map")</f>
        <v>map</v>
      </c>
    </row>
    <row r="2353" spans="1:32">
      <c r="A2353" t="s">
        <v>2403</v>
      </c>
      <c r="B2353" t="s">
        <v>9947</v>
      </c>
      <c r="C2353" t="s">
        <v>15437</v>
      </c>
      <c r="D2353" t="s">
        <v>16205</v>
      </c>
      <c r="E2353" t="s">
        <v>16217</v>
      </c>
      <c r="F2353" t="s">
        <v>16222</v>
      </c>
      <c r="G2353" t="s">
        <v>16264</v>
      </c>
      <c r="H2353" t="s">
        <v>16264</v>
      </c>
      <c r="I2353" t="s">
        <v>16345</v>
      </c>
      <c r="J2353" t="s">
        <v>16387</v>
      </c>
      <c r="K2353">
        <v>0.08</v>
      </c>
      <c r="L2353">
        <v>3475</v>
      </c>
      <c r="N2353" t="s">
        <v>16392</v>
      </c>
      <c r="O2353" s="4">
        <v>13262</v>
      </c>
      <c r="P2353" s="4">
        <v>0</v>
      </c>
      <c r="Q2353" s="4">
        <v>13262</v>
      </c>
      <c r="R2353" s="4">
        <v>39786</v>
      </c>
      <c r="S2353" t="s">
        <v>18679</v>
      </c>
      <c r="X2353" t="s">
        <v>3</v>
      </c>
      <c r="AA2353" s="5" t="str">
        <f>HYPERLINK("https://www.zillow.com/homes/21719-S-MAIN-ST-9-LOMBARD-IL-601482629_rb/","check listing")</f>
        <v>check listing</v>
      </c>
      <c r="AB2353" s="5" t="str">
        <f>HYPERLINK("https://propertylookup.dupagecounty.gov/Datalets/Datalet.aspx?UseSearch=no&amp;mode=sales&amp;pin=0608121010","sales record")</f>
        <v>sales record</v>
      </c>
      <c r="AC2353" t="s">
        <v>27872</v>
      </c>
      <c r="AD2353">
        <v>41.883229</v>
      </c>
      <c r="AE2353">
        <v>-88.017647</v>
      </c>
      <c r="AF2353" s="5" t="str">
        <f>HYPERLINK("https://www.google.com/maps/search/?api=1&amp;query=41.883229,-88.017647","map")</f>
        <v>map</v>
      </c>
    </row>
    <row r="2354" spans="1:32">
      <c r="A2354" t="s">
        <v>2404</v>
      </c>
      <c r="B2354" t="s">
        <v>9948</v>
      </c>
      <c r="C2354" t="s">
        <v>15435</v>
      </c>
      <c r="D2354" t="s">
        <v>16205</v>
      </c>
      <c r="E2354" t="s">
        <v>16218</v>
      </c>
      <c r="F2354" t="s">
        <v>16220</v>
      </c>
      <c r="G2354" t="s">
        <v>16254</v>
      </c>
      <c r="H2354" t="s">
        <v>16254</v>
      </c>
      <c r="I2354" t="s">
        <v>16346</v>
      </c>
      <c r="J2354" t="s">
        <v>16385</v>
      </c>
      <c r="K2354">
        <v>0.465</v>
      </c>
      <c r="L2354">
        <v>20266</v>
      </c>
      <c r="M2354">
        <v>1628</v>
      </c>
      <c r="N2354" t="s">
        <v>16393</v>
      </c>
      <c r="O2354" s="4">
        <v>36497</v>
      </c>
      <c r="P2354" s="4">
        <v>87351</v>
      </c>
      <c r="Q2354" s="4">
        <v>123848</v>
      </c>
      <c r="R2354" s="4">
        <v>371544</v>
      </c>
      <c r="S2354" t="s">
        <v>18680</v>
      </c>
      <c r="X2354" t="s">
        <v>3</v>
      </c>
      <c r="AA2354" s="5" t="str">
        <f>HYPERLINK("https://www.zillow.com/homes/223-S-WESTMORE-AVE-LOMBARD-IL-60148_rb/","check listing")</f>
        <v>check listing</v>
      </c>
      <c r="AB2354" s="5" t="str">
        <f>HYPERLINK("https://propertylookup.dupagecounty.gov/Datalets/Datalet.aspx?UseSearch=no&amp;mode=sales&amp;pin=0609114035","sales record")</f>
        <v>sales record</v>
      </c>
      <c r="AC2354" t="s">
        <v>3</v>
      </c>
      <c r="AD2354">
        <v>41.883586</v>
      </c>
      <c r="AE2354">
        <v>-87.992981</v>
      </c>
      <c r="AF2354" s="5" t="str">
        <f>HYPERLINK("https://www.google.com/maps/search/?api=1&amp;query=41.883586,-87.992981","map")</f>
        <v>map</v>
      </c>
    </row>
    <row r="2355" spans="1:32">
      <c r="A2355" t="s">
        <v>2405</v>
      </c>
      <c r="B2355" t="s">
        <v>9949</v>
      </c>
      <c r="C2355" t="s">
        <v>15438</v>
      </c>
      <c r="D2355" t="s">
        <v>16205</v>
      </c>
      <c r="E2355" t="s">
        <v>16218</v>
      </c>
      <c r="F2355" t="s">
        <v>16220</v>
      </c>
      <c r="G2355" t="s">
        <v>16250</v>
      </c>
      <c r="H2355" t="s">
        <v>16250</v>
      </c>
      <c r="I2355" t="s">
        <v>16346</v>
      </c>
      <c r="J2355" t="s">
        <v>16385</v>
      </c>
      <c r="K2355">
        <v>0.408</v>
      </c>
      <c r="L2355">
        <v>17763</v>
      </c>
      <c r="M2355">
        <v>4360</v>
      </c>
      <c r="N2355" t="s">
        <v>16393</v>
      </c>
      <c r="O2355" s="4">
        <v>32169</v>
      </c>
      <c r="P2355" s="4">
        <v>136970</v>
      </c>
      <c r="Q2355" s="4">
        <v>169139</v>
      </c>
      <c r="R2355" s="4">
        <v>507417</v>
      </c>
      <c r="S2355" t="s">
        <v>18681</v>
      </c>
      <c r="T2355" s="6">
        <v>44621</v>
      </c>
      <c r="U2355" s="4">
        <v>533000</v>
      </c>
      <c r="V2355" t="s">
        <v>23739</v>
      </c>
      <c r="W2355" t="s">
        <v>24852</v>
      </c>
      <c r="X2355" t="s">
        <v>3</v>
      </c>
      <c r="AA2355" s="5" t="str">
        <f>HYPERLINK("https://www.zillow.com/homes/29-W-ASH-ST-LOMBARD-IL-601482501_rb/","check listing")</f>
        <v>check listing</v>
      </c>
      <c r="AB2355" s="5" t="str">
        <f>HYPERLINK("https://propertylookup.dupagecounty.gov/Datalets/Datalet.aspx?UseSearch=no&amp;mode=sales&amp;pin=0607219003","sales record")</f>
        <v>sales record</v>
      </c>
      <c r="AC2355" t="s">
        <v>3</v>
      </c>
      <c r="AD2355">
        <v>41.88229</v>
      </c>
      <c r="AE2355">
        <v>-88.019729</v>
      </c>
      <c r="AF2355" s="5" t="str">
        <f>HYPERLINK("https://www.google.com/maps/search/?api=1&amp;query=41.88229,-88.019729","map")</f>
        <v>map</v>
      </c>
    </row>
    <row r="2356" spans="1:32">
      <c r="A2356" t="s">
        <v>2406</v>
      </c>
      <c r="B2356" t="s">
        <v>9950</v>
      </c>
      <c r="C2356" t="s">
        <v>15435</v>
      </c>
      <c r="D2356" t="s">
        <v>16205</v>
      </c>
      <c r="E2356" t="s">
        <v>16218</v>
      </c>
      <c r="F2356" t="s">
        <v>16220</v>
      </c>
      <c r="G2356" t="s">
        <v>16250</v>
      </c>
      <c r="H2356" t="s">
        <v>16250</v>
      </c>
      <c r="I2356" t="s">
        <v>16346</v>
      </c>
      <c r="J2356" t="s">
        <v>16385</v>
      </c>
      <c r="K2356">
        <v>0.357</v>
      </c>
      <c r="L2356">
        <v>15530</v>
      </c>
      <c r="M2356">
        <v>1766</v>
      </c>
      <c r="N2356" t="s">
        <v>16393</v>
      </c>
      <c r="O2356" s="4">
        <v>32053</v>
      </c>
      <c r="P2356" s="4">
        <v>88786</v>
      </c>
      <c r="Q2356" s="4">
        <v>120839</v>
      </c>
      <c r="R2356" s="4">
        <v>362517</v>
      </c>
      <c r="S2356" t="s">
        <v>18682</v>
      </c>
      <c r="X2356" t="s">
        <v>3</v>
      </c>
      <c r="AA2356" s="5" t="str">
        <f>HYPERLINK("https://www.zillow.com/homes/1150-S-EDSON-LOMBARD-IL-60148_rb/","check listing")</f>
        <v>check listing</v>
      </c>
      <c r="AB2356" s="5" t="str">
        <f>HYPERLINK("https://propertylookup.dupagecounty.gov/Datalets/Datalet.aspx?UseSearch=no&amp;mode=sales&amp;pin=0618418018","sales record")</f>
        <v>sales record</v>
      </c>
      <c r="AC2356" t="s">
        <v>3</v>
      </c>
      <c r="AD2356">
        <v>41.860609</v>
      </c>
      <c r="AE2356">
        <v>-88.025983</v>
      </c>
      <c r="AF2356" s="5" t="str">
        <f>HYPERLINK("https://www.google.com/maps/search/?api=1&amp;query=41.860609,-88.025983","map")</f>
        <v>map</v>
      </c>
    </row>
    <row r="2357" spans="1:32">
      <c r="A2357" t="s">
        <v>2407</v>
      </c>
      <c r="B2357" t="s">
        <v>9951</v>
      </c>
      <c r="C2357" t="s">
        <v>15435</v>
      </c>
      <c r="D2357" t="s">
        <v>16205</v>
      </c>
      <c r="E2357" t="s">
        <v>16218</v>
      </c>
      <c r="F2357" t="s">
        <v>16220</v>
      </c>
      <c r="G2357" t="s">
        <v>16254</v>
      </c>
      <c r="H2357" t="s">
        <v>16254</v>
      </c>
      <c r="I2357" t="s">
        <v>16346</v>
      </c>
      <c r="J2357" t="s">
        <v>16385</v>
      </c>
      <c r="K2357">
        <v>0.351</v>
      </c>
      <c r="L2357">
        <v>15297</v>
      </c>
      <c r="M2357">
        <v>4298</v>
      </c>
      <c r="N2357" t="s">
        <v>16393</v>
      </c>
      <c r="O2357" s="4">
        <v>40439</v>
      </c>
      <c r="P2357" s="4">
        <v>259092</v>
      </c>
      <c r="Q2357" s="4">
        <v>299531</v>
      </c>
      <c r="R2357" s="4">
        <v>898593</v>
      </c>
      <c r="S2357" t="s">
        <v>18683</v>
      </c>
      <c r="X2357" t="s">
        <v>3</v>
      </c>
      <c r="AA2357" s="5" t="str">
        <f>HYPERLINK("https://www.zillow.com/homes/ST-CHARLES-RD-LOMBARD-IL-60148_rb/","check listing")</f>
        <v>check listing</v>
      </c>
      <c r="AB2357" s="5" t="str">
        <f>HYPERLINK("https://propertylookup.dupagecounty.gov/Datalets/Datalet.aspx?UseSearch=no&amp;mode=sales&amp;pin=0607202043","sales record")</f>
        <v>sales record</v>
      </c>
      <c r="AC2357" t="s">
        <v>3</v>
      </c>
      <c r="AD2357">
        <v>41.886178</v>
      </c>
      <c r="AE2357">
        <v>-88.027854</v>
      </c>
      <c r="AF2357" s="5" t="str">
        <f>HYPERLINK("https://www.google.com/maps/search/?api=1&amp;query=41.886178,-88.027854","map")</f>
        <v>map</v>
      </c>
    </row>
    <row r="2358" spans="1:32">
      <c r="A2358" t="s">
        <v>2408</v>
      </c>
      <c r="B2358" t="s">
        <v>9952</v>
      </c>
      <c r="C2358" t="s">
        <v>15435</v>
      </c>
      <c r="D2358" t="s">
        <v>16205</v>
      </c>
      <c r="E2358" t="s">
        <v>16218</v>
      </c>
      <c r="F2358" t="s">
        <v>16220</v>
      </c>
      <c r="G2358" t="s">
        <v>16254</v>
      </c>
      <c r="H2358" t="s">
        <v>16254</v>
      </c>
      <c r="I2358" t="s">
        <v>16346</v>
      </c>
      <c r="J2358" t="s">
        <v>16385</v>
      </c>
      <c r="K2358">
        <v>0.338</v>
      </c>
      <c r="L2358">
        <v>14736</v>
      </c>
      <c r="M2358">
        <v>848</v>
      </c>
      <c r="N2358" t="s">
        <v>16393</v>
      </c>
      <c r="O2358" s="4">
        <v>31248</v>
      </c>
      <c r="P2358" s="4">
        <v>96578</v>
      </c>
      <c r="Q2358" s="4">
        <v>127826</v>
      </c>
      <c r="R2358" s="4">
        <v>383478</v>
      </c>
      <c r="S2358" t="s">
        <v>18684</v>
      </c>
      <c r="T2358" s="6">
        <v>36069</v>
      </c>
      <c r="U2358" s="4">
        <v>145000</v>
      </c>
      <c r="X2358" t="s">
        <v>3</v>
      </c>
      <c r="AA2358" s="5" t="str">
        <f>HYPERLINK("https://www.zillow.com/homes/352-W-ST-CHARLES-RD-LOMBARD-IL-60148_rb/","check listing")</f>
        <v>check listing</v>
      </c>
      <c r="AB2358" s="5" t="str">
        <f>HYPERLINK("https://propertylookup.dupagecounty.gov/Datalets/Datalet.aspx?UseSearch=no&amp;mode=sales&amp;pin=0607202021","sales record")</f>
        <v>sales record</v>
      </c>
      <c r="AC2358" t="s">
        <v>27873</v>
      </c>
      <c r="AD2358">
        <v>41.886059</v>
      </c>
      <c r="AE2358">
        <v>-88.026456</v>
      </c>
      <c r="AF2358" s="5" t="str">
        <f>HYPERLINK("https://www.google.com/maps/search/?api=1&amp;query=41.886059,-88.026456","map")</f>
        <v>map</v>
      </c>
    </row>
    <row r="2359" spans="1:32">
      <c r="A2359" t="s">
        <v>2409</v>
      </c>
      <c r="B2359" t="s">
        <v>9953</v>
      </c>
      <c r="C2359" t="s">
        <v>15439</v>
      </c>
      <c r="D2359" t="s">
        <v>16205</v>
      </c>
      <c r="E2359" t="s">
        <v>16218</v>
      </c>
      <c r="F2359" t="s">
        <v>16220</v>
      </c>
      <c r="G2359" t="s">
        <v>16266</v>
      </c>
      <c r="H2359" t="s">
        <v>16250</v>
      </c>
      <c r="I2359" t="s">
        <v>16346</v>
      </c>
      <c r="J2359" t="s">
        <v>16385</v>
      </c>
      <c r="K2359">
        <v>0.322</v>
      </c>
      <c r="L2359">
        <v>14012</v>
      </c>
      <c r="M2359">
        <v>1453</v>
      </c>
      <c r="N2359" t="s">
        <v>16393</v>
      </c>
      <c r="O2359" s="4">
        <v>31284</v>
      </c>
      <c r="P2359" s="4">
        <v>140608</v>
      </c>
      <c r="Q2359" s="4">
        <v>171892</v>
      </c>
      <c r="R2359" s="4">
        <v>515676</v>
      </c>
      <c r="S2359" t="s">
        <v>18685</v>
      </c>
      <c r="T2359" s="6">
        <v>44409</v>
      </c>
      <c r="U2359" s="4">
        <v>440000</v>
      </c>
      <c r="V2359" t="s">
        <v>23739</v>
      </c>
      <c r="W2359" t="s">
        <v>24853</v>
      </c>
      <c r="X2359" t="s">
        <v>3</v>
      </c>
      <c r="AA2359" s="5" t="str">
        <f>HYPERLINK("https://www.zillow.com/homes/2021-QUEENSBURY-CT-LOMBARD-IL-601485142_rb/","check listing")</f>
        <v>check listing</v>
      </c>
      <c r="AB2359" s="5" t="str">
        <f>HYPERLINK("https://propertylookup.dupagecounty.gov/Datalets/Datalet.aspx?UseSearch=no&amp;mode=sales&amp;pin=0524406038","sales record")</f>
        <v>sales record</v>
      </c>
      <c r="AC2359" t="s">
        <v>3</v>
      </c>
      <c r="AD2359">
        <v>41.845704</v>
      </c>
      <c r="AE2359">
        <v>-88.039462</v>
      </c>
      <c r="AF2359" s="5" t="str">
        <f>HYPERLINK("https://www.google.com/maps/search/?api=1&amp;query=41.845704,-88.039462","map")</f>
        <v>map</v>
      </c>
    </row>
    <row r="2360" spans="1:32">
      <c r="A2360" t="s">
        <v>2410</v>
      </c>
      <c r="B2360" t="s">
        <v>9954</v>
      </c>
      <c r="C2360" t="s">
        <v>15440</v>
      </c>
      <c r="D2360" t="s">
        <v>16205</v>
      </c>
      <c r="E2360" t="s">
        <v>16218</v>
      </c>
      <c r="F2360" t="s">
        <v>16220</v>
      </c>
      <c r="G2360" t="s">
        <v>16266</v>
      </c>
      <c r="H2360" t="s">
        <v>16250</v>
      </c>
      <c r="I2360" t="s">
        <v>16346</v>
      </c>
      <c r="J2360" t="s">
        <v>16385</v>
      </c>
      <c r="K2360">
        <v>0.309</v>
      </c>
      <c r="L2360">
        <v>13477</v>
      </c>
      <c r="M2360">
        <v>1644</v>
      </c>
      <c r="N2360" t="s">
        <v>16393</v>
      </c>
      <c r="O2360" s="4">
        <v>31284</v>
      </c>
      <c r="P2360" s="4">
        <v>103149</v>
      </c>
      <c r="Q2360" s="4">
        <v>134433</v>
      </c>
      <c r="R2360" s="4">
        <v>403299</v>
      </c>
      <c r="S2360" t="s">
        <v>18686</v>
      </c>
      <c r="T2360" s="6">
        <v>44105</v>
      </c>
      <c r="U2360" s="4">
        <v>359900</v>
      </c>
      <c r="V2360" t="s">
        <v>23739</v>
      </c>
      <c r="W2360" t="s">
        <v>24854</v>
      </c>
      <c r="X2360" t="s">
        <v>3</v>
      </c>
      <c r="AA2360" s="5" t="str">
        <f>HYPERLINK("https://www.zillow.com/homes/2031-S-VALLEY-RD-LOMBARD-IL-601484218_rb/","check listing")</f>
        <v>check listing</v>
      </c>
      <c r="AB2360" s="5" t="str">
        <f>HYPERLINK("https://propertylookup.dupagecounty.gov/Datalets/Datalet.aspx?UseSearch=no&amp;mode=sales&amp;pin=0524406033","sales record")</f>
        <v>sales record</v>
      </c>
      <c r="AC2360" t="s">
        <v>3</v>
      </c>
      <c r="AD2360">
        <v>41.846159</v>
      </c>
      <c r="AE2360">
        <v>-88.0398</v>
      </c>
      <c r="AF2360" s="5" t="str">
        <f>HYPERLINK("https://www.google.com/maps/search/?api=1&amp;query=41.846159,-88.0398","map")</f>
        <v>map</v>
      </c>
    </row>
    <row r="2361" spans="1:32">
      <c r="A2361" t="s">
        <v>2411</v>
      </c>
      <c r="B2361" t="s">
        <v>9955</v>
      </c>
      <c r="C2361" t="s">
        <v>15435</v>
      </c>
      <c r="D2361" t="s">
        <v>16205</v>
      </c>
      <c r="E2361" t="s">
        <v>16218</v>
      </c>
      <c r="F2361" t="s">
        <v>16220</v>
      </c>
      <c r="G2361" t="s">
        <v>16266</v>
      </c>
      <c r="H2361" t="s">
        <v>16250</v>
      </c>
      <c r="I2361" t="s">
        <v>16346</v>
      </c>
      <c r="J2361" t="s">
        <v>16385</v>
      </c>
      <c r="K2361">
        <v>0.305</v>
      </c>
      <c r="L2361">
        <v>13300</v>
      </c>
      <c r="M2361">
        <v>1064</v>
      </c>
      <c r="N2361" t="s">
        <v>16393</v>
      </c>
      <c r="O2361" s="4">
        <v>31284</v>
      </c>
      <c r="P2361" s="4">
        <v>85922</v>
      </c>
      <c r="Q2361" s="4">
        <v>117206</v>
      </c>
      <c r="R2361" s="4">
        <v>351618</v>
      </c>
      <c r="S2361" t="s">
        <v>18687</v>
      </c>
      <c r="T2361" s="6">
        <v>31717</v>
      </c>
      <c r="U2361" s="4">
        <v>92190</v>
      </c>
      <c r="X2361" t="s">
        <v>3</v>
      </c>
      <c r="AA2361" s="5" t="str">
        <f>HYPERLINK("https://www.zillow.com/homes/2051-QUEENSBURY-CT-LOMBARD-IL-60148_rb/","check listing")</f>
        <v>check listing</v>
      </c>
      <c r="AB2361" s="5" t="str">
        <f>HYPERLINK("https://propertylookup.dupagecounty.gov/Datalets/Datalet.aspx?UseSearch=no&amp;mode=sales&amp;pin=0524406041","sales record")</f>
        <v>sales record</v>
      </c>
      <c r="AC2361" t="s">
        <v>3</v>
      </c>
      <c r="AD2361">
        <v>41.845065</v>
      </c>
      <c r="AE2361">
        <v>-88.039152</v>
      </c>
      <c r="AF2361" s="5" t="str">
        <f>HYPERLINK("https://www.google.com/maps/search/?api=1&amp;query=41.845065,-88.039152","map")</f>
        <v>map</v>
      </c>
    </row>
    <row r="2362" spans="1:32">
      <c r="A2362" t="s">
        <v>2412</v>
      </c>
      <c r="B2362" t="s">
        <v>9956</v>
      </c>
      <c r="C2362" t="s">
        <v>15440</v>
      </c>
      <c r="D2362" t="s">
        <v>16205</v>
      </c>
      <c r="E2362" t="s">
        <v>16218</v>
      </c>
      <c r="F2362" t="s">
        <v>16220</v>
      </c>
      <c r="G2362" t="s">
        <v>16266</v>
      </c>
      <c r="H2362" t="s">
        <v>16250</v>
      </c>
      <c r="I2362" t="s">
        <v>16346</v>
      </c>
      <c r="J2362" t="s">
        <v>16385</v>
      </c>
      <c r="K2362">
        <v>0.3</v>
      </c>
      <c r="L2362">
        <v>13074</v>
      </c>
      <c r="M2362">
        <v>1249</v>
      </c>
      <c r="N2362" t="s">
        <v>16393</v>
      </c>
      <c r="O2362" s="4">
        <v>31284</v>
      </c>
      <c r="P2362" s="4">
        <v>110007</v>
      </c>
      <c r="Q2362" s="4">
        <v>141291</v>
      </c>
      <c r="R2362" s="4">
        <v>423873</v>
      </c>
      <c r="S2362" t="s">
        <v>18688</v>
      </c>
      <c r="T2362" s="6">
        <v>43891</v>
      </c>
      <c r="U2362" s="4">
        <v>333000</v>
      </c>
      <c r="V2362" t="s">
        <v>23739</v>
      </c>
      <c r="W2362" t="s">
        <v>24855</v>
      </c>
      <c r="X2362" t="s">
        <v>3</v>
      </c>
      <c r="AA2362" s="5" t="str">
        <f>HYPERLINK("https://www.zillow.com/homes/2021-S-VALLEY-RD-LOMBARD-IL-601484218_rb/","check listing")</f>
        <v>check listing</v>
      </c>
      <c r="AB2362" s="5" t="str">
        <f>HYPERLINK("https://propertylookup.dupagecounty.gov/Datalets/Datalet.aspx?UseSearch=no&amp;mode=sales&amp;pin=0524406032","sales record")</f>
        <v>sales record</v>
      </c>
      <c r="AC2362" t="s">
        <v>3</v>
      </c>
      <c r="AD2362">
        <v>41.846415</v>
      </c>
      <c r="AE2362">
        <v>-88.04003899999999</v>
      </c>
      <c r="AF2362" s="5" t="str">
        <f>HYPERLINK("https://www.google.com/maps/search/?api=1&amp;query=41.846415,-88.040039","map")</f>
        <v>map</v>
      </c>
    </row>
    <row r="2363" spans="1:32">
      <c r="A2363" t="s">
        <v>2413</v>
      </c>
      <c r="B2363" t="s">
        <v>9957</v>
      </c>
      <c r="C2363" t="s">
        <v>15435</v>
      </c>
      <c r="D2363" t="s">
        <v>16205</v>
      </c>
      <c r="E2363" t="s">
        <v>16218</v>
      </c>
      <c r="F2363" t="s">
        <v>16220</v>
      </c>
      <c r="G2363" t="s">
        <v>16254</v>
      </c>
      <c r="H2363" t="s">
        <v>16254</v>
      </c>
      <c r="I2363" t="s">
        <v>16346</v>
      </c>
      <c r="J2363" t="s">
        <v>16385</v>
      </c>
      <c r="K2363">
        <v>0.295</v>
      </c>
      <c r="L2363">
        <v>12843</v>
      </c>
      <c r="M2363">
        <v>1558</v>
      </c>
      <c r="N2363" t="s">
        <v>16393</v>
      </c>
      <c r="O2363" s="4">
        <v>29066</v>
      </c>
      <c r="P2363" s="4">
        <v>77997</v>
      </c>
      <c r="Q2363" s="4">
        <v>107063</v>
      </c>
      <c r="R2363" s="4">
        <v>321189</v>
      </c>
      <c r="S2363" t="s">
        <v>18689</v>
      </c>
      <c r="T2363" s="6">
        <v>44802</v>
      </c>
      <c r="U2363" s="4">
        <v>360000</v>
      </c>
      <c r="V2363" t="s">
        <v>23739</v>
      </c>
      <c r="W2363" t="s">
        <v>24856</v>
      </c>
      <c r="X2363" t="s">
        <v>3</v>
      </c>
      <c r="AA2363" s="5" t="str">
        <f>HYPERLINK("https://www.zillow.com/homes/358-W-SAINT-CHARLES-RD-LOMBARD-IL-60148_rb/","check listing")</f>
        <v>check listing</v>
      </c>
      <c r="AB2363" s="5" t="str">
        <f>HYPERLINK("https://propertylookup.dupagecounty.gov/Datalets/Datalet.aspx?UseSearch=no&amp;mode=sales&amp;pin=0607202019","sales record")</f>
        <v>sales record</v>
      </c>
      <c r="AC2363" t="s">
        <v>3</v>
      </c>
      <c r="AD2363">
        <v>41.886061</v>
      </c>
      <c r="AE2363">
        <v>-88.026824</v>
      </c>
      <c r="AF2363" s="5" t="str">
        <f>HYPERLINK("https://www.google.com/maps/search/?api=1&amp;query=41.886061,-88.026824","map")</f>
        <v>map</v>
      </c>
    </row>
    <row r="2364" spans="1:32">
      <c r="A2364" t="s">
        <v>2414</v>
      </c>
      <c r="B2364" t="s">
        <v>9958</v>
      </c>
      <c r="C2364" t="s">
        <v>15441</v>
      </c>
      <c r="D2364" t="s">
        <v>16205</v>
      </c>
      <c r="E2364" t="s">
        <v>16218</v>
      </c>
      <c r="F2364" t="s">
        <v>16220</v>
      </c>
      <c r="G2364" t="s">
        <v>16266</v>
      </c>
      <c r="H2364" t="s">
        <v>16250</v>
      </c>
      <c r="I2364" t="s">
        <v>16346</v>
      </c>
      <c r="J2364" t="s">
        <v>16385</v>
      </c>
      <c r="K2364">
        <v>0.281</v>
      </c>
      <c r="L2364">
        <v>12259</v>
      </c>
      <c r="M2364">
        <v>913</v>
      </c>
      <c r="N2364" t="s">
        <v>16393</v>
      </c>
      <c r="O2364" s="4">
        <v>31284</v>
      </c>
      <c r="P2364" s="4">
        <v>101559</v>
      </c>
      <c r="Q2364" s="4">
        <v>132843</v>
      </c>
      <c r="R2364" s="4">
        <v>398529</v>
      </c>
      <c r="S2364" t="s">
        <v>18690</v>
      </c>
      <c r="T2364" s="6">
        <v>31291</v>
      </c>
      <c r="U2364" s="4">
        <v>96500</v>
      </c>
      <c r="X2364" t="s">
        <v>3</v>
      </c>
      <c r="AA2364" s="5" t="str">
        <f>HYPERLINK("https://www.zillow.com/homes/1115-HUNTER-ST-LOMBARD-IL-601484821_rb/","check listing")</f>
        <v>check listing</v>
      </c>
      <c r="AB2364" s="5" t="str">
        <f>HYPERLINK("https://propertylookup.dupagecounty.gov/Datalets/Datalet.aspx?UseSearch=no&amp;mode=sales&amp;pin=0524404013","sales record")</f>
        <v>sales record</v>
      </c>
      <c r="AC2364" t="s">
        <v>3</v>
      </c>
      <c r="AD2364">
        <v>41.845067</v>
      </c>
      <c r="AE2364">
        <v>-88.038735</v>
      </c>
      <c r="AF2364" s="5" t="str">
        <f>HYPERLINK("https://www.google.com/maps/search/?api=1&amp;query=41.845067,-88.038735","map")</f>
        <v>map</v>
      </c>
    </row>
    <row r="2365" spans="1:32">
      <c r="A2365" t="s">
        <v>2415</v>
      </c>
      <c r="B2365" t="s">
        <v>9959</v>
      </c>
      <c r="C2365" t="s">
        <v>15435</v>
      </c>
      <c r="D2365" t="s">
        <v>16205</v>
      </c>
      <c r="E2365" t="s">
        <v>16218</v>
      </c>
      <c r="F2365" t="s">
        <v>16220</v>
      </c>
      <c r="G2365" t="s">
        <v>16266</v>
      </c>
      <c r="H2365" t="s">
        <v>16250</v>
      </c>
      <c r="I2365" t="s">
        <v>16346</v>
      </c>
      <c r="J2365" t="s">
        <v>16385</v>
      </c>
      <c r="K2365">
        <v>0.274</v>
      </c>
      <c r="L2365">
        <v>11936</v>
      </c>
      <c r="M2365">
        <v>1253</v>
      </c>
      <c r="N2365" t="s">
        <v>16393</v>
      </c>
      <c r="O2365" s="4">
        <v>31284</v>
      </c>
      <c r="P2365" s="4">
        <v>101323</v>
      </c>
      <c r="Q2365" s="4">
        <v>132607</v>
      </c>
      <c r="R2365" s="4">
        <v>397821</v>
      </c>
      <c r="S2365" t="s">
        <v>18691</v>
      </c>
      <c r="T2365" s="6">
        <v>34060</v>
      </c>
      <c r="U2365" s="4">
        <v>183000</v>
      </c>
      <c r="X2365" t="s">
        <v>3</v>
      </c>
      <c r="AA2365" s="5" t="str">
        <f>HYPERLINK("https://www.zillow.com/homes/2011-QUEENSBURY-CT-LOMBARD-IL-60148_rb/","check listing")</f>
        <v>check listing</v>
      </c>
      <c r="AB2365" s="5" t="str">
        <f>HYPERLINK("https://propertylookup.dupagecounty.gov/Datalets/Datalet.aspx?UseSearch=no&amp;mode=sales&amp;pin=0524406037","sales record")</f>
        <v>sales record</v>
      </c>
      <c r="AC2365" t="s">
        <v>3</v>
      </c>
      <c r="AD2365">
        <v>41.845638</v>
      </c>
      <c r="AE2365">
        <v>-88.039779</v>
      </c>
      <c r="AF2365" s="5" t="str">
        <f>HYPERLINK("https://www.google.com/maps/search/?api=1&amp;query=41.845638,-88.039779","map")</f>
        <v>map</v>
      </c>
    </row>
    <row r="2366" spans="1:32">
      <c r="A2366" t="s">
        <v>2416</v>
      </c>
      <c r="B2366" t="s">
        <v>9960</v>
      </c>
      <c r="C2366" t="s">
        <v>15435</v>
      </c>
      <c r="D2366" t="s">
        <v>16205</v>
      </c>
      <c r="E2366" t="s">
        <v>16218</v>
      </c>
      <c r="F2366" t="s">
        <v>16220</v>
      </c>
      <c r="G2366" t="s">
        <v>16266</v>
      </c>
      <c r="H2366" t="s">
        <v>16250</v>
      </c>
      <c r="I2366" t="s">
        <v>16346</v>
      </c>
      <c r="J2366" t="s">
        <v>16385</v>
      </c>
      <c r="K2366">
        <v>0.267</v>
      </c>
      <c r="L2366">
        <v>11614</v>
      </c>
      <c r="M2366">
        <v>1004</v>
      </c>
      <c r="N2366" t="s">
        <v>16393</v>
      </c>
      <c r="O2366" s="4">
        <v>31284</v>
      </c>
      <c r="P2366" s="4">
        <v>99791</v>
      </c>
      <c r="Q2366" s="4">
        <v>131075</v>
      </c>
      <c r="R2366" s="4">
        <v>393225</v>
      </c>
      <c r="S2366" t="s">
        <v>18692</v>
      </c>
      <c r="T2366" s="6">
        <v>30895</v>
      </c>
      <c r="U2366" s="4">
        <v>99000</v>
      </c>
      <c r="X2366" t="s">
        <v>3</v>
      </c>
      <c r="AA2366" s="5" t="str">
        <f>HYPERLINK("https://www.zillow.com/homes/1917-DOWNING-ST-LOMBARD-IL-60148_rb/","check listing")</f>
        <v>check listing</v>
      </c>
      <c r="AB2366" s="5" t="str">
        <f>HYPERLINK("https://propertylookup.dupagecounty.gov/Datalets/Datalet.aspx?UseSearch=no&amp;mode=sales&amp;pin=0524403021","sales record")</f>
        <v>sales record</v>
      </c>
      <c r="AC2366" t="s">
        <v>3</v>
      </c>
      <c r="AD2366">
        <v>41.84713</v>
      </c>
      <c r="AE2366">
        <v>-88.03755</v>
      </c>
      <c r="AF2366" s="5" t="str">
        <f>HYPERLINK("https://www.google.com/maps/search/?api=1&amp;query=41.84713,-88.03755","map")</f>
        <v>map</v>
      </c>
    </row>
    <row r="2367" spans="1:32">
      <c r="A2367" t="s">
        <v>2417</v>
      </c>
      <c r="B2367" t="s">
        <v>9961</v>
      </c>
      <c r="C2367" t="s">
        <v>15435</v>
      </c>
      <c r="D2367" t="s">
        <v>16205</v>
      </c>
      <c r="E2367" t="s">
        <v>16218</v>
      </c>
      <c r="F2367" t="s">
        <v>16220</v>
      </c>
      <c r="G2367" t="s">
        <v>16254</v>
      </c>
      <c r="H2367" t="s">
        <v>16254</v>
      </c>
      <c r="I2367" t="s">
        <v>16346</v>
      </c>
      <c r="J2367" t="s">
        <v>16385</v>
      </c>
      <c r="K2367">
        <v>0.265</v>
      </c>
      <c r="L2367">
        <v>11562</v>
      </c>
      <c r="M2367">
        <v>780</v>
      </c>
      <c r="N2367" t="s">
        <v>16393</v>
      </c>
      <c r="O2367" s="4">
        <v>27714</v>
      </c>
      <c r="P2367" s="4">
        <v>63347</v>
      </c>
      <c r="Q2367" s="4">
        <v>91061</v>
      </c>
      <c r="R2367" s="4">
        <v>273183</v>
      </c>
      <c r="S2367" t="s">
        <v>18693</v>
      </c>
      <c r="X2367" t="s">
        <v>3</v>
      </c>
      <c r="AA2367" s="5" t="str">
        <f>HYPERLINK("https://www.zillow.com/homes/364-W-ST-CHARLES-RD-LOMBARD-IL-60148_rb/","check listing")</f>
        <v>check listing</v>
      </c>
      <c r="AB2367" s="5" t="str">
        <f>HYPERLINK("https://propertylookup.dupagecounty.gov/Datalets/Datalet.aspx?UseSearch=no&amp;mode=sales&amp;pin=0607202018","sales record")</f>
        <v>sales record</v>
      </c>
      <c r="AC2367" t="s">
        <v>3</v>
      </c>
      <c r="AD2367">
        <v>41.886063</v>
      </c>
      <c r="AE2367">
        <v>-88.027006</v>
      </c>
      <c r="AF2367" s="5" t="str">
        <f>HYPERLINK("https://www.google.com/maps/search/?api=1&amp;query=41.886063,-88.027006","map")</f>
        <v>map</v>
      </c>
    </row>
    <row r="2368" spans="1:32">
      <c r="A2368" t="s">
        <v>2418</v>
      </c>
      <c r="B2368" t="s">
        <v>9962</v>
      </c>
      <c r="C2368" t="s">
        <v>15435</v>
      </c>
      <c r="D2368" t="s">
        <v>16205</v>
      </c>
      <c r="E2368" t="s">
        <v>16218</v>
      </c>
      <c r="F2368" t="s">
        <v>16220</v>
      </c>
      <c r="G2368" t="s">
        <v>16266</v>
      </c>
      <c r="H2368" t="s">
        <v>16250</v>
      </c>
      <c r="I2368" t="s">
        <v>16346</v>
      </c>
      <c r="J2368" t="s">
        <v>16385</v>
      </c>
      <c r="K2368">
        <v>0.263</v>
      </c>
      <c r="L2368">
        <v>11466</v>
      </c>
      <c r="M2368">
        <v>1471</v>
      </c>
      <c r="N2368" t="s">
        <v>16393</v>
      </c>
      <c r="O2368" s="4">
        <v>31284</v>
      </c>
      <c r="P2368" s="4">
        <v>93122</v>
      </c>
      <c r="Q2368" s="4">
        <v>124406</v>
      </c>
      <c r="R2368" s="4">
        <v>373218</v>
      </c>
      <c r="S2368" t="s">
        <v>18694</v>
      </c>
      <c r="T2368" s="6">
        <v>41000</v>
      </c>
      <c r="U2368" s="4">
        <v>245000</v>
      </c>
      <c r="V2368" t="s">
        <v>23739</v>
      </c>
      <c r="W2368" t="s">
        <v>24857</v>
      </c>
      <c r="X2368" t="s">
        <v>3</v>
      </c>
      <c r="AA2368" s="5" t="str">
        <f>HYPERLINK("https://www.zillow.com/homes/2001-VALLEY-RD-LOMBARD-IL-60148_rb/","check listing")</f>
        <v>check listing</v>
      </c>
      <c r="AB2368" s="5" t="str">
        <f>HYPERLINK("https://propertylookup.dupagecounty.gov/Datalets/Datalet.aspx?UseSearch=no&amp;mode=sales&amp;pin=0524406030","sales record")</f>
        <v>sales record</v>
      </c>
      <c r="AC2368" t="s">
        <v>3</v>
      </c>
      <c r="AD2368">
        <v>41.846817</v>
      </c>
      <c r="AE2368">
        <v>-88.039968</v>
      </c>
      <c r="AF2368" s="5" t="str">
        <f>HYPERLINK("https://www.google.com/maps/search/?api=1&amp;query=41.846817,-88.039968","map")</f>
        <v>map</v>
      </c>
    </row>
    <row r="2369" spans="1:32">
      <c r="A2369" t="s">
        <v>2419</v>
      </c>
      <c r="B2369" t="s">
        <v>9963</v>
      </c>
      <c r="C2369" t="s">
        <v>15435</v>
      </c>
      <c r="D2369" t="s">
        <v>16205</v>
      </c>
      <c r="E2369" t="s">
        <v>16218</v>
      </c>
      <c r="F2369" t="s">
        <v>16220</v>
      </c>
      <c r="G2369" t="s">
        <v>16254</v>
      </c>
      <c r="H2369" t="s">
        <v>16254</v>
      </c>
      <c r="I2369" t="s">
        <v>16346</v>
      </c>
      <c r="J2369" t="s">
        <v>16385</v>
      </c>
      <c r="K2369">
        <v>0.263</v>
      </c>
      <c r="L2369">
        <v>11435</v>
      </c>
      <c r="M2369">
        <v>747</v>
      </c>
      <c r="N2369" t="s">
        <v>16393</v>
      </c>
      <c r="O2369" s="4">
        <v>27434</v>
      </c>
      <c r="P2369" s="4">
        <v>115111</v>
      </c>
      <c r="Q2369" s="4">
        <v>142545</v>
      </c>
      <c r="R2369" s="4">
        <v>427635</v>
      </c>
      <c r="S2369" t="s">
        <v>18695</v>
      </c>
      <c r="T2369" s="6">
        <v>29312</v>
      </c>
      <c r="U2369" s="4">
        <v>48000</v>
      </c>
      <c r="X2369" t="s">
        <v>3</v>
      </c>
      <c r="AA2369" s="5" t="str">
        <f>HYPERLINK("https://www.zillow.com/homes/325-W-ST-CHARLES-RD-LOMBARD-IL-60148_rb/","check listing")</f>
        <v>check listing</v>
      </c>
      <c r="AB2369" s="5" t="str">
        <f>HYPERLINK("https://propertylookup.dupagecounty.gov/Datalets/Datalet.aspx?UseSearch=no&amp;mode=sales&amp;pin=0607208011","sales record")</f>
        <v>sales record</v>
      </c>
      <c r="AC2369" t="s">
        <v>3</v>
      </c>
      <c r="AD2369">
        <v>41.885337</v>
      </c>
      <c r="AE2369">
        <v>-88.025235</v>
      </c>
      <c r="AF2369" s="5" t="str">
        <f>HYPERLINK("https://www.google.com/maps/search/?api=1&amp;query=41.885337,-88.025235","map")</f>
        <v>map</v>
      </c>
    </row>
    <row r="2370" spans="1:32">
      <c r="A2370" t="s">
        <v>2420</v>
      </c>
      <c r="B2370" t="s">
        <v>9964</v>
      </c>
      <c r="C2370" t="s">
        <v>15442</v>
      </c>
      <c r="D2370" t="s">
        <v>16205</v>
      </c>
      <c r="E2370" t="s">
        <v>16218</v>
      </c>
      <c r="F2370" t="s">
        <v>16220</v>
      </c>
      <c r="G2370" t="s">
        <v>16254</v>
      </c>
      <c r="H2370" t="s">
        <v>16254</v>
      </c>
      <c r="I2370" t="s">
        <v>16346</v>
      </c>
      <c r="J2370" t="s">
        <v>16385</v>
      </c>
      <c r="K2370">
        <v>0.251</v>
      </c>
      <c r="L2370">
        <v>10935</v>
      </c>
      <c r="M2370">
        <v>880</v>
      </c>
      <c r="N2370" t="s">
        <v>16393</v>
      </c>
      <c r="O2370" s="4">
        <v>27481</v>
      </c>
      <c r="P2370" s="4">
        <v>51601</v>
      </c>
      <c r="Q2370" s="4">
        <v>79082</v>
      </c>
      <c r="R2370" s="4">
        <v>237246</v>
      </c>
      <c r="S2370" t="s">
        <v>18696</v>
      </c>
      <c r="T2370" s="6">
        <v>45654</v>
      </c>
      <c r="U2370" s="4">
        <v>309000</v>
      </c>
      <c r="V2370" t="s">
        <v>23739</v>
      </c>
      <c r="W2370" t="s">
        <v>24858</v>
      </c>
      <c r="X2370" t="s">
        <v>3</v>
      </c>
      <c r="AA2370" s="5" t="str">
        <f>HYPERLINK("https://www.zillow.com/homes/355-W-ST-CHARLES-RD-LOMBARD-IL-601482234_rb/","check listing")</f>
        <v>check listing</v>
      </c>
      <c r="AB2370" s="5" t="str">
        <f>HYPERLINK("https://propertylookup.dupagecounty.gov/Datalets/Datalet.aspx?UseSearch=no&amp;mode=sales&amp;pin=0607208005","sales record")</f>
        <v>sales record</v>
      </c>
      <c r="AC2370" t="s">
        <v>3</v>
      </c>
      <c r="AD2370">
        <v>41.885215</v>
      </c>
      <c r="AE2370">
        <v>-88.026492</v>
      </c>
      <c r="AF2370" s="5" t="str">
        <f>HYPERLINK("https://www.google.com/maps/search/?api=1&amp;query=41.885215,-88.026492","map")</f>
        <v>map</v>
      </c>
    </row>
    <row r="2371" spans="1:32">
      <c r="A2371" t="s">
        <v>2421</v>
      </c>
      <c r="B2371" t="s">
        <v>9965</v>
      </c>
      <c r="C2371" t="s">
        <v>15440</v>
      </c>
      <c r="D2371" t="s">
        <v>16205</v>
      </c>
      <c r="E2371" t="s">
        <v>16218</v>
      </c>
      <c r="F2371" t="s">
        <v>16220</v>
      </c>
      <c r="G2371" t="s">
        <v>16266</v>
      </c>
      <c r="H2371" t="s">
        <v>16250</v>
      </c>
      <c r="I2371" t="s">
        <v>16346</v>
      </c>
      <c r="J2371" t="s">
        <v>16385</v>
      </c>
      <c r="K2371">
        <v>0.248</v>
      </c>
      <c r="L2371">
        <v>10813</v>
      </c>
      <c r="M2371">
        <v>1431</v>
      </c>
      <c r="N2371" t="s">
        <v>16393</v>
      </c>
      <c r="O2371" s="4">
        <v>31284</v>
      </c>
      <c r="P2371" s="4">
        <v>134033</v>
      </c>
      <c r="Q2371" s="4">
        <v>165317</v>
      </c>
      <c r="R2371" s="4">
        <v>495951</v>
      </c>
      <c r="S2371" t="s">
        <v>18697</v>
      </c>
      <c r="T2371" s="6">
        <v>45454</v>
      </c>
      <c r="U2371" s="4">
        <v>567000</v>
      </c>
      <c r="V2371" t="s">
        <v>23739</v>
      </c>
      <c r="W2371" t="s">
        <v>24859</v>
      </c>
      <c r="X2371" t="s">
        <v>3</v>
      </c>
      <c r="AA2371" s="5" t="str">
        <f>HYPERLINK("https://www.zillow.com/homes/2041-S-VALLEY-RD-LOMBARD-IL-601484218_rb/","check listing")</f>
        <v>check listing</v>
      </c>
      <c r="AB2371" s="5" t="str">
        <f>HYPERLINK("https://propertylookup.dupagecounty.gov/Datalets/Datalet.aspx?UseSearch=no&amp;mode=sales&amp;pin=0524406034","sales record")</f>
        <v>sales record</v>
      </c>
      <c r="AC2371" t="s">
        <v>3</v>
      </c>
      <c r="AD2371">
        <v>41.845937</v>
      </c>
      <c r="AE2371">
        <v>-88.039868</v>
      </c>
      <c r="AF2371" s="5" t="str">
        <f>HYPERLINK("https://www.google.com/maps/search/?api=1&amp;query=41.845937,-88.039868","map")</f>
        <v>map</v>
      </c>
    </row>
    <row r="2372" spans="1:32">
      <c r="A2372" t="s">
        <v>2422</v>
      </c>
      <c r="B2372" t="s">
        <v>9966</v>
      </c>
      <c r="C2372" t="s">
        <v>15435</v>
      </c>
      <c r="D2372" t="s">
        <v>16205</v>
      </c>
      <c r="E2372" t="s">
        <v>16218</v>
      </c>
      <c r="F2372" t="s">
        <v>16220</v>
      </c>
      <c r="G2372" t="s">
        <v>16254</v>
      </c>
      <c r="H2372" t="s">
        <v>16254</v>
      </c>
      <c r="I2372" t="s">
        <v>16346</v>
      </c>
      <c r="J2372" t="s">
        <v>16385</v>
      </c>
      <c r="K2372">
        <v>0.244</v>
      </c>
      <c r="L2372">
        <v>10631</v>
      </c>
      <c r="M2372">
        <v>1919</v>
      </c>
      <c r="N2372" t="s">
        <v>16393</v>
      </c>
      <c r="O2372" s="4">
        <v>25615</v>
      </c>
      <c r="P2372" s="4">
        <v>127335</v>
      </c>
      <c r="Q2372" s="4">
        <v>152950</v>
      </c>
      <c r="R2372" s="4">
        <v>458850</v>
      </c>
      <c r="S2372" t="s">
        <v>18698</v>
      </c>
      <c r="T2372" s="6">
        <v>36678</v>
      </c>
      <c r="U2372" s="4">
        <v>239540</v>
      </c>
      <c r="V2372" t="s">
        <v>23739</v>
      </c>
      <c r="W2372" t="s">
        <v>18698</v>
      </c>
      <c r="X2372" t="s">
        <v>3</v>
      </c>
      <c r="AA2372" s="5" t="str">
        <f>HYPERLINK("https://www.zillow.com/homes/321-W-ST-CHARLES-RD-LOMBARD-IL-60148_rb/","check listing")</f>
        <v>check listing</v>
      </c>
      <c r="AB2372" s="5" t="str">
        <f>HYPERLINK("https://propertylookup.dupagecounty.gov/Datalets/Datalet.aspx?UseSearch=no&amp;mode=sales&amp;pin=0607208020","sales record")</f>
        <v>sales record</v>
      </c>
      <c r="AC2372" t="s">
        <v>3</v>
      </c>
      <c r="AD2372">
        <v>41.885382</v>
      </c>
      <c r="AE2372">
        <v>-88.025003</v>
      </c>
      <c r="AF2372" s="5" t="str">
        <f>HYPERLINK("https://www.google.com/maps/search/?api=1&amp;query=41.885382,-88.025003","map")</f>
        <v>map</v>
      </c>
    </row>
    <row r="2373" spans="1:32">
      <c r="A2373" t="s">
        <v>2423</v>
      </c>
      <c r="B2373" t="s">
        <v>9967</v>
      </c>
      <c r="C2373" t="s">
        <v>15442</v>
      </c>
      <c r="D2373" t="s">
        <v>16205</v>
      </c>
      <c r="E2373" t="s">
        <v>16218</v>
      </c>
      <c r="F2373" t="s">
        <v>16220</v>
      </c>
      <c r="G2373" t="s">
        <v>16254</v>
      </c>
      <c r="H2373" t="s">
        <v>16254</v>
      </c>
      <c r="I2373" t="s">
        <v>16346</v>
      </c>
      <c r="J2373" t="s">
        <v>16385</v>
      </c>
      <c r="K2373">
        <v>0.244</v>
      </c>
      <c r="L2373">
        <v>10628</v>
      </c>
      <c r="M2373">
        <v>869</v>
      </c>
      <c r="N2373" t="s">
        <v>16393</v>
      </c>
      <c r="O2373" s="4">
        <v>26034</v>
      </c>
      <c r="P2373" s="4">
        <v>106236</v>
      </c>
      <c r="Q2373" s="4">
        <v>132270</v>
      </c>
      <c r="R2373" s="4">
        <v>396810</v>
      </c>
      <c r="S2373" t="s">
        <v>18699</v>
      </c>
      <c r="T2373" s="6">
        <v>44256</v>
      </c>
      <c r="U2373" s="4">
        <v>405000</v>
      </c>
      <c r="V2373" t="s">
        <v>23739</v>
      </c>
      <c r="W2373" t="s">
        <v>24860</v>
      </c>
      <c r="X2373" t="s">
        <v>3</v>
      </c>
      <c r="AA2373" s="5" t="str">
        <f>HYPERLINK("https://www.zillow.com/homes/343-W-SAINT-CHARLES-RD-LOMBARD-IL-601482234_rb/","check listing")</f>
        <v>check listing</v>
      </c>
      <c r="AB2373" s="5" t="str">
        <f>HYPERLINK("https://propertylookup.dupagecounty.gov/Datalets/Datalet.aspx?UseSearch=no&amp;mode=sales&amp;pin=0607208008","sales record")</f>
        <v>sales record</v>
      </c>
      <c r="AC2373" t="s">
        <v>3</v>
      </c>
      <c r="AD2373">
        <v>41.885224</v>
      </c>
      <c r="AE2373">
        <v>-88.025881</v>
      </c>
      <c r="AF2373" s="5" t="str">
        <f>HYPERLINK("https://www.google.com/maps/search/?api=1&amp;query=41.885224,-88.025881","map")</f>
        <v>map</v>
      </c>
    </row>
    <row r="2374" spans="1:32">
      <c r="A2374" t="s">
        <v>2424</v>
      </c>
      <c r="B2374" t="s">
        <v>9968</v>
      </c>
      <c r="C2374" t="s">
        <v>15443</v>
      </c>
      <c r="D2374" t="s">
        <v>16205</v>
      </c>
      <c r="E2374" t="s">
        <v>16218</v>
      </c>
      <c r="F2374" t="s">
        <v>16220</v>
      </c>
      <c r="G2374" t="s">
        <v>16266</v>
      </c>
      <c r="H2374" t="s">
        <v>16250</v>
      </c>
      <c r="I2374" t="s">
        <v>16346</v>
      </c>
      <c r="J2374" t="s">
        <v>16385</v>
      </c>
      <c r="K2374">
        <v>0.242</v>
      </c>
      <c r="L2374">
        <v>10563</v>
      </c>
      <c r="M2374">
        <v>1270</v>
      </c>
      <c r="N2374" t="s">
        <v>16393</v>
      </c>
      <c r="O2374" s="4">
        <v>31284</v>
      </c>
      <c r="P2374" s="4">
        <v>138899</v>
      </c>
      <c r="Q2374" s="4">
        <v>170183</v>
      </c>
      <c r="R2374" s="4">
        <v>510549</v>
      </c>
      <c r="S2374" t="s">
        <v>18700</v>
      </c>
      <c r="T2374" s="6">
        <v>44562</v>
      </c>
      <c r="U2374" s="4">
        <v>420000</v>
      </c>
      <c r="V2374" t="s">
        <v>23739</v>
      </c>
      <c r="W2374" t="s">
        <v>24861</v>
      </c>
      <c r="X2374" t="s">
        <v>3</v>
      </c>
      <c r="AA2374" s="5" t="str">
        <f>HYPERLINK("https://www.zillow.com/homes/1920-WITT-CT-LOMBARD-IL-601484274_rb/","check listing")</f>
        <v>check listing</v>
      </c>
      <c r="AB2374" s="5" t="str">
        <f>HYPERLINK("https://propertylookup.dupagecounty.gov/Datalets/Datalet.aspx?UseSearch=no&amp;mode=sales&amp;pin=0524412008","sales record")</f>
        <v>sales record</v>
      </c>
      <c r="AC2374" t="s">
        <v>3</v>
      </c>
      <c r="AD2374">
        <v>41.848718</v>
      </c>
      <c r="AE2374">
        <v>-88.038876</v>
      </c>
      <c r="AF2374" s="5" t="str">
        <f>HYPERLINK("https://www.google.com/maps/search/?api=1&amp;query=41.848718,-88.038876","map")</f>
        <v>map</v>
      </c>
    </row>
    <row r="2375" spans="1:32">
      <c r="A2375" t="s">
        <v>2425</v>
      </c>
      <c r="B2375" t="s">
        <v>9969</v>
      </c>
      <c r="C2375" t="s">
        <v>15435</v>
      </c>
      <c r="D2375" t="s">
        <v>16205</v>
      </c>
      <c r="E2375" t="s">
        <v>16218</v>
      </c>
      <c r="F2375" t="s">
        <v>16220</v>
      </c>
      <c r="G2375" t="s">
        <v>16266</v>
      </c>
      <c r="H2375" t="s">
        <v>16250</v>
      </c>
      <c r="I2375" t="s">
        <v>16346</v>
      </c>
      <c r="J2375" t="s">
        <v>16385</v>
      </c>
      <c r="K2375">
        <v>0.242</v>
      </c>
      <c r="L2375">
        <v>10547</v>
      </c>
      <c r="M2375">
        <v>1983</v>
      </c>
      <c r="N2375" t="s">
        <v>16393</v>
      </c>
      <c r="O2375" s="4">
        <v>31284</v>
      </c>
      <c r="P2375" s="4">
        <v>101394</v>
      </c>
      <c r="Q2375" s="4">
        <v>132678</v>
      </c>
      <c r="R2375" s="4">
        <v>398034</v>
      </c>
      <c r="S2375" t="s">
        <v>18701</v>
      </c>
      <c r="T2375" s="6">
        <v>43405</v>
      </c>
      <c r="U2375" s="4">
        <v>295000</v>
      </c>
      <c r="V2375" t="s">
        <v>23739</v>
      </c>
      <c r="W2375" t="s">
        <v>18701</v>
      </c>
      <c r="X2375" t="s">
        <v>3</v>
      </c>
      <c r="AA2375" s="5" t="str">
        <f>HYPERLINK("https://www.zillow.com/homes/1910-WITT-CT-LOMBARD-IL-60148_rb/","check listing")</f>
        <v>check listing</v>
      </c>
      <c r="AB2375" s="5" t="str">
        <f>HYPERLINK("https://propertylookup.dupagecounty.gov/Datalets/Datalet.aspx?UseSearch=no&amp;mode=sales&amp;pin=0524412007","sales record")</f>
        <v>sales record</v>
      </c>
      <c r="AC2375" t="s">
        <v>3</v>
      </c>
      <c r="AD2375">
        <v>41.848325</v>
      </c>
      <c r="AE2375">
        <v>-88.038794</v>
      </c>
      <c r="AF2375" s="5" t="str">
        <f>HYPERLINK("https://www.google.com/maps/search/?api=1&amp;query=41.848325,-88.038794","map")</f>
        <v>map</v>
      </c>
    </row>
    <row r="2376" spans="1:32">
      <c r="A2376" t="s">
        <v>2426</v>
      </c>
      <c r="B2376" t="s">
        <v>9970</v>
      </c>
      <c r="C2376" t="s">
        <v>15435</v>
      </c>
      <c r="D2376" t="s">
        <v>16205</v>
      </c>
      <c r="E2376" t="s">
        <v>16218</v>
      </c>
      <c r="F2376" t="s">
        <v>16220</v>
      </c>
      <c r="G2376" t="s">
        <v>16266</v>
      </c>
      <c r="H2376" t="s">
        <v>16250</v>
      </c>
      <c r="I2376" t="s">
        <v>16346</v>
      </c>
      <c r="J2376" t="s">
        <v>16385</v>
      </c>
      <c r="K2376">
        <v>0.241</v>
      </c>
      <c r="L2376">
        <v>10479</v>
      </c>
      <c r="M2376">
        <v>2154</v>
      </c>
      <c r="N2376" t="s">
        <v>16393</v>
      </c>
      <c r="O2376" s="4">
        <v>31284</v>
      </c>
      <c r="P2376" s="4">
        <v>91554</v>
      </c>
      <c r="Q2376" s="4">
        <v>122838</v>
      </c>
      <c r="R2376" s="4">
        <v>368514</v>
      </c>
      <c r="S2376" t="s">
        <v>18702</v>
      </c>
      <c r="T2376" s="6">
        <v>34090</v>
      </c>
      <c r="U2376" s="4">
        <v>150000</v>
      </c>
      <c r="X2376" t="s">
        <v>3</v>
      </c>
      <c r="AA2376" s="5" t="str">
        <f>HYPERLINK("https://www.zillow.com/homes/1021-HUNTER-ST-LOMBARD-IL-60148_rb/","check listing")</f>
        <v>check listing</v>
      </c>
      <c r="AB2376" s="5" t="str">
        <f>HYPERLINK("https://propertylookup.dupagecounty.gov/Datalets/Datalet.aspx?UseSearch=no&amp;mode=sales&amp;pin=0524404005","sales record")</f>
        <v>sales record</v>
      </c>
      <c r="AC2376" t="s">
        <v>3</v>
      </c>
      <c r="AD2376">
        <v>41.845142</v>
      </c>
      <c r="AE2376">
        <v>-88.034791</v>
      </c>
      <c r="AF2376" s="5" t="str">
        <f>HYPERLINK("https://www.google.com/maps/search/?api=1&amp;query=41.845142,-88.034791","map")</f>
        <v>map</v>
      </c>
    </row>
    <row r="2377" spans="1:32">
      <c r="A2377" t="s">
        <v>2427</v>
      </c>
      <c r="B2377" t="s">
        <v>9971</v>
      </c>
      <c r="C2377" t="s">
        <v>15435</v>
      </c>
      <c r="D2377" t="s">
        <v>16205</v>
      </c>
      <c r="E2377" t="s">
        <v>16218</v>
      </c>
      <c r="F2377" t="s">
        <v>16220</v>
      </c>
      <c r="G2377" t="s">
        <v>16266</v>
      </c>
      <c r="H2377" t="s">
        <v>16250</v>
      </c>
      <c r="I2377" t="s">
        <v>16346</v>
      </c>
      <c r="J2377" t="s">
        <v>16385</v>
      </c>
      <c r="K2377">
        <v>0.238</v>
      </c>
      <c r="L2377">
        <v>10375</v>
      </c>
      <c r="M2377">
        <v>1621</v>
      </c>
      <c r="N2377" t="s">
        <v>16393</v>
      </c>
      <c r="O2377" s="4">
        <v>31284</v>
      </c>
      <c r="P2377" s="4">
        <v>82635</v>
      </c>
      <c r="Q2377" s="4">
        <v>113919</v>
      </c>
      <c r="R2377" s="4">
        <v>341757</v>
      </c>
      <c r="S2377" t="s">
        <v>18703</v>
      </c>
      <c r="T2377" s="6">
        <v>45051</v>
      </c>
      <c r="U2377" s="4">
        <v>445000</v>
      </c>
      <c r="V2377" t="s">
        <v>23739</v>
      </c>
      <c r="W2377" t="s">
        <v>24862</v>
      </c>
      <c r="X2377" t="s">
        <v>3</v>
      </c>
      <c r="AA2377" s="5" t="str">
        <f>HYPERLINK("https://www.zillow.com/homes/1031-HUNTER-ST-LOMBARD-IL-60148_rb/","check listing")</f>
        <v>check listing</v>
      </c>
      <c r="AB2377" s="5" t="str">
        <f>HYPERLINK("https://propertylookup.dupagecounty.gov/Datalets/Datalet.aspx?UseSearch=no&amp;mode=sales&amp;pin=0524404004","sales record")</f>
        <v>sales record</v>
      </c>
      <c r="AC2377" t="s">
        <v>3</v>
      </c>
      <c r="AD2377">
        <v>41.845169</v>
      </c>
      <c r="AE2377">
        <v>-88.035071</v>
      </c>
      <c r="AF2377" s="5" t="str">
        <f>HYPERLINK("https://www.google.com/maps/search/?api=1&amp;query=41.845169,-88.035071","map")</f>
        <v>map</v>
      </c>
    </row>
    <row r="2378" spans="1:32">
      <c r="A2378" t="s">
        <v>2428</v>
      </c>
      <c r="B2378" t="s">
        <v>9972</v>
      </c>
      <c r="C2378" t="s">
        <v>15435</v>
      </c>
      <c r="D2378" t="s">
        <v>16205</v>
      </c>
      <c r="E2378" t="s">
        <v>16218</v>
      </c>
      <c r="F2378" t="s">
        <v>16220</v>
      </c>
      <c r="G2378" t="s">
        <v>16266</v>
      </c>
      <c r="H2378" t="s">
        <v>16250</v>
      </c>
      <c r="I2378" t="s">
        <v>16346</v>
      </c>
      <c r="J2378" t="s">
        <v>16385</v>
      </c>
      <c r="K2378">
        <v>0.232</v>
      </c>
      <c r="L2378">
        <v>10091</v>
      </c>
      <c r="M2378">
        <v>1421</v>
      </c>
      <c r="N2378" t="s">
        <v>16393</v>
      </c>
      <c r="O2378" s="4">
        <v>31284</v>
      </c>
      <c r="P2378" s="4">
        <v>135375</v>
      </c>
      <c r="Q2378" s="4">
        <v>166659</v>
      </c>
      <c r="R2378" s="4">
        <v>499977</v>
      </c>
      <c r="S2378" t="s">
        <v>18704</v>
      </c>
      <c r="T2378" s="6">
        <v>36251</v>
      </c>
      <c r="U2378" s="4">
        <v>207000</v>
      </c>
      <c r="X2378" t="s">
        <v>3</v>
      </c>
      <c r="AA2378" s="5" t="str">
        <f>HYPERLINK("https://www.zillow.com/homes/1930-VALLEY-RD-LOMBARD-IL-60148_rb/","check listing")</f>
        <v>check listing</v>
      </c>
      <c r="AB2378" s="5" t="str">
        <f>HYPERLINK("https://propertylookup.dupagecounty.gov/Datalets/Datalet.aspx?UseSearch=no&amp;mode=sales&amp;pin=0524412006","sales record")</f>
        <v>sales record</v>
      </c>
      <c r="AC2378" t="s">
        <v>3</v>
      </c>
      <c r="AD2378">
        <v>41.848074</v>
      </c>
      <c r="AE2378">
        <v>-88.03876200000001</v>
      </c>
      <c r="AF2378" s="5" t="str">
        <f>HYPERLINK("https://www.google.com/maps/search/?api=1&amp;query=41.848074,-88.038762","map")</f>
        <v>map</v>
      </c>
    </row>
    <row r="2379" spans="1:32">
      <c r="A2379" t="s">
        <v>2429</v>
      </c>
      <c r="B2379" t="s">
        <v>9973</v>
      </c>
      <c r="C2379" t="s">
        <v>15439</v>
      </c>
      <c r="D2379" t="s">
        <v>16205</v>
      </c>
      <c r="E2379" t="s">
        <v>16218</v>
      </c>
      <c r="F2379" t="s">
        <v>16220</v>
      </c>
      <c r="G2379" t="s">
        <v>16266</v>
      </c>
      <c r="H2379" t="s">
        <v>16250</v>
      </c>
      <c r="I2379" t="s">
        <v>16346</v>
      </c>
      <c r="J2379" t="s">
        <v>16385</v>
      </c>
      <c r="K2379">
        <v>0.231</v>
      </c>
      <c r="L2379">
        <v>10079</v>
      </c>
      <c r="M2379">
        <v>1458</v>
      </c>
      <c r="N2379" t="s">
        <v>16393</v>
      </c>
      <c r="O2379" s="4">
        <v>31284</v>
      </c>
      <c r="P2379" s="4">
        <v>108345</v>
      </c>
      <c r="Q2379" s="4">
        <v>139629</v>
      </c>
      <c r="R2379" s="4">
        <v>418887</v>
      </c>
      <c r="S2379" t="s">
        <v>18705</v>
      </c>
      <c r="T2379" s="6">
        <v>33635</v>
      </c>
      <c r="U2379" s="4">
        <v>173000</v>
      </c>
      <c r="X2379" t="s">
        <v>3</v>
      </c>
      <c r="AA2379" s="5" t="str">
        <f>HYPERLINK("https://www.zillow.com/homes/2001-QUEENSBURY-CT-LOMBARD-IL-601485142_rb/","check listing")</f>
        <v>check listing</v>
      </c>
      <c r="AB2379" s="5" t="str">
        <f>HYPERLINK("https://propertylookup.dupagecounty.gov/Datalets/Datalet.aspx?UseSearch=no&amp;mode=sales&amp;pin=0524406036","sales record")</f>
        <v>sales record</v>
      </c>
      <c r="AC2379" t="s">
        <v>3</v>
      </c>
      <c r="AD2379">
        <v>41.84554</v>
      </c>
      <c r="AE2379">
        <v>-88.04011800000001</v>
      </c>
      <c r="AF2379" s="5" t="str">
        <f>HYPERLINK("https://www.google.com/maps/search/?api=1&amp;query=41.84554,-88.040118","map")</f>
        <v>map</v>
      </c>
    </row>
    <row r="2380" spans="1:32">
      <c r="A2380" t="s">
        <v>2430</v>
      </c>
      <c r="B2380" t="s">
        <v>9974</v>
      </c>
      <c r="C2380" t="s">
        <v>15435</v>
      </c>
      <c r="D2380" t="s">
        <v>16205</v>
      </c>
      <c r="E2380" t="s">
        <v>16218</v>
      </c>
      <c r="F2380" t="s">
        <v>16220</v>
      </c>
      <c r="G2380" t="s">
        <v>16254</v>
      </c>
      <c r="H2380" t="s">
        <v>16254</v>
      </c>
      <c r="I2380" t="s">
        <v>16346</v>
      </c>
      <c r="J2380" t="s">
        <v>16385</v>
      </c>
      <c r="K2380">
        <v>0.23</v>
      </c>
      <c r="L2380">
        <v>10033</v>
      </c>
      <c r="M2380">
        <v>3750</v>
      </c>
      <c r="N2380" t="s">
        <v>16393</v>
      </c>
      <c r="O2380" s="4">
        <v>26699</v>
      </c>
      <c r="P2380" s="4">
        <v>109478</v>
      </c>
      <c r="Q2380" s="4">
        <v>136177</v>
      </c>
      <c r="R2380" s="4">
        <v>408531</v>
      </c>
      <c r="S2380" t="s">
        <v>18706</v>
      </c>
      <c r="T2380" s="6">
        <v>31382</v>
      </c>
      <c r="U2380" s="4">
        <v>71000</v>
      </c>
      <c r="X2380" t="s">
        <v>3</v>
      </c>
      <c r="AA2380" s="5" t="str">
        <f>HYPERLINK("https://www.zillow.com/homes/415-S-WESTMORE-AVE-LOMBARD-IL-60148_rb/","check listing")</f>
        <v>check listing</v>
      </c>
      <c r="AB2380" s="5" t="str">
        <f>HYPERLINK("https://propertylookup.dupagecounty.gov/Datalets/Datalet.aspx?UseSearch=no&amp;mode=sales&amp;pin=0609310003","sales record")</f>
        <v>sales record</v>
      </c>
      <c r="AC2380" t="s">
        <v>3</v>
      </c>
      <c r="AD2380">
        <v>41.879551</v>
      </c>
      <c r="AE2380">
        <v>-87.993118</v>
      </c>
      <c r="AF2380" s="5" t="str">
        <f>HYPERLINK("https://www.google.com/maps/search/?api=1&amp;query=41.879551,-87.993118","map")</f>
        <v>map</v>
      </c>
    </row>
    <row r="2381" spans="1:32">
      <c r="A2381" t="s">
        <v>2431</v>
      </c>
      <c r="B2381" t="s">
        <v>9975</v>
      </c>
      <c r="C2381" t="s">
        <v>15444</v>
      </c>
      <c r="D2381" t="s">
        <v>16205</v>
      </c>
      <c r="E2381" t="s">
        <v>16218</v>
      </c>
      <c r="F2381" t="s">
        <v>16220</v>
      </c>
      <c r="G2381" t="s">
        <v>16250</v>
      </c>
      <c r="H2381" t="s">
        <v>16250</v>
      </c>
      <c r="I2381" t="s">
        <v>16346</v>
      </c>
      <c r="J2381" t="s">
        <v>16385</v>
      </c>
      <c r="K2381">
        <v>0.227</v>
      </c>
      <c r="L2381">
        <v>9904</v>
      </c>
      <c r="M2381">
        <v>1503</v>
      </c>
      <c r="N2381" t="s">
        <v>16393</v>
      </c>
      <c r="O2381" s="4">
        <v>26909</v>
      </c>
      <c r="P2381" s="4">
        <v>66240</v>
      </c>
      <c r="Q2381" s="4">
        <v>93149</v>
      </c>
      <c r="R2381" s="4">
        <v>279447</v>
      </c>
      <c r="S2381" t="s">
        <v>18707</v>
      </c>
      <c r="T2381" s="6">
        <v>42887</v>
      </c>
      <c r="U2381" s="4">
        <v>200000</v>
      </c>
      <c r="V2381" t="s">
        <v>23739</v>
      </c>
      <c r="W2381" t="s">
        <v>18707</v>
      </c>
      <c r="X2381" t="s">
        <v>3</v>
      </c>
      <c r="AA2381" s="5" t="str">
        <f>HYPERLINK("https://www.zillow.com/homes/363-W-ANN-ST-LOMBARD-IL-601483802_rb/","check listing")</f>
        <v>check listing</v>
      </c>
      <c r="AB2381" s="5" t="str">
        <f>HYPERLINK("https://propertylookup.dupagecounty.gov/Datalets/Datalet.aspx?UseSearch=no&amp;mode=sales&amp;pin=0618418005","sales record")</f>
        <v>sales record</v>
      </c>
      <c r="AC2381" t="s">
        <v>3</v>
      </c>
      <c r="AD2381">
        <v>41.860607</v>
      </c>
      <c r="AE2381">
        <v>-88.026278</v>
      </c>
      <c r="AF2381" s="5" t="str">
        <f>HYPERLINK("https://www.google.com/maps/search/?api=1&amp;query=41.860607,-88.026278","map")</f>
        <v>map</v>
      </c>
    </row>
    <row r="2382" spans="1:32">
      <c r="A2382" t="s">
        <v>2432</v>
      </c>
      <c r="B2382" t="s">
        <v>9976</v>
      </c>
      <c r="C2382" t="s">
        <v>15435</v>
      </c>
      <c r="D2382" t="s">
        <v>16205</v>
      </c>
      <c r="E2382" t="s">
        <v>16218</v>
      </c>
      <c r="F2382" t="s">
        <v>16220</v>
      </c>
      <c r="G2382" t="s">
        <v>16266</v>
      </c>
      <c r="H2382" t="s">
        <v>16250</v>
      </c>
      <c r="I2382" t="s">
        <v>16346</v>
      </c>
      <c r="J2382" t="s">
        <v>16385</v>
      </c>
      <c r="K2382">
        <v>0.227</v>
      </c>
      <c r="L2382">
        <v>9873</v>
      </c>
      <c r="M2382">
        <v>1401</v>
      </c>
      <c r="N2382" t="s">
        <v>16393</v>
      </c>
      <c r="O2382" s="4">
        <v>31284</v>
      </c>
      <c r="P2382" s="4">
        <v>80973</v>
      </c>
      <c r="Q2382" s="4">
        <v>112257</v>
      </c>
      <c r="R2382" s="4">
        <v>336771</v>
      </c>
      <c r="S2382" t="s">
        <v>18708</v>
      </c>
      <c r="T2382" s="6">
        <v>45911</v>
      </c>
      <c r="U2382" s="4">
        <v>455000</v>
      </c>
      <c r="V2382" t="s">
        <v>23739</v>
      </c>
      <c r="W2382" t="s">
        <v>24863</v>
      </c>
      <c r="X2382" t="s">
        <v>3</v>
      </c>
      <c r="AA2382" s="5" t="str">
        <f>HYPERLINK("https://www.zillow.com/homes/1111-HUNTER-ST-LOMBARD-IL-60148_rb/","check listing")</f>
        <v>check listing</v>
      </c>
      <c r="AB2382" s="5" t="str">
        <f>HYPERLINK("https://propertylookup.dupagecounty.gov/Datalets/Datalet.aspx?UseSearch=no&amp;mode=sales&amp;pin=0524404015","sales record")</f>
        <v>sales record</v>
      </c>
      <c r="AC2382" t="s">
        <v>3</v>
      </c>
      <c r="AD2382">
        <v>41.845131</v>
      </c>
      <c r="AE2382">
        <v>-88.038077</v>
      </c>
      <c r="AF2382" s="5" t="str">
        <f>HYPERLINK("https://www.google.com/maps/search/?api=1&amp;query=41.845131,-88.038077","map")</f>
        <v>map</v>
      </c>
    </row>
    <row r="2383" spans="1:32">
      <c r="A2383" t="s">
        <v>2433</v>
      </c>
      <c r="B2383" t="s">
        <v>9977</v>
      </c>
      <c r="C2383" t="s">
        <v>15445</v>
      </c>
      <c r="D2383" t="s">
        <v>16205</v>
      </c>
      <c r="E2383" t="s">
        <v>16218</v>
      </c>
      <c r="F2383" t="s">
        <v>16220</v>
      </c>
      <c r="G2383" t="s">
        <v>16266</v>
      </c>
      <c r="H2383" t="s">
        <v>16250</v>
      </c>
      <c r="I2383" t="s">
        <v>16346</v>
      </c>
      <c r="J2383" t="s">
        <v>16385</v>
      </c>
      <c r="K2383">
        <v>0.226</v>
      </c>
      <c r="L2383">
        <v>9858</v>
      </c>
      <c r="M2383">
        <v>1478</v>
      </c>
      <c r="N2383" t="s">
        <v>16393</v>
      </c>
      <c r="O2383" s="4">
        <v>31284</v>
      </c>
      <c r="P2383" s="4">
        <v>89645</v>
      </c>
      <c r="Q2383" s="4">
        <v>120929</v>
      </c>
      <c r="R2383" s="4">
        <v>362787</v>
      </c>
      <c r="S2383" t="s">
        <v>18709</v>
      </c>
      <c r="T2383" s="6">
        <v>43586</v>
      </c>
      <c r="U2383" s="4">
        <v>315000</v>
      </c>
      <c r="V2383" t="s">
        <v>23739</v>
      </c>
      <c r="W2383" t="s">
        <v>24864</v>
      </c>
      <c r="X2383" t="s">
        <v>3</v>
      </c>
      <c r="AA2383" s="5" t="str">
        <f>HYPERLINK("https://www.zillow.com/homes/1104-FOXWORTH-BLVD-LOMBARD-IL-601484833_rb/","check listing")</f>
        <v>check listing</v>
      </c>
      <c r="AB2383" s="5" t="str">
        <f>HYPERLINK("https://propertylookup.dupagecounty.gov/Datalets/Datalet.aspx?UseSearch=no&amp;mode=sales&amp;pin=0524402029","sales record")</f>
        <v>sales record</v>
      </c>
      <c r="AC2383" t="s">
        <v>3</v>
      </c>
      <c r="AD2383">
        <v>41.847885</v>
      </c>
      <c r="AE2383">
        <v>-88.03708399999999</v>
      </c>
      <c r="AF2383" s="5" t="str">
        <f>HYPERLINK("https://www.google.com/maps/search/?api=1&amp;query=41.847885,-88.037084","map")</f>
        <v>map</v>
      </c>
    </row>
    <row r="2384" spans="1:32">
      <c r="A2384" t="s">
        <v>2434</v>
      </c>
      <c r="B2384" t="s">
        <v>9978</v>
      </c>
      <c r="C2384" t="s">
        <v>15446</v>
      </c>
      <c r="D2384" t="s">
        <v>16205</v>
      </c>
      <c r="E2384" t="s">
        <v>16218</v>
      </c>
      <c r="F2384" t="s">
        <v>16220</v>
      </c>
      <c r="G2384" t="s">
        <v>16254</v>
      </c>
      <c r="H2384" t="s">
        <v>16254</v>
      </c>
      <c r="I2384" t="s">
        <v>16346</v>
      </c>
      <c r="J2384" t="s">
        <v>16385</v>
      </c>
      <c r="K2384">
        <v>0.225</v>
      </c>
      <c r="L2384">
        <v>9799</v>
      </c>
      <c r="M2384">
        <v>1937</v>
      </c>
      <c r="N2384" t="s">
        <v>16393</v>
      </c>
      <c r="O2384" s="4">
        <v>24389</v>
      </c>
      <c r="P2384" s="4">
        <v>184886</v>
      </c>
      <c r="Q2384" s="4">
        <v>209275</v>
      </c>
      <c r="R2384" s="4">
        <v>627825</v>
      </c>
      <c r="S2384" t="s">
        <v>18710</v>
      </c>
      <c r="T2384" s="6">
        <v>38322</v>
      </c>
      <c r="U2384" s="4">
        <v>97500</v>
      </c>
      <c r="V2384" t="s">
        <v>23740</v>
      </c>
      <c r="W2384" t="s">
        <v>24865</v>
      </c>
      <c r="X2384" t="s">
        <v>3</v>
      </c>
      <c r="AA2384" s="5" t="str">
        <f>HYPERLINK("https://www.zillow.com/homes/417-W-SAINT-CHARLES-RD-LOMBARD-IL-601482125_rb/","check listing")</f>
        <v>check listing</v>
      </c>
      <c r="AB2384" s="5" t="str">
        <f>HYPERLINK("https://propertylookup.dupagecounty.gov/Datalets/Datalet.aspx?UseSearch=no&amp;mode=sales&amp;pin=0607105010","sales record")</f>
        <v>sales record</v>
      </c>
      <c r="AC2384" t="s">
        <v>3</v>
      </c>
      <c r="AD2384">
        <v>41.885939</v>
      </c>
      <c r="AE2384">
        <v>-88.029129</v>
      </c>
      <c r="AF2384" s="5" t="str">
        <f>HYPERLINK("https://www.google.com/maps/search/?api=1&amp;query=41.885939,-88.029129","map")</f>
        <v>map</v>
      </c>
    </row>
    <row r="2385" spans="1:32">
      <c r="A2385" t="s">
        <v>2435</v>
      </c>
      <c r="B2385" t="s">
        <v>9979</v>
      </c>
      <c r="C2385" t="s">
        <v>15440</v>
      </c>
      <c r="D2385" t="s">
        <v>16205</v>
      </c>
      <c r="E2385" t="s">
        <v>16218</v>
      </c>
      <c r="F2385" t="s">
        <v>16220</v>
      </c>
      <c r="G2385" t="s">
        <v>16266</v>
      </c>
      <c r="H2385" t="s">
        <v>16250</v>
      </c>
      <c r="I2385" t="s">
        <v>16346</v>
      </c>
      <c r="J2385" t="s">
        <v>16385</v>
      </c>
      <c r="K2385">
        <v>0.224</v>
      </c>
      <c r="L2385">
        <v>9779</v>
      </c>
      <c r="M2385">
        <v>1507</v>
      </c>
      <c r="N2385" t="s">
        <v>16393</v>
      </c>
      <c r="O2385" s="4">
        <v>31284</v>
      </c>
      <c r="P2385" s="4">
        <v>105648</v>
      </c>
      <c r="Q2385" s="4">
        <v>136932</v>
      </c>
      <c r="R2385" s="4">
        <v>410796</v>
      </c>
      <c r="S2385" t="s">
        <v>18711</v>
      </c>
      <c r="T2385" s="6">
        <v>44044</v>
      </c>
      <c r="U2385" s="4">
        <v>379000</v>
      </c>
      <c r="V2385" t="s">
        <v>23739</v>
      </c>
      <c r="W2385" t="s">
        <v>24866</v>
      </c>
      <c r="X2385" t="s">
        <v>3</v>
      </c>
      <c r="AA2385" s="5" t="str">
        <f>HYPERLINK("https://www.zillow.com/homes/2011-S-VALLEY-RD-LOMBARD-IL-601484218_rb/","check listing")</f>
        <v>check listing</v>
      </c>
      <c r="AB2385" s="5" t="str">
        <f>HYPERLINK("https://propertylookup.dupagecounty.gov/Datalets/Datalet.aspx?UseSearch=no&amp;mode=sales&amp;pin=0524406031","sales record")</f>
        <v>sales record</v>
      </c>
      <c r="AC2385" t="s">
        <v>3</v>
      </c>
      <c r="AD2385">
        <v>41.846601</v>
      </c>
      <c r="AE2385">
        <v>-88.039992</v>
      </c>
      <c r="AF2385" s="5" t="str">
        <f>HYPERLINK("https://www.google.com/maps/search/?api=1&amp;query=41.846601,-88.039992","map")</f>
        <v>map</v>
      </c>
    </row>
    <row r="2386" spans="1:32">
      <c r="A2386" t="s">
        <v>2436</v>
      </c>
      <c r="B2386" t="s">
        <v>9980</v>
      </c>
      <c r="C2386" t="s">
        <v>15435</v>
      </c>
      <c r="D2386" t="s">
        <v>16205</v>
      </c>
      <c r="E2386" t="s">
        <v>16218</v>
      </c>
      <c r="F2386" t="s">
        <v>16220</v>
      </c>
      <c r="G2386" t="s">
        <v>16266</v>
      </c>
      <c r="H2386" t="s">
        <v>16250</v>
      </c>
      <c r="I2386" t="s">
        <v>16346</v>
      </c>
      <c r="J2386" t="s">
        <v>16385</v>
      </c>
      <c r="K2386">
        <v>0.217</v>
      </c>
      <c r="L2386">
        <v>9469</v>
      </c>
      <c r="M2386">
        <v>1521</v>
      </c>
      <c r="N2386" t="s">
        <v>16393</v>
      </c>
      <c r="O2386" s="4">
        <v>31246</v>
      </c>
      <c r="P2386" s="4">
        <v>111424</v>
      </c>
      <c r="Q2386" s="4">
        <v>142670</v>
      </c>
      <c r="R2386" s="4">
        <v>428010</v>
      </c>
      <c r="S2386" t="s">
        <v>18712</v>
      </c>
      <c r="T2386" s="6">
        <v>31778</v>
      </c>
      <c r="U2386" s="4">
        <v>125015</v>
      </c>
      <c r="X2386" t="s">
        <v>3</v>
      </c>
      <c r="AA2386" s="5" t="str">
        <f>HYPERLINK("https://www.zillow.com/homes/2040-VALLEY-RD-LOMBARD-IL-60148_rb/","check listing")</f>
        <v>check listing</v>
      </c>
      <c r="AB2386" s="5" t="str">
        <f>HYPERLINK("https://propertylookup.dupagecounty.gov/Datalets/Datalet.aspx?UseSearch=no&amp;mode=sales&amp;pin=0524412022","sales record")</f>
        <v>sales record</v>
      </c>
      <c r="AC2386" t="s">
        <v>3</v>
      </c>
      <c r="AD2386">
        <v>41.84645</v>
      </c>
      <c r="AE2386">
        <v>-88.04083199999999</v>
      </c>
      <c r="AF2386" s="5" t="str">
        <f>HYPERLINK("https://www.google.com/maps/search/?api=1&amp;query=41.84645,-88.040832","map")</f>
        <v>map</v>
      </c>
    </row>
    <row r="2387" spans="1:32">
      <c r="A2387" t="s">
        <v>2437</v>
      </c>
      <c r="B2387" t="s">
        <v>9981</v>
      </c>
      <c r="C2387" t="s">
        <v>15435</v>
      </c>
      <c r="D2387" t="s">
        <v>16205</v>
      </c>
      <c r="E2387" t="s">
        <v>16218</v>
      </c>
      <c r="F2387" t="s">
        <v>16220</v>
      </c>
      <c r="G2387" t="s">
        <v>16266</v>
      </c>
      <c r="H2387" t="s">
        <v>16250</v>
      </c>
      <c r="I2387" t="s">
        <v>16346</v>
      </c>
      <c r="J2387" t="s">
        <v>16385</v>
      </c>
      <c r="K2387">
        <v>0.216</v>
      </c>
      <c r="L2387">
        <v>9421</v>
      </c>
      <c r="M2387">
        <v>1726</v>
      </c>
      <c r="N2387" t="s">
        <v>16393</v>
      </c>
      <c r="O2387" s="4">
        <v>31284</v>
      </c>
      <c r="P2387" s="4">
        <v>84379</v>
      </c>
      <c r="Q2387" s="4">
        <v>115663</v>
      </c>
      <c r="R2387" s="4">
        <v>346989</v>
      </c>
      <c r="S2387" t="s">
        <v>18713</v>
      </c>
      <c r="T2387" s="6">
        <v>41913</v>
      </c>
      <c r="U2387" s="4">
        <v>275000</v>
      </c>
      <c r="V2387" t="s">
        <v>23739</v>
      </c>
      <c r="W2387" t="s">
        <v>24867</v>
      </c>
      <c r="X2387" t="s">
        <v>3</v>
      </c>
      <c r="AA2387" s="5" t="str">
        <f>HYPERLINK("https://www.zillow.com/homes/1964-DOWNING-ST-LOMBARD-IL-60148_rb/","check listing")</f>
        <v>check listing</v>
      </c>
      <c r="AB2387" s="5" t="str">
        <f>HYPERLINK("https://propertylookup.dupagecounty.gov/Datalets/Datalet.aspx?UseSearch=no&amp;mode=sales&amp;pin=0524407005","sales record")</f>
        <v>sales record</v>
      </c>
      <c r="AC2387" t="s">
        <v>3</v>
      </c>
      <c r="AD2387">
        <v>41.846519</v>
      </c>
      <c r="AE2387">
        <v>-88.037364</v>
      </c>
      <c r="AF2387" s="5" t="str">
        <f>HYPERLINK("https://www.google.com/maps/search/?api=1&amp;query=41.846519,-88.037364","map")</f>
        <v>map</v>
      </c>
    </row>
    <row r="2388" spans="1:32">
      <c r="A2388" t="s">
        <v>2438</v>
      </c>
      <c r="B2388" t="s">
        <v>9982</v>
      </c>
      <c r="C2388" t="s">
        <v>15435</v>
      </c>
      <c r="D2388" t="s">
        <v>16205</v>
      </c>
      <c r="E2388" t="s">
        <v>16218</v>
      </c>
      <c r="F2388" t="s">
        <v>16220</v>
      </c>
      <c r="G2388" t="s">
        <v>16266</v>
      </c>
      <c r="H2388" t="s">
        <v>16250</v>
      </c>
      <c r="I2388" t="s">
        <v>16346</v>
      </c>
      <c r="J2388" t="s">
        <v>16385</v>
      </c>
      <c r="K2388">
        <v>0.215</v>
      </c>
      <c r="L2388">
        <v>9357</v>
      </c>
      <c r="M2388">
        <v>1804</v>
      </c>
      <c r="N2388" t="s">
        <v>16393</v>
      </c>
      <c r="O2388" s="4">
        <v>35026</v>
      </c>
      <c r="P2388" s="4">
        <v>107973</v>
      </c>
      <c r="Q2388" s="4">
        <v>142999</v>
      </c>
      <c r="R2388" s="4">
        <v>428997</v>
      </c>
      <c r="S2388" t="s">
        <v>18714</v>
      </c>
      <c r="X2388" t="s">
        <v>3</v>
      </c>
      <c r="AA2388" s="5" t="str">
        <f>HYPERLINK("https://www.zillow.com/homes/901-FOXWORTH-BLVD-LOMBARD-IL-60148_rb/","check listing")</f>
        <v>check listing</v>
      </c>
      <c r="AB2388" s="5" t="str">
        <f>HYPERLINK("https://propertylookup.dupagecounty.gov/Datalets/Datalet.aspx?UseSearch=no&amp;mode=sales&amp;pin=0619302006","sales record")</f>
        <v>sales record</v>
      </c>
      <c r="AC2388" t="s">
        <v>27873</v>
      </c>
      <c r="AD2388">
        <v>41.845247</v>
      </c>
      <c r="AE2388">
        <v>-88.032314</v>
      </c>
      <c r="AF2388" s="5" t="str">
        <f>HYPERLINK("https://www.google.com/maps/search/?api=1&amp;query=41.845247,-88.032314","map")</f>
        <v>map</v>
      </c>
    </row>
    <row r="2389" spans="1:32">
      <c r="A2389" t="s">
        <v>2439</v>
      </c>
      <c r="B2389" t="s">
        <v>9983</v>
      </c>
      <c r="C2389" t="s">
        <v>15435</v>
      </c>
      <c r="D2389" t="s">
        <v>16205</v>
      </c>
      <c r="E2389" t="s">
        <v>16218</v>
      </c>
      <c r="F2389" t="s">
        <v>16220</v>
      </c>
      <c r="G2389" t="s">
        <v>16266</v>
      </c>
      <c r="H2389" t="s">
        <v>16250</v>
      </c>
      <c r="I2389" t="s">
        <v>16346</v>
      </c>
      <c r="J2389" t="s">
        <v>16385</v>
      </c>
      <c r="K2389">
        <v>0.214</v>
      </c>
      <c r="L2389">
        <v>9333</v>
      </c>
      <c r="M2389">
        <v>1381</v>
      </c>
      <c r="N2389" t="s">
        <v>16393</v>
      </c>
      <c r="O2389" s="4">
        <v>31284</v>
      </c>
      <c r="P2389" s="4">
        <v>103173</v>
      </c>
      <c r="Q2389" s="4">
        <v>134457</v>
      </c>
      <c r="R2389" s="4">
        <v>403371</v>
      </c>
      <c r="S2389" t="s">
        <v>18715</v>
      </c>
      <c r="T2389" s="6">
        <v>31717</v>
      </c>
      <c r="U2389" s="4">
        <v>112390</v>
      </c>
      <c r="X2389" t="s">
        <v>3</v>
      </c>
      <c r="AA2389" s="5" t="str">
        <f>HYPERLINK("https://www.zillow.com/homes/2051-VALLEY-RD-LOMBARD-IL-60148_rb/","check listing")</f>
        <v>check listing</v>
      </c>
      <c r="AB2389" s="5" t="str">
        <f>HYPERLINK("https://propertylookup.dupagecounty.gov/Datalets/Datalet.aspx?UseSearch=no&amp;mode=sales&amp;pin=0524406035","sales record")</f>
        <v>sales record</v>
      </c>
      <c r="AC2389" t="s">
        <v>3</v>
      </c>
      <c r="AD2389">
        <v>41.845853</v>
      </c>
      <c r="AE2389">
        <v>-88.04021899999999</v>
      </c>
      <c r="AF2389" s="5" t="str">
        <f>HYPERLINK("https://www.google.com/maps/search/?api=1&amp;query=41.845853,-88.040219","map")</f>
        <v>map</v>
      </c>
    </row>
    <row r="2390" spans="1:32">
      <c r="A2390" t="s">
        <v>2440</v>
      </c>
      <c r="B2390" t="s">
        <v>9984</v>
      </c>
      <c r="C2390" t="s">
        <v>15445</v>
      </c>
      <c r="D2390" t="s">
        <v>16205</v>
      </c>
      <c r="E2390" t="s">
        <v>16218</v>
      </c>
      <c r="F2390" t="s">
        <v>16220</v>
      </c>
      <c r="G2390" t="s">
        <v>16266</v>
      </c>
      <c r="H2390" t="s">
        <v>16250</v>
      </c>
      <c r="I2390" t="s">
        <v>16346</v>
      </c>
      <c r="J2390" t="s">
        <v>16385</v>
      </c>
      <c r="K2390">
        <v>0.213</v>
      </c>
      <c r="L2390">
        <v>9261</v>
      </c>
      <c r="M2390">
        <v>1349</v>
      </c>
      <c r="N2390" t="s">
        <v>16393</v>
      </c>
      <c r="O2390" s="4">
        <v>31284</v>
      </c>
      <c r="P2390" s="4">
        <v>124488</v>
      </c>
      <c r="Q2390" s="4">
        <v>155772</v>
      </c>
      <c r="R2390" s="4">
        <v>467316</v>
      </c>
      <c r="S2390" t="s">
        <v>18716</v>
      </c>
      <c r="T2390" s="6">
        <v>44741</v>
      </c>
      <c r="U2390" s="4">
        <v>437500</v>
      </c>
      <c r="V2390" t="s">
        <v>23741</v>
      </c>
      <c r="W2390" t="s">
        <v>24868</v>
      </c>
      <c r="X2390" t="s">
        <v>3</v>
      </c>
      <c r="AA2390" s="5" t="str">
        <f>HYPERLINK("https://www.zillow.com/homes/1116-FOXWORTH-BLVD-LOMBARD-IL-601484833_rb/","check listing")</f>
        <v>check listing</v>
      </c>
      <c r="AB2390" s="5" t="str">
        <f>HYPERLINK("https://propertylookup.dupagecounty.gov/Datalets/Datalet.aspx?UseSearch=no&amp;mode=sales&amp;pin=0524402026","sales record")</f>
        <v>sales record</v>
      </c>
      <c r="AC2390" t="s">
        <v>3</v>
      </c>
      <c r="AD2390">
        <v>41.848332</v>
      </c>
      <c r="AE2390">
        <v>-88.03751099999999</v>
      </c>
      <c r="AF2390" s="5" t="str">
        <f>HYPERLINK("https://www.google.com/maps/search/?api=1&amp;query=41.848332,-88.037511","map")</f>
        <v>map</v>
      </c>
    </row>
    <row r="2391" spans="1:32">
      <c r="A2391" t="s">
        <v>2441</v>
      </c>
      <c r="B2391" t="s">
        <v>9985</v>
      </c>
      <c r="C2391" t="s">
        <v>15435</v>
      </c>
      <c r="D2391" t="s">
        <v>16205</v>
      </c>
      <c r="E2391" t="s">
        <v>16218</v>
      </c>
      <c r="F2391" t="s">
        <v>16220</v>
      </c>
      <c r="G2391" t="s">
        <v>16266</v>
      </c>
      <c r="H2391" t="s">
        <v>16250</v>
      </c>
      <c r="I2391" t="s">
        <v>16346</v>
      </c>
      <c r="J2391" t="s">
        <v>16385</v>
      </c>
      <c r="K2391">
        <v>0.212</v>
      </c>
      <c r="L2391">
        <v>9253</v>
      </c>
      <c r="M2391">
        <v>1147</v>
      </c>
      <c r="N2391" t="s">
        <v>16393</v>
      </c>
      <c r="O2391" s="4">
        <v>31284</v>
      </c>
      <c r="P2391" s="4">
        <v>101559</v>
      </c>
      <c r="Q2391" s="4">
        <v>132843</v>
      </c>
      <c r="R2391" s="4">
        <v>398529</v>
      </c>
      <c r="S2391" t="s">
        <v>18717</v>
      </c>
      <c r="T2391" s="6">
        <v>33909</v>
      </c>
      <c r="U2391" s="4">
        <v>155000</v>
      </c>
      <c r="X2391" t="s">
        <v>3</v>
      </c>
      <c r="AA2391" s="5" t="str">
        <f>HYPERLINK("https://www.zillow.com/homes/1113-HUNTER-ST-LOMBARD-IL-60148_rb/","check listing")</f>
        <v>check listing</v>
      </c>
      <c r="AB2391" s="5" t="str">
        <f>HYPERLINK("https://propertylookup.dupagecounty.gov/Datalets/Datalet.aspx?UseSearch=no&amp;mode=sales&amp;pin=0524404014","sales record")</f>
        <v>sales record</v>
      </c>
      <c r="AC2391" t="s">
        <v>3</v>
      </c>
      <c r="AD2391">
        <v>41.845122</v>
      </c>
      <c r="AE2391">
        <v>-88.03835100000001</v>
      </c>
      <c r="AF2391" s="5" t="str">
        <f>HYPERLINK("https://www.google.com/maps/search/?api=1&amp;query=41.845122,-88.038351","map")</f>
        <v>map</v>
      </c>
    </row>
    <row r="2392" spans="1:32">
      <c r="A2392" t="s">
        <v>2442</v>
      </c>
      <c r="B2392" t="s">
        <v>9986</v>
      </c>
      <c r="C2392" t="s">
        <v>15439</v>
      </c>
      <c r="D2392" t="s">
        <v>16205</v>
      </c>
      <c r="E2392" t="s">
        <v>16218</v>
      </c>
      <c r="F2392" t="s">
        <v>16220</v>
      </c>
      <c r="G2392" t="s">
        <v>16266</v>
      </c>
      <c r="H2392" t="s">
        <v>16250</v>
      </c>
      <c r="I2392" t="s">
        <v>16346</v>
      </c>
      <c r="J2392" t="s">
        <v>16385</v>
      </c>
      <c r="K2392">
        <v>0.212</v>
      </c>
      <c r="L2392">
        <v>9240</v>
      </c>
      <c r="M2392">
        <v>1331</v>
      </c>
      <c r="N2392" t="s">
        <v>16393</v>
      </c>
      <c r="O2392" s="4">
        <v>31284</v>
      </c>
      <c r="P2392" s="4">
        <v>82564</v>
      </c>
      <c r="Q2392" s="4">
        <v>113848</v>
      </c>
      <c r="R2392" s="4">
        <v>341544</v>
      </c>
      <c r="S2392" t="s">
        <v>18718</v>
      </c>
      <c r="T2392" s="6">
        <v>42948</v>
      </c>
      <c r="U2392" s="4">
        <v>265000</v>
      </c>
      <c r="V2392" t="s">
        <v>23739</v>
      </c>
      <c r="W2392" t="s">
        <v>18718</v>
      </c>
      <c r="X2392" t="s">
        <v>3</v>
      </c>
      <c r="AA2392" s="5" t="str">
        <f>HYPERLINK("https://www.zillow.com/homes/2031-QUEENSBURY-CT-LOMBARD-IL-601485142_rb/","check listing")</f>
        <v>check listing</v>
      </c>
      <c r="AB2392" s="5" t="str">
        <f>HYPERLINK("https://propertylookup.dupagecounty.gov/Datalets/Datalet.aspx?UseSearch=no&amp;mode=sales&amp;pin=0524406039","sales record")</f>
        <v>sales record</v>
      </c>
      <c r="AC2392" t="s">
        <v>3</v>
      </c>
      <c r="AD2392">
        <v>41.845675</v>
      </c>
      <c r="AE2392">
        <v>-88.039186</v>
      </c>
      <c r="AF2392" s="5" t="str">
        <f>HYPERLINK("https://www.google.com/maps/search/?api=1&amp;query=41.845675,-88.039186","map")</f>
        <v>map</v>
      </c>
    </row>
    <row r="2393" spans="1:32">
      <c r="A2393" t="s">
        <v>2443</v>
      </c>
      <c r="B2393" t="s">
        <v>9987</v>
      </c>
      <c r="C2393" t="s">
        <v>15447</v>
      </c>
      <c r="D2393" t="s">
        <v>16205</v>
      </c>
      <c r="E2393" t="s">
        <v>16218</v>
      </c>
      <c r="F2393" t="s">
        <v>16220</v>
      </c>
      <c r="G2393" t="s">
        <v>16266</v>
      </c>
      <c r="H2393" t="s">
        <v>16250</v>
      </c>
      <c r="I2393" t="s">
        <v>16346</v>
      </c>
      <c r="J2393" t="s">
        <v>16385</v>
      </c>
      <c r="K2393">
        <v>0.212</v>
      </c>
      <c r="L2393">
        <v>9235</v>
      </c>
      <c r="M2393">
        <v>1491</v>
      </c>
      <c r="N2393" t="s">
        <v>16393</v>
      </c>
      <c r="O2393" s="4">
        <v>31284</v>
      </c>
      <c r="P2393" s="4">
        <v>92686</v>
      </c>
      <c r="Q2393" s="4">
        <v>123970</v>
      </c>
      <c r="R2393" s="4">
        <v>371910</v>
      </c>
      <c r="S2393" t="s">
        <v>18719</v>
      </c>
      <c r="T2393" s="6">
        <v>43160</v>
      </c>
      <c r="U2393" s="4">
        <v>310000</v>
      </c>
      <c r="V2393" t="s">
        <v>23739</v>
      </c>
      <c r="W2393" t="s">
        <v>24869</v>
      </c>
      <c r="X2393" t="s">
        <v>3</v>
      </c>
      <c r="AA2393" s="5" t="str">
        <f>HYPERLINK("https://www.zillow.com/homes/2098-S-VALLEY-RD-LOMBARD-IL-601484271_rb/","check listing")</f>
        <v>check listing</v>
      </c>
      <c r="AB2393" s="5" t="str">
        <f>HYPERLINK("https://propertylookup.dupagecounty.gov/Datalets/Datalet.aspx?UseSearch=no&amp;mode=sales&amp;pin=0524412028","sales record")</f>
        <v>sales record</v>
      </c>
      <c r="AC2393" t="s">
        <v>3</v>
      </c>
      <c r="AD2393">
        <v>41.845383</v>
      </c>
      <c r="AE2393">
        <v>-88.040723</v>
      </c>
      <c r="AF2393" s="5" t="str">
        <f>HYPERLINK("https://www.google.com/maps/search/?api=1&amp;query=41.845383,-88.040723","map")</f>
        <v>map</v>
      </c>
    </row>
    <row r="2394" spans="1:32">
      <c r="A2394" t="s">
        <v>2444</v>
      </c>
      <c r="B2394" t="s">
        <v>9988</v>
      </c>
      <c r="C2394" t="s">
        <v>15435</v>
      </c>
      <c r="D2394" t="s">
        <v>16205</v>
      </c>
      <c r="E2394" t="s">
        <v>16218</v>
      </c>
      <c r="F2394" t="s">
        <v>16220</v>
      </c>
      <c r="G2394" t="s">
        <v>16266</v>
      </c>
      <c r="H2394" t="s">
        <v>16250</v>
      </c>
      <c r="I2394" t="s">
        <v>16346</v>
      </c>
      <c r="J2394" t="s">
        <v>16385</v>
      </c>
      <c r="K2394">
        <v>0.211</v>
      </c>
      <c r="L2394">
        <v>9171</v>
      </c>
      <c r="M2394">
        <v>1331</v>
      </c>
      <c r="N2394" t="s">
        <v>16393</v>
      </c>
      <c r="O2394" s="4">
        <v>31284</v>
      </c>
      <c r="P2394" s="4">
        <v>102348</v>
      </c>
      <c r="Q2394" s="4">
        <v>133632</v>
      </c>
      <c r="R2394" s="4">
        <v>400896</v>
      </c>
      <c r="S2394" t="s">
        <v>18720</v>
      </c>
      <c r="T2394" s="6">
        <v>45337</v>
      </c>
      <c r="U2394" s="4">
        <v>410000</v>
      </c>
      <c r="V2394" t="s">
        <v>23739</v>
      </c>
      <c r="W2394" t="s">
        <v>24870</v>
      </c>
      <c r="X2394" t="s">
        <v>3</v>
      </c>
      <c r="AA2394" s="5" t="str">
        <f>HYPERLINK("https://www.zillow.com/homes/1990-WITT-CT-LOMBARD-IL-60148_rb/","check listing")</f>
        <v>check listing</v>
      </c>
      <c r="AB2394" s="5" t="str">
        <f>HYPERLINK("https://propertylookup.dupagecounty.gov/Datalets/Datalet.aspx?UseSearch=no&amp;mode=sales&amp;pin=0524412015","sales record")</f>
        <v>sales record</v>
      </c>
      <c r="AC2394" t="s">
        <v>3</v>
      </c>
      <c r="AD2394">
        <v>41.847859</v>
      </c>
      <c r="AE2394">
        <v>-88.03927899999999</v>
      </c>
      <c r="AF2394" s="5" t="str">
        <f>HYPERLINK("https://www.google.com/maps/search/?api=1&amp;query=41.847859,-88.039279","map")</f>
        <v>map</v>
      </c>
    </row>
    <row r="2395" spans="1:32">
      <c r="A2395" t="s">
        <v>2445</v>
      </c>
      <c r="B2395" t="s">
        <v>9989</v>
      </c>
      <c r="C2395" t="s">
        <v>15435</v>
      </c>
      <c r="D2395" t="s">
        <v>16205</v>
      </c>
      <c r="E2395" t="s">
        <v>16218</v>
      </c>
      <c r="F2395" t="s">
        <v>16220</v>
      </c>
      <c r="G2395" t="s">
        <v>16266</v>
      </c>
      <c r="H2395" t="s">
        <v>16250</v>
      </c>
      <c r="I2395" t="s">
        <v>16346</v>
      </c>
      <c r="J2395" t="s">
        <v>16385</v>
      </c>
      <c r="K2395">
        <v>0.209</v>
      </c>
      <c r="L2395">
        <v>9085</v>
      </c>
      <c r="M2395">
        <v>1113</v>
      </c>
      <c r="N2395" t="s">
        <v>16393</v>
      </c>
      <c r="O2395" s="4">
        <v>31284</v>
      </c>
      <c r="P2395" s="4">
        <v>101559</v>
      </c>
      <c r="Q2395" s="4">
        <v>132843</v>
      </c>
      <c r="R2395" s="4">
        <v>398529</v>
      </c>
      <c r="S2395" t="s">
        <v>18721</v>
      </c>
      <c r="T2395" s="6">
        <v>36039</v>
      </c>
      <c r="U2395" s="4">
        <v>167500</v>
      </c>
      <c r="X2395" t="s">
        <v>3</v>
      </c>
      <c r="AA2395" s="5" t="str">
        <f>HYPERLINK("https://www.zillow.com/homes/1978-DOWNING-ST-LOMBARD-IL-60148_rb/","check listing")</f>
        <v>check listing</v>
      </c>
      <c r="AB2395" s="5" t="str">
        <f>HYPERLINK("https://propertylookup.dupagecounty.gov/Datalets/Datalet.aspx?UseSearch=no&amp;mode=sales&amp;pin=0524407006","sales record")</f>
        <v>sales record</v>
      </c>
      <c r="AC2395" t="s">
        <v>3</v>
      </c>
      <c r="AD2395">
        <v>41.846581</v>
      </c>
      <c r="AE2395">
        <v>-88.037082</v>
      </c>
      <c r="AF2395" s="5" t="str">
        <f>HYPERLINK("https://www.google.com/maps/search/?api=1&amp;query=41.846581,-88.037082","map")</f>
        <v>map</v>
      </c>
    </row>
    <row r="2396" spans="1:32">
      <c r="A2396" t="s">
        <v>2446</v>
      </c>
      <c r="B2396" t="s">
        <v>9990</v>
      </c>
      <c r="C2396" t="s">
        <v>15435</v>
      </c>
      <c r="D2396" t="s">
        <v>16205</v>
      </c>
      <c r="E2396" t="s">
        <v>16218</v>
      </c>
      <c r="F2396" t="s">
        <v>16220</v>
      </c>
      <c r="G2396" t="s">
        <v>16266</v>
      </c>
      <c r="H2396" t="s">
        <v>16250</v>
      </c>
      <c r="I2396" t="s">
        <v>16346</v>
      </c>
      <c r="J2396" t="s">
        <v>16385</v>
      </c>
      <c r="K2396">
        <v>0.206</v>
      </c>
      <c r="L2396">
        <v>8984</v>
      </c>
      <c r="M2396">
        <v>1251</v>
      </c>
      <c r="N2396" t="s">
        <v>16393</v>
      </c>
      <c r="O2396" s="4">
        <v>31284</v>
      </c>
      <c r="P2396" s="4">
        <v>101559</v>
      </c>
      <c r="Q2396" s="4">
        <v>132843</v>
      </c>
      <c r="R2396" s="4">
        <v>398529</v>
      </c>
      <c r="S2396" t="s">
        <v>18722</v>
      </c>
      <c r="T2396" s="6">
        <v>44817</v>
      </c>
      <c r="U2396" s="4">
        <v>362000</v>
      </c>
      <c r="V2396" t="s">
        <v>23741</v>
      </c>
      <c r="W2396" t="s">
        <v>24871</v>
      </c>
      <c r="X2396" t="s">
        <v>3</v>
      </c>
      <c r="AA2396" s="5" t="str">
        <f>HYPERLINK("https://www.zillow.com/homes/1136-WHITEHALL-ST-LOMBARD-IL-60148_rb/","check listing")</f>
        <v>check listing</v>
      </c>
      <c r="AB2396" s="5" t="str">
        <f>HYPERLINK("https://propertylookup.dupagecounty.gov/Datalets/Datalet.aspx?UseSearch=no&amp;mode=sales&amp;pin=0524407014","sales record")</f>
        <v>sales record</v>
      </c>
      <c r="AC2396" t="s">
        <v>3</v>
      </c>
      <c r="AD2396">
        <v>41.84626</v>
      </c>
      <c r="AE2396">
        <v>-88.03760200000001</v>
      </c>
      <c r="AF2396" s="5" t="str">
        <f>HYPERLINK("https://www.google.com/maps/search/?api=1&amp;query=41.84626,-88.037602","map")</f>
        <v>map</v>
      </c>
    </row>
    <row r="2397" spans="1:32">
      <c r="A2397" t="s">
        <v>2447</v>
      </c>
      <c r="B2397" t="s">
        <v>9991</v>
      </c>
      <c r="C2397" t="s">
        <v>15435</v>
      </c>
      <c r="D2397" t="s">
        <v>16205</v>
      </c>
      <c r="E2397" t="s">
        <v>16218</v>
      </c>
      <c r="F2397" t="s">
        <v>16220</v>
      </c>
      <c r="G2397" t="s">
        <v>16266</v>
      </c>
      <c r="H2397" t="s">
        <v>16250</v>
      </c>
      <c r="I2397" t="s">
        <v>16346</v>
      </c>
      <c r="J2397" t="s">
        <v>16385</v>
      </c>
      <c r="K2397">
        <v>0.206</v>
      </c>
      <c r="L2397">
        <v>8973</v>
      </c>
      <c r="M2397">
        <v>1361</v>
      </c>
      <c r="N2397" t="s">
        <v>16393</v>
      </c>
      <c r="O2397" s="4">
        <v>31284</v>
      </c>
      <c r="P2397" s="4">
        <v>102879</v>
      </c>
      <c r="Q2397" s="4">
        <v>134163</v>
      </c>
      <c r="R2397" s="4">
        <v>402489</v>
      </c>
      <c r="S2397" t="s">
        <v>18723</v>
      </c>
      <c r="T2397" s="6">
        <v>45757</v>
      </c>
      <c r="U2397" s="4">
        <v>552000</v>
      </c>
      <c r="V2397" t="s">
        <v>23739</v>
      </c>
      <c r="W2397" t="s">
        <v>24872</v>
      </c>
      <c r="X2397" t="s">
        <v>3</v>
      </c>
      <c r="AA2397" s="5" t="str">
        <f>HYPERLINK("https://www.zillow.com/homes/2041-QUEENSBURY-CT-LOMBARD-IL-60148_rb/","check listing")</f>
        <v>check listing</v>
      </c>
      <c r="AB2397" s="5" t="str">
        <f>HYPERLINK("https://propertylookup.dupagecounty.gov/Datalets/Datalet.aspx?UseSearch=no&amp;mode=sales&amp;pin=0524406040","sales record")</f>
        <v>sales record</v>
      </c>
      <c r="AC2397" t="s">
        <v>3</v>
      </c>
      <c r="AD2397">
        <v>41.845368</v>
      </c>
      <c r="AE2397">
        <v>-88.03913300000001</v>
      </c>
      <c r="AF2397" s="5" t="str">
        <f>HYPERLINK("https://www.google.com/maps/search/?api=1&amp;query=41.845368,-88.039133","map")</f>
        <v>map</v>
      </c>
    </row>
    <row r="2398" spans="1:32">
      <c r="A2398" t="s">
        <v>2448</v>
      </c>
      <c r="B2398" t="s">
        <v>9992</v>
      </c>
      <c r="C2398" t="s">
        <v>15435</v>
      </c>
      <c r="D2398" t="s">
        <v>16205</v>
      </c>
      <c r="E2398" t="s">
        <v>16218</v>
      </c>
      <c r="F2398" t="s">
        <v>16220</v>
      </c>
      <c r="G2398" t="s">
        <v>16266</v>
      </c>
      <c r="H2398" t="s">
        <v>16250</v>
      </c>
      <c r="I2398" t="s">
        <v>16346</v>
      </c>
      <c r="J2398" t="s">
        <v>16385</v>
      </c>
      <c r="K2398">
        <v>0.206</v>
      </c>
      <c r="L2398">
        <v>8961</v>
      </c>
      <c r="M2398">
        <v>1448</v>
      </c>
      <c r="N2398" t="s">
        <v>16393</v>
      </c>
      <c r="O2398" s="4">
        <v>31284</v>
      </c>
      <c r="P2398" s="4">
        <v>106849</v>
      </c>
      <c r="Q2398" s="4">
        <v>138133</v>
      </c>
      <c r="R2398" s="4">
        <v>414399</v>
      </c>
      <c r="S2398" t="s">
        <v>18724</v>
      </c>
      <c r="T2398" s="6">
        <v>45498</v>
      </c>
      <c r="U2398" s="4">
        <v>451000</v>
      </c>
      <c r="V2398" t="s">
        <v>23739</v>
      </c>
      <c r="W2398" t="s">
        <v>24873</v>
      </c>
      <c r="X2398" t="s">
        <v>3</v>
      </c>
      <c r="AA2398" s="5" t="str">
        <f>HYPERLINK("https://www.zillow.com/homes/1991-S-VALLEY-RD-LOMBARD-IL-60148_rb/","check listing")</f>
        <v>check listing</v>
      </c>
      <c r="AB2398" s="5" t="str">
        <f>HYPERLINK("https://propertylookup.dupagecounty.gov/Datalets/Datalet.aspx?UseSearch=no&amp;mode=sales&amp;pin=0524406029","sales record")</f>
        <v>sales record</v>
      </c>
      <c r="AC2398" t="s">
        <v>3</v>
      </c>
      <c r="AD2398">
        <v>41.846993</v>
      </c>
      <c r="AE2398">
        <v>-88.039804</v>
      </c>
      <c r="AF2398" s="5" t="str">
        <f>HYPERLINK("https://www.google.com/maps/search/?api=1&amp;query=41.846993,-88.039804","map")</f>
        <v>map</v>
      </c>
    </row>
    <row r="2399" spans="1:32">
      <c r="A2399" t="s">
        <v>2449</v>
      </c>
      <c r="B2399" t="s">
        <v>9993</v>
      </c>
      <c r="C2399" t="s">
        <v>15435</v>
      </c>
      <c r="D2399" t="s">
        <v>16205</v>
      </c>
      <c r="E2399" t="s">
        <v>16218</v>
      </c>
      <c r="F2399" t="s">
        <v>16220</v>
      </c>
      <c r="G2399" t="s">
        <v>16266</v>
      </c>
      <c r="H2399" t="s">
        <v>16250</v>
      </c>
      <c r="I2399" t="s">
        <v>16346</v>
      </c>
      <c r="J2399" t="s">
        <v>16385</v>
      </c>
      <c r="K2399">
        <v>0.201</v>
      </c>
      <c r="L2399">
        <v>8740</v>
      </c>
      <c r="M2399">
        <v>2019</v>
      </c>
      <c r="N2399" t="s">
        <v>16393</v>
      </c>
      <c r="O2399" s="4">
        <v>31284</v>
      </c>
      <c r="P2399" s="4">
        <v>101394</v>
      </c>
      <c r="Q2399" s="4">
        <v>132678</v>
      </c>
      <c r="R2399" s="4">
        <v>398034</v>
      </c>
      <c r="S2399" t="s">
        <v>18725</v>
      </c>
      <c r="T2399" s="6">
        <v>34731</v>
      </c>
      <c r="U2399" s="4">
        <v>140000</v>
      </c>
      <c r="X2399" t="s">
        <v>3</v>
      </c>
      <c r="AA2399" s="5" t="str">
        <f>HYPERLINK("https://www.zillow.com/homes/1121-FOXWORTH-BLVD-LOMBARD-IL-60148_rb/","check listing")</f>
        <v>check listing</v>
      </c>
      <c r="AB2399" s="5" t="str">
        <f>HYPERLINK("https://propertylookup.dupagecounty.gov/Datalets/Datalet.aspx?UseSearch=no&amp;mode=sales&amp;pin=0524412002","sales record")</f>
        <v>sales record</v>
      </c>
      <c r="AC2399" t="s">
        <v>3</v>
      </c>
      <c r="AD2399">
        <v>41.848441</v>
      </c>
      <c r="AE2399">
        <v>-88.03816999999999</v>
      </c>
      <c r="AF2399" s="5" t="str">
        <f>HYPERLINK("https://www.google.com/maps/search/?api=1&amp;query=41.848441,-88.03817","map")</f>
        <v>map</v>
      </c>
    </row>
    <row r="2400" spans="1:32">
      <c r="A2400" t="s">
        <v>2450</v>
      </c>
      <c r="B2400" t="s">
        <v>9994</v>
      </c>
      <c r="C2400" t="s">
        <v>15435</v>
      </c>
      <c r="D2400" t="s">
        <v>16205</v>
      </c>
      <c r="E2400" t="s">
        <v>16218</v>
      </c>
      <c r="F2400" t="s">
        <v>16220</v>
      </c>
      <c r="G2400" t="s">
        <v>16266</v>
      </c>
      <c r="H2400" t="s">
        <v>16250</v>
      </c>
      <c r="I2400" t="s">
        <v>16346</v>
      </c>
      <c r="J2400" t="s">
        <v>16385</v>
      </c>
      <c r="K2400">
        <v>0.199</v>
      </c>
      <c r="L2400">
        <v>8661</v>
      </c>
      <c r="M2400">
        <v>1556</v>
      </c>
      <c r="N2400" t="s">
        <v>16393</v>
      </c>
      <c r="O2400" s="4">
        <v>31284</v>
      </c>
      <c r="P2400" s="4">
        <v>82635</v>
      </c>
      <c r="Q2400" s="4">
        <v>113919</v>
      </c>
      <c r="R2400" s="4">
        <v>341757</v>
      </c>
      <c r="S2400" t="s">
        <v>18726</v>
      </c>
      <c r="T2400" s="6">
        <v>29221</v>
      </c>
      <c r="U2400" s="4">
        <v>88000</v>
      </c>
      <c r="X2400" t="s">
        <v>3</v>
      </c>
      <c r="AA2400" s="5" t="str">
        <f>HYPERLINK("https://www.zillow.com/homes/1932-DOWNING-ST-LOMBARD-IL-60148_rb/","check listing")</f>
        <v>check listing</v>
      </c>
      <c r="AB2400" s="5" t="str">
        <f>HYPERLINK("https://propertylookup.dupagecounty.gov/Datalets/Datalet.aspx?UseSearch=no&amp;mode=sales&amp;pin=0524407003","sales record")</f>
        <v>sales record</v>
      </c>
      <c r="AC2400" t="s">
        <v>3</v>
      </c>
      <c r="AD2400">
        <v>41.846749</v>
      </c>
      <c r="AE2400">
        <v>-88.03778200000001</v>
      </c>
      <c r="AF2400" s="5" t="str">
        <f>HYPERLINK("https://www.google.com/maps/search/?api=1&amp;query=41.846749,-88.037782","map")</f>
        <v>map</v>
      </c>
    </row>
    <row r="2401" spans="1:32">
      <c r="A2401" t="s">
        <v>2451</v>
      </c>
      <c r="B2401" t="s">
        <v>9995</v>
      </c>
      <c r="C2401" t="s">
        <v>15435</v>
      </c>
      <c r="D2401" t="s">
        <v>16205</v>
      </c>
      <c r="E2401" t="s">
        <v>16218</v>
      </c>
      <c r="F2401" t="s">
        <v>16220</v>
      </c>
      <c r="G2401" t="s">
        <v>16266</v>
      </c>
      <c r="H2401" t="s">
        <v>16250</v>
      </c>
      <c r="I2401" t="s">
        <v>16346</v>
      </c>
      <c r="J2401" t="s">
        <v>16385</v>
      </c>
      <c r="K2401">
        <v>0.198</v>
      </c>
      <c r="L2401">
        <v>8621</v>
      </c>
      <c r="M2401">
        <v>1476</v>
      </c>
      <c r="N2401" t="s">
        <v>16393</v>
      </c>
      <c r="O2401" s="4">
        <v>31284</v>
      </c>
      <c r="P2401" s="4">
        <v>105718</v>
      </c>
      <c r="Q2401" s="4">
        <v>137002</v>
      </c>
      <c r="R2401" s="4">
        <v>411006</v>
      </c>
      <c r="S2401" t="s">
        <v>18727</v>
      </c>
      <c r="T2401" s="6">
        <v>37773</v>
      </c>
      <c r="U2401" s="4">
        <v>293500</v>
      </c>
      <c r="V2401" t="s">
        <v>23739</v>
      </c>
      <c r="W2401" t="s">
        <v>24874</v>
      </c>
      <c r="X2401" t="s">
        <v>3</v>
      </c>
      <c r="AA2401" s="5" t="str">
        <f>HYPERLINK("https://www.zillow.com/homes/1950-WITT-DR-LOMBARD-IL-60148_rb/","check listing")</f>
        <v>check listing</v>
      </c>
      <c r="AB2401" s="5" t="str">
        <f>HYPERLINK("https://propertylookup.dupagecounty.gov/Datalets/Datalet.aspx?UseSearch=no&amp;mode=sales&amp;pin=0524412011","sales record")</f>
        <v>sales record</v>
      </c>
      <c r="AC2401" t="s">
        <v>3</v>
      </c>
      <c r="AD2401">
        <v>41.848675</v>
      </c>
      <c r="AE2401">
        <v>-88.039666</v>
      </c>
      <c r="AF2401" s="5" t="str">
        <f>HYPERLINK("https://www.google.com/maps/search/?api=1&amp;query=41.848675,-88.039666","map")</f>
        <v>map</v>
      </c>
    </row>
    <row r="2402" spans="1:32">
      <c r="A2402" t="s">
        <v>2452</v>
      </c>
      <c r="B2402" t="s">
        <v>9996</v>
      </c>
      <c r="C2402" t="s">
        <v>15435</v>
      </c>
      <c r="D2402" t="s">
        <v>16205</v>
      </c>
      <c r="E2402" t="s">
        <v>16218</v>
      </c>
      <c r="F2402" t="s">
        <v>16220</v>
      </c>
      <c r="G2402" t="s">
        <v>16266</v>
      </c>
      <c r="H2402" t="s">
        <v>16250</v>
      </c>
      <c r="I2402" t="s">
        <v>16346</v>
      </c>
      <c r="J2402" t="s">
        <v>16385</v>
      </c>
      <c r="K2402">
        <v>0.198</v>
      </c>
      <c r="L2402">
        <v>8620</v>
      </c>
      <c r="M2402">
        <v>1452</v>
      </c>
      <c r="N2402" t="s">
        <v>16393</v>
      </c>
      <c r="O2402" s="4">
        <v>31284</v>
      </c>
      <c r="P2402" s="4">
        <v>131702</v>
      </c>
      <c r="Q2402" s="4">
        <v>162986</v>
      </c>
      <c r="R2402" s="4">
        <v>488958</v>
      </c>
      <c r="S2402" t="s">
        <v>18728</v>
      </c>
      <c r="T2402" s="6">
        <v>40238</v>
      </c>
      <c r="U2402" s="4">
        <v>308000</v>
      </c>
      <c r="V2402" t="s">
        <v>23739</v>
      </c>
      <c r="W2402" t="s">
        <v>24875</v>
      </c>
      <c r="X2402" t="s">
        <v>3</v>
      </c>
      <c r="AA2402" s="5" t="str">
        <f>HYPERLINK("https://www.zillow.com/homes/1930-WITT-DR-LOMBARD-IL-60148_rb/","check listing")</f>
        <v>check listing</v>
      </c>
      <c r="AB2402" s="5" t="str">
        <f>HYPERLINK("https://propertylookup.dupagecounty.gov/Datalets/Datalet.aspx?UseSearch=no&amp;mode=sales&amp;pin=0524412009","sales record")</f>
        <v>sales record</v>
      </c>
      <c r="AC2402" t="s">
        <v>3</v>
      </c>
      <c r="AD2402">
        <v>41.848735</v>
      </c>
      <c r="AE2402">
        <v>-88.039124</v>
      </c>
      <c r="AF2402" s="5" t="str">
        <f>HYPERLINK("https://www.google.com/maps/search/?api=1&amp;query=41.848735,-88.039124","map")</f>
        <v>map</v>
      </c>
    </row>
    <row r="2403" spans="1:32">
      <c r="A2403" t="s">
        <v>2453</v>
      </c>
      <c r="B2403" t="s">
        <v>9997</v>
      </c>
      <c r="C2403" t="s">
        <v>15445</v>
      </c>
      <c r="D2403" t="s">
        <v>16205</v>
      </c>
      <c r="E2403" t="s">
        <v>16218</v>
      </c>
      <c r="F2403" t="s">
        <v>16220</v>
      </c>
      <c r="G2403" t="s">
        <v>16266</v>
      </c>
      <c r="H2403" t="s">
        <v>16250</v>
      </c>
      <c r="I2403" t="s">
        <v>16346</v>
      </c>
      <c r="J2403" t="s">
        <v>16385</v>
      </c>
      <c r="K2403">
        <v>0.198</v>
      </c>
      <c r="L2403">
        <v>8619</v>
      </c>
      <c r="M2403">
        <v>1407</v>
      </c>
      <c r="N2403" t="s">
        <v>16393</v>
      </c>
      <c r="O2403" s="4">
        <v>31284</v>
      </c>
      <c r="P2403" s="4">
        <v>108086</v>
      </c>
      <c r="Q2403" s="4">
        <v>139370</v>
      </c>
      <c r="R2403" s="4">
        <v>418110</v>
      </c>
      <c r="S2403" t="s">
        <v>18729</v>
      </c>
      <c r="T2403" s="6">
        <v>44075</v>
      </c>
      <c r="U2403" s="4">
        <v>357000</v>
      </c>
      <c r="V2403" t="s">
        <v>23739</v>
      </c>
      <c r="W2403" t="s">
        <v>24876</v>
      </c>
      <c r="X2403" t="s">
        <v>3</v>
      </c>
      <c r="AA2403" s="5" t="str">
        <f>HYPERLINK("https://www.zillow.com/homes/1108-FOXWORTH-BLVD-LOMBARD-IL-601484833_rb/","check listing")</f>
        <v>check listing</v>
      </c>
      <c r="AB2403" s="5" t="str">
        <f>HYPERLINK("https://propertylookup.dupagecounty.gov/Datalets/Datalet.aspx?UseSearch=no&amp;mode=sales&amp;pin=0524402028","sales record")</f>
        <v>sales record</v>
      </c>
      <c r="AC2403" t="s">
        <v>3</v>
      </c>
      <c r="AD2403">
        <v>41.848241</v>
      </c>
      <c r="AE2403">
        <v>-88.036985</v>
      </c>
      <c r="AF2403" s="5" t="str">
        <f>HYPERLINK("https://www.google.com/maps/search/?api=1&amp;query=41.848241,-88.036985","map")</f>
        <v>map</v>
      </c>
    </row>
    <row r="2404" spans="1:32">
      <c r="A2404" t="s">
        <v>2454</v>
      </c>
      <c r="B2404" t="s">
        <v>9998</v>
      </c>
      <c r="C2404" t="s">
        <v>15445</v>
      </c>
      <c r="D2404" t="s">
        <v>16205</v>
      </c>
      <c r="E2404" t="s">
        <v>16218</v>
      </c>
      <c r="F2404" t="s">
        <v>16220</v>
      </c>
      <c r="G2404" t="s">
        <v>16266</v>
      </c>
      <c r="H2404" t="s">
        <v>16250</v>
      </c>
      <c r="I2404" t="s">
        <v>16346</v>
      </c>
      <c r="J2404" t="s">
        <v>16385</v>
      </c>
      <c r="K2404">
        <v>0.198</v>
      </c>
      <c r="L2404">
        <v>8618</v>
      </c>
      <c r="M2404">
        <v>1399</v>
      </c>
      <c r="N2404" t="s">
        <v>16393</v>
      </c>
      <c r="O2404" s="4">
        <v>31284</v>
      </c>
      <c r="P2404" s="4">
        <v>108275</v>
      </c>
      <c r="Q2404" s="4">
        <v>139559</v>
      </c>
      <c r="R2404" s="4">
        <v>418677</v>
      </c>
      <c r="S2404" t="s">
        <v>18730</v>
      </c>
      <c r="T2404" s="6">
        <v>44197</v>
      </c>
      <c r="U2404" s="4">
        <v>370000</v>
      </c>
      <c r="V2404" t="s">
        <v>23739</v>
      </c>
      <c r="W2404" t="s">
        <v>18730</v>
      </c>
      <c r="X2404" t="s">
        <v>3</v>
      </c>
      <c r="AA2404" s="5" t="str">
        <f>HYPERLINK("https://www.zillow.com/homes/1112-FOXWORTH-BLVD-LOMBARD-IL-601484833_rb/","check listing")</f>
        <v>check listing</v>
      </c>
      <c r="AB2404" s="5" t="str">
        <f>HYPERLINK("https://propertylookup.dupagecounty.gov/Datalets/Datalet.aspx?UseSearch=no&amp;mode=sales&amp;pin=0524402027","sales record")</f>
        <v>sales record</v>
      </c>
      <c r="AC2404" t="s">
        <v>3</v>
      </c>
      <c r="AD2404">
        <v>41.848424</v>
      </c>
      <c r="AE2404">
        <v>-88.03721299999999</v>
      </c>
      <c r="AF2404" s="5" t="str">
        <f>HYPERLINK("https://www.google.com/maps/search/?api=1&amp;query=41.848424,-88.037213","map")</f>
        <v>map</v>
      </c>
    </row>
    <row r="2405" spans="1:32">
      <c r="A2405" t="s">
        <v>2455</v>
      </c>
      <c r="B2405" t="s">
        <v>9999</v>
      </c>
      <c r="C2405" t="s">
        <v>15435</v>
      </c>
      <c r="D2405" t="s">
        <v>16205</v>
      </c>
      <c r="E2405" t="s">
        <v>16218</v>
      </c>
      <c r="F2405" t="s">
        <v>16220</v>
      </c>
      <c r="G2405" t="s">
        <v>16266</v>
      </c>
      <c r="H2405" t="s">
        <v>16250</v>
      </c>
      <c r="I2405" t="s">
        <v>16346</v>
      </c>
      <c r="J2405" t="s">
        <v>16385</v>
      </c>
      <c r="K2405">
        <v>0.198</v>
      </c>
      <c r="L2405">
        <v>8617</v>
      </c>
      <c r="M2405">
        <v>1520</v>
      </c>
      <c r="N2405" t="s">
        <v>16393</v>
      </c>
      <c r="O2405" s="4">
        <v>31284</v>
      </c>
      <c r="P2405" s="4">
        <v>118114</v>
      </c>
      <c r="Q2405" s="4">
        <v>149398</v>
      </c>
      <c r="R2405" s="4">
        <v>448194</v>
      </c>
      <c r="S2405" t="s">
        <v>18731</v>
      </c>
      <c r="T2405" s="6">
        <v>33390</v>
      </c>
      <c r="U2405" s="4">
        <v>156500</v>
      </c>
      <c r="X2405" t="s">
        <v>3</v>
      </c>
      <c r="AA2405" s="5" t="str">
        <f>HYPERLINK("https://www.zillow.com/homes/1940-WITT-DR-LOMBARD-IL-60148_rb/","check listing")</f>
        <v>check listing</v>
      </c>
      <c r="AB2405" s="5" t="str">
        <f>HYPERLINK("https://propertylookup.dupagecounty.gov/Datalets/Datalet.aspx?UseSearch=no&amp;mode=sales&amp;pin=0524412010","sales record")</f>
        <v>sales record</v>
      </c>
      <c r="AC2405" t="s">
        <v>3</v>
      </c>
      <c r="AD2405">
        <v>41.848702</v>
      </c>
      <c r="AE2405">
        <v>-88.03944199999999</v>
      </c>
      <c r="AF2405" s="5" t="str">
        <f>HYPERLINK("https://www.google.com/maps/search/?api=1&amp;query=41.848702,-88.039442","map")</f>
        <v>map</v>
      </c>
    </row>
    <row r="2406" spans="1:32">
      <c r="A2406" t="s">
        <v>2456</v>
      </c>
      <c r="B2406" t="s">
        <v>10000</v>
      </c>
      <c r="C2406" t="s">
        <v>15435</v>
      </c>
      <c r="D2406" t="s">
        <v>16205</v>
      </c>
      <c r="E2406" t="s">
        <v>16218</v>
      </c>
      <c r="F2406" t="s">
        <v>16220</v>
      </c>
      <c r="G2406" t="s">
        <v>16266</v>
      </c>
      <c r="H2406" t="s">
        <v>16250</v>
      </c>
      <c r="I2406" t="s">
        <v>16346</v>
      </c>
      <c r="J2406" t="s">
        <v>16385</v>
      </c>
      <c r="K2406">
        <v>0.196</v>
      </c>
      <c r="L2406">
        <v>8544</v>
      </c>
      <c r="M2406">
        <v>1426</v>
      </c>
      <c r="N2406" t="s">
        <v>16393</v>
      </c>
      <c r="O2406" s="4">
        <v>31284</v>
      </c>
      <c r="P2406" s="4">
        <v>93122</v>
      </c>
      <c r="Q2406" s="4">
        <v>124406</v>
      </c>
      <c r="R2406" s="4">
        <v>373218</v>
      </c>
      <c r="S2406" t="s">
        <v>18732</v>
      </c>
      <c r="T2406" s="6">
        <v>34425</v>
      </c>
      <c r="U2406" s="4">
        <v>159000</v>
      </c>
      <c r="X2406" t="s">
        <v>3</v>
      </c>
      <c r="AA2406" s="5" t="str">
        <f>HYPERLINK("https://www.zillow.com/homes/2050-VALLEY-RD-LOMBARD-IL-60148_rb/","check listing")</f>
        <v>check listing</v>
      </c>
      <c r="AB2406" s="5" t="str">
        <f>HYPERLINK("https://propertylookup.dupagecounty.gov/Datalets/Datalet.aspx?UseSearch=no&amp;mode=sales&amp;pin=0524412023","sales record")</f>
        <v>sales record</v>
      </c>
      <c r="AC2406" t="s">
        <v>3</v>
      </c>
      <c r="AD2406">
        <v>41.846281</v>
      </c>
      <c r="AE2406">
        <v>-88.040846</v>
      </c>
      <c r="AF2406" s="5" t="str">
        <f>HYPERLINK("https://www.google.com/maps/search/?api=1&amp;query=41.846281,-88.040846","map")</f>
        <v>map</v>
      </c>
    </row>
    <row r="2407" spans="1:32">
      <c r="A2407" t="s">
        <v>2457</v>
      </c>
      <c r="B2407" t="s">
        <v>10001</v>
      </c>
      <c r="C2407" t="s">
        <v>15448</v>
      </c>
      <c r="D2407" t="s">
        <v>16205</v>
      </c>
      <c r="E2407" t="s">
        <v>16218</v>
      </c>
      <c r="F2407" t="s">
        <v>16220</v>
      </c>
      <c r="G2407" t="s">
        <v>16266</v>
      </c>
      <c r="H2407" t="s">
        <v>16250</v>
      </c>
      <c r="I2407" t="s">
        <v>16346</v>
      </c>
      <c r="J2407" t="s">
        <v>16385</v>
      </c>
      <c r="K2407">
        <v>0.196</v>
      </c>
      <c r="L2407">
        <v>8531</v>
      </c>
      <c r="M2407">
        <v>1544</v>
      </c>
      <c r="N2407" t="s">
        <v>16393</v>
      </c>
      <c r="O2407" s="4">
        <v>31284</v>
      </c>
      <c r="P2407" s="4">
        <v>80384</v>
      </c>
      <c r="Q2407" s="4">
        <v>111668</v>
      </c>
      <c r="R2407" s="4">
        <v>335004</v>
      </c>
      <c r="S2407" t="s">
        <v>18733</v>
      </c>
      <c r="T2407" s="6">
        <v>43282</v>
      </c>
      <c r="U2407" s="4">
        <v>260000</v>
      </c>
      <c r="V2407" t="s">
        <v>23739</v>
      </c>
      <c r="W2407" t="s">
        <v>18733</v>
      </c>
      <c r="X2407" t="s">
        <v>3</v>
      </c>
      <c r="AA2407" s="5" t="str">
        <f>HYPERLINK("https://www.zillow.com/homes/1900-DOWNING-ST-LOMBARD-IL-601484812_rb/","check listing")</f>
        <v>check listing</v>
      </c>
      <c r="AB2407" s="5" t="str">
        <f>HYPERLINK("https://propertylookup.dupagecounty.gov/Datalets/Datalet.aspx?UseSearch=no&amp;mode=sales&amp;pin=0524407001","sales record")</f>
        <v>sales record</v>
      </c>
      <c r="AC2407" t="s">
        <v>3</v>
      </c>
      <c r="AD2407">
        <v>41.847059</v>
      </c>
      <c r="AE2407">
        <v>-88.03815899999999</v>
      </c>
      <c r="AF2407" s="5" t="str">
        <f>HYPERLINK("https://www.google.com/maps/search/?api=1&amp;query=41.847059,-88.038159","map")</f>
        <v>map</v>
      </c>
    </row>
    <row r="2408" spans="1:32">
      <c r="A2408" t="s">
        <v>2458</v>
      </c>
      <c r="B2408" t="s">
        <v>10002</v>
      </c>
      <c r="C2408" t="s">
        <v>15447</v>
      </c>
      <c r="D2408" t="s">
        <v>16205</v>
      </c>
      <c r="E2408" t="s">
        <v>16218</v>
      </c>
      <c r="F2408" t="s">
        <v>16220</v>
      </c>
      <c r="G2408" t="s">
        <v>16266</v>
      </c>
      <c r="H2408" t="s">
        <v>16250</v>
      </c>
      <c r="I2408" t="s">
        <v>16346</v>
      </c>
      <c r="J2408" t="s">
        <v>16385</v>
      </c>
      <c r="K2408">
        <v>0.195</v>
      </c>
      <c r="L2408">
        <v>8501</v>
      </c>
      <c r="M2408">
        <v>1489</v>
      </c>
      <c r="N2408" t="s">
        <v>16393</v>
      </c>
      <c r="O2408" s="4">
        <v>31284</v>
      </c>
      <c r="P2408" s="4">
        <v>94972</v>
      </c>
      <c r="Q2408" s="4">
        <v>126256</v>
      </c>
      <c r="R2408" s="4">
        <v>378768</v>
      </c>
      <c r="S2408" t="s">
        <v>18734</v>
      </c>
      <c r="T2408" s="6">
        <v>44044</v>
      </c>
      <c r="U2408" s="4">
        <v>359000</v>
      </c>
      <c r="V2408" t="s">
        <v>23739</v>
      </c>
      <c r="W2408" t="s">
        <v>24877</v>
      </c>
      <c r="X2408" t="s">
        <v>3</v>
      </c>
      <c r="AA2408" s="5" t="str">
        <f>HYPERLINK("https://www.zillow.com/homes/2010-S-VALLEY-RD-LOMBARD-IL-601484271_rb/","check listing")</f>
        <v>check listing</v>
      </c>
      <c r="AB2408" s="5" t="str">
        <f>HYPERLINK("https://propertylookup.dupagecounty.gov/Datalets/Datalet.aspx?UseSearch=no&amp;mode=sales&amp;pin=0524412019","sales record")</f>
        <v>sales record</v>
      </c>
      <c r="AC2408" t="s">
        <v>3</v>
      </c>
      <c r="AD2408">
        <v>41.846967</v>
      </c>
      <c r="AE2408">
        <v>-88.040616</v>
      </c>
      <c r="AF2408" s="5" t="str">
        <f>HYPERLINK("https://www.google.com/maps/search/?api=1&amp;query=41.846967,-88.040616","map")</f>
        <v>map</v>
      </c>
    </row>
    <row r="2409" spans="1:32">
      <c r="A2409" t="s">
        <v>2459</v>
      </c>
      <c r="B2409" t="s">
        <v>10003</v>
      </c>
      <c r="C2409" t="s">
        <v>15435</v>
      </c>
      <c r="D2409" t="s">
        <v>16205</v>
      </c>
      <c r="E2409" t="s">
        <v>16218</v>
      </c>
      <c r="F2409" t="s">
        <v>16220</v>
      </c>
      <c r="G2409" t="s">
        <v>16254</v>
      </c>
      <c r="H2409" t="s">
        <v>16254</v>
      </c>
      <c r="I2409" t="s">
        <v>16346</v>
      </c>
      <c r="J2409" t="s">
        <v>16385</v>
      </c>
      <c r="K2409">
        <v>0.195</v>
      </c>
      <c r="L2409">
        <v>8500</v>
      </c>
      <c r="M2409">
        <v>1094</v>
      </c>
      <c r="N2409" t="s">
        <v>16393</v>
      </c>
      <c r="O2409" s="4">
        <v>21240</v>
      </c>
      <c r="P2409" s="4">
        <v>84249</v>
      </c>
      <c r="Q2409" s="4">
        <v>105489</v>
      </c>
      <c r="R2409" s="4">
        <v>316467</v>
      </c>
      <c r="S2409" t="s">
        <v>18735</v>
      </c>
      <c r="T2409" s="6">
        <v>38261</v>
      </c>
      <c r="U2409" s="4">
        <v>200000</v>
      </c>
      <c r="V2409" t="s">
        <v>23739</v>
      </c>
      <c r="W2409" t="s">
        <v>24878</v>
      </c>
      <c r="X2409" t="s">
        <v>3</v>
      </c>
      <c r="AA2409" s="5" t="str">
        <f>HYPERLINK("https://www.zillow.com/homes/310-W-ST-CHARLES-RD-LOMBARD-IL-60148_rb/","check listing")</f>
        <v>check listing</v>
      </c>
      <c r="AB2409" s="5" t="str">
        <f>HYPERLINK("https://propertylookup.dupagecounty.gov/Datalets/Datalet.aspx?UseSearch=no&amp;mode=sales&amp;pin=0607202035","sales record")</f>
        <v>sales record</v>
      </c>
      <c r="AC2409" t="s">
        <v>3</v>
      </c>
      <c r="AD2409">
        <v>41.886127</v>
      </c>
      <c r="AE2409">
        <v>-88.02467300000001</v>
      </c>
      <c r="AF2409" s="5" t="str">
        <f>HYPERLINK("https://www.google.com/maps/search/?api=1&amp;query=41.886127,-88.024673","map")</f>
        <v>map</v>
      </c>
    </row>
    <row r="2410" spans="1:32">
      <c r="A2410" t="s">
        <v>2460</v>
      </c>
      <c r="B2410" t="s">
        <v>10004</v>
      </c>
      <c r="C2410" t="s">
        <v>15449</v>
      </c>
      <c r="D2410" t="s">
        <v>16205</v>
      </c>
      <c r="E2410" t="s">
        <v>16218</v>
      </c>
      <c r="F2410" t="s">
        <v>16220</v>
      </c>
      <c r="G2410" t="s">
        <v>16254</v>
      </c>
      <c r="H2410" t="s">
        <v>16254</v>
      </c>
      <c r="I2410" t="s">
        <v>16346</v>
      </c>
      <c r="J2410" t="s">
        <v>16385</v>
      </c>
      <c r="K2410">
        <v>0.195</v>
      </c>
      <c r="L2410">
        <v>8500</v>
      </c>
      <c r="M2410">
        <v>1425</v>
      </c>
      <c r="N2410" t="s">
        <v>16393</v>
      </c>
      <c r="O2410" s="4">
        <v>21077</v>
      </c>
      <c r="P2410" s="4">
        <v>115416</v>
      </c>
      <c r="Q2410" s="4">
        <v>136493</v>
      </c>
      <c r="R2410" s="4">
        <v>409479</v>
      </c>
      <c r="S2410" t="s">
        <v>18736</v>
      </c>
      <c r="T2410" s="6">
        <v>45252</v>
      </c>
      <c r="U2410" s="4">
        <v>449000</v>
      </c>
      <c r="V2410" t="s">
        <v>23739</v>
      </c>
      <c r="W2410" t="s">
        <v>24879</v>
      </c>
      <c r="X2410" t="s">
        <v>3</v>
      </c>
      <c r="AA2410" s="5" t="str">
        <f>HYPERLINK("https://www.zillow.com/homes/302-W-SAINT-CHARLES-RD-LOMBARD-IL-601482235_rb/","check listing")</f>
        <v>check listing</v>
      </c>
      <c r="AB2410" s="5" t="str">
        <f>HYPERLINK("https://propertylookup.dupagecounty.gov/Datalets/Datalet.aspx?UseSearch=no&amp;mode=sales&amp;pin=0607202042","sales record")</f>
        <v>sales record</v>
      </c>
      <c r="AC2410" t="s">
        <v>3</v>
      </c>
      <c r="AD2410">
        <v>41.886209</v>
      </c>
      <c r="AE2410">
        <v>-88.024323</v>
      </c>
      <c r="AF2410" s="5" t="str">
        <f>HYPERLINK("https://www.google.com/maps/search/?api=1&amp;query=41.886209,-88.024323","map")</f>
        <v>map</v>
      </c>
    </row>
    <row r="2411" spans="1:32">
      <c r="A2411" t="s">
        <v>2461</v>
      </c>
      <c r="B2411" t="s">
        <v>10005</v>
      </c>
      <c r="C2411" t="s">
        <v>15435</v>
      </c>
      <c r="D2411" t="s">
        <v>16205</v>
      </c>
      <c r="E2411" t="s">
        <v>16218</v>
      </c>
      <c r="F2411" t="s">
        <v>16220</v>
      </c>
      <c r="G2411" t="s">
        <v>16254</v>
      </c>
      <c r="H2411" t="s">
        <v>16254</v>
      </c>
      <c r="I2411" t="s">
        <v>16346</v>
      </c>
      <c r="J2411" t="s">
        <v>16385</v>
      </c>
      <c r="K2411">
        <v>0.195</v>
      </c>
      <c r="L2411">
        <v>8496</v>
      </c>
      <c r="M2411">
        <v>1065</v>
      </c>
      <c r="N2411" t="s">
        <v>16393</v>
      </c>
      <c r="O2411" s="4">
        <v>21240</v>
      </c>
      <c r="P2411" s="4">
        <v>103903</v>
      </c>
      <c r="Q2411" s="4">
        <v>125143</v>
      </c>
      <c r="R2411" s="4">
        <v>375429</v>
      </c>
      <c r="S2411" t="s">
        <v>18737</v>
      </c>
      <c r="T2411" s="6">
        <v>37316</v>
      </c>
      <c r="U2411" s="4">
        <v>156000</v>
      </c>
      <c r="V2411" t="s">
        <v>23739</v>
      </c>
      <c r="W2411" t="s">
        <v>24880</v>
      </c>
      <c r="X2411" t="s">
        <v>3</v>
      </c>
      <c r="AA2411" s="5" t="str">
        <f>HYPERLINK("https://www.zillow.com/homes/306-W-ST-CHARLES-RD-LOMBARD-IL-60148_rb/","check listing")</f>
        <v>check listing</v>
      </c>
      <c r="AB2411" s="5" t="str">
        <f>HYPERLINK("https://propertylookup.dupagecounty.gov/Datalets/Datalet.aspx?UseSearch=no&amp;mode=sales&amp;pin=0607202036","sales record")</f>
        <v>sales record</v>
      </c>
      <c r="AC2411" t="s">
        <v>3</v>
      </c>
      <c r="AD2411">
        <v>41.886168</v>
      </c>
      <c r="AE2411">
        <v>-88.02449799999999</v>
      </c>
      <c r="AF2411" s="5" t="str">
        <f>HYPERLINK("https://www.google.com/maps/search/?api=1&amp;query=41.886168,-88.024498","map")</f>
        <v>map</v>
      </c>
    </row>
    <row r="2412" spans="1:32">
      <c r="A2412" t="s">
        <v>2462</v>
      </c>
      <c r="B2412" t="s">
        <v>10006</v>
      </c>
      <c r="C2412" t="s">
        <v>15435</v>
      </c>
      <c r="D2412" t="s">
        <v>16205</v>
      </c>
      <c r="E2412" t="s">
        <v>16218</v>
      </c>
      <c r="F2412" t="s">
        <v>16220</v>
      </c>
      <c r="G2412" t="s">
        <v>16266</v>
      </c>
      <c r="H2412" t="s">
        <v>16250</v>
      </c>
      <c r="I2412" t="s">
        <v>16346</v>
      </c>
      <c r="J2412" t="s">
        <v>16385</v>
      </c>
      <c r="K2412">
        <v>0.195</v>
      </c>
      <c r="L2412">
        <v>8473</v>
      </c>
      <c r="M2412">
        <v>1499</v>
      </c>
      <c r="N2412" t="s">
        <v>16393</v>
      </c>
      <c r="O2412" s="4">
        <v>31284</v>
      </c>
      <c r="P2412" s="4">
        <v>108065</v>
      </c>
      <c r="Q2412" s="4">
        <v>139349</v>
      </c>
      <c r="R2412" s="4">
        <v>418047</v>
      </c>
      <c r="S2412" t="s">
        <v>18738</v>
      </c>
      <c r="T2412" s="6">
        <v>45271</v>
      </c>
      <c r="U2412" s="4">
        <v>441000</v>
      </c>
      <c r="V2412" t="s">
        <v>23739</v>
      </c>
      <c r="W2412" t="s">
        <v>24881</v>
      </c>
      <c r="X2412" t="s">
        <v>3</v>
      </c>
      <c r="AA2412" s="5" t="str">
        <f>HYPERLINK("https://www.zillow.com/homes/1980-WITT-CT-LOMBARD-IL-60148_rb/","check listing")</f>
        <v>check listing</v>
      </c>
      <c r="AB2412" s="5" t="str">
        <f>HYPERLINK("https://propertylookup.dupagecounty.gov/Datalets/Datalet.aspx?UseSearch=no&amp;mode=sales&amp;pin=0524412014","sales record")</f>
        <v>sales record</v>
      </c>
      <c r="AC2412" t="s">
        <v>3</v>
      </c>
      <c r="AD2412">
        <v>41.848029</v>
      </c>
      <c r="AE2412">
        <v>-88.03939800000001</v>
      </c>
      <c r="AF2412" s="5" t="str">
        <f>HYPERLINK("https://www.google.com/maps/search/?api=1&amp;query=41.848029,-88.039398","map")</f>
        <v>map</v>
      </c>
    </row>
    <row r="2413" spans="1:32">
      <c r="A2413" t="s">
        <v>2463</v>
      </c>
      <c r="B2413" t="s">
        <v>10007</v>
      </c>
      <c r="C2413" t="s">
        <v>15435</v>
      </c>
      <c r="D2413" t="s">
        <v>16205</v>
      </c>
      <c r="E2413" t="s">
        <v>16218</v>
      </c>
      <c r="F2413" t="s">
        <v>16220</v>
      </c>
      <c r="G2413" t="s">
        <v>16266</v>
      </c>
      <c r="H2413" t="s">
        <v>16250</v>
      </c>
      <c r="I2413" t="s">
        <v>16346</v>
      </c>
      <c r="J2413" t="s">
        <v>16385</v>
      </c>
      <c r="K2413">
        <v>0.194</v>
      </c>
      <c r="L2413">
        <v>8447</v>
      </c>
      <c r="M2413">
        <v>1343</v>
      </c>
      <c r="N2413" t="s">
        <v>16393</v>
      </c>
      <c r="O2413" s="4">
        <v>31284</v>
      </c>
      <c r="P2413" s="4">
        <v>102713</v>
      </c>
      <c r="Q2413" s="4">
        <v>133997</v>
      </c>
      <c r="R2413" s="4">
        <v>401991</v>
      </c>
      <c r="S2413" t="s">
        <v>18739</v>
      </c>
      <c r="T2413" s="6">
        <v>33664</v>
      </c>
      <c r="U2413" s="4">
        <v>183500</v>
      </c>
      <c r="X2413" t="s">
        <v>3</v>
      </c>
      <c r="AA2413" s="5" t="str">
        <f>HYPERLINK("https://www.zillow.com/homes/1970-WITT-DR-LOMBARD-IL-60148_rb/","check listing")</f>
        <v>check listing</v>
      </c>
      <c r="AB2413" s="5" t="str">
        <f>HYPERLINK("https://propertylookup.dupagecounty.gov/Datalets/Datalet.aspx?UseSearch=no&amp;mode=sales&amp;pin=0524412013","sales record")</f>
        <v>sales record</v>
      </c>
      <c r="AC2413" t="s">
        <v>3</v>
      </c>
      <c r="AD2413">
        <v>41.848196</v>
      </c>
      <c r="AE2413">
        <v>-88.039485</v>
      </c>
      <c r="AF2413" s="5" t="str">
        <f>HYPERLINK("https://www.google.com/maps/search/?api=1&amp;query=41.848196,-88.039485","map")</f>
        <v>map</v>
      </c>
    </row>
    <row r="2414" spans="1:32">
      <c r="A2414" t="s">
        <v>2464</v>
      </c>
      <c r="B2414" t="s">
        <v>10008</v>
      </c>
      <c r="C2414" t="s">
        <v>15450</v>
      </c>
      <c r="D2414" t="s">
        <v>16205</v>
      </c>
      <c r="E2414" t="s">
        <v>16218</v>
      </c>
      <c r="F2414" t="s">
        <v>16220</v>
      </c>
      <c r="G2414" t="s">
        <v>16266</v>
      </c>
      <c r="H2414" t="s">
        <v>16250</v>
      </c>
      <c r="I2414" t="s">
        <v>16346</v>
      </c>
      <c r="J2414" t="s">
        <v>16385</v>
      </c>
      <c r="K2414">
        <v>0.193</v>
      </c>
      <c r="L2414">
        <v>8402</v>
      </c>
      <c r="M2414">
        <v>1312</v>
      </c>
      <c r="N2414" t="s">
        <v>16393</v>
      </c>
      <c r="O2414" s="4">
        <v>31284</v>
      </c>
      <c r="P2414" s="4">
        <v>109323</v>
      </c>
      <c r="Q2414" s="4">
        <v>140607</v>
      </c>
      <c r="R2414" s="4">
        <v>421821</v>
      </c>
      <c r="S2414" t="s">
        <v>18740</v>
      </c>
      <c r="T2414" s="6">
        <v>43405</v>
      </c>
      <c r="U2414" s="4">
        <v>333000</v>
      </c>
      <c r="V2414" t="s">
        <v>23740</v>
      </c>
      <c r="W2414" t="s">
        <v>18740</v>
      </c>
      <c r="X2414" t="s">
        <v>3</v>
      </c>
      <c r="AA2414" s="5" t="str">
        <f>HYPERLINK("https://www.zillow.com/homes/1099-FOXWORTH-BLVD-LOMBARD-IL-601484817_rb/","check listing")</f>
        <v>check listing</v>
      </c>
      <c r="AB2414" s="5" t="str">
        <f>HYPERLINK("https://propertylookup.dupagecounty.gov/Datalets/Datalet.aspx?UseSearch=no&amp;mode=sales&amp;pin=0524403014","sales record")</f>
        <v>sales record</v>
      </c>
      <c r="AC2414" t="s">
        <v>3</v>
      </c>
      <c r="AD2414">
        <v>41.847338</v>
      </c>
      <c r="AE2414">
        <v>-88.03723100000001</v>
      </c>
      <c r="AF2414" s="5" t="str">
        <f>HYPERLINK("https://www.google.com/maps/search/?api=1&amp;query=41.847338,-88.037231","map")</f>
        <v>map</v>
      </c>
    </row>
    <row r="2415" spans="1:32">
      <c r="A2415" t="s">
        <v>2465</v>
      </c>
      <c r="B2415" t="s">
        <v>10009</v>
      </c>
      <c r="C2415" t="s">
        <v>15435</v>
      </c>
      <c r="D2415" t="s">
        <v>16205</v>
      </c>
      <c r="E2415" t="s">
        <v>16218</v>
      </c>
      <c r="F2415" t="s">
        <v>16220</v>
      </c>
      <c r="G2415" t="s">
        <v>16266</v>
      </c>
      <c r="H2415" t="s">
        <v>16250</v>
      </c>
      <c r="I2415" t="s">
        <v>16346</v>
      </c>
      <c r="J2415" t="s">
        <v>16385</v>
      </c>
      <c r="K2415">
        <v>0.191</v>
      </c>
      <c r="L2415">
        <v>8299</v>
      </c>
      <c r="M2415">
        <v>1643</v>
      </c>
      <c r="N2415" t="s">
        <v>16393</v>
      </c>
      <c r="O2415" s="4">
        <v>31284</v>
      </c>
      <c r="P2415" s="4">
        <v>82635</v>
      </c>
      <c r="Q2415" s="4">
        <v>113919</v>
      </c>
      <c r="R2415" s="4">
        <v>341757</v>
      </c>
      <c r="S2415" t="s">
        <v>18741</v>
      </c>
      <c r="T2415" s="6">
        <v>31959</v>
      </c>
      <c r="U2415" s="4">
        <v>118900</v>
      </c>
      <c r="X2415" t="s">
        <v>3</v>
      </c>
      <c r="AA2415" s="5" t="str">
        <f>HYPERLINK("https://www.zillow.com/homes/1057-BEVERLY-CT-LOMBARD-IL-60148_rb/","check listing")</f>
        <v>check listing</v>
      </c>
      <c r="AB2415" s="5" t="str">
        <f>HYPERLINK("https://propertylookup.dupagecounty.gov/Datalets/Datalet.aspx?UseSearch=no&amp;mode=sales&amp;pin=0524403032","sales record")</f>
        <v>sales record</v>
      </c>
      <c r="AC2415" t="s">
        <v>3</v>
      </c>
      <c r="AD2415">
        <v>41.846232</v>
      </c>
      <c r="AE2415">
        <v>-88.03528799999999</v>
      </c>
      <c r="AF2415" s="5" t="str">
        <f>HYPERLINK("https://www.google.com/maps/search/?api=1&amp;query=41.846232,-88.035288","map")</f>
        <v>map</v>
      </c>
    </row>
    <row r="2416" spans="1:32">
      <c r="A2416" t="s">
        <v>2466</v>
      </c>
      <c r="B2416" t="s">
        <v>10010</v>
      </c>
      <c r="C2416" t="s">
        <v>15435</v>
      </c>
      <c r="D2416" t="s">
        <v>16205</v>
      </c>
      <c r="E2416" t="s">
        <v>16218</v>
      </c>
      <c r="F2416" t="s">
        <v>16220</v>
      </c>
      <c r="G2416" t="s">
        <v>16266</v>
      </c>
      <c r="H2416" t="s">
        <v>16250</v>
      </c>
      <c r="I2416" t="s">
        <v>16346</v>
      </c>
      <c r="J2416" t="s">
        <v>16385</v>
      </c>
      <c r="K2416">
        <v>0.19</v>
      </c>
      <c r="L2416">
        <v>8296</v>
      </c>
      <c r="M2416">
        <v>1366</v>
      </c>
      <c r="N2416" t="s">
        <v>16393</v>
      </c>
      <c r="O2416" s="4">
        <v>31284</v>
      </c>
      <c r="P2416" s="4">
        <v>97894</v>
      </c>
      <c r="Q2416" s="4">
        <v>129178</v>
      </c>
      <c r="R2416" s="4">
        <v>387534</v>
      </c>
      <c r="S2416" t="s">
        <v>18742</v>
      </c>
      <c r="T2416" s="6">
        <v>33848</v>
      </c>
      <c r="U2416" s="4">
        <v>160000</v>
      </c>
      <c r="X2416" t="s">
        <v>3</v>
      </c>
      <c r="AA2416" s="5" t="str">
        <f>HYPERLINK("https://www.zillow.com/homes/1900-VALLEY-RD-LOMBARD-IL-60148_rb/","check listing")</f>
        <v>check listing</v>
      </c>
      <c r="AB2416" s="5" t="str">
        <f>HYPERLINK("https://propertylookup.dupagecounty.gov/Datalets/Datalet.aspx?UseSearch=no&amp;mode=sales&amp;pin=0524412003","sales record")</f>
        <v>sales record</v>
      </c>
      <c r="AC2416" t="s">
        <v>3</v>
      </c>
      <c r="AD2416">
        <v>41.848254</v>
      </c>
      <c r="AE2416">
        <v>-88.038042</v>
      </c>
      <c r="AF2416" s="5" t="str">
        <f>HYPERLINK("https://www.google.com/maps/search/?api=1&amp;query=41.848254,-88.038042","map")</f>
        <v>map</v>
      </c>
    </row>
    <row r="2417" spans="1:32">
      <c r="A2417" t="s">
        <v>2467</v>
      </c>
      <c r="B2417" t="s">
        <v>10011</v>
      </c>
      <c r="C2417" t="s">
        <v>15435</v>
      </c>
      <c r="D2417" t="s">
        <v>16205</v>
      </c>
      <c r="E2417" t="s">
        <v>16218</v>
      </c>
      <c r="F2417" t="s">
        <v>16220</v>
      </c>
      <c r="G2417" t="s">
        <v>16250</v>
      </c>
      <c r="H2417" t="s">
        <v>16250</v>
      </c>
      <c r="I2417" t="s">
        <v>16346</v>
      </c>
      <c r="J2417" t="s">
        <v>16385</v>
      </c>
      <c r="K2417">
        <v>0.19</v>
      </c>
      <c r="L2417">
        <v>8265</v>
      </c>
      <c r="M2417">
        <v>1710</v>
      </c>
      <c r="N2417" t="s">
        <v>16393</v>
      </c>
      <c r="O2417" s="4">
        <v>23328</v>
      </c>
      <c r="P2417" s="4">
        <v>93907</v>
      </c>
      <c r="Q2417" s="4">
        <v>117235</v>
      </c>
      <c r="R2417" s="4">
        <v>351705</v>
      </c>
      <c r="S2417" t="s">
        <v>18743</v>
      </c>
      <c r="T2417" s="6">
        <v>38777</v>
      </c>
      <c r="U2417" s="4">
        <v>303000</v>
      </c>
      <c r="V2417" t="s">
        <v>23739</v>
      </c>
      <c r="W2417" t="s">
        <v>24882</v>
      </c>
      <c r="X2417" t="s">
        <v>3</v>
      </c>
      <c r="AA2417" s="5" t="str">
        <f>HYPERLINK("https://www.zillow.com/homes/403-EDWARD-ST-LOMBARD-IL-60148_rb/","check listing")</f>
        <v>check listing</v>
      </c>
      <c r="AB2417" s="5" t="str">
        <f>HYPERLINK("https://propertylookup.dupagecounty.gov/Datalets/Datalet.aspx?UseSearch=no&amp;mode=sales&amp;pin=0618410008","sales record")</f>
        <v>sales record</v>
      </c>
      <c r="AC2417" t="s">
        <v>3</v>
      </c>
      <c r="AD2417">
        <v>41.862626</v>
      </c>
      <c r="AE2417">
        <v>-88.026162</v>
      </c>
      <c r="AF2417" s="5" t="str">
        <f>HYPERLINK("https://www.google.com/maps/search/?api=1&amp;query=41.862626,-88.026162","map")</f>
        <v>map</v>
      </c>
    </row>
    <row r="2418" spans="1:32">
      <c r="A2418" t="s">
        <v>2468</v>
      </c>
      <c r="B2418" t="s">
        <v>10012</v>
      </c>
      <c r="C2418" t="s">
        <v>15435</v>
      </c>
      <c r="D2418" t="s">
        <v>16205</v>
      </c>
      <c r="E2418" t="s">
        <v>16218</v>
      </c>
      <c r="F2418" t="s">
        <v>16220</v>
      </c>
      <c r="G2418" t="s">
        <v>16266</v>
      </c>
      <c r="H2418" t="s">
        <v>16250</v>
      </c>
      <c r="I2418" t="s">
        <v>16346</v>
      </c>
      <c r="J2418" t="s">
        <v>16385</v>
      </c>
      <c r="K2418">
        <v>0.19</v>
      </c>
      <c r="L2418">
        <v>8260</v>
      </c>
      <c r="M2418">
        <v>1749</v>
      </c>
      <c r="N2418" t="s">
        <v>16393</v>
      </c>
      <c r="O2418" s="4">
        <v>31284</v>
      </c>
      <c r="P2418" s="4">
        <v>84686</v>
      </c>
      <c r="Q2418" s="4">
        <v>115970</v>
      </c>
      <c r="R2418" s="4">
        <v>347910</v>
      </c>
      <c r="S2418" t="s">
        <v>18744</v>
      </c>
      <c r="T2418" s="6">
        <v>41760</v>
      </c>
      <c r="U2418" s="4">
        <v>240000</v>
      </c>
      <c r="V2418" t="s">
        <v>23739</v>
      </c>
      <c r="W2418" t="s">
        <v>24883</v>
      </c>
      <c r="X2418" t="s">
        <v>3</v>
      </c>
      <c r="AA2418" s="5" t="str">
        <f>HYPERLINK("https://www.zillow.com/homes/2151-S-LLOYD-AVE-LOMBARD-IL-60148_rb/","check listing")</f>
        <v>check listing</v>
      </c>
      <c r="AB2418" s="5" t="str">
        <f>HYPERLINK("https://propertylookup.dupagecounty.gov/Datalets/Datalet.aspx?UseSearch=no&amp;mode=sales&amp;pin=0524405002","sales record")</f>
        <v>sales record</v>
      </c>
      <c r="AC2418" t="s">
        <v>3</v>
      </c>
      <c r="AD2418">
        <v>41.845185</v>
      </c>
      <c r="AE2418">
        <v>-88.03381899999999</v>
      </c>
      <c r="AF2418" s="5" t="str">
        <f>HYPERLINK("https://www.google.com/maps/search/?api=1&amp;query=41.845185,-88.033819","map")</f>
        <v>map</v>
      </c>
    </row>
    <row r="2419" spans="1:32">
      <c r="A2419" t="s">
        <v>2469</v>
      </c>
      <c r="B2419" t="s">
        <v>10013</v>
      </c>
      <c r="C2419" t="s">
        <v>15435</v>
      </c>
      <c r="D2419" t="s">
        <v>16205</v>
      </c>
      <c r="E2419" t="s">
        <v>16218</v>
      </c>
      <c r="F2419" t="s">
        <v>16220</v>
      </c>
      <c r="G2419" t="s">
        <v>16250</v>
      </c>
      <c r="H2419" t="s">
        <v>16250</v>
      </c>
      <c r="I2419" t="s">
        <v>16346</v>
      </c>
      <c r="J2419" t="s">
        <v>16385</v>
      </c>
      <c r="K2419">
        <v>0.189</v>
      </c>
      <c r="L2419">
        <v>8253</v>
      </c>
      <c r="M2419">
        <v>1335</v>
      </c>
      <c r="N2419" t="s">
        <v>16393</v>
      </c>
      <c r="O2419" s="4">
        <v>23328</v>
      </c>
      <c r="P2419" s="4">
        <v>97254</v>
      </c>
      <c r="Q2419" s="4">
        <v>120582</v>
      </c>
      <c r="R2419" s="4">
        <v>361746</v>
      </c>
      <c r="S2419" t="s">
        <v>18745</v>
      </c>
      <c r="T2419" s="6">
        <v>36861</v>
      </c>
      <c r="U2419" s="4">
        <v>175000</v>
      </c>
      <c r="V2419" t="s">
        <v>23739</v>
      </c>
      <c r="W2419" t="s">
        <v>24884</v>
      </c>
      <c r="X2419" t="s">
        <v>3</v>
      </c>
      <c r="AA2419" s="5" t="str">
        <f>HYPERLINK("https://www.zillow.com/homes/1138-S-EDSON-ST-LOMBARD-IL-60148_rb/","check listing")</f>
        <v>check listing</v>
      </c>
      <c r="AB2419" s="5" t="str">
        <f>HYPERLINK("https://propertylookup.dupagecounty.gov/Datalets/Datalet.aspx?UseSearch=no&amp;mode=sales&amp;pin=0618410010","sales record")</f>
        <v>sales record</v>
      </c>
      <c r="AC2419" t="s">
        <v>3</v>
      </c>
      <c r="AD2419">
        <v>41.862213</v>
      </c>
      <c r="AE2419">
        <v>-88.02614199999999</v>
      </c>
      <c r="AF2419" s="5" t="str">
        <f>HYPERLINK("https://www.google.com/maps/search/?api=1&amp;query=41.862213,-88.026142","map")</f>
        <v>map</v>
      </c>
    </row>
    <row r="2420" spans="1:32">
      <c r="A2420" t="s">
        <v>2470</v>
      </c>
      <c r="B2420" t="s">
        <v>10014</v>
      </c>
      <c r="C2420" t="s">
        <v>15447</v>
      </c>
      <c r="D2420" t="s">
        <v>16205</v>
      </c>
      <c r="E2420" t="s">
        <v>16218</v>
      </c>
      <c r="F2420" t="s">
        <v>16220</v>
      </c>
      <c r="G2420" t="s">
        <v>16266</v>
      </c>
      <c r="H2420" t="s">
        <v>16250</v>
      </c>
      <c r="I2420" t="s">
        <v>16346</v>
      </c>
      <c r="J2420" t="s">
        <v>16385</v>
      </c>
      <c r="K2420">
        <v>0.188</v>
      </c>
      <c r="L2420">
        <v>8188</v>
      </c>
      <c r="M2420">
        <v>1881</v>
      </c>
      <c r="N2420" t="s">
        <v>16393</v>
      </c>
      <c r="O2420" s="4">
        <v>31284</v>
      </c>
      <c r="P2420" s="4">
        <v>119504</v>
      </c>
      <c r="Q2420" s="4">
        <v>150788</v>
      </c>
      <c r="R2420" s="4">
        <v>452364</v>
      </c>
      <c r="S2420" t="s">
        <v>18746</v>
      </c>
      <c r="T2420" s="6">
        <v>43313</v>
      </c>
      <c r="U2420" s="4">
        <v>349900</v>
      </c>
      <c r="V2420" t="s">
        <v>23739</v>
      </c>
      <c r="W2420" t="s">
        <v>24885</v>
      </c>
      <c r="X2420" t="s">
        <v>3</v>
      </c>
      <c r="AA2420" s="5" t="str">
        <f>HYPERLINK("https://www.zillow.com/homes/2000-S-VALLEY-RD-LOMBARD-IL-601484271_rb/","check listing")</f>
        <v>check listing</v>
      </c>
      <c r="AB2420" s="5" t="str">
        <f>HYPERLINK("https://propertylookup.dupagecounty.gov/Datalets/Datalet.aspx?UseSearch=no&amp;mode=sales&amp;pin=0524412018","sales record")</f>
        <v>sales record</v>
      </c>
      <c r="AC2420" t="s">
        <v>3</v>
      </c>
      <c r="AD2420">
        <v>41.84723</v>
      </c>
      <c r="AE2420">
        <v>-88.040537</v>
      </c>
      <c r="AF2420" s="5" t="str">
        <f>HYPERLINK("https://www.google.com/maps/search/?api=1&amp;query=41.84723,-88.040537","map")</f>
        <v>map</v>
      </c>
    </row>
    <row r="2421" spans="1:32">
      <c r="A2421" t="s">
        <v>2471</v>
      </c>
      <c r="B2421" t="s">
        <v>10015</v>
      </c>
      <c r="C2421" t="s">
        <v>15451</v>
      </c>
      <c r="D2421" t="s">
        <v>16205</v>
      </c>
      <c r="E2421" t="s">
        <v>16218</v>
      </c>
      <c r="F2421" t="s">
        <v>16220</v>
      </c>
      <c r="G2421" t="s">
        <v>16266</v>
      </c>
      <c r="H2421" t="s">
        <v>16250</v>
      </c>
      <c r="I2421" t="s">
        <v>16346</v>
      </c>
      <c r="J2421" t="s">
        <v>16385</v>
      </c>
      <c r="K2421">
        <v>0.187</v>
      </c>
      <c r="L2421">
        <v>8157</v>
      </c>
      <c r="M2421">
        <v>1200</v>
      </c>
      <c r="N2421" t="s">
        <v>16393</v>
      </c>
      <c r="O2421" s="4">
        <v>31284</v>
      </c>
      <c r="P2421" s="4">
        <v>115321</v>
      </c>
      <c r="Q2421" s="4">
        <v>146605</v>
      </c>
      <c r="R2421" s="4">
        <v>439815</v>
      </c>
      <c r="S2421" t="s">
        <v>18747</v>
      </c>
      <c r="T2421" s="6">
        <v>42917</v>
      </c>
      <c r="U2421" s="4">
        <v>400000</v>
      </c>
      <c r="V2421" t="s">
        <v>23739</v>
      </c>
      <c r="W2421" t="s">
        <v>24886</v>
      </c>
      <c r="X2421" t="s">
        <v>3</v>
      </c>
      <c r="AA2421" s="5" t="str">
        <f>HYPERLINK("https://www.zillow.com/homes/2101-S-LLOYD-AVE-LOMBARD-IL-601484823_rb/","check listing")</f>
        <v>check listing</v>
      </c>
      <c r="AB2421" s="5" t="str">
        <f>HYPERLINK("https://propertylookup.dupagecounty.gov/Datalets/Datalet.aspx?UseSearch=no&amp;mode=sales&amp;pin=0524405001","sales record")</f>
        <v>sales record</v>
      </c>
      <c r="AC2421" t="s">
        <v>3</v>
      </c>
      <c r="AD2421">
        <v>41.845382</v>
      </c>
      <c r="AE2421">
        <v>-88.03374100000001</v>
      </c>
      <c r="AF2421" s="5" t="str">
        <f>HYPERLINK("https://www.google.com/maps/search/?api=1&amp;query=41.845382,-88.033741","map")</f>
        <v>map</v>
      </c>
    </row>
    <row r="2422" spans="1:32">
      <c r="A2422" t="s">
        <v>2472</v>
      </c>
      <c r="B2422" t="s">
        <v>10016</v>
      </c>
      <c r="C2422" t="s">
        <v>15435</v>
      </c>
      <c r="D2422" t="s">
        <v>16205</v>
      </c>
      <c r="E2422" t="s">
        <v>16218</v>
      </c>
      <c r="F2422" t="s">
        <v>16220</v>
      </c>
      <c r="G2422" t="s">
        <v>16266</v>
      </c>
      <c r="H2422" t="s">
        <v>16250</v>
      </c>
      <c r="I2422" t="s">
        <v>16346</v>
      </c>
      <c r="J2422" t="s">
        <v>16385</v>
      </c>
      <c r="K2422">
        <v>0.187</v>
      </c>
      <c r="L2422">
        <v>8130</v>
      </c>
      <c r="M2422">
        <v>1762</v>
      </c>
      <c r="N2422" t="s">
        <v>16393</v>
      </c>
      <c r="O2422" s="4">
        <v>31284</v>
      </c>
      <c r="P2422" s="4">
        <v>95573</v>
      </c>
      <c r="Q2422" s="4">
        <v>126857</v>
      </c>
      <c r="R2422" s="4">
        <v>380571</v>
      </c>
      <c r="S2422" t="s">
        <v>18748</v>
      </c>
      <c r="T2422" s="6">
        <v>37377</v>
      </c>
      <c r="U2422" s="4">
        <v>215000</v>
      </c>
      <c r="V2422" t="s">
        <v>23739</v>
      </c>
      <c r="W2422" t="s">
        <v>18748</v>
      </c>
      <c r="X2422" t="s">
        <v>3</v>
      </c>
      <c r="AA2422" s="5" t="str">
        <f>HYPERLINK("https://www.zillow.com/homes/1041-BEVERLY-CT-LOMBARD-IL-60148_rb/","check listing")</f>
        <v>check listing</v>
      </c>
      <c r="AB2422" s="5" t="str">
        <f>HYPERLINK("https://propertylookup.dupagecounty.gov/Datalets/Datalet.aspx?UseSearch=no&amp;mode=sales&amp;pin=0524403034","sales record")</f>
        <v>sales record</v>
      </c>
      <c r="AC2422" t="s">
        <v>3</v>
      </c>
      <c r="AD2422">
        <v>41.845814</v>
      </c>
      <c r="AE2422">
        <v>-88.035467</v>
      </c>
      <c r="AF2422" s="5" t="str">
        <f>HYPERLINK("https://www.google.com/maps/search/?api=1&amp;query=41.845814,-88.035467","map")</f>
        <v>map</v>
      </c>
    </row>
    <row r="2423" spans="1:32">
      <c r="A2423" t="s">
        <v>2473</v>
      </c>
      <c r="B2423" t="s">
        <v>10017</v>
      </c>
      <c r="C2423" t="s">
        <v>15452</v>
      </c>
      <c r="D2423" t="s">
        <v>16205</v>
      </c>
      <c r="E2423" t="s">
        <v>16218</v>
      </c>
      <c r="F2423" t="s">
        <v>16220</v>
      </c>
      <c r="G2423" t="s">
        <v>16266</v>
      </c>
      <c r="H2423" t="s">
        <v>16250</v>
      </c>
      <c r="I2423" t="s">
        <v>16346</v>
      </c>
      <c r="J2423" t="s">
        <v>16385</v>
      </c>
      <c r="K2423">
        <v>0.187</v>
      </c>
      <c r="L2423">
        <v>8125</v>
      </c>
      <c r="M2423">
        <v>1462</v>
      </c>
      <c r="N2423" t="s">
        <v>16393</v>
      </c>
      <c r="O2423" s="4">
        <v>31284</v>
      </c>
      <c r="P2423" s="4">
        <v>85922</v>
      </c>
      <c r="Q2423" s="4">
        <v>117206</v>
      </c>
      <c r="R2423" s="4">
        <v>351618</v>
      </c>
      <c r="S2423" t="s">
        <v>18749</v>
      </c>
      <c r="T2423" s="6">
        <v>43497</v>
      </c>
      <c r="U2423" s="4">
        <v>280000</v>
      </c>
      <c r="V2423" t="s">
        <v>23739</v>
      </c>
      <c r="W2423" t="s">
        <v>24887</v>
      </c>
      <c r="X2423" t="s">
        <v>3</v>
      </c>
      <c r="AA2423" s="5" t="str">
        <f>HYPERLINK("https://www.zillow.com/homes/1910-S-VALLEY-RD-LOMBARD-IL-601484269_rb/","check listing")</f>
        <v>check listing</v>
      </c>
      <c r="AB2423" s="5" t="str">
        <f>HYPERLINK("https://propertylookup.dupagecounty.gov/Datalets/Datalet.aspx?UseSearch=no&amp;mode=sales&amp;pin=0524412004","sales record")</f>
        <v>sales record</v>
      </c>
      <c r="AC2423" t="s">
        <v>3</v>
      </c>
      <c r="AD2423">
        <v>41.848188</v>
      </c>
      <c r="AE2423">
        <v>-88.038275</v>
      </c>
      <c r="AF2423" s="5" t="str">
        <f>HYPERLINK("https://www.google.com/maps/search/?api=1&amp;query=41.848188,-88.038275","map")</f>
        <v>map</v>
      </c>
    </row>
    <row r="2424" spans="1:32">
      <c r="A2424" t="s">
        <v>2474</v>
      </c>
      <c r="B2424" t="s">
        <v>10018</v>
      </c>
      <c r="C2424" t="s">
        <v>15435</v>
      </c>
      <c r="D2424" t="s">
        <v>16205</v>
      </c>
      <c r="E2424" t="s">
        <v>16218</v>
      </c>
      <c r="F2424" t="s">
        <v>16220</v>
      </c>
      <c r="G2424" t="s">
        <v>16266</v>
      </c>
      <c r="H2424" t="s">
        <v>16250</v>
      </c>
      <c r="I2424" t="s">
        <v>16346</v>
      </c>
      <c r="J2424" t="s">
        <v>16385</v>
      </c>
      <c r="K2424">
        <v>0.184</v>
      </c>
      <c r="L2424">
        <v>8031</v>
      </c>
      <c r="M2424">
        <v>1507</v>
      </c>
      <c r="N2424" t="s">
        <v>16393</v>
      </c>
      <c r="O2424" s="4">
        <v>31284</v>
      </c>
      <c r="P2424" s="4">
        <v>86594</v>
      </c>
      <c r="Q2424" s="4">
        <v>117878</v>
      </c>
      <c r="R2424" s="4">
        <v>353634</v>
      </c>
      <c r="S2424" t="s">
        <v>18750</v>
      </c>
      <c r="T2424" s="6">
        <v>38626</v>
      </c>
      <c r="U2424" s="4">
        <v>285000</v>
      </c>
      <c r="V2424" t="s">
        <v>23739</v>
      </c>
      <c r="W2424" t="s">
        <v>18750</v>
      </c>
      <c r="X2424" t="s">
        <v>3</v>
      </c>
      <c r="AA2424" s="5" t="str">
        <f>HYPERLINK("https://www.zillow.com/homes/1133-HUNTER-ST-LOMBARD-IL-60148_rb/","check listing")</f>
        <v>check listing</v>
      </c>
      <c r="AB2424" s="5" t="str">
        <f>HYPERLINK("https://propertylookup.dupagecounty.gov/Datalets/Datalet.aspx?UseSearch=no&amp;mode=sales&amp;pin=0524406011","sales record")</f>
        <v>sales record</v>
      </c>
      <c r="AC2424" t="s">
        <v>3</v>
      </c>
      <c r="AD2424">
        <v>41.846754</v>
      </c>
      <c r="AE2424">
        <v>-88.0395</v>
      </c>
      <c r="AF2424" s="5" t="str">
        <f>HYPERLINK("https://www.google.com/maps/search/?api=1&amp;query=41.846754,-88.0395","map")</f>
        <v>map</v>
      </c>
    </row>
    <row r="2425" spans="1:32">
      <c r="A2425" t="s">
        <v>2475</v>
      </c>
      <c r="B2425" t="s">
        <v>10019</v>
      </c>
      <c r="C2425" t="s">
        <v>15435</v>
      </c>
      <c r="D2425" t="s">
        <v>16205</v>
      </c>
      <c r="E2425" t="s">
        <v>16218</v>
      </c>
      <c r="F2425" t="s">
        <v>16220</v>
      </c>
      <c r="G2425" t="s">
        <v>16266</v>
      </c>
      <c r="H2425" t="s">
        <v>16250</v>
      </c>
      <c r="I2425" t="s">
        <v>16346</v>
      </c>
      <c r="J2425" t="s">
        <v>16385</v>
      </c>
      <c r="K2425">
        <v>0.184</v>
      </c>
      <c r="L2425">
        <v>8025</v>
      </c>
      <c r="M2425">
        <v>1902</v>
      </c>
      <c r="N2425" t="s">
        <v>16393</v>
      </c>
      <c r="O2425" s="4">
        <v>31284</v>
      </c>
      <c r="P2425" s="4">
        <v>95691</v>
      </c>
      <c r="Q2425" s="4">
        <v>126975</v>
      </c>
      <c r="R2425" s="4">
        <v>380925</v>
      </c>
      <c r="S2425" t="s">
        <v>18751</v>
      </c>
      <c r="T2425" s="6">
        <v>45999</v>
      </c>
      <c r="U2425" s="4">
        <v>500000</v>
      </c>
      <c r="V2425" t="s">
        <v>23739</v>
      </c>
      <c r="W2425" t="s">
        <v>24888</v>
      </c>
      <c r="X2425" t="s">
        <v>3</v>
      </c>
      <c r="AA2425" s="5" t="str">
        <f>HYPERLINK("https://www.zillow.com/homes/2100-S-LLOYD-AVE-LOMBARD-IL-60148_rb/","check listing")</f>
        <v>check listing</v>
      </c>
      <c r="AB2425" s="5" t="str">
        <f>HYPERLINK("https://propertylookup.dupagecounty.gov/Datalets/Datalet.aspx?UseSearch=no&amp;mode=sales&amp;pin=0524404009","sales record")</f>
        <v>sales record</v>
      </c>
      <c r="AC2425" t="s">
        <v>3</v>
      </c>
      <c r="AD2425">
        <v>41.845703</v>
      </c>
      <c r="AE2425">
        <v>-88.034374</v>
      </c>
      <c r="AF2425" s="5" t="str">
        <f>HYPERLINK("https://www.google.com/maps/search/?api=1&amp;query=41.845703,-88.034374","map")</f>
        <v>map</v>
      </c>
    </row>
    <row r="2426" spans="1:32">
      <c r="A2426" t="s">
        <v>2476</v>
      </c>
      <c r="B2426" t="s">
        <v>10020</v>
      </c>
      <c r="C2426" t="s">
        <v>15435</v>
      </c>
      <c r="D2426" t="s">
        <v>16205</v>
      </c>
      <c r="E2426" t="s">
        <v>16218</v>
      </c>
      <c r="F2426" t="s">
        <v>16220</v>
      </c>
      <c r="G2426" t="s">
        <v>16266</v>
      </c>
      <c r="H2426" t="s">
        <v>16250</v>
      </c>
      <c r="I2426" t="s">
        <v>16346</v>
      </c>
      <c r="J2426" t="s">
        <v>16385</v>
      </c>
      <c r="K2426">
        <v>0.184</v>
      </c>
      <c r="L2426">
        <v>8020</v>
      </c>
      <c r="M2426">
        <v>1156</v>
      </c>
      <c r="N2426" t="s">
        <v>16393</v>
      </c>
      <c r="O2426" s="4">
        <v>31284</v>
      </c>
      <c r="P2426" s="4">
        <v>99791</v>
      </c>
      <c r="Q2426" s="4">
        <v>131075</v>
      </c>
      <c r="R2426" s="4">
        <v>393225</v>
      </c>
      <c r="S2426" t="s">
        <v>18752</v>
      </c>
      <c r="T2426" s="6">
        <v>35977</v>
      </c>
      <c r="U2426" s="4">
        <v>160000</v>
      </c>
      <c r="X2426" t="s">
        <v>3</v>
      </c>
      <c r="AA2426" s="5" t="str">
        <f>HYPERLINK("https://www.zillow.com/homes/1025-BEVERLY-CT-LOMBARD-IL-60148_rb/","check listing")</f>
        <v>check listing</v>
      </c>
      <c r="AB2426" s="5" t="str">
        <f>HYPERLINK("https://propertylookup.dupagecounty.gov/Datalets/Datalet.aspx?UseSearch=no&amp;mode=sales&amp;pin=0524403036","sales record")</f>
        <v>sales record</v>
      </c>
      <c r="AC2426" t="s">
        <v>3</v>
      </c>
      <c r="AD2426">
        <v>41.845859</v>
      </c>
      <c r="AE2426">
        <v>-88.036017</v>
      </c>
      <c r="AF2426" s="5" t="str">
        <f>HYPERLINK("https://www.google.com/maps/search/?api=1&amp;query=41.845859,-88.036017","map")</f>
        <v>map</v>
      </c>
    </row>
    <row r="2427" spans="1:32">
      <c r="A2427" t="s">
        <v>2477</v>
      </c>
      <c r="B2427" t="s">
        <v>10021</v>
      </c>
      <c r="C2427" t="s">
        <v>15435</v>
      </c>
      <c r="D2427" t="s">
        <v>16205</v>
      </c>
      <c r="E2427" t="s">
        <v>16218</v>
      </c>
      <c r="F2427" t="s">
        <v>16220</v>
      </c>
      <c r="G2427" t="s">
        <v>16266</v>
      </c>
      <c r="H2427" t="s">
        <v>16250</v>
      </c>
      <c r="I2427" t="s">
        <v>16346</v>
      </c>
      <c r="J2427" t="s">
        <v>16385</v>
      </c>
      <c r="K2427">
        <v>0.184</v>
      </c>
      <c r="L2427">
        <v>8016</v>
      </c>
      <c r="M2427">
        <v>1161</v>
      </c>
      <c r="N2427" t="s">
        <v>16393</v>
      </c>
      <c r="O2427" s="4">
        <v>31284</v>
      </c>
      <c r="P2427" s="4">
        <v>101559</v>
      </c>
      <c r="Q2427" s="4">
        <v>132843</v>
      </c>
      <c r="R2427" s="4">
        <v>398529</v>
      </c>
      <c r="S2427" t="s">
        <v>18753</v>
      </c>
      <c r="T2427" s="6">
        <v>31048</v>
      </c>
      <c r="U2427" s="4">
        <v>93500</v>
      </c>
      <c r="X2427" t="s">
        <v>3</v>
      </c>
      <c r="AA2427" s="5" t="str">
        <f>HYPERLINK("https://www.zillow.com/homes/1119-HUNTER-ST-LOMBARD-IL-60148_rb/","check listing")</f>
        <v>check listing</v>
      </c>
      <c r="AB2427" s="5" t="str">
        <f>HYPERLINK("https://propertylookup.dupagecounty.gov/Datalets/Datalet.aspx?UseSearch=no&amp;mode=sales&amp;pin=0524406018","sales record")</f>
        <v>sales record</v>
      </c>
      <c r="AC2427" t="s">
        <v>3</v>
      </c>
      <c r="AD2427">
        <v>41.845598</v>
      </c>
      <c r="AE2427">
        <v>-88.038757</v>
      </c>
      <c r="AF2427" s="5" t="str">
        <f>HYPERLINK("https://www.google.com/maps/search/?api=1&amp;query=41.845598,-88.038757","map")</f>
        <v>map</v>
      </c>
    </row>
    <row r="2428" spans="1:32">
      <c r="A2428" t="s">
        <v>2478</v>
      </c>
      <c r="B2428" t="s">
        <v>10022</v>
      </c>
      <c r="C2428" t="s">
        <v>15435</v>
      </c>
      <c r="D2428" t="s">
        <v>16205</v>
      </c>
      <c r="E2428" t="s">
        <v>16218</v>
      </c>
      <c r="F2428" t="s">
        <v>16220</v>
      </c>
      <c r="G2428" t="s">
        <v>16266</v>
      </c>
      <c r="H2428" t="s">
        <v>16250</v>
      </c>
      <c r="I2428" t="s">
        <v>16346</v>
      </c>
      <c r="J2428" t="s">
        <v>16385</v>
      </c>
      <c r="K2428">
        <v>0.184</v>
      </c>
      <c r="L2428">
        <v>7994</v>
      </c>
      <c r="M2428">
        <v>2249</v>
      </c>
      <c r="N2428" t="s">
        <v>16393</v>
      </c>
      <c r="O2428" s="4">
        <v>31284</v>
      </c>
      <c r="P2428" s="4">
        <v>110408</v>
      </c>
      <c r="Q2428" s="4">
        <v>141692</v>
      </c>
      <c r="R2428" s="4">
        <v>425076</v>
      </c>
      <c r="S2428" t="s">
        <v>18754</v>
      </c>
      <c r="T2428" s="6">
        <v>38657</v>
      </c>
      <c r="U2428" s="4">
        <v>315500</v>
      </c>
      <c r="V2428" t="s">
        <v>23739</v>
      </c>
      <c r="W2428" t="s">
        <v>18754</v>
      </c>
      <c r="X2428" t="s">
        <v>3</v>
      </c>
      <c r="AA2428" s="5" t="str">
        <f>HYPERLINK("https://www.zillow.com/homes/1920-S-VALLEY-RD-LOMBARD-IL-60148_rb/","check listing")</f>
        <v>check listing</v>
      </c>
      <c r="AB2428" s="5" t="str">
        <f>HYPERLINK("https://propertylookup.dupagecounty.gov/Datalets/Datalet.aspx?UseSearch=no&amp;mode=sales&amp;pin=0524412005","sales record")</f>
        <v>sales record</v>
      </c>
      <c r="AC2428" t="s">
        <v>3</v>
      </c>
      <c r="AD2428">
        <v>41.848127</v>
      </c>
      <c r="AE2428">
        <v>-88.03850199999999</v>
      </c>
      <c r="AF2428" s="5" t="str">
        <f>HYPERLINK("https://www.google.com/maps/search/?api=1&amp;query=41.848127,-88.038502","map")</f>
        <v>map</v>
      </c>
    </row>
    <row r="2429" spans="1:32">
      <c r="A2429" t="s">
        <v>2479</v>
      </c>
      <c r="B2429" t="s">
        <v>10023</v>
      </c>
      <c r="C2429" t="s">
        <v>15447</v>
      </c>
      <c r="D2429" t="s">
        <v>16205</v>
      </c>
      <c r="E2429" t="s">
        <v>16218</v>
      </c>
      <c r="F2429" t="s">
        <v>16220</v>
      </c>
      <c r="G2429" t="s">
        <v>16266</v>
      </c>
      <c r="H2429" t="s">
        <v>16250</v>
      </c>
      <c r="I2429" t="s">
        <v>16346</v>
      </c>
      <c r="J2429" t="s">
        <v>16385</v>
      </c>
      <c r="K2429">
        <v>0.183</v>
      </c>
      <c r="L2429">
        <v>7950</v>
      </c>
      <c r="M2429">
        <v>1568</v>
      </c>
      <c r="N2429" t="s">
        <v>16393</v>
      </c>
      <c r="O2429" s="4">
        <v>31284</v>
      </c>
      <c r="P2429" s="4">
        <v>92474</v>
      </c>
      <c r="Q2429" s="4">
        <v>123758</v>
      </c>
      <c r="R2429" s="4">
        <v>371274</v>
      </c>
      <c r="S2429" t="s">
        <v>18755</v>
      </c>
      <c r="T2429" s="6">
        <v>43040</v>
      </c>
      <c r="U2429" s="4">
        <v>242000</v>
      </c>
      <c r="V2429" t="s">
        <v>23739</v>
      </c>
      <c r="W2429" t="s">
        <v>24889</v>
      </c>
      <c r="X2429" t="s">
        <v>3</v>
      </c>
      <c r="AA2429" s="5" t="str">
        <f>HYPERLINK("https://www.zillow.com/homes/2090-S-VALLEY-RD-LOMBARD-IL-601484271_rb/","check listing")</f>
        <v>check listing</v>
      </c>
      <c r="AB2429" s="5" t="str">
        <f>HYPERLINK("https://propertylookup.dupagecounty.gov/Datalets/Datalet.aspx?UseSearch=no&amp;mode=sales&amp;pin=0524412027","sales record")</f>
        <v>sales record</v>
      </c>
      <c r="AC2429" t="s">
        <v>3</v>
      </c>
      <c r="AD2429">
        <v>41.845554</v>
      </c>
      <c r="AE2429">
        <v>-88.040781</v>
      </c>
      <c r="AF2429" s="5" t="str">
        <f>HYPERLINK("https://www.google.com/maps/search/?api=1&amp;query=41.845554,-88.040781","map")</f>
        <v>map</v>
      </c>
    </row>
    <row r="2430" spans="1:32">
      <c r="A2430" t="s">
        <v>2480</v>
      </c>
      <c r="B2430" t="s">
        <v>10024</v>
      </c>
      <c r="C2430" t="s">
        <v>15453</v>
      </c>
      <c r="D2430" t="s">
        <v>16205</v>
      </c>
      <c r="E2430" t="s">
        <v>16218</v>
      </c>
      <c r="F2430" t="s">
        <v>16220</v>
      </c>
      <c r="G2430" t="s">
        <v>16266</v>
      </c>
      <c r="H2430" t="s">
        <v>16250</v>
      </c>
      <c r="I2430" t="s">
        <v>16346</v>
      </c>
      <c r="J2430" t="s">
        <v>16385</v>
      </c>
      <c r="K2430">
        <v>0.182</v>
      </c>
      <c r="L2430">
        <v>7947</v>
      </c>
      <c r="M2430">
        <v>1862</v>
      </c>
      <c r="N2430" t="s">
        <v>16393</v>
      </c>
      <c r="O2430" s="4">
        <v>31284</v>
      </c>
      <c r="P2430" s="4">
        <v>91566</v>
      </c>
      <c r="Q2430" s="4">
        <v>122850</v>
      </c>
      <c r="R2430" s="4">
        <v>368550</v>
      </c>
      <c r="S2430" t="s">
        <v>18756</v>
      </c>
      <c r="T2430" s="6">
        <v>44197</v>
      </c>
      <c r="U2430" s="4">
        <v>310000</v>
      </c>
      <c r="V2430" t="s">
        <v>23739</v>
      </c>
      <c r="W2430" t="s">
        <v>24890</v>
      </c>
      <c r="X2430" t="s">
        <v>3</v>
      </c>
      <c r="AA2430" s="5" t="str">
        <f>HYPERLINK("https://www.zillow.com/homes/1901-S-VALLEY-RD-LOMBARD-IL-601484272_rb/","check listing")</f>
        <v>check listing</v>
      </c>
      <c r="AB2430" s="5" t="str">
        <f>HYPERLINK("https://propertylookup.dupagecounty.gov/Datalets/Datalet.aspx?UseSearch=no&amp;mode=sales&amp;pin=0524406020","sales record")</f>
        <v>sales record</v>
      </c>
      <c r="AC2430" t="s">
        <v>3</v>
      </c>
      <c r="AD2430">
        <v>41.847852</v>
      </c>
      <c r="AE2430">
        <v>-88.03774</v>
      </c>
      <c r="AF2430" s="5" t="str">
        <f>HYPERLINK("https://www.google.com/maps/search/?api=1&amp;query=41.847852,-88.03774","map")</f>
        <v>map</v>
      </c>
    </row>
    <row r="2431" spans="1:32">
      <c r="A2431" t="s">
        <v>2481</v>
      </c>
      <c r="B2431" t="s">
        <v>10025</v>
      </c>
      <c r="C2431" t="s">
        <v>15435</v>
      </c>
      <c r="D2431" t="s">
        <v>16205</v>
      </c>
      <c r="E2431" t="s">
        <v>16218</v>
      </c>
      <c r="F2431" t="s">
        <v>16220</v>
      </c>
      <c r="G2431" t="s">
        <v>16266</v>
      </c>
      <c r="H2431" t="s">
        <v>16250</v>
      </c>
      <c r="I2431" t="s">
        <v>16346</v>
      </c>
      <c r="J2431" t="s">
        <v>16385</v>
      </c>
      <c r="K2431">
        <v>0.182</v>
      </c>
      <c r="L2431">
        <v>7942</v>
      </c>
      <c r="M2431">
        <v>1591</v>
      </c>
      <c r="N2431" t="s">
        <v>16393</v>
      </c>
      <c r="O2431" s="4">
        <v>31284</v>
      </c>
      <c r="P2431" s="4">
        <v>103550</v>
      </c>
      <c r="Q2431" s="4">
        <v>134834</v>
      </c>
      <c r="R2431" s="4">
        <v>404502</v>
      </c>
      <c r="S2431" t="s">
        <v>18757</v>
      </c>
      <c r="T2431" s="6">
        <v>31717</v>
      </c>
      <c r="U2431" s="4">
        <v>107090</v>
      </c>
      <c r="X2431" t="s">
        <v>3</v>
      </c>
      <c r="AA2431" s="5" t="str">
        <f>HYPERLINK("https://www.zillow.com/homes/2020-S-VALLEY-RD-LOMBARD-IL-60148_rb/","check listing")</f>
        <v>check listing</v>
      </c>
      <c r="AB2431" s="5" t="str">
        <f>HYPERLINK("https://propertylookup.dupagecounty.gov/Datalets/Datalet.aspx?UseSearch=no&amp;mode=sales&amp;pin=0524412020","sales record")</f>
        <v>sales record</v>
      </c>
      <c r="AC2431" t="s">
        <v>3</v>
      </c>
      <c r="AD2431">
        <v>41.84679</v>
      </c>
      <c r="AE2431">
        <v>-88.04068700000001</v>
      </c>
      <c r="AF2431" s="5" t="str">
        <f>HYPERLINK("https://www.google.com/maps/search/?api=1&amp;query=41.84679,-88.040687","map")</f>
        <v>map</v>
      </c>
    </row>
    <row r="2432" spans="1:32">
      <c r="A2432" t="s">
        <v>2482</v>
      </c>
      <c r="B2432" t="s">
        <v>10026</v>
      </c>
      <c r="C2432" t="s">
        <v>15435</v>
      </c>
      <c r="D2432" t="s">
        <v>16205</v>
      </c>
      <c r="E2432" t="s">
        <v>16218</v>
      </c>
      <c r="F2432" t="s">
        <v>16220</v>
      </c>
      <c r="G2432" t="s">
        <v>16266</v>
      </c>
      <c r="H2432" t="s">
        <v>16250</v>
      </c>
      <c r="I2432" t="s">
        <v>16346</v>
      </c>
      <c r="J2432" t="s">
        <v>16385</v>
      </c>
      <c r="K2432">
        <v>0.181</v>
      </c>
      <c r="L2432">
        <v>7890</v>
      </c>
      <c r="M2432">
        <v>1689</v>
      </c>
      <c r="N2432" t="s">
        <v>16393</v>
      </c>
      <c r="O2432" s="4">
        <v>31284</v>
      </c>
      <c r="P2432" s="4">
        <v>82635</v>
      </c>
      <c r="Q2432" s="4">
        <v>113919</v>
      </c>
      <c r="R2432" s="4">
        <v>341757</v>
      </c>
      <c r="S2432" t="s">
        <v>18758</v>
      </c>
      <c r="T2432" s="6">
        <v>37104</v>
      </c>
      <c r="U2432" s="4">
        <v>225000</v>
      </c>
      <c r="V2432" t="s">
        <v>23739</v>
      </c>
      <c r="W2432" t="s">
        <v>24891</v>
      </c>
      <c r="X2432" t="s">
        <v>3</v>
      </c>
      <c r="AA2432" s="5" t="str">
        <f>HYPERLINK("https://www.zillow.com/homes/1131-HUNTER-ST-LOMBARD-IL-60148_rb/","check listing")</f>
        <v>check listing</v>
      </c>
      <c r="AB2432" s="5" t="str">
        <f>HYPERLINK("https://propertylookup.dupagecounty.gov/Datalets/Datalet.aspx?UseSearch=no&amp;mode=sales&amp;pin=0524406012","sales record")</f>
        <v>sales record</v>
      </c>
      <c r="AC2432" t="s">
        <v>3</v>
      </c>
      <c r="AD2432">
        <v>41.846517</v>
      </c>
      <c r="AE2432">
        <v>-88.039553</v>
      </c>
      <c r="AF2432" s="5" t="str">
        <f>HYPERLINK("https://www.google.com/maps/search/?api=1&amp;query=41.846517,-88.039553","map")</f>
        <v>map</v>
      </c>
    </row>
    <row r="2433" spans="1:32">
      <c r="A2433" t="s">
        <v>2483</v>
      </c>
      <c r="B2433" t="s">
        <v>10027</v>
      </c>
      <c r="C2433" t="s">
        <v>15435</v>
      </c>
      <c r="D2433" t="s">
        <v>16205</v>
      </c>
      <c r="E2433" t="s">
        <v>16218</v>
      </c>
      <c r="F2433" t="s">
        <v>16220</v>
      </c>
      <c r="G2433" t="s">
        <v>16266</v>
      </c>
      <c r="H2433" t="s">
        <v>16250</v>
      </c>
      <c r="I2433" t="s">
        <v>16346</v>
      </c>
      <c r="J2433" t="s">
        <v>16385</v>
      </c>
      <c r="K2433">
        <v>0.18</v>
      </c>
      <c r="L2433">
        <v>7831</v>
      </c>
      <c r="M2433">
        <v>1654</v>
      </c>
      <c r="N2433" t="s">
        <v>16393</v>
      </c>
      <c r="O2433" s="4">
        <v>27270</v>
      </c>
      <c r="P2433" s="4">
        <v>74837</v>
      </c>
      <c r="Q2433" s="4">
        <v>102107</v>
      </c>
      <c r="R2433" s="4">
        <v>306321</v>
      </c>
      <c r="S2433" t="s">
        <v>18759</v>
      </c>
      <c r="T2433" s="6">
        <v>42887</v>
      </c>
      <c r="U2433" s="4">
        <v>205000</v>
      </c>
      <c r="V2433" t="s">
        <v>23739</v>
      </c>
      <c r="W2433" t="s">
        <v>24892</v>
      </c>
      <c r="X2433" t="s">
        <v>3</v>
      </c>
      <c r="AA2433" s="5" t="str">
        <f>HYPERLINK("https://www.zillow.com/homes/950-FOXWORTH-BLVD-LOMBARD-IL-60148_rb/","check listing")</f>
        <v>check listing</v>
      </c>
      <c r="AB2433" s="5" t="str">
        <f>HYPERLINK("https://propertylookup.dupagecounty.gov/Datalets/Datalet.aspx?UseSearch=no&amp;mode=sales&amp;pin=0619301005","sales record")</f>
        <v>sales record</v>
      </c>
      <c r="AC2433" t="s">
        <v>3</v>
      </c>
      <c r="AD2433">
        <v>41.845672</v>
      </c>
      <c r="AE2433">
        <v>-88.033029</v>
      </c>
      <c r="AF2433" s="5" t="str">
        <f>HYPERLINK("https://www.google.com/maps/search/?api=1&amp;query=41.845672,-88.033029","map")</f>
        <v>map</v>
      </c>
    </row>
    <row r="2434" spans="1:32">
      <c r="A2434" t="s">
        <v>2484</v>
      </c>
      <c r="B2434" t="s">
        <v>10028</v>
      </c>
      <c r="C2434" t="s">
        <v>15435</v>
      </c>
      <c r="D2434" t="s">
        <v>16205</v>
      </c>
      <c r="E2434" t="s">
        <v>16218</v>
      </c>
      <c r="F2434" t="s">
        <v>16220</v>
      </c>
      <c r="G2434" t="s">
        <v>16266</v>
      </c>
      <c r="H2434" t="s">
        <v>16250</v>
      </c>
      <c r="I2434" t="s">
        <v>16346</v>
      </c>
      <c r="J2434" t="s">
        <v>16385</v>
      </c>
      <c r="K2434">
        <v>0.179</v>
      </c>
      <c r="L2434">
        <v>7807</v>
      </c>
      <c r="M2434">
        <v>1689</v>
      </c>
      <c r="N2434" t="s">
        <v>16393</v>
      </c>
      <c r="O2434" s="4">
        <v>31284</v>
      </c>
      <c r="P2434" s="4">
        <v>94948</v>
      </c>
      <c r="Q2434" s="4">
        <v>126232</v>
      </c>
      <c r="R2434" s="4">
        <v>378696</v>
      </c>
      <c r="S2434" t="s">
        <v>18760</v>
      </c>
      <c r="T2434" s="6">
        <v>41214</v>
      </c>
      <c r="U2434" s="4">
        <v>214000</v>
      </c>
      <c r="V2434" t="s">
        <v>23739</v>
      </c>
      <c r="W2434" t="s">
        <v>24893</v>
      </c>
      <c r="X2434" t="s">
        <v>3</v>
      </c>
      <c r="AA2434" s="5" t="str">
        <f>HYPERLINK("https://www.zillow.com/homes/2060-VALLEY-RD-LOMBARD-IL-60148_rb/","check listing")</f>
        <v>check listing</v>
      </c>
      <c r="AB2434" s="5" t="str">
        <f>HYPERLINK("https://propertylookup.dupagecounty.gov/Datalets/Datalet.aspx?UseSearch=no&amp;mode=sales&amp;pin=0524412024","sales record")</f>
        <v>sales record</v>
      </c>
      <c r="AC2434" t="s">
        <v>3</v>
      </c>
      <c r="AD2434">
        <v>41.846028</v>
      </c>
      <c r="AE2434">
        <v>-88.040845</v>
      </c>
      <c r="AF2434" s="5" t="str">
        <f>HYPERLINK("https://www.google.com/maps/search/?api=1&amp;query=41.846028,-88.040845","map")</f>
        <v>map</v>
      </c>
    </row>
    <row r="2435" spans="1:32">
      <c r="A2435" t="s">
        <v>2485</v>
      </c>
      <c r="B2435" t="s">
        <v>10029</v>
      </c>
      <c r="C2435" t="s">
        <v>15435</v>
      </c>
      <c r="D2435" t="s">
        <v>16205</v>
      </c>
      <c r="E2435" t="s">
        <v>16218</v>
      </c>
      <c r="F2435" t="s">
        <v>16220</v>
      </c>
      <c r="G2435" t="s">
        <v>16266</v>
      </c>
      <c r="H2435" t="s">
        <v>16250</v>
      </c>
      <c r="I2435" t="s">
        <v>16346</v>
      </c>
      <c r="J2435" t="s">
        <v>16385</v>
      </c>
      <c r="K2435">
        <v>0.179</v>
      </c>
      <c r="L2435">
        <v>7801</v>
      </c>
      <c r="M2435">
        <v>1861</v>
      </c>
      <c r="N2435" t="s">
        <v>16393</v>
      </c>
      <c r="O2435" s="4">
        <v>31284</v>
      </c>
      <c r="P2435" s="4">
        <v>94147</v>
      </c>
      <c r="Q2435" s="4">
        <v>125431</v>
      </c>
      <c r="R2435" s="4">
        <v>376293</v>
      </c>
      <c r="S2435" t="s">
        <v>18761</v>
      </c>
      <c r="T2435" s="6">
        <v>44378</v>
      </c>
      <c r="U2435" s="4">
        <v>327000</v>
      </c>
      <c r="V2435" t="s">
        <v>23739</v>
      </c>
      <c r="W2435" t="s">
        <v>18761</v>
      </c>
      <c r="X2435" t="s">
        <v>3</v>
      </c>
      <c r="AA2435" s="5" t="str">
        <f>HYPERLINK("https://www.zillow.com/homes/2030-S-VALLEY-RD-LOMBARD-IL-60148_rb/","check listing")</f>
        <v>check listing</v>
      </c>
      <c r="AB2435" s="5" t="str">
        <f>HYPERLINK("https://propertylookup.dupagecounty.gov/Datalets/Datalet.aspx?UseSearch=no&amp;mode=sales&amp;pin=0524412021","sales record")</f>
        <v>sales record</v>
      </c>
      <c r="AC2435" t="s">
        <v>3</v>
      </c>
      <c r="AD2435">
        <v>41.846619</v>
      </c>
      <c r="AE2435">
        <v>-88.04074300000001</v>
      </c>
      <c r="AF2435" s="5" t="str">
        <f>HYPERLINK("https://www.google.com/maps/search/?api=1&amp;query=41.846619,-88.040743","map")</f>
        <v>map</v>
      </c>
    </row>
    <row r="2436" spans="1:32">
      <c r="A2436" t="s">
        <v>2486</v>
      </c>
      <c r="B2436" t="s">
        <v>10030</v>
      </c>
      <c r="C2436" t="s">
        <v>15435</v>
      </c>
      <c r="D2436" t="s">
        <v>16205</v>
      </c>
      <c r="E2436" t="s">
        <v>16218</v>
      </c>
      <c r="F2436" t="s">
        <v>16220</v>
      </c>
      <c r="G2436" t="s">
        <v>16266</v>
      </c>
      <c r="H2436" t="s">
        <v>16250</v>
      </c>
      <c r="I2436" t="s">
        <v>16346</v>
      </c>
      <c r="J2436" t="s">
        <v>16385</v>
      </c>
      <c r="K2436">
        <v>0.179</v>
      </c>
      <c r="L2436">
        <v>7797</v>
      </c>
      <c r="M2436">
        <v>1205</v>
      </c>
      <c r="N2436" t="s">
        <v>16393</v>
      </c>
      <c r="O2436" s="4">
        <v>31284</v>
      </c>
      <c r="P2436" s="4">
        <v>99791</v>
      </c>
      <c r="Q2436" s="4">
        <v>131075</v>
      </c>
      <c r="R2436" s="4">
        <v>393225</v>
      </c>
      <c r="S2436" t="s">
        <v>18762</v>
      </c>
      <c r="T2436" s="6">
        <v>33390</v>
      </c>
      <c r="U2436" s="4">
        <v>140000</v>
      </c>
      <c r="X2436" t="s">
        <v>3</v>
      </c>
      <c r="AA2436" s="5" t="str">
        <f>HYPERLINK("https://www.zillow.com/homes/1042-FOXWORTH-BLVD-LOMBARD-IL-60148_rb/","check listing")</f>
        <v>check listing</v>
      </c>
      <c r="AB2436" s="5" t="str">
        <f>HYPERLINK("https://propertylookup.dupagecounty.gov/Datalets/Datalet.aspx?UseSearch=no&amp;mode=sales&amp;pin=0524402006","sales record")</f>
        <v>sales record</v>
      </c>
      <c r="AC2436" t="s">
        <v>3</v>
      </c>
      <c r="AD2436">
        <v>41.84693</v>
      </c>
      <c r="AE2436">
        <v>-88.03472600000001</v>
      </c>
      <c r="AF2436" s="5" t="str">
        <f>HYPERLINK("https://www.google.com/maps/search/?api=1&amp;query=41.84693,-88.034726","map")</f>
        <v>map</v>
      </c>
    </row>
    <row r="2437" spans="1:32">
      <c r="A2437" t="s">
        <v>2487</v>
      </c>
      <c r="B2437" t="s">
        <v>10031</v>
      </c>
      <c r="C2437" t="s">
        <v>15435</v>
      </c>
      <c r="D2437" t="s">
        <v>16205</v>
      </c>
      <c r="E2437" t="s">
        <v>16218</v>
      </c>
      <c r="F2437" t="s">
        <v>16220</v>
      </c>
      <c r="G2437" t="s">
        <v>16266</v>
      </c>
      <c r="H2437" t="s">
        <v>16250</v>
      </c>
      <c r="I2437" t="s">
        <v>16346</v>
      </c>
      <c r="J2437" t="s">
        <v>16385</v>
      </c>
      <c r="K2437">
        <v>0.179</v>
      </c>
      <c r="L2437">
        <v>7780</v>
      </c>
      <c r="M2437">
        <v>1584</v>
      </c>
      <c r="N2437" t="s">
        <v>16393</v>
      </c>
      <c r="O2437" s="4">
        <v>31284</v>
      </c>
      <c r="P2437" s="4">
        <v>87549</v>
      </c>
      <c r="Q2437" s="4">
        <v>118833</v>
      </c>
      <c r="R2437" s="4">
        <v>356499</v>
      </c>
      <c r="S2437" t="s">
        <v>18763</v>
      </c>
      <c r="T2437" s="6">
        <v>40725</v>
      </c>
      <c r="U2437" s="4">
        <v>250000</v>
      </c>
      <c r="V2437" t="s">
        <v>23739</v>
      </c>
      <c r="W2437" t="s">
        <v>18763</v>
      </c>
      <c r="X2437" t="s">
        <v>3</v>
      </c>
      <c r="AA2437" s="5" t="str">
        <f>HYPERLINK("https://www.zillow.com/homes/1135-HUNTER-ST-LOMBARD-IL-60148_rb/","check listing")</f>
        <v>check listing</v>
      </c>
      <c r="AB2437" s="5" t="str">
        <f>HYPERLINK("https://propertylookup.dupagecounty.gov/Datalets/Datalet.aspx?UseSearch=no&amp;mode=sales&amp;pin=0524406010","sales record")</f>
        <v>sales record</v>
      </c>
      <c r="AC2437" t="s">
        <v>3</v>
      </c>
      <c r="AD2437">
        <v>41.846941</v>
      </c>
      <c r="AE2437">
        <v>-88.03939699999999</v>
      </c>
      <c r="AF2437" s="5" t="str">
        <f>HYPERLINK("https://www.google.com/maps/search/?api=1&amp;query=41.846941,-88.039397","map")</f>
        <v>map</v>
      </c>
    </row>
    <row r="2438" spans="1:32">
      <c r="A2438" t="s">
        <v>2488</v>
      </c>
      <c r="B2438" t="s">
        <v>10032</v>
      </c>
      <c r="C2438" t="s">
        <v>15435</v>
      </c>
      <c r="D2438" t="s">
        <v>16205</v>
      </c>
      <c r="E2438" t="s">
        <v>16218</v>
      </c>
      <c r="F2438" t="s">
        <v>16220</v>
      </c>
      <c r="G2438" t="s">
        <v>16250</v>
      </c>
      <c r="H2438" t="s">
        <v>16250</v>
      </c>
      <c r="I2438" t="s">
        <v>16346</v>
      </c>
      <c r="J2438" t="s">
        <v>16385</v>
      </c>
      <c r="K2438">
        <v>0.178</v>
      </c>
      <c r="L2438">
        <v>7762</v>
      </c>
      <c r="M2438">
        <v>836</v>
      </c>
      <c r="N2438" t="s">
        <v>16393</v>
      </c>
      <c r="O2438" s="4">
        <v>20575</v>
      </c>
      <c r="P2438" s="4">
        <v>54611</v>
      </c>
      <c r="Q2438" s="4">
        <v>75186</v>
      </c>
      <c r="R2438" s="4">
        <v>225558</v>
      </c>
      <c r="S2438" t="s">
        <v>18764</v>
      </c>
      <c r="T2438" s="6">
        <v>45811</v>
      </c>
      <c r="U2438" s="4">
        <v>241000</v>
      </c>
      <c r="V2438" t="s">
        <v>23741</v>
      </c>
      <c r="W2438" t="s">
        <v>24894</v>
      </c>
      <c r="X2438" t="s">
        <v>3</v>
      </c>
      <c r="AA2438" s="5" t="str">
        <f>HYPERLINK("https://www.zillow.com/homes/28-W-WILLOW-ST-LOMBARD-IL-60148_rb/","check listing")</f>
        <v>check listing</v>
      </c>
      <c r="AB2438" s="5" t="str">
        <f>HYPERLINK("https://propertylookup.dupagecounty.gov/Datalets/Datalet.aspx?UseSearch=no&amp;mode=sales&amp;pin=0607403005","sales record")</f>
        <v>sales record</v>
      </c>
      <c r="AC2438" t="s">
        <v>3</v>
      </c>
      <c r="AD2438">
        <v>41.881586</v>
      </c>
      <c r="AE2438">
        <v>-88.019655</v>
      </c>
      <c r="AF2438" s="5" t="str">
        <f>HYPERLINK("https://www.google.com/maps/search/?api=1&amp;query=41.881586,-88.019655","map")</f>
        <v>map</v>
      </c>
    </row>
    <row r="2439" spans="1:32">
      <c r="A2439" t="s">
        <v>2489</v>
      </c>
      <c r="B2439" t="s">
        <v>10033</v>
      </c>
      <c r="C2439" t="s">
        <v>15435</v>
      </c>
      <c r="D2439" t="s">
        <v>16205</v>
      </c>
      <c r="E2439" t="s">
        <v>16218</v>
      </c>
      <c r="F2439" t="s">
        <v>16220</v>
      </c>
      <c r="G2439" t="s">
        <v>16266</v>
      </c>
      <c r="H2439" t="s">
        <v>16250</v>
      </c>
      <c r="I2439" t="s">
        <v>16346</v>
      </c>
      <c r="J2439" t="s">
        <v>16385</v>
      </c>
      <c r="K2439">
        <v>0.178</v>
      </c>
      <c r="L2439">
        <v>7737</v>
      </c>
      <c r="M2439">
        <v>1541</v>
      </c>
      <c r="N2439" t="s">
        <v>16393</v>
      </c>
      <c r="O2439" s="4">
        <v>31284</v>
      </c>
      <c r="P2439" s="4">
        <v>91295</v>
      </c>
      <c r="Q2439" s="4">
        <v>122579</v>
      </c>
      <c r="R2439" s="4">
        <v>367737</v>
      </c>
      <c r="S2439" t="s">
        <v>18765</v>
      </c>
      <c r="T2439" s="6">
        <v>43983</v>
      </c>
      <c r="U2439" s="4">
        <v>345000</v>
      </c>
      <c r="V2439" t="s">
        <v>23739</v>
      </c>
      <c r="W2439" t="s">
        <v>24895</v>
      </c>
      <c r="X2439" t="s">
        <v>3</v>
      </c>
      <c r="AA2439" s="5" t="str">
        <f>HYPERLINK("https://www.zillow.com/homes/1911-S-VALLEY-RD-LOMBARD-IL-60148_rb/","check listing")</f>
        <v>check listing</v>
      </c>
      <c r="AB2439" s="5" t="str">
        <f>HYPERLINK("https://propertylookup.dupagecounty.gov/Datalets/Datalet.aspx?UseSearch=no&amp;mode=sales&amp;pin=0524406021","sales record")</f>
        <v>sales record</v>
      </c>
      <c r="AC2439" t="s">
        <v>3</v>
      </c>
      <c r="AD2439">
        <v>41.847737</v>
      </c>
      <c r="AE2439">
        <v>-88.037978</v>
      </c>
      <c r="AF2439" s="5" t="str">
        <f>HYPERLINK("https://www.google.com/maps/search/?api=1&amp;query=41.847737,-88.037978","map")</f>
        <v>map</v>
      </c>
    </row>
    <row r="2440" spans="1:32">
      <c r="A2440" t="s">
        <v>2490</v>
      </c>
      <c r="B2440" t="s">
        <v>10034</v>
      </c>
      <c r="C2440" t="s">
        <v>15435</v>
      </c>
      <c r="D2440" t="s">
        <v>16205</v>
      </c>
      <c r="E2440" t="s">
        <v>16218</v>
      </c>
      <c r="F2440" t="s">
        <v>16220</v>
      </c>
      <c r="G2440" t="s">
        <v>16266</v>
      </c>
      <c r="H2440" t="s">
        <v>16250</v>
      </c>
      <c r="I2440" t="s">
        <v>16346</v>
      </c>
      <c r="J2440" t="s">
        <v>16385</v>
      </c>
      <c r="K2440">
        <v>0.177</v>
      </c>
      <c r="L2440">
        <v>7710</v>
      </c>
      <c r="M2440">
        <v>1501</v>
      </c>
      <c r="N2440" t="s">
        <v>16393</v>
      </c>
      <c r="O2440" s="4">
        <v>31284</v>
      </c>
      <c r="P2440" s="4">
        <v>75412</v>
      </c>
      <c r="Q2440" s="4">
        <v>106696</v>
      </c>
      <c r="R2440" s="4">
        <v>320088</v>
      </c>
      <c r="S2440" t="s">
        <v>18766</v>
      </c>
      <c r="X2440" t="s">
        <v>3</v>
      </c>
      <c r="AA2440" s="5" t="str">
        <f>HYPERLINK("https://www.zillow.com/homes/1041-HUNTER-ST-LOMBARD-IL-60148_rb/","check listing")</f>
        <v>check listing</v>
      </c>
      <c r="AB2440" s="5" t="str">
        <f>HYPERLINK("https://propertylookup.dupagecounty.gov/Datalets/Datalet.aspx?UseSearch=no&amp;mode=sales&amp;pin=0524404003","sales record")</f>
        <v>sales record</v>
      </c>
      <c r="AC2440" t="s">
        <v>3</v>
      </c>
      <c r="AD2440">
        <v>41.845155</v>
      </c>
      <c r="AE2440">
        <v>-88.03535599999999</v>
      </c>
      <c r="AF2440" s="5" t="str">
        <f>HYPERLINK("https://www.google.com/maps/search/?api=1&amp;query=41.845155,-88.035356","map")</f>
        <v>map</v>
      </c>
    </row>
    <row r="2441" spans="1:32">
      <c r="A2441" t="s">
        <v>2491</v>
      </c>
      <c r="B2441" t="s">
        <v>10035</v>
      </c>
      <c r="C2441" t="s">
        <v>15435</v>
      </c>
      <c r="D2441" t="s">
        <v>16205</v>
      </c>
      <c r="E2441" t="s">
        <v>16218</v>
      </c>
      <c r="F2441" t="s">
        <v>16220</v>
      </c>
      <c r="G2441" t="s">
        <v>16266</v>
      </c>
      <c r="H2441" t="s">
        <v>16250</v>
      </c>
      <c r="I2441" t="s">
        <v>16346</v>
      </c>
      <c r="J2441" t="s">
        <v>16385</v>
      </c>
      <c r="K2441">
        <v>0.177</v>
      </c>
      <c r="L2441">
        <v>7709</v>
      </c>
      <c r="M2441">
        <v>1644</v>
      </c>
      <c r="N2441" t="s">
        <v>16393</v>
      </c>
      <c r="O2441" s="4">
        <v>31284</v>
      </c>
      <c r="P2441" s="4">
        <v>84485</v>
      </c>
      <c r="Q2441" s="4">
        <v>115769</v>
      </c>
      <c r="R2441" s="4">
        <v>347307</v>
      </c>
      <c r="S2441" t="s">
        <v>18767</v>
      </c>
      <c r="T2441" s="6">
        <v>29160</v>
      </c>
      <c r="U2441" s="4">
        <v>95955</v>
      </c>
      <c r="X2441" t="s">
        <v>3</v>
      </c>
      <c r="AA2441" s="5" t="str">
        <f>HYPERLINK("https://www.zillow.com/homes/1109-HUNTER-ST-LOMBARD-IL-60148_rb/","check listing")</f>
        <v>check listing</v>
      </c>
      <c r="AB2441" s="5" t="str">
        <f>HYPERLINK("https://propertylookup.dupagecounty.gov/Datalets/Datalet.aspx?UseSearch=no&amp;mode=sales&amp;pin=0524404016","sales record")</f>
        <v>sales record</v>
      </c>
      <c r="AC2441" t="s">
        <v>3</v>
      </c>
      <c r="AD2441">
        <v>41.845135</v>
      </c>
      <c r="AE2441">
        <v>-88.037831</v>
      </c>
      <c r="AF2441" s="5" t="str">
        <f>HYPERLINK("https://www.google.com/maps/search/?api=1&amp;query=41.845135,-88.037831","map")</f>
        <v>map</v>
      </c>
    </row>
    <row r="2442" spans="1:32">
      <c r="A2442" t="s">
        <v>2492</v>
      </c>
      <c r="B2442" t="s">
        <v>10036</v>
      </c>
      <c r="C2442" t="s">
        <v>15435</v>
      </c>
      <c r="D2442" t="s">
        <v>16205</v>
      </c>
      <c r="E2442" t="s">
        <v>16218</v>
      </c>
      <c r="F2442" t="s">
        <v>16220</v>
      </c>
      <c r="G2442" t="s">
        <v>16266</v>
      </c>
      <c r="H2442" t="s">
        <v>16250</v>
      </c>
      <c r="I2442" t="s">
        <v>16346</v>
      </c>
      <c r="J2442" t="s">
        <v>16385</v>
      </c>
      <c r="K2442">
        <v>0.177</v>
      </c>
      <c r="L2442">
        <v>7706</v>
      </c>
      <c r="M2442">
        <v>1179</v>
      </c>
      <c r="N2442" t="s">
        <v>16393</v>
      </c>
      <c r="O2442" s="4">
        <v>31284</v>
      </c>
      <c r="P2442" s="4">
        <v>99791</v>
      </c>
      <c r="Q2442" s="4">
        <v>131075</v>
      </c>
      <c r="R2442" s="4">
        <v>393225</v>
      </c>
      <c r="S2442" t="s">
        <v>18768</v>
      </c>
      <c r="T2442" s="6">
        <v>41091</v>
      </c>
      <c r="U2442" s="4">
        <v>185000</v>
      </c>
      <c r="V2442" t="s">
        <v>23740</v>
      </c>
      <c r="W2442" t="s">
        <v>18768</v>
      </c>
      <c r="X2442" t="s">
        <v>3</v>
      </c>
      <c r="AA2442" s="5" t="str">
        <f>HYPERLINK("https://www.zillow.com/homes/1948-DOWNING-ST-LOMBARD-IL-60148_rb/","check listing")</f>
        <v>check listing</v>
      </c>
      <c r="AB2442" s="5" t="str">
        <f>HYPERLINK("https://propertylookup.dupagecounty.gov/Datalets/Datalet.aspx?UseSearch=no&amp;mode=sales&amp;pin=0524407004","sales record")</f>
        <v>sales record</v>
      </c>
      <c r="AC2442" t="s">
        <v>3</v>
      </c>
      <c r="AD2442">
        <v>41.846516</v>
      </c>
      <c r="AE2442">
        <v>-88.037661</v>
      </c>
      <c r="AF2442" s="5" t="str">
        <f>HYPERLINK("https://www.google.com/maps/search/?api=1&amp;query=41.846516,-88.037661","map")</f>
        <v>map</v>
      </c>
    </row>
    <row r="2443" spans="1:32">
      <c r="A2443" t="s">
        <v>2493</v>
      </c>
      <c r="B2443" t="s">
        <v>10037</v>
      </c>
      <c r="C2443" t="s">
        <v>15435</v>
      </c>
      <c r="D2443" t="s">
        <v>16205</v>
      </c>
      <c r="E2443" t="s">
        <v>16218</v>
      </c>
      <c r="F2443" t="s">
        <v>16220</v>
      </c>
      <c r="G2443" t="s">
        <v>16266</v>
      </c>
      <c r="H2443" t="s">
        <v>16250</v>
      </c>
      <c r="I2443" t="s">
        <v>16346</v>
      </c>
      <c r="J2443" t="s">
        <v>16385</v>
      </c>
      <c r="K2443">
        <v>0.177</v>
      </c>
      <c r="L2443">
        <v>7703</v>
      </c>
      <c r="M2443">
        <v>1140</v>
      </c>
      <c r="N2443" t="s">
        <v>16393</v>
      </c>
      <c r="O2443" s="4">
        <v>31284</v>
      </c>
      <c r="P2443" s="4">
        <v>101559</v>
      </c>
      <c r="Q2443" s="4">
        <v>132843</v>
      </c>
      <c r="R2443" s="4">
        <v>398529</v>
      </c>
      <c r="S2443" t="s">
        <v>18769</v>
      </c>
      <c r="T2443" s="6">
        <v>36617</v>
      </c>
      <c r="U2443" s="4">
        <v>198000</v>
      </c>
      <c r="V2443" t="s">
        <v>23739</v>
      </c>
      <c r="W2443" t="s">
        <v>24896</v>
      </c>
      <c r="X2443" t="s">
        <v>3</v>
      </c>
      <c r="AA2443" s="5" t="str">
        <f>HYPERLINK("https://www.zillow.com/homes/980-FOXWORTH-BLVD-LOMBARD-IL-60148_rb/","check listing")</f>
        <v>check listing</v>
      </c>
      <c r="AB2443" s="5" t="str">
        <f>HYPERLINK("https://propertylookup.dupagecounty.gov/Datalets/Datalet.aspx?UseSearch=no&amp;mode=sales&amp;pin=0524402014","sales record")</f>
        <v>sales record</v>
      </c>
      <c r="AC2443" t="s">
        <v>3</v>
      </c>
      <c r="AD2443">
        <v>41.845868</v>
      </c>
      <c r="AE2443">
        <v>-88.033686</v>
      </c>
      <c r="AF2443" s="5" t="str">
        <f>HYPERLINK("https://www.google.com/maps/search/?api=1&amp;query=41.845868,-88.033686","map")</f>
        <v>map</v>
      </c>
    </row>
    <row r="2444" spans="1:32">
      <c r="A2444" t="s">
        <v>2494</v>
      </c>
      <c r="B2444" t="s">
        <v>10038</v>
      </c>
      <c r="C2444" t="s">
        <v>15435</v>
      </c>
      <c r="D2444" t="s">
        <v>16205</v>
      </c>
      <c r="E2444" t="s">
        <v>16218</v>
      </c>
      <c r="F2444" t="s">
        <v>16220</v>
      </c>
      <c r="G2444" t="s">
        <v>16254</v>
      </c>
      <c r="H2444" t="s">
        <v>16254</v>
      </c>
      <c r="I2444" t="s">
        <v>16346</v>
      </c>
      <c r="J2444" t="s">
        <v>16385</v>
      </c>
      <c r="K2444">
        <v>0.177</v>
      </c>
      <c r="L2444">
        <v>7699</v>
      </c>
      <c r="M2444">
        <v>1196</v>
      </c>
      <c r="N2444" t="s">
        <v>16393</v>
      </c>
      <c r="O2444" s="4">
        <v>21217</v>
      </c>
      <c r="P2444" s="4">
        <v>81123</v>
      </c>
      <c r="Q2444" s="4">
        <v>102340</v>
      </c>
      <c r="R2444" s="4">
        <v>307020</v>
      </c>
      <c r="S2444" t="s">
        <v>18770</v>
      </c>
      <c r="T2444" s="6">
        <v>32964</v>
      </c>
      <c r="U2444" s="4">
        <v>94000</v>
      </c>
      <c r="X2444" t="s">
        <v>3</v>
      </c>
      <c r="AA2444" s="5" t="str">
        <f>HYPERLINK("https://www.zillow.com/homes/15-W-ANN-ST-LOMBARD-IL-60148_rb/","check listing")</f>
        <v>check listing</v>
      </c>
      <c r="AB2444" s="5" t="str">
        <f>HYPERLINK("https://propertylookup.dupagecounty.gov/Datalets/Datalet.aspx?UseSearch=no&amp;mode=sales&amp;pin=0618421005","sales record")</f>
        <v>sales record</v>
      </c>
      <c r="AC2444" t="s">
        <v>3</v>
      </c>
      <c r="AD2444">
        <v>41.860801</v>
      </c>
      <c r="AE2444">
        <v>-88.01917</v>
      </c>
      <c r="AF2444" s="5" t="str">
        <f>HYPERLINK("https://www.google.com/maps/search/?api=1&amp;query=41.860801,-88.01917","map")</f>
        <v>map</v>
      </c>
    </row>
    <row r="2445" spans="1:32">
      <c r="A2445" t="s">
        <v>2495</v>
      </c>
      <c r="B2445" t="s">
        <v>10039</v>
      </c>
      <c r="C2445" t="s">
        <v>15435</v>
      </c>
      <c r="D2445" t="s">
        <v>16205</v>
      </c>
      <c r="E2445" t="s">
        <v>16218</v>
      </c>
      <c r="F2445" t="s">
        <v>16220</v>
      </c>
      <c r="G2445" t="s">
        <v>16254</v>
      </c>
      <c r="H2445" t="s">
        <v>16254</v>
      </c>
      <c r="I2445" t="s">
        <v>16346</v>
      </c>
      <c r="J2445" t="s">
        <v>16385</v>
      </c>
      <c r="K2445">
        <v>0.177</v>
      </c>
      <c r="L2445">
        <v>7695</v>
      </c>
      <c r="M2445">
        <v>2362</v>
      </c>
      <c r="N2445" t="s">
        <v>16393</v>
      </c>
      <c r="O2445" s="4">
        <v>21217</v>
      </c>
      <c r="P2445" s="4">
        <v>73611</v>
      </c>
      <c r="Q2445" s="4">
        <v>94828</v>
      </c>
      <c r="R2445" s="4">
        <v>284484</v>
      </c>
      <c r="S2445" t="s">
        <v>18771</v>
      </c>
      <c r="T2445" s="6">
        <v>34121</v>
      </c>
      <c r="U2445" s="4">
        <v>101000</v>
      </c>
      <c r="X2445" t="s">
        <v>3</v>
      </c>
      <c r="AA2445" s="5" t="str">
        <f>HYPERLINK("https://www.zillow.com/homes/21-W-ANN-ST-LOMBARD-IL-60148_rb/","check listing")</f>
        <v>check listing</v>
      </c>
      <c r="AB2445" s="5" t="str">
        <f>HYPERLINK("https://propertylookup.dupagecounty.gov/Datalets/Datalet.aspx?UseSearch=no&amp;mode=sales&amp;pin=0618421004","sales record")</f>
        <v>sales record</v>
      </c>
      <c r="AC2445" t="s">
        <v>3</v>
      </c>
      <c r="AD2445">
        <v>41.860796</v>
      </c>
      <c r="AE2445">
        <v>-88.019355</v>
      </c>
      <c r="AF2445" s="5" t="str">
        <f>HYPERLINK("https://www.google.com/maps/search/?api=1&amp;query=41.860796,-88.019355","map")</f>
        <v>map</v>
      </c>
    </row>
    <row r="2446" spans="1:32">
      <c r="A2446" t="s">
        <v>2496</v>
      </c>
      <c r="B2446" t="s">
        <v>10040</v>
      </c>
      <c r="C2446" t="s">
        <v>15435</v>
      </c>
      <c r="D2446" t="s">
        <v>16205</v>
      </c>
      <c r="E2446" t="s">
        <v>16218</v>
      </c>
      <c r="F2446" t="s">
        <v>16220</v>
      </c>
      <c r="G2446" t="s">
        <v>16266</v>
      </c>
      <c r="H2446" t="s">
        <v>16250</v>
      </c>
      <c r="I2446" t="s">
        <v>16346</v>
      </c>
      <c r="J2446" t="s">
        <v>16385</v>
      </c>
      <c r="K2446">
        <v>0.176</v>
      </c>
      <c r="L2446">
        <v>7658</v>
      </c>
      <c r="M2446">
        <v>1670</v>
      </c>
      <c r="N2446" t="s">
        <v>16393</v>
      </c>
      <c r="O2446" s="4">
        <v>31284</v>
      </c>
      <c r="P2446" s="4">
        <v>86594</v>
      </c>
      <c r="Q2446" s="4">
        <v>117878</v>
      </c>
      <c r="R2446" s="4">
        <v>353634</v>
      </c>
      <c r="S2446" t="s">
        <v>18772</v>
      </c>
      <c r="T2446" s="6">
        <v>30956</v>
      </c>
      <c r="U2446" s="4">
        <v>55000</v>
      </c>
      <c r="X2446" t="s">
        <v>3</v>
      </c>
      <c r="AA2446" s="5" t="str">
        <f>HYPERLINK("https://www.zillow.com/homes/1129-HUNTER-ST-LOMBARD-IL-60148_rb/","check listing")</f>
        <v>check listing</v>
      </c>
      <c r="AB2446" s="5" t="str">
        <f>HYPERLINK("https://propertylookup.dupagecounty.gov/Datalets/Datalet.aspx?UseSearch=no&amp;mode=sales&amp;pin=0524406013","sales record")</f>
        <v>sales record</v>
      </c>
      <c r="AC2446" t="s">
        <v>3</v>
      </c>
      <c r="AD2446">
        <v>41.846296</v>
      </c>
      <c r="AE2446">
        <v>-88.03949</v>
      </c>
      <c r="AF2446" s="5" t="str">
        <f>HYPERLINK("https://www.google.com/maps/search/?api=1&amp;query=41.846296,-88.03949","map")</f>
        <v>map</v>
      </c>
    </row>
    <row r="2447" spans="1:32">
      <c r="A2447" t="s">
        <v>2497</v>
      </c>
      <c r="B2447" t="s">
        <v>10041</v>
      </c>
      <c r="C2447" t="s">
        <v>15435</v>
      </c>
      <c r="D2447" t="s">
        <v>16205</v>
      </c>
      <c r="E2447" t="s">
        <v>16218</v>
      </c>
      <c r="F2447" t="s">
        <v>16220</v>
      </c>
      <c r="G2447" t="s">
        <v>16266</v>
      </c>
      <c r="H2447" t="s">
        <v>16250</v>
      </c>
      <c r="I2447" t="s">
        <v>16346</v>
      </c>
      <c r="J2447" t="s">
        <v>16385</v>
      </c>
      <c r="K2447">
        <v>0.176</v>
      </c>
      <c r="L2447">
        <v>7657</v>
      </c>
      <c r="M2447">
        <v>1040</v>
      </c>
      <c r="N2447" t="s">
        <v>16393</v>
      </c>
      <c r="O2447" s="4">
        <v>31284</v>
      </c>
      <c r="P2447" s="4">
        <v>101559</v>
      </c>
      <c r="Q2447" s="4">
        <v>132843</v>
      </c>
      <c r="R2447" s="4">
        <v>398529</v>
      </c>
      <c r="S2447" t="s">
        <v>18773</v>
      </c>
      <c r="T2447" s="6">
        <v>44897</v>
      </c>
      <c r="U2447" s="4">
        <v>230000</v>
      </c>
      <c r="V2447" t="s">
        <v>23741</v>
      </c>
      <c r="W2447" t="s">
        <v>24897</v>
      </c>
      <c r="X2447" t="s">
        <v>3</v>
      </c>
      <c r="AA2447" s="5" t="str">
        <f>HYPERLINK("https://www.zillow.com/homes/2081-DOWNING-ST-LOMBARD-IL-60148_rb/","check listing")</f>
        <v>check listing</v>
      </c>
      <c r="AB2447" s="5" t="str">
        <f>HYPERLINK("https://propertylookup.dupagecounty.gov/Datalets/Datalet.aspx?UseSearch=no&amp;mode=sales&amp;pin=0524403044","sales record")</f>
        <v>sales record</v>
      </c>
      <c r="AC2447" t="s">
        <v>3</v>
      </c>
      <c r="AD2447">
        <v>41.845741</v>
      </c>
      <c r="AE2447">
        <v>-88.036427</v>
      </c>
      <c r="AF2447" s="5" t="str">
        <f>HYPERLINK("https://www.google.com/maps/search/?api=1&amp;query=41.845741,-88.036427","map")</f>
        <v>map</v>
      </c>
    </row>
    <row r="2448" spans="1:32">
      <c r="A2448" t="s">
        <v>2498</v>
      </c>
      <c r="B2448" t="s">
        <v>10042</v>
      </c>
      <c r="C2448" t="s">
        <v>15435</v>
      </c>
      <c r="D2448" t="s">
        <v>16205</v>
      </c>
      <c r="E2448" t="s">
        <v>16218</v>
      </c>
      <c r="F2448" t="s">
        <v>16220</v>
      </c>
      <c r="G2448" t="s">
        <v>16266</v>
      </c>
      <c r="H2448" t="s">
        <v>16250</v>
      </c>
      <c r="I2448" t="s">
        <v>16346</v>
      </c>
      <c r="J2448" t="s">
        <v>16385</v>
      </c>
      <c r="K2448">
        <v>0.176</v>
      </c>
      <c r="L2448">
        <v>7655</v>
      </c>
      <c r="M2448">
        <v>2090</v>
      </c>
      <c r="N2448" t="s">
        <v>16393</v>
      </c>
      <c r="O2448" s="4">
        <v>29417</v>
      </c>
      <c r="P2448" s="4">
        <v>112790</v>
      </c>
      <c r="Q2448" s="4">
        <v>142207</v>
      </c>
      <c r="R2448" s="4">
        <v>426621</v>
      </c>
      <c r="S2448" t="s">
        <v>18774</v>
      </c>
      <c r="X2448" t="s">
        <v>3</v>
      </c>
      <c r="AA2448" s="5" t="str">
        <f>HYPERLINK("https://www.zillow.com/homes/917-FOXWORTH-BLVD-LOMBARD-IL-60148_rb/","check listing")</f>
        <v>check listing</v>
      </c>
      <c r="AB2448" s="5" t="str">
        <f>HYPERLINK("https://propertylookup.dupagecounty.gov/Datalets/Datalet.aspx?UseSearch=no&amp;mode=sales&amp;pin=0619302005","sales record")</f>
        <v>sales record</v>
      </c>
      <c r="AC2448" t="s">
        <v>3</v>
      </c>
      <c r="AD2448">
        <v>41.845226</v>
      </c>
      <c r="AE2448">
        <v>-88.03255900000001</v>
      </c>
      <c r="AF2448" s="5" t="str">
        <f>HYPERLINK("https://www.google.com/maps/search/?api=1&amp;query=41.845226,-88.032559","map")</f>
        <v>map</v>
      </c>
    </row>
    <row r="2449" spans="1:32">
      <c r="A2449" t="s">
        <v>2499</v>
      </c>
      <c r="B2449" t="s">
        <v>10043</v>
      </c>
      <c r="C2449" t="s">
        <v>15435</v>
      </c>
      <c r="D2449" t="s">
        <v>16205</v>
      </c>
      <c r="E2449" t="s">
        <v>16218</v>
      </c>
      <c r="F2449" t="s">
        <v>16220</v>
      </c>
      <c r="G2449" t="s">
        <v>16266</v>
      </c>
      <c r="H2449" t="s">
        <v>16250</v>
      </c>
      <c r="I2449" t="s">
        <v>16346</v>
      </c>
      <c r="J2449" t="s">
        <v>16385</v>
      </c>
      <c r="K2449">
        <v>0.175</v>
      </c>
      <c r="L2449">
        <v>7644</v>
      </c>
      <c r="M2449">
        <v>1510</v>
      </c>
      <c r="N2449" t="s">
        <v>16393</v>
      </c>
      <c r="O2449" s="4">
        <v>31284</v>
      </c>
      <c r="P2449" s="4">
        <v>92215</v>
      </c>
      <c r="Q2449" s="4">
        <v>123499</v>
      </c>
      <c r="R2449" s="4">
        <v>370497</v>
      </c>
      <c r="S2449" t="s">
        <v>18775</v>
      </c>
      <c r="T2449" s="6">
        <v>34912</v>
      </c>
      <c r="U2449" s="4">
        <v>174500</v>
      </c>
      <c r="X2449" t="s">
        <v>3</v>
      </c>
      <c r="AA2449" s="5" t="str">
        <f>HYPERLINK("https://www.zillow.com/homes/196O-WITT-DR-LOMBARD-IL-60148_rb/","check listing")</f>
        <v>check listing</v>
      </c>
      <c r="AB2449" s="5" t="str">
        <f>HYPERLINK("https://propertylookup.dupagecounty.gov/Datalets/Datalet.aspx?UseSearch=no&amp;mode=sales&amp;pin=0524412012","sales record")</f>
        <v>sales record</v>
      </c>
      <c r="AC2449" t="s">
        <v>3</v>
      </c>
      <c r="AD2449">
        <v>41.848332</v>
      </c>
      <c r="AE2449">
        <v>-88.03960600000001</v>
      </c>
      <c r="AF2449" s="5" t="str">
        <f>HYPERLINK("https://www.google.com/maps/search/?api=1&amp;query=41.848332,-88.039606","map")</f>
        <v>map</v>
      </c>
    </row>
    <row r="2450" spans="1:32">
      <c r="A2450" t="s">
        <v>2500</v>
      </c>
      <c r="B2450" t="s">
        <v>10044</v>
      </c>
      <c r="C2450" t="s">
        <v>15439</v>
      </c>
      <c r="D2450" t="s">
        <v>16205</v>
      </c>
      <c r="E2450" t="s">
        <v>16218</v>
      </c>
      <c r="F2450" t="s">
        <v>16220</v>
      </c>
      <c r="G2450" t="s">
        <v>16266</v>
      </c>
      <c r="H2450" t="s">
        <v>16250</v>
      </c>
      <c r="I2450" t="s">
        <v>16346</v>
      </c>
      <c r="J2450" t="s">
        <v>16385</v>
      </c>
      <c r="K2450">
        <v>0.174</v>
      </c>
      <c r="L2450">
        <v>7597</v>
      </c>
      <c r="M2450">
        <v>1489</v>
      </c>
      <c r="N2450" t="s">
        <v>16393</v>
      </c>
      <c r="O2450" s="4">
        <v>31284</v>
      </c>
      <c r="P2450" s="4">
        <v>108345</v>
      </c>
      <c r="Q2450" s="4">
        <v>139629</v>
      </c>
      <c r="R2450" s="4">
        <v>418887</v>
      </c>
      <c r="S2450" t="s">
        <v>18776</v>
      </c>
      <c r="T2450" s="6">
        <v>35977</v>
      </c>
      <c r="U2450" s="4">
        <v>218000</v>
      </c>
      <c r="X2450" t="s">
        <v>3</v>
      </c>
      <c r="AA2450" s="5" t="str">
        <f>HYPERLINK("https://www.zillow.com/homes/2081-QUEENSBURY-CT-LOMBARD-IL-601485142_rb/","check listing")</f>
        <v>check listing</v>
      </c>
      <c r="AB2450" s="5" t="str">
        <f>HYPERLINK("https://propertylookup.dupagecounty.gov/Datalets/Datalet.aspx?UseSearch=no&amp;mode=sales&amp;pin=0524406044","sales record")</f>
        <v>sales record</v>
      </c>
      <c r="AC2450" t="s">
        <v>3</v>
      </c>
      <c r="AD2450">
        <v>41.845095</v>
      </c>
      <c r="AE2450">
        <v>-88.04003899999999</v>
      </c>
      <c r="AF2450" s="5" t="str">
        <f>HYPERLINK("https://www.google.com/maps/search/?api=1&amp;query=41.845095,-88.040039","map")</f>
        <v>map</v>
      </c>
    </row>
    <row r="2451" spans="1:32">
      <c r="A2451" t="s">
        <v>2501</v>
      </c>
      <c r="B2451" t="s">
        <v>10045</v>
      </c>
      <c r="C2451" t="s">
        <v>15435</v>
      </c>
      <c r="D2451" t="s">
        <v>16205</v>
      </c>
      <c r="E2451" t="s">
        <v>16218</v>
      </c>
      <c r="F2451" t="s">
        <v>16220</v>
      </c>
      <c r="G2451" t="s">
        <v>16266</v>
      </c>
      <c r="H2451" t="s">
        <v>16250</v>
      </c>
      <c r="I2451" t="s">
        <v>16346</v>
      </c>
      <c r="J2451" t="s">
        <v>16385</v>
      </c>
      <c r="K2451">
        <v>0.174</v>
      </c>
      <c r="L2451">
        <v>7583</v>
      </c>
      <c r="M2451">
        <v>1771</v>
      </c>
      <c r="N2451" t="s">
        <v>16393</v>
      </c>
      <c r="O2451" s="4">
        <v>31284</v>
      </c>
      <c r="P2451" s="4">
        <v>99791</v>
      </c>
      <c r="Q2451" s="4">
        <v>131075</v>
      </c>
      <c r="R2451" s="4">
        <v>393225</v>
      </c>
      <c r="S2451" t="s">
        <v>18777</v>
      </c>
      <c r="T2451" s="6">
        <v>37438</v>
      </c>
      <c r="U2451" s="4">
        <v>270000</v>
      </c>
      <c r="V2451" t="s">
        <v>23739</v>
      </c>
      <c r="W2451" t="s">
        <v>24898</v>
      </c>
      <c r="X2451" t="s">
        <v>3</v>
      </c>
      <c r="AA2451" s="5" t="str">
        <f>HYPERLINK("https://www.zillow.com/homes/2001-DOWNING-ST-LOMBARD-IL-60148_rb/","check listing")</f>
        <v>check listing</v>
      </c>
      <c r="AB2451" s="5" t="str">
        <f>HYPERLINK("https://propertylookup.dupagecounty.gov/Datalets/Datalet.aspx?UseSearch=no&amp;mode=sales&amp;pin=0524403040","sales record")</f>
        <v>sales record</v>
      </c>
      <c r="AC2451" t="s">
        <v>3</v>
      </c>
      <c r="AD2451">
        <v>41.846427</v>
      </c>
      <c r="AE2451">
        <v>-88.036462</v>
      </c>
      <c r="AF2451" s="5" t="str">
        <f>HYPERLINK("https://www.google.com/maps/search/?api=1&amp;query=41.846427,-88.036462","map")</f>
        <v>map</v>
      </c>
    </row>
    <row r="2452" spans="1:32">
      <c r="A2452" t="s">
        <v>2502</v>
      </c>
      <c r="B2452" t="s">
        <v>10046</v>
      </c>
      <c r="C2452" t="s">
        <v>15435</v>
      </c>
      <c r="D2452" t="s">
        <v>16205</v>
      </c>
      <c r="E2452" t="s">
        <v>16218</v>
      </c>
      <c r="F2452" t="s">
        <v>16220</v>
      </c>
      <c r="G2452" t="s">
        <v>16266</v>
      </c>
      <c r="H2452" t="s">
        <v>16250</v>
      </c>
      <c r="I2452" t="s">
        <v>16346</v>
      </c>
      <c r="J2452" t="s">
        <v>16385</v>
      </c>
      <c r="K2452">
        <v>0.174</v>
      </c>
      <c r="L2452">
        <v>7579</v>
      </c>
      <c r="M2452">
        <v>1372</v>
      </c>
      <c r="N2452" t="s">
        <v>16393</v>
      </c>
      <c r="O2452" s="4">
        <v>31284</v>
      </c>
      <c r="P2452" s="4">
        <v>94064</v>
      </c>
      <c r="Q2452" s="4">
        <v>125348</v>
      </c>
      <c r="R2452" s="4">
        <v>376044</v>
      </c>
      <c r="S2452" t="s">
        <v>18778</v>
      </c>
      <c r="T2452" s="6">
        <v>41609</v>
      </c>
      <c r="U2452" s="4">
        <v>265000</v>
      </c>
      <c r="V2452" t="s">
        <v>23739</v>
      </c>
      <c r="W2452" t="s">
        <v>24899</v>
      </c>
      <c r="X2452" t="s">
        <v>3</v>
      </c>
      <c r="AA2452" s="5" t="str">
        <f>HYPERLINK("https://www.zillow.com/homes/2061-QUEENSBURY-CT-LOMBARD-IL-60148_rb/","check listing")</f>
        <v>check listing</v>
      </c>
      <c r="AB2452" s="5" t="str">
        <f>HYPERLINK("https://propertylookup.dupagecounty.gov/Datalets/Datalet.aspx?UseSearch=no&amp;mode=sales&amp;pin=0524406042","sales record")</f>
        <v>sales record</v>
      </c>
      <c r="AC2452" t="s">
        <v>3</v>
      </c>
      <c r="AD2452">
        <v>41.845101</v>
      </c>
      <c r="AE2452">
        <v>-88.039523</v>
      </c>
      <c r="AF2452" s="5" t="str">
        <f>HYPERLINK("https://www.google.com/maps/search/?api=1&amp;query=41.845101,-88.039523","map")</f>
        <v>map</v>
      </c>
    </row>
    <row r="2453" spans="1:32">
      <c r="A2453" t="s">
        <v>2503</v>
      </c>
      <c r="B2453" t="s">
        <v>10047</v>
      </c>
      <c r="C2453" t="s">
        <v>15435</v>
      </c>
      <c r="D2453" t="s">
        <v>16205</v>
      </c>
      <c r="E2453" t="s">
        <v>16218</v>
      </c>
      <c r="F2453" t="s">
        <v>16220</v>
      </c>
      <c r="G2453" t="s">
        <v>16266</v>
      </c>
      <c r="H2453" t="s">
        <v>16250</v>
      </c>
      <c r="I2453" t="s">
        <v>16346</v>
      </c>
      <c r="J2453" t="s">
        <v>16385</v>
      </c>
      <c r="K2453">
        <v>0.172</v>
      </c>
      <c r="L2453">
        <v>7501</v>
      </c>
      <c r="M2453">
        <v>1348</v>
      </c>
      <c r="N2453" t="s">
        <v>16393</v>
      </c>
      <c r="O2453" s="4">
        <v>31284</v>
      </c>
      <c r="P2453" s="4">
        <v>108345</v>
      </c>
      <c r="Q2453" s="4">
        <v>139629</v>
      </c>
      <c r="R2453" s="4">
        <v>418887</v>
      </c>
      <c r="S2453" t="s">
        <v>18779</v>
      </c>
      <c r="T2453" s="6">
        <v>31778</v>
      </c>
      <c r="U2453" s="4">
        <v>123890</v>
      </c>
      <c r="X2453" t="s">
        <v>3</v>
      </c>
      <c r="AA2453" s="5" t="str">
        <f>HYPERLINK("https://www.zillow.com/homes/1981-VALLEY-RD-LOMBARD-IL-60148_rb/","check listing")</f>
        <v>check listing</v>
      </c>
      <c r="AB2453" s="5" t="str">
        <f>HYPERLINK("https://propertylookup.dupagecounty.gov/Datalets/Datalet.aspx?UseSearch=no&amp;mode=sales&amp;pin=0524406028","sales record")</f>
        <v>sales record</v>
      </c>
      <c r="AC2453" t="s">
        <v>3</v>
      </c>
      <c r="AD2453">
        <v>41.847137</v>
      </c>
      <c r="AE2453">
        <v>-88.039573</v>
      </c>
      <c r="AF2453" s="5" t="str">
        <f>HYPERLINK("https://www.google.com/maps/search/?api=1&amp;query=41.847137,-88.039573","map")</f>
        <v>map</v>
      </c>
    </row>
    <row r="2454" spans="1:32">
      <c r="A2454" t="s">
        <v>2504</v>
      </c>
      <c r="B2454" t="s">
        <v>10048</v>
      </c>
      <c r="C2454" t="s">
        <v>15454</v>
      </c>
      <c r="D2454" t="s">
        <v>16205</v>
      </c>
      <c r="E2454" t="s">
        <v>16218</v>
      </c>
      <c r="F2454" t="s">
        <v>16220</v>
      </c>
      <c r="G2454" t="s">
        <v>16254</v>
      </c>
      <c r="H2454" t="s">
        <v>16254</v>
      </c>
      <c r="I2454" t="s">
        <v>16346</v>
      </c>
      <c r="J2454" t="s">
        <v>16385</v>
      </c>
      <c r="K2454">
        <v>0.171</v>
      </c>
      <c r="L2454">
        <v>7455</v>
      </c>
      <c r="M2454">
        <v>1413</v>
      </c>
      <c r="N2454" t="s">
        <v>16393</v>
      </c>
      <c r="O2454" s="4">
        <v>23362</v>
      </c>
      <c r="P2454" s="4">
        <v>82126</v>
      </c>
      <c r="Q2454" s="4">
        <v>105488</v>
      </c>
      <c r="R2454" s="4">
        <v>316464</v>
      </c>
      <c r="S2454" t="s">
        <v>18780</v>
      </c>
      <c r="T2454" s="6">
        <v>34425</v>
      </c>
      <c r="U2454" s="4">
        <v>106000</v>
      </c>
      <c r="X2454" t="s">
        <v>3</v>
      </c>
      <c r="AA2454" s="5" t="str">
        <f>HYPERLINK("https://www.zillow.com/homes/18-N-ELIZABETH-ST-LOMBARD-IL-601482202_rb/","check listing")</f>
        <v>check listing</v>
      </c>
      <c r="AB2454" s="5" t="str">
        <f>HYPERLINK("https://propertylookup.dupagecounty.gov/Datalets/Datalet.aspx?UseSearch=no&amp;mode=sales&amp;pin=0607202033","sales record")</f>
        <v>sales record</v>
      </c>
      <c r="AC2454" t="s">
        <v>3</v>
      </c>
      <c r="AD2454">
        <v>41.886456</v>
      </c>
      <c r="AE2454">
        <v>-88.024618</v>
      </c>
      <c r="AF2454" s="5" t="str">
        <f>HYPERLINK("https://www.google.com/maps/search/?api=1&amp;query=41.886456,-88.024618","map")</f>
        <v>map</v>
      </c>
    </row>
    <row r="2455" spans="1:32">
      <c r="A2455" t="s">
        <v>2505</v>
      </c>
      <c r="B2455" t="s">
        <v>10049</v>
      </c>
      <c r="C2455" t="s">
        <v>15435</v>
      </c>
      <c r="D2455" t="s">
        <v>16205</v>
      </c>
      <c r="E2455" t="s">
        <v>16218</v>
      </c>
      <c r="F2455" t="s">
        <v>16220</v>
      </c>
      <c r="G2455" t="s">
        <v>16266</v>
      </c>
      <c r="H2455" t="s">
        <v>16250</v>
      </c>
      <c r="I2455" t="s">
        <v>16346</v>
      </c>
      <c r="J2455" t="s">
        <v>16385</v>
      </c>
      <c r="K2455">
        <v>0.171</v>
      </c>
      <c r="L2455">
        <v>7452</v>
      </c>
      <c r="M2455">
        <v>1653</v>
      </c>
      <c r="N2455" t="s">
        <v>16393</v>
      </c>
      <c r="O2455" s="4">
        <v>31284</v>
      </c>
      <c r="P2455" s="4">
        <v>76814</v>
      </c>
      <c r="Q2455" s="4">
        <v>108098</v>
      </c>
      <c r="R2455" s="4">
        <v>324294</v>
      </c>
      <c r="S2455" t="s">
        <v>18781</v>
      </c>
      <c r="T2455" s="6">
        <v>31229</v>
      </c>
      <c r="U2455" s="4">
        <v>88000</v>
      </c>
      <c r="X2455" t="s">
        <v>3</v>
      </c>
      <c r="AA2455" s="5" t="str">
        <f>HYPERLINK("https://www.zillow.com/homes/1005-FOXWORTH-BLVD-LOMBARD-IL-60148_rb/","check listing")</f>
        <v>check listing</v>
      </c>
      <c r="AB2455" s="5" t="str">
        <f>HYPERLINK("https://propertylookup.dupagecounty.gov/Datalets/Datalet.aspx?UseSearch=no&amp;mode=sales&amp;pin=0524404008","sales record")</f>
        <v>sales record</v>
      </c>
      <c r="AC2455" t="s">
        <v>3</v>
      </c>
      <c r="AD2455">
        <v>41.845865</v>
      </c>
      <c r="AE2455">
        <v>-88.034554</v>
      </c>
      <c r="AF2455" s="5" t="str">
        <f>HYPERLINK("https://www.google.com/maps/search/?api=1&amp;query=41.845865,-88.034554","map")</f>
        <v>map</v>
      </c>
    </row>
    <row r="2456" spans="1:32">
      <c r="A2456" t="s">
        <v>2506</v>
      </c>
      <c r="B2456" t="s">
        <v>10050</v>
      </c>
      <c r="C2456" t="s">
        <v>15455</v>
      </c>
      <c r="D2456" t="s">
        <v>16205</v>
      </c>
      <c r="E2456" t="s">
        <v>16218</v>
      </c>
      <c r="F2456" t="s">
        <v>16220</v>
      </c>
      <c r="G2456" t="s">
        <v>16266</v>
      </c>
      <c r="H2456" t="s">
        <v>16250</v>
      </c>
      <c r="I2456" t="s">
        <v>16346</v>
      </c>
      <c r="J2456" t="s">
        <v>16385</v>
      </c>
      <c r="K2456">
        <v>0.168</v>
      </c>
      <c r="L2456">
        <v>7325</v>
      </c>
      <c r="M2456">
        <v>971</v>
      </c>
      <c r="N2456" t="s">
        <v>16393</v>
      </c>
      <c r="O2456" s="4">
        <v>31284</v>
      </c>
      <c r="P2456" s="4">
        <v>104445</v>
      </c>
      <c r="Q2456" s="4">
        <v>135729</v>
      </c>
      <c r="R2456" s="4">
        <v>407187</v>
      </c>
      <c r="S2456" t="s">
        <v>18782</v>
      </c>
      <c r="T2456" s="6">
        <v>45119</v>
      </c>
      <c r="U2456" s="4">
        <v>472000</v>
      </c>
      <c r="V2456" t="s">
        <v>23739</v>
      </c>
      <c r="W2456" t="s">
        <v>24900</v>
      </c>
      <c r="X2456" t="s">
        <v>3</v>
      </c>
      <c r="AA2456" s="5" t="str">
        <f>HYPERLINK("https://www.zillow.com/homes/1130-HUNTER-ST-LOMBARD-IL-601484822_rb/","check listing")</f>
        <v>check listing</v>
      </c>
      <c r="AB2456" s="5" t="str">
        <f>HYPERLINK("https://propertylookup.dupagecounty.gov/Datalets/Datalet.aspx?UseSearch=no&amp;mode=sales&amp;pin=0524408012","sales record")</f>
        <v>sales record</v>
      </c>
      <c r="AC2456" t="s">
        <v>3</v>
      </c>
      <c r="AD2456">
        <v>41.846585</v>
      </c>
      <c r="AE2456">
        <v>-88.039027</v>
      </c>
      <c r="AF2456" s="5" t="str">
        <f>HYPERLINK("https://www.google.com/maps/search/?api=1&amp;query=41.846585,-88.039027","map")</f>
        <v>map</v>
      </c>
    </row>
    <row r="2457" spans="1:32">
      <c r="A2457" t="s">
        <v>2507</v>
      </c>
      <c r="B2457" t="s">
        <v>10051</v>
      </c>
      <c r="C2457" t="s">
        <v>15435</v>
      </c>
      <c r="D2457" t="s">
        <v>16205</v>
      </c>
      <c r="E2457" t="s">
        <v>16218</v>
      </c>
      <c r="F2457" t="s">
        <v>16220</v>
      </c>
      <c r="G2457" t="s">
        <v>16266</v>
      </c>
      <c r="H2457" t="s">
        <v>16250</v>
      </c>
      <c r="I2457" t="s">
        <v>16346</v>
      </c>
      <c r="J2457" t="s">
        <v>16385</v>
      </c>
      <c r="K2457">
        <v>0.168</v>
      </c>
      <c r="L2457">
        <v>7323</v>
      </c>
      <c r="M2457">
        <v>1591</v>
      </c>
      <c r="N2457" t="s">
        <v>16393</v>
      </c>
      <c r="O2457" s="4">
        <v>31284</v>
      </c>
      <c r="P2457" s="4">
        <v>82635</v>
      </c>
      <c r="Q2457" s="4">
        <v>113919</v>
      </c>
      <c r="R2457" s="4">
        <v>341757</v>
      </c>
      <c r="S2457" t="s">
        <v>18783</v>
      </c>
      <c r="T2457" s="6">
        <v>40940</v>
      </c>
      <c r="U2457" s="4">
        <v>255000</v>
      </c>
      <c r="V2457" t="s">
        <v>23739</v>
      </c>
      <c r="W2457" t="s">
        <v>18783</v>
      </c>
      <c r="X2457" t="s">
        <v>3</v>
      </c>
      <c r="AA2457" s="5" t="str">
        <f>HYPERLINK("https://www.zillow.com/homes/1979-DOWNING-ST-LOMBARD-IL-60148_rb/","check listing")</f>
        <v>check listing</v>
      </c>
      <c r="AB2457" s="5" t="str">
        <f>HYPERLINK("https://propertylookup.dupagecounty.gov/Datalets/Datalet.aspx?UseSearch=no&amp;mode=sales&amp;pin=0524403025","sales record")</f>
        <v>sales record</v>
      </c>
      <c r="AC2457" t="s">
        <v>3</v>
      </c>
      <c r="AD2457">
        <v>41.846836</v>
      </c>
      <c r="AE2457">
        <v>-88.036641</v>
      </c>
      <c r="AF2457" s="5" t="str">
        <f>HYPERLINK("https://www.google.com/maps/search/?api=1&amp;query=41.846836,-88.036641","map")</f>
        <v>map</v>
      </c>
    </row>
    <row r="2458" spans="1:32">
      <c r="A2458" t="s">
        <v>2508</v>
      </c>
      <c r="B2458" t="s">
        <v>10052</v>
      </c>
      <c r="C2458" t="s">
        <v>15435</v>
      </c>
      <c r="D2458" t="s">
        <v>16205</v>
      </c>
      <c r="E2458" t="s">
        <v>16218</v>
      </c>
      <c r="F2458" t="s">
        <v>16220</v>
      </c>
      <c r="G2458" t="s">
        <v>16266</v>
      </c>
      <c r="H2458" t="s">
        <v>16250</v>
      </c>
      <c r="I2458" t="s">
        <v>16346</v>
      </c>
      <c r="J2458" t="s">
        <v>16385</v>
      </c>
      <c r="K2458">
        <v>0.167</v>
      </c>
      <c r="L2458">
        <v>7287</v>
      </c>
      <c r="M2458">
        <v>1631</v>
      </c>
      <c r="N2458" t="s">
        <v>16393</v>
      </c>
      <c r="O2458" s="4">
        <v>31284</v>
      </c>
      <c r="P2458" s="4">
        <v>80973</v>
      </c>
      <c r="Q2458" s="4">
        <v>112257</v>
      </c>
      <c r="R2458" s="4">
        <v>336771</v>
      </c>
      <c r="S2458" t="s">
        <v>18784</v>
      </c>
      <c r="T2458" s="6">
        <v>29190</v>
      </c>
      <c r="U2458" s="4">
        <v>83589</v>
      </c>
      <c r="X2458" t="s">
        <v>3</v>
      </c>
      <c r="AA2458" s="5" t="str">
        <f>HYPERLINK("https://www.zillow.com/homes/1117-HUNTER-ST-LOMBARD-IL-60148_rb/","check listing")</f>
        <v>check listing</v>
      </c>
      <c r="AB2458" s="5" t="str">
        <f>HYPERLINK("https://propertylookup.dupagecounty.gov/Datalets/Datalet.aspx?UseSearch=no&amp;mode=sales&amp;pin=0524406019","sales record")</f>
        <v>sales record</v>
      </c>
      <c r="AC2458" t="s">
        <v>3</v>
      </c>
      <c r="AD2458">
        <v>41.845262</v>
      </c>
      <c r="AE2458">
        <v>-88.038842</v>
      </c>
      <c r="AF2458" s="5" t="str">
        <f>HYPERLINK("https://www.google.com/maps/search/?api=1&amp;query=41.845262,-88.038842","map")</f>
        <v>map</v>
      </c>
    </row>
    <row r="2459" spans="1:32">
      <c r="A2459" t="s">
        <v>2509</v>
      </c>
      <c r="B2459" t="s">
        <v>10053</v>
      </c>
      <c r="C2459" t="s">
        <v>15435</v>
      </c>
      <c r="D2459" t="s">
        <v>16205</v>
      </c>
      <c r="E2459" t="s">
        <v>16218</v>
      </c>
      <c r="F2459" t="s">
        <v>16220</v>
      </c>
      <c r="G2459" t="s">
        <v>16266</v>
      </c>
      <c r="H2459" t="s">
        <v>16250</v>
      </c>
      <c r="I2459" t="s">
        <v>16346</v>
      </c>
      <c r="J2459" t="s">
        <v>16385</v>
      </c>
      <c r="K2459">
        <v>0.166</v>
      </c>
      <c r="L2459">
        <v>7218</v>
      </c>
      <c r="M2459">
        <v>1524</v>
      </c>
      <c r="N2459" t="s">
        <v>16393</v>
      </c>
      <c r="O2459" s="4">
        <v>31284</v>
      </c>
      <c r="P2459" s="4">
        <v>108345</v>
      </c>
      <c r="Q2459" s="4">
        <v>139629</v>
      </c>
      <c r="R2459" s="4">
        <v>418887</v>
      </c>
      <c r="S2459" t="s">
        <v>18785</v>
      </c>
      <c r="T2459" s="6">
        <v>31809</v>
      </c>
      <c r="U2459" s="4">
        <v>131690</v>
      </c>
      <c r="X2459" t="s">
        <v>3</v>
      </c>
      <c r="AA2459" s="5" t="str">
        <f>HYPERLINK("https://www.zillow.com/homes/1951-VALLEY-RD-LOMBARD-IL-60148_rb/","check listing")</f>
        <v>check listing</v>
      </c>
      <c r="AB2459" s="5" t="str">
        <f>HYPERLINK("https://propertylookup.dupagecounty.gov/Datalets/Datalet.aspx?UseSearch=no&amp;mode=sales&amp;pin=0524406025","sales record")</f>
        <v>sales record</v>
      </c>
      <c r="AC2459" t="s">
        <v>3</v>
      </c>
      <c r="AD2459">
        <v>41.84749</v>
      </c>
      <c r="AE2459">
        <v>-88.038956</v>
      </c>
      <c r="AF2459" s="5" t="str">
        <f>HYPERLINK("https://www.google.com/maps/search/?api=1&amp;query=41.84749,-88.038956","map")</f>
        <v>map</v>
      </c>
    </row>
    <row r="2460" spans="1:32">
      <c r="A2460" t="s">
        <v>2510</v>
      </c>
      <c r="B2460" t="s">
        <v>10054</v>
      </c>
      <c r="C2460" t="s">
        <v>15435</v>
      </c>
      <c r="D2460" t="s">
        <v>16205</v>
      </c>
      <c r="E2460" t="s">
        <v>16218</v>
      </c>
      <c r="F2460" t="s">
        <v>16220</v>
      </c>
      <c r="G2460" t="s">
        <v>16266</v>
      </c>
      <c r="H2460" t="s">
        <v>16250</v>
      </c>
      <c r="I2460" t="s">
        <v>16346</v>
      </c>
      <c r="J2460" t="s">
        <v>16385</v>
      </c>
      <c r="K2460">
        <v>0.166</v>
      </c>
      <c r="L2460">
        <v>7212</v>
      </c>
      <c r="M2460">
        <v>1657</v>
      </c>
      <c r="N2460" t="s">
        <v>16393</v>
      </c>
      <c r="O2460" s="4">
        <v>31284</v>
      </c>
      <c r="P2460" s="4">
        <v>76378</v>
      </c>
      <c r="Q2460" s="4">
        <v>107662</v>
      </c>
      <c r="R2460" s="4">
        <v>322986</v>
      </c>
      <c r="S2460" t="s">
        <v>18786</v>
      </c>
      <c r="T2460" s="6">
        <v>36708</v>
      </c>
      <c r="U2460" s="4">
        <v>177000</v>
      </c>
      <c r="V2460" t="s">
        <v>23739</v>
      </c>
      <c r="W2460" t="s">
        <v>24901</v>
      </c>
      <c r="X2460" t="s">
        <v>3</v>
      </c>
      <c r="AA2460" s="5" t="str">
        <f>HYPERLINK("https://www.zillow.com/homes/2061-DOWNING-ST-LOMBARD-IL-60148_rb/","check listing")</f>
        <v>check listing</v>
      </c>
      <c r="AB2460" s="5" t="str">
        <f>HYPERLINK("https://propertylookup.dupagecounty.gov/Datalets/Datalet.aspx?UseSearch=no&amp;mode=sales&amp;pin=0524403043","sales record")</f>
        <v>sales record</v>
      </c>
      <c r="AC2460" t="s">
        <v>3</v>
      </c>
      <c r="AD2460">
        <v>41.845897</v>
      </c>
      <c r="AE2460">
        <v>-88.03651000000001</v>
      </c>
      <c r="AF2460" s="5" t="str">
        <f>HYPERLINK("https://www.google.com/maps/search/?api=1&amp;query=41.845897,-88.03651","map")</f>
        <v>map</v>
      </c>
    </row>
    <row r="2461" spans="1:32">
      <c r="A2461" t="s">
        <v>2511</v>
      </c>
      <c r="B2461" t="s">
        <v>10055</v>
      </c>
      <c r="C2461" t="s">
        <v>15435</v>
      </c>
      <c r="D2461" t="s">
        <v>16205</v>
      </c>
      <c r="E2461" t="s">
        <v>16218</v>
      </c>
      <c r="F2461" t="s">
        <v>16220</v>
      </c>
      <c r="G2461" t="s">
        <v>16266</v>
      </c>
      <c r="H2461" t="s">
        <v>16250</v>
      </c>
      <c r="I2461" t="s">
        <v>16346</v>
      </c>
      <c r="J2461" t="s">
        <v>16385</v>
      </c>
      <c r="K2461">
        <v>0.165</v>
      </c>
      <c r="L2461">
        <v>7197</v>
      </c>
      <c r="M2461">
        <v>1672</v>
      </c>
      <c r="N2461" t="s">
        <v>16393</v>
      </c>
      <c r="O2461" s="4">
        <v>31284</v>
      </c>
      <c r="P2461" s="4">
        <v>78440</v>
      </c>
      <c r="Q2461" s="4">
        <v>109724</v>
      </c>
      <c r="R2461" s="4">
        <v>329172</v>
      </c>
      <c r="S2461" t="s">
        <v>18787</v>
      </c>
      <c r="T2461" s="6">
        <v>37926</v>
      </c>
      <c r="U2461" s="4">
        <v>260000</v>
      </c>
      <c r="V2461" t="s">
        <v>23739</v>
      </c>
      <c r="W2461" t="s">
        <v>24902</v>
      </c>
      <c r="X2461" t="s">
        <v>3</v>
      </c>
      <c r="AA2461" s="5" t="str">
        <f>HYPERLINK("https://www.zillow.com/homes/2176-LLOYD-AVE-LOMBARD-IL-60148_rb/","check listing")</f>
        <v>check listing</v>
      </c>
      <c r="AB2461" s="5" t="str">
        <f>HYPERLINK("https://propertylookup.dupagecounty.gov/Datalets/Datalet.aspx?UseSearch=no&amp;mode=sales&amp;pin=0524404012","sales record")</f>
        <v>sales record</v>
      </c>
      <c r="AC2461" t="s">
        <v>3</v>
      </c>
      <c r="AD2461">
        <v>41.845111</v>
      </c>
      <c r="AE2461">
        <v>-88.034538</v>
      </c>
      <c r="AF2461" s="5" t="str">
        <f>HYPERLINK("https://www.google.com/maps/search/?api=1&amp;query=41.845111,-88.034538","map")</f>
        <v>map</v>
      </c>
    </row>
    <row r="2462" spans="1:32">
      <c r="A2462" t="s">
        <v>2512</v>
      </c>
      <c r="B2462" t="s">
        <v>10056</v>
      </c>
      <c r="C2462" t="s">
        <v>15435</v>
      </c>
      <c r="D2462" t="s">
        <v>16205</v>
      </c>
      <c r="E2462" t="s">
        <v>16218</v>
      </c>
      <c r="F2462" t="s">
        <v>16220</v>
      </c>
      <c r="G2462" t="s">
        <v>16266</v>
      </c>
      <c r="H2462" t="s">
        <v>16250</v>
      </c>
      <c r="I2462" t="s">
        <v>16346</v>
      </c>
      <c r="J2462" t="s">
        <v>16385</v>
      </c>
      <c r="K2462">
        <v>0.165</v>
      </c>
      <c r="L2462">
        <v>7193</v>
      </c>
      <c r="M2462">
        <v>1605</v>
      </c>
      <c r="N2462" t="s">
        <v>16393</v>
      </c>
      <c r="O2462" s="4">
        <v>31284</v>
      </c>
      <c r="P2462" s="4">
        <v>97564</v>
      </c>
      <c r="Q2462" s="4">
        <v>128848</v>
      </c>
      <c r="R2462" s="4">
        <v>386544</v>
      </c>
      <c r="S2462" t="s">
        <v>18788</v>
      </c>
      <c r="T2462" s="6">
        <v>36800</v>
      </c>
      <c r="U2462" s="4">
        <v>180000</v>
      </c>
      <c r="V2462" t="s">
        <v>23739</v>
      </c>
      <c r="W2462" t="s">
        <v>24903</v>
      </c>
      <c r="X2462" t="s">
        <v>3</v>
      </c>
      <c r="AA2462" s="5" t="str">
        <f>HYPERLINK("https://www.zillow.com/homes/2080-VALLEY-RD-LOMBARD-IL-60148_rb/","check listing")</f>
        <v>check listing</v>
      </c>
      <c r="AB2462" s="5" t="str">
        <f>HYPERLINK("https://propertylookup.dupagecounty.gov/Datalets/Datalet.aspx?UseSearch=no&amp;mode=sales&amp;pin=0524412026","sales record")</f>
        <v>sales record</v>
      </c>
      <c r="AC2462" t="s">
        <v>3</v>
      </c>
      <c r="AD2462">
        <v>41.845706</v>
      </c>
      <c r="AE2462">
        <v>-88.040814</v>
      </c>
      <c r="AF2462" s="5" t="str">
        <f>HYPERLINK("https://www.google.com/maps/search/?api=1&amp;query=41.845706,-88.040814","map")</f>
        <v>map</v>
      </c>
    </row>
    <row r="2463" spans="1:32">
      <c r="A2463" t="s">
        <v>2513</v>
      </c>
      <c r="B2463" t="s">
        <v>10057</v>
      </c>
      <c r="C2463" t="s">
        <v>15435</v>
      </c>
      <c r="D2463" t="s">
        <v>16205</v>
      </c>
      <c r="E2463" t="s">
        <v>16218</v>
      </c>
      <c r="F2463" t="s">
        <v>16220</v>
      </c>
      <c r="G2463" t="s">
        <v>16266</v>
      </c>
      <c r="H2463" t="s">
        <v>16250</v>
      </c>
      <c r="I2463" t="s">
        <v>16346</v>
      </c>
      <c r="J2463" t="s">
        <v>16385</v>
      </c>
      <c r="K2463">
        <v>0.164</v>
      </c>
      <c r="L2463">
        <v>7152</v>
      </c>
      <c r="M2463">
        <v>1554</v>
      </c>
      <c r="N2463" t="s">
        <v>16393</v>
      </c>
      <c r="O2463" s="4">
        <v>28506</v>
      </c>
      <c r="P2463" s="4">
        <v>90186</v>
      </c>
      <c r="Q2463" s="4">
        <v>118692</v>
      </c>
      <c r="R2463" s="4">
        <v>356076</v>
      </c>
      <c r="S2463" t="s">
        <v>18789</v>
      </c>
      <c r="T2463" s="6">
        <v>31686</v>
      </c>
      <c r="U2463" s="4">
        <v>112000</v>
      </c>
      <c r="X2463" t="s">
        <v>3</v>
      </c>
      <c r="AA2463" s="5" t="str">
        <f>HYPERLINK("https://www.zillow.com/homes/965-FOXWORTH-BLVD-LOMBARD-IL-60148_rb/","check listing")</f>
        <v>check listing</v>
      </c>
      <c r="AB2463" s="5" t="str">
        <f>HYPERLINK("https://propertylookup.dupagecounty.gov/Datalets/Datalet.aspx?UseSearch=no&amp;mode=sales&amp;pin=0619302002","sales record")</f>
        <v>sales record</v>
      </c>
      <c r="AC2463" t="s">
        <v>3</v>
      </c>
      <c r="AD2463">
        <v>41.845214</v>
      </c>
      <c r="AE2463">
        <v>-88.033255</v>
      </c>
      <c r="AF2463" s="5" t="str">
        <f>HYPERLINK("https://www.google.com/maps/search/?api=1&amp;query=41.845214,-88.033255","map")</f>
        <v>map</v>
      </c>
    </row>
    <row r="2464" spans="1:32">
      <c r="A2464" t="s">
        <v>2514</v>
      </c>
      <c r="B2464" t="s">
        <v>10058</v>
      </c>
      <c r="C2464" t="s">
        <v>15435</v>
      </c>
      <c r="D2464" t="s">
        <v>16205</v>
      </c>
      <c r="E2464" t="s">
        <v>16218</v>
      </c>
      <c r="F2464" t="s">
        <v>16220</v>
      </c>
      <c r="G2464" t="s">
        <v>16250</v>
      </c>
      <c r="H2464" t="s">
        <v>16250</v>
      </c>
      <c r="I2464" t="s">
        <v>16346</v>
      </c>
      <c r="J2464" t="s">
        <v>16385</v>
      </c>
      <c r="K2464">
        <v>0.164</v>
      </c>
      <c r="L2464">
        <v>7152</v>
      </c>
      <c r="M2464">
        <v>1213</v>
      </c>
      <c r="N2464" t="s">
        <v>16393</v>
      </c>
      <c r="O2464" s="4">
        <v>23619</v>
      </c>
      <c r="P2464" s="4">
        <v>67767</v>
      </c>
      <c r="Q2464" s="4">
        <v>91386</v>
      </c>
      <c r="R2464" s="4">
        <v>274158</v>
      </c>
      <c r="S2464" t="s">
        <v>18790</v>
      </c>
      <c r="T2464" s="6">
        <v>40664</v>
      </c>
      <c r="U2464" s="4">
        <v>97000</v>
      </c>
      <c r="V2464" t="s">
        <v>23739</v>
      </c>
      <c r="W2464" t="s">
        <v>18790</v>
      </c>
      <c r="X2464" t="s">
        <v>3</v>
      </c>
      <c r="AA2464" s="5" t="str">
        <f>HYPERLINK("https://www.zillow.com/homes/704-E-DIVISION-ST-LOMBARD-IL-60148_rb/","check listing")</f>
        <v>check listing</v>
      </c>
      <c r="AB2464" s="5" t="str">
        <f>HYPERLINK("https://propertylookup.dupagecounty.gov/Datalets/Datalet.aspx?UseSearch=no&amp;mode=sales&amp;pin=0608405004","sales record")</f>
        <v>sales record</v>
      </c>
      <c r="AC2464" t="s">
        <v>3</v>
      </c>
      <c r="AD2464">
        <v>41.881491</v>
      </c>
      <c r="AE2464">
        <v>-88.00047600000001</v>
      </c>
      <c r="AF2464" s="5" t="str">
        <f>HYPERLINK("https://www.google.com/maps/search/?api=1&amp;query=41.881491,-88.000476","map")</f>
        <v>map</v>
      </c>
    </row>
    <row r="2465" spans="1:32">
      <c r="A2465" t="s">
        <v>2515</v>
      </c>
      <c r="B2465" t="s">
        <v>10059</v>
      </c>
      <c r="C2465" t="s">
        <v>15435</v>
      </c>
      <c r="D2465" t="s">
        <v>16205</v>
      </c>
      <c r="E2465" t="s">
        <v>16218</v>
      </c>
      <c r="F2465" t="s">
        <v>16220</v>
      </c>
      <c r="G2465" t="s">
        <v>16266</v>
      </c>
      <c r="H2465" t="s">
        <v>16250</v>
      </c>
      <c r="I2465" t="s">
        <v>16346</v>
      </c>
      <c r="J2465" t="s">
        <v>16385</v>
      </c>
      <c r="K2465">
        <v>0.164</v>
      </c>
      <c r="L2465">
        <v>7152</v>
      </c>
      <c r="M2465">
        <v>1450</v>
      </c>
      <c r="N2465" t="s">
        <v>16393</v>
      </c>
      <c r="O2465" s="4">
        <v>31284</v>
      </c>
      <c r="P2465" s="4">
        <v>83601</v>
      </c>
      <c r="Q2465" s="4">
        <v>114885</v>
      </c>
      <c r="R2465" s="4">
        <v>344655</v>
      </c>
      <c r="S2465" t="s">
        <v>18791</v>
      </c>
      <c r="T2465" s="6">
        <v>38443</v>
      </c>
      <c r="U2465" s="4">
        <v>272500</v>
      </c>
      <c r="V2465" t="s">
        <v>23739</v>
      </c>
      <c r="W2465" t="s">
        <v>18791</v>
      </c>
      <c r="X2465" t="s">
        <v>3</v>
      </c>
      <c r="AA2465" s="5" t="str">
        <f>HYPERLINK("https://www.zillow.com/homes/2070-VALLEY-RD-LOMBARD-IL-60148_rb/","check listing")</f>
        <v>check listing</v>
      </c>
      <c r="AB2465" s="5" t="str">
        <f>HYPERLINK("https://propertylookup.dupagecounty.gov/Datalets/Datalet.aspx?UseSearch=no&amp;mode=sales&amp;pin=0524412025","sales record")</f>
        <v>sales record</v>
      </c>
      <c r="AC2465" t="s">
        <v>3</v>
      </c>
      <c r="AD2465">
        <v>41.845879</v>
      </c>
      <c r="AE2465">
        <v>-88.04083199999999</v>
      </c>
      <c r="AF2465" s="5" t="str">
        <f>HYPERLINK("https://www.google.com/maps/search/?api=1&amp;query=41.845879,-88.040832","map")</f>
        <v>map</v>
      </c>
    </row>
    <row r="2466" spans="1:32">
      <c r="A2466" t="s">
        <v>2516</v>
      </c>
      <c r="B2466" t="s">
        <v>10060</v>
      </c>
      <c r="C2466" t="s">
        <v>15435</v>
      </c>
      <c r="D2466" t="s">
        <v>16205</v>
      </c>
      <c r="E2466" t="s">
        <v>16218</v>
      </c>
      <c r="F2466" t="s">
        <v>16220</v>
      </c>
      <c r="G2466" t="s">
        <v>16266</v>
      </c>
      <c r="H2466" t="s">
        <v>16250</v>
      </c>
      <c r="I2466" t="s">
        <v>16346</v>
      </c>
      <c r="J2466" t="s">
        <v>16385</v>
      </c>
      <c r="K2466">
        <v>0.163</v>
      </c>
      <c r="L2466">
        <v>7113</v>
      </c>
      <c r="M2466">
        <v>1609</v>
      </c>
      <c r="N2466" t="s">
        <v>16393</v>
      </c>
      <c r="O2466" s="4">
        <v>31284</v>
      </c>
      <c r="P2466" s="4">
        <v>82635</v>
      </c>
      <c r="Q2466" s="4">
        <v>113919</v>
      </c>
      <c r="R2466" s="4">
        <v>341757</v>
      </c>
      <c r="S2466" t="s">
        <v>18792</v>
      </c>
      <c r="T2466" s="6">
        <v>31594</v>
      </c>
      <c r="U2466" s="4">
        <v>98900</v>
      </c>
      <c r="X2466" t="s">
        <v>3</v>
      </c>
      <c r="AA2466" s="5" t="str">
        <f>HYPERLINK("https://www.zillow.com/homes/1040-HUNTER-ST-LOMBARD-IL-60148_rb/","check listing")</f>
        <v>check listing</v>
      </c>
      <c r="AB2466" s="5" t="str">
        <f>HYPERLINK("https://propertylookup.dupagecounty.gov/Datalets/Datalet.aspx?UseSearch=no&amp;mode=sales&amp;pin=0524403011","sales record")</f>
        <v>sales record</v>
      </c>
      <c r="AC2466" t="s">
        <v>3</v>
      </c>
      <c r="AD2466">
        <v>41.845585</v>
      </c>
      <c r="AE2466">
        <v>-88.03528300000001</v>
      </c>
      <c r="AF2466" s="5" t="str">
        <f>HYPERLINK("https://www.google.com/maps/search/?api=1&amp;query=41.845585,-88.035283","map")</f>
        <v>map</v>
      </c>
    </row>
    <row r="2467" spans="1:32">
      <c r="A2467" t="s">
        <v>2517</v>
      </c>
      <c r="B2467" t="s">
        <v>10061</v>
      </c>
      <c r="C2467" t="s">
        <v>15435</v>
      </c>
      <c r="D2467" t="s">
        <v>16205</v>
      </c>
      <c r="E2467" t="s">
        <v>16218</v>
      </c>
      <c r="F2467" t="s">
        <v>16220</v>
      </c>
      <c r="G2467" t="s">
        <v>16266</v>
      </c>
      <c r="H2467" t="s">
        <v>16250</v>
      </c>
      <c r="I2467" t="s">
        <v>16346</v>
      </c>
      <c r="J2467" t="s">
        <v>16385</v>
      </c>
      <c r="K2467">
        <v>0.162</v>
      </c>
      <c r="L2467">
        <v>7062</v>
      </c>
      <c r="M2467">
        <v>1371</v>
      </c>
      <c r="N2467" t="s">
        <v>16393</v>
      </c>
      <c r="O2467" s="4">
        <v>31284</v>
      </c>
      <c r="P2467" s="4">
        <v>105553</v>
      </c>
      <c r="Q2467" s="4">
        <v>136837</v>
      </c>
      <c r="R2467" s="4">
        <v>410511</v>
      </c>
      <c r="S2467" t="s">
        <v>18793</v>
      </c>
      <c r="T2467" s="6">
        <v>31778</v>
      </c>
      <c r="U2467" s="4">
        <v>102790</v>
      </c>
      <c r="X2467" t="s">
        <v>3</v>
      </c>
      <c r="AA2467" s="5" t="str">
        <f>HYPERLINK("https://www.zillow.com/homes/1941-VALLEY-RD-LOMBARD-IL-60148_rb/","check listing")</f>
        <v>check listing</v>
      </c>
      <c r="AB2467" s="5" t="str">
        <f>HYPERLINK("https://propertylookup.dupagecounty.gov/Datalets/Datalet.aspx?UseSearch=no&amp;mode=sales&amp;pin=0524406024","sales record")</f>
        <v>sales record</v>
      </c>
      <c r="AC2467" t="s">
        <v>3</v>
      </c>
      <c r="AD2467">
        <v>41.847571</v>
      </c>
      <c r="AE2467">
        <v>-88.03871100000001</v>
      </c>
      <c r="AF2467" s="5" t="str">
        <f>HYPERLINK("https://www.google.com/maps/search/?api=1&amp;query=41.847571,-88.038711","map")</f>
        <v>map</v>
      </c>
    </row>
    <row r="2468" spans="1:32">
      <c r="A2468" t="s">
        <v>2518</v>
      </c>
      <c r="B2468" t="s">
        <v>10062</v>
      </c>
      <c r="C2468" t="s">
        <v>15456</v>
      </c>
      <c r="D2468" t="s">
        <v>16205</v>
      </c>
      <c r="E2468" t="s">
        <v>16218</v>
      </c>
      <c r="F2468" t="s">
        <v>16220</v>
      </c>
      <c r="G2468" t="s">
        <v>16266</v>
      </c>
      <c r="H2468" t="s">
        <v>16250</v>
      </c>
      <c r="I2468" t="s">
        <v>16346</v>
      </c>
      <c r="J2468" t="s">
        <v>16385</v>
      </c>
      <c r="K2468">
        <v>0.161</v>
      </c>
      <c r="L2468">
        <v>7003</v>
      </c>
      <c r="M2468">
        <v>2086</v>
      </c>
      <c r="N2468" t="s">
        <v>16393</v>
      </c>
      <c r="O2468" s="4">
        <v>31284</v>
      </c>
      <c r="P2468" s="4">
        <v>82635</v>
      </c>
      <c r="Q2468" s="4">
        <v>113919</v>
      </c>
      <c r="R2468" s="4">
        <v>341757</v>
      </c>
      <c r="S2468" t="s">
        <v>18794</v>
      </c>
      <c r="T2468" s="6">
        <v>45489</v>
      </c>
      <c r="U2468" s="4">
        <v>375000</v>
      </c>
      <c r="V2468" t="s">
        <v>23741</v>
      </c>
      <c r="W2468" t="s">
        <v>24904</v>
      </c>
      <c r="X2468" t="s">
        <v>3</v>
      </c>
      <c r="AA2468" s="5" t="str">
        <f>HYPERLINK("https://www.zillow.com/homes/1065-BEVERLY-CT-LOMBARD-IL-601484810_rb/","check listing")</f>
        <v>check listing</v>
      </c>
      <c r="AB2468" s="5" t="str">
        <f>HYPERLINK("https://propertylookup.dupagecounty.gov/Datalets/Datalet.aspx?UseSearch=no&amp;mode=sales&amp;pin=0524403031","sales record")</f>
        <v>sales record</v>
      </c>
      <c r="AC2468" t="s">
        <v>3</v>
      </c>
      <c r="AD2468">
        <v>41.846456</v>
      </c>
      <c r="AE2468">
        <v>-88.035391</v>
      </c>
      <c r="AF2468" s="5" t="str">
        <f>HYPERLINK("https://www.google.com/maps/search/?api=1&amp;query=41.846456,-88.035391","map")</f>
        <v>map</v>
      </c>
    </row>
    <row r="2469" spans="1:32">
      <c r="A2469" t="s">
        <v>2519</v>
      </c>
      <c r="B2469" t="s">
        <v>10063</v>
      </c>
      <c r="C2469" t="s">
        <v>15435</v>
      </c>
      <c r="D2469" t="s">
        <v>16205</v>
      </c>
      <c r="E2469" t="s">
        <v>16218</v>
      </c>
      <c r="F2469" t="s">
        <v>16220</v>
      </c>
      <c r="G2469" t="s">
        <v>16266</v>
      </c>
      <c r="H2469" t="s">
        <v>16250</v>
      </c>
      <c r="I2469" t="s">
        <v>16346</v>
      </c>
      <c r="J2469" t="s">
        <v>16385</v>
      </c>
      <c r="K2469">
        <v>0.161</v>
      </c>
      <c r="L2469">
        <v>7001</v>
      </c>
      <c r="M2469">
        <v>1435</v>
      </c>
      <c r="N2469" t="s">
        <v>16393</v>
      </c>
      <c r="O2469" s="4">
        <v>31284</v>
      </c>
      <c r="P2469" s="4">
        <v>98872</v>
      </c>
      <c r="Q2469" s="4">
        <v>130156</v>
      </c>
      <c r="R2469" s="4">
        <v>390468</v>
      </c>
      <c r="S2469" t="s">
        <v>18795</v>
      </c>
      <c r="T2469" s="6">
        <v>38078</v>
      </c>
      <c r="U2469" s="4">
        <v>274000</v>
      </c>
      <c r="V2469" t="s">
        <v>23740</v>
      </c>
      <c r="W2469" t="s">
        <v>24905</v>
      </c>
      <c r="X2469" t="s">
        <v>3</v>
      </c>
      <c r="AA2469" s="5" t="str">
        <f>HYPERLINK("https://www.zillow.com/homes/1971-S-VALLEY-RD-LOMBARD-IL-60148_rb/","check listing")</f>
        <v>check listing</v>
      </c>
      <c r="AB2469" s="5" t="str">
        <f>HYPERLINK("https://propertylookup.dupagecounty.gov/Datalets/Datalet.aspx?UseSearch=no&amp;mode=sales&amp;pin=0524406027","sales record")</f>
        <v>sales record</v>
      </c>
      <c r="AC2469" t="s">
        <v>3</v>
      </c>
      <c r="AD2469">
        <v>41.847259</v>
      </c>
      <c r="AE2469">
        <v>-88.03936299999999</v>
      </c>
      <c r="AF2469" s="5" t="str">
        <f>HYPERLINK("https://www.google.com/maps/search/?api=1&amp;query=41.847259,-88.039363","map")</f>
        <v>map</v>
      </c>
    </row>
    <row r="2470" spans="1:32">
      <c r="A2470" t="s">
        <v>2520</v>
      </c>
      <c r="B2470" t="s">
        <v>10064</v>
      </c>
      <c r="C2470" t="s">
        <v>15435</v>
      </c>
      <c r="D2470" t="s">
        <v>16205</v>
      </c>
      <c r="E2470" t="s">
        <v>16218</v>
      </c>
      <c r="F2470" t="s">
        <v>16220</v>
      </c>
      <c r="G2470" t="s">
        <v>16266</v>
      </c>
      <c r="H2470" t="s">
        <v>16250</v>
      </c>
      <c r="I2470" t="s">
        <v>16346</v>
      </c>
      <c r="J2470" t="s">
        <v>16385</v>
      </c>
      <c r="K2470">
        <v>0.161</v>
      </c>
      <c r="L2470">
        <v>7001</v>
      </c>
      <c r="M2470">
        <v>1602</v>
      </c>
      <c r="N2470" t="s">
        <v>16393</v>
      </c>
      <c r="O2470" s="4">
        <v>31284</v>
      </c>
      <c r="P2470" s="4">
        <v>89469</v>
      </c>
      <c r="Q2470" s="4">
        <v>120753</v>
      </c>
      <c r="R2470" s="4">
        <v>362259</v>
      </c>
      <c r="S2470" t="s">
        <v>18796</v>
      </c>
      <c r="T2470" s="6">
        <v>38200</v>
      </c>
      <c r="U2470" s="4">
        <v>252000</v>
      </c>
      <c r="V2470" t="s">
        <v>23739</v>
      </c>
      <c r="W2470" t="s">
        <v>18796</v>
      </c>
      <c r="X2470" t="s">
        <v>3</v>
      </c>
      <c r="AA2470" s="5" t="str">
        <f>HYPERLINK("https://www.zillow.com/homes/1001-BEVERLY-CT-LOMBARD-IL-60148_rb/","check listing")</f>
        <v>check listing</v>
      </c>
      <c r="AB2470" s="5" t="str">
        <f>HYPERLINK("https://propertylookup.dupagecounty.gov/Datalets/Datalet.aspx?UseSearch=no&amp;mode=sales&amp;pin=0524403039","sales record")</f>
        <v>sales record</v>
      </c>
      <c r="AC2470" t="s">
        <v>3</v>
      </c>
      <c r="AD2470">
        <v>41.846364</v>
      </c>
      <c r="AE2470">
        <v>-88.036096</v>
      </c>
      <c r="AF2470" s="5" t="str">
        <f>HYPERLINK("https://www.google.com/maps/search/?api=1&amp;query=41.846364,-88.036096","map")</f>
        <v>map</v>
      </c>
    </row>
    <row r="2471" spans="1:32">
      <c r="A2471" t="s">
        <v>2521</v>
      </c>
      <c r="B2471" t="s">
        <v>10065</v>
      </c>
      <c r="C2471" t="s">
        <v>15453</v>
      </c>
      <c r="D2471" t="s">
        <v>16205</v>
      </c>
      <c r="E2471" t="s">
        <v>16218</v>
      </c>
      <c r="F2471" t="s">
        <v>16220</v>
      </c>
      <c r="G2471" t="s">
        <v>16266</v>
      </c>
      <c r="H2471" t="s">
        <v>16250</v>
      </c>
      <c r="I2471" t="s">
        <v>16346</v>
      </c>
      <c r="J2471" t="s">
        <v>16385</v>
      </c>
      <c r="K2471">
        <v>0.161</v>
      </c>
      <c r="L2471">
        <v>7000</v>
      </c>
      <c r="M2471">
        <v>1343</v>
      </c>
      <c r="N2471" t="s">
        <v>16393</v>
      </c>
      <c r="O2471" s="4">
        <v>31284</v>
      </c>
      <c r="P2471" s="4">
        <v>96091</v>
      </c>
      <c r="Q2471" s="4">
        <v>127375</v>
      </c>
      <c r="R2471" s="4">
        <v>382125</v>
      </c>
      <c r="S2471" t="s">
        <v>18797</v>
      </c>
      <c r="T2471" s="6">
        <v>31778</v>
      </c>
      <c r="U2471" s="4">
        <v>112290</v>
      </c>
      <c r="X2471" t="s">
        <v>3</v>
      </c>
      <c r="AA2471" s="5" t="str">
        <f>HYPERLINK("https://www.zillow.com/homes/1961-S-VALLEY-RD-LOMBARD-IL-601484272_rb/","check listing")</f>
        <v>check listing</v>
      </c>
      <c r="AB2471" s="5" t="str">
        <f>HYPERLINK("https://propertylookup.dupagecounty.gov/Datalets/Datalet.aspx?UseSearch=no&amp;mode=sales&amp;pin=0524406026","sales record")</f>
        <v>sales record</v>
      </c>
      <c r="AC2471" t="s">
        <v>3</v>
      </c>
      <c r="AD2471">
        <v>41.847377</v>
      </c>
      <c r="AE2471">
        <v>-88.03916</v>
      </c>
      <c r="AF2471" s="5" t="str">
        <f>HYPERLINK("https://www.google.com/maps/search/?api=1&amp;query=41.847377,-88.03916","map")</f>
        <v>map</v>
      </c>
    </row>
    <row r="2472" spans="1:32">
      <c r="A2472" t="s">
        <v>2522</v>
      </c>
      <c r="B2472" t="s">
        <v>10066</v>
      </c>
      <c r="C2472" t="s">
        <v>15453</v>
      </c>
      <c r="D2472" t="s">
        <v>16205</v>
      </c>
      <c r="E2472" t="s">
        <v>16218</v>
      </c>
      <c r="F2472" t="s">
        <v>16220</v>
      </c>
      <c r="G2472" t="s">
        <v>16266</v>
      </c>
      <c r="H2472" t="s">
        <v>16250</v>
      </c>
      <c r="I2472" t="s">
        <v>16346</v>
      </c>
      <c r="J2472" t="s">
        <v>16385</v>
      </c>
      <c r="K2472">
        <v>0.16</v>
      </c>
      <c r="L2472">
        <v>6979</v>
      </c>
      <c r="M2472">
        <v>1448</v>
      </c>
      <c r="N2472" t="s">
        <v>16393</v>
      </c>
      <c r="O2472" s="4">
        <v>31284</v>
      </c>
      <c r="P2472" s="4">
        <v>108345</v>
      </c>
      <c r="Q2472" s="4">
        <v>139629</v>
      </c>
      <c r="R2472" s="4">
        <v>418887</v>
      </c>
      <c r="S2472" t="s">
        <v>18798</v>
      </c>
      <c r="T2472" s="6">
        <v>35278</v>
      </c>
      <c r="U2472" s="4">
        <v>186000</v>
      </c>
      <c r="X2472" t="s">
        <v>3</v>
      </c>
      <c r="AA2472" s="5" t="str">
        <f>HYPERLINK("https://www.zillow.com/homes/1921-S-VALLEY-RD-LOMBARD-IL-601484272_rb/","check listing")</f>
        <v>check listing</v>
      </c>
      <c r="AB2472" s="5" t="str">
        <f>HYPERLINK("https://propertylookup.dupagecounty.gov/Datalets/Datalet.aspx?UseSearch=no&amp;mode=sales&amp;pin=0524406022","sales record")</f>
        <v>sales record</v>
      </c>
      <c r="AC2472" t="s">
        <v>3</v>
      </c>
      <c r="AD2472">
        <v>41.847674</v>
      </c>
      <c r="AE2472">
        <v>-88.03822700000001</v>
      </c>
      <c r="AF2472" s="5" t="str">
        <f>HYPERLINK("https://www.google.com/maps/search/?api=1&amp;query=41.847674,-88.038227","map")</f>
        <v>map</v>
      </c>
    </row>
    <row r="2473" spans="1:32">
      <c r="A2473" t="s">
        <v>2523</v>
      </c>
      <c r="B2473" t="s">
        <v>10067</v>
      </c>
      <c r="C2473" t="s">
        <v>15435</v>
      </c>
      <c r="D2473" t="s">
        <v>16205</v>
      </c>
      <c r="E2473" t="s">
        <v>16218</v>
      </c>
      <c r="F2473" t="s">
        <v>16220</v>
      </c>
      <c r="G2473" t="s">
        <v>16266</v>
      </c>
      <c r="H2473" t="s">
        <v>16250</v>
      </c>
      <c r="I2473" t="s">
        <v>16346</v>
      </c>
      <c r="J2473" t="s">
        <v>16385</v>
      </c>
      <c r="K2473">
        <v>0.159</v>
      </c>
      <c r="L2473">
        <v>6942</v>
      </c>
      <c r="M2473">
        <v>1676</v>
      </c>
      <c r="N2473" t="s">
        <v>16393</v>
      </c>
      <c r="O2473" s="4">
        <v>31284</v>
      </c>
      <c r="P2473" s="4">
        <v>89469</v>
      </c>
      <c r="Q2473" s="4">
        <v>120753</v>
      </c>
      <c r="R2473" s="4">
        <v>362259</v>
      </c>
      <c r="S2473" t="s">
        <v>18799</v>
      </c>
      <c r="T2473" s="6">
        <v>32540</v>
      </c>
      <c r="U2473" s="4">
        <v>121000</v>
      </c>
      <c r="X2473" t="s">
        <v>3</v>
      </c>
      <c r="AA2473" s="5" t="str">
        <f>HYPERLINK("https://www.zillow.com/homes/1072-FOXWORTH-BLVD-LOMBARD-IL-60148_rb/","check listing")</f>
        <v>check listing</v>
      </c>
      <c r="AB2473" s="5" t="str">
        <f>HYPERLINK("https://propertylookup.dupagecounty.gov/Datalets/Datalet.aspx?UseSearch=no&amp;mode=sales&amp;pin=0524402001","sales record")</f>
        <v>sales record</v>
      </c>
      <c r="AC2473" t="s">
        <v>3</v>
      </c>
      <c r="AD2473">
        <v>41.847253</v>
      </c>
      <c r="AE2473">
        <v>-88.03541</v>
      </c>
      <c r="AF2473" s="5" t="str">
        <f>HYPERLINK("https://www.google.com/maps/search/?api=1&amp;query=41.847253,-88.03541","map")</f>
        <v>map</v>
      </c>
    </row>
    <row r="2474" spans="1:32">
      <c r="A2474" t="s">
        <v>2524</v>
      </c>
      <c r="B2474" t="s">
        <v>10068</v>
      </c>
      <c r="C2474" t="s">
        <v>15456</v>
      </c>
      <c r="D2474" t="s">
        <v>16205</v>
      </c>
      <c r="E2474" t="s">
        <v>16218</v>
      </c>
      <c r="F2474" t="s">
        <v>16220</v>
      </c>
      <c r="G2474" t="s">
        <v>16266</v>
      </c>
      <c r="H2474" t="s">
        <v>16250</v>
      </c>
      <c r="I2474" t="s">
        <v>16346</v>
      </c>
      <c r="J2474" t="s">
        <v>16385</v>
      </c>
      <c r="K2474">
        <v>0.159</v>
      </c>
      <c r="L2474">
        <v>6924</v>
      </c>
      <c r="M2474">
        <v>1186</v>
      </c>
      <c r="N2474" t="s">
        <v>16393</v>
      </c>
      <c r="O2474" s="4">
        <v>31284</v>
      </c>
      <c r="P2474" s="4">
        <v>105164</v>
      </c>
      <c r="Q2474" s="4">
        <v>136448</v>
      </c>
      <c r="R2474" s="4">
        <v>409344</v>
      </c>
      <c r="S2474" t="s">
        <v>18800</v>
      </c>
      <c r="T2474" s="6">
        <v>43313</v>
      </c>
      <c r="U2474" s="4">
        <v>330000</v>
      </c>
      <c r="V2474" t="s">
        <v>23740</v>
      </c>
      <c r="W2474" t="s">
        <v>18800</v>
      </c>
      <c r="X2474" t="s">
        <v>3</v>
      </c>
      <c r="AA2474" s="5" t="str">
        <f>HYPERLINK("https://www.zillow.com/homes/1033-BEVERLY-CT-LOMBARD-IL-601484810_rb/","check listing")</f>
        <v>check listing</v>
      </c>
      <c r="AB2474" s="5" t="str">
        <f>HYPERLINK("https://propertylookup.dupagecounty.gov/Datalets/Datalet.aspx?UseSearch=no&amp;mode=sales&amp;pin=0524403035","sales record")</f>
        <v>sales record</v>
      </c>
      <c r="AC2474" t="s">
        <v>3</v>
      </c>
      <c r="AD2474">
        <v>41.845785</v>
      </c>
      <c r="AE2474">
        <v>-88.035731</v>
      </c>
      <c r="AF2474" s="5" t="str">
        <f>HYPERLINK("https://www.google.com/maps/search/?api=1&amp;query=41.845785,-88.035731","map")</f>
        <v>map</v>
      </c>
    </row>
    <row r="2475" spans="1:32">
      <c r="A2475" t="s">
        <v>2525</v>
      </c>
      <c r="B2475" t="s">
        <v>10069</v>
      </c>
      <c r="C2475" t="s">
        <v>15435</v>
      </c>
      <c r="D2475" t="s">
        <v>16205</v>
      </c>
      <c r="E2475" t="s">
        <v>16218</v>
      </c>
      <c r="F2475" t="s">
        <v>16220</v>
      </c>
      <c r="G2475" t="s">
        <v>16266</v>
      </c>
      <c r="H2475" t="s">
        <v>16250</v>
      </c>
      <c r="I2475" t="s">
        <v>16346</v>
      </c>
      <c r="J2475" t="s">
        <v>16385</v>
      </c>
      <c r="K2475">
        <v>0.159</v>
      </c>
      <c r="L2475">
        <v>6923</v>
      </c>
      <c r="M2475">
        <v>1659</v>
      </c>
      <c r="N2475" t="s">
        <v>16393</v>
      </c>
      <c r="O2475" s="4">
        <v>31284</v>
      </c>
      <c r="P2475" s="4">
        <v>76814</v>
      </c>
      <c r="Q2475" s="4">
        <v>108098</v>
      </c>
      <c r="R2475" s="4">
        <v>324294</v>
      </c>
      <c r="S2475" t="s">
        <v>18801</v>
      </c>
      <c r="T2475" s="6">
        <v>44823</v>
      </c>
      <c r="U2475" s="4">
        <v>340000</v>
      </c>
      <c r="V2475" t="s">
        <v>23739</v>
      </c>
      <c r="W2475" t="s">
        <v>24906</v>
      </c>
      <c r="X2475" t="s">
        <v>3</v>
      </c>
      <c r="AA2475" s="5" t="str">
        <f>HYPERLINK("https://www.zillow.com/homes/1191-WHITEHALL-ST-LOMBARD-IL-60148_rb/","check listing")</f>
        <v>check listing</v>
      </c>
      <c r="AB2475" s="5" t="str">
        <f>HYPERLINK("https://propertylookup.dupagecounty.gov/Datalets/Datalet.aspx?UseSearch=no&amp;mode=sales&amp;pin=0524408002","sales record")</f>
        <v>sales record</v>
      </c>
      <c r="AC2475" t="s">
        <v>3</v>
      </c>
      <c r="AD2475">
        <v>41.846584</v>
      </c>
      <c r="AE2475">
        <v>-88.03868799999999</v>
      </c>
      <c r="AF2475" s="5" t="str">
        <f>HYPERLINK("https://www.google.com/maps/search/?api=1&amp;query=41.846584,-88.038688","map")</f>
        <v>map</v>
      </c>
    </row>
    <row r="2476" spans="1:32">
      <c r="A2476" t="s">
        <v>2526</v>
      </c>
      <c r="B2476" t="s">
        <v>10070</v>
      </c>
      <c r="C2476" t="s">
        <v>15435</v>
      </c>
      <c r="D2476" t="s">
        <v>16205</v>
      </c>
      <c r="E2476" t="s">
        <v>16218</v>
      </c>
      <c r="F2476" t="s">
        <v>16220</v>
      </c>
      <c r="G2476" t="s">
        <v>16266</v>
      </c>
      <c r="H2476" t="s">
        <v>16250</v>
      </c>
      <c r="I2476" t="s">
        <v>16346</v>
      </c>
      <c r="J2476" t="s">
        <v>16385</v>
      </c>
      <c r="K2476">
        <v>0.159</v>
      </c>
      <c r="L2476">
        <v>6914</v>
      </c>
      <c r="M2476">
        <v>1567</v>
      </c>
      <c r="N2476" t="s">
        <v>16393</v>
      </c>
      <c r="O2476" s="4">
        <v>31284</v>
      </c>
      <c r="P2476" s="4">
        <v>67470</v>
      </c>
      <c r="Q2476" s="4">
        <v>98754</v>
      </c>
      <c r="R2476" s="4">
        <v>296262</v>
      </c>
      <c r="S2476" t="s">
        <v>18802</v>
      </c>
      <c r="T2476" s="6">
        <v>36465</v>
      </c>
      <c r="U2476" s="4">
        <v>146500</v>
      </c>
      <c r="X2476" t="s">
        <v>3</v>
      </c>
      <c r="AA2476" s="5" t="str">
        <f>HYPERLINK("https://www.zillow.com/homes/1107-HUNTER-ST-LOMBARD-IL-60148_rb/","check listing")</f>
        <v>check listing</v>
      </c>
      <c r="AB2476" s="5" t="str">
        <f>HYPERLINK("https://propertylookup.dupagecounty.gov/Datalets/Datalet.aspx?UseSearch=no&amp;mode=sales&amp;pin=0524404017","sales record")</f>
        <v>sales record</v>
      </c>
      <c r="AC2476" t="s">
        <v>3</v>
      </c>
      <c r="AD2476">
        <v>41.845131</v>
      </c>
      <c r="AE2476">
        <v>-88.03759100000001</v>
      </c>
      <c r="AF2476" s="5" t="str">
        <f>HYPERLINK("https://www.google.com/maps/search/?api=1&amp;query=41.845131,-88.037591","map")</f>
        <v>map</v>
      </c>
    </row>
    <row r="2477" spans="1:32">
      <c r="A2477" t="s">
        <v>2527</v>
      </c>
      <c r="B2477" t="s">
        <v>10071</v>
      </c>
      <c r="C2477" t="s">
        <v>15457</v>
      </c>
      <c r="D2477" t="s">
        <v>16205</v>
      </c>
      <c r="E2477" t="s">
        <v>16218</v>
      </c>
      <c r="F2477" t="s">
        <v>16220</v>
      </c>
      <c r="G2477" t="s">
        <v>16267</v>
      </c>
      <c r="H2477" t="s">
        <v>16254</v>
      </c>
      <c r="I2477" t="s">
        <v>16346</v>
      </c>
      <c r="J2477" t="s">
        <v>16385</v>
      </c>
      <c r="K2477">
        <v>0.158</v>
      </c>
      <c r="L2477">
        <v>6893</v>
      </c>
      <c r="M2477">
        <v>1546</v>
      </c>
      <c r="N2477" t="s">
        <v>16393</v>
      </c>
      <c r="O2477" s="4">
        <v>12306</v>
      </c>
      <c r="P2477" s="4">
        <v>110832</v>
      </c>
      <c r="Q2477" s="4">
        <v>123138</v>
      </c>
      <c r="R2477" s="4">
        <v>369414</v>
      </c>
      <c r="S2477" t="s">
        <v>18803</v>
      </c>
      <c r="T2477" s="6">
        <v>42826</v>
      </c>
      <c r="U2477" s="4">
        <v>215000</v>
      </c>
      <c r="V2477" t="s">
        <v>23739</v>
      </c>
      <c r="W2477" t="s">
        <v>18803</v>
      </c>
      <c r="X2477" t="s">
        <v>3</v>
      </c>
      <c r="AA2477" s="5" t="str">
        <f>HYPERLINK("https://www.zillow.com/homes/104-REGENCY-DR-LOMBARD-IL-601485324_rb/","check listing")</f>
        <v>check listing</v>
      </c>
      <c r="AB2477" s="5" t="str">
        <f>HYPERLINK("https://propertylookup.dupagecounty.gov/Datalets/Datalet.aspx?UseSearch=no&amp;mode=sales&amp;pin=0629104013","sales record")</f>
        <v>sales record</v>
      </c>
      <c r="AC2477" t="s">
        <v>3</v>
      </c>
      <c r="AD2477">
        <v>41.841075</v>
      </c>
      <c r="AE2477">
        <v>-88.014223</v>
      </c>
      <c r="AF2477" s="5" t="str">
        <f>HYPERLINK("https://www.google.com/maps/search/?api=1&amp;query=41.841075,-88.014223","map")</f>
        <v>map</v>
      </c>
    </row>
    <row r="2478" spans="1:32">
      <c r="A2478" t="s">
        <v>2528</v>
      </c>
      <c r="B2478" t="s">
        <v>10072</v>
      </c>
      <c r="C2478" t="s">
        <v>15435</v>
      </c>
      <c r="D2478" t="s">
        <v>16205</v>
      </c>
      <c r="E2478" t="s">
        <v>16218</v>
      </c>
      <c r="F2478" t="s">
        <v>16220</v>
      </c>
      <c r="G2478" t="s">
        <v>16266</v>
      </c>
      <c r="H2478" t="s">
        <v>16250</v>
      </c>
      <c r="I2478" t="s">
        <v>16346</v>
      </c>
      <c r="J2478" t="s">
        <v>16385</v>
      </c>
      <c r="K2478">
        <v>0.158</v>
      </c>
      <c r="L2478">
        <v>6891</v>
      </c>
      <c r="M2478">
        <v>1615</v>
      </c>
      <c r="N2478" t="s">
        <v>16393</v>
      </c>
      <c r="O2478" s="4">
        <v>26699</v>
      </c>
      <c r="P2478" s="4">
        <v>83608</v>
      </c>
      <c r="Q2478" s="4">
        <v>110307</v>
      </c>
      <c r="R2478" s="4">
        <v>330921</v>
      </c>
      <c r="S2478" t="s">
        <v>18804</v>
      </c>
      <c r="T2478" s="6">
        <v>39539</v>
      </c>
      <c r="U2478" s="4">
        <v>255000</v>
      </c>
      <c r="V2478" t="s">
        <v>16232</v>
      </c>
      <c r="W2478" t="s">
        <v>24907</v>
      </c>
      <c r="X2478" t="s">
        <v>3</v>
      </c>
      <c r="AA2478" s="5" t="str">
        <f>HYPERLINK("https://www.zillow.com/homes/933-FOXWORTH-BLVD-LOMBARD-IL-60148_rb/","check listing")</f>
        <v>check listing</v>
      </c>
      <c r="AB2478" s="5" t="str">
        <f>HYPERLINK("https://propertylookup.dupagecounty.gov/Datalets/Datalet.aspx?UseSearch=no&amp;mode=sales&amp;pin=0619302004","sales record")</f>
        <v>sales record</v>
      </c>
      <c r="AC2478" t="s">
        <v>3</v>
      </c>
      <c r="AD2478">
        <v>41.845217</v>
      </c>
      <c r="AE2478">
        <v>-88.032794</v>
      </c>
      <c r="AF2478" s="5" t="str">
        <f>HYPERLINK("https://www.google.com/maps/search/?api=1&amp;query=41.845217,-88.032794","map")</f>
        <v>map</v>
      </c>
    </row>
    <row r="2479" spans="1:32">
      <c r="A2479" t="s">
        <v>2529</v>
      </c>
      <c r="B2479" t="s">
        <v>10073</v>
      </c>
      <c r="C2479" t="s">
        <v>15458</v>
      </c>
      <c r="D2479" t="s">
        <v>16205</v>
      </c>
      <c r="E2479" t="s">
        <v>16218</v>
      </c>
      <c r="F2479" t="s">
        <v>16220</v>
      </c>
      <c r="G2479" t="s">
        <v>16266</v>
      </c>
      <c r="H2479" t="s">
        <v>16250</v>
      </c>
      <c r="I2479" t="s">
        <v>16346</v>
      </c>
      <c r="J2479" t="s">
        <v>16385</v>
      </c>
      <c r="K2479">
        <v>0.157</v>
      </c>
      <c r="L2479">
        <v>6850</v>
      </c>
      <c r="M2479">
        <v>1123</v>
      </c>
      <c r="N2479" t="s">
        <v>16393</v>
      </c>
      <c r="O2479" s="4">
        <v>26407</v>
      </c>
      <c r="P2479" s="4">
        <v>106621</v>
      </c>
      <c r="Q2479" s="4">
        <v>133028</v>
      </c>
      <c r="R2479" s="4">
        <v>399084</v>
      </c>
      <c r="S2479" t="s">
        <v>18805</v>
      </c>
      <c r="T2479" s="6">
        <v>43191</v>
      </c>
      <c r="U2479" s="4">
        <v>319000</v>
      </c>
      <c r="V2479" t="s">
        <v>23739</v>
      </c>
      <c r="W2479" t="s">
        <v>24908</v>
      </c>
      <c r="X2479" t="s">
        <v>3</v>
      </c>
      <c r="AA2479" s="5" t="str">
        <f>HYPERLINK("https://www.zillow.com/homes/949-FOXWORTH-BLVD-LOMBARD-IL-601484815_rb/","check listing")</f>
        <v>check listing</v>
      </c>
      <c r="AB2479" s="5" t="str">
        <f>HYPERLINK("https://propertylookup.dupagecounty.gov/Datalets/Datalet.aspx?UseSearch=no&amp;mode=sales&amp;pin=0619302003","sales record")</f>
        <v>sales record</v>
      </c>
      <c r="AC2479" t="s">
        <v>3</v>
      </c>
      <c r="AD2479">
        <v>41.845214</v>
      </c>
      <c r="AE2479">
        <v>-88.03302600000001</v>
      </c>
      <c r="AF2479" s="5" t="str">
        <f>HYPERLINK("https://www.google.com/maps/search/?api=1&amp;query=41.845214,-88.033026","map")</f>
        <v>map</v>
      </c>
    </row>
    <row r="2480" spans="1:32">
      <c r="A2480" t="s">
        <v>2530</v>
      </c>
      <c r="B2480" t="s">
        <v>10074</v>
      </c>
      <c r="C2480" t="s">
        <v>15435</v>
      </c>
      <c r="D2480" t="s">
        <v>16205</v>
      </c>
      <c r="E2480" t="s">
        <v>16218</v>
      </c>
      <c r="F2480" t="s">
        <v>16220</v>
      </c>
      <c r="G2480" t="s">
        <v>16266</v>
      </c>
      <c r="H2480" t="s">
        <v>16250</v>
      </c>
      <c r="I2480" t="s">
        <v>16346</v>
      </c>
      <c r="J2480" t="s">
        <v>16385</v>
      </c>
      <c r="K2480">
        <v>0.156</v>
      </c>
      <c r="L2480">
        <v>6805</v>
      </c>
      <c r="M2480">
        <v>1657</v>
      </c>
      <c r="N2480" t="s">
        <v>16393</v>
      </c>
      <c r="O2480" s="4">
        <v>31284</v>
      </c>
      <c r="P2480" s="4">
        <v>89469</v>
      </c>
      <c r="Q2480" s="4">
        <v>120753</v>
      </c>
      <c r="R2480" s="4">
        <v>362259</v>
      </c>
      <c r="S2480" t="s">
        <v>18806</v>
      </c>
      <c r="T2480" s="6">
        <v>35977</v>
      </c>
      <c r="U2480" s="4">
        <v>164000</v>
      </c>
      <c r="X2480" t="s">
        <v>3</v>
      </c>
      <c r="AA2480" s="5" t="str">
        <f>HYPERLINK("https://www.zillow.com/homes/1033-FOXWORTH-BLVD-LOMBARD-IL-60148_rb/","check listing")</f>
        <v>check listing</v>
      </c>
      <c r="AB2480" s="5" t="str">
        <f>HYPERLINK("https://propertylookup.dupagecounty.gov/Datalets/Datalet.aspx?UseSearch=no&amp;mode=sales&amp;pin=0524403005","sales record")</f>
        <v>sales record</v>
      </c>
      <c r="AC2480" t="s">
        <v>3</v>
      </c>
      <c r="AD2480">
        <v>41.84652</v>
      </c>
      <c r="AE2480">
        <v>-88.03499100000001</v>
      </c>
      <c r="AF2480" s="5" t="str">
        <f>HYPERLINK("https://www.google.com/maps/search/?api=1&amp;query=41.84652,-88.034991","map")</f>
        <v>map</v>
      </c>
    </row>
    <row r="2481" spans="1:32">
      <c r="A2481" t="s">
        <v>2531</v>
      </c>
      <c r="B2481" t="s">
        <v>10075</v>
      </c>
      <c r="C2481" t="s">
        <v>15435</v>
      </c>
      <c r="D2481" t="s">
        <v>16205</v>
      </c>
      <c r="E2481" t="s">
        <v>16218</v>
      </c>
      <c r="F2481" t="s">
        <v>16220</v>
      </c>
      <c r="G2481" t="s">
        <v>16266</v>
      </c>
      <c r="H2481" t="s">
        <v>16250</v>
      </c>
      <c r="I2481" t="s">
        <v>16346</v>
      </c>
      <c r="J2481" t="s">
        <v>16385</v>
      </c>
      <c r="K2481">
        <v>0.156</v>
      </c>
      <c r="L2481">
        <v>6800</v>
      </c>
      <c r="M2481">
        <v>1363</v>
      </c>
      <c r="N2481" t="s">
        <v>16393</v>
      </c>
      <c r="O2481" s="4">
        <v>24518</v>
      </c>
      <c r="P2481" s="4">
        <v>96741</v>
      </c>
      <c r="Q2481" s="4">
        <v>121259</v>
      </c>
      <c r="R2481" s="4">
        <v>363777</v>
      </c>
      <c r="S2481" t="s">
        <v>18807</v>
      </c>
      <c r="T2481" s="6">
        <v>38657</v>
      </c>
      <c r="U2481" s="4">
        <v>250000</v>
      </c>
      <c r="V2481" t="s">
        <v>23739</v>
      </c>
      <c r="W2481" t="s">
        <v>24909</v>
      </c>
      <c r="X2481" t="s">
        <v>3</v>
      </c>
      <c r="AA2481" s="5" t="str">
        <f>HYPERLINK("https://www.zillow.com/homes/960-FOXWORTH-BLVD-LOMBARD-IL-60148_rb/","check listing")</f>
        <v>check listing</v>
      </c>
      <c r="AB2481" s="5" t="str">
        <f>HYPERLINK("https://propertylookup.dupagecounty.gov/Datalets/Datalet.aspx?UseSearch=no&amp;mode=sales&amp;pin=0619301004","sales record")</f>
        <v>sales record</v>
      </c>
      <c r="AC2481" t="s">
        <v>3</v>
      </c>
      <c r="AD2481">
        <v>41.845915</v>
      </c>
      <c r="AE2481">
        <v>-88.033164</v>
      </c>
      <c r="AF2481" s="5" t="str">
        <f>HYPERLINK("https://www.google.com/maps/search/?api=1&amp;query=41.845915,-88.033164","map")</f>
        <v>map</v>
      </c>
    </row>
    <row r="2482" spans="1:32">
      <c r="A2482" t="s">
        <v>2532</v>
      </c>
      <c r="B2482" t="s">
        <v>10076</v>
      </c>
      <c r="C2482" t="s">
        <v>15435</v>
      </c>
      <c r="D2482" t="s">
        <v>16205</v>
      </c>
      <c r="E2482" t="s">
        <v>16218</v>
      </c>
      <c r="F2482" t="s">
        <v>16220</v>
      </c>
      <c r="G2482" t="s">
        <v>16266</v>
      </c>
      <c r="H2482" t="s">
        <v>16250</v>
      </c>
      <c r="I2482" t="s">
        <v>16346</v>
      </c>
      <c r="J2482" t="s">
        <v>16385</v>
      </c>
      <c r="K2482">
        <v>0.156</v>
      </c>
      <c r="L2482">
        <v>6791</v>
      </c>
      <c r="M2482">
        <v>1182</v>
      </c>
      <c r="N2482" t="s">
        <v>16393</v>
      </c>
      <c r="O2482" s="4">
        <v>31284</v>
      </c>
      <c r="P2482" s="4">
        <v>101559</v>
      </c>
      <c r="Q2482" s="4">
        <v>132843</v>
      </c>
      <c r="R2482" s="4">
        <v>398529</v>
      </c>
      <c r="S2482" t="s">
        <v>18808</v>
      </c>
      <c r="T2482" s="6">
        <v>45883</v>
      </c>
      <c r="U2482" s="4">
        <v>475000</v>
      </c>
      <c r="V2482" t="s">
        <v>23739</v>
      </c>
      <c r="W2482" t="s">
        <v>24910</v>
      </c>
      <c r="X2482" t="s">
        <v>3</v>
      </c>
      <c r="AA2482" s="5" t="str">
        <f>HYPERLINK("https://www.zillow.com/homes/2040-DOWNING-ST-LOMBARD-IL-60148_rb/","check listing")</f>
        <v>check listing</v>
      </c>
      <c r="AB2482" s="5" t="str">
        <f>HYPERLINK("https://propertylookup.dupagecounty.gov/Datalets/Datalet.aspx?UseSearch=no&amp;mode=sales&amp;pin=0524407016","sales record")</f>
        <v>sales record</v>
      </c>
      <c r="AC2482" t="s">
        <v>3</v>
      </c>
      <c r="AD2482">
        <v>41.846113</v>
      </c>
      <c r="AE2482">
        <v>-88.037085</v>
      </c>
      <c r="AF2482" s="5" t="str">
        <f>HYPERLINK("https://www.google.com/maps/search/?api=1&amp;query=41.846113,-88.037085","map")</f>
        <v>map</v>
      </c>
    </row>
    <row r="2483" spans="1:32">
      <c r="A2483" t="s">
        <v>2533</v>
      </c>
      <c r="B2483" t="s">
        <v>10077</v>
      </c>
      <c r="C2483" t="s">
        <v>15435</v>
      </c>
      <c r="D2483" t="s">
        <v>16205</v>
      </c>
      <c r="E2483" t="s">
        <v>16218</v>
      </c>
      <c r="F2483" t="s">
        <v>16220</v>
      </c>
      <c r="G2483" t="s">
        <v>16266</v>
      </c>
      <c r="H2483" t="s">
        <v>16250</v>
      </c>
      <c r="I2483" t="s">
        <v>16346</v>
      </c>
      <c r="J2483" t="s">
        <v>16385</v>
      </c>
      <c r="K2483">
        <v>0.156</v>
      </c>
      <c r="L2483">
        <v>6780</v>
      </c>
      <c r="M2483">
        <v>1198</v>
      </c>
      <c r="N2483" t="s">
        <v>16393</v>
      </c>
      <c r="O2483" s="4">
        <v>31284</v>
      </c>
      <c r="P2483" s="4">
        <v>99791</v>
      </c>
      <c r="Q2483" s="4">
        <v>131075</v>
      </c>
      <c r="R2483" s="4">
        <v>393225</v>
      </c>
      <c r="S2483" t="s">
        <v>18809</v>
      </c>
      <c r="T2483" s="6">
        <v>32690</v>
      </c>
      <c r="U2483" s="4">
        <v>149000</v>
      </c>
      <c r="X2483" t="s">
        <v>3</v>
      </c>
      <c r="AA2483" s="5" t="str">
        <f>HYPERLINK("https://www.zillow.com/homes/1017-BEVERLY-CT-LOMBARD-IL-60148_rb/","check listing")</f>
        <v>check listing</v>
      </c>
      <c r="AB2483" s="5" t="str">
        <f>HYPERLINK("https://propertylookup.dupagecounty.gov/Datalets/Datalet.aspx?UseSearch=no&amp;mode=sales&amp;pin=0524403037","sales record")</f>
        <v>sales record</v>
      </c>
      <c r="AC2483" t="s">
        <v>3</v>
      </c>
      <c r="AD2483">
        <v>41.845897</v>
      </c>
      <c r="AE2483">
        <v>-88.03619999999999</v>
      </c>
      <c r="AF2483" s="5" t="str">
        <f>HYPERLINK("https://www.google.com/maps/search/?api=1&amp;query=41.845897,-88.0362","map")</f>
        <v>map</v>
      </c>
    </row>
    <row r="2484" spans="1:32">
      <c r="A2484" t="s">
        <v>2534</v>
      </c>
      <c r="B2484" t="s">
        <v>10078</v>
      </c>
      <c r="C2484" t="s">
        <v>15435</v>
      </c>
      <c r="D2484" t="s">
        <v>16205</v>
      </c>
      <c r="E2484" t="s">
        <v>16218</v>
      </c>
      <c r="F2484" t="s">
        <v>16220</v>
      </c>
      <c r="G2484" t="s">
        <v>16266</v>
      </c>
      <c r="H2484" t="s">
        <v>16250</v>
      </c>
      <c r="I2484" t="s">
        <v>16346</v>
      </c>
      <c r="J2484" t="s">
        <v>16385</v>
      </c>
      <c r="K2484">
        <v>0.156</v>
      </c>
      <c r="L2484">
        <v>6774</v>
      </c>
      <c r="M2484">
        <v>1479</v>
      </c>
      <c r="N2484" t="s">
        <v>16393</v>
      </c>
      <c r="O2484" s="4">
        <v>31284</v>
      </c>
      <c r="P2484" s="4">
        <v>92686</v>
      </c>
      <c r="Q2484" s="4">
        <v>123970</v>
      </c>
      <c r="R2484" s="4">
        <v>371910</v>
      </c>
      <c r="S2484" t="s">
        <v>18810</v>
      </c>
      <c r="T2484" s="6">
        <v>35004</v>
      </c>
      <c r="U2484" s="4">
        <v>148000</v>
      </c>
      <c r="X2484" t="s">
        <v>3</v>
      </c>
      <c r="AA2484" s="5" t="str">
        <f>HYPERLINK("https://www.zillow.com/homes/1066-FOXWORTH-BLVD-LOMBARD-IL-60148_rb/","check listing")</f>
        <v>check listing</v>
      </c>
      <c r="AB2484" s="5" t="str">
        <f>HYPERLINK("https://propertylookup.dupagecounty.gov/Datalets/Datalet.aspx?UseSearch=no&amp;mode=sales&amp;pin=0524402002","sales record")</f>
        <v>sales record</v>
      </c>
      <c r="AC2484" t="s">
        <v>3</v>
      </c>
      <c r="AD2484">
        <v>41.847496</v>
      </c>
      <c r="AE2484">
        <v>-88.03524400000001</v>
      </c>
      <c r="AF2484" s="5" t="str">
        <f>HYPERLINK("https://www.google.com/maps/search/?api=1&amp;query=41.847496,-88.035244","map")</f>
        <v>map</v>
      </c>
    </row>
    <row r="2485" spans="1:32">
      <c r="A2485" t="s">
        <v>2535</v>
      </c>
      <c r="B2485" t="s">
        <v>10079</v>
      </c>
      <c r="C2485" t="s">
        <v>15435</v>
      </c>
      <c r="D2485" t="s">
        <v>16205</v>
      </c>
      <c r="E2485" t="s">
        <v>16218</v>
      </c>
      <c r="F2485" t="s">
        <v>16220</v>
      </c>
      <c r="G2485" t="s">
        <v>16266</v>
      </c>
      <c r="H2485" t="s">
        <v>16250</v>
      </c>
      <c r="I2485" t="s">
        <v>16346</v>
      </c>
      <c r="J2485" t="s">
        <v>16385</v>
      </c>
      <c r="K2485">
        <v>0.156</v>
      </c>
      <c r="L2485">
        <v>6774</v>
      </c>
      <c r="M2485">
        <v>1341</v>
      </c>
      <c r="N2485" t="s">
        <v>16393</v>
      </c>
      <c r="O2485" s="4">
        <v>31284</v>
      </c>
      <c r="P2485" s="4">
        <v>82635</v>
      </c>
      <c r="Q2485" s="4">
        <v>113919</v>
      </c>
      <c r="R2485" s="4">
        <v>341757</v>
      </c>
      <c r="S2485" t="s">
        <v>18811</v>
      </c>
      <c r="T2485" s="6">
        <v>37408</v>
      </c>
      <c r="U2485" s="4">
        <v>235000</v>
      </c>
      <c r="V2485" t="s">
        <v>23739</v>
      </c>
      <c r="W2485" t="s">
        <v>24911</v>
      </c>
      <c r="X2485" t="s">
        <v>3</v>
      </c>
      <c r="AA2485" s="5" t="str">
        <f>HYPERLINK("https://www.zillow.com/homes/1060-FOXWORTH-BLVD-LOMBARD-IL-60148_rb/","check listing")</f>
        <v>check listing</v>
      </c>
      <c r="AB2485" s="5" t="str">
        <f>HYPERLINK("https://propertylookup.dupagecounty.gov/Datalets/Datalet.aspx?UseSearch=no&amp;mode=sales&amp;pin=0524402003","sales record")</f>
        <v>sales record</v>
      </c>
      <c r="AC2485" t="s">
        <v>3</v>
      </c>
      <c r="AD2485">
        <v>41.847435</v>
      </c>
      <c r="AE2485">
        <v>-88.034986</v>
      </c>
      <c r="AF2485" s="5" t="str">
        <f>HYPERLINK("https://www.google.com/maps/search/?api=1&amp;query=41.847435,-88.034986","map")</f>
        <v>map</v>
      </c>
    </row>
    <row r="2486" spans="1:32">
      <c r="A2486" t="s">
        <v>2536</v>
      </c>
      <c r="B2486" t="s">
        <v>10080</v>
      </c>
      <c r="C2486" t="s">
        <v>15459</v>
      </c>
      <c r="D2486" t="s">
        <v>16205</v>
      </c>
      <c r="E2486" t="s">
        <v>16218</v>
      </c>
      <c r="F2486" t="s">
        <v>16220</v>
      </c>
      <c r="G2486" t="s">
        <v>16266</v>
      </c>
      <c r="H2486" t="s">
        <v>16250</v>
      </c>
      <c r="I2486" t="s">
        <v>16346</v>
      </c>
      <c r="J2486" t="s">
        <v>16385</v>
      </c>
      <c r="K2486">
        <v>0.155</v>
      </c>
      <c r="L2486">
        <v>6773</v>
      </c>
      <c r="M2486">
        <v>1987</v>
      </c>
      <c r="N2486" t="s">
        <v>16393</v>
      </c>
      <c r="O2486" s="4">
        <v>31284</v>
      </c>
      <c r="P2486" s="4">
        <v>79512</v>
      </c>
      <c r="Q2486" s="4">
        <v>110796</v>
      </c>
      <c r="R2486" s="4">
        <v>332388</v>
      </c>
      <c r="S2486" t="s">
        <v>18812</v>
      </c>
      <c r="T2486" s="6">
        <v>45103</v>
      </c>
      <c r="U2486" s="4">
        <v>385000</v>
      </c>
      <c r="V2486" t="s">
        <v>23739</v>
      </c>
      <c r="W2486" t="s">
        <v>24912</v>
      </c>
      <c r="X2486" t="s">
        <v>3</v>
      </c>
      <c r="AA2486" s="5" t="str">
        <f>HYPERLINK("https://www.zillow.com/homes/1054-FOXWORTH-BLVD-LOMBARD-IL-601484818_rb/","check listing")</f>
        <v>check listing</v>
      </c>
      <c r="AB2486" s="5" t="str">
        <f>HYPERLINK("https://propertylookup.dupagecounty.gov/Datalets/Datalet.aspx?UseSearch=no&amp;mode=sales&amp;pin=0524402004","sales record")</f>
        <v>sales record</v>
      </c>
      <c r="AC2486" t="s">
        <v>3</v>
      </c>
      <c r="AD2486">
        <v>41.847426</v>
      </c>
      <c r="AE2486">
        <v>-88.03474300000001</v>
      </c>
      <c r="AF2486" s="5" t="str">
        <f>HYPERLINK("https://www.google.com/maps/search/?api=1&amp;query=41.847426,-88.034743","map")</f>
        <v>map</v>
      </c>
    </row>
    <row r="2487" spans="1:32">
      <c r="A2487" t="s">
        <v>2537</v>
      </c>
      <c r="B2487" t="s">
        <v>10081</v>
      </c>
      <c r="C2487" t="s">
        <v>15435</v>
      </c>
      <c r="D2487" t="s">
        <v>16205</v>
      </c>
      <c r="E2487" t="s">
        <v>16218</v>
      </c>
      <c r="F2487" t="s">
        <v>16220</v>
      </c>
      <c r="G2487" t="s">
        <v>16266</v>
      </c>
      <c r="H2487" t="s">
        <v>16250</v>
      </c>
      <c r="I2487" t="s">
        <v>16346</v>
      </c>
      <c r="J2487" t="s">
        <v>16385</v>
      </c>
      <c r="K2487">
        <v>0.155</v>
      </c>
      <c r="L2487">
        <v>6773</v>
      </c>
      <c r="M2487">
        <v>1645</v>
      </c>
      <c r="N2487" t="s">
        <v>16393</v>
      </c>
      <c r="O2487" s="4">
        <v>31284</v>
      </c>
      <c r="P2487" s="4">
        <v>80973</v>
      </c>
      <c r="Q2487" s="4">
        <v>112257</v>
      </c>
      <c r="R2487" s="4">
        <v>336771</v>
      </c>
      <c r="S2487" t="s">
        <v>18813</v>
      </c>
      <c r="T2487" s="6">
        <v>40848</v>
      </c>
      <c r="U2487" s="4">
        <v>235000</v>
      </c>
      <c r="V2487" t="s">
        <v>23739</v>
      </c>
      <c r="W2487" t="s">
        <v>18813</v>
      </c>
      <c r="X2487" t="s">
        <v>3</v>
      </c>
      <c r="AA2487" s="5" t="str">
        <f>HYPERLINK("https://www.zillow.com/homes/1159-HUNTER-ST-LOMBARD-IL-60148_rb/","check listing")</f>
        <v>check listing</v>
      </c>
      <c r="AB2487" s="5" t="str">
        <f>HYPERLINK("https://propertylookup.dupagecounty.gov/Datalets/Datalet.aspx?UseSearch=no&amp;mode=sales&amp;pin=0524406001","sales record")</f>
        <v>sales record</v>
      </c>
      <c r="AC2487" t="s">
        <v>3</v>
      </c>
      <c r="AD2487">
        <v>41.847634</v>
      </c>
      <c r="AE2487">
        <v>-88.037521</v>
      </c>
      <c r="AF2487" s="5" t="str">
        <f>HYPERLINK("https://www.google.com/maps/search/?api=1&amp;query=41.847634,-88.037521","map")</f>
        <v>map</v>
      </c>
    </row>
    <row r="2488" spans="1:32">
      <c r="A2488" t="s">
        <v>2538</v>
      </c>
      <c r="B2488" t="s">
        <v>10082</v>
      </c>
      <c r="C2488" t="s">
        <v>15459</v>
      </c>
      <c r="D2488" t="s">
        <v>16205</v>
      </c>
      <c r="E2488" t="s">
        <v>16218</v>
      </c>
      <c r="F2488" t="s">
        <v>16220</v>
      </c>
      <c r="G2488" t="s">
        <v>16266</v>
      </c>
      <c r="H2488" t="s">
        <v>16250</v>
      </c>
      <c r="I2488" t="s">
        <v>16346</v>
      </c>
      <c r="J2488" t="s">
        <v>16385</v>
      </c>
      <c r="K2488">
        <v>0.155</v>
      </c>
      <c r="L2488">
        <v>6772</v>
      </c>
      <c r="M2488">
        <v>2012</v>
      </c>
      <c r="N2488" t="s">
        <v>16393</v>
      </c>
      <c r="O2488" s="4">
        <v>31284</v>
      </c>
      <c r="P2488" s="4">
        <v>82635</v>
      </c>
      <c r="Q2488" s="4">
        <v>113919</v>
      </c>
      <c r="R2488" s="4">
        <v>341757</v>
      </c>
      <c r="S2488" t="s">
        <v>18814</v>
      </c>
      <c r="T2488" s="6">
        <v>43556</v>
      </c>
      <c r="U2488" s="4">
        <v>325000</v>
      </c>
      <c r="V2488" t="s">
        <v>23739</v>
      </c>
      <c r="W2488" t="s">
        <v>24913</v>
      </c>
      <c r="X2488" t="s">
        <v>3</v>
      </c>
      <c r="AA2488" s="5" t="str">
        <f>HYPERLINK("https://www.zillow.com/homes/1048-FOXWORTH-BLVD-LOMBARD-IL-601484818_rb/","check listing")</f>
        <v>check listing</v>
      </c>
      <c r="AB2488" s="5" t="str">
        <f>HYPERLINK("https://propertylookup.dupagecounty.gov/Datalets/Datalet.aspx?UseSearch=no&amp;mode=sales&amp;pin=0524402005","sales record")</f>
        <v>sales record</v>
      </c>
      <c r="AC2488" t="s">
        <v>3</v>
      </c>
      <c r="AD2488">
        <v>41.847158</v>
      </c>
      <c r="AE2488">
        <v>-88.03465799999999</v>
      </c>
      <c r="AF2488" s="5" t="str">
        <f>HYPERLINK("https://www.google.com/maps/search/?api=1&amp;query=41.847158,-88.034658","map")</f>
        <v>map</v>
      </c>
    </row>
    <row r="2489" spans="1:32">
      <c r="A2489" t="s">
        <v>2539</v>
      </c>
      <c r="B2489" t="s">
        <v>10083</v>
      </c>
      <c r="C2489" t="s">
        <v>15435</v>
      </c>
      <c r="D2489" t="s">
        <v>16205</v>
      </c>
      <c r="E2489" t="s">
        <v>16218</v>
      </c>
      <c r="F2489" t="s">
        <v>16220</v>
      </c>
      <c r="G2489" t="s">
        <v>16266</v>
      </c>
      <c r="H2489" t="s">
        <v>16250</v>
      </c>
      <c r="I2489" t="s">
        <v>16346</v>
      </c>
      <c r="J2489" t="s">
        <v>16385</v>
      </c>
      <c r="K2489">
        <v>0.155</v>
      </c>
      <c r="L2489">
        <v>6767</v>
      </c>
      <c r="M2489">
        <v>1751</v>
      </c>
      <c r="N2489" t="s">
        <v>16393</v>
      </c>
      <c r="O2489" s="4">
        <v>31284</v>
      </c>
      <c r="P2489" s="4">
        <v>80973</v>
      </c>
      <c r="Q2489" s="4">
        <v>112257</v>
      </c>
      <c r="R2489" s="4">
        <v>336771</v>
      </c>
      <c r="S2489" t="s">
        <v>18815</v>
      </c>
      <c r="T2489" s="6">
        <v>29068</v>
      </c>
      <c r="U2489" s="4">
        <v>75790</v>
      </c>
      <c r="X2489" t="s">
        <v>3</v>
      </c>
      <c r="AA2489" s="5" t="str">
        <f>HYPERLINK("https://www.zillow.com/homes/2041-DOWNING-ST-LOMBARD-IL-60148_rb/","check listing")</f>
        <v>check listing</v>
      </c>
      <c r="AB2489" s="5" t="str">
        <f>HYPERLINK("https://propertylookup.dupagecounty.gov/Datalets/Datalet.aspx?UseSearch=no&amp;mode=sales&amp;pin=0524403042","sales record")</f>
        <v>sales record</v>
      </c>
      <c r="AC2489" t="s">
        <v>3</v>
      </c>
      <c r="AD2489">
        <v>41.84606</v>
      </c>
      <c r="AE2489">
        <v>-88.03654899999999</v>
      </c>
      <c r="AF2489" s="5" t="str">
        <f>HYPERLINK("https://www.google.com/maps/search/?api=1&amp;query=41.84606,-88.036549","map")</f>
        <v>map</v>
      </c>
    </row>
    <row r="2490" spans="1:32">
      <c r="A2490" t="s">
        <v>2540</v>
      </c>
      <c r="B2490" t="s">
        <v>10084</v>
      </c>
      <c r="C2490" t="s">
        <v>15435</v>
      </c>
      <c r="D2490" t="s">
        <v>16205</v>
      </c>
      <c r="E2490" t="s">
        <v>16218</v>
      </c>
      <c r="F2490" t="s">
        <v>16220</v>
      </c>
      <c r="G2490" t="s">
        <v>16266</v>
      </c>
      <c r="H2490" t="s">
        <v>16250</v>
      </c>
      <c r="I2490" t="s">
        <v>16346</v>
      </c>
      <c r="J2490" t="s">
        <v>16385</v>
      </c>
      <c r="K2490">
        <v>0.155</v>
      </c>
      <c r="L2490">
        <v>6757</v>
      </c>
      <c r="M2490">
        <v>1449</v>
      </c>
      <c r="N2490" t="s">
        <v>16393</v>
      </c>
      <c r="O2490" s="4">
        <v>24518</v>
      </c>
      <c r="P2490" s="4">
        <v>97908</v>
      </c>
      <c r="Q2490" s="4">
        <v>122426</v>
      </c>
      <c r="R2490" s="4">
        <v>367278</v>
      </c>
      <c r="S2490" t="s">
        <v>18816</v>
      </c>
      <c r="T2490" s="6">
        <v>34304</v>
      </c>
      <c r="U2490" s="4">
        <v>143500</v>
      </c>
      <c r="X2490" t="s">
        <v>3</v>
      </c>
      <c r="AA2490" s="5" t="str">
        <f>HYPERLINK("https://www.zillow.com/homes/970-FOXWORTH-BLVD-LOMBARD-IL-60148_rb/","check listing")</f>
        <v>check listing</v>
      </c>
      <c r="AB2490" s="5" t="str">
        <f>HYPERLINK("https://propertylookup.dupagecounty.gov/Datalets/Datalet.aspx?UseSearch=no&amp;mode=sales&amp;pin=0619301003","sales record")</f>
        <v>sales record</v>
      </c>
      <c r="AC2490" t="s">
        <v>3</v>
      </c>
      <c r="AD2490">
        <v>41.845881</v>
      </c>
      <c r="AE2490">
        <v>-88.033422</v>
      </c>
      <c r="AF2490" s="5" t="str">
        <f>HYPERLINK("https://www.google.com/maps/search/?api=1&amp;query=41.845881,-88.033422","map")</f>
        <v>map</v>
      </c>
    </row>
    <row r="2491" spans="1:32">
      <c r="A2491" t="s">
        <v>2541</v>
      </c>
      <c r="B2491" t="s">
        <v>10085</v>
      </c>
      <c r="C2491" t="s">
        <v>15435</v>
      </c>
      <c r="D2491" t="s">
        <v>16205</v>
      </c>
      <c r="E2491" t="s">
        <v>16218</v>
      </c>
      <c r="F2491" t="s">
        <v>16220</v>
      </c>
      <c r="G2491" t="s">
        <v>16267</v>
      </c>
      <c r="H2491" t="s">
        <v>16254</v>
      </c>
      <c r="I2491" t="s">
        <v>16346</v>
      </c>
      <c r="J2491" t="s">
        <v>16385</v>
      </c>
      <c r="K2491">
        <v>0.154</v>
      </c>
      <c r="L2491">
        <v>6696</v>
      </c>
      <c r="M2491">
        <v>1440</v>
      </c>
      <c r="N2491" t="s">
        <v>16393</v>
      </c>
      <c r="O2491" s="4">
        <v>8701</v>
      </c>
      <c r="P2491" s="4">
        <v>78312</v>
      </c>
      <c r="Q2491" s="4">
        <v>87013</v>
      </c>
      <c r="R2491" s="4">
        <v>261039</v>
      </c>
      <c r="S2491" t="s">
        <v>18817</v>
      </c>
      <c r="T2491" s="6">
        <v>42856</v>
      </c>
      <c r="U2491" s="4">
        <v>220000</v>
      </c>
      <c r="V2491" t="s">
        <v>23738</v>
      </c>
      <c r="W2491" t="s">
        <v>24914</v>
      </c>
      <c r="X2491" t="s">
        <v>3</v>
      </c>
      <c r="AA2491" s="5" t="str">
        <f>HYPERLINK("https://www.zillow.com/homes/106-REGENCY-DR-LOMBARD-IL-60148_rb/","check listing")</f>
        <v>check listing</v>
      </c>
      <c r="AB2491" s="5" t="str">
        <f>HYPERLINK("https://propertylookup.dupagecounty.gov/Datalets/Datalet.aspx?UseSearch=no&amp;mode=sales&amp;pin=0629104025","sales record")</f>
        <v>sales record</v>
      </c>
      <c r="AC2491" t="s">
        <v>3</v>
      </c>
      <c r="AD2491">
        <v>41.840943</v>
      </c>
      <c r="AE2491">
        <v>-88.01421499999999</v>
      </c>
      <c r="AF2491" s="5" t="str">
        <f>HYPERLINK("https://www.google.com/maps/search/?api=1&amp;query=41.840943,-88.014215","map")</f>
        <v>map</v>
      </c>
    </row>
    <row r="2492" spans="1:32">
      <c r="A2492" t="s">
        <v>2542</v>
      </c>
      <c r="B2492" t="s">
        <v>10086</v>
      </c>
      <c r="C2492" t="s">
        <v>15435</v>
      </c>
      <c r="D2492" t="s">
        <v>16205</v>
      </c>
      <c r="E2492" t="s">
        <v>16218</v>
      </c>
      <c r="F2492" t="s">
        <v>16220</v>
      </c>
      <c r="G2492" t="s">
        <v>16266</v>
      </c>
      <c r="H2492" t="s">
        <v>16250</v>
      </c>
      <c r="I2492" t="s">
        <v>16346</v>
      </c>
      <c r="J2492" t="s">
        <v>16385</v>
      </c>
      <c r="K2492">
        <v>0.153</v>
      </c>
      <c r="L2492">
        <v>6652</v>
      </c>
      <c r="M2492">
        <v>1738</v>
      </c>
      <c r="N2492" t="s">
        <v>16393</v>
      </c>
      <c r="O2492" s="4">
        <v>31284</v>
      </c>
      <c r="P2492" s="4">
        <v>82635</v>
      </c>
      <c r="Q2492" s="4">
        <v>113919</v>
      </c>
      <c r="R2492" s="4">
        <v>341757</v>
      </c>
      <c r="S2492" t="s">
        <v>18818</v>
      </c>
      <c r="T2492" s="6">
        <v>41275</v>
      </c>
      <c r="U2492" s="4">
        <v>254500</v>
      </c>
      <c r="V2492" t="s">
        <v>23739</v>
      </c>
      <c r="W2492" t="s">
        <v>18818</v>
      </c>
      <c r="X2492" t="s">
        <v>3</v>
      </c>
      <c r="AA2492" s="5" t="str">
        <f>HYPERLINK("https://www.zillow.com/homes/2000-DOWNING-ST-LOMBARD-IL-60148_rb/","check listing")</f>
        <v>check listing</v>
      </c>
      <c r="AB2492" s="5" t="str">
        <f>HYPERLINK("https://propertylookup.dupagecounty.gov/Datalets/Datalet.aspx?UseSearch=no&amp;mode=sales&amp;pin=0524407007","sales record")</f>
        <v>sales record</v>
      </c>
      <c r="AC2492" t="s">
        <v>3</v>
      </c>
      <c r="AD2492">
        <v>41.846322</v>
      </c>
      <c r="AE2492">
        <v>-88.03704</v>
      </c>
      <c r="AF2492" s="5" t="str">
        <f>HYPERLINK("https://www.google.com/maps/search/?api=1&amp;query=41.846322,-88.03704","map")</f>
        <v>map</v>
      </c>
    </row>
    <row r="2493" spans="1:32">
      <c r="A2493" t="s">
        <v>2543</v>
      </c>
      <c r="B2493" t="s">
        <v>10087</v>
      </c>
      <c r="C2493" t="s">
        <v>15435</v>
      </c>
      <c r="D2493" t="s">
        <v>16205</v>
      </c>
      <c r="E2493" t="s">
        <v>16218</v>
      </c>
      <c r="F2493" t="s">
        <v>16220</v>
      </c>
      <c r="G2493" t="s">
        <v>16266</v>
      </c>
      <c r="H2493" t="s">
        <v>16250</v>
      </c>
      <c r="I2493" t="s">
        <v>16346</v>
      </c>
      <c r="J2493" t="s">
        <v>16385</v>
      </c>
      <c r="K2493">
        <v>0.152</v>
      </c>
      <c r="L2493">
        <v>6634</v>
      </c>
      <c r="M2493">
        <v>1170</v>
      </c>
      <c r="N2493" t="s">
        <v>16393</v>
      </c>
      <c r="O2493" s="4">
        <v>31284</v>
      </c>
      <c r="P2493" s="4">
        <v>109653</v>
      </c>
      <c r="Q2493" s="4">
        <v>140937</v>
      </c>
      <c r="R2493" s="4">
        <v>422811</v>
      </c>
      <c r="S2493" t="s">
        <v>18819</v>
      </c>
      <c r="T2493" s="6">
        <v>35612</v>
      </c>
      <c r="U2493" s="4">
        <v>175000</v>
      </c>
      <c r="X2493" t="s">
        <v>3</v>
      </c>
      <c r="AA2493" s="5" t="str">
        <f>HYPERLINK("https://www.zillow.com/homes/1916-DOWNING-ST-LOMBARD-IL-60148_rb/","check listing")</f>
        <v>check listing</v>
      </c>
      <c r="AB2493" s="5" t="str">
        <f>HYPERLINK("https://propertylookup.dupagecounty.gov/Datalets/Datalet.aspx?UseSearch=no&amp;mode=sales&amp;pin=0524407002","sales record")</f>
        <v>sales record</v>
      </c>
      <c r="AC2493" t="s">
        <v>3</v>
      </c>
      <c r="AD2493">
        <v>41.846866</v>
      </c>
      <c r="AE2493">
        <v>-88.038015</v>
      </c>
      <c r="AF2493" s="5" t="str">
        <f>HYPERLINK("https://www.google.com/maps/search/?api=1&amp;query=41.846866,-88.038015","map")</f>
        <v>map</v>
      </c>
    </row>
    <row r="2494" spans="1:32">
      <c r="A2494" t="s">
        <v>2544</v>
      </c>
      <c r="B2494" t="s">
        <v>10088</v>
      </c>
      <c r="C2494" t="s">
        <v>15435</v>
      </c>
      <c r="D2494" t="s">
        <v>16205</v>
      </c>
      <c r="E2494" t="s">
        <v>16218</v>
      </c>
      <c r="F2494" t="s">
        <v>16220</v>
      </c>
      <c r="G2494" t="s">
        <v>16266</v>
      </c>
      <c r="H2494" t="s">
        <v>16250</v>
      </c>
      <c r="I2494" t="s">
        <v>16346</v>
      </c>
      <c r="J2494" t="s">
        <v>16385</v>
      </c>
      <c r="K2494">
        <v>0.152</v>
      </c>
      <c r="L2494">
        <v>6603</v>
      </c>
      <c r="M2494">
        <v>1105</v>
      </c>
      <c r="N2494" t="s">
        <v>16393</v>
      </c>
      <c r="O2494" s="4">
        <v>31284</v>
      </c>
      <c r="P2494" s="4">
        <v>101559</v>
      </c>
      <c r="Q2494" s="4">
        <v>132843</v>
      </c>
      <c r="R2494" s="4">
        <v>398529</v>
      </c>
      <c r="S2494" t="s">
        <v>18820</v>
      </c>
      <c r="T2494" s="6">
        <v>45798</v>
      </c>
      <c r="U2494" s="4">
        <v>328800</v>
      </c>
      <c r="V2494" t="s">
        <v>23739</v>
      </c>
      <c r="W2494" t="s">
        <v>24915</v>
      </c>
      <c r="X2494" t="s">
        <v>3</v>
      </c>
      <c r="AA2494" s="5" t="str">
        <f>HYPERLINK("https://www.zillow.com/homes/1021-FOXWORTH-BLVD-LOMBARD-IL-60148_rb/","check listing")</f>
        <v>check listing</v>
      </c>
      <c r="AB2494" s="5" t="str">
        <f>HYPERLINK("https://propertylookup.dupagecounty.gov/Datalets/Datalet.aspx?UseSearch=no&amp;mode=sales&amp;pin=0524403006","sales record")</f>
        <v>sales record</v>
      </c>
      <c r="AC2494" t="s">
        <v>3</v>
      </c>
      <c r="AD2494">
        <v>41.846348</v>
      </c>
      <c r="AE2494">
        <v>-88.03492199999999</v>
      </c>
      <c r="AF2494" s="5" t="str">
        <f>HYPERLINK("https://www.google.com/maps/search/?api=1&amp;query=41.846348,-88.034922","map")</f>
        <v>map</v>
      </c>
    </row>
    <row r="2495" spans="1:32">
      <c r="A2495" t="s">
        <v>2545</v>
      </c>
      <c r="B2495" t="s">
        <v>10089</v>
      </c>
      <c r="C2495" t="s">
        <v>15450</v>
      </c>
      <c r="D2495" t="s">
        <v>16205</v>
      </c>
      <c r="E2495" t="s">
        <v>16218</v>
      </c>
      <c r="F2495" t="s">
        <v>16220</v>
      </c>
      <c r="G2495" t="s">
        <v>16266</v>
      </c>
      <c r="H2495" t="s">
        <v>16250</v>
      </c>
      <c r="I2495" t="s">
        <v>16346</v>
      </c>
      <c r="J2495" t="s">
        <v>16385</v>
      </c>
      <c r="K2495">
        <v>0.151</v>
      </c>
      <c r="L2495">
        <v>6596</v>
      </c>
      <c r="M2495">
        <v>1606</v>
      </c>
      <c r="N2495" t="s">
        <v>16393</v>
      </c>
      <c r="O2495" s="4">
        <v>31284</v>
      </c>
      <c r="P2495" s="4">
        <v>89469</v>
      </c>
      <c r="Q2495" s="4">
        <v>120753</v>
      </c>
      <c r="R2495" s="4">
        <v>362259</v>
      </c>
      <c r="S2495" t="s">
        <v>18821</v>
      </c>
      <c r="T2495" s="6">
        <v>44378</v>
      </c>
      <c r="U2495" s="4">
        <v>367000</v>
      </c>
      <c r="V2495" t="s">
        <v>23739</v>
      </c>
      <c r="W2495" t="s">
        <v>24916</v>
      </c>
      <c r="X2495" t="s">
        <v>3</v>
      </c>
      <c r="AA2495" s="5" t="str">
        <f>HYPERLINK("https://www.zillow.com/homes/1045-FOXWORTH-BLVD-LOMBARD-IL-601484817_rb/","check listing")</f>
        <v>check listing</v>
      </c>
      <c r="AB2495" s="5" t="str">
        <f>HYPERLINK("https://propertylookup.dupagecounty.gov/Datalets/Datalet.aspx?UseSearch=no&amp;mode=sales&amp;pin=0524403004","sales record")</f>
        <v>sales record</v>
      </c>
      <c r="AC2495" t="s">
        <v>3</v>
      </c>
      <c r="AD2495">
        <v>41.846631</v>
      </c>
      <c r="AE2495">
        <v>-88.035135</v>
      </c>
      <c r="AF2495" s="5" t="str">
        <f>HYPERLINK("https://www.google.com/maps/search/?api=1&amp;query=41.846631,-88.035135","map")</f>
        <v>map</v>
      </c>
    </row>
    <row r="2496" spans="1:32">
      <c r="A2496" t="s">
        <v>2546</v>
      </c>
      <c r="B2496" t="s">
        <v>10090</v>
      </c>
      <c r="C2496" t="s">
        <v>15435</v>
      </c>
      <c r="D2496" t="s">
        <v>16205</v>
      </c>
      <c r="E2496" t="s">
        <v>16218</v>
      </c>
      <c r="F2496" t="s">
        <v>16220</v>
      </c>
      <c r="G2496" t="s">
        <v>16266</v>
      </c>
      <c r="H2496" t="s">
        <v>16250</v>
      </c>
      <c r="I2496" t="s">
        <v>16346</v>
      </c>
      <c r="J2496" t="s">
        <v>16385</v>
      </c>
      <c r="K2496">
        <v>0.15</v>
      </c>
      <c r="L2496">
        <v>6555</v>
      </c>
      <c r="M2496">
        <v>1231</v>
      </c>
      <c r="N2496" t="s">
        <v>16393</v>
      </c>
      <c r="O2496" s="4">
        <v>31284</v>
      </c>
      <c r="P2496" s="4">
        <v>99791</v>
      </c>
      <c r="Q2496" s="4">
        <v>131075</v>
      </c>
      <c r="R2496" s="4">
        <v>393225</v>
      </c>
      <c r="S2496" t="s">
        <v>18822</v>
      </c>
      <c r="T2496" s="6">
        <v>36100</v>
      </c>
      <c r="U2496" s="4">
        <v>174000</v>
      </c>
      <c r="X2496" t="s">
        <v>3</v>
      </c>
      <c r="AA2496" s="5" t="str">
        <f>HYPERLINK("https://www.zillow.com/homes/1101-WHITEHALL-ST-LOMBARD-IL-60148_rb/","check listing")</f>
        <v>check listing</v>
      </c>
      <c r="AB2496" s="5" t="str">
        <f>HYPERLINK("https://propertylookup.dupagecounty.gov/Datalets/Datalet.aspx?UseSearch=no&amp;mode=sales&amp;pin=0524408011","sales record")</f>
        <v>sales record</v>
      </c>
      <c r="AC2496" t="s">
        <v>3</v>
      </c>
      <c r="AD2496">
        <v>41.845772</v>
      </c>
      <c r="AE2496">
        <v>-88.037014</v>
      </c>
      <c r="AF2496" s="5" t="str">
        <f>HYPERLINK("https://www.google.com/maps/search/?api=1&amp;query=41.845772,-88.037014","map")</f>
        <v>map</v>
      </c>
    </row>
    <row r="2497" spans="1:32">
      <c r="A2497" t="s">
        <v>2547</v>
      </c>
      <c r="B2497" t="s">
        <v>10091</v>
      </c>
      <c r="C2497" t="s">
        <v>15435</v>
      </c>
      <c r="D2497" t="s">
        <v>16205</v>
      </c>
      <c r="E2497" t="s">
        <v>16218</v>
      </c>
      <c r="F2497" t="s">
        <v>16220</v>
      </c>
      <c r="G2497" t="s">
        <v>16266</v>
      </c>
      <c r="H2497" t="s">
        <v>16250</v>
      </c>
      <c r="I2497" t="s">
        <v>16346</v>
      </c>
      <c r="J2497" t="s">
        <v>16385</v>
      </c>
      <c r="K2497">
        <v>0.15</v>
      </c>
      <c r="L2497">
        <v>6529</v>
      </c>
      <c r="M2497">
        <v>1811</v>
      </c>
      <c r="N2497" t="s">
        <v>16393</v>
      </c>
      <c r="O2497" s="4">
        <v>31284</v>
      </c>
      <c r="P2497" s="4">
        <v>82635</v>
      </c>
      <c r="Q2497" s="4">
        <v>113919</v>
      </c>
      <c r="R2497" s="4">
        <v>341757</v>
      </c>
      <c r="S2497" t="s">
        <v>18823</v>
      </c>
      <c r="T2497" s="6">
        <v>28915</v>
      </c>
      <c r="U2497" s="4">
        <v>72815</v>
      </c>
      <c r="X2497" t="s">
        <v>3</v>
      </c>
      <c r="AA2497" s="5" t="str">
        <f>HYPERLINK("https://www.zillow.com/homes/1151-HUNTER-ST-LOMBARD-IL-60148_rb/","check listing")</f>
        <v>check listing</v>
      </c>
      <c r="AB2497" s="5" t="str">
        <f>HYPERLINK("https://propertylookup.dupagecounty.gov/Datalets/Datalet.aspx?UseSearch=no&amp;mode=sales&amp;pin=0524406002","sales record")</f>
        <v>sales record</v>
      </c>
      <c r="AC2497" t="s">
        <v>3</v>
      </c>
      <c r="AD2497">
        <v>41.847532</v>
      </c>
      <c r="AE2497">
        <v>-88.03771399999999</v>
      </c>
      <c r="AF2497" s="5" t="str">
        <f>HYPERLINK("https://www.google.com/maps/search/?api=1&amp;query=41.847532,-88.037714","map")</f>
        <v>map</v>
      </c>
    </row>
    <row r="2498" spans="1:32">
      <c r="A2498" t="s">
        <v>2548</v>
      </c>
      <c r="B2498" t="s">
        <v>10092</v>
      </c>
      <c r="C2498" t="s">
        <v>15435</v>
      </c>
      <c r="D2498" t="s">
        <v>16205</v>
      </c>
      <c r="E2498" t="s">
        <v>16218</v>
      </c>
      <c r="F2498" t="s">
        <v>16220</v>
      </c>
      <c r="G2498" t="s">
        <v>16266</v>
      </c>
      <c r="H2498" t="s">
        <v>16250</v>
      </c>
      <c r="I2498" t="s">
        <v>16346</v>
      </c>
      <c r="J2498" t="s">
        <v>16385</v>
      </c>
      <c r="K2498">
        <v>0.15</v>
      </c>
      <c r="L2498">
        <v>6525</v>
      </c>
      <c r="M2498">
        <v>1570</v>
      </c>
      <c r="N2498" t="s">
        <v>16393</v>
      </c>
      <c r="O2498" s="4">
        <v>31284</v>
      </c>
      <c r="P2498" s="4">
        <v>84686</v>
      </c>
      <c r="Q2498" s="4">
        <v>115970</v>
      </c>
      <c r="R2498" s="4">
        <v>347910</v>
      </c>
      <c r="S2498" t="s">
        <v>18824</v>
      </c>
      <c r="T2498" s="6">
        <v>28856</v>
      </c>
      <c r="U2498" s="4">
        <v>62970</v>
      </c>
      <c r="X2498" t="s">
        <v>3</v>
      </c>
      <c r="AA2498" s="5" t="str">
        <f>HYPERLINK("https://www.zillow.com/homes/1095-FOXWORTH-BLVD-LOMBARD-IL-60148_rb/","check listing")</f>
        <v>check listing</v>
      </c>
      <c r="AB2498" s="5" t="str">
        <f>HYPERLINK("https://propertylookup.dupagecounty.gov/Datalets/Datalet.aspx?UseSearch=no&amp;mode=sales&amp;pin=0524403015","sales record")</f>
        <v>sales record</v>
      </c>
      <c r="AC2498" t="s">
        <v>3</v>
      </c>
      <c r="AD2498">
        <v>41.84723</v>
      </c>
      <c r="AE2498">
        <v>-88.037009</v>
      </c>
      <c r="AF2498" s="5" t="str">
        <f>HYPERLINK("https://www.google.com/maps/search/?api=1&amp;query=41.84723,-88.037009","map")</f>
        <v>map</v>
      </c>
    </row>
    <row r="2499" spans="1:32">
      <c r="A2499" t="s">
        <v>2549</v>
      </c>
      <c r="B2499" t="s">
        <v>10093</v>
      </c>
      <c r="C2499" t="s">
        <v>15460</v>
      </c>
      <c r="D2499" t="s">
        <v>16205</v>
      </c>
      <c r="E2499" t="s">
        <v>16218</v>
      </c>
      <c r="F2499" t="s">
        <v>16220</v>
      </c>
      <c r="G2499" t="s">
        <v>16266</v>
      </c>
      <c r="H2499" t="s">
        <v>16250</v>
      </c>
      <c r="I2499" t="s">
        <v>16346</v>
      </c>
      <c r="J2499" t="s">
        <v>16385</v>
      </c>
      <c r="K2499">
        <v>0.149</v>
      </c>
      <c r="L2499">
        <v>6499</v>
      </c>
      <c r="M2499">
        <v>1216</v>
      </c>
      <c r="N2499" t="s">
        <v>16393</v>
      </c>
      <c r="O2499" s="4">
        <v>31284</v>
      </c>
      <c r="P2499" s="4">
        <v>98872</v>
      </c>
      <c r="Q2499" s="4">
        <v>130156</v>
      </c>
      <c r="R2499" s="4">
        <v>390468</v>
      </c>
      <c r="S2499" t="s">
        <v>18825</v>
      </c>
      <c r="T2499" s="6">
        <v>44501</v>
      </c>
      <c r="U2499" s="4">
        <v>350000</v>
      </c>
      <c r="V2499" t="s">
        <v>23739</v>
      </c>
      <c r="W2499" t="s">
        <v>24917</v>
      </c>
      <c r="X2499" t="s">
        <v>3</v>
      </c>
      <c r="AA2499" s="5" t="str">
        <f>HYPERLINK("https://www.zillow.com/homes/1950-S-VALLEY-RD-LOMBARD-IL-601484270_rb/","check listing")</f>
        <v>check listing</v>
      </c>
      <c r="AB2499" s="5" t="str">
        <f>HYPERLINK("https://propertylookup.dupagecounty.gov/Datalets/Datalet.aspx?UseSearch=no&amp;mode=sales&amp;pin=0524412016","sales record")</f>
        <v>sales record</v>
      </c>
      <c r="AC2499" t="s">
        <v>3</v>
      </c>
      <c r="AD2499">
        <v>41.847734</v>
      </c>
      <c r="AE2499">
        <v>-88.039539</v>
      </c>
      <c r="AF2499" s="5" t="str">
        <f>HYPERLINK("https://www.google.com/maps/search/?api=1&amp;query=41.847734,-88.039539","map")</f>
        <v>map</v>
      </c>
    </row>
    <row r="2500" spans="1:32">
      <c r="A2500" t="s">
        <v>2550</v>
      </c>
      <c r="B2500" t="s">
        <v>10094</v>
      </c>
      <c r="C2500" t="s">
        <v>15439</v>
      </c>
      <c r="D2500" t="s">
        <v>16205</v>
      </c>
      <c r="E2500" t="s">
        <v>16218</v>
      </c>
      <c r="F2500" t="s">
        <v>16220</v>
      </c>
      <c r="G2500" t="s">
        <v>16266</v>
      </c>
      <c r="H2500" t="s">
        <v>16250</v>
      </c>
      <c r="I2500" t="s">
        <v>16346</v>
      </c>
      <c r="J2500" t="s">
        <v>16385</v>
      </c>
      <c r="K2500">
        <v>0.149</v>
      </c>
      <c r="L2500">
        <v>6499</v>
      </c>
      <c r="M2500">
        <v>1437</v>
      </c>
      <c r="N2500" t="s">
        <v>16393</v>
      </c>
      <c r="O2500" s="4">
        <v>31284</v>
      </c>
      <c r="P2500" s="4">
        <v>103173</v>
      </c>
      <c r="Q2500" s="4">
        <v>134457</v>
      </c>
      <c r="R2500" s="4">
        <v>403371</v>
      </c>
      <c r="S2500" t="s">
        <v>18826</v>
      </c>
      <c r="T2500" s="6">
        <v>42917</v>
      </c>
      <c r="U2500" s="4">
        <v>299000</v>
      </c>
      <c r="V2500" t="s">
        <v>23739</v>
      </c>
      <c r="W2500" t="s">
        <v>18826</v>
      </c>
      <c r="X2500" t="s">
        <v>3</v>
      </c>
      <c r="AA2500" s="5" t="str">
        <f>HYPERLINK("https://www.zillow.com/homes/2071-QUEENSBURY-CT-LOMBARD-IL-601485142_rb/","check listing")</f>
        <v>check listing</v>
      </c>
      <c r="AB2500" s="5" t="str">
        <f>HYPERLINK("https://propertylookup.dupagecounty.gov/Datalets/Datalet.aspx?UseSearch=no&amp;mode=sales&amp;pin=0524406043","sales record")</f>
        <v>sales record</v>
      </c>
      <c r="AC2500" t="s">
        <v>3</v>
      </c>
      <c r="AD2500">
        <v>41.845098</v>
      </c>
      <c r="AE2500">
        <v>-88.039781</v>
      </c>
      <c r="AF2500" s="5" t="str">
        <f>HYPERLINK("https://www.google.com/maps/search/?api=1&amp;query=41.845098,-88.039781","map")</f>
        <v>map</v>
      </c>
    </row>
    <row r="2501" spans="1:32">
      <c r="A2501" t="s">
        <v>2551</v>
      </c>
      <c r="B2501" t="s">
        <v>10095</v>
      </c>
      <c r="C2501" t="s">
        <v>15435</v>
      </c>
      <c r="D2501" t="s">
        <v>16205</v>
      </c>
      <c r="E2501" t="s">
        <v>16218</v>
      </c>
      <c r="F2501" t="s">
        <v>16220</v>
      </c>
      <c r="G2501" t="s">
        <v>16266</v>
      </c>
      <c r="H2501" t="s">
        <v>16250</v>
      </c>
      <c r="I2501" t="s">
        <v>16346</v>
      </c>
      <c r="J2501" t="s">
        <v>16385</v>
      </c>
      <c r="K2501">
        <v>0.149</v>
      </c>
      <c r="L2501">
        <v>6499</v>
      </c>
      <c r="M2501">
        <v>1638</v>
      </c>
      <c r="N2501" t="s">
        <v>16393</v>
      </c>
      <c r="O2501" s="4">
        <v>31284</v>
      </c>
      <c r="P2501" s="4">
        <v>91295</v>
      </c>
      <c r="Q2501" s="4">
        <v>122579</v>
      </c>
      <c r="R2501" s="4">
        <v>367737</v>
      </c>
      <c r="S2501" t="s">
        <v>18827</v>
      </c>
      <c r="T2501" s="6">
        <v>31717</v>
      </c>
      <c r="U2501" s="4">
        <v>102490</v>
      </c>
      <c r="X2501" t="s">
        <v>3</v>
      </c>
      <c r="AA2501" s="5" t="str">
        <f>HYPERLINK("https://www.zillow.com/homes/1931-VALLEY-RD-LOMBARD-IL-60148_rb/","check listing")</f>
        <v>check listing</v>
      </c>
      <c r="AB2501" s="5" t="str">
        <f>HYPERLINK("https://propertylookup.dupagecounty.gov/Datalets/Datalet.aspx?UseSearch=no&amp;mode=sales&amp;pin=0524406023","sales record")</f>
        <v>sales record</v>
      </c>
      <c r="AC2501" t="s">
        <v>3</v>
      </c>
      <c r="AD2501">
        <v>41.847629</v>
      </c>
      <c r="AE2501">
        <v>-88.03846799999999</v>
      </c>
      <c r="AF2501" s="5" t="str">
        <f>HYPERLINK("https://www.google.com/maps/search/?api=1&amp;query=41.847629,-88.038468","map")</f>
        <v>map</v>
      </c>
    </row>
    <row r="2502" spans="1:32">
      <c r="A2502" t="s">
        <v>2552</v>
      </c>
      <c r="B2502" t="s">
        <v>10096</v>
      </c>
      <c r="C2502" t="s">
        <v>15460</v>
      </c>
      <c r="D2502" t="s">
        <v>16205</v>
      </c>
      <c r="E2502" t="s">
        <v>16218</v>
      </c>
      <c r="F2502" t="s">
        <v>16220</v>
      </c>
      <c r="G2502" t="s">
        <v>16266</v>
      </c>
      <c r="H2502" t="s">
        <v>16250</v>
      </c>
      <c r="I2502" t="s">
        <v>16346</v>
      </c>
      <c r="J2502" t="s">
        <v>16385</v>
      </c>
      <c r="K2502">
        <v>0.149</v>
      </c>
      <c r="L2502">
        <v>6498</v>
      </c>
      <c r="M2502">
        <v>1382</v>
      </c>
      <c r="N2502" t="s">
        <v>16393</v>
      </c>
      <c r="O2502" s="4">
        <v>31284</v>
      </c>
      <c r="P2502" s="4">
        <v>114873</v>
      </c>
      <c r="Q2502" s="4">
        <v>146157</v>
      </c>
      <c r="R2502" s="4">
        <v>438471</v>
      </c>
      <c r="S2502" t="s">
        <v>18828</v>
      </c>
      <c r="T2502" s="6">
        <v>44317</v>
      </c>
      <c r="U2502" s="4">
        <v>370000</v>
      </c>
      <c r="V2502" t="s">
        <v>23739</v>
      </c>
      <c r="W2502" t="s">
        <v>24918</v>
      </c>
      <c r="X2502" t="s">
        <v>3</v>
      </c>
      <c r="AA2502" s="5" t="str">
        <f>HYPERLINK("https://www.zillow.com/homes/1960-S-VALLEY-RD-LOMBARD-IL-601484270_rb/","check listing")</f>
        <v>check listing</v>
      </c>
      <c r="AB2502" s="5" t="str">
        <f>HYPERLINK("https://propertylookup.dupagecounty.gov/Datalets/Datalet.aspx?UseSearch=no&amp;mode=sales&amp;pin=0524412017","sales record")</f>
        <v>sales record</v>
      </c>
      <c r="AC2502" t="s">
        <v>3</v>
      </c>
      <c r="AD2502">
        <v>41.847625</v>
      </c>
      <c r="AE2502">
        <v>-88.039727</v>
      </c>
      <c r="AF2502" s="5" t="str">
        <f>HYPERLINK("https://www.google.com/maps/search/?api=1&amp;query=41.847625,-88.039727","map")</f>
        <v>map</v>
      </c>
    </row>
    <row r="2503" spans="1:32">
      <c r="A2503" t="s">
        <v>2553</v>
      </c>
      <c r="B2503" t="s">
        <v>10097</v>
      </c>
      <c r="C2503" t="s">
        <v>15435</v>
      </c>
      <c r="D2503" t="s">
        <v>16205</v>
      </c>
      <c r="E2503" t="s">
        <v>16218</v>
      </c>
      <c r="F2503" t="s">
        <v>16220</v>
      </c>
      <c r="G2503" t="s">
        <v>16266</v>
      </c>
      <c r="H2503" t="s">
        <v>16250</v>
      </c>
      <c r="I2503" t="s">
        <v>16346</v>
      </c>
      <c r="J2503" t="s">
        <v>16385</v>
      </c>
      <c r="K2503">
        <v>0.147</v>
      </c>
      <c r="L2503">
        <v>6397</v>
      </c>
      <c r="M2503">
        <v>1496</v>
      </c>
      <c r="N2503" t="s">
        <v>16393</v>
      </c>
      <c r="O2503" s="4">
        <v>31284</v>
      </c>
      <c r="P2503" s="4">
        <v>84686</v>
      </c>
      <c r="Q2503" s="4">
        <v>115970</v>
      </c>
      <c r="R2503" s="4">
        <v>347910</v>
      </c>
      <c r="S2503" t="s">
        <v>18829</v>
      </c>
      <c r="T2503" s="6">
        <v>34029</v>
      </c>
      <c r="U2503" s="4">
        <v>131000</v>
      </c>
      <c r="X2503" t="s">
        <v>3</v>
      </c>
      <c r="AA2503" s="5" t="str">
        <f>HYPERLINK("https://www.zillow.com/homes/1009-BEVERLY-CT-LOMBARD-IL-60148_rb/","check listing")</f>
        <v>check listing</v>
      </c>
      <c r="AB2503" s="5" t="str">
        <f>HYPERLINK("https://propertylookup.dupagecounty.gov/Datalets/Datalet.aspx?UseSearch=no&amp;mode=sales&amp;pin=0524403038","sales record")</f>
        <v>sales record</v>
      </c>
      <c r="AC2503" t="s">
        <v>3</v>
      </c>
      <c r="AD2503">
        <v>41.846174</v>
      </c>
      <c r="AE2503">
        <v>-88.03617</v>
      </c>
      <c r="AF2503" s="5" t="str">
        <f>HYPERLINK("https://www.google.com/maps/search/?api=1&amp;query=41.846174,-88.03617","map")</f>
        <v>map</v>
      </c>
    </row>
    <row r="2504" spans="1:32">
      <c r="A2504" t="s">
        <v>2554</v>
      </c>
      <c r="B2504" t="s">
        <v>10098</v>
      </c>
      <c r="C2504" t="s">
        <v>15435</v>
      </c>
      <c r="D2504" t="s">
        <v>16205</v>
      </c>
      <c r="E2504" t="s">
        <v>16218</v>
      </c>
      <c r="F2504" t="s">
        <v>16220</v>
      </c>
      <c r="G2504" t="s">
        <v>16266</v>
      </c>
      <c r="H2504" t="s">
        <v>16250</v>
      </c>
      <c r="I2504" t="s">
        <v>16346</v>
      </c>
      <c r="J2504" t="s">
        <v>16385</v>
      </c>
      <c r="K2504">
        <v>0.146</v>
      </c>
      <c r="L2504">
        <v>6364</v>
      </c>
      <c r="M2504">
        <v>1614</v>
      </c>
      <c r="N2504" t="s">
        <v>16393</v>
      </c>
      <c r="O2504" s="4">
        <v>31284</v>
      </c>
      <c r="P2504" s="4">
        <v>92686</v>
      </c>
      <c r="Q2504" s="4">
        <v>123970</v>
      </c>
      <c r="R2504" s="4">
        <v>371910</v>
      </c>
      <c r="S2504" t="s">
        <v>18830</v>
      </c>
      <c r="T2504" s="6">
        <v>38292</v>
      </c>
      <c r="U2504" s="4">
        <v>255000</v>
      </c>
      <c r="V2504" t="s">
        <v>23739</v>
      </c>
      <c r="W2504" t="s">
        <v>24919</v>
      </c>
      <c r="X2504" t="s">
        <v>3</v>
      </c>
      <c r="AA2504" s="5" t="str">
        <f>HYPERLINK("https://www.zillow.com/homes/1073-BEVERLY-CT-LOMBARD-IL-60148_rb/","check listing")</f>
        <v>check listing</v>
      </c>
      <c r="AB2504" s="5" t="str">
        <f>HYPERLINK("https://propertylookup.dupagecounty.gov/Datalets/Datalet.aspx?UseSearch=no&amp;mode=sales&amp;pin=0524403030","sales record")</f>
        <v>sales record</v>
      </c>
      <c r="AC2504" t="s">
        <v>3</v>
      </c>
      <c r="AD2504">
        <v>41.846558</v>
      </c>
      <c r="AE2504">
        <v>-88.035556</v>
      </c>
      <c r="AF2504" s="5" t="str">
        <f>HYPERLINK("https://www.google.com/maps/search/?api=1&amp;query=41.846558,-88.035556","map")</f>
        <v>map</v>
      </c>
    </row>
    <row r="2505" spans="1:32">
      <c r="A2505" t="s">
        <v>2555</v>
      </c>
      <c r="B2505" t="s">
        <v>10099</v>
      </c>
      <c r="C2505" t="s">
        <v>15441</v>
      </c>
      <c r="D2505" t="s">
        <v>16205</v>
      </c>
      <c r="E2505" t="s">
        <v>16218</v>
      </c>
      <c r="F2505" t="s">
        <v>16220</v>
      </c>
      <c r="G2505" t="s">
        <v>16266</v>
      </c>
      <c r="H2505" t="s">
        <v>16250</v>
      </c>
      <c r="I2505" t="s">
        <v>16346</v>
      </c>
      <c r="J2505" t="s">
        <v>16385</v>
      </c>
      <c r="K2505">
        <v>0.146</v>
      </c>
      <c r="L2505">
        <v>6352</v>
      </c>
      <c r="M2505">
        <v>1636</v>
      </c>
      <c r="N2505" t="s">
        <v>16393</v>
      </c>
      <c r="O2505" s="4">
        <v>31284</v>
      </c>
      <c r="P2505" s="4">
        <v>82635</v>
      </c>
      <c r="Q2505" s="4">
        <v>113919</v>
      </c>
      <c r="R2505" s="4">
        <v>341757</v>
      </c>
      <c r="S2505" t="s">
        <v>18831</v>
      </c>
      <c r="T2505" s="6">
        <v>40391</v>
      </c>
      <c r="U2505" s="4">
        <v>210000</v>
      </c>
      <c r="V2505" t="s">
        <v>23740</v>
      </c>
      <c r="W2505" t="s">
        <v>24920</v>
      </c>
      <c r="X2505" t="s">
        <v>3</v>
      </c>
      <c r="AA2505" s="5" t="str">
        <f>HYPERLINK("https://www.zillow.com/homes/1105-HUNTER-ST-LOMBARD-IL-601484821_rb/","check listing")</f>
        <v>check listing</v>
      </c>
      <c r="AB2505" s="5" t="str">
        <f>HYPERLINK("https://propertylookup.dupagecounty.gov/Datalets/Datalet.aspx?UseSearch=no&amp;mode=sales&amp;pin=0524404018","sales record")</f>
        <v>sales record</v>
      </c>
      <c r="AC2505" t="s">
        <v>3</v>
      </c>
      <c r="AD2505">
        <v>41.845132</v>
      </c>
      <c r="AE2505">
        <v>-88.037361</v>
      </c>
      <c r="AF2505" s="5" t="str">
        <f>HYPERLINK("https://www.google.com/maps/search/?api=1&amp;query=41.845132,-88.037361","map")</f>
        <v>map</v>
      </c>
    </row>
    <row r="2506" spans="1:32">
      <c r="A2506" t="s">
        <v>2556</v>
      </c>
      <c r="B2506" t="s">
        <v>10100</v>
      </c>
      <c r="C2506" t="s">
        <v>15435</v>
      </c>
      <c r="D2506" t="s">
        <v>16205</v>
      </c>
      <c r="E2506" t="s">
        <v>16218</v>
      </c>
      <c r="F2506" t="s">
        <v>16220</v>
      </c>
      <c r="G2506" t="s">
        <v>16266</v>
      </c>
      <c r="H2506" t="s">
        <v>16250</v>
      </c>
      <c r="I2506" t="s">
        <v>16346</v>
      </c>
      <c r="J2506" t="s">
        <v>16385</v>
      </c>
      <c r="K2506">
        <v>0.146</v>
      </c>
      <c r="L2506">
        <v>6341</v>
      </c>
      <c r="M2506">
        <v>1171</v>
      </c>
      <c r="N2506" t="s">
        <v>16393</v>
      </c>
      <c r="O2506" s="4">
        <v>31284</v>
      </c>
      <c r="P2506" s="4">
        <v>101559</v>
      </c>
      <c r="Q2506" s="4">
        <v>132843</v>
      </c>
      <c r="R2506" s="4">
        <v>398529</v>
      </c>
      <c r="S2506" t="s">
        <v>18832</v>
      </c>
      <c r="T2506" s="6">
        <v>45062</v>
      </c>
      <c r="U2506" s="4">
        <v>400000</v>
      </c>
      <c r="V2506" t="s">
        <v>23739</v>
      </c>
      <c r="W2506" t="s">
        <v>24921</v>
      </c>
      <c r="X2506" t="s">
        <v>3</v>
      </c>
      <c r="AA2506" s="5" t="str">
        <f>HYPERLINK("https://www.zillow.com/homes/1010-HUNTER-ST-LOMBARD-IL-60148_rb/","check listing")</f>
        <v>check listing</v>
      </c>
      <c r="AB2506" s="5" t="str">
        <f>HYPERLINK("https://propertylookup.dupagecounty.gov/Datalets/Datalet.aspx?UseSearch=no&amp;mode=sales&amp;pin=0524403008","sales record")</f>
        <v>sales record</v>
      </c>
      <c r="AC2506" t="s">
        <v>3</v>
      </c>
      <c r="AD2506">
        <v>41.846078</v>
      </c>
      <c r="AE2506">
        <v>-88.034977</v>
      </c>
      <c r="AF2506" s="5" t="str">
        <f>HYPERLINK("https://www.google.com/maps/search/?api=1&amp;query=41.846078,-88.034977","map")</f>
        <v>map</v>
      </c>
    </row>
    <row r="2507" spans="1:32">
      <c r="A2507" t="s">
        <v>2557</v>
      </c>
      <c r="B2507" t="s">
        <v>10101</v>
      </c>
      <c r="C2507" t="s">
        <v>15435</v>
      </c>
      <c r="D2507" t="s">
        <v>16205</v>
      </c>
      <c r="E2507" t="s">
        <v>16218</v>
      </c>
      <c r="F2507" t="s">
        <v>16220</v>
      </c>
      <c r="G2507" t="s">
        <v>16266</v>
      </c>
      <c r="H2507" t="s">
        <v>16250</v>
      </c>
      <c r="I2507" t="s">
        <v>16346</v>
      </c>
      <c r="J2507" t="s">
        <v>16385</v>
      </c>
      <c r="K2507">
        <v>0.145</v>
      </c>
      <c r="L2507">
        <v>6336</v>
      </c>
      <c r="M2507">
        <v>1212</v>
      </c>
      <c r="N2507" t="s">
        <v>16393</v>
      </c>
      <c r="O2507" s="4">
        <v>31284</v>
      </c>
      <c r="P2507" s="4">
        <v>92862</v>
      </c>
      <c r="Q2507" s="4">
        <v>124146</v>
      </c>
      <c r="R2507" s="4">
        <v>372438</v>
      </c>
      <c r="S2507" t="s">
        <v>18833</v>
      </c>
      <c r="T2507" s="6">
        <v>34060</v>
      </c>
      <c r="U2507" s="4">
        <v>139000</v>
      </c>
      <c r="X2507" t="s">
        <v>3</v>
      </c>
      <c r="AA2507" s="5" t="str">
        <f>HYPERLINK("https://www.zillow.com/homes/1134-HUNTER-ST-LOMBARD-IL-60148_rb/","check listing")</f>
        <v>check listing</v>
      </c>
      <c r="AB2507" s="5" t="str">
        <f>HYPERLINK("https://propertylookup.dupagecounty.gov/Datalets/Datalet.aspx?UseSearch=no&amp;mode=sales&amp;pin=0524408001","sales record")</f>
        <v>sales record</v>
      </c>
      <c r="AC2507" t="s">
        <v>3</v>
      </c>
      <c r="AD2507">
        <v>41.846777</v>
      </c>
      <c r="AE2507">
        <v>-88.03889599999999</v>
      </c>
      <c r="AF2507" s="5" t="str">
        <f>HYPERLINK("https://www.google.com/maps/search/?api=1&amp;query=41.846777,-88.038896","map")</f>
        <v>map</v>
      </c>
    </row>
    <row r="2508" spans="1:32">
      <c r="A2508" t="s">
        <v>2558</v>
      </c>
      <c r="B2508" t="s">
        <v>10102</v>
      </c>
      <c r="C2508" t="s">
        <v>15461</v>
      </c>
      <c r="D2508" t="s">
        <v>16205</v>
      </c>
      <c r="E2508" t="s">
        <v>16218</v>
      </c>
      <c r="F2508" t="s">
        <v>16220</v>
      </c>
      <c r="G2508" t="s">
        <v>16266</v>
      </c>
      <c r="H2508" t="s">
        <v>16250</v>
      </c>
      <c r="I2508" t="s">
        <v>16346</v>
      </c>
      <c r="J2508" t="s">
        <v>16385</v>
      </c>
      <c r="K2508">
        <v>0.145</v>
      </c>
      <c r="L2508">
        <v>6330</v>
      </c>
      <c r="M2508">
        <v>1854</v>
      </c>
      <c r="N2508" t="s">
        <v>16393</v>
      </c>
      <c r="O2508" s="4">
        <v>31284</v>
      </c>
      <c r="P2508" s="4">
        <v>75412</v>
      </c>
      <c r="Q2508" s="4">
        <v>106696</v>
      </c>
      <c r="R2508" s="4">
        <v>320088</v>
      </c>
      <c r="S2508" t="s">
        <v>18834</v>
      </c>
      <c r="T2508" s="6">
        <v>37530</v>
      </c>
      <c r="U2508" s="4">
        <v>210000</v>
      </c>
      <c r="V2508" t="s">
        <v>23739</v>
      </c>
      <c r="W2508" t="s">
        <v>24922</v>
      </c>
      <c r="X2508" t="s">
        <v>3</v>
      </c>
      <c r="AA2508" s="5" t="str">
        <f>HYPERLINK("https://www.zillow.com/homes/1000-HUNTER-ST-LOMBARD-IL-601484820_rb/","check listing")</f>
        <v>check listing</v>
      </c>
      <c r="AB2508" s="5" t="str">
        <f>HYPERLINK("https://propertylookup.dupagecounty.gov/Datalets/Datalet.aspx?UseSearch=no&amp;mode=sales&amp;pin=0524403007","sales record")</f>
        <v>sales record</v>
      </c>
      <c r="AC2508" t="s">
        <v>3</v>
      </c>
      <c r="AD2508">
        <v>41.846186</v>
      </c>
      <c r="AE2508">
        <v>-88.03475</v>
      </c>
      <c r="AF2508" s="5" t="str">
        <f>HYPERLINK("https://www.google.com/maps/search/?api=1&amp;query=41.846186,-88.03475","map")</f>
        <v>map</v>
      </c>
    </row>
    <row r="2509" spans="1:32">
      <c r="A2509" t="s">
        <v>2559</v>
      </c>
      <c r="B2509" t="s">
        <v>10103</v>
      </c>
      <c r="C2509" t="s">
        <v>15435</v>
      </c>
      <c r="D2509" t="s">
        <v>16205</v>
      </c>
      <c r="E2509" t="s">
        <v>16218</v>
      </c>
      <c r="F2509" t="s">
        <v>16220</v>
      </c>
      <c r="G2509" t="s">
        <v>16266</v>
      </c>
      <c r="H2509" t="s">
        <v>16250</v>
      </c>
      <c r="I2509" t="s">
        <v>16346</v>
      </c>
      <c r="J2509" t="s">
        <v>16385</v>
      </c>
      <c r="K2509">
        <v>0.145</v>
      </c>
      <c r="L2509">
        <v>6302</v>
      </c>
      <c r="M2509">
        <v>1700</v>
      </c>
      <c r="N2509" t="s">
        <v>16393</v>
      </c>
      <c r="O2509" s="4">
        <v>31284</v>
      </c>
      <c r="P2509" s="4">
        <v>90777</v>
      </c>
      <c r="Q2509" s="4">
        <v>122061</v>
      </c>
      <c r="R2509" s="4">
        <v>366183</v>
      </c>
      <c r="S2509" t="s">
        <v>18835</v>
      </c>
      <c r="T2509" s="6">
        <v>37043</v>
      </c>
      <c r="U2509" s="4">
        <v>172500</v>
      </c>
      <c r="V2509" t="s">
        <v>23739</v>
      </c>
      <c r="W2509" t="s">
        <v>24923</v>
      </c>
      <c r="X2509" t="s">
        <v>3</v>
      </c>
      <c r="AA2509" s="5" t="str">
        <f>HYPERLINK("https://www.zillow.com/homes/1099-HUNTER-ST-LOMBARD-IL-60148_rb/","check listing")</f>
        <v>check listing</v>
      </c>
      <c r="AB2509" s="5" t="str">
        <f>HYPERLINK("https://propertylookup.dupagecounty.gov/Datalets/Datalet.aspx?UseSearch=no&amp;mode=sales&amp;pin=0524404021","sales record")</f>
        <v>sales record</v>
      </c>
      <c r="AC2509" t="s">
        <v>3</v>
      </c>
      <c r="AD2509">
        <v>41.845139</v>
      </c>
      <c r="AE2509">
        <v>-88.0367</v>
      </c>
      <c r="AF2509" s="5" t="str">
        <f>HYPERLINK("https://www.google.com/maps/search/?api=1&amp;query=41.845139,-88.0367","map")</f>
        <v>map</v>
      </c>
    </row>
    <row r="2510" spans="1:32">
      <c r="A2510" t="s">
        <v>2560</v>
      </c>
      <c r="B2510" t="s">
        <v>10104</v>
      </c>
      <c r="C2510" t="s">
        <v>15435</v>
      </c>
      <c r="D2510" t="s">
        <v>16205</v>
      </c>
      <c r="E2510" t="s">
        <v>16218</v>
      </c>
      <c r="F2510" t="s">
        <v>16220</v>
      </c>
      <c r="G2510" t="s">
        <v>16266</v>
      </c>
      <c r="H2510" t="s">
        <v>16250</v>
      </c>
      <c r="I2510" t="s">
        <v>16346</v>
      </c>
      <c r="J2510" t="s">
        <v>16385</v>
      </c>
      <c r="K2510">
        <v>0.145</v>
      </c>
      <c r="L2510">
        <v>6302</v>
      </c>
      <c r="M2510">
        <v>1664</v>
      </c>
      <c r="N2510" t="s">
        <v>16393</v>
      </c>
      <c r="O2510" s="4">
        <v>31284</v>
      </c>
      <c r="P2510" s="4">
        <v>103998</v>
      </c>
      <c r="Q2510" s="4">
        <v>135282</v>
      </c>
      <c r="R2510" s="4">
        <v>405846</v>
      </c>
      <c r="S2510" t="s">
        <v>18836</v>
      </c>
      <c r="T2510" s="6">
        <v>29160</v>
      </c>
      <c r="U2510" s="4">
        <v>91225</v>
      </c>
      <c r="X2510" t="s">
        <v>3</v>
      </c>
      <c r="AA2510" s="5" t="str">
        <f>HYPERLINK("https://www.zillow.com/homes/1091-HUNTER-ST-LOMBARD-IL-60148_rb/","check listing")</f>
        <v>check listing</v>
      </c>
      <c r="AB2510" s="5" t="str">
        <f>HYPERLINK("https://propertylookup.dupagecounty.gov/Datalets/Datalet.aspx?UseSearch=no&amp;mode=sales&amp;pin=0524404022","sales record")</f>
        <v>sales record</v>
      </c>
      <c r="AC2510" t="s">
        <v>3</v>
      </c>
      <c r="AD2510">
        <v>41.845142</v>
      </c>
      <c r="AE2510">
        <v>-88.03648</v>
      </c>
      <c r="AF2510" s="5" t="str">
        <f>HYPERLINK("https://www.google.com/maps/search/?api=1&amp;query=41.845142,-88.03648","map")</f>
        <v>map</v>
      </c>
    </row>
    <row r="2511" spans="1:32">
      <c r="A2511" t="s">
        <v>2561</v>
      </c>
      <c r="B2511" t="s">
        <v>10105</v>
      </c>
      <c r="C2511" t="s">
        <v>15462</v>
      </c>
      <c r="D2511" t="s">
        <v>16205</v>
      </c>
      <c r="E2511" t="s">
        <v>16218</v>
      </c>
      <c r="F2511" t="s">
        <v>16220</v>
      </c>
      <c r="G2511" t="s">
        <v>16266</v>
      </c>
      <c r="H2511" t="s">
        <v>16250</v>
      </c>
      <c r="I2511" t="s">
        <v>16346</v>
      </c>
      <c r="J2511" t="s">
        <v>16385</v>
      </c>
      <c r="K2511">
        <v>0.145</v>
      </c>
      <c r="L2511">
        <v>6301</v>
      </c>
      <c r="M2511">
        <v>1759</v>
      </c>
      <c r="N2511" t="s">
        <v>16393</v>
      </c>
      <c r="O2511" s="4">
        <v>31284</v>
      </c>
      <c r="P2511" s="4">
        <v>80973</v>
      </c>
      <c r="Q2511" s="4">
        <v>112257</v>
      </c>
      <c r="R2511" s="4">
        <v>336771</v>
      </c>
      <c r="S2511" t="s">
        <v>18837</v>
      </c>
      <c r="T2511" s="6">
        <v>46000</v>
      </c>
      <c r="U2511" s="4">
        <v>470000</v>
      </c>
      <c r="V2511" t="s">
        <v>23739</v>
      </c>
      <c r="W2511" t="s">
        <v>24924</v>
      </c>
      <c r="X2511" t="s">
        <v>3</v>
      </c>
      <c r="AA2511" s="5" t="str">
        <f>HYPERLINK("https://www.zillow.com/homes/1081-HUNTER-ST-LOMBARD-IL-601484819_rb/","check listing")</f>
        <v>check listing</v>
      </c>
      <c r="AB2511" s="5" t="str">
        <f>HYPERLINK("https://propertylookup.dupagecounty.gov/Datalets/Datalet.aspx?UseSearch=no&amp;mode=sales&amp;pin=0524404023","sales record")</f>
        <v>sales record</v>
      </c>
      <c r="AC2511" t="s">
        <v>3</v>
      </c>
      <c r="AD2511">
        <v>41.845144</v>
      </c>
      <c r="AE2511">
        <v>-88.036259</v>
      </c>
      <c r="AF2511" s="5" t="str">
        <f>HYPERLINK("https://www.google.com/maps/search/?api=1&amp;query=41.845144,-88.036259","map")</f>
        <v>map</v>
      </c>
    </row>
    <row r="2512" spans="1:32">
      <c r="A2512" t="s">
        <v>2562</v>
      </c>
      <c r="B2512" t="s">
        <v>10106</v>
      </c>
      <c r="C2512" t="s">
        <v>15435</v>
      </c>
      <c r="D2512" t="s">
        <v>16205</v>
      </c>
      <c r="E2512" t="s">
        <v>16218</v>
      </c>
      <c r="F2512" t="s">
        <v>16220</v>
      </c>
      <c r="G2512" t="s">
        <v>16266</v>
      </c>
      <c r="H2512" t="s">
        <v>16250</v>
      </c>
      <c r="I2512" t="s">
        <v>16346</v>
      </c>
      <c r="J2512" t="s">
        <v>16385</v>
      </c>
      <c r="K2512">
        <v>0.145</v>
      </c>
      <c r="L2512">
        <v>6301</v>
      </c>
      <c r="M2512">
        <v>1701</v>
      </c>
      <c r="N2512" t="s">
        <v>16393</v>
      </c>
      <c r="O2512" s="4">
        <v>31284</v>
      </c>
      <c r="P2512" s="4">
        <v>82635</v>
      </c>
      <c r="Q2512" s="4">
        <v>113919</v>
      </c>
      <c r="R2512" s="4">
        <v>341757</v>
      </c>
      <c r="S2512" t="s">
        <v>18838</v>
      </c>
      <c r="T2512" s="6">
        <v>38384</v>
      </c>
      <c r="U2512" s="4">
        <v>281000</v>
      </c>
      <c r="V2512" t="s">
        <v>23739</v>
      </c>
      <c r="W2512" t="s">
        <v>24925</v>
      </c>
      <c r="X2512" t="s">
        <v>3</v>
      </c>
      <c r="AA2512" s="5" t="str">
        <f>HYPERLINK("https://www.zillow.com/homes/1101-HUNTER-ST-LOMBARD-IL-60148_rb/","check listing")</f>
        <v>check listing</v>
      </c>
      <c r="AB2512" s="5" t="str">
        <f>HYPERLINK("https://propertylookup.dupagecounty.gov/Datalets/Datalet.aspx?UseSearch=no&amp;mode=sales&amp;pin=0524404020","sales record")</f>
        <v>sales record</v>
      </c>
      <c r="AC2512" t="s">
        <v>3</v>
      </c>
      <c r="AD2512">
        <v>41.845137</v>
      </c>
      <c r="AE2512">
        <v>-88.03691999999999</v>
      </c>
      <c r="AF2512" s="5" t="str">
        <f>HYPERLINK("https://www.google.com/maps/search/?api=1&amp;query=41.845137,-88.03692","map")</f>
        <v>map</v>
      </c>
    </row>
    <row r="2513" spans="1:32">
      <c r="A2513" t="s">
        <v>2563</v>
      </c>
      <c r="B2513" t="s">
        <v>10107</v>
      </c>
      <c r="C2513" t="s">
        <v>15435</v>
      </c>
      <c r="D2513" t="s">
        <v>16205</v>
      </c>
      <c r="E2513" t="s">
        <v>16218</v>
      </c>
      <c r="F2513" t="s">
        <v>16220</v>
      </c>
      <c r="G2513" t="s">
        <v>16266</v>
      </c>
      <c r="H2513" t="s">
        <v>16250</v>
      </c>
      <c r="I2513" t="s">
        <v>16346</v>
      </c>
      <c r="J2513" t="s">
        <v>16385</v>
      </c>
      <c r="K2513">
        <v>0.145</v>
      </c>
      <c r="L2513">
        <v>6300</v>
      </c>
      <c r="M2513">
        <v>1721</v>
      </c>
      <c r="N2513" t="s">
        <v>16393</v>
      </c>
      <c r="O2513" s="4">
        <v>31284</v>
      </c>
      <c r="P2513" s="4">
        <v>67470</v>
      </c>
      <c r="Q2513" s="4">
        <v>98754</v>
      </c>
      <c r="R2513" s="4">
        <v>296262</v>
      </c>
      <c r="S2513" t="s">
        <v>18839</v>
      </c>
      <c r="T2513" s="6">
        <v>38899</v>
      </c>
      <c r="U2513" s="4">
        <v>235000</v>
      </c>
      <c r="V2513" t="s">
        <v>23739</v>
      </c>
      <c r="W2513" t="s">
        <v>18839</v>
      </c>
      <c r="X2513" t="s">
        <v>3</v>
      </c>
      <c r="AA2513" s="5" t="str">
        <f>HYPERLINK("https://www.zillow.com/homes/1061-HUNTER-ST-LOMBARD-IL-60148_rb/","check listing")</f>
        <v>check listing</v>
      </c>
      <c r="AB2513" s="5" t="str">
        <f>HYPERLINK("https://propertylookup.dupagecounty.gov/Datalets/Datalet.aspx?UseSearch=no&amp;mode=sales&amp;pin=0524404001","sales record")</f>
        <v>sales record</v>
      </c>
      <c r="AC2513" t="s">
        <v>3</v>
      </c>
      <c r="AD2513">
        <v>41.845149</v>
      </c>
      <c r="AE2513">
        <v>-88.035819</v>
      </c>
      <c r="AF2513" s="5" t="str">
        <f>HYPERLINK("https://www.google.com/maps/search/?api=1&amp;query=41.845149,-88.035819","map")</f>
        <v>map</v>
      </c>
    </row>
    <row r="2514" spans="1:32">
      <c r="A2514" t="s">
        <v>2564</v>
      </c>
      <c r="B2514" t="s">
        <v>10108</v>
      </c>
      <c r="C2514" t="s">
        <v>15441</v>
      </c>
      <c r="D2514" t="s">
        <v>16205</v>
      </c>
      <c r="E2514" t="s">
        <v>16218</v>
      </c>
      <c r="F2514" t="s">
        <v>16220</v>
      </c>
      <c r="G2514" t="s">
        <v>16266</v>
      </c>
      <c r="H2514" t="s">
        <v>16250</v>
      </c>
      <c r="I2514" t="s">
        <v>16346</v>
      </c>
      <c r="J2514" t="s">
        <v>16385</v>
      </c>
      <c r="K2514">
        <v>0.145</v>
      </c>
      <c r="L2514">
        <v>6300</v>
      </c>
      <c r="M2514">
        <v>1145</v>
      </c>
      <c r="N2514" t="s">
        <v>16393</v>
      </c>
      <c r="O2514" s="4">
        <v>31284</v>
      </c>
      <c r="P2514" s="4">
        <v>101559</v>
      </c>
      <c r="Q2514" s="4">
        <v>132843</v>
      </c>
      <c r="R2514" s="4">
        <v>398529</v>
      </c>
      <c r="S2514" t="s">
        <v>18840</v>
      </c>
      <c r="T2514" s="6">
        <v>44825</v>
      </c>
      <c r="U2514" s="4">
        <v>361000</v>
      </c>
      <c r="V2514" t="s">
        <v>23741</v>
      </c>
      <c r="W2514" t="s">
        <v>24926</v>
      </c>
      <c r="X2514" t="s">
        <v>3</v>
      </c>
      <c r="AA2514" s="5" t="str">
        <f>HYPERLINK("https://www.zillow.com/homes/1103-HUNTER-ST-LOMBARD-IL-601484821_rb/","check listing")</f>
        <v>check listing</v>
      </c>
      <c r="AB2514" s="5" t="str">
        <f>HYPERLINK("https://propertylookup.dupagecounty.gov/Datalets/Datalet.aspx?UseSearch=no&amp;mode=sales&amp;pin=0524404019","sales record")</f>
        <v>sales record</v>
      </c>
      <c r="AC2514" t="s">
        <v>3</v>
      </c>
      <c r="AD2514">
        <v>41.845135</v>
      </c>
      <c r="AE2514">
        <v>-88.03713999999999</v>
      </c>
      <c r="AF2514" s="5" t="str">
        <f>HYPERLINK("https://www.google.com/maps/search/?api=1&amp;query=41.845135,-88.03714","map")</f>
        <v>map</v>
      </c>
    </row>
    <row r="2515" spans="1:32">
      <c r="A2515" t="s">
        <v>2565</v>
      </c>
      <c r="B2515" t="s">
        <v>10109</v>
      </c>
      <c r="C2515" t="s">
        <v>15435</v>
      </c>
      <c r="D2515" t="s">
        <v>16205</v>
      </c>
      <c r="E2515" t="s">
        <v>16218</v>
      </c>
      <c r="F2515" t="s">
        <v>16220</v>
      </c>
      <c r="G2515" t="s">
        <v>16266</v>
      </c>
      <c r="H2515" t="s">
        <v>16250</v>
      </c>
      <c r="I2515" t="s">
        <v>16346</v>
      </c>
      <c r="J2515" t="s">
        <v>16385</v>
      </c>
      <c r="K2515">
        <v>0.145</v>
      </c>
      <c r="L2515">
        <v>6300</v>
      </c>
      <c r="M2515">
        <v>1774</v>
      </c>
      <c r="N2515" t="s">
        <v>16393</v>
      </c>
      <c r="O2515" s="4">
        <v>31284</v>
      </c>
      <c r="P2515" s="4">
        <v>82635</v>
      </c>
      <c r="Q2515" s="4">
        <v>113919</v>
      </c>
      <c r="R2515" s="4">
        <v>341757</v>
      </c>
      <c r="S2515" t="s">
        <v>18841</v>
      </c>
      <c r="T2515" s="6">
        <v>42705</v>
      </c>
      <c r="U2515" s="4">
        <v>253000</v>
      </c>
      <c r="V2515" t="s">
        <v>23739</v>
      </c>
      <c r="W2515" t="s">
        <v>24927</v>
      </c>
      <c r="X2515" t="s">
        <v>3</v>
      </c>
      <c r="AA2515" s="5" t="str">
        <f>HYPERLINK("https://www.zillow.com/homes/1051-HUNTER-ST-LOMBARD-IL-60148_rb/","check listing")</f>
        <v>check listing</v>
      </c>
      <c r="AB2515" s="5" t="str">
        <f>HYPERLINK("https://propertylookup.dupagecounty.gov/Datalets/Datalet.aspx?UseSearch=no&amp;mode=sales&amp;pin=0524404002","sales record")</f>
        <v>sales record</v>
      </c>
      <c r="AC2515" t="s">
        <v>3</v>
      </c>
      <c r="AD2515">
        <v>41.845152</v>
      </c>
      <c r="AE2515">
        <v>-88.035599</v>
      </c>
      <c r="AF2515" s="5" t="str">
        <f>HYPERLINK("https://www.google.com/maps/search/?api=1&amp;query=41.845152,-88.035599","map")</f>
        <v>map</v>
      </c>
    </row>
    <row r="2516" spans="1:32">
      <c r="A2516" t="s">
        <v>2566</v>
      </c>
      <c r="B2516" t="s">
        <v>10110</v>
      </c>
      <c r="C2516" t="s">
        <v>15462</v>
      </c>
      <c r="D2516" t="s">
        <v>16205</v>
      </c>
      <c r="E2516" t="s">
        <v>16218</v>
      </c>
      <c r="F2516" t="s">
        <v>16220</v>
      </c>
      <c r="G2516" t="s">
        <v>16266</v>
      </c>
      <c r="H2516" t="s">
        <v>16250</v>
      </c>
      <c r="I2516" t="s">
        <v>16346</v>
      </c>
      <c r="J2516" t="s">
        <v>16385</v>
      </c>
      <c r="K2516">
        <v>0.145</v>
      </c>
      <c r="L2516">
        <v>6299</v>
      </c>
      <c r="M2516">
        <v>1661</v>
      </c>
      <c r="N2516" t="s">
        <v>16393</v>
      </c>
      <c r="O2516" s="4">
        <v>31284</v>
      </c>
      <c r="P2516" s="4">
        <v>95573</v>
      </c>
      <c r="Q2516" s="4">
        <v>126857</v>
      </c>
      <c r="R2516" s="4">
        <v>380571</v>
      </c>
      <c r="S2516" t="s">
        <v>18842</v>
      </c>
      <c r="T2516" s="6">
        <v>43160</v>
      </c>
      <c r="U2516" s="4">
        <v>240000</v>
      </c>
      <c r="V2516" t="s">
        <v>23739</v>
      </c>
      <c r="W2516" t="s">
        <v>24928</v>
      </c>
      <c r="X2516" t="s">
        <v>3</v>
      </c>
      <c r="AA2516" s="5" t="str">
        <f>HYPERLINK("https://www.zillow.com/homes/1071-HUNTER-ST-LOMBARD-IL-601484819_rb/","check listing")</f>
        <v>check listing</v>
      </c>
      <c r="AB2516" s="5" t="str">
        <f>HYPERLINK("https://propertylookup.dupagecounty.gov/Datalets/Datalet.aspx?UseSearch=no&amp;mode=sales&amp;pin=0524404024","sales record")</f>
        <v>sales record</v>
      </c>
      <c r="AC2516" t="s">
        <v>3</v>
      </c>
      <c r="AD2516">
        <v>41.845147</v>
      </c>
      <c r="AE2516">
        <v>-88.036039</v>
      </c>
      <c r="AF2516" s="5" t="str">
        <f>HYPERLINK("https://www.google.com/maps/search/?api=1&amp;query=41.845147,-88.036039","map")</f>
        <v>map</v>
      </c>
    </row>
    <row r="2517" spans="1:32">
      <c r="A2517" t="s">
        <v>2567</v>
      </c>
      <c r="B2517" t="s">
        <v>10111</v>
      </c>
      <c r="C2517" t="s">
        <v>15463</v>
      </c>
      <c r="D2517" t="s">
        <v>16205</v>
      </c>
      <c r="E2517" t="s">
        <v>16218</v>
      </c>
      <c r="F2517" t="s">
        <v>16220</v>
      </c>
      <c r="G2517" t="s">
        <v>16266</v>
      </c>
      <c r="H2517" t="s">
        <v>16250</v>
      </c>
      <c r="I2517" t="s">
        <v>16346</v>
      </c>
      <c r="J2517" t="s">
        <v>16385</v>
      </c>
      <c r="K2517">
        <v>0.144</v>
      </c>
      <c r="L2517">
        <v>6274</v>
      </c>
      <c r="M2517">
        <v>1671</v>
      </c>
      <c r="N2517" t="s">
        <v>16393</v>
      </c>
      <c r="O2517" s="4">
        <v>31284</v>
      </c>
      <c r="P2517" s="4">
        <v>82635</v>
      </c>
      <c r="Q2517" s="4">
        <v>113919</v>
      </c>
      <c r="R2517" s="4">
        <v>341757</v>
      </c>
      <c r="S2517" t="s">
        <v>18843</v>
      </c>
      <c r="T2517" s="6">
        <v>42948</v>
      </c>
      <c r="U2517" s="4">
        <v>246000</v>
      </c>
      <c r="V2517" t="s">
        <v>23739</v>
      </c>
      <c r="W2517" t="s">
        <v>24929</v>
      </c>
      <c r="X2517" t="s">
        <v>3</v>
      </c>
      <c r="AA2517" s="5" t="str">
        <f>HYPERLINK("https://www.zillow.com/homes/2021-DOWNING-ST-LOMBARD-IL-601484813_rb/","check listing")</f>
        <v>check listing</v>
      </c>
      <c r="AB2517" s="5" t="str">
        <f>HYPERLINK("https://propertylookup.dupagecounty.gov/Datalets/Datalet.aspx?UseSearch=no&amp;mode=sales&amp;pin=0524403041","sales record")</f>
        <v>sales record</v>
      </c>
      <c r="AC2517" t="s">
        <v>3</v>
      </c>
      <c r="AD2517">
        <v>41.84623</v>
      </c>
      <c r="AE2517">
        <v>-88.03652200000001</v>
      </c>
      <c r="AF2517" s="5" t="str">
        <f>HYPERLINK("https://www.google.com/maps/search/?api=1&amp;query=41.84623,-88.036522","map")</f>
        <v>map</v>
      </c>
    </row>
    <row r="2518" spans="1:32">
      <c r="A2518" t="s">
        <v>2568</v>
      </c>
      <c r="B2518" t="s">
        <v>10112</v>
      </c>
      <c r="C2518" t="s">
        <v>15462</v>
      </c>
      <c r="D2518" t="s">
        <v>16205</v>
      </c>
      <c r="E2518" t="s">
        <v>16218</v>
      </c>
      <c r="F2518" t="s">
        <v>16220</v>
      </c>
      <c r="G2518" t="s">
        <v>16266</v>
      </c>
      <c r="H2518" t="s">
        <v>16250</v>
      </c>
      <c r="I2518" t="s">
        <v>16346</v>
      </c>
      <c r="J2518" t="s">
        <v>16385</v>
      </c>
      <c r="K2518">
        <v>0.144</v>
      </c>
      <c r="L2518">
        <v>6268</v>
      </c>
      <c r="M2518">
        <v>2047</v>
      </c>
      <c r="N2518" t="s">
        <v>16393</v>
      </c>
      <c r="O2518" s="4">
        <v>31284</v>
      </c>
      <c r="P2518" s="4">
        <v>89469</v>
      </c>
      <c r="Q2518" s="4">
        <v>120753</v>
      </c>
      <c r="R2518" s="4">
        <v>362259</v>
      </c>
      <c r="S2518" t="s">
        <v>18844</v>
      </c>
      <c r="T2518" s="6">
        <v>44197</v>
      </c>
      <c r="U2518" s="4">
        <v>356000</v>
      </c>
      <c r="V2518" t="s">
        <v>23739</v>
      </c>
      <c r="W2518" t="s">
        <v>24930</v>
      </c>
      <c r="X2518" t="s">
        <v>3</v>
      </c>
      <c r="AA2518" s="5" t="str">
        <f>HYPERLINK("https://www.zillow.com/homes/1011-HUNTER-ST-LOMBARD-IL-601484819_rb/","check listing")</f>
        <v>check listing</v>
      </c>
      <c r="AB2518" s="5" t="str">
        <f>HYPERLINK("https://propertylookup.dupagecounty.gov/Datalets/Datalet.aspx?UseSearch=no&amp;mode=sales&amp;pin=0524404006","sales record")</f>
        <v>sales record</v>
      </c>
      <c r="AC2518" t="s">
        <v>3</v>
      </c>
      <c r="AD2518">
        <v>41.845469</v>
      </c>
      <c r="AE2518">
        <v>-88.034783</v>
      </c>
      <c r="AF2518" s="5" t="str">
        <f>HYPERLINK("https://www.google.com/maps/search/?api=1&amp;query=41.845469,-88.034783","map")</f>
        <v>map</v>
      </c>
    </row>
    <row r="2519" spans="1:32">
      <c r="A2519" t="s">
        <v>2569</v>
      </c>
      <c r="B2519" t="s">
        <v>10113</v>
      </c>
      <c r="C2519" t="s">
        <v>15435</v>
      </c>
      <c r="D2519" t="s">
        <v>16205</v>
      </c>
      <c r="E2519" t="s">
        <v>16218</v>
      </c>
      <c r="F2519" t="s">
        <v>16220</v>
      </c>
      <c r="G2519" t="s">
        <v>16266</v>
      </c>
      <c r="H2519" t="s">
        <v>16250</v>
      </c>
      <c r="I2519" t="s">
        <v>16346</v>
      </c>
      <c r="J2519" t="s">
        <v>16385</v>
      </c>
      <c r="K2519">
        <v>0.143</v>
      </c>
      <c r="L2519">
        <v>6238</v>
      </c>
      <c r="M2519">
        <v>1175</v>
      </c>
      <c r="N2519" t="s">
        <v>16393</v>
      </c>
      <c r="O2519" s="4">
        <v>31284</v>
      </c>
      <c r="P2519" s="4">
        <v>99791</v>
      </c>
      <c r="Q2519" s="4">
        <v>131075</v>
      </c>
      <c r="R2519" s="4">
        <v>393225</v>
      </c>
      <c r="S2519" t="s">
        <v>18845</v>
      </c>
      <c r="T2519" s="6">
        <v>45211</v>
      </c>
      <c r="U2519" s="4">
        <v>420000</v>
      </c>
      <c r="V2519" t="s">
        <v>23739</v>
      </c>
      <c r="W2519" t="s">
        <v>24931</v>
      </c>
      <c r="X2519" t="s">
        <v>3</v>
      </c>
      <c r="AA2519" s="5" t="str">
        <f>HYPERLINK("https://www.zillow.com/homes/1057-FOXWORTH-BLVD-LOMBARD-IL-60148_rb/","check listing")</f>
        <v>check listing</v>
      </c>
      <c r="AB2519" s="5" t="str">
        <f>HYPERLINK("https://propertylookup.dupagecounty.gov/Datalets/Datalet.aspx?UseSearch=no&amp;mode=sales&amp;pin=0524403003","sales record")</f>
        <v>sales record</v>
      </c>
      <c r="AC2519" t="s">
        <v>3</v>
      </c>
      <c r="AD2519">
        <v>41.846746</v>
      </c>
      <c r="AE2519">
        <v>-88.03532199999999</v>
      </c>
      <c r="AF2519" s="5" t="str">
        <f>HYPERLINK("https://www.google.com/maps/search/?api=1&amp;query=41.846746,-88.035322","map")</f>
        <v>map</v>
      </c>
    </row>
    <row r="2520" spans="1:32">
      <c r="A2520" t="s">
        <v>2570</v>
      </c>
      <c r="B2520" t="s">
        <v>10114</v>
      </c>
      <c r="C2520" t="s">
        <v>15461</v>
      </c>
      <c r="D2520" t="s">
        <v>16205</v>
      </c>
      <c r="E2520" t="s">
        <v>16218</v>
      </c>
      <c r="F2520" t="s">
        <v>16220</v>
      </c>
      <c r="G2520" t="s">
        <v>16266</v>
      </c>
      <c r="H2520" t="s">
        <v>16250</v>
      </c>
      <c r="I2520" t="s">
        <v>16346</v>
      </c>
      <c r="J2520" t="s">
        <v>16385</v>
      </c>
      <c r="K2520">
        <v>0.142</v>
      </c>
      <c r="L2520">
        <v>6174</v>
      </c>
      <c r="M2520">
        <v>1697</v>
      </c>
      <c r="N2520" t="s">
        <v>16393</v>
      </c>
      <c r="O2520" s="4">
        <v>31284</v>
      </c>
      <c r="P2520" s="4">
        <v>77556</v>
      </c>
      <c r="Q2520" s="4">
        <v>108840</v>
      </c>
      <c r="R2520" s="4">
        <v>326520</v>
      </c>
      <c r="S2520" t="s">
        <v>18846</v>
      </c>
      <c r="T2520" s="6">
        <v>43862</v>
      </c>
      <c r="U2520" s="4">
        <v>269000</v>
      </c>
      <c r="V2520" t="s">
        <v>23739</v>
      </c>
      <c r="W2520" t="s">
        <v>24932</v>
      </c>
      <c r="X2520" t="s">
        <v>3</v>
      </c>
      <c r="AA2520" s="5" t="str">
        <f>HYPERLINK("https://www.zillow.com/homes/1020-HUNTER-ST-LOMBARD-IL-601484820_rb/","check listing")</f>
        <v>check listing</v>
      </c>
      <c r="AB2520" s="5" t="str">
        <f>HYPERLINK("https://propertylookup.dupagecounty.gov/Datalets/Datalet.aspx?UseSearch=no&amp;mode=sales&amp;pin=0524403009","sales record")</f>
        <v>sales record</v>
      </c>
      <c r="AC2520" t="s">
        <v>3</v>
      </c>
      <c r="AD2520">
        <v>41.846027</v>
      </c>
      <c r="AE2520">
        <v>-88.03515299999999</v>
      </c>
      <c r="AF2520" s="5" t="str">
        <f>HYPERLINK("https://www.google.com/maps/search/?api=1&amp;query=41.846027,-88.035153","map")</f>
        <v>map</v>
      </c>
    </row>
    <row r="2521" spans="1:32">
      <c r="A2521" t="s">
        <v>2571</v>
      </c>
      <c r="B2521" t="s">
        <v>9990</v>
      </c>
      <c r="C2521" t="s">
        <v>15435</v>
      </c>
      <c r="D2521" t="s">
        <v>16205</v>
      </c>
      <c r="E2521" t="s">
        <v>16218</v>
      </c>
      <c r="F2521" t="s">
        <v>16220</v>
      </c>
      <c r="G2521" t="s">
        <v>16266</v>
      </c>
      <c r="H2521" t="s">
        <v>16250</v>
      </c>
      <c r="I2521" t="s">
        <v>16346</v>
      </c>
      <c r="J2521" t="s">
        <v>16385</v>
      </c>
      <c r="K2521">
        <v>0.141</v>
      </c>
      <c r="L2521">
        <v>6149</v>
      </c>
      <c r="M2521">
        <v>1612</v>
      </c>
      <c r="N2521" t="s">
        <v>16393</v>
      </c>
      <c r="O2521" s="4">
        <v>31284</v>
      </c>
      <c r="P2521" s="4">
        <v>86594</v>
      </c>
      <c r="Q2521" s="4">
        <v>117878</v>
      </c>
      <c r="R2521" s="4">
        <v>353634</v>
      </c>
      <c r="S2521" t="s">
        <v>18847</v>
      </c>
      <c r="T2521" s="6">
        <v>31017</v>
      </c>
      <c r="U2521" s="4">
        <v>54000</v>
      </c>
      <c r="X2521" t="s">
        <v>3</v>
      </c>
      <c r="AA2521" s="5" t="str">
        <f>HYPERLINK("https://www.zillow.com/homes/1136-WHITEHALL-ST-LOMBARD-IL-60148_rb/","check listing")</f>
        <v>check listing</v>
      </c>
      <c r="AB2521" s="5" t="str">
        <f>HYPERLINK("https://propertylookup.dupagecounty.gov/Datalets/Datalet.aspx?UseSearch=no&amp;mode=sales&amp;pin=0524407015","sales record")</f>
        <v>sales record</v>
      </c>
      <c r="AC2521" t="s">
        <v>3</v>
      </c>
      <c r="AD2521">
        <v>41.84614</v>
      </c>
      <c r="AE2521">
        <v>-88.037356</v>
      </c>
      <c r="AF2521" s="5" t="str">
        <f>HYPERLINK("https://www.google.com/maps/search/?api=1&amp;query=41.84614,-88.037356","map")</f>
        <v>map</v>
      </c>
    </row>
    <row r="2522" spans="1:32">
      <c r="A2522" t="s">
        <v>2572</v>
      </c>
      <c r="B2522" t="s">
        <v>10115</v>
      </c>
      <c r="C2522" t="s">
        <v>15464</v>
      </c>
      <c r="D2522" t="s">
        <v>16205</v>
      </c>
      <c r="E2522" t="s">
        <v>16218</v>
      </c>
      <c r="F2522" t="s">
        <v>16220</v>
      </c>
      <c r="G2522" t="s">
        <v>16266</v>
      </c>
      <c r="H2522" t="s">
        <v>16250</v>
      </c>
      <c r="I2522" t="s">
        <v>16346</v>
      </c>
      <c r="J2522" t="s">
        <v>16385</v>
      </c>
      <c r="K2522">
        <v>0.14</v>
      </c>
      <c r="L2522">
        <v>6117</v>
      </c>
      <c r="M2522">
        <v>1660</v>
      </c>
      <c r="N2522" t="s">
        <v>16393</v>
      </c>
      <c r="O2522" s="4">
        <v>31284</v>
      </c>
      <c r="P2522" s="4">
        <v>84686</v>
      </c>
      <c r="Q2522" s="4">
        <v>115970</v>
      </c>
      <c r="R2522" s="4">
        <v>347910</v>
      </c>
      <c r="S2522" t="s">
        <v>18848</v>
      </c>
      <c r="T2522" s="6">
        <v>32964</v>
      </c>
      <c r="U2522" s="4">
        <v>118000</v>
      </c>
      <c r="X2522" t="s">
        <v>3</v>
      </c>
      <c r="AA2522" s="5" t="str">
        <f>HYPERLINK("https://www.zillow.com/homes/1198-WHITEHALL-ST-LOMBARD-IL-601484836_rb/","check listing")</f>
        <v>check listing</v>
      </c>
      <c r="AB2522" s="5" t="str">
        <f>HYPERLINK("https://propertylookup.dupagecounty.gov/Datalets/Datalet.aspx?UseSearch=no&amp;mode=sales&amp;pin=0524407008","sales record")</f>
        <v>sales record</v>
      </c>
      <c r="AC2522" t="s">
        <v>3</v>
      </c>
      <c r="AD2522">
        <v>41.846905</v>
      </c>
      <c r="AE2522">
        <v>-88.03852000000001</v>
      </c>
      <c r="AF2522" s="5" t="str">
        <f>HYPERLINK("https://www.google.com/maps/search/?api=1&amp;query=41.846905,-88.03852","map")</f>
        <v>map</v>
      </c>
    </row>
    <row r="2523" spans="1:32">
      <c r="A2523" t="s">
        <v>2573</v>
      </c>
      <c r="B2523" t="s">
        <v>10116</v>
      </c>
      <c r="C2523" t="s">
        <v>15435</v>
      </c>
      <c r="D2523" t="s">
        <v>16205</v>
      </c>
      <c r="E2523" t="s">
        <v>16218</v>
      </c>
      <c r="F2523" t="s">
        <v>16220</v>
      </c>
      <c r="G2523" t="s">
        <v>16266</v>
      </c>
      <c r="H2523" t="s">
        <v>16250</v>
      </c>
      <c r="I2523" t="s">
        <v>16346</v>
      </c>
      <c r="J2523" t="s">
        <v>16385</v>
      </c>
      <c r="K2523">
        <v>0.14</v>
      </c>
      <c r="L2523">
        <v>6103</v>
      </c>
      <c r="M2523">
        <v>1527</v>
      </c>
      <c r="N2523" t="s">
        <v>16393</v>
      </c>
      <c r="O2523" s="4">
        <v>31284</v>
      </c>
      <c r="P2523" s="4">
        <v>80973</v>
      </c>
      <c r="Q2523" s="4">
        <v>112257</v>
      </c>
      <c r="R2523" s="4">
        <v>336771</v>
      </c>
      <c r="S2523" t="s">
        <v>18849</v>
      </c>
      <c r="T2523" s="6">
        <v>45233</v>
      </c>
      <c r="U2523" s="4">
        <v>395000</v>
      </c>
      <c r="V2523" t="s">
        <v>23739</v>
      </c>
      <c r="W2523" t="s">
        <v>24933</v>
      </c>
      <c r="X2523" t="s">
        <v>3</v>
      </c>
      <c r="AA2523" s="5" t="str">
        <f>HYPERLINK("https://www.zillow.com/homes/1141-WHITEHALL-ST-LOMBARD-IL-60148_rb/","check listing")</f>
        <v>check listing</v>
      </c>
      <c r="AB2523" s="5" t="str">
        <f>HYPERLINK("https://propertylookup.dupagecounty.gov/Datalets/Datalet.aspx?UseSearch=no&amp;mode=sales&amp;pin=0524408007","sales record")</f>
        <v>sales record</v>
      </c>
      <c r="AC2523" t="s">
        <v>3</v>
      </c>
      <c r="AD2523">
        <v>41.845908</v>
      </c>
      <c r="AE2523">
        <v>-88.037971</v>
      </c>
      <c r="AF2523" s="5" t="str">
        <f>HYPERLINK("https://www.google.com/maps/search/?api=1&amp;query=41.845908,-88.037971","map")</f>
        <v>map</v>
      </c>
    </row>
    <row r="2524" spans="1:32">
      <c r="A2524" t="s">
        <v>2574</v>
      </c>
      <c r="B2524" t="s">
        <v>10117</v>
      </c>
      <c r="C2524" t="s">
        <v>15435</v>
      </c>
      <c r="D2524" t="s">
        <v>16205</v>
      </c>
      <c r="E2524" t="s">
        <v>16218</v>
      </c>
      <c r="F2524" t="s">
        <v>16220</v>
      </c>
      <c r="G2524" t="s">
        <v>16266</v>
      </c>
      <c r="H2524" t="s">
        <v>16250</v>
      </c>
      <c r="I2524" t="s">
        <v>16346</v>
      </c>
      <c r="J2524" t="s">
        <v>16385</v>
      </c>
      <c r="K2524">
        <v>0.14</v>
      </c>
      <c r="L2524">
        <v>6102</v>
      </c>
      <c r="M2524">
        <v>1197</v>
      </c>
      <c r="N2524" t="s">
        <v>16393</v>
      </c>
      <c r="O2524" s="4">
        <v>31284</v>
      </c>
      <c r="P2524" s="4">
        <v>99791</v>
      </c>
      <c r="Q2524" s="4">
        <v>131075</v>
      </c>
      <c r="R2524" s="4">
        <v>393225</v>
      </c>
      <c r="S2524" t="s">
        <v>18850</v>
      </c>
      <c r="T2524" s="6">
        <v>35186</v>
      </c>
      <c r="U2524" s="4">
        <v>165000</v>
      </c>
      <c r="X2524" t="s">
        <v>3</v>
      </c>
      <c r="AA2524" s="5" t="str">
        <f>HYPERLINK("https://www.zillow.com/homes/1131-WHITEHALL-ST-LOMBARD-IL-60148_rb/","check listing")</f>
        <v>check listing</v>
      </c>
      <c r="AB2524" s="5" t="str">
        <f>HYPERLINK("https://propertylookup.dupagecounty.gov/Datalets/Datalet.aspx?UseSearch=no&amp;mode=sales&amp;pin=0524408008","sales record")</f>
        <v>sales record</v>
      </c>
      <c r="AC2524" t="s">
        <v>3</v>
      </c>
      <c r="AD2524">
        <v>41.845808</v>
      </c>
      <c r="AE2524">
        <v>-88.037738</v>
      </c>
      <c r="AF2524" s="5" t="str">
        <f>HYPERLINK("https://www.google.com/maps/search/?api=1&amp;query=41.845808,-88.037738","map")</f>
        <v>map</v>
      </c>
    </row>
    <row r="2525" spans="1:32">
      <c r="A2525" t="s">
        <v>2575</v>
      </c>
      <c r="B2525" t="s">
        <v>10118</v>
      </c>
      <c r="C2525" t="s">
        <v>15435</v>
      </c>
      <c r="D2525" t="s">
        <v>16205</v>
      </c>
      <c r="E2525" t="s">
        <v>16218</v>
      </c>
      <c r="F2525" t="s">
        <v>16220</v>
      </c>
      <c r="G2525" t="s">
        <v>16266</v>
      </c>
      <c r="H2525" t="s">
        <v>16250</v>
      </c>
      <c r="I2525" t="s">
        <v>16346</v>
      </c>
      <c r="J2525" t="s">
        <v>16385</v>
      </c>
      <c r="K2525">
        <v>0.14</v>
      </c>
      <c r="L2525">
        <v>6101</v>
      </c>
      <c r="M2525">
        <v>1753</v>
      </c>
      <c r="N2525" t="s">
        <v>16393</v>
      </c>
      <c r="O2525" s="4">
        <v>31284</v>
      </c>
      <c r="P2525" s="4">
        <v>82635</v>
      </c>
      <c r="Q2525" s="4">
        <v>113919</v>
      </c>
      <c r="R2525" s="4">
        <v>341757</v>
      </c>
      <c r="S2525" t="s">
        <v>18835</v>
      </c>
      <c r="T2525" s="6">
        <v>42186</v>
      </c>
      <c r="U2525" s="4">
        <v>207000</v>
      </c>
      <c r="V2525" t="s">
        <v>16232</v>
      </c>
      <c r="W2525" t="s">
        <v>24934</v>
      </c>
      <c r="X2525" t="s">
        <v>3</v>
      </c>
      <c r="AA2525" s="5" t="str">
        <f>HYPERLINK("https://www.zillow.com/homes/1090-HUNTER-ST-LOMBARD-IL-60148_rb/","check listing")</f>
        <v>check listing</v>
      </c>
      <c r="AB2525" s="5" t="str">
        <f>HYPERLINK("https://propertylookup.dupagecounty.gov/Datalets/Datalet.aspx?UseSearch=no&amp;mode=sales&amp;pin=0524403045","sales record")</f>
        <v>sales record</v>
      </c>
      <c r="AC2525" t="s">
        <v>3</v>
      </c>
      <c r="AD2525">
        <v>41.845547</v>
      </c>
      <c r="AE2525">
        <v>-88.036464</v>
      </c>
      <c r="AF2525" s="5" t="str">
        <f>HYPERLINK("https://www.google.com/maps/search/?api=1&amp;query=41.845547,-88.036464","map")</f>
        <v>map</v>
      </c>
    </row>
    <row r="2526" spans="1:32">
      <c r="A2526" t="s">
        <v>2576</v>
      </c>
      <c r="B2526" t="s">
        <v>10119</v>
      </c>
      <c r="C2526" t="s">
        <v>15435</v>
      </c>
      <c r="D2526" t="s">
        <v>16205</v>
      </c>
      <c r="E2526" t="s">
        <v>16218</v>
      </c>
      <c r="F2526" t="s">
        <v>16220</v>
      </c>
      <c r="G2526" t="s">
        <v>16266</v>
      </c>
      <c r="H2526" t="s">
        <v>16250</v>
      </c>
      <c r="I2526" t="s">
        <v>16346</v>
      </c>
      <c r="J2526" t="s">
        <v>16385</v>
      </c>
      <c r="K2526">
        <v>0.139</v>
      </c>
      <c r="L2526">
        <v>6057</v>
      </c>
      <c r="M2526">
        <v>1504</v>
      </c>
      <c r="N2526" t="s">
        <v>16393</v>
      </c>
      <c r="O2526" s="4">
        <v>31284</v>
      </c>
      <c r="P2526" s="4">
        <v>79277</v>
      </c>
      <c r="Q2526" s="4">
        <v>110561</v>
      </c>
      <c r="R2526" s="4">
        <v>331683</v>
      </c>
      <c r="S2526" t="s">
        <v>18851</v>
      </c>
      <c r="T2526" s="6">
        <v>45971</v>
      </c>
      <c r="U2526" s="4">
        <v>405000</v>
      </c>
      <c r="V2526" t="s">
        <v>23739</v>
      </c>
      <c r="W2526" t="s">
        <v>24935</v>
      </c>
      <c r="X2526" t="s">
        <v>3</v>
      </c>
      <c r="AA2526" s="5" t="str">
        <f>HYPERLINK("https://www.zillow.com/homes/1128-HUNTER-ST-LOMBARD-IL-60148_rb/","check listing")</f>
        <v>check listing</v>
      </c>
      <c r="AB2526" s="5" t="str">
        <f>HYPERLINK("https://propertylookup.dupagecounty.gov/Datalets/Datalet.aspx?UseSearch=no&amp;mode=sales&amp;pin=0524408013","sales record")</f>
        <v>sales record</v>
      </c>
      <c r="AC2526" t="s">
        <v>3</v>
      </c>
      <c r="AD2526">
        <v>41.846381</v>
      </c>
      <c r="AE2526">
        <v>-88.038963</v>
      </c>
      <c r="AF2526" s="5" t="str">
        <f>HYPERLINK("https://www.google.com/maps/search/?api=1&amp;query=41.846381,-88.038963","map")</f>
        <v>map</v>
      </c>
    </row>
    <row r="2527" spans="1:32">
      <c r="A2527" t="s">
        <v>2577</v>
      </c>
      <c r="B2527" t="s">
        <v>10120</v>
      </c>
      <c r="C2527" t="s">
        <v>15435</v>
      </c>
      <c r="D2527" t="s">
        <v>16205</v>
      </c>
      <c r="E2527" t="s">
        <v>16218</v>
      </c>
      <c r="F2527" t="s">
        <v>16220</v>
      </c>
      <c r="G2527" t="s">
        <v>16266</v>
      </c>
      <c r="H2527" t="s">
        <v>16250</v>
      </c>
      <c r="I2527" t="s">
        <v>16346</v>
      </c>
      <c r="J2527" t="s">
        <v>16385</v>
      </c>
      <c r="K2527">
        <v>0.139</v>
      </c>
      <c r="L2527">
        <v>6053</v>
      </c>
      <c r="M2527">
        <v>1198</v>
      </c>
      <c r="N2527" t="s">
        <v>16393</v>
      </c>
      <c r="O2527" s="4">
        <v>31284</v>
      </c>
      <c r="P2527" s="4">
        <v>101559</v>
      </c>
      <c r="Q2527" s="4">
        <v>132843</v>
      </c>
      <c r="R2527" s="4">
        <v>398529</v>
      </c>
      <c r="S2527" t="s">
        <v>18852</v>
      </c>
      <c r="T2527" s="6">
        <v>29129</v>
      </c>
      <c r="U2527" s="4">
        <v>88690</v>
      </c>
      <c r="X2527" t="s">
        <v>3</v>
      </c>
      <c r="AA2527" s="5" t="str">
        <f>HYPERLINK("https://www.zillow.com/homes/1100-HUNTER-ST-LOMBARD-IL-60148_rb/","check listing")</f>
        <v>check listing</v>
      </c>
      <c r="AB2527" s="5" t="str">
        <f>HYPERLINK("https://propertylookup.dupagecounty.gov/Datalets/Datalet.aspx?UseSearch=no&amp;mode=sales&amp;pin=0524408024","sales record")</f>
        <v>sales record</v>
      </c>
      <c r="AC2527" t="s">
        <v>3</v>
      </c>
      <c r="AD2527">
        <v>41.845546</v>
      </c>
      <c r="AE2527">
        <v>-88.03691000000001</v>
      </c>
      <c r="AF2527" s="5" t="str">
        <f>HYPERLINK("https://www.google.com/maps/search/?api=1&amp;query=41.845546,-88.03691","map")</f>
        <v>map</v>
      </c>
    </row>
    <row r="2528" spans="1:32">
      <c r="A2528" t="s">
        <v>2578</v>
      </c>
      <c r="B2528" t="s">
        <v>10121</v>
      </c>
      <c r="C2528" t="s">
        <v>15435</v>
      </c>
      <c r="D2528" t="s">
        <v>16205</v>
      </c>
      <c r="E2528" t="s">
        <v>16218</v>
      </c>
      <c r="F2528" t="s">
        <v>16220</v>
      </c>
      <c r="G2528" t="s">
        <v>16266</v>
      </c>
      <c r="H2528" t="s">
        <v>16250</v>
      </c>
      <c r="I2528" t="s">
        <v>16346</v>
      </c>
      <c r="J2528" t="s">
        <v>16385</v>
      </c>
      <c r="K2528">
        <v>0.138</v>
      </c>
      <c r="L2528">
        <v>6011</v>
      </c>
      <c r="M2528">
        <v>1705</v>
      </c>
      <c r="N2528" t="s">
        <v>16393</v>
      </c>
      <c r="O2528" s="4">
        <v>31284</v>
      </c>
      <c r="P2528" s="4">
        <v>82635</v>
      </c>
      <c r="Q2528" s="4">
        <v>113919</v>
      </c>
      <c r="R2528" s="4">
        <v>341757</v>
      </c>
      <c r="S2528" t="s">
        <v>18853</v>
      </c>
      <c r="T2528" s="6">
        <v>45942</v>
      </c>
      <c r="U2528" s="4">
        <v>307000</v>
      </c>
      <c r="V2528" t="s">
        <v>23739</v>
      </c>
      <c r="W2528" t="s">
        <v>24936</v>
      </c>
      <c r="X2528" t="s">
        <v>3</v>
      </c>
      <c r="AA2528" s="5" t="str">
        <f>HYPERLINK("https://www.zillow.com/homes/1006-FOXWORTH-BLVD-LOMBARD-IL-60148_rb/","check listing")</f>
        <v>check listing</v>
      </c>
      <c r="AB2528" s="5" t="str">
        <f>HYPERLINK("https://propertylookup.dupagecounty.gov/Datalets/Datalet.aspx?UseSearch=no&amp;mode=sales&amp;pin=0524402012","sales record")</f>
        <v>sales record</v>
      </c>
      <c r="AC2528" t="s">
        <v>3</v>
      </c>
      <c r="AD2528">
        <v>41.846038</v>
      </c>
      <c r="AE2528">
        <v>-88.03404999999999</v>
      </c>
      <c r="AF2528" s="5" t="str">
        <f>HYPERLINK("https://www.google.com/maps/search/?api=1&amp;query=41.846038,-88.03405","map")</f>
        <v>map</v>
      </c>
    </row>
    <row r="2529" spans="1:32">
      <c r="A2529" t="s">
        <v>2579</v>
      </c>
      <c r="B2529" t="s">
        <v>10122</v>
      </c>
      <c r="C2529" t="s">
        <v>15465</v>
      </c>
      <c r="D2529" t="s">
        <v>16205</v>
      </c>
      <c r="E2529" t="s">
        <v>16218</v>
      </c>
      <c r="F2529" t="s">
        <v>16220</v>
      </c>
      <c r="G2529" t="s">
        <v>16267</v>
      </c>
      <c r="H2529" t="s">
        <v>16254</v>
      </c>
      <c r="I2529" t="s">
        <v>16346</v>
      </c>
      <c r="J2529" t="s">
        <v>16385</v>
      </c>
      <c r="K2529">
        <v>0.137</v>
      </c>
      <c r="L2529">
        <v>5987</v>
      </c>
      <c r="M2529">
        <v>1405</v>
      </c>
      <c r="N2529" t="s">
        <v>16393</v>
      </c>
      <c r="O2529" s="4">
        <v>11197</v>
      </c>
      <c r="P2529" s="4">
        <v>100811</v>
      </c>
      <c r="Q2529" s="4">
        <v>112008</v>
      </c>
      <c r="R2529" s="4">
        <v>336024</v>
      </c>
      <c r="S2529" t="s">
        <v>18854</v>
      </c>
      <c r="T2529" s="6">
        <v>42186</v>
      </c>
      <c r="U2529" s="4">
        <v>210000</v>
      </c>
      <c r="V2529" t="s">
        <v>23739</v>
      </c>
      <c r="W2529" t="s">
        <v>18854</v>
      </c>
      <c r="X2529" t="s">
        <v>3</v>
      </c>
      <c r="AA2529" s="5" t="str">
        <f>HYPERLINK("https://www.zillow.com/homes/109-REGENCY-DR-LOMBARD-IL-601485323_rb/","check listing")</f>
        <v>check listing</v>
      </c>
      <c r="AB2529" s="5" t="str">
        <f>HYPERLINK("https://propertylookup.dupagecounty.gov/Datalets/Datalet.aspx?UseSearch=no&amp;mode=sales&amp;pin=0629105024","sales record")</f>
        <v>sales record</v>
      </c>
      <c r="AC2529" t="s">
        <v>27873</v>
      </c>
      <c r="AD2529">
        <v>41.840476</v>
      </c>
      <c r="AE2529">
        <v>-88.014831</v>
      </c>
      <c r="AF2529" s="5" t="str">
        <f>HYPERLINK("https://www.google.com/maps/search/?api=1&amp;query=41.840476,-88.014831","map")</f>
        <v>map</v>
      </c>
    </row>
    <row r="2530" spans="1:32">
      <c r="A2530" t="s">
        <v>2580</v>
      </c>
      <c r="B2530" t="s">
        <v>10123</v>
      </c>
      <c r="C2530" t="s">
        <v>15435</v>
      </c>
      <c r="D2530" t="s">
        <v>16205</v>
      </c>
      <c r="E2530" t="s">
        <v>16218</v>
      </c>
      <c r="F2530" t="s">
        <v>16220</v>
      </c>
      <c r="G2530" t="s">
        <v>16266</v>
      </c>
      <c r="H2530" t="s">
        <v>16250</v>
      </c>
      <c r="I2530" t="s">
        <v>16346</v>
      </c>
      <c r="J2530" t="s">
        <v>16385</v>
      </c>
      <c r="K2530">
        <v>0.137</v>
      </c>
      <c r="L2530">
        <v>5976</v>
      </c>
      <c r="M2530">
        <v>1626</v>
      </c>
      <c r="N2530" t="s">
        <v>16393</v>
      </c>
      <c r="O2530" s="4">
        <v>31284</v>
      </c>
      <c r="P2530" s="4">
        <v>93652</v>
      </c>
      <c r="Q2530" s="4">
        <v>124936</v>
      </c>
      <c r="R2530" s="4">
        <v>374808</v>
      </c>
      <c r="S2530" t="s">
        <v>18855</v>
      </c>
      <c r="T2530" s="6">
        <v>38200</v>
      </c>
      <c r="U2530" s="4">
        <v>264900</v>
      </c>
      <c r="V2530" t="s">
        <v>23739</v>
      </c>
      <c r="W2530" t="s">
        <v>18855</v>
      </c>
      <c r="X2530" t="s">
        <v>3</v>
      </c>
      <c r="AA2530" s="5" t="str">
        <f>HYPERLINK("https://www.zillow.com/homes/1099-BEVERLY-CT-LOMBARD-IL-60148_rb/","check listing")</f>
        <v>check listing</v>
      </c>
      <c r="AB2530" s="5" t="str">
        <f>HYPERLINK("https://propertylookup.dupagecounty.gov/Datalets/Datalet.aspx?UseSearch=no&amp;mode=sales&amp;pin=0524403026","sales record")</f>
        <v>sales record</v>
      </c>
      <c r="AC2530" t="s">
        <v>3</v>
      </c>
      <c r="AD2530">
        <v>41.846786</v>
      </c>
      <c r="AE2530">
        <v>-88.03643099999999</v>
      </c>
      <c r="AF2530" s="5" t="str">
        <f>HYPERLINK("https://www.google.com/maps/search/?api=1&amp;query=41.846786,-88.036431","map")</f>
        <v>map</v>
      </c>
    </row>
    <row r="2531" spans="1:32">
      <c r="A2531" t="s">
        <v>2581</v>
      </c>
      <c r="B2531" t="s">
        <v>10124</v>
      </c>
      <c r="C2531" t="s">
        <v>15435</v>
      </c>
      <c r="D2531" t="s">
        <v>16205</v>
      </c>
      <c r="E2531" t="s">
        <v>16218</v>
      </c>
      <c r="F2531" t="s">
        <v>16220</v>
      </c>
      <c r="G2531" t="s">
        <v>16266</v>
      </c>
      <c r="H2531" t="s">
        <v>16250</v>
      </c>
      <c r="I2531" t="s">
        <v>16346</v>
      </c>
      <c r="J2531" t="s">
        <v>16385</v>
      </c>
      <c r="K2531">
        <v>0.135</v>
      </c>
      <c r="L2531">
        <v>5895</v>
      </c>
      <c r="M2531">
        <v>1683</v>
      </c>
      <c r="N2531" t="s">
        <v>16393</v>
      </c>
      <c r="O2531" s="4">
        <v>31284</v>
      </c>
      <c r="P2531" s="4">
        <v>78440</v>
      </c>
      <c r="Q2531" s="4">
        <v>109724</v>
      </c>
      <c r="R2531" s="4">
        <v>329172</v>
      </c>
      <c r="S2531" t="s">
        <v>18856</v>
      </c>
      <c r="T2531" s="6">
        <v>34759</v>
      </c>
      <c r="U2531" s="4">
        <v>143500</v>
      </c>
      <c r="X2531" t="s">
        <v>3</v>
      </c>
      <c r="AA2531" s="5" t="str">
        <f>HYPERLINK("https://www.zillow.com/homes/1114-HUNTER-ST-LOMBARD-IL-60148_rb/","check listing")</f>
        <v>check listing</v>
      </c>
      <c r="AB2531" s="5" t="str">
        <f>HYPERLINK("https://propertylookup.dupagecounty.gov/Datalets/Datalet.aspx?UseSearch=no&amp;mode=sales&amp;pin=0524408018","sales record")</f>
        <v>sales record</v>
      </c>
      <c r="AC2531" t="s">
        <v>3</v>
      </c>
      <c r="AD2531">
        <v>41.845756</v>
      </c>
      <c r="AE2531">
        <v>-88.038239</v>
      </c>
      <c r="AF2531" s="5" t="str">
        <f>HYPERLINK("https://www.google.com/maps/search/?api=1&amp;query=41.845756,-88.038239","map")</f>
        <v>map</v>
      </c>
    </row>
    <row r="2532" spans="1:32">
      <c r="A2532" t="s">
        <v>2582</v>
      </c>
      <c r="B2532" t="s">
        <v>10125</v>
      </c>
      <c r="C2532" t="s">
        <v>15435</v>
      </c>
      <c r="D2532" t="s">
        <v>16205</v>
      </c>
      <c r="E2532" t="s">
        <v>16218</v>
      </c>
      <c r="F2532" t="s">
        <v>16220</v>
      </c>
      <c r="G2532" t="s">
        <v>16266</v>
      </c>
      <c r="H2532" t="s">
        <v>16250</v>
      </c>
      <c r="I2532" t="s">
        <v>16346</v>
      </c>
      <c r="J2532" t="s">
        <v>16385</v>
      </c>
      <c r="K2532">
        <v>0.134</v>
      </c>
      <c r="L2532">
        <v>5837</v>
      </c>
      <c r="M2532">
        <v>1586</v>
      </c>
      <c r="N2532" t="s">
        <v>16393</v>
      </c>
      <c r="O2532" s="4">
        <v>31284</v>
      </c>
      <c r="P2532" s="4">
        <v>86594</v>
      </c>
      <c r="Q2532" s="4">
        <v>117878</v>
      </c>
      <c r="R2532" s="4">
        <v>353634</v>
      </c>
      <c r="S2532" t="s">
        <v>18857</v>
      </c>
      <c r="T2532" s="6">
        <v>35217</v>
      </c>
      <c r="U2532" s="4">
        <v>135000</v>
      </c>
      <c r="X2532" t="s">
        <v>3</v>
      </c>
      <c r="AA2532" s="5" t="str">
        <f>HYPERLINK("https://www.zillow.com/homes/1965-DOWNING-ST-LOMBARD-IL-60148_rb/","check listing")</f>
        <v>check listing</v>
      </c>
      <c r="AB2532" s="5" t="str">
        <f>HYPERLINK("https://propertylookup.dupagecounty.gov/Datalets/Datalet.aspx?UseSearch=no&amp;mode=sales&amp;pin=0524403024","sales record")</f>
        <v>sales record</v>
      </c>
      <c r="AC2532" t="s">
        <v>3</v>
      </c>
      <c r="AD2532">
        <v>41.846919</v>
      </c>
      <c r="AE2532">
        <v>-88.036835</v>
      </c>
      <c r="AF2532" s="5" t="str">
        <f>HYPERLINK("https://www.google.com/maps/search/?api=1&amp;query=41.846919,-88.036835","map")</f>
        <v>map</v>
      </c>
    </row>
    <row r="2533" spans="1:32">
      <c r="A2533" t="s">
        <v>2583</v>
      </c>
      <c r="B2533" t="s">
        <v>10126</v>
      </c>
      <c r="C2533" t="s">
        <v>15435</v>
      </c>
      <c r="D2533" t="s">
        <v>16205</v>
      </c>
      <c r="E2533" t="s">
        <v>16218</v>
      </c>
      <c r="F2533" t="s">
        <v>16220</v>
      </c>
      <c r="G2533" t="s">
        <v>16266</v>
      </c>
      <c r="H2533" t="s">
        <v>16250</v>
      </c>
      <c r="I2533" t="s">
        <v>16346</v>
      </c>
      <c r="J2533" t="s">
        <v>16385</v>
      </c>
      <c r="K2533">
        <v>0.133</v>
      </c>
      <c r="L2533">
        <v>5805</v>
      </c>
      <c r="M2533">
        <v>1507</v>
      </c>
      <c r="N2533" t="s">
        <v>16393</v>
      </c>
      <c r="O2533" s="4">
        <v>31284</v>
      </c>
      <c r="P2533" s="4">
        <v>80113</v>
      </c>
      <c r="Q2533" s="4">
        <v>111397</v>
      </c>
      <c r="R2533" s="4">
        <v>334191</v>
      </c>
      <c r="S2533" t="s">
        <v>18858</v>
      </c>
      <c r="T2533" s="6">
        <v>36770</v>
      </c>
      <c r="U2533" s="4">
        <v>195000</v>
      </c>
      <c r="V2533" t="s">
        <v>23739</v>
      </c>
      <c r="W2533" t="s">
        <v>24937</v>
      </c>
      <c r="X2533" t="s">
        <v>3</v>
      </c>
      <c r="AA2533" s="5" t="str">
        <f>HYPERLINK("https://www.zillow.com/homes/1148-WHITEHALL-ST-LOMBARD-IL-60148_rb/","check listing")</f>
        <v>check listing</v>
      </c>
      <c r="AB2533" s="5" t="str">
        <f>HYPERLINK("https://propertylookup.dupagecounty.gov/Datalets/Datalet.aspx?UseSearch=no&amp;mode=sales&amp;pin=0524407013","sales record")</f>
        <v>sales record</v>
      </c>
      <c r="AC2533" t="s">
        <v>3</v>
      </c>
      <c r="AD2533">
        <v>41.84634</v>
      </c>
      <c r="AE2533">
        <v>-88.037779</v>
      </c>
      <c r="AF2533" s="5" t="str">
        <f>HYPERLINK("https://www.google.com/maps/search/?api=1&amp;query=41.84634,-88.037779","map")</f>
        <v>map</v>
      </c>
    </row>
    <row r="2534" spans="1:32">
      <c r="A2534" t="s">
        <v>2584</v>
      </c>
      <c r="B2534" t="s">
        <v>10127</v>
      </c>
      <c r="C2534" t="s">
        <v>15435</v>
      </c>
      <c r="D2534" t="s">
        <v>16205</v>
      </c>
      <c r="E2534" t="s">
        <v>16218</v>
      </c>
      <c r="F2534" t="s">
        <v>16220</v>
      </c>
      <c r="G2534" t="s">
        <v>16266</v>
      </c>
      <c r="H2534" t="s">
        <v>16250</v>
      </c>
      <c r="I2534" t="s">
        <v>16346</v>
      </c>
      <c r="J2534" t="s">
        <v>16385</v>
      </c>
      <c r="K2534">
        <v>0.132</v>
      </c>
      <c r="L2534">
        <v>5763</v>
      </c>
      <c r="M2534">
        <v>1658</v>
      </c>
      <c r="N2534" t="s">
        <v>16393</v>
      </c>
      <c r="O2534" s="4">
        <v>31284</v>
      </c>
      <c r="P2534" s="4">
        <v>86594</v>
      </c>
      <c r="Q2534" s="4">
        <v>117878</v>
      </c>
      <c r="R2534" s="4">
        <v>353634</v>
      </c>
      <c r="S2534" t="s">
        <v>18859</v>
      </c>
      <c r="T2534" s="6">
        <v>29252</v>
      </c>
      <c r="U2534" s="4">
        <v>77720</v>
      </c>
      <c r="X2534" t="s">
        <v>3</v>
      </c>
      <c r="AA2534" s="5" t="str">
        <f>HYPERLINK("https://www.zillow.com/homes/1118-HUNTER-ST-LOMBARD-IL-60148_rb/","check listing")</f>
        <v>check listing</v>
      </c>
      <c r="AB2534" s="5" t="str">
        <f>HYPERLINK("https://propertylookup.dupagecounty.gov/Datalets/Datalet.aspx?UseSearch=no&amp;mode=sales&amp;pin=0524408017","sales record")</f>
        <v>sales record</v>
      </c>
      <c r="AC2534" t="s">
        <v>3</v>
      </c>
      <c r="AD2534">
        <v>41.845875</v>
      </c>
      <c r="AE2534">
        <v>-88.038402</v>
      </c>
      <c r="AF2534" s="5" t="str">
        <f>HYPERLINK("https://www.google.com/maps/search/?api=1&amp;query=41.845875,-88.038402","map")</f>
        <v>map</v>
      </c>
    </row>
    <row r="2535" spans="1:32">
      <c r="A2535" t="s">
        <v>2585</v>
      </c>
      <c r="B2535" t="s">
        <v>10128</v>
      </c>
      <c r="C2535" t="s">
        <v>15435</v>
      </c>
      <c r="D2535" t="s">
        <v>16205</v>
      </c>
      <c r="E2535" t="s">
        <v>16218</v>
      </c>
      <c r="F2535" t="s">
        <v>16220</v>
      </c>
      <c r="G2535" t="s">
        <v>16266</v>
      </c>
      <c r="H2535" t="s">
        <v>16250</v>
      </c>
      <c r="I2535" t="s">
        <v>16346</v>
      </c>
      <c r="J2535" t="s">
        <v>16385</v>
      </c>
      <c r="K2535">
        <v>0.131</v>
      </c>
      <c r="L2535">
        <v>5721</v>
      </c>
      <c r="M2535">
        <v>1538</v>
      </c>
      <c r="N2535" t="s">
        <v>16393</v>
      </c>
      <c r="O2535" s="4">
        <v>31284</v>
      </c>
      <c r="P2535" s="4">
        <v>89469</v>
      </c>
      <c r="Q2535" s="4">
        <v>120753</v>
      </c>
      <c r="R2535" s="4">
        <v>362259</v>
      </c>
      <c r="S2535" t="s">
        <v>18860</v>
      </c>
      <c r="T2535" s="6">
        <v>40513</v>
      </c>
      <c r="U2535" s="4">
        <v>170000</v>
      </c>
      <c r="V2535" t="s">
        <v>16232</v>
      </c>
      <c r="W2535" t="s">
        <v>18860</v>
      </c>
      <c r="X2535" t="s">
        <v>3</v>
      </c>
      <c r="AA2535" s="5" t="str">
        <f>HYPERLINK("https://www.zillow.com/homes/1036-FOXWORTH-BLVD-LOMBARD-IL-60148_rb/","check listing")</f>
        <v>check listing</v>
      </c>
      <c r="AB2535" s="5" t="str">
        <f>HYPERLINK("https://propertylookup.dupagecounty.gov/Datalets/Datalet.aspx?UseSearch=no&amp;mode=sales&amp;pin=0524402007","sales record")</f>
        <v>sales record</v>
      </c>
      <c r="AC2535" t="s">
        <v>3</v>
      </c>
      <c r="AD2535">
        <v>41.846877</v>
      </c>
      <c r="AE2535">
        <v>-88.034519</v>
      </c>
      <c r="AF2535" s="5" t="str">
        <f>HYPERLINK("https://www.google.com/maps/search/?api=1&amp;query=41.846877,-88.034519","map")</f>
        <v>map</v>
      </c>
    </row>
    <row r="2536" spans="1:32">
      <c r="A2536" t="s">
        <v>2586</v>
      </c>
      <c r="B2536" t="s">
        <v>10129</v>
      </c>
      <c r="C2536" t="s">
        <v>15435</v>
      </c>
      <c r="D2536" t="s">
        <v>16205</v>
      </c>
      <c r="E2536" t="s">
        <v>16218</v>
      </c>
      <c r="F2536" t="s">
        <v>16220</v>
      </c>
      <c r="G2536" t="s">
        <v>16266</v>
      </c>
      <c r="H2536" t="s">
        <v>16250</v>
      </c>
      <c r="I2536" t="s">
        <v>16346</v>
      </c>
      <c r="J2536" t="s">
        <v>16385</v>
      </c>
      <c r="K2536">
        <v>0.131</v>
      </c>
      <c r="L2536">
        <v>5710</v>
      </c>
      <c r="M2536">
        <v>1787</v>
      </c>
      <c r="N2536" t="s">
        <v>16393</v>
      </c>
      <c r="O2536" s="4">
        <v>31284</v>
      </c>
      <c r="P2536" s="4">
        <v>86594</v>
      </c>
      <c r="Q2536" s="4">
        <v>117878</v>
      </c>
      <c r="R2536" s="4">
        <v>353634</v>
      </c>
      <c r="S2536" t="s">
        <v>18861</v>
      </c>
      <c r="T2536" s="6">
        <v>32933</v>
      </c>
      <c r="U2536" s="4">
        <v>124500</v>
      </c>
      <c r="X2536" t="s">
        <v>3</v>
      </c>
      <c r="AA2536" s="5" t="str">
        <f>HYPERLINK("https://www.zillow.com/homes/1143-HUNTER-ST-LOMBARD-IL-60148_rb/","check listing")</f>
        <v>check listing</v>
      </c>
      <c r="AB2536" s="5" t="str">
        <f>HYPERLINK("https://propertylookup.dupagecounty.gov/Datalets/Datalet.aspx?UseSearch=no&amp;mode=sales&amp;pin=0524406006","sales record")</f>
        <v>sales record</v>
      </c>
      <c r="AC2536" t="s">
        <v>3</v>
      </c>
      <c r="AD2536">
        <v>41.847335</v>
      </c>
      <c r="AE2536">
        <v>-88.03860299999999</v>
      </c>
      <c r="AF2536" s="5" t="str">
        <f>HYPERLINK("https://www.google.com/maps/search/?api=1&amp;query=41.847335,-88.038603","map")</f>
        <v>map</v>
      </c>
    </row>
    <row r="2537" spans="1:32">
      <c r="A2537" t="s">
        <v>2587</v>
      </c>
      <c r="B2537" t="s">
        <v>10130</v>
      </c>
      <c r="C2537" t="s">
        <v>15435</v>
      </c>
      <c r="D2537" t="s">
        <v>16205</v>
      </c>
      <c r="E2537" t="s">
        <v>16218</v>
      </c>
      <c r="F2537" t="s">
        <v>16220</v>
      </c>
      <c r="G2537" t="s">
        <v>16266</v>
      </c>
      <c r="H2537" t="s">
        <v>16250</v>
      </c>
      <c r="I2537" t="s">
        <v>16346</v>
      </c>
      <c r="J2537" t="s">
        <v>16385</v>
      </c>
      <c r="K2537">
        <v>0.131</v>
      </c>
      <c r="L2537">
        <v>5690</v>
      </c>
      <c r="M2537">
        <v>1089</v>
      </c>
      <c r="N2537" t="s">
        <v>16393</v>
      </c>
      <c r="O2537" s="4">
        <v>31284</v>
      </c>
      <c r="P2537" s="4">
        <v>94654</v>
      </c>
      <c r="Q2537" s="4">
        <v>125938</v>
      </c>
      <c r="R2537" s="4">
        <v>377814</v>
      </c>
      <c r="S2537" t="s">
        <v>18862</v>
      </c>
      <c r="T2537" s="6">
        <v>45629</v>
      </c>
      <c r="U2537" s="4">
        <v>355000</v>
      </c>
      <c r="V2537" t="s">
        <v>23739</v>
      </c>
      <c r="W2537" t="s">
        <v>24938</v>
      </c>
      <c r="X2537" t="s">
        <v>3</v>
      </c>
      <c r="AA2537" s="5" t="str">
        <f>HYPERLINK("https://www.zillow.com/homes/1112-HUNTER-ST-LOMBARD-IL-60148_rb/","check listing")</f>
        <v>check listing</v>
      </c>
      <c r="AB2537" s="5" t="str">
        <f>HYPERLINK("https://propertylookup.dupagecounty.gov/Datalets/Datalet.aspx?UseSearch=no&amp;mode=sales&amp;pin=0524408019","sales record")</f>
        <v>sales record</v>
      </c>
      <c r="AC2537" t="s">
        <v>3</v>
      </c>
      <c r="AD2537">
        <v>41.845652</v>
      </c>
      <c r="AE2537">
        <v>-88.038051</v>
      </c>
      <c r="AF2537" s="5" t="str">
        <f>HYPERLINK("https://www.google.com/maps/search/?api=1&amp;query=41.845652,-88.038051","map")</f>
        <v>map</v>
      </c>
    </row>
    <row r="2538" spans="1:32">
      <c r="A2538" t="s">
        <v>2588</v>
      </c>
      <c r="B2538" t="s">
        <v>10131</v>
      </c>
      <c r="C2538" t="s">
        <v>15435</v>
      </c>
      <c r="D2538" t="s">
        <v>16205</v>
      </c>
      <c r="E2538" t="s">
        <v>16218</v>
      </c>
      <c r="F2538" t="s">
        <v>16220</v>
      </c>
      <c r="G2538" t="s">
        <v>16266</v>
      </c>
      <c r="H2538" t="s">
        <v>16250</v>
      </c>
      <c r="I2538" t="s">
        <v>16346</v>
      </c>
      <c r="J2538" t="s">
        <v>16385</v>
      </c>
      <c r="K2538">
        <v>0.131</v>
      </c>
      <c r="L2538">
        <v>5686</v>
      </c>
      <c r="M2538">
        <v>1184</v>
      </c>
      <c r="N2538" t="s">
        <v>16393</v>
      </c>
      <c r="O2538" s="4">
        <v>31284</v>
      </c>
      <c r="P2538" s="4">
        <v>107827</v>
      </c>
      <c r="Q2538" s="4">
        <v>139111</v>
      </c>
      <c r="R2538" s="4">
        <v>417333</v>
      </c>
      <c r="S2538" t="s">
        <v>18863</v>
      </c>
      <c r="T2538" s="6">
        <v>41944</v>
      </c>
      <c r="U2538" s="4">
        <v>302500</v>
      </c>
      <c r="V2538" t="s">
        <v>23739</v>
      </c>
      <c r="W2538" t="s">
        <v>24939</v>
      </c>
      <c r="X2538" t="s">
        <v>3</v>
      </c>
      <c r="AA2538" s="5" t="str">
        <f>HYPERLINK("https://www.zillow.com/homes/1093-FOXWORTH-BLVD-LOMBARD-IL-60148_rb/","check listing")</f>
        <v>check listing</v>
      </c>
      <c r="AB2538" s="5" t="str">
        <f>HYPERLINK("https://propertylookup.dupagecounty.gov/Datalets/Datalet.aspx?UseSearch=no&amp;mode=sales&amp;pin=0524403016","sales record")</f>
        <v>sales record</v>
      </c>
      <c r="AC2538" t="s">
        <v>3</v>
      </c>
      <c r="AD2538">
        <v>41.847163</v>
      </c>
      <c r="AE2538">
        <v>-88.036793</v>
      </c>
      <c r="AF2538" s="5" t="str">
        <f>HYPERLINK("https://www.google.com/maps/search/?api=1&amp;query=41.847163,-88.036793","map")</f>
        <v>map</v>
      </c>
    </row>
    <row r="2539" spans="1:32">
      <c r="A2539" t="s">
        <v>2589</v>
      </c>
      <c r="B2539" t="s">
        <v>10132</v>
      </c>
      <c r="C2539" t="s">
        <v>15435</v>
      </c>
      <c r="D2539" t="s">
        <v>16205</v>
      </c>
      <c r="E2539" t="s">
        <v>16218</v>
      </c>
      <c r="F2539" t="s">
        <v>16220</v>
      </c>
      <c r="G2539" t="s">
        <v>16266</v>
      </c>
      <c r="H2539" t="s">
        <v>16250</v>
      </c>
      <c r="I2539" t="s">
        <v>16346</v>
      </c>
      <c r="J2539" t="s">
        <v>16385</v>
      </c>
      <c r="K2539">
        <v>0.129</v>
      </c>
      <c r="L2539">
        <v>5609</v>
      </c>
      <c r="M2539">
        <v>1638</v>
      </c>
      <c r="N2539" t="s">
        <v>16393</v>
      </c>
      <c r="O2539" s="4">
        <v>31284</v>
      </c>
      <c r="P2539" s="4">
        <v>88526</v>
      </c>
      <c r="Q2539" s="4">
        <v>119810</v>
      </c>
      <c r="R2539" s="4">
        <v>359430</v>
      </c>
      <c r="S2539" t="s">
        <v>18864</v>
      </c>
      <c r="T2539" s="6">
        <v>46002</v>
      </c>
      <c r="U2539" s="4">
        <v>410000</v>
      </c>
      <c r="V2539" t="s">
        <v>16232</v>
      </c>
      <c r="W2539" t="s">
        <v>24940</v>
      </c>
      <c r="X2539" t="s">
        <v>3</v>
      </c>
      <c r="AA2539" s="5" t="str">
        <f>HYPERLINK("https://www.zillow.com/homes/1110-HUNTER-ST-LOMBARD-IL-60148_rb/","check listing")</f>
        <v>check listing</v>
      </c>
      <c r="AB2539" s="5" t="str">
        <f>HYPERLINK("https://propertylookup.dupagecounty.gov/Datalets/Datalet.aspx?UseSearch=no&amp;mode=sales&amp;pin=0524408020","sales record")</f>
        <v>sales record</v>
      </c>
      <c r="AC2539" t="s">
        <v>3</v>
      </c>
      <c r="AD2539">
        <v>41.845579</v>
      </c>
      <c r="AE2539">
        <v>-88.037836</v>
      </c>
      <c r="AF2539" s="5" t="str">
        <f>HYPERLINK("https://www.google.com/maps/search/?api=1&amp;query=41.845579,-88.037836","map")</f>
        <v>map</v>
      </c>
    </row>
    <row r="2540" spans="1:32">
      <c r="A2540" t="s">
        <v>2590</v>
      </c>
      <c r="B2540" t="s">
        <v>10133</v>
      </c>
      <c r="C2540" t="s">
        <v>15435</v>
      </c>
      <c r="D2540" t="s">
        <v>16205</v>
      </c>
      <c r="E2540" t="s">
        <v>16218</v>
      </c>
      <c r="F2540" t="s">
        <v>16220</v>
      </c>
      <c r="G2540" t="s">
        <v>16266</v>
      </c>
      <c r="H2540" t="s">
        <v>16250</v>
      </c>
      <c r="I2540" t="s">
        <v>16346</v>
      </c>
      <c r="J2540" t="s">
        <v>16385</v>
      </c>
      <c r="K2540">
        <v>0.127</v>
      </c>
      <c r="L2540">
        <v>5551</v>
      </c>
      <c r="M2540">
        <v>1721</v>
      </c>
      <c r="N2540" t="s">
        <v>16393</v>
      </c>
      <c r="O2540" s="4">
        <v>31284</v>
      </c>
      <c r="P2540" s="4">
        <v>89469</v>
      </c>
      <c r="Q2540" s="4">
        <v>120753</v>
      </c>
      <c r="R2540" s="4">
        <v>362259</v>
      </c>
      <c r="S2540" t="s">
        <v>18865</v>
      </c>
      <c r="T2540" s="6">
        <v>37987</v>
      </c>
      <c r="U2540" s="4">
        <v>249900</v>
      </c>
      <c r="V2540" t="s">
        <v>23739</v>
      </c>
      <c r="W2540" t="s">
        <v>24941</v>
      </c>
      <c r="X2540" t="s">
        <v>3</v>
      </c>
      <c r="AA2540" s="5" t="str">
        <f>HYPERLINK("https://www.zillow.com/homes/1012-FOXWORTH-BLVD-LOMBARD-IL-60148_rb/","check listing")</f>
        <v>check listing</v>
      </c>
      <c r="AB2540" s="5" t="str">
        <f>HYPERLINK("https://propertylookup.dupagecounty.gov/Datalets/Datalet.aspx?UseSearch=no&amp;mode=sales&amp;pin=0524402011","sales record")</f>
        <v>sales record</v>
      </c>
      <c r="AC2540" t="s">
        <v>3</v>
      </c>
      <c r="AD2540">
        <v>41.846173</v>
      </c>
      <c r="AE2540">
        <v>-88.03415699999999</v>
      </c>
      <c r="AF2540" s="5" t="str">
        <f>HYPERLINK("https://www.google.com/maps/search/?api=1&amp;query=41.846173,-88.034157","map")</f>
        <v>map</v>
      </c>
    </row>
    <row r="2541" spans="1:32">
      <c r="A2541" t="s">
        <v>2591</v>
      </c>
      <c r="B2541" t="s">
        <v>10134</v>
      </c>
      <c r="C2541" t="s">
        <v>15435</v>
      </c>
      <c r="D2541" t="s">
        <v>16205</v>
      </c>
      <c r="E2541" t="s">
        <v>16218</v>
      </c>
      <c r="F2541" t="s">
        <v>16220</v>
      </c>
      <c r="G2541" t="s">
        <v>16266</v>
      </c>
      <c r="H2541" t="s">
        <v>16250</v>
      </c>
      <c r="I2541" t="s">
        <v>16346</v>
      </c>
      <c r="J2541" t="s">
        <v>16385</v>
      </c>
      <c r="K2541">
        <v>0.126</v>
      </c>
      <c r="L2541">
        <v>5494</v>
      </c>
      <c r="M2541">
        <v>1533</v>
      </c>
      <c r="N2541" t="s">
        <v>16393</v>
      </c>
      <c r="O2541" s="4">
        <v>31284</v>
      </c>
      <c r="P2541" s="4">
        <v>82635</v>
      </c>
      <c r="Q2541" s="4">
        <v>113919</v>
      </c>
      <c r="R2541" s="4">
        <v>341757</v>
      </c>
      <c r="S2541" t="s">
        <v>18866</v>
      </c>
      <c r="T2541" s="6">
        <v>40087</v>
      </c>
      <c r="U2541" s="4">
        <v>261500</v>
      </c>
      <c r="V2541" t="s">
        <v>23739</v>
      </c>
      <c r="W2541" t="s">
        <v>24942</v>
      </c>
      <c r="X2541" t="s">
        <v>3</v>
      </c>
      <c r="AA2541" s="5" t="str">
        <f>HYPERLINK("https://www.zillow.com/homes/1141-HUNTER-ST-LOMBARD-IL-60148_rb/","check listing")</f>
        <v>check listing</v>
      </c>
      <c r="AB2541" s="5" t="str">
        <f>HYPERLINK("https://propertylookup.dupagecounty.gov/Datalets/Datalet.aspx?UseSearch=no&amp;mode=sales&amp;pin=0524406007","sales record")</f>
        <v>sales record</v>
      </c>
      <c r="AC2541" t="s">
        <v>3</v>
      </c>
      <c r="AD2541">
        <v>41.84725</v>
      </c>
      <c r="AE2541">
        <v>-88.038809</v>
      </c>
      <c r="AF2541" s="5" t="str">
        <f>HYPERLINK("https://www.google.com/maps/search/?api=1&amp;query=41.84725,-88.038809","map")</f>
        <v>map</v>
      </c>
    </row>
    <row r="2542" spans="1:32">
      <c r="A2542" t="s">
        <v>2592</v>
      </c>
      <c r="B2542" t="s">
        <v>10135</v>
      </c>
      <c r="C2542" t="s">
        <v>15435</v>
      </c>
      <c r="D2542" t="s">
        <v>16205</v>
      </c>
      <c r="E2542" t="s">
        <v>16218</v>
      </c>
      <c r="F2542" t="s">
        <v>16220</v>
      </c>
      <c r="G2542" t="s">
        <v>16266</v>
      </c>
      <c r="H2542" t="s">
        <v>16250</v>
      </c>
      <c r="I2542" t="s">
        <v>16346</v>
      </c>
      <c r="J2542" t="s">
        <v>16385</v>
      </c>
      <c r="K2542">
        <v>0.126</v>
      </c>
      <c r="L2542">
        <v>5494</v>
      </c>
      <c r="M2542">
        <v>1927</v>
      </c>
      <c r="N2542" t="s">
        <v>16393</v>
      </c>
      <c r="O2542" s="4">
        <v>31284</v>
      </c>
      <c r="P2542" s="4">
        <v>80384</v>
      </c>
      <c r="Q2542" s="4">
        <v>111668</v>
      </c>
      <c r="R2542" s="4">
        <v>335004</v>
      </c>
      <c r="S2542" t="s">
        <v>18867</v>
      </c>
      <c r="T2542" s="6">
        <v>35247</v>
      </c>
      <c r="U2542" s="4">
        <v>160500</v>
      </c>
      <c r="X2542" t="s">
        <v>3</v>
      </c>
      <c r="AA2542" s="5" t="str">
        <f>HYPERLINK("https://www.zillow.com/homes/1096-FOXWORTH-BLVD-LOMBARD-IL-60148_rb/","check listing")</f>
        <v>check listing</v>
      </c>
      <c r="AB2542" s="5" t="str">
        <f>HYPERLINK("https://propertylookup.dupagecounty.gov/Datalets/Datalet.aspx?UseSearch=no&amp;mode=sales&amp;pin=0524402017","sales record")</f>
        <v>sales record</v>
      </c>
      <c r="AC2542" t="s">
        <v>3</v>
      </c>
      <c r="AD2542">
        <v>41.847625</v>
      </c>
      <c r="AE2542">
        <v>-88.036714</v>
      </c>
      <c r="AF2542" s="5" t="str">
        <f>HYPERLINK("https://www.google.com/maps/search/?api=1&amp;query=41.847625,-88.036714","map")</f>
        <v>map</v>
      </c>
    </row>
    <row r="2543" spans="1:32">
      <c r="A2543" t="s">
        <v>2593</v>
      </c>
      <c r="B2543" t="s">
        <v>10136</v>
      </c>
      <c r="C2543" t="s">
        <v>15435</v>
      </c>
      <c r="D2543" t="s">
        <v>16205</v>
      </c>
      <c r="E2543" t="s">
        <v>16218</v>
      </c>
      <c r="F2543" t="s">
        <v>16220</v>
      </c>
      <c r="G2543" t="s">
        <v>16266</v>
      </c>
      <c r="H2543" t="s">
        <v>16250</v>
      </c>
      <c r="I2543" t="s">
        <v>16346</v>
      </c>
      <c r="J2543" t="s">
        <v>16385</v>
      </c>
      <c r="K2543">
        <v>0.126</v>
      </c>
      <c r="L2543">
        <v>5494</v>
      </c>
      <c r="M2543">
        <v>1617</v>
      </c>
      <c r="N2543" t="s">
        <v>16393</v>
      </c>
      <c r="O2543" s="4">
        <v>31284</v>
      </c>
      <c r="P2543" s="4">
        <v>101123</v>
      </c>
      <c r="Q2543" s="4">
        <v>132407</v>
      </c>
      <c r="R2543" s="4">
        <v>397221</v>
      </c>
      <c r="S2543" t="s">
        <v>18868</v>
      </c>
      <c r="T2543" s="6">
        <v>41913</v>
      </c>
      <c r="U2543" s="4">
        <v>265000</v>
      </c>
      <c r="V2543" t="s">
        <v>23739</v>
      </c>
      <c r="W2543" t="s">
        <v>24943</v>
      </c>
      <c r="X2543" t="s">
        <v>3</v>
      </c>
      <c r="AA2543" s="5" t="str">
        <f>HYPERLINK("https://www.zillow.com/homes/1100-FOXWORTH-BLVD-LOMBARD-IL-60148_rb/","check listing")</f>
        <v>check listing</v>
      </c>
      <c r="AB2543" s="5" t="str">
        <f>HYPERLINK("https://propertylookup.dupagecounty.gov/Datalets/Datalet.aspx?UseSearch=no&amp;mode=sales&amp;pin=0524402016","sales record")</f>
        <v>sales record</v>
      </c>
      <c r="AC2543" t="s">
        <v>3</v>
      </c>
      <c r="AD2543">
        <v>41.847734</v>
      </c>
      <c r="AE2543">
        <v>-88.036894</v>
      </c>
      <c r="AF2543" s="5" t="str">
        <f>HYPERLINK("https://www.google.com/maps/search/?api=1&amp;query=41.847734,-88.036894","map")</f>
        <v>map</v>
      </c>
    </row>
    <row r="2544" spans="1:32">
      <c r="A2544" t="s">
        <v>2594</v>
      </c>
      <c r="B2544" t="s">
        <v>10137</v>
      </c>
      <c r="C2544" t="s">
        <v>15435</v>
      </c>
      <c r="D2544" t="s">
        <v>16205</v>
      </c>
      <c r="E2544" t="s">
        <v>16218</v>
      </c>
      <c r="F2544" t="s">
        <v>16220</v>
      </c>
      <c r="G2544" t="s">
        <v>16266</v>
      </c>
      <c r="H2544" t="s">
        <v>16250</v>
      </c>
      <c r="I2544" t="s">
        <v>16346</v>
      </c>
      <c r="J2544" t="s">
        <v>16385</v>
      </c>
      <c r="K2544">
        <v>0.126</v>
      </c>
      <c r="L2544">
        <v>5483</v>
      </c>
      <c r="M2544">
        <v>1543</v>
      </c>
      <c r="N2544" t="s">
        <v>16393</v>
      </c>
      <c r="O2544" s="4">
        <v>31284</v>
      </c>
      <c r="P2544" s="4">
        <v>82635</v>
      </c>
      <c r="Q2544" s="4">
        <v>113919</v>
      </c>
      <c r="R2544" s="4">
        <v>341757</v>
      </c>
      <c r="S2544" t="s">
        <v>18869</v>
      </c>
      <c r="T2544" s="6">
        <v>36739</v>
      </c>
      <c r="U2544" s="4">
        <v>190000</v>
      </c>
      <c r="V2544" t="s">
        <v>23739</v>
      </c>
      <c r="W2544" t="s">
        <v>24944</v>
      </c>
      <c r="X2544" t="s">
        <v>3</v>
      </c>
      <c r="AA2544" s="5" t="str">
        <f>HYPERLINK("https://www.zillow.com/homes/2126-S-LLOYD-AVE-LOMBARD-IL-60148_rb/","check listing")</f>
        <v>check listing</v>
      </c>
      <c r="AB2544" s="5" t="str">
        <f>HYPERLINK("https://propertylookup.dupagecounty.gov/Datalets/Datalet.aspx?UseSearch=no&amp;mode=sales&amp;pin=0524404010","sales record")</f>
        <v>sales record</v>
      </c>
      <c r="AC2544" t="s">
        <v>3</v>
      </c>
      <c r="AD2544">
        <v>41.845497</v>
      </c>
      <c r="AE2544">
        <v>-88.034443</v>
      </c>
      <c r="AF2544" s="5" t="str">
        <f>HYPERLINK("https://www.google.com/maps/search/?api=1&amp;query=41.845497,-88.034443","map")</f>
        <v>map</v>
      </c>
    </row>
    <row r="2545" spans="1:32">
      <c r="A2545" t="s">
        <v>2595</v>
      </c>
      <c r="B2545" t="s">
        <v>10138</v>
      </c>
      <c r="C2545" t="s">
        <v>15435</v>
      </c>
      <c r="D2545" t="s">
        <v>16205</v>
      </c>
      <c r="E2545" t="s">
        <v>16218</v>
      </c>
      <c r="F2545" t="s">
        <v>16220</v>
      </c>
      <c r="G2545" t="s">
        <v>16266</v>
      </c>
      <c r="H2545" t="s">
        <v>16250</v>
      </c>
      <c r="I2545" t="s">
        <v>16346</v>
      </c>
      <c r="J2545" t="s">
        <v>16385</v>
      </c>
      <c r="K2545">
        <v>0.126</v>
      </c>
      <c r="L2545">
        <v>5483</v>
      </c>
      <c r="M2545">
        <v>1554</v>
      </c>
      <c r="N2545" t="s">
        <v>16393</v>
      </c>
      <c r="O2545" s="4">
        <v>31284</v>
      </c>
      <c r="P2545" s="4">
        <v>86594</v>
      </c>
      <c r="Q2545" s="4">
        <v>117878</v>
      </c>
      <c r="R2545" s="4">
        <v>353634</v>
      </c>
      <c r="S2545" t="s">
        <v>18870</v>
      </c>
      <c r="X2545" t="s">
        <v>3</v>
      </c>
      <c r="AA2545" s="5" t="str">
        <f>HYPERLINK("https://www.zillow.com/homes/2150-LLOYD-AVE-LOMBARD-IL-60148_rb/","check listing")</f>
        <v>check listing</v>
      </c>
      <c r="AB2545" s="5" t="str">
        <f>HYPERLINK("https://propertylookup.dupagecounty.gov/Datalets/Datalet.aspx?UseSearch=no&amp;mode=sales&amp;pin=0524404011","sales record")</f>
        <v>sales record</v>
      </c>
      <c r="AC2545" t="s">
        <v>3</v>
      </c>
      <c r="AD2545">
        <v>41.845352</v>
      </c>
      <c r="AE2545">
        <v>-88.034502</v>
      </c>
      <c r="AF2545" s="5" t="str">
        <f>HYPERLINK("https://www.google.com/maps/search/?api=1&amp;query=41.845352,-88.034502","map")</f>
        <v>map</v>
      </c>
    </row>
    <row r="2546" spans="1:32">
      <c r="A2546" t="s">
        <v>2596</v>
      </c>
      <c r="B2546" t="s">
        <v>10139</v>
      </c>
      <c r="C2546" t="s">
        <v>15466</v>
      </c>
      <c r="D2546" t="s">
        <v>16205</v>
      </c>
      <c r="E2546" t="s">
        <v>16218</v>
      </c>
      <c r="F2546" t="s">
        <v>16220</v>
      </c>
      <c r="G2546" t="s">
        <v>16266</v>
      </c>
      <c r="H2546" t="s">
        <v>16250</v>
      </c>
      <c r="I2546" t="s">
        <v>16346</v>
      </c>
      <c r="J2546" t="s">
        <v>16385</v>
      </c>
      <c r="K2546">
        <v>0.126</v>
      </c>
      <c r="L2546">
        <v>5475</v>
      </c>
      <c r="M2546">
        <v>1610</v>
      </c>
      <c r="N2546" t="s">
        <v>16393</v>
      </c>
      <c r="O2546" s="4">
        <v>31284</v>
      </c>
      <c r="P2546" s="4">
        <v>82635</v>
      </c>
      <c r="Q2546" s="4">
        <v>113919</v>
      </c>
      <c r="R2546" s="4">
        <v>341757</v>
      </c>
      <c r="S2546" t="s">
        <v>18871</v>
      </c>
      <c r="T2546" s="6">
        <v>46019</v>
      </c>
      <c r="U2546" s="4">
        <v>489000</v>
      </c>
      <c r="V2546" t="s">
        <v>23741</v>
      </c>
      <c r="W2546" t="s">
        <v>24945</v>
      </c>
      <c r="X2546" t="s">
        <v>3</v>
      </c>
      <c r="AA2546" s="5" t="str">
        <f>HYPERLINK("https://www.zillow.com/homes/1151-WHITEHALL-ST-LOMBARD-IL-601484835_rb/","check listing")</f>
        <v>check listing</v>
      </c>
      <c r="AB2546" s="5" t="str">
        <f>HYPERLINK("https://propertylookup.dupagecounty.gov/Datalets/Datalet.aspx?UseSearch=no&amp;mode=sales&amp;pin=0524408006","sales record")</f>
        <v>sales record</v>
      </c>
      <c r="AC2546" t="s">
        <v>3</v>
      </c>
      <c r="AD2546">
        <v>41.846023</v>
      </c>
      <c r="AE2546">
        <v>-88.03814300000001</v>
      </c>
      <c r="AF2546" s="5" t="str">
        <f>HYPERLINK("https://www.google.com/maps/search/?api=1&amp;query=41.846023,-88.038143","map")</f>
        <v>map</v>
      </c>
    </row>
    <row r="2547" spans="1:32">
      <c r="A2547" t="s">
        <v>2597</v>
      </c>
      <c r="B2547" t="s">
        <v>10140</v>
      </c>
      <c r="C2547" t="s">
        <v>15435</v>
      </c>
      <c r="D2547" t="s">
        <v>16205</v>
      </c>
      <c r="E2547" t="s">
        <v>16218</v>
      </c>
      <c r="F2547" t="s">
        <v>16220</v>
      </c>
      <c r="G2547" t="s">
        <v>16266</v>
      </c>
      <c r="H2547" t="s">
        <v>16250</v>
      </c>
      <c r="I2547" t="s">
        <v>16346</v>
      </c>
      <c r="J2547" t="s">
        <v>16385</v>
      </c>
      <c r="K2547">
        <v>0.126</v>
      </c>
      <c r="L2547">
        <v>5470</v>
      </c>
      <c r="M2547">
        <v>1745</v>
      </c>
      <c r="N2547" t="s">
        <v>16393</v>
      </c>
      <c r="O2547" s="4">
        <v>31284</v>
      </c>
      <c r="P2547" s="4">
        <v>89469</v>
      </c>
      <c r="Q2547" s="4">
        <v>120753</v>
      </c>
      <c r="R2547" s="4">
        <v>362259</v>
      </c>
      <c r="S2547" t="s">
        <v>18872</v>
      </c>
      <c r="T2547" s="6">
        <v>39173</v>
      </c>
      <c r="U2547" s="4">
        <v>295000</v>
      </c>
      <c r="V2547" t="s">
        <v>23739</v>
      </c>
      <c r="W2547" t="s">
        <v>24946</v>
      </c>
      <c r="X2547" t="s">
        <v>3</v>
      </c>
      <c r="AA2547" s="5" t="str">
        <f>HYPERLINK("https://www.zillow.com/homes/1092-FOXWORTH-BLVD-LOMBARD-IL-60148_rb/","check listing")</f>
        <v>check listing</v>
      </c>
      <c r="AB2547" s="5" t="str">
        <f>HYPERLINK("https://propertylookup.dupagecounty.gov/Datalets/Datalet.aspx?UseSearch=no&amp;mode=sales&amp;pin=0524402018","sales record")</f>
        <v>sales record</v>
      </c>
      <c r="AC2547" t="s">
        <v>3</v>
      </c>
      <c r="AD2547">
        <v>41.847544</v>
      </c>
      <c r="AE2547">
        <v>-88.03651000000001</v>
      </c>
      <c r="AF2547" s="5" t="str">
        <f>HYPERLINK("https://www.google.com/maps/search/?api=1&amp;query=41.847544,-88.03651","map")</f>
        <v>map</v>
      </c>
    </row>
    <row r="2548" spans="1:32">
      <c r="A2548" t="s">
        <v>2598</v>
      </c>
      <c r="B2548" t="s">
        <v>10141</v>
      </c>
      <c r="C2548" t="s">
        <v>15455</v>
      </c>
      <c r="D2548" t="s">
        <v>16205</v>
      </c>
      <c r="E2548" t="s">
        <v>16218</v>
      </c>
      <c r="F2548" t="s">
        <v>16220</v>
      </c>
      <c r="G2548" t="s">
        <v>16266</v>
      </c>
      <c r="H2548" t="s">
        <v>16250</v>
      </c>
      <c r="I2548" t="s">
        <v>16346</v>
      </c>
      <c r="J2548" t="s">
        <v>16385</v>
      </c>
      <c r="K2548">
        <v>0.125</v>
      </c>
      <c r="L2548">
        <v>5459</v>
      </c>
      <c r="M2548">
        <v>1101</v>
      </c>
      <c r="N2548" t="s">
        <v>16393</v>
      </c>
      <c r="O2548" s="4">
        <v>31284</v>
      </c>
      <c r="P2548" s="4">
        <v>101559</v>
      </c>
      <c r="Q2548" s="4">
        <v>132843</v>
      </c>
      <c r="R2548" s="4">
        <v>398529</v>
      </c>
      <c r="S2548" t="s">
        <v>18873</v>
      </c>
      <c r="T2548" s="6">
        <v>44682</v>
      </c>
      <c r="U2548" s="4">
        <v>435000</v>
      </c>
      <c r="V2548" t="s">
        <v>23740</v>
      </c>
      <c r="W2548" t="s">
        <v>24947</v>
      </c>
      <c r="X2548" t="s">
        <v>3</v>
      </c>
      <c r="AA2548" s="5" t="str">
        <f>HYPERLINK("https://www.zillow.com/homes/1120-HUNTER-ST-LOMBARD-IL-601484822_rb/","check listing")</f>
        <v>check listing</v>
      </c>
      <c r="AB2548" s="5" t="str">
        <f>HYPERLINK("https://propertylookup.dupagecounty.gov/Datalets/Datalet.aspx?UseSearch=no&amp;mode=sales&amp;pin=0524408016","sales record")</f>
        <v>sales record</v>
      </c>
      <c r="AC2548" t="s">
        <v>3</v>
      </c>
      <c r="AD2548">
        <v>41.845998</v>
      </c>
      <c r="AE2548">
        <v>-88.038543</v>
      </c>
      <c r="AF2548" s="5" t="str">
        <f>HYPERLINK("https://www.google.com/maps/search/?api=1&amp;query=41.845998,-88.038543","map")</f>
        <v>map</v>
      </c>
    </row>
    <row r="2549" spans="1:32">
      <c r="A2549" t="s">
        <v>2599</v>
      </c>
      <c r="B2549" t="s">
        <v>10142</v>
      </c>
      <c r="C2549" t="s">
        <v>15435</v>
      </c>
      <c r="D2549" t="s">
        <v>16205</v>
      </c>
      <c r="E2549" t="s">
        <v>16218</v>
      </c>
      <c r="F2549" t="s">
        <v>16220</v>
      </c>
      <c r="G2549" t="s">
        <v>16266</v>
      </c>
      <c r="H2549" t="s">
        <v>16250</v>
      </c>
      <c r="I2549" t="s">
        <v>16346</v>
      </c>
      <c r="J2549" t="s">
        <v>16385</v>
      </c>
      <c r="K2549">
        <v>0.125</v>
      </c>
      <c r="L2549">
        <v>5459</v>
      </c>
      <c r="M2549">
        <v>1533</v>
      </c>
      <c r="N2549" t="s">
        <v>16393</v>
      </c>
      <c r="O2549" s="4">
        <v>31284</v>
      </c>
      <c r="P2549" s="4">
        <v>78440</v>
      </c>
      <c r="Q2549" s="4">
        <v>109724</v>
      </c>
      <c r="R2549" s="4">
        <v>329172</v>
      </c>
      <c r="S2549" t="s">
        <v>18874</v>
      </c>
      <c r="T2549" s="6">
        <v>33451</v>
      </c>
      <c r="U2549" s="4">
        <v>137500</v>
      </c>
      <c r="X2549" t="s">
        <v>3</v>
      </c>
      <c r="AA2549" s="5" t="str">
        <f>HYPERLINK("https://www.zillow.com/homes/1126-HUNTER-ST-LOMBARD-IL-60148_rb/","check listing")</f>
        <v>check listing</v>
      </c>
      <c r="AB2549" s="5" t="str">
        <f>HYPERLINK("https://propertylookup.dupagecounty.gov/Datalets/Datalet.aspx?UseSearch=no&amp;mode=sales&amp;pin=0524408014","sales record")</f>
        <v>sales record</v>
      </c>
      <c r="AC2549" t="s">
        <v>3</v>
      </c>
      <c r="AD2549">
        <v>41.846258</v>
      </c>
      <c r="AE2549">
        <v>-88.038813</v>
      </c>
      <c r="AF2549" s="5" t="str">
        <f>HYPERLINK("https://www.google.com/maps/search/?api=1&amp;query=41.846258,-88.038813","map")</f>
        <v>map</v>
      </c>
    </row>
    <row r="2550" spans="1:32">
      <c r="A2550" t="s">
        <v>2600</v>
      </c>
      <c r="B2550" t="s">
        <v>10143</v>
      </c>
      <c r="C2550" t="s">
        <v>15455</v>
      </c>
      <c r="D2550" t="s">
        <v>16205</v>
      </c>
      <c r="E2550" t="s">
        <v>16218</v>
      </c>
      <c r="F2550" t="s">
        <v>16220</v>
      </c>
      <c r="G2550" t="s">
        <v>16266</v>
      </c>
      <c r="H2550" t="s">
        <v>16250</v>
      </c>
      <c r="I2550" t="s">
        <v>16346</v>
      </c>
      <c r="J2550" t="s">
        <v>16385</v>
      </c>
      <c r="K2550">
        <v>0.125</v>
      </c>
      <c r="L2550">
        <v>5459</v>
      </c>
      <c r="M2550">
        <v>1655</v>
      </c>
      <c r="N2550" t="s">
        <v>16393</v>
      </c>
      <c r="O2550" s="4">
        <v>31284</v>
      </c>
      <c r="P2550" s="4">
        <v>112022</v>
      </c>
      <c r="Q2550" s="4">
        <v>143306</v>
      </c>
      <c r="R2550" s="4">
        <v>429918</v>
      </c>
      <c r="S2550" t="s">
        <v>18875</v>
      </c>
      <c r="T2550" s="6">
        <v>42430</v>
      </c>
      <c r="U2550" s="4">
        <v>265000</v>
      </c>
      <c r="V2550" t="s">
        <v>23739</v>
      </c>
      <c r="W2550" t="s">
        <v>24948</v>
      </c>
      <c r="X2550" t="s">
        <v>3</v>
      </c>
      <c r="AA2550" s="5" t="str">
        <f>HYPERLINK("https://www.zillow.com/homes/1122-HUNTER-ST-LOMBARD-IL-601484822_rb/","check listing")</f>
        <v>check listing</v>
      </c>
      <c r="AB2550" s="5" t="str">
        <f>HYPERLINK("https://propertylookup.dupagecounty.gov/Datalets/Datalet.aspx?UseSearch=no&amp;mode=sales&amp;pin=0524408015","sales record")</f>
        <v>sales record</v>
      </c>
      <c r="AC2550" t="s">
        <v>3</v>
      </c>
      <c r="AD2550">
        <v>41.846128</v>
      </c>
      <c r="AE2550">
        <v>-88.038678</v>
      </c>
      <c r="AF2550" s="5" t="str">
        <f>HYPERLINK("https://www.google.com/maps/search/?api=1&amp;query=41.846128,-88.038678","map")</f>
        <v>map</v>
      </c>
    </row>
    <row r="2551" spans="1:32">
      <c r="A2551" t="s">
        <v>2601</v>
      </c>
      <c r="B2551" t="s">
        <v>10144</v>
      </c>
      <c r="C2551" t="s">
        <v>15435</v>
      </c>
      <c r="D2551" t="s">
        <v>16205</v>
      </c>
      <c r="E2551" t="s">
        <v>16218</v>
      </c>
      <c r="F2551" t="s">
        <v>16220</v>
      </c>
      <c r="G2551" t="s">
        <v>16266</v>
      </c>
      <c r="H2551" t="s">
        <v>16250</v>
      </c>
      <c r="I2551" t="s">
        <v>16346</v>
      </c>
      <c r="J2551" t="s">
        <v>16385</v>
      </c>
      <c r="K2551">
        <v>0.125</v>
      </c>
      <c r="L2551">
        <v>5458</v>
      </c>
      <c r="M2551">
        <v>1179</v>
      </c>
      <c r="N2551" t="s">
        <v>16393</v>
      </c>
      <c r="O2551" s="4">
        <v>31284</v>
      </c>
      <c r="P2551" s="4">
        <v>99791</v>
      </c>
      <c r="Q2551" s="4">
        <v>131075</v>
      </c>
      <c r="R2551" s="4">
        <v>393225</v>
      </c>
      <c r="S2551" t="s">
        <v>18876</v>
      </c>
      <c r="T2551" s="6">
        <v>37622</v>
      </c>
      <c r="U2551" s="4">
        <v>235000</v>
      </c>
      <c r="V2551" t="s">
        <v>23739</v>
      </c>
      <c r="W2551" t="s">
        <v>24949</v>
      </c>
      <c r="X2551" t="s">
        <v>3</v>
      </c>
      <c r="AA2551" s="5" t="str">
        <f>HYPERLINK("https://www.zillow.com/homes/1161-WHITEHALL-ST-LOMBARD-IL-60148_rb/","check listing")</f>
        <v>check listing</v>
      </c>
      <c r="AB2551" s="5" t="str">
        <f>HYPERLINK("https://propertylookup.dupagecounty.gov/Datalets/Datalet.aspx?UseSearch=no&amp;mode=sales&amp;pin=0524408005","sales record")</f>
        <v>sales record</v>
      </c>
      <c r="AC2551" t="s">
        <v>3</v>
      </c>
      <c r="AD2551">
        <v>41.846151</v>
      </c>
      <c r="AE2551">
        <v>-88.038279</v>
      </c>
      <c r="AF2551" s="5" t="str">
        <f>HYPERLINK("https://www.google.com/maps/search/?api=1&amp;query=41.846151,-88.038279","map")</f>
        <v>map</v>
      </c>
    </row>
    <row r="2552" spans="1:32">
      <c r="A2552" t="s">
        <v>2602</v>
      </c>
      <c r="B2552" t="s">
        <v>10145</v>
      </c>
      <c r="C2552" t="s">
        <v>15435</v>
      </c>
      <c r="D2552" t="s">
        <v>16205</v>
      </c>
      <c r="E2552" t="s">
        <v>16218</v>
      </c>
      <c r="F2552" t="s">
        <v>16220</v>
      </c>
      <c r="G2552" t="s">
        <v>16266</v>
      </c>
      <c r="H2552" t="s">
        <v>16250</v>
      </c>
      <c r="I2552" t="s">
        <v>16346</v>
      </c>
      <c r="J2552" t="s">
        <v>16385</v>
      </c>
      <c r="K2552">
        <v>0.125</v>
      </c>
      <c r="L2552">
        <v>5457</v>
      </c>
      <c r="M2552">
        <v>1281</v>
      </c>
      <c r="N2552" t="s">
        <v>16393</v>
      </c>
      <c r="O2552" s="4">
        <v>31284</v>
      </c>
      <c r="P2552" s="4">
        <v>101559</v>
      </c>
      <c r="Q2552" s="4">
        <v>132843</v>
      </c>
      <c r="R2552" s="4">
        <v>398529</v>
      </c>
      <c r="S2552" t="s">
        <v>18877</v>
      </c>
      <c r="T2552" s="6">
        <v>32994</v>
      </c>
      <c r="U2552" s="4">
        <v>128000</v>
      </c>
      <c r="X2552" t="s">
        <v>3</v>
      </c>
      <c r="AA2552" s="5" t="str">
        <f>HYPERLINK("https://www.zillow.com/homes/1106-HUNTER-ST-LOMBARD-IL-60148_rb/","check listing")</f>
        <v>check listing</v>
      </c>
      <c r="AB2552" s="5" t="str">
        <f>HYPERLINK("https://propertylookup.dupagecounty.gov/Datalets/Datalet.aspx?UseSearch=no&amp;mode=sales&amp;pin=0524408021","sales record")</f>
        <v>sales record</v>
      </c>
      <c r="AC2552" t="s">
        <v>3</v>
      </c>
      <c r="AD2552">
        <v>41.845541</v>
      </c>
      <c r="AE2552">
        <v>-88.037606</v>
      </c>
      <c r="AF2552" s="5" t="str">
        <f>HYPERLINK("https://www.google.com/maps/search/?api=1&amp;query=41.845541,-88.037606","map")</f>
        <v>map</v>
      </c>
    </row>
    <row r="2553" spans="1:32">
      <c r="A2553" t="s">
        <v>2603</v>
      </c>
      <c r="B2553" t="s">
        <v>10146</v>
      </c>
      <c r="C2553" t="s">
        <v>15435</v>
      </c>
      <c r="D2553" t="s">
        <v>16205</v>
      </c>
      <c r="E2553" t="s">
        <v>16218</v>
      </c>
      <c r="F2553" t="s">
        <v>16220</v>
      </c>
      <c r="G2553" t="s">
        <v>16266</v>
      </c>
      <c r="H2553" t="s">
        <v>16250</v>
      </c>
      <c r="I2553" t="s">
        <v>16346</v>
      </c>
      <c r="J2553" t="s">
        <v>16385</v>
      </c>
      <c r="K2553">
        <v>0.125</v>
      </c>
      <c r="L2553">
        <v>5457</v>
      </c>
      <c r="M2553">
        <v>1797</v>
      </c>
      <c r="N2553" t="s">
        <v>16393</v>
      </c>
      <c r="O2553" s="4">
        <v>31284</v>
      </c>
      <c r="P2553" s="4">
        <v>74422</v>
      </c>
      <c r="Q2553" s="4">
        <v>105706</v>
      </c>
      <c r="R2553" s="4">
        <v>317118</v>
      </c>
      <c r="S2553" t="s">
        <v>18878</v>
      </c>
      <c r="T2553" s="6">
        <v>37530</v>
      </c>
      <c r="U2553" s="4">
        <v>214500</v>
      </c>
      <c r="V2553" t="s">
        <v>23740</v>
      </c>
      <c r="W2553" t="s">
        <v>24950</v>
      </c>
      <c r="X2553" t="s">
        <v>3</v>
      </c>
      <c r="AA2553" s="5" t="str">
        <f>HYPERLINK("https://www.zillow.com/homes/1171-WHITEHALL-ST-LOMBARD-IL-60148_rb/","check listing")</f>
        <v>check listing</v>
      </c>
      <c r="AB2553" s="5" t="str">
        <f>HYPERLINK("https://propertylookup.dupagecounty.gov/Datalets/Datalet.aspx?UseSearch=no&amp;mode=sales&amp;pin=0524408004","sales record")</f>
        <v>sales record</v>
      </c>
      <c r="AC2553" t="s">
        <v>3</v>
      </c>
      <c r="AD2553">
        <v>41.846281</v>
      </c>
      <c r="AE2553">
        <v>-88.038414</v>
      </c>
      <c r="AF2553" s="5" t="str">
        <f>HYPERLINK("https://www.google.com/maps/search/?api=1&amp;query=41.846281,-88.038414","map")</f>
        <v>map</v>
      </c>
    </row>
    <row r="2554" spans="1:32">
      <c r="A2554" t="s">
        <v>2604</v>
      </c>
      <c r="B2554" t="s">
        <v>10147</v>
      </c>
      <c r="C2554" t="s">
        <v>15435</v>
      </c>
      <c r="D2554" t="s">
        <v>16205</v>
      </c>
      <c r="E2554" t="s">
        <v>16218</v>
      </c>
      <c r="F2554" t="s">
        <v>16220</v>
      </c>
      <c r="G2554" t="s">
        <v>16266</v>
      </c>
      <c r="H2554" t="s">
        <v>16250</v>
      </c>
      <c r="I2554" t="s">
        <v>16346</v>
      </c>
      <c r="J2554" t="s">
        <v>16385</v>
      </c>
      <c r="K2554">
        <v>0.125</v>
      </c>
      <c r="L2554">
        <v>5457</v>
      </c>
      <c r="M2554">
        <v>1144</v>
      </c>
      <c r="N2554" t="s">
        <v>16393</v>
      </c>
      <c r="O2554" s="4">
        <v>31284</v>
      </c>
      <c r="P2554" s="4">
        <v>99791</v>
      </c>
      <c r="Q2554" s="4">
        <v>131075</v>
      </c>
      <c r="R2554" s="4">
        <v>393225</v>
      </c>
      <c r="S2554" t="s">
        <v>18879</v>
      </c>
      <c r="T2554" s="6">
        <v>29037</v>
      </c>
      <c r="U2554" s="4">
        <v>77740</v>
      </c>
      <c r="X2554" t="s">
        <v>3</v>
      </c>
      <c r="AA2554" s="5" t="str">
        <f>HYPERLINK("https://www.zillow.com/homes/1181-WHITEHALL-ST-LOMBARD-IL-60148_rb/","check listing")</f>
        <v>check listing</v>
      </c>
      <c r="AB2554" s="5" t="str">
        <f>HYPERLINK("https://propertylookup.dupagecounty.gov/Datalets/Datalet.aspx?UseSearch=no&amp;mode=sales&amp;pin=0524408003","sales record")</f>
        <v>sales record</v>
      </c>
      <c r="AC2554" t="s">
        <v>3</v>
      </c>
      <c r="AD2554">
        <v>41.846411</v>
      </c>
      <c r="AE2554">
        <v>-88.038549</v>
      </c>
      <c r="AF2554" s="5" t="str">
        <f>HYPERLINK("https://www.google.com/maps/search/?api=1&amp;query=41.846411,-88.038549","map")</f>
        <v>map</v>
      </c>
    </row>
    <row r="2555" spans="1:32">
      <c r="A2555" t="s">
        <v>2605</v>
      </c>
      <c r="B2555" t="s">
        <v>10148</v>
      </c>
      <c r="C2555" t="s">
        <v>15435</v>
      </c>
      <c r="D2555" t="s">
        <v>16205</v>
      </c>
      <c r="E2555" t="s">
        <v>16218</v>
      </c>
      <c r="F2555" t="s">
        <v>16220</v>
      </c>
      <c r="G2555" t="s">
        <v>16266</v>
      </c>
      <c r="H2555" t="s">
        <v>16250</v>
      </c>
      <c r="I2555" t="s">
        <v>16346</v>
      </c>
      <c r="J2555" t="s">
        <v>16385</v>
      </c>
      <c r="K2555">
        <v>0.125</v>
      </c>
      <c r="L2555">
        <v>5454</v>
      </c>
      <c r="M2555">
        <v>1700</v>
      </c>
      <c r="N2555" t="s">
        <v>16393</v>
      </c>
      <c r="O2555" s="4">
        <v>31284</v>
      </c>
      <c r="P2555" s="4">
        <v>87549</v>
      </c>
      <c r="Q2555" s="4">
        <v>118833</v>
      </c>
      <c r="R2555" s="4">
        <v>356499</v>
      </c>
      <c r="S2555" t="s">
        <v>18880</v>
      </c>
      <c r="X2555" t="s">
        <v>3</v>
      </c>
      <c r="AA2555" s="5" t="str">
        <f>HYPERLINK("https://www.zillow.com/homes/1050-HUNTER-ST-LOMBARD-IL-60148_rb/","check listing")</f>
        <v>check listing</v>
      </c>
      <c r="AB2555" s="5" t="str">
        <f>HYPERLINK("https://propertylookup.dupagecounty.gov/Datalets/Datalet.aspx?UseSearch=no&amp;mode=sales&amp;pin=0524403012","sales record")</f>
        <v>sales record</v>
      </c>
      <c r="AC2555" t="s">
        <v>3</v>
      </c>
      <c r="AD2555">
        <v>41.845554</v>
      </c>
      <c r="AE2555">
        <v>-88.035557</v>
      </c>
      <c r="AF2555" s="5" t="str">
        <f>HYPERLINK("https://www.google.com/maps/search/?api=1&amp;query=41.845554,-88.035557","map")</f>
        <v>map</v>
      </c>
    </row>
    <row r="2556" spans="1:32">
      <c r="A2556" t="s">
        <v>2606</v>
      </c>
      <c r="B2556" t="s">
        <v>10149</v>
      </c>
      <c r="C2556" t="s">
        <v>15435</v>
      </c>
      <c r="D2556" t="s">
        <v>16205</v>
      </c>
      <c r="E2556" t="s">
        <v>16218</v>
      </c>
      <c r="F2556" t="s">
        <v>16220</v>
      </c>
      <c r="G2556" t="s">
        <v>16266</v>
      </c>
      <c r="H2556" t="s">
        <v>16250</v>
      </c>
      <c r="I2556" t="s">
        <v>16346</v>
      </c>
      <c r="J2556" t="s">
        <v>16385</v>
      </c>
      <c r="K2556">
        <v>0.125</v>
      </c>
      <c r="L2556">
        <v>5432</v>
      </c>
      <c r="M2556">
        <v>1096</v>
      </c>
      <c r="N2556" t="s">
        <v>16393</v>
      </c>
      <c r="O2556" s="4">
        <v>31284</v>
      </c>
      <c r="P2556" s="4">
        <v>101559</v>
      </c>
      <c r="Q2556" s="4">
        <v>132843</v>
      </c>
      <c r="R2556" s="4">
        <v>398529</v>
      </c>
      <c r="S2556" t="s">
        <v>18881</v>
      </c>
      <c r="T2556" s="6">
        <v>45203</v>
      </c>
      <c r="U2556" s="4">
        <v>415000</v>
      </c>
      <c r="V2556" t="s">
        <v>23739</v>
      </c>
      <c r="W2556" t="s">
        <v>24951</v>
      </c>
      <c r="X2556" t="s">
        <v>3</v>
      </c>
      <c r="AA2556" s="5" t="str">
        <f>HYPERLINK("https://www.zillow.com/homes/1081-BEVERLY-CT-LOMBARD-IL-60148_rb/","check listing")</f>
        <v>check listing</v>
      </c>
      <c r="AB2556" s="5" t="str">
        <f>HYPERLINK("https://propertylookup.dupagecounty.gov/Datalets/Datalet.aspx?UseSearch=no&amp;mode=sales&amp;pin=0524403029","sales record")</f>
        <v>sales record</v>
      </c>
      <c r="AC2556" t="s">
        <v>3</v>
      </c>
      <c r="AD2556">
        <v>41.846651</v>
      </c>
      <c r="AE2556">
        <v>-88.035783</v>
      </c>
      <c r="AF2556" s="5" t="str">
        <f>HYPERLINK("https://www.google.com/maps/search/?api=1&amp;query=41.846651,-88.035783","map")</f>
        <v>map</v>
      </c>
    </row>
    <row r="2557" spans="1:32">
      <c r="A2557" t="s">
        <v>2607</v>
      </c>
      <c r="B2557" t="s">
        <v>10150</v>
      </c>
      <c r="C2557" t="s">
        <v>15466</v>
      </c>
      <c r="D2557" t="s">
        <v>16205</v>
      </c>
      <c r="E2557" t="s">
        <v>16218</v>
      </c>
      <c r="F2557" t="s">
        <v>16220</v>
      </c>
      <c r="G2557" t="s">
        <v>16266</v>
      </c>
      <c r="H2557" t="s">
        <v>16250</v>
      </c>
      <c r="I2557" t="s">
        <v>16346</v>
      </c>
      <c r="J2557" t="s">
        <v>16385</v>
      </c>
      <c r="K2557">
        <v>0.125</v>
      </c>
      <c r="L2557">
        <v>5430</v>
      </c>
      <c r="M2557">
        <v>1653</v>
      </c>
      <c r="N2557" t="s">
        <v>16393</v>
      </c>
      <c r="O2557" s="4">
        <v>31284</v>
      </c>
      <c r="P2557" s="4">
        <v>80973</v>
      </c>
      <c r="Q2557" s="4">
        <v>112257</v>
      </c>
      <c r="R2557" s="4">
        <v>336771</v>
      </c>
      <c r="S2557" t="s">
        <v>18882</v>
      </c>
      <c r="T2557" s="6">
        <v>42614</v>
      </c>
      <c r="U2557" s="4">
        <v>250000</v>
      </c>
      <c r="V2557" t="s">
        <v>23739</v>
      </c>
      <c r="W2557" t="s">
        <v>24952</v>
      </c>
      <c r="X2557" t="s">
        <v>3</v>
      </c>
      <c r="AA2557" s="5" t="str">
        <f>HYPERLINK("https://www.zillow.com/homes/1121-WHITEHALL-ST-LOMBARD-IL-601484835_rb/","check listing")</f>
        <v>check listing</v>
      </c>
      <c r="AB2557" s="5" t="str">
        <f>HYPERLINK("https://propertylookup.dupagecounty.gov/Datalets/Datalet.aspx?UseSearch=no&amp;mode=sales&amp;pin=0524408009","sales record")</f>
        <v>sales record</v>
      </c>
      <c r="AC2557" t="s">
        <v>3</v>
      </c>
      <c r="AD2557">
        <v>41.845765</v>
      </c>
      <c r="AE2557">
        <v>-88.037492</v>
      </c>
      <c r="AF2557" s="5" t="str">
        <f>HYPERLINK("https://www.google.com/maps/search/?api=1&amp;query=41.845765,-88.037492","map")</f>
        <v>map</v>
      </c>
    </row>
    <row r="2558" spans="1:32">
      <c r="A2558" t="s">
        <v>2608</v>
      </c>
      <c r="B2558" t="s">
        <v>10151</v>
      </c>
      <c r="C2558" t="s">
        <v>15456</v>
      </c>
      <c r="D2558" t="s">
        <v>16205</v>
      </c>
      <c r="E2558" t="s">
        <v>16218</v>
      </c>
      <c r="F2558" t="s">
        <v>16220</v>
      </c>
      <c r="G2558" t="s">
        <v>16266</v>
      </c>
      <c r="H2558" t="s">
        <v>16250</v>
      </c>
      <c r="I2558" t="s">
        <v>16346</v>
      </c>
      <c r="J2558" t="s">
        <v>16385</v>
      </c>
      <c r="K2558">
        <v>0.124</v>
      </c>
      <c r="L2558">
        <v>5421</v>
      </c>
      <c r="M2558">
        <v>1341</v>
      </c>
      <c r="N2558" t="s">
        <v>16393</v>
      </c>
      <c r="O2558" s="4">
        <v>31284</v>
      </c>
      <c r="P2558" s="4">
        <v>94654</v>
      </c>
      <c r="Q2558" s="4">
        <v>125938</v>
      </c>
      <c r="R2558" s="4">
        <v>377814</v>
      </c>
      <c r="S2558" t="s">
        <v>18883</v>
      </c>
      <c r="T2558" s="6">
        <v>45008</v>
      </c>
      <c r="U2558" s="4">
        <v>435000</v>
      </c>
      <c r="V2558" t="s">
        <v>23739</v>
      </c>
      <c r="W2558" t="s">
        <v>24953</v>
      </c>
      <c r="X2558" t="s">
        <v>3</v>
      </c>
      <c r="AA2558" s="5" t="str">
        <f>HYPERLINK("https://www.zillow.com/homes/1049-BEVERLY-CT-LOMBARD-IL-601484810_rb/","check listing")</f>
        <v>check listing</v>
      </c>
      <c r="AB2558" s="5" t="str">
        <f>HYPERLINK("https://propertylookup.dupagecounty.gov/Datalets/Datalet.aspx?UseSearch=no&amp;mode=sales&amp;pin=0524403033","sales record")</f>
        <v>sales record</v>
      </c>
      <c r="AC2558" t="s">
        <v>3</v>
      </c>
      <c r="AD2558">
        <v>41.84606</v>
      </c>
      <c r="AE2558">
        <v>-88.035394</v>
      </c>
      <c r="AF2558" s="5" t="str">
        <f>HYPERLINK("https://www.google.com/maps/search/?api=1&amp;query=41.84606,-88.035394","map")</f>
        <v>map</v>
      </c>
    </row>
    <row r="2559" spans="1:32">
      <c r="A2559" t="s">
        <v>2609</v>
      </c>
      <c r="B2559" t="s">
        <v>10152</v>
      </c>
      <c r="C2559" t="s">
        <v>15435</v>
      </c>
      <c r="D2559" t="s">
        <v>16205</v>
      </c>
      <c r="E2559" t="s">
        <v>16218</v>
      </c>
      <c r="F2559" t="s">
        <v>16220</v>
      </c>
      <c r="G2559" t="s">
        <v>16266</v>
      </c>
      <c r="H2559" t="s">
        <v>16250</v>
      </c>
      <c r="I2559" t="s">
        <v>16346</v>
      </c>
      <c r="J2559" t="s">
        <v>16385</v>
      </c>
      <c r="K2559">
        <v>0.124</v>
      </c>
      <c r="L2559">
        <v>5388</v>
      </c>
      <c r="M2559">
        <v>1788</v>
      </c>
      <c r="N2559" t="s">
        <v>16393</v>
      </c>
      <c r="O2559" s="4">
        <v>31284</v>
      </c>
      <c r="P2559" s="4">
        <v>86594</v>
      </c>
      <c r="Q2559" s="4">
        <v>117878</v>
      </c>
      <c r="R2559" s="4">
        <v>353634</v>
      </c>
      <c r="S2559" t="s">
        <v>18884</v>
      </c>
      <c r="T2559" s="6">
        <v>45161</v>
      </c>
      <c r="U2559" s="4">
        <v>360000</v>
      </c>
      <c r="V2559" t="s">
        <v>23739</v>
      </c>
      <c r="W2559" t="s">
        <v>24954</v>
      </c>
      <c r="X2559" t="s">
        <v>3</v>
      </c>
      <c r="AA2559" s="5" t="str">
        <f>HYPERLINK("https://www.zillow.com/homes/1000-FOXWORTH-BLVD-LOMBARD-IL-60148_rb/","check listing")</f>
        <v>check listing</v>
      </c>
      <c r="AB2559" s="5" t="str">
        <f>HYPERLINK("https://propertylookup.dupagecounty.gov/Datalets/Datalet.aspx?UseSearch=no&amp;mode=sales&amp;pin=0524402013","sales record")</f>
        <v>sales record</v>
      </c>
      <c r="AC2559" t="s">
        <v>3</v>
      </c>
      <c r="AD2559">
        <v>41.845928</v>
      </c>
      <c r="AE2559">
        <v>-88.033891</v>
      </c>
      <c r="AF2559" s="5" t="str">
        <f>HYPERLINK("https://www.google.com/maps/search/?api=1&amp;query=41.845928,-88.033891","map")</f>
        <v>map</v>
      </c>
    </row>
    <row r="2560" spans="1:32">
      <c r="A2560" t="s">
        <v>2610</v>
      </c>
      <c r="B2560" t="s">
        <v>10153</v>
      </c>
      <c r="C2560" t="s">
        <v>15435</v>
      </c>
      <c r="D2560" t="s">
        <v>16205</v>
      </c>
      <c r="E2560" t="s">
        <v>16218</v>
      </c>
      <c r="F2560" t="s">
        <v>16220</v>
      </c>
      <c r="G2560" t="s">
        <v>16266</v>
      </c>
      <c r="H2560" t="s">
        <v>16250</v>
      </c>
      <c r="I2560" t="s">
        <v>16346</v>
      </c>
      <c r="J2560" t="s">
        <v>16385</v>
      </c>
      <c r="K2560">
        <v>0.121</v>
      </c>
      <c r="L2560">
        <v>5288</v>
      </c>
      <c r="M2560">
        <v>1786</v>
      </c>
      <c r="N2560" t="s">
        <v>16393</v>
      </c>
      <c r="O2560" s="4">
        <v>31284</v>
      </c>
      <c r="P2560" s="4">
        <v>82635</v>
      </c>
      <c r="Q2560" s="4">
        <v>113919</v>
      </c>
      <c r="R2560" s="4">
        <v>341757</v>
      </c>
      <c r="S2560" t="s">
        <v>18885</v>
      </c>
      <c r="T2560" s="6">
        <v>32356</v>
      </c>
      <c r="U2560" s="4">
        <v>126000</v>
      </c>
      <c r="X2560" t="s">
        <v>3</v>
      </c>
      <c r="AA2560" s="5" t="str">
        <f>HYPERLINK("https://www.zillow.com/homes/1088-FOXWORTH-BLVD-LOMBARD-IL-60148_rb/","check listing")</f>
        <v>check listing</v>
      </c>
      <c r="AB2560" s="5" t="str">
        <f>HYPERLINK("https://propertylookup.dupagecounty.gov/Datalets/Datalet.aspx?UseSearch=no&amp;mode=sales&amp;pin=0524402019","sales record")</f>
        <v>sales record</v>
      </c>
      <c r="AC2560" t="s">
        <v>3</v>
      </c>
      <c r="AD2560">
        <v>41.847473</v>
      </c>
      <c r="AE2560">
        <v>-88.03630099999999</v>
      </c>
      <c r="AF2560" s="5" t="str">
        <f>HYPERLINK("https://www.google.com/maps/search/?api=1&amp;query=41.847473,-88.036301","map")</f>
        <v>map</v>
      </c>
    </row>
    <row r="2561" spans="1:32">
      <c r="A2561" t="s">
        <v>2611</v>
      </c>
      <c r="B2561" t="s">
        <v>10154</v>
      </c>
      <c r="C2561" t="s">
        <v>15435</v>
      </c>
      <c r="D2561" t="s">
        <v>16205</v>
      </c>
      <c r="E2561" t="s">
        <v>16218</v>
      </c>
      <c r="F2561" t="s">
        <v>16220</v>
      </c>
      <c r="G2561" t="s">
        <v>16266</v>
      </c>
      <c r="H2561" t="s">
        <v>16250</v>
      </c>
      <c r="I2561" t="s">
        <v>16346</v>
      </c>
      <c r="J2561" t="s">
        <v>16385</v>
      </c>
      <c r="K2561">
        <v>0.121</v>
      </c>
      <c r="L2561">
        <v>5286</v>
      </c>
      <c r="M2561">
        <v>1549</v>
      </c>
      <c r="N2561" t="s">
        <v>16393</v>
      </c>
      <c r="O2561" s="4">
        <v>31284</v>
      </c>
      <c r="P2561" s="4">
        <v>84686</v>
      </c>
      <c r="Q2561" s="4">
        <v>115970</v>
      </c>
      <c r="R2561" s="4">
        <v>347910</v>
      </c>
      <c r="S2561" t="s">
        <v>18886</v>
      </c>
      <c r="T2561" s="6">
        <v>45177</v>
      </c>
      <c r="U2561" s="4">
        <v>350000</v>
      </c>
      <c r="V2561" t="s">
        <v>23741</v>
      </c>
      <c r="W2561" t="s">
        <v>24955</v>
      </c>
      <c r="X2561" t="s">
        <v>3</v>
      </c>
      <c r="AA2561" s="5" t="str">
        <f>HYPERLINK("https://www.zillow.com/homes/1089-FOXWORTH-BLVD-LOMBARD-IL-60148_rb/","check listing")</f>
        <v>check listing</v>
      </c>
      <c r="AB2561" s="5" t="str">
        <f>HYPERLINK("https://propertylookup.dupagecounty.gov/Datalets/Datalet.aspx?UseSearch=no&amp;mode=sales&amp;pin=0524403017","sales record")</f>
        <v>sales record</v>
      </c>
      <c r="AC2561" t="s">
        <v>3</v>
      </c>
      <c r="AD2561">
        <v>41.847105</v>
      </c>
      <c r="AE2561">
        <v>-88.03657699999999</v>
      </c>
      <c r="AF2561" s="5" t="str">
        <f>HYPERLINK("https://www.google.com/maps/search/?api=1&amp;query=41.847105,-88.036577","map")</f>
        <v>map</v>
      </c>
    </row>
    <row r="2562" spans="1:32">
      <c r="A2562" t="s">
        <v>2612</v>
      </c>
      <c r="B2562" t="s">
        <v>10155</v>
      </c>
      <c r="C2562" t="s">
        <v>15435</v>
      </c>
      <c r="D2562" t="s">
        <v>16205</v>
      </c>
      <c r="E2562" t="s">
        <v>16218</v>
      </c>
      <c r="F2562" t="s">
        <v>16220</v>
      </c>
      <c r="G2562" t="s">
        <v>16266</v>
      </c>
      <c r="H2562" t="s">
        <v>16250</v>
      </c>
      <c r="I2562" t="s">
        <v>16346</v>
      </c>
      <c r="J2562" t="s">
        <v>16385</v>
      </c>
      <c r="K2562">
        <v>0.121</v>
      </c>
      <c r="L2562">
        <v>5285</v>
      </c>
      <c r="M2562">
        <v>1818</v>
      </c>
      <c r="N2562" t="s">
        <v>16393</v>
      </c>
      <c r="O2562" s="4">
        <v>31284</v>
      </c>
      <c r="P2562" s="4">
        <v>84686</v>
      </c>
      <c r="Q2562" s="4">
        <v>115970</v>
      </c>
      <c r="R2562" s="4">
        <v>347910</v>
      </c>
      <c r="S2562" t="s">
        <v>18887</v>
      </c>
      <c r="X2562" t="s">
        <v>3</v>
      </c>
      <c r="AA2562" s="5" t="str">
        <f>HYPERLINK("https://www.zillow.com/homes/1069-FOXWORTH-BLVD-LOMBARD-IL-60148_rb/","check listing")</f>
        <v>check listing</v>
      </c>
      <c r="AB2562" s="5" t="str">
        <f>HYPERLINK("https://propertylookup.dupagecounty.gov/Datalets/Datalet.aspx?UseSearch=no&amp;mode=sales&amp;pin=0524403002","sales record")</f>
        <v>sales record</v>
      </c>
      <c r="AC2562" t="s">
        <v>3</v>
      </c>
      <c r="AD2562">
        <v>41.846835</v>
      </c>
      <c r="AE2562">
        <v>-88.03553100000001</v>
      </c>
      <c r="AF2562" s="5" t="str">
        <f>HYPERLINK("https://www.google.com/maps/search/?api=1&amp;query=41.846835,-88.035531","map")</f>
        <v>map</v>
      </c>
    </row>
    <row r="2563" spans="1:32">
      <c r="A2563" t="s">
        <v>2613</v>
      </c>
      <c r="B2563" t="s">
        <v>10156</v>
      </c>
      <c r="C2563" t="s">
        <v>15435</v>
      </c>
      <c r="D2563" t="s">
        <v>16205</v>
      </c>
      <c r="E2563" t="s">
        <v>16218</v>
      </c>
      <c r="F2563" t="s">
        <v>16220</v>
      </c>
      <c r="G2563" t="s">
        <v>16266</v>
      </c>
      <c r="H2563" t="s">
        <v>16250</v>
      </c>
      <c r="I2563" t="s">
        <v>16346</v>
      </c>
      <c r="J2563" t="s">
        <v>16385</v>
      </c>
      <c r="K2563">
        <v>0.12</v>
      </c>
      <c r="L2563">
        <v>5219</v>
      </c>
      <c r="M2563">
        <v>1640</v>
      </c>
      <c r="N2563" t="s">
        <v>16393</v>
      </c>
      <c r="O2563" s="4">
        <v>31284</v>
      </c>
      <c r="P2563" s="4">
        <v>69438</v>
      </c>
      <c r="Q2563" s="4">
        <v>100722</v>
      </c>
      <c r="R2563" s="4">
        <v>302166</v>
      </c>
      <c r="S2563" t="s">
        <v>18888</v>
      </c>
      <c r="T2563" s="6">
        <v>34335</v>
      </c>
      <c r="U2563" s="4">
        <v>118000</v>
      </c>
      <c r="X2563" t="s">
        <v>3</v>
      </c>
      <c r="AA2563" s="5" t="str">
        <f>HYPERLINK("https://www.zillow.com/homes/1104-HUNTER-ST-LOMBARD-IL-60148_rb/","check listing")</f>
        <v>check listing</v>
      </c>
      <c r="AB2563" s="5" t="str">
        <f>HYPERLINK("https://propertylookup.dupagecounty.gov/Datalets/Datalet.aspx?UseSearch=no&amp;mode=sales&amp;pin=0524408022","sales record")</f>
        <v>sales record</v>
      </c>
      <c r="AC2563" t="s">
        <v>3</v>
      </c>
      <c r="AD2563">
        <v>41.845531</v>
      </c>
      <c r="AE2563">
        <v>-88.03737599999999</v>
      </c>
      <c r="AF2563" s="5" t="str">
        <f>HYPERLINK("https://www.google.com/maps/search/?api=1&amp;query=41.845531,-88.037376","map")</f>
        <v>map</v>
      </c>
    </row>
    <row r="2564" spans="1:32">
      <c r="A2564" t="s">
        <v>2614</v>
      </c>
      <c r="B2564" t="s">
        <v>10157</v>
      </c>
      <c r="C2564" t="s">
        <v>15435</v>
      </c>
      <c r="D2564" t="s">
        <v>16205</v>
      </c>
      <c r="E2564" t="s">
        <v>16218</v>
      </c>
      <c r="F2564" t="s">
        <v>16220</v>
      </c>
      <c r="G2564" t="s">
        <v>16266</v>
      </c>
      <c r="H2564" t="s">
        <v>16250</v>
      </c>
      <c r="I2564" t="s">
        <v>16346</v>
      </c>
      <c r="J2564" t="s">
        <v>16385</v>
      </c>
      <c r="K2564">
        <v>0.119</v>
      </c>
      <c r="L2564">
        <v>5205</v>
      </c>
      <c r="M2564">
        <v>1581</v>
      </c>
      <c r="N2564" t="s">
        <v>16393</v>
      </c>
      <c r="O2564" s="4">
        <v>31284</v>
      </c>
      <c r="P2564" s="4">
        <v>80973</v>
      </c>
      <c r="Q2564" s="4">
        <v>112257</v>
      </c>
      <c r="R2564" s="4">
        <v>336771</v>
      </c>
      <c r="S2564" t="s">
        <v>18889</v>
      </c>
      <c r="T2564" s="6">
        <v>40118</v>
      </c>
      <c r="U2564" s="4">
        <v>255000</v>
      </c>
      <c r="V2564" t="s">
        <v>23739</v>
      </c>
      <c r="W2564" t="s">
        <v>24956</v>
      </c>
      <c r="X2564" t="s">
        <v>3</v>
      </c>
      <c r="AA2564" s="5" t="str">
        <f>HYPERLINK("https://www.zillow.com/homes/1127-HUNTER-ST-LOMBARD-IL-60148_rb/","check listing")</f>
        <v>check listing</v>
      </c>
      <c r="AB2564" s="5" t="str">
        <f>HYPERLINK("https://propertylookup.dupagecounty.gov/Datalets/Datalet.aspx?UseSearch=no&amp;mode=sales&amp;pin=0524406014","sales record")</f>
        <v>sales record</v>
      </c>
      <c r="AC2564" t="s">
        <v>3</v>
      </c>
      <c r="AD2564">
        <v>41.846097</v>
      </c>
      <c r="AE2564">
        <v>-88.039351</v>
      </c>
      <c r="AF2564" s="5" t="str">
        <f>HYPERLINK("https://www.google.com/maps/search/?api=1&amp;query=41.846097,-88.039351","map")</f>
        <v>map</v>
      </c>
    </row>
    <row r="2565" spans="1:32">
      <c r="A2565" t="s">
        <v>2615</v>
      </c>
      <c r="B2565" t="s">
        <v>10158</v>
      </c>
      <c r="C2565" t="s">
        <v>15459</v>
      </c>
      <c r="D2565" t="s">
        <v>16205</v>
      </c>
      <c r="E2565" t="s">
        <v>16218</v>
      </c>
      <c r="F2565" t="s">
        <v>16220</v>
      </c>
      <c r="G2565" t="s">
        <v>16266</v>
      </c>
      <c r="H2565" t="s">
        <v>16250</v>
      </c>
      <c r="I2565" t="s">
        <v>16346</v>
      </c>
      <c r="J2565" t="s">
        <v>16385</v>
      </c>
      <c r="K2565">
        <v>0.119</v>
      </c>
      <c r="L2565">
        <v>5192</v>
      </c>
      <c r="M2565">
        <v>1734</v>
      </c>
      <c r="N2565" t="s">
        <v>16393</v>
      </c>
      <c r="O2565" s="4">
        <v>31284</v>
      </c>
      <c r="P2565" s="4">
        <v>93652</v>
      </c>
      <c r="Q2565" s="4">
        <v>124936</v>
      </c>
      <c r="R2565" s="4">
        <v>374808</v>
      </c>
      <c r="S2565" t="s">
        <v>18890</v>
      </c>
      <c r="X2565" t="s">
        <v>3</v>
      </c>
      <c r="AA2565" s="5" t="str">
        <f>HYPERLINK("https://www.zillow.com/homes/1030-FOXWORTH-BLVD-LOMBARD-IL-601484818_rb/","check listing")</f>
        <v>check listing</v>
      </c>
      <c r="AB2565" s="5" t="str">
        <f>HYPERLINK("https://propertylookup.dupagecounty.gov/Datalets/Datalet.aspx?UseSearch=no&amp;mode=sales&amp;pin=0524402008","sales record")</f>
        <v>sales record</v>
      </c>
      <c r="AC2565" t="s">
        <v>3</v>
      </c>
      <c r="AD2565">
        <v>41.846648</v>
      </c>
      <c r="AE2565">
        <v>-88.034449</v>
      </c>
      <c r="AF2565" s="5" t="str">
        <f>HYPERLINK("https://www.google.com/maps/search/?api=1&amp;query=41.846648,-88.034449","map")</f>
        <v>map</v>
      </c>
    </row>
    <row r="2566" spans="1:32">
      <c r="A2566" t="s">
        <v>2616</v>
      </c>
      <c r="B2566" t="s">
        <v>10159</v>
      </c>
      <c r="C2566" t="s">
        <v>15435</v>
      </c>
      <c r="D2566" t="s">
        <v>16205</v>
      </c>
      <c r="E2566" t="s">
        <v>16218</v>
      </c>
      <c r="F2566" t="s">
        <v>16220</v>
      </c>
      <c r="G2566" t="s">
        <v>16266</v>
      </c>
      <c r="H2566" t="s">
        <v>16250</v>
      </c>
      <c r="I2566" t="s">
        <v>16346</v>
      </c>
      <c r="J2566" t="s">
        <v>16385</v>
      </c>
      <c r="K2566">
        <v>0.119</v>
      </c>
      <c r="L2566">
        <v>5178</v>
      </c>
      <c r="M2566">
        <v>1840</v>
      </c>
      <c r="N2566" t="s">
        <v>16393</v>
      </c>
      <c r="O2566" s="4">
        <v>31284</v>
      </c>
      <c r="P2566" s="4">
        <v>79277</v>
      </c>
      <c r="Q2566" s="4">
        <v>110561</v>
      </c>
      <c r="R2566" s="4">
        <v>331683</v>
      </c>
      <c r="S2566" t="s">
        <v>18891</v>
      </c>
      <c r="T2566" s="6">
        <v>30225</v>
      </c>
      <c r="U2566" s="4">
        <v>75250</v>
      </c>
      <c r="X2566" t="s">
        <v>3</v>
      </c>
      <c r="AA2566" s="5" t="str">
        <f>HYPERLINK("https://www.zillow.com/homes/1095-BEVERLY-CT-LOMBARD-IL-60148_rb/","check listing")</f>
        <v>check listing</v>
      </c>
      <c r="AB2566" s="5" t="str">
        <f>HYPERLINK("https://propertylookup.dupagecounty.gov/Datalets/Datalet.aspx?UseSearch=no&amp;mode=sales&amp;pin=0524403027","sales record")</f>
        <v>sales record</v>
      </c>
      <c r="AC2566" t="s">
        <v>3</v>
      </c>
      <c r="AD2566">
        <v>41.846757</v>
      </c>
      <c r="AE2566">
        <v>-88.03621099999999</v>
      </c>
      <c r="AF2566" s="5" t="str">
        <f>HYPERLINK("https://www.google.com/maps/search/?api=1&amp;query=41.846757,-88.036211","map")</f>
        <v>map</v>
      </c>
    </row>
    <row r="2567" spans="1:32">
      <c r="A2567" t="s">
        <v>2617</v>
      </c>
      <c r="B2567" t="s">
        <v>10160</v>
      </c>
      <c r="C2567" t="s">
        <v>15435</v>
      </c>
      <c r="D2567" t="s">
        <v>16205</v>
      </c>
      <c r="E2567" t="s">
        <v>16218</v>
      </c>
      <c r="F2567" t="s">
        <v>16220</v>
      </c>
      <c r="G2567" t="s">
        <v>16266</v>
      </c>
      <c r="H2567" t="s">
        <v>16250</v>
      </c>
      <c r="I2567" t="s">
        <v>16346</v>
      </c>
      <c r="J2567" t="s">
        <v>16385</v>
      </c>
      <c r="K2567">
        <v>0.119</v>
      </c>
      <c r="L2567">
        <v>5171</v>
      </c>
      <c r="M2567">
        <v>1805</v>
      </c>
      <c r="N2567" t="s">
        <v>16393</v>
      </c>
      <c r="O2567" s="4">
        <v>31284</v>
      </c>
      <c r="P2567" s="4">
        <v>80973</v>
      </c>
      <c r="Q2567" s="4">
        <v>112257</v>
      </c>
      <c r="R2567" s="4">
        <v>336771</v>
      </c>
      <c r="S2567" t="s">
        <v>18892</v>
      </c>
      <c r="T2567" s="6">
        <v>36465</v>
      </c>
      <c r="U2567" s="4">
        <v>155000</v>
      </c>
      <c r="X2567" t="s">
        <v>3</v>
      </c>
      <c r="AA2567" s="5" t="str">
        <f>HYPERLINK("https://www.zillow.com/homes/1030-HUNTER-ST-LOMBARD-IL-60148_rb/","check listing")</f>
        <v>check listing</v>
      </c>
      <c r="AB2567" s="5" t="str">
        <f>HYPERLINK("https://propertylookup.dupagecounty.gov/Datalets/Datalet.aspx?UseSearch=no&amp;mode=sales&amp;pin=0524403010","sales record")</f>
        <v>sales record</v>
      </c>
      <c r="AC2567" t="s">
        <v>3</v>
      </c>
      <c r="AD2567">
        <v>41.845758</v>
      </c>
      <c r="AE2567">
        <v>-88.035189</v>
      </c>
      <c r="AF2567" s="5" t="str">
        <f>HYPERLINK("https://www.google.com/maps/search/?api=1&amp;query=41.845758,-88.035189","map")</f>
        <v>map</v>
      </c>
    </row>
    <row r="2568" spans="1:32">
      <c r="A2568" t="s">
        <v>2618</v>
      </c>
      <c r="B2568" t="s">
        <v>10161</v>
      </c>
      <c r="C2568" t="s">
        <v>15435</v>
      </c>
      <c r="D2568" t="s">
        <v>16205</v>
      </c>
      <c r="E2568" t="s">
        <v>16218</v>
      </c>
      <c r="F2568" t="s">
        <v>16220</v>
      </c>
      <c r="G2568" t="s">
        <v>16266</v>
      </c>
      <c r="H2568" t="s">
        <v>16250</v>
      </c>
      <c r="I2568" t="s">
        <v>16346</v>
      </c>
      <c r="J2568" t="s">
        <v>16385</v>
      </c>
      <c r="K2568">
        <v>0.119</v>
      </c>
      <c r="L2568">
        <v>5162</v>
      </c>
      <c r="M2568">
        <v>1746</v>
      </c>
      <c r="N2568" t="s">
        <v>16393</v>
      </c>
      <c r="O2568" s="4">
        <v>31284</v>
      </c>
      <c r="P2568" s="4">
        <v>84686</v>
      </c>
      <c r="Q2568" s="4">
        <v>115970</v>
      </c>
      <c r="R2568" s="4">
        <v>347910</v>
      </c>
      <c r="S2568" t="s">
        <v>18893</v>
      </c>
      <c r="T2568" s="6">
        <v>34213</v>
      </c>
      <c r="U2568" s="4">
        <v>144000</v>
      </c>
      <c r="X2568" t="s">
        <v>3</v>
      </c>
      <c r="AA2568" s="5" t="str">
        <f>HYPERLINK("https://www.zillow.com/homes/1137-HUNTER-ST-LOMBARD-IL-60148_rb/","check listing")</f>
        <v>check listing</v>
      </c>
      <c r="AB2568" s="5" t="str">
        <f>HYPERLINK("https://propertylookup.dupagecounty.gov/Datalets/Datalet.aspx?UseSearch=no&amp;mode=sales&amp;pin=0524406009","sales record")</f>
        <v>sales record</v>
      </c>
      <c r="AC2568" t="s">
        <v>3</v>
      </c>
      <c r="AD2568">
        <v>41.847052</v>
      </c>
      <c r="AE2568">
        <v>-88.039164</v>
      </c>
      <c r="AF2568" s="5" t="str">
        <f>HYPERLINK("https://www.google.com/maps/search/?api=1&amp;query=41.847052,-88.039164","map")</f>
        <v>map</v>
      </c>
    </row>
    <row r="2569" spans="1:32">
      <c r="A2569" t="s">
        <v>2619</v>
      </c>
      <c r="B2569" t="s">
        <v>10162</v>
      </c>
      <c r="C2569" t="s">
        <v>15435</v>
      </c>
      <c r="D2569" t="s">
        <v>16205</v>
      </c>
      <c r="E2569" t="s">
        <v>16218</v>
      </c>
      <c r="F2569" t="s">
        <v>16220</v>
      </c>
      <c r="G2569" t="s">
        <v>16266</v>
      </c>
      <c r="H2569" t="s">
        <v>16250</v>
      </c>
      <c r="I2569" t="s">
        <v>16346</v>
      </c>
      <c r="J2569" t="s">
        <v>16385</v>
      </c>
      <c r="K2569">
        <v>0.118</v>
      </c>
      <c r="L2569">
        <v>5135</v>
      </c>
      <c r="M2569">
        <v>1136</v>
      </c>
      <c r="N2569" t="s">
        <v>16393</v>
      </c>
      <c r="O2569" s="4">
        <v>31284</v>
      </c>
      <c r="P2569" s="4">
        <v>99791</v>
      </c>
      <c r="Q2569" s="4">
        <v>131075</v>
      </c>
      <c r="R2569" s="4">
        <v>393225</v>
      </c>
      <c r="S2569" t="s">
        <v>18894</v>
      </c>
      <c r="T2569" s="6">
        <v>38838</v>
      </c>
      <c r="U2569" s="4">
        <v>295000</v>
      </c>
      <c r="V2569" t="s">
        <v>23739</v>
      </c>
      <c r="W2569" t="s">
        <v>18894</v>
      </c>
      <c r="X2569" t="s">
        <v>3</v>
      </c>
      <c r="AA2569" s="5" t="str">
        <f>HYPERLINK("https://www.zillow.com/homes/1060-HUNTER-ST-LOMBARD-IL-60148_rb/","check listing")</f>
        <v>check listing</v>
      </c>
      <c r="AB2569" s="5" t="str">
        <f>HYPERLINK("https://propertylookup.dupagecounty.gov/Datalets/Datalet.aspx?UseSearch=no&amp;mode=sales&amp;pin=0524403013","sales record")</f>
        <v>sales record</v>
      </c>
      <c r="AC2569" t="s">
        <v>3</v>
      </c>
      <c r="AD2569">
        <v>41.845549</v>
      </c>
      <c r="AE2569">
        <v>-88.03578400000001</v>
      </c>
      <c r="AF2569" s="5" t="str">
        <f>HYPERLINK("https://www.google.com/maps/search/?api=1&amp;query=41.845549,-88.035784","map")</f>
        <v>map</v>
      </c>
    </row>
    <row r="2570" spans="1:32">
      <c r="A2570" t="s">
        <v>2620</v>
      </c>
      <c r="B2570" t="s">
        <v>10163</v>
      </c>
      <c r="C2570" t="s">
        <v>15435</v>
      </c>
      <c r="D2570" t="s">
        <v>16205</v>
      </c>
      <c r="E2570" t="s">
        <v>16218</v>
      </c>
      <c r="F2570" t="s">
        <v>16220</v>
      </c>
      <c r="G2570" t="s">
        <v>16266</v>
      </c>
      <c r="H2570" t="s">
        <v>16250</v>
      </c>
      <c r="I2570" t="s">
        <v>16346</v>
      </c>
      <c r="J2570" t="s">
        <v>16385</v>
      </c>
      <c r="K2570">
        <v>0.118</v>
      </c>
      <c r="L2570">
        <v>5135</v>
      </c>
      <c r="M2570">
        <v>1163</v>
      </c>
      <c r="N2570" t="s">
        <v>16393</v>
      </c>
      <c r="O2570" s="4">
        <v>31284</v>
      </c>
      <c r="P2570" s="4">
        <v>99791</v>
      </c>
      <c r="Q2570" s="4">
        <v>131075</v>
      </c>
      <c r="R2570" s="4">
        <v>393225</v>
      </c>
      <c r="S2570" t="s">
        <v>18895</v>
      </c>
      <c r="T2570" s="6">
        <v>29099</v>
      </c>
      <c r="U2570" s="4">
        <v>83940</v>
      </c>
      <c r="X2570" t="s">
        <v>3</v>
      </c>
      <c r="AA2570" s="5" t="str">
        <f>HYPERLINK("https://www.zillow.com/homes/1080-HUNTER-ST-LOMBARD-IL-60148_rb/","check listing")</f>
        <v>check listing</v>
      </c>
      <c r="AB2570" s="5" t="str">
        <f>HYPERLINK("https://propertylookup.dupagecounty.gov/Datalets/Datalet.aspx?UseSearch=no&amp;mode=sales&amp;pin=0524403046","sales record")</f>
        <v>sales record</v>
      </c>
      <c r="AC2570" t="s">
        <v>3</v>
      </c>
      <c r="AD2570">
        <v>41.845544</v>
      </c>
      <c r="AE2570">
        <v>-88.036225</v>
      </c>
      <c r="AF2570" s="5" t="str">
        <f>HYPERLINK("https://www.google.com/maps/search/?api=1&amp;query=41.845544,-88.036225","map")</f>
        <v>map</v>
      </c>
    </row>
    <row r="2571" spans="1:32">
      <c r="A2571" t="s">
        <v>2621</v>
      </c>
      <c r="B2571" t="s">
        <v>10164</v>
      </c>
      <c r="C2571" t="s">
        <v>15435</v>
      </c>
      <c r="D2571" t="s">
        <v>16205</v>
      </c>
      <c r="E2571" t="s">
        <v>16218</v>
      </c>
      <c r="F2571" t="s">
        <v>16220</v>
      </c>
      <c r="G2571" t="s">
        <v>16266</v>
      </c>
      <c r="H2571" t="s">
        <v>16250</v>
      </c>
      <c r="I2571" t="s">
        <v>16346</v>
      </c>
      <c r="J2571" t="s">
        <v>16385</v>
      </c>
      <c r="K2571">
        <v>0.118</v>
      </c>
      <c r="L2571">
        <v>5133</v>
      </c>
      <c r="M2571">
        <v>1798</v>
      </c>
      <c r="N2571" t="s">
        <v>16393</v>
      </c>
      <c r="O2571" s="4">
        <v>31284</v>
      </c>
      <c r="P2571" s="4">
        <v>86594</v>
      </c>
      <c r="Q2571" s="4">
        <v>117878</v>
      </c>
      <c r="R2571" s="4">
        <v>353634</v>
      </c>
      <c r="S2571" t="s">
        <v>18896</v>
      </c>
      <c r="T2571" s="6">
        <v>45524</v>
      </c>
      <c r="U2571" s="4">
        <v>275000</v>
      </c>
      <c r="V2571" t="s">
        <v>23741</v>
      </c>
      <c r="W2571" t="s">
        <v>24957</v>
      </c>
      <c r="X2571" t="s">
        <v>3</v>
      </c>
      <c r="AA2571" s="5" t="str">
        <f>HYPERLINK("https://www.zillow.com/homes/1070-HUNTER-ST-LOMBARD-IL-60148_rb/","check listing")</f>
        <v>check listing</v>
      </c>
      <c r="AB2571" s="5" t="str">
        <f>HYPERLINK("https://propertylookup.dupagecounty.gov/Datalets/Datalet.aspx?UseSearch=no&amp;mode=sales&amp;pin=0524403047","sales record")</f>
        <v>sales record</v>
      </c>
      <c r="AC2571" t="s">
        <v>3</v>
      </c>
      <c r="AD2571">
        <v>41.845546</v>
      </c>
      <c r="AE2571">
        <v>-88.036005</v>
      </c>
      <c r="AF2571" s="5" t="str">
        <f>HYPERLINK("https://www.google.com/maps/search/?api=1&amp;query=41.845546,-88.036005","map")</f>
        <v>map</v>
      </c>
    </row>
    <row r="2572" spans="1:32">
      <c r="A2572" t="s">
        <v>2622</v>
      </c>
      <c r="B2572" t="s">
        <v>10165</v>
      </c>
      <c r="C2572" t="s">
        <v>15467</v>
      </c>
      <c r="D2572" t="s">
        <v>16205</v>
      </c>
      <c r="E2572" t="s">
        <v>16218</v>
      </c>
      <c r="F2572" t="s">
        <v>16220</v>
      </c>
      <c r="G2572" t="s">
        <v>16266</v>
      </c>
      <c r="H2572" t="s">
        <v>16250</v>
      </c>
      <c r="I2572" t="s">
        <v>16346</v>
      </c>
      <c r="J2572" t="s">
        <v>16385</v>
      </c>
      <c r="K2572">
        <v>0.118</v>
      </c>
      <c r="L2572">
        <v>5131</v>
      </c>
      <c r="M2572">
        <v>1821</v>
      </c>
      <c r="N2572" t="s">
        <v>16393</v>
      </c>
      <c r="O2572" s="4">
        <v>31284</v>
      </c>
      <c r="P2572" s="4">
        <v>87549</v>
      </c>
      <c r="Q2572" s="4">
        <v>118833</v>
      </c>
      <c r="R2572" s="4">
        <v>356499</v>
      </c>
      <c r="S2572" t="s">
        <v>18897</v>
      </c>
      <c r="T2572" s="6">
        <v>43313</v>
      </c>
      <c r="U2572" s="4">
        <v>265000</v>
      </c>
      <c r="V2572" t="s">
        <v>23739</v>
      </c>
      <c r="W2572" t="s">
        <v>24958</v>
      </c>
      <c r="X2572" t="s">
        <v>3</v>
      </c>
      <c r="AA2572" s="5" t="str">
        <f>HYPERLINK("https://www.zillow.com/homes/1949-DOWNING-ST-LOMBARD-IL-601484811_rb/","check listing")</f>
        <v>check listing</v>
      </c>
      <c r="AB2572" s="5" t="str">
        <f>HYPERLINK("https://propertylookup.dupagecounty.gov/Datalets/Datalet.aspx?UseSearch=no&amp;mode=sales&amp;pin=0524403023","sales record")</f>
        <v>sales record</v>
      </c>
      <c r="AC2572" t="s">
        <v>3</v>
      </c>
      <c r="AD2572">
        <v>41.846976</v>
      </c>
      <c r="AE2572">
        <v>-88.037042</v>
      </c>
      <c r="AF2572" s="5" t="str">
        <f>HYPERLINK("https://www.google.com/maps/search/?api=1&amp;query=41.846976,-88.037042","map")</f>
        <v>map</v>
      </c>
    </row>
    <row r="2573" spans="1:32">
      <c r="A2573" t="s">
        <v>2623</v>
      </c>
      <c r="B2573" t="s">
        <v>10166</v>
      </c>
      <c r="C2573" t="s">
        <v>15435</v>
      </c>
      <c r="D2573" t="s">
        <v>16205</v>
      </c>
      <c r="E2573" t="s">
        <v>16218</v>
      </c>
      <c r="F2573" t="s">
        <v>16220</v>
      </c>
      <c r="G2573" t="s">
        <v>16266</v>
      </c>
      <c r="H2573" t="s">
        <v>16250</v>
      </c>
      <c r="I2573" t="s">
        <v>16346</v>
      </c>
      <c r="J2573" t="s">
        <v>16385</v>
      </c>
      <c r="K2573">
        <v>0.117</v>
      </c>
      <c r="L2573">
        <v>5109</v>
      </c>
      <c r="M2573">
        <v>1838</v>
      </c>
      <c r="N2573" t="s">
        <v>16393</v>
      </c>
      <c r="O2573" s="4">
        <v>31284</v>
      </c>
      <c r="P2573" s="4">
        <v>86594</v>
      </c>
      <c r="Q2573" s="4">
        <v>117878</v>
      </c>
      <c r="R2573" s="4">
        <v>353634</v>
      </c>
      <c r="S2573" t="s">
        <v>18898</v>
      </c>
      <c r="T2573" s="6">
        <v>37104</v>
      </c>
      <c r="U2573" s="4">
        <v>187000</v>
      </c>
      <c r="V2573" t="s">
        <v>23739</v>
      </c>
      <c r="W2573" t="s">
        <v>18898</v>
      </c>
      <c r="X2573" t="s">
        <v>3</v>
      </c>
      <c r="AA2573" s="5" t="str">
        <f>HYPERLINK("https://www.zillow.com/homes/1111-WHITEHALL-ST-LOMBARD-IL-60148_rb/","check listing")</f>
        <v>check listing</v>
      </c>
      <c r="AB2573" s="5" t="str">
        <f>HYPERLINK("https://propertylookup.dupagecounty.gov/Datalets/Datalet.aspx?UseSearch=no&amp;mode=sales&amp;pin=0524408010","sales record")</f>
        <v>sales record</v>
      </c>
      <c r="AC2573" t="s">
        <v>3</v>
      </c>
      <c r="AD2573">
        <v>41.845764</v>
      </c>
      <c r="AE2573">
        <v>-88.037263</v>
      </c>
      <c r="AF2573" s="5" t="str">
        <f>HYPERLINK("https://www.google.com/maps/search/?api=1&amp;query=41.845764,-88.037263","map")</f>
        <v>map</v>
      </c>
    </row>
    <row r="2574" spans="1:32">
      <c r="A2574" t="s">
        <v>2624</v>
      </c>
      <c r="B2574" t="s">
        <v>10167</v>
      </c>
      <c r="C2574" t="s">
        <v>15435</v>
      </c>
      <c r="D2574" t="s">
        <v>16205</v>
      </c>
      <c r="E2574" t="s">
        <v>16218</v>
      </c>
      <c r="F2574" t="s">
        <v>16220</v>
      </c>
      <c r="G2574" t="s">
        <v>16266</v>
      </c>
      <c r="H2574" t="s">
        <v>16250</v>
      </c>
      <c r="I2574" t="s">
        <v>16346</v>
      </c>
      <c r="J2574" t="s">
        <v>16385</v>
      </c>
      <c r="K2574">
        <v>0.117</v>
      </c>
      <c r="L2574">
        <v>5102</v>
      </c>
      <c r="M2574">
        <v>1744</v>
      </c>
      <c r="N2574" t="s">
        <v>16393</v>
      </c>
      <c r="O2574" s="4">
        <v>31284</v>
      </c>
      <c r="P2574" s="4">
        <v>84686</v>
      </c>
      <c r="Q2574" s="4">
        <v>115970</v>
      </c>
      <c r="R2574" s="4">
        <v>347910</v>
      </c>
      <c r="S2574" t="s">
        <v>18899</v>
      </c>
      <c r="T2574" s="6">
        <v>38200</v>
      </c>
      <c r="U2574" s="4">
        <v>235000</v>
      </c>
      <c r="V2574" t="s">
        <v>23739</v>
      </c>
      <c r="W2574" t="s">
        <v>18899</v>
      </c>
      <c r="X2574" t="s">
        <v>3</v>
      </c>
      <c r="AA2574" s="5" t="str">
        <f>HYPERLINK("https://www.zillow.com/homes/1123-HUNTER-ST-LOMBARD-IL-60148_rb/","check listing")</f>
        <v>check listing</v>
      </c>
      <c r="AB2574" s="5" t="str">
        <f>HYPERLINK("https://propertylookup.dupagecounty.gov/Datalets/Datalet.aspx?UseSearch=no&amp;mode=sales&amp;pin=0524406016","sales record")</f>
        <v>sales record</v>
      </c>
      <c r="AC2574" t="s">
        <v>3</v>
      </c>
      <c r="AD2574">
        <v>41.845876</v>
      </c>
      <c r="AE2574">
        <v>-88.039058</v>
      </c>
      <c r="AF2574" s="5" t="str">
        <f>HYPERLINK("https://www.google.com/maps/search/?api=1&amp;query=41.845876,-88.039058","map")</f>
        <v>map</v>
      </c>
    </row>
    <row r="2575" spans="1:32">
      <c r="A2575" t="s">
        <v>2625</v>
      </c>
      <c r="B2575" t="s">
        <v>10168</v>
      </c>
      <c r="C2575" t="s">
        <v>15435</v>
      </c>
      <c r="D2575" t="s">
        <v>16205</v>
      </c>
      <c r="E2575" t="s">
        <v>16218</v>
      </c>
      <c r="F2575" t="s">
        <v>16220</v>
      </c>
      <c r="G2575" t="s">
        <v>16266</v>
      </c>
      <c r="H2575" t="s">
        <v>16250</v>
      </c>
      <c r="I2575" t="s">
        <v>16346</v>
      </c>
      <c r="J2575" t="s">
        <v>16385</v>
      </c>
      <c r="K2575">
        <v>0.117</v>
      </c>
      <c r="L2575">
        <v>5102</v>
      </c>
      <c r="M2575">
        <v>1670</v>
      </c>
      <c r="N2575" t="s">
        <v>16393</v>
      </c>
      <c r="O2575" s="4">
        <v>31284</v>
      </c>
      <c r="P2575" s="4">
        <v>88526</v>
      </c>
      <c r="Q2575" s="4">
        <v>119810</v>
      </c>
      <c r="R2575" s="4">
        <v>359430</v>
      </c>
      <c r="S2575" t="s">
        <v>18900</v>
      </c>
      <c r="T2575" s="6">
        <v>32721</v>
      </c>
      <c r="U2575" s="4">
        <v>115000</v>
      </c>
      <c r="X2575" t="s">
        <v>3</v>
      </c>
      <c r="AA2575" s="5" t="str">
        <f>HYPERLINK("https://www.zillow.com/homes/1145-HUNTER-ST-LOMBARD-IL-60148_rb/","check listing")</f>
        <v>check listing</v>
      </c>
      <c r="AB2575" s="5" t="str">
        <f>HYPERLINK("https://propertylookup.dupagecounty.gov/Datalets/Datalet.aspx?UseSearch=no&amp;mode=sales&amp;pin=0524406005","sales record")</f>
        <v>sales record</v>
      </c>
      <c r="AC2575" t="s">
        <v>3</v>
      </c>
      <c r="AD2575">
        <v>41.847384</v>
      </c>
      <c r="AE2575">
        <v>-88.038377</v>
      </c>
      <c r="AF2575" s="5" t="str">
        <f>HYPERLINK("https://www.google.com/maps/search/?api=1&amp;query=41.847384,-88.038377","map")</f>
        <v>map</v>
      </c>
    </row>
    <row r="2576" spans="1:32">
      <c r="A2576" t="s">
        <v>2626</v>
      </c>
      <c r="B2576" t="s">
        <v>10169</v>
      </c>
      <c r="C2576" t="s">
        <v>15435</v>
      </c>
      <c r="D2576" t="s">
        <v>16205</v>
      </c>
      <c r="E2576" t="s">
        <v>16218</v>
      </c>
      <c r="F2576" t="s">
        <v>16220</v>
      </c>
      <c r="G2576" t="s">
        <v>16266</v>
      </c>
      <c r="H2576" t="s">
        <v>16250</v>
      </c>
      <c r="I2576" t="s">
        <v>16346</v>
      </c>
      <c r="J2576" t="s">
        <v>16385</v>
      </c>
      <c r="K2576">
        <v>0.117</v>
      </c>
      <c r="L2576">
        <v>5101</v>
      </c>
      <c r="M2576">
        <v>1452</v>
      </c>
      <c r="N2576" t="s">
        <v>16393</v>
      </c>
      <c r="O2576" s="4">
        <v>31284</v>
      </c>
      <c r="P2576" s="4">
        <v>101559</v>
      </c>
      <c r="Q2576" s="4">
        <v>132843</v>
      </c>
      <c r="R2576" s="4">
        <v>398529</v>
      </c>
      <c r="S2576" t="s">
        <v>18901</v>
      </c>
      <c r="T2576" s="6">
        <v>34121</v>
      </c>
      <c r="U2576" s="4">
        <v>149750</v>
      </c>
      <c r="X2576" t="s">
        <v>3</v>
      </c>
      <c r="AA2576" s="5" t="str">
        <f>HYPERLINK("https://www.zillow.com/homes/1080-FOXWORTH-BLVD-LOMBARD-IL-60148_rb/","check listing")</f>
        <v>check listing</v>
      </c>
      <c r="AB2576" s="5" t="str">
        <f>HYPERLINK("https://propertylookup.dupagecounty.gov/Datalets/Datalet.aspx?UseSearch=no&amp;mode=sales&amp;pin=0524402021","sales record")</f>
        <v>sales record</v>
      </c>
      <c r="AC2576" t="s">
        <v>3</v>
      </c>
      <c r="AD2576">
        <v>41.847364</v>
      </c>
      <c r="AE2576">
        <v>-88.035883</v>
      </c>
      <c r="AF2576" s="5" t="str">
        <f>HYPERLINK("https://www.google.com/maps/search/?api=1&amp;query=41.847364,-88.035883","map")</f>
        <v>map</v>
      </c>
    </row>
    <row r="2577" spans="1:32">
      <c r="A2577" t="s">
        <v>2627</v>
      </c>
      <c r="B2577" t="s">
        <v>10170</v>
      </c>
      <c r="C2577" t="s">
        <v>15435</v>
      </c>
      <c r="D2577" t="s">
        <v>16205</v>
      </c>
      <c r="E2577" t="s">
        <v>16218</v>
      </c>
      <c r="F2577" t="s">
        <v>16220</v>
      </c>
      <c r="G2577" t="s">
        <v>16266</v>
      </c>
      <c r="H2577" t="s">
        <v>16250</v>
      </c>
      <c r="I2577" t="s">
        <v>16346</v>
      </c>
      <c r="J2577" t="s">
        <v>16385</v>
      </c>
      <c r="K2577">
        <v>0.117</v>
      </c>
      <c r="L2577">
        <v>5101</v>
      </c>
      <c r="M2577">
        <v>1646</v>
      </c>
      <c r="N2577" t="s">
        <v>16393</v>
      </c>
      <c r="O2577" s="4">
        <v>31284</v>
      </c>
      <c r="P2577" s="4">
        <v>82635</v>
      </c>
      <c r="Q2577" s="4">
        <v>113919</v>
      </c>
      <c r="R2577" s="4">
        <v>341757</v>
      </c>
      <c r="S2577" t="s">
        <v>18902</v>
      </c>
      <c r="T2577" s="6">
        <v>38687</v>
      </c>
      <c r="U2577" s="4">
        <v>316500</v>
      </c>
      <c r="V2577" t="s">
        <v>23739</v>
      </c>
      <c r="W2577" t="s">
        <v>24959</v>
      </c>
      <c r="X2577" t="s">
        <v>3</v>
      </c>
      <c r="AA2577" s="5" t="str">
        <f>HYPERLINK("https://www.zillow.com/homes/1073-FOXWORTH-BLVD-LOMBARD-IL-60148_rb/","check listing")</f>
        <v>check listing</v>
      </c>
      <c r="AB2577" s="5" t="str">
        <f>HYPERLINK("https://propertylookup.dupagecounty.gov/Datalets/Datalet.aspx?UseSearch=no&amp;mode=sales&amp;pin=0524403001","sales record")</f>
        <v>sales record</v>
      </c>
      <c r="AC2577" t="s">
        <v>3</v>
      </c>
      <c r="AD2577">
        <v>41.84689</v>
      </c>
      <c r="AE2577">
        <v>-88.03574</v>
      </c>
      <c r="AF2577" s="5" t="str">
        <f>HYPERLINK("https://www.google.com/maps/search/?api=1&amp;query=41.84689,-88.03574","map")</f>
        <v>map</v>
      </c>
    </row>
    <row r="2578" spans="1:32">
      <c r="A2578" t="s">
        <v>2628</v>
      </c>
      <c r="B2578" t="s">
        <v>10171</v>
      </c>
      <c r="C2578" t="s">
        <v>15435</v>
      </c>
      <c r="D2578" t="s">
        <v>16205</v>
      </c>
      <c r="E2578" t="s">
        <v>16218</v>
      </c>
      <c r="F2578" t="s">
        <v>16220</v>
      </c>
      <c r="G2578" t="s">
        <v>16266</v>
      </c>
      <c r="H2578" t="s">
        <v>16250</v>
      </c>
      <c r="I2578" t="s">
        <v>16346</v>
      </c>
      <c r="J2578" t="s">
        <v>16385</v>
      </c>
      <c r="K2578">
        <v>0.117</v>
      </c>
      <c r="L2578">
        <v>5101</v>
      </c>
      <c r="M2578">
        <v>1553</v>
      </c>
      <c r="N2578" t="s">
        <v>16393</v>
      </c>
      <c r="O2578" s="4">
        <v>31284</v>
      </c>
      <c r="P2578" s="4">
        <v>70427</v>
      </c>
      <c r="Q2578" s="4">
        <v>101711</v>
      </c>
      <c r="R2578" s="4">
        <v>305133</v>
      </c>
      <c r="S2578" t="s">
        <v>18903</v>
      </c>
      <c r="T2578" s="6">
        <v>41883</v>
      </c>
      <c r="U2578" s="4">
        <v>200000</v>
      </c>
      <c r="V2578" t="s">
        <v>23739</v>
      </c>
      <c r="W2578" t="s">
        <v>24960</v>
      </c>
      <c r="X2578" t="s">
        <v>3</v>
      </c>
      <c r="AA2578" s="5" t="str">
        <f>HYPERLINK("https://www.zillow.com/homes/1172-WHITEHALL-ST-LOMBARD-IL-60148_rb/","check listing")</f>
        <v>check listing</v>
      </c>
      <c r="AB2578" s="5" t="str">
        <f>HYPERLINK("https://propertylookup.dupagecounty.gov/Datalets/Datalet.aspx?UseSearch=no&amp;mode=sales&amp;pin=0524407011","sales record")</f>
        <v>sales record</v>
      </c>
      <c r="AC2578" t="s">
        <v>3</v>
      </c>
      <c r="AD2578">
        <v>41.84658</v>
      </c>
      <c r="AE2578">
        <v>-88.038083</v>
      </c>
      <c r="AF2578" s="5" t="str">
        <f>HYPERLINK("https://www.google.com/maps/search/?api=1&amp;query=41.84658,-88.038083","map")</f>
        <v>map</v>
      </c>
    </row>
    <row r="2579" spans="1:32">
      <c r="A2579" t="s">
        <v>2629</v>
      </c>
      <c r="B2579" t="s">
        <v>10172</v>
      </c>
      <c r="C2579" t="s">
        <v>15435</v>
      </c>
      <c r="D2579" t="s">
        <v>16205</v>
      </c>
      <c r="E2579" t="s">
        <v>16218</v>
      </c>
      <c r="F2579" t="s">
        <v>16220</v>
      </c>
      <c r="G2579" t="s">
        <v>16266</v>
      </c>
      <c r="H2579" t="s">
        <v>16250</v>
      </c>
      <c r="I2579" t="s">
        <v>16346</v>
      </c>
      <c r="J2579" t="s">
        <v>16385</v>
      </c>
      <c r="K2579">
        <v>0.117</v>
      </c>
      <c r="L2579">
        <v>5101</v>
      </c>
      <c r="M2579">
        <v>1571</v>
      </c>
      <c r="N2579" t="s">
        <v>16393</v>
      </c>
      <c r="O2579" s="4">
        <v>31284</v>
      </c>
      <c r="P2579" s="4">
        <v>82635</v>
      </c>
      <c r="Q2579" s="4">
        <v>113919</v>
      </c>
      <c r="R2579" s="4">
        <v>341757</v>
      </c>
      <c r="S2579" t="s">
        <v>18904</v>
      </c>
      <c r="T2579" s="6">
        <v>44754</v>
      </c>
      <c r="U2579" s="4">
        <v>375000</v>
      </c>
      <c r="V2579" t="s">
        <v>23739</v>
      </c>
      <c r="W2579" t="s">
        <v>24961</v>
      </c>
      <c r="X2579" t="s">
        <v>3</v>
      </c>
      <c r="AA2579" s="5" t="str">
        <f>HYPERLINK("https://www.zillow.com/homes/1147-HUNTER-ST-LOMBARD-IL-60148_rb/","check listing")</f>
        <v>check listing</v>
      </c>
      <c r="AB2579" s="5" t="str">
        <f>HYPERLINK("https://propertylookup.dupagecounty.gov/Datalets/Datalet.aspx?UseSearch=no&amp;mode=sales&amp;pin=0524406004","sales record")</f>
        <v>sales record</v>
      </c>
      <c r="AC2579" t="s">
        <v>3</v>
      </c>
      <c r="AD2579">
        <v>41.847423</v>
      </c>
      <c r="AE2579">
        <v>-88.038163</v>
      </c>
      <c r="AF2579" s="5" t="str">
        <f>HYPERLINK("https://www.google.com/maps/search/?api=1&amp;query=41.847423,-88.038163","map")</f>
        <v>map</v>
      </c>
    </row>
    <row r="2580" spans="1:32">
      <c r="A2580" t="s">
        <v>2630</v>
      </c>
      <c r="B2580" t="s">
        <v>10173</v>
      </c>
      <c r="C2580" t="s">
        <v>15435</v>
      </c>
      <c r="D2580" t="s">
        <v>16205</v>
      </c>
      <c r="E2580" t="s">
        <v>16218</v>
      </c>
      <c r="F2580" t="s">
        <v>16220</v>
      </c>
      <c r="G2580" t="s">
        <v>16266</v>
      </c>
      <c r="H2580" t="s">
        <v>16250</v>
      </c>
      <c r="I2580" t="s">
        <v>16346</v>
      </c>
      <c r="J2580" t="s">
        <v>16385</v>
      </c>
      <c r="K2580">
        <v>0.117</v>
      </c>
      <c r="L2580">
        <v>5101</v>
      </c>
      <c r="M2580">
        <v>1470</v>
      </c>
      <c r="N2580" t="s">
        <v>16393</v>
      </c>
      <c r="O2580" s="4">
        <v>31284</v>
      </c>
      <c r="P2580" s="4">
        <v>80973</v>
      </c>
      <c r="Q2580" s="4">
        <v>112257</v>
      </c>
      <c r="R2580" s="4">
        <v>336771</v>
      </c>
      <c r="S2580" t="s">
        <v>18905</v>
      </c>
      <c r="T2580" s="6">
        <v>28915</v>
      </c>
      <c r="U2580" s="4">
        <v>63430</v>
      </c>
      <c r="X2580" t="s">
        <v>3</v>
      </c>
      <c r="AA2580" s="5" t="str">
        <f>HYPERLINK("https://www.zillow.com/homes/1933-DOWNING-ST-LOMBARD-IL-60148_rb/","check listing")</f>
        <v>check listing</v>
      </c>
      <c r="AB2580" s="5" t="str">
        <f>HYPERLINK("https://propertylookup.dupagecounty.gov/Datalets/Datalet.aspx?UseSearch=no&amp;mode=sales&amp;pin=0524403022","sales record")</f>
        <v>sales record</v>
      </c>
      <c r="AC2580" t="s">
        <v>3</v>
      </c>
      <c r="AD2580">
        <v>41.847029</v>
      </c>
      <c r="AE2580">
        <v>-88.03725</v>
      </c>
      <c r="AF2580" s="5" t="str">
        <f>HYPERLINK("https://www.google.com/maps/search/?api=1&amp;query=41.847029,-88.03725","map")</f>
        <v>map</v>
      </c>
    </row>
    <row r="2581" spans="1:32">
      <c r="A2581" t="s">
        <v>2631</v>
      </c>
      <c r="B2581" t="s">
        <v>10174</v>
      </c>
      <c r="C2581" t="s">
        <v>15435</v>
      </c>
      <c r="D2581" t="s">
        <v>16205</v>
      </c>
      <c r="E2581" t="s">
        <v>16218</v>
      </c>
      <c r="F2581" t="s">
        <v>16220</v>
      </c>
      <c r="G2581" t="s">
        <v>16266</v>
      </c>
      <c r="H2581" t="s">
        <v>16250</v>
      </c>
      <c r="I2581" t="s">
        <v>16346</v>
      </c>
      <c r="J2581" t="s">
        <v>16385</v>
      </c>
      <c r="K2581">
        <v>0.117</v>
      </c>
      <c r="L2581">
        <v>5101</v>
      </c>
      <c r="M2581">
        <v>1713</v>
      </c>
      <c r="N2581" t="s">
        <v>16393</v>
      </c>
      <c r="O2581" s="4">
        <v>31284</v>
      </c>
      <c r="P2581" s="4">
        <v>84686</v>
      </c>
      <c r="Q2581" s="4">
        <v>115970</v>
      </c>
      <c r="R2581" s="4">
        <v>347910</v>
      </c>
      <c r="S2581" t="s">
        <v>18906</v>
      </c>
      <c r="T2581" s="6">
        <v>37408</v>
      </c>
      <c r="U2581" s="4">
        <v>195000</v>
      </c>
      <c r="V2581" t="s">
        <v>23739</v>
      </c>
      <c r="W2581" t="s">
        <v>24962</v>
      </c>
      <c r="X2581" t="s">
        <v>3</v>
      </c>
      <c r="AA2581" s="5" t="str">
        <f>HYPERLINK("https://www.zillow.com/homes/1089-BEVERLY-CT-LOMBARD-IL-60148_rb/","check listing")</f>
        <v>check listing</v>
      </c>
      <c r="AB2581" s="5" t="str">
        <f>HYPERLINK("https://propertylookup.dupagecounty.gov/Datalets/Datalet.aspx?UseSearch=no&amp;mode=sales&amp;pin=0524403028","sales record")</f>
        <v>sales record</v>
      </c>
      <c r="AC2581" t="s">
        <v>3</v>
      </c>
      <c r="AD2581">
        <v>41.84671</v>
      </c>
      <c r="AE2581">
        <v>-88.036</v>
      </c>
      <c r="AF2581" s="5" t="str">
        <f>HYPERLINK("https://www.google.com/maps/search/?api=1&amp;query=41.84671,-88.036","map")</f>
        <v>map</v>
      </c>
    </row>
    <row r="2582" spans="1:32">
      <c r="A2582" t="s">
        <v>2632</v>
      </c>
      <c r="B2582" t="s">
        <v>10175</v>
      </c>
      <c r="C2582" t="s">
        <v>15435</v>
      </c>
      <c r="D2582" t="s">
        <v>16205</v>
      </c>
      <c r="E2582" t="s">
        <v>16218</v>
      </c>
      <c r="F2582" t="s">
        <v>16220</v>
      </c>
      <c r="G2582" t="s">
        <v>16266</v>
      </c>
      <c r="H2582" t="s">
        <v>16250</v>
      </c>
      <c r="I2582" t="s">
        <v>16346</v>
      </c>
      <c r="J2582" t="s">
        <v>16385</v>
      </c>
      <c r="K2582">
        <v>0.117</v>
      </c>
      <c r="L2582">
        <v>5100</v>
      </c>
      <c r="M2582">
        <v>1828</v>
      </c>
      <c r="N2582" t="s">
        <v>16393</v>
      </c>
      <c r="O2582" s="4">
        <v>31284</v>
      </c>
      <c r="P2582" s="4">
        <v>95573</v>
      </c>
      <c r="Q2582" s="4">
        <v>126857</v>
      </c>
      <c r="R2582" s="4">
        <v>380571</v>
      </c>
      <c r="S2582" t="s">
        <v>18907</v>
      </c>
      <c r="T2582" s="6">
        <v>42217</v>
      </c>
      <c r="U2582" s="4">
        <v>258000</v>
      </c>
      <c r="V2582" t="s">
        <v>23739</v>
      </c>
      <c r="W2582" t="s">
        <v>24963</v>
      </c>
      <c r="X2582" t="s">
        <v>3</v>
      </c>
      <c r="AA2582" s="5" t="str">
        <f>HYPERLINK("https://www.zillow.com/homes/1081-FOXWORTH-BLVD-LOMBARD-IL-60148_rb/","check listing")</f>
        <v>check listing</v>
      </c>
      <c r="AB2582" s="5" t="str">
        <f>HYPERLINK("https://propertylookup.dupagecounty.gov/Datalets/Datalet.aspx?UseSearch=no&amp;mode=sales&amp;pin=0524403019","sales record")</f>
        <v>sales record</v>
      </c>
      <c r="AC2582" t="s">
        <v>3</v>
      </c>
      <c r="AD2582">
        <v>41.846996</v>
      </c>
      <c r="AE2582">
        <v>-88.036157</v>
      </c>
      <c r="AF2582" s="5" t="str">
        <f>HYPERLINK("https://www.google.com/maps/search/?api=1&amp;query=41.846996,-88.036157","map")</f>
        <v>map</v>
      </c>
    </row>
    <row r="2583" spans="1:32">
      <c r="A2583" t="s">
        <v>2633</v>
      </c>
      <c r="B2583" t="s">
        <v>10176</v>
      </c>
      <c r="C2583" t="s">
        <v>15435</v>
      </c>
      <c r="D2583" t="s">
        <v>16205</v>
      </c>
      <c r="E2583" t="s">
        <v>16218</v>
      </c>
      <c r="F2583" t="s">
        <v>16220</v>
      </c>
      <c r="G2583" t="s">
        <v>16266</v>
      </c>
      <c r="H2583" t="s">
        <v>16250</v>
      </c>
      <c r="I2583" t="s">
        <v>16346</v>
      </c>
      <c r="J2583" t="s">
        <v>16385</v>
      </c>
      <c r="K2583">
        <v>0.117</v>
      </c>
      <c r="L2583">
        <v>5100</v>
      </c>
      <c r="M2583">
        <v>1159</v>
      </c>
      <c r="N2583" t="s">
        <v>16393</v>
      </c>
      <c r="O2583" s="4">
        <v>31284</v>
      </c>
      <c r="P2583" s="4">
        <v>101559</v>
      </c>
      <c r="Q2583" s="4">
        <v>132843</v>
      </c>
      <c r="R2583" s="4">
        <v>398529</v>
      </c>
      <c r="S2583" t="s">
        <v>18908</v>
      </c>
      <c r="T2583" s="6">
        <v>36739</v>
      </c>
      <c r="U2583" s="4">
        <v>200000</v>
      </c>
      <c r="V2583" t="s">
        <v>23739</v>
      </c>
      <c r="W2583" t="s">
        <v>24964</v>
      </c>
      <c r="X2583" t="s">
        <v>3</v>
      </c>
      <c r="AA2583" s="5" t="str">
        <f>HYPERLINK("https://www.zillow.com/homes/1125-HUNTER-ST-LOMBARD-IL-60148_rb/","check listing")</f>
        <v>check listing</v>
      </c>
      <c r="AB2583" s="5" t="str">
        <f>HYPERLINK("https://propertylookup.dupagecounty.gov/Datalets/Datalet.aspx?UseSearch=no&amp;mode=sales&amp;pin=0524406015","sales record")</f>
        <v>sales record</v>
      </c>
      <c r="AC2583" t="s">
        <v>3</v>
      </c>
      <c r="AD2583">
        <v>41.846006</v>
      </c>
      <c r="AE2583">
        <v>-88.039193</v>
      </c>
      <c r="AF2583" s="5" t="str">
        <f>HYPERLINK("https://www.google.com/maps/search/?api=1&amp;query=41.846006,-88.039193","map")</f>
        <v>map</v>
      </c>
    </row>
    <row r="2584" spans="1:32">
      <c r="A2584" t="s">
        <v>2634</v>
      </c>
      <c r="B2584" t="s">
        <v>10177</v>
      </c>
      <c r="C2584" t="s">
        <v>15435</v>
      </c>
      <c r="D2584" t="s">
        <v>16205</v>
      </c>
      <c r="E2584" t="s">
        <v>16218</v>
      </c>
      <c r="F2584" t="s">
        <v>16220</v>
      </c>
      <c r="G2584" t="s">
        <v>16266</v>
      </c>
      <c r="H2584" t="s">
        <v>16250</v>
      </c>
      <c r="I2584" t="s">
        <v>16346</v>
      </c>
      <c r="J2584" t="s">
        <v>16385</v>
      </c>
      <c r="K2584">
        <v>0.117</v>
      </c>
      <c r="L2584">
        <v>5100</v>
      </c>
      <c r="M2584">
        <v>1468</v>
      </c>
      <c r="N2584" t="s">
        <v>16393</v>
      </c>
      <c r="O2584" s="4">
        <v>31284</v>
      </c>
      <c r="P2584" s="4">
        <v>84686</v>
      </c>
      <c r="Q2584" s="4">
        <v>115970</v>
      </c>
      <c r="R2584" s="4">
        <v>347910</v>
      </c>
      <c r="S2584" t="s">
        <v>18909</v>
      </c>
      <c r="T2584" s="6">
        <v>35278</v>
      </c>
      <c r="U2584" s="4">
        <v>144000</v>
      </c>
      <c r="X2584" t="s">
        <v>3</v>
      </c>
      <c r="AA2584" s="5" t="str">
        <f>HYPERLINK("https://www.zillow.com/homes/1121-HUNTER-ST-LOMBARD-IL-60148_rb/","check listing")</f>
        <v>check listing</v>
      </c>
      <c r="AB2584" s="5" t="str">
        <f>HYPERLINK("https://propertylookup.dupagecounty.gov/Datalets/Datalet.aspx?UseSearch=no&amp;mode=sales&amp;pin=0524406017","sales record")</f>
        <v>sales record</v>
      </c>
      <c r="AC2584" t="s">
        <v>3</v>
      </c>
      <c r="AD2584">
        <v>41.845746</v>
      </c>
      <c r="AE2584">
        <v>-88.038922</v>
      </c>
      <c r="AF2584" s="5" t="str">
        <f>HYPERLINK("https://www.google.com/maps/search/?api=1&amp;query=41.845746,-88.038922","map")</f>
        <v>map</v>
      </c>
    </row>
    <row r="2585" spans="1:32">
      <c r="A2585" t="s">
        <v>2635</v>
      </c>
      <c r="B2585" t="s">
        <v>10178</v>
      </c>
      <c r="C2585" t="s">
        <v>15435</v>
      </c>
      <c r="D2585" t="s">
        <v>16205</v>
      </c>
      <c r="E2585" t="s">
        <v>16218</v>
      </c>
      <c r="F2585" t="s">
        <v>16220</v>
      </c>
      <c r="G2585" t="s">
        <v>16266</v>
      </c>
      <c r="H2585" t="s">
        <v>16250</v>
      </c>
      <c r="I2585" t="s">
        <v>16346</v>
      </c>
      <c r="J2585" t="s">
        <v>16385</v>
      </c>
      <c r="K2585">
        <v>0.117</v>
      </c>
      <c r="L2585">
        <v>5099</v>
      </c>
      <c r="M2585">
        <v>1678</v>
      </c>
      <c r="N2585" t="s">
        <v>16393</v>
      </c>
      <c r="O2585" s="4">
        <v>31284</v>
      </c>
      <c r="P2585" s="4">
        <v>80973</v>
      </c>
      <c r="Q2585" s="4">
        <v>112257</v>
      </c>
      <c r="R2585" s="4">
        <v>336771</v>
      </c>
      <c r="S2585" t="s">
        <v>18910</v>
      </c>
      <c r="T2585" s="6">
        <v>45355</v>
      </c>
      <c r="U2585" s="4">
        <v>385000</v>
      </c>
      <c r="V2585" t="s">
        <v>23739</v>
      </c>
      <c r="W2585" t="s">
        <v>24965</v>
      </c>
      <c r="X2585" t="s">
        <v>3</v>
      </c>
      <c r="AA2585" s="5" t="str">
        <f>HYPERLINK("https://www.zillow.com/homes/1190-WHITEHALL-ST-LOMBARD-IL-60148_rb/","check listing")</f>
        <v>check listing</v>
      </c>
      <c r="AB2585" s="5" t="str">
        <f>HYPERLINK("https://propertylookup.dupagecounty.gov/Datalets/Datalet.aspx?UseSearch=no&amp;mode=sales&amp;pin=0524407009","sales record")</f>
        <v>sales record</v>
      </c>
      <c r="AC2585" t="s">
        <v>3</v>
      </c>
      <c r="AD2585">
        <v>41.84684</v>
      </c>
      <c r="AE2585">
        <v>-88.038353</v>
      </c>
      <c r="AF2585" s="5" t="str">
        <f>HYPERLINK("https://www.google.com/maps/search/?api=1&amp;query=41.84684,-88.038353","map")</f>
        <v>map</v>
      </c>
    </row>
    <row r="2586" spans="1:32">
      <c r="A2586" t="s">
        <v>2636</v>
      </c>
      <c r="B2586" t="s">
        <v>10179</v>
      </c>
      <c r="C2586" t="s">
        <v>15435</v>
      </c>
      <c r="D2586" t="s">
        <v>16205</v>
      </c>
      <c r="E2586" t="s">
        <v>16218</v>
      </c>
      <c r="F2586" t="s">
        <v>16220</v>
      </c>
      <c r="G2586" t="s">
        <v>16266</v>
      </c>
      <c r="H2586" t="s">
        <v>16250</v>
      </c>
      <c r="I2586" t="s">
        <v>16346</v>
      </c>
      <c r="J2586" t="s">
        <v>16385</v>
      </c>
      <c r="K2586">
        <v>0.117</v>
      </c>
      <c r="L2586">
        <v>5099</v>
      </c>
      <c r="M2586">
        <v>1694</v>
      </c>
      <c r="N2586" t="s">
        <v>16393</v>
      </c>
      <c r="O2586" s="4">
        <v>31284</v>
      </c>
      <c r="P2586" s="4">
        <v>75412</v>
      </c>
      <c r="Q2586" s="4">
        <v>106696</v>
      </c>
      <c r="R2586" s="4">
        <v>320088</v>
      </c>
      <c r="S2586" t="s">
        <v>18911</v>
      </c>
      <c r="T2586" s="6">
        <v>28856</v>
      </c>
      <c r="U2586" s="4">
        <v>65140</v>
      </c>
      <c r="X2586" t="s">
        <v>3</v>
      </c>
      <c r="AA2586" s="5" t="str">
        <f>HYPERLINK("https://www.zillow.com/homes/1084-FOXWORTH-BLVD-LOMBARD-IL-60148_rb/","check listing")</f>
        <v>check listing</v>
      </c>
      <c r="AB2586" s="5" t="str">
        <f>HYPERLINK("https://propertylookup.dupagecounty.gov/Datalets/Datalet.aspx?UseSearch=no&amp;mode=sales&amp;pin=0524402020","sales record")</f>
        <v>sales record</v>
      </c>
      <c r="AC2586" t="s">
        <v>3</v>
      </c>
      <c r="AD2586">
        <v>41.847417</v>
      </c>
      <c r="AE2586">
        <v>-88.036091</v>
      </c>
      <c r="AF2586" s="5" t="str">
        <f>HYPERLINK("https://www.google.com/maps/search/?api=1&amp;query=41.847417,-88.036091","map")</f>
        <v>map</v>
      </c>
    </row>
    <row r="2587" spans="1:32">
      <c r="A2587" t="s">
        <v>2637</v>
      </c>
      <c r="B2587" t="s">
        <v>10180</v>
      </c>
      <c r="C2587" t="s">
        <v>15435</v>
      </c>
      <c r="D2587" t="s">
        <v>16205</v>
      </c>
      <c r="E2587" t="s">
        <v>16218</v>
      </c>
      <c r="F2587" t="s">
        <v>16220</v>
      </c>
      <c r="G2587" t="s">
        <v>16266</v>
      </c>
      <c r="H2587" t="s">
        <v>16250</v>
      </c>
      <c r="I2587" t="s">
        <v>16346</v>
      </c>
      <c r="J2587" t="s">
        <v>16385</v>
      </c>
      <c r="K2587">
        <v>0.117</v>
      </c>
      <c r="L2587">
        <v>5099</v>
      </c>
      <c r="M2587">
        <v>1640</v>
      </c>
      <c r="N2587" t="s">
        <v>16393</v>
      </c>
      <c r="O2587" s="4">
        <v>31284</v>
      </c>
      <c r="P2587" s="4">
        <v>82635</v>
      </c>
      <c r="Q2587" s="4">
        <v>113919</v>
      </c>
      <c r="R2587" s="4">
        <v>341757</v>
      </c>
      <c r="S2587" t="s">
        <v>18912</v>
      </c>
      <c r="T2587" s="6">
        <v>34486</v>
      </c>
      <c r="U2587" s="4">
        <v>147000</v>
      </c>
      <c r="X2587" t="s">
        <v>3</v>
      </c>
      <c r="AA2587" s="5" t="str">
        <f>HYPERLINK("https://www.zillow.com/homes/1076-FOXWORTH-BLVD-LOMBARD-IL-60148_rb/","check listing")</f>
        <v>check listing</v>
      </c>
      <c r="AB2587" s="5" t="str">
        <f>HYPERLINK("https://propertylookup.dupagecounty.gov/Datalets/Datalet.aspx?UseSearch=no&amp;mode=sales&amp;pin=0524402022","sales record")</f>
        <v>sales record</v>
      </c>
      <c r="AC2587" t="s">
        <v>3</v>
      </c>
      <c r="AD2587">
        <v>41.847311</v>
      </c>
      <c r="AE2587">
        <v>-88.035674</v>
      </c>
      <c r="AF2587" s="5" t="str">
        <f>HYPERLINK("https://www.google.com/maps/search/?api=1&amp;query=41.847311,-88.035674","map")</f>
        <v>map</v>
      </c>
    </row>
    <row r="2588" spans="1:32">
      <c r="A2588" t="s">
        <v>2638</v>
      </c>
      <c r="B2588" t="s">
        <v>10181</v>
      </c>
      <c r="C2588" t="s">
        <v>15435</v>
      </c>
      <c r="D2588" t="s">
        <v>16205</v>
      </c>
      <c r="E2588" t="s">
        <v>16218</v>
      </c>
      <c r="F2588" t="s">
        <v>16220</v>
      </c>
      <c r="G2588" t="s">
        <v>16266</v>
      </c>
      <c r="H2588" t="s">
        <v>16250</v>
      </c>
      <c r="I2588" t="s">
        <v>16346</v>
      </c>
      <c r="J2588" t="s">
        <v>16385</v>
      </c>
      <c r="K2588">
        <v>0.117</v>
      </c>
      <c r="L2588">
        <v>5099</v>
      </c>
      <c r="M2588">
        <v>1154</v>
      </c>
      <c r="N2588" t="s">
        <v>16393</v>
      </c>
      <c r="O2588" s="4">
        <v>28150</v>
      </c>
      <c r="P2588" s="4">
        <v>103562</v>
      </c>
      <c r="Q2588" s="4">
        <v>131712</v>
      </c>
      <c r="R2588" s="4">
        <v>395136</v>
      </c>
      <c r="S2588" t="s">
        <v>18913</v>
      </c>
      <c r="T2588" s="6">
        <v>32448</v>
      </c>
      <c r="U2588" s="4">
        <v>129000</v>
      </c>
      <c r="X2588" t="s">
        <v>3</v>
      </c>
      <c r="AA2588" s="5" t="str">
        <f>HYPERLINK("https://www.zillow.com/homes/1160-WHITEHALL-ST-LOMBARD-IL-60148_rb/","check listing")</f>
        <v>check listing</v>
      </c>
      <c r="AB2588" s="5" t="str">
        <f>HYPERLINK("https://propertylookup.dupagecounty.gov/Datalets/Datalet.aspx?UseSearch=no&amp;mode=sales&amp;pin=0524407012","sales record")</f>
        <v>sales record</v>
      </c>
      <c r="AC2588" t="s">
        <v>3</v>
      </c>
      <c r="AD2588">
        <v>41.84645</v>
      </c>
      <c r="AE2588">
        <v>-88.037948</v>
      </c>
      <c r="AF2588" s="5" t="str">
        <f>HYPERLINK("https://www.google.com/maps/search/?api=1&amp;query=41.84645,-88.037948","map")</f>
        <v>map</v>
      </c>
    </row>
    <row r="2589" spans="1:32">
      <c r="A2589" t="s">
        <v>2639</v>
      </c>
      <c r="B2589" t="s">
        <v>10182</v>
      </c>
      <c r="C2589" t="s">
        <v>15435</v>
      </c>
      <c r="D2589" t="s">
        <v>16205</v>
      </c>
      <c r="E2589" t="s">
        <v>16218</v>
      </c>
      <c r="F2589" t="s">
        <v>16220</v>
      </c>
      <c r="G2589" t="s">
        <v>16266</v>
      </c>
      <c r="H2589" t="s">
        <v>16250</v>
      </c>
      <c r="I2589" t="s">
        <v>16346</v>
      </c>
      <c r="J2589" t="s">
        <v>16385</v>
      </c>
      <c r="K2589">
        <v>0.117</v>
      </c>
      <c r="L2589">
        <v>5099</v>
      </c>
      <c r="M2589">
        <v>1835</v>
      </c>
      <c r="N2589" t="s">
        <v>16393</v>
      </c>
      <c r="O2589" s="4">
        <v>31284</v>
      </c>
      <c r="P2589" s="4">
        <v>80372</v>
      </c>
      <c r="Q2589" s="4">
        <v>111656</v>
      </c>
      <c r="R2589" s="4">
        <v>334968</v>
      </c>
      <c r="S2589" t="s">
        <v>18914</v>
      </c>
      <c r="T2589" s="6">
        <v>42614</v>
      </c>
      <c r="U2589" s="4">
        <v>239000</v>
      </c>
      <c r="V2589" t="s">
        <v>23739</v>
      </c>
      <c r="W2589" t="s">
        <v>18914</v>
      </c>
      <c r="X2589" t="s">
        <v>3</v>
      </c>
      <c r="AA2589" s="5" t="str">
        <f>HYPERLINK("https://www.zillow.com/homes/1139-HUNTER-ST-LOMBARD-IL-60148_rb/","check listing")</f>
        <v>check listing</v>
      </c>
      <c r="AB2589" s="5" t="str">
        <f>HYPERLINK("https://propertylookup.dupagecounty.gov/Datalets/Datalet.aspx?UseSearch=no&amp;mode=sales&amp;pin=0524406008","sales record")</f>
        <v>sales record</v>
      </c>
      <c r="AC2589" t="s">
        <v>3</v>
      </c>
      <c r="AD2589">
        <v>41.847155</v>
      </c>
      <c r="AE2589">
        <v>-88.038989</v>
      </c>
      <c r="AF2589" s="5" t="str">
        <f>HYPERLINK("https://www.google.com/maps/search/?api=1&amp;query=41.847155,-88.038989","map")</f>
        <v>map</v>
      </c>
    </row>
    <row r="2590" spans="1:32">
      <c r="A2590" t="s">
        <v>2640</v>
      </c>
      <c r="B2590" t="s">
        <v>10183</v>
      </c>
      <c r="C2590" t="s">
        <v>15435</v>
      </c>
      <c r="D2590" t="s">
        <v>16205</v>
      </c>
      <c r="E2590" t="s">
        <v>16218</v>
      </c>
      <c r="F2590" t="s">
        <v>16220</v>
      </c>
      <c r="G2590" t="s">
        <v>16266</v>
      </c>
      <c r="H2590" t="s">
        <v>16250</v>
      </c>
      <c r="I2590" t="s">
        <v>16346</v>
      </c>
      <c r="J2590" t="s">
        <v>16385</v>
      </c>
      <c r="K2590">
        <v>0.117</v>
      </c>
      <c r="L2590">
        <v>5099</v>
      </c>
      <c r="M2590">
        <v>1144</v>
      </c>
      <c r="N2590" t="s">
        <v>16393</v>
      </c>
      <c r="O2590" s="4">
        <v>31284</v>
      </c>
      <c r="P2590" s="4">
        <v>99791</v>
      </c>
      <c r="Q2590" s="4">
        <v>131075</v>
      </c>
      <c r="R2590" s="4">
        <v>393225</v>
      </c>
      <c r="S2590" t="s">
        <v>18915</v>
      </c>
      <c r="T2590" s="6">
        <v>28795</v>
      </c>
      <c r="U2590" s="4">
        <v>72720</v>
      </c>
      <c r="X2590" t="s">
        <v>3</v>
      </c>
      <c r="AA2590" s="5" t="str">
        <f>HYPERLINK("https://www.zillow.com/homes/1077-FOXWORTH-BLVD-LOMBARD-IL-60148_rb/","check listing")</f>
        <v>check listing</v>
      </c>
      <c r="AB2590" s="5" t="str">
        <f>HYPERLINK("https://propertylookup.dupagecounty.gov/Datalets/Datalet.aspx?UseSearch=no&amp;mode=sales&amp;pin=0524403020","sales record")</f>
        <v>sales record</v>
      </c>
      <c r="AC2590" t="s">
        <v>3</v>
      </c>
      <c r="AD2590">
        <v>41.846943</v>
      </c>
      <c r="AE2590">
        <v>-88.035948</v>
      </c>
      <c r="AF2590" s="5" t="str">
        <f>HYPERLINK("https://www.google.com/maps/search/?api=1&amp;query=41.846943,-88.035948","map")</f>
        <v>map</v>
      </c>
    </row>
    <row r="2591" spans="1:32">
      <c r="A2591" t="s">
        <v>2641</v>
      </c>
      <c r="B2591" t="s">
        <v>10184</v>
      </c>
      <c r="C2591" t="s">
        <v>15435</v>
      </c>
      <c r="D2591" t="s">
        <v>16205</v>
      </c>
      <c r="E2591" t="s">
        <v>16218</v>
      </c>
      <c r="F2591" t="s">
        <v>16220</v>
      </c>
      <c r="G2591" t="s">
        <v>16266</v>
      </c>
      <c r="H2591" t="s">
        <v>16250</v>
      </c>
      <c r="I2591" t="s">
        <v>16346</v>
      </c>
      <c r="J2591" t="s">
        <v>16385</v>
      </c>
      <c r="K2591">
        <v>0.117</v>
      </c>
      <c r="L2591">
        <v>5099</v>
      </c>
      <c r="M2591">
        <v>999</v>
      </c>
      <c r="N2591" t="s">
        <v>16393</v>
      </c>
      <c r="O2591" s="4">
        <v>31284</v>
      </c>
      <c r="P2591" s="4">
        <v>92862</v>
      </c>
      <c r="Q2591" s="4">
        <v>124146</v>
      </c>
      <c r="R2591" s="4">
        <v>372438</v>
      </c>
      <c r="S2591" t="s">
        <v>18916</v>
      </c>
      <c r="T2591" s="6">
        <v>37926</v>
      </c>
      <c r="U2591" s="4">
        <v>235000</v>
      </c>
      <c r="V2591" t="s">
        <v>23740</v>
      </c>
      <c r="W2591" t="s">
        <v>24966</v>
      </c>
      <c r="X2591" t="s">
        <v>3</v>
      </c>
      <c r="AA2591" s="5" t="str">
        <f>HYPERLINK("https://www.zillow.com/homes/1184-WHITEHALL-ST-LOMBARD-IL-60148_rb/","check listing")</f>
        <v>check listing</v>
      </c>
      <c r="AB2591" s="5" t="str">
        <f>HYPERLINK("https://propertylookup.dupagecounty.gov/Datalets/Datalet.aspx?UseSearch=no&amp;mode=sales&amp;pin=0524407010","sales record")</f>
        <v>sales record</v>
      </c>
      <c r="AC2591" t="s">
        <v>3</v>
      </c>
      <c r="AD2591">
        <v>41.84671</v>
      </c>
      <c r="AE2591">
        <v>-88.038218</v>
      </c>
      <c r="AF2591" s="5" t="str">
        <f>HYPERLINK("https://www.google.com/maps/search/?api=1&amp;query=41.84671,-88.038218","map")</f>
        <v>map</v>
      </c>
    </row>
    <row r="2592" spans="1:32">
      <c r="A2592" t="s">
        <v>2642</v>
      </c>
      <c r="B2592" t="s">
        <v>10185</v>
      </c>
      <c r="C2592" t="s">
        <v>15435</v>
      </c>
      <c r="D2592" t="s">
        <v>16205</v>
      </c>
      <c r="E2592" t="s">
        <v>16218</v>
      </c>
      <c r="F2592" t="s">
        <v>16220</v>
      </c>
      <c r="G2592" t="s">
        <v>16266</v>
      </c>
      <c r="H2592" t="s">
        <v>16250</v>
      </c>
      <c r="I2592" t="s">
        <v>16346</v>
      </c>
      <c r="J2592" t="s">
        <v>16385</v>
      </c>
      <c r="K2592">
        <v>0.117</v>
      </c>
      <c r="L2592">
        <v>5098</v>
      </c>
      <c r="M2592">
        <v>1656</v>
      </c>
      <c r="N2592" t="s">
        <v>16393</v>
      </c>
      <c r="O2592" s="4">
        <v>31284</v>
      </c>
      <c r="P2592" s="4">
        <v>84686</v>
      </c>
      <c r="Q2592" s="4">
        <v>115970</v>
      </c>
      <c r="R2592" s="4">
        <v>347910</v>
      </c>
      <c r="S2592" t="s">
        <v>18917</v>
      </c>
      <c r="T2592" s="6">
        <v>36465</v>
      </c>
      <c r="U2592" s="4">
        <v>163000</v>
      </c>
      <c r="X2592" t="s">
        <v>3</v>
      </c>
      <c r="AA2592" s="5" t="str">
        <f>HYPERLINK("https://www.zillow.com/homes/1102-HUNTER-ST-LOMBARD-IL-60148_rb/","check listing")</f>
        <v>check listing</v>
      </c>
      <c r="AB2592" s="5" t="str">
        <f>HYPERLINK("https://propertylookup.dupagecounty.gov/Datalets/Datalet.aspx?UseSearch=no&amp;mode=sales&amp;pin=0524408023","sales record")</f>
        <v>sales record</v>
      </c>
      <c r="AC2592" t="s">
        <v>3</v>
      </c>
      <c r="AD2592">
        <v>41.845532</v>
      </c>
      <c r="AE2592">
        <v>-88.037153</v>
      </c>
      <c r="AF2592" s="5" t="str">
        <f>HYPERLINK("https://www.google.com/maps/search/?api=1&amp;query=41.845532,-88.037153","map")</f>
        <v>map</v>
      </c>
    </row>
    <row r="2593" spans="1:32">
      <c r="A2593" t="s">
        <v>2643</v>
      </c>
      <c r="B2593" t="s">
        <v>10186</v>
      </c>
      <c r="C2593" t="s">
        <v>15459</v>
      </c>
      <c r="D2593" t="s">
        <v>16205</v>
      </c>
      <c r="E2593" t="s">
        <v>16218</v>
      </c>
      <c r="F2593" t="s">
        <v>16220</v>
      </c>
      <c r="G2593" t="s">
        <v>16266</v>
      </c>
      <c r="H2593" t="s">
        <v>16250</v>
      </c>
      <c r="I2593" t="s">
        <v>16346</v>
      </c>
      <c r="J2593" t="s">
        <v>16385</v>
      </c>
      <c r="K2593">
        <v>0.117</v>
      </c>
      <c r="L2593">
        <v>5098</v>
      </c>
      <c r="M2593">
        <v>1262</v>
      </c>
      <c r="N2593" t="s">
        <v>16393</v>
      </c>
      <c r="O2593" s="4">
        <v>31284</v>
      </c>
      <c r="P2593" s="4">
        <v>101559</v>
      </c>
      <c r="Q2593" s="4">
        <v>132843</v>
      </c>
      <c r="R2593" s="4">
        <v>398529</v>
      </c>
      <c r="S2593" t="s">
        <v>18918</v>
      </c>
      <c r="T2593" s="6">
        <v>44378</v>
      </c>
      <c r="U2593" s="4">
        <v>355000</v>
      </c>
      <c r="V2593" t="s">
        <v>23739</v>
      </c>
      <c r="W2593" t="s">
        <v>18918</v>
      </c>
      <c r="X2593" t="s">
        <v>3</v>
      </c>
      <c r="AA2593" s="5" t="str">
        <f>HYPERLINK("https://www.zillow.com/homes/1024-FOXWORTH-BLVD-LOMBARD-IL-601484818_rb/","check listing")</f>
        <v>check listing</v>
      </c>
      <c r="AB2593" s="5" t="str">
        <f>HYPERLINK("https://propertylookup.dupagecounty.gov/Datalets/Datalet.aspx?UseSearch=no&amp;mode=sales&amp;pin=0524402009","sales record")</f>
        <v>sales record</v>
      </c>
      <c r="AC2593" t="s">
        <v>3</v>
      </c>
      <c r="AD2593">
        <v>41.846499</v>
      </c>
      <c r="AE2593">
        <v>-88.034353</v>
      </c>
      <c r="AF2593" s="5" t="str">
        <f>HYPERLINK("https://www.google.com/maps/search/?api=1&amp;query=41.846499,-88.034353","map")</f>
        <v>map</v>
      </c>
    </row>
    <row r="2594" spans="1:32">
      <c r="A2594" t="s">
        <v>2644</v>
      </c>
      <c r="B2594" t="s">
        <v>10187</v>
      </c>
      <c r="C2594" t="s">
        <v>15435</v>
      </c>
      <c r="D2594" t="s">
        <v>16205</v>
      </c>
      <c r="E2594" t="s">
        <v>16218</v>
      </c>
      <c r="F2594" t="s">
        <v>16220</v>
      </c>
      <c r="G2594" t="s">
        <v>16266</v>
      </c>
      <c r="H2594" t="s">
        <v>16250</v>
      </c>
      <c r="I2594" t="s">
        <v>16346</v>
      </c>
      <c r="J2594" t="s">
        <v>16385</v>
      </c>
      <c r="K2594">
        <v>0.117</v>
      </c>
      <c r="L2594">
        <v>5098</v>
      </c>
      <c r="M2594">
        <v>1778</v>
      </c>
      <c r="N2594" t="s">
        <v>16393</v>
      </c>
      <c r="O2594" s="4">
        <v>31284</v>
      </c>
      <c r="P2594" s="4">
        <v>76378</v>
      </c>
      <c r="Q2594" s="4">
        <v>107662</v>
      </c>
      <c r="R2594" s="4">
        <v>322986</v>
      </c>
      <c r="S2594" t="s">
        <v>18919</v>
      </c>
      <c r="T2594" s="6">
        <v>40238</v>
      </c>
      <c r="U2594" s="4">
        <v>202500</v>
      </c>
      <c r="V2594" t="s">
        <v>23740</v>
      </c>
      <c r="W2594" t="s">
        <v>24967</v>
      </c>
      <c r="X2594" t="s">
        <v>3</v>
      </c>
      <c r="AA2594" s="5" t="str">
        <f>HYPERLINK("https://www.zillow.com/homes/1018-FOXWORTH-BLVD-LOMBARD-IL-60148_rb/","check listing")</f>
        <v>check listing</v>
      </c>
      <c r="AB2594" s="5" t="str">
        <f>HYPERLINK("https://propertylookup.dupagecounty.gov/Datalets/Datalet.aspx?UseSearch=no&amp;mode=sales&amp;pin=0524402010","sales record")</f>
        <v>sales record</v>
      </c>
      <c r="AC2594" t="s">
        <v>3</v>
      </c>
      <c r="AD2594">
        <v>41.846351</v>
      </c>
      <c r="AE2594">
        <v>-88.034257</v>
      </c>
      <c r="AF2594" s="5" t="str">
        <f>HYPERLINK("https://www.google.com/maps/search/?api=1&amp;query=41.846351,-88.034257","map")</f>
        <v>map</v>
      </c>
    </row>
    <row r="2595" spans="1:32">
      <c r="A2595" t="s">
        <v>2645</v>
      </c>
      <c r="B2595" t="s">
        <v>10188</v>
      </c>
      <c r="C2595" t="s">
        <v>15441</v>
      </c>
      <c r="D2595" t="s">
        <v>16205</v>
      </c>
      <c r="E2595" t="s">
        <v>16218</v>
      </c>
      <c r="F2595" t="s">
        <v>16220</v>
      </c>
      <c r="G2595" t="s">
        <v>16266</v>
      </c>
      <c r="H2595" t="s">
        <v>16250</v>
      </c>
      <c r="I2595" t="s">
        <v>16346</v>
      </c>
      <c r="J2595" t="s">
        <v>16385</v>
      </c>
      <c r="K2595">
        <v>0.117</v>
      </c>
      <c r="L2595">
        <v>5098</v>
      </c>
      <c r="M2595">
        <v>1162</v>
      </c>
      <c r="N2595" t="s">
        <v>16393</v>
      </c>
      <c r="O2595" s="4">
        <v>31284</v>
      </c>
      <c r="P2595" s="4">
        <v>99791</v>
      </c>
      <c r="Q2595" s="4">
        <v>131075</v>
      </c>
      <c r="R2595" s="4">
        <v>393225</v>
      </c>
      <c r="S2595" t="s">
        <v>18920</v>
      </c>
      <c r="T2595" s="6">
        <v>44166</v>
      </c>
      <c r="U2595" s="4">
        <v>351900</v>
      </c>
      <c r="V2595" t="s">
        <v>23739</v>
      </c>
      <c r="W2595" t="s">
        <v>24968</v>
      </c>
      <c r="X2595" t="s">
        <v>3</v>
      </c>
      <c r="AA2595" s="5" t="str">
        <f>HYPERLINK("https://www.zillow.com/homes/1149-HUNTER-ST-LOMBARD-IL-601484821_rb/","check listing")</f>
        <v>check listing</v>
      </c>
      <c r="AB2595" s="5" t="str">
        <f>HYPERLINK("https://propertylookup.dupagecounty.gov/Datalets/Datalet.aspx?UseSearch=no&amp;mode=sales&amp;pin=0524406003","sales record")</f>
        <v>sales record</v>
      </c>
      <c r="AC2595" t="s">
        <v>3</v>
      </c>
      <c r="AD2595">
        <v>41.847461</v>
      </c>
      <c r="AE2595">
        <v>-88.037949</v>
      </c>
      <c r="AF2595" s="5" t="str">
        <f>HYPERLINK("https://www.google.com/maps/search/?api=1&amp;query=41.847461,-88.037949","map")</f>
        <v>map</v>
      </c>
    </row>
    <row r="2596" spans="1:32">
      <c r="A2596" t="s">
        <v>2646</v>
      </c>
      <c r="B2596" t="s">
        <v>10189</v>
      </c>
      <c r="C2596" t="s">
        <v>15435</v>
      </c>
      <c r="D2596" t="s">
        <v>16205</v>
      </c>
      <c r="E2596" t="s">
        <v>16218</v>
      </c>
      <c r="F2596" t="s">
        <v>16220</v>
      </c>
      <c r="G2596" t="s">
        <v>16266</v>
      </c>
      <c r="H2596" t="s">
        <v>16250</v>
      </c>
      <c r="I2596" t="s">
        <v>16346</v>
      </c>
      <c r="J2596" t="s">
        <v>16385</v>
      </c>
      <c r="K2596">
        <v>0.117</v>
      </c>
      <c r="L2596">
        <v>5098</v>
      </c>
      <c r="M2596">
        <v>1568</v>
      </c>
      <c r="N2596" t="s">
        <v>16393</v>
      </c>
      <c r="O2596" s="4">
        <v>31284</v>
      </c>
      <c r="P2596" s="4">
        <v>82635</v>
      </c>
      <c r="Q2596" s="4">
        <v>113919</v>
      </c>
      <c r="R2596" s="4">
        <v>341757</v>
      </c>
      <c r="S2596" t="s">
        <v>18921</v>
      </c>
      <c r="T2596" s="6">
        <v>39479</v>
      </c>
      <c r="U2596" s="4">
        <v>300000</v>
      </c>
      <c r="V2596" t="s">
        <v>23739</v>
      </c>
      <c r="W2596" t="s">
        <v>24969</v>
      </c>
      <c r="X2596" t="s">
        <v>3</v>
      </c>
      <c r="AA2596" s="5" t="str">
        <f>HYPERLINK("https://www.zillow.com/homes/1085-FOXWORTH-BLVD-LOMBARD-IL-60148_rb/","check listing")</f>
        <v>check listing</v>
      </c>
      <c r="AB2596" s="5" t="str">
        <f>HYPERLINK("https://propertylookup.dupagecounty.gov/Datalets/Datalet.aspx?UseSearch=no&amp;mode=sales&amp;pin=0524403018","sales record")</f>
        <v>sales record</v>
      </c>
      <c r="AC2596" t="s">
        <v>3</v>
      </c>
      <c r="AD2596">
        <v>41.847049</v>
      </c>
      <c r="AE2596">
        <v>-88.036365</v>
      </c>
      <c r="AF2596" s="5" t="str">
        <f>HYPERLINK("https://www.google.com/maps/search/?api=1&amp;query=41.847049,-88.036365","map")</f>
        <v>map</v>
      </c>
    </row>
    <row r="2597" spans="1:32">
      <c r="A2597" t="s">
        <v>2647</v>
      </c>
      <c r="B2597" t="s">
        <v>10190</v>
      </c>
      <c r="C2597" t="s">
        <v>15462</v>
      </c>
      <c r="D2597" t="s">
        <v>16205</v>
      </c>
      <c r="E2597" t="s">
        <v>16218</v>
      </c>
      <c r="F2597" t="s">
        <v>16220</v>
      </c>
      <c r="G2597" t="s">
        <v>16266</v>
      </c>
      <c r="H2597" t="s">
        <v>16250</v>
      </c>
      <c r="I2597" t="s">
        <v>16346</v>
      </c>
      <c r="J2597" t="s">
        <v>16385</v>
      </c>
      <c r="K2597">
        <v>0.117</v>
      </c>
      <c r="L2597">
        <v>5092</v>
      </c>
      <c r="M2597">
        <v>1656</v>
      </c>
      <c r="N2597" t="s">
        <v>16393</v>
      </c>
      <c r="O2597" s="4">
        <v>31284</v>
      </c>
      <c r="P2597" s="4">
        <v>87549</v>
      </c>
      <c r="Q2597" s="4">
        <v>118833</v>
      </c>
      <c r="R2597" s="4">
        <v>356499</v>
      </c>
      <c r="S2597" t="s">
        <v>18922</v>
      </c>
      <c r="T2597" s="6">
        <v>45714</v>
      </c>
      <c r="U2597" s="4">
        <v>420000</v>
      </c>
      <c r="V2597" t="s">
        <v>23739</v>
      </c>
      <c r="W2597" t="s">
        <v>24970</v>
      </c>
      <c r="X2597" t="s">
        <v>3</v>
      </c>
      <c r="AA2597" s="5" t="str">
        <f>HYPERLINK("https://www.zillow.com/homes/1001-HUNTER-ST-LOMBARD-IL-601484819_rb/","check listing")</f>
        <v>check listing</v>
      </c>
      <c r="AB2597" s="5" t="str">
        <f>HYPERLINK("https://propertylookup.dupagecounty.gov/Datalets/Datalet.aspx?UseSearch=no&amp;mode=sales&amp;pin=0524404007","sales record")</f>
        <v>sales record</v>
      </c>
      <c r="AC2597" t="s">
        <v>3</v>
      </c>
      <c r="AD2597">
        <v>41.845682</v>
      </c>
      <c r="AE2597">
        <v>-88.034722</v>
      </c>
      <c r="AF2597" s="5" t="str">
        <f>HYPERLINK("https://www.google.com/maps/search/?api=1&amp;query=41.845682,-88.034722","map")</f>
        <v>map</v>
      </c>
    </row>
    <row r="2598" spans="1:32">
      <c r="A2598" t="s">
        <v>2648</v>
      </c>
      <c r="B2598" t="s">
        <v>10191</v>
      </c>
      <c r="C2598" t="s">
        <v>15435</v>
      </c>
      <c r="D2598" t="s">
        <v>16205</v>
      </c>
      <c r="E2598" t="s">
        <v>16218</v>
      </c>
      <c r="F2598" t="s">
        <v>16220</v>
      </c>
      <c r="G2598" t="s">
        <v>16248</v>
      </c>
      <c r="H2598" t="s">
        <v>16248</v>
      </c>
      <c r="I2598" t="s">
        <v>16346</v>
      </c>
      <c r="J2598" t="s">
        <v>16385</v>
      </c>
      <c r="K2598">
        <v>0.114</v>
      </c>
      <c r="L2598">
        <v>4947</v>
      </c>
      <c r="M2598">
        <v>1016</v>
      </c>
      <c r="N2598" t="s">
        <v>16393</v>
      </c>
      <c r="O2598" s="4">
        <v>15723</v>
      </c>
      <c r="P2598" s="4">
        <v>68887</v>
      </c>
      <c r="Q2598" s="4">
        <v>84610</v>
      </c>
      <c r="R2598" s="4">
        <v>253830</v>
      </c>
      <c r="S2598" t="s">
        <v>18923</v>
      </c>
      <c r="T2598" s="6">
        <v>44918</v>
      </c>
      <c r="U2598" s="4">
        <v>168000</v>
      </c>
      <c r="V2598" t="s">
        <v>23739</v>
      </c>
      <c r="W2598" t="s">
        <v>24971</v>
      </c>
      <c r="X2598" t="s">
        <v>3</v>
      </c>
      <c r="AA2598" s="5" t="str">
        <f>HYPERLINK("https://www.zillow.com/homes/23-N-CHARLOTTE-ST-LOMBARD-IL-60148_rb/","check listing")</f>
        <v>check listing</v>
      </c>
      <c r="AB2598" s="5" t="str">
        <f>HYPERLINK("https://propertylookup.dupagecounty.gov/Datalets/Datalet.aspx?UseSearch=no&amp;mode=sales&amp;pin=0608103014","sales record")</f>
        <v>sales record</v>
      </c>
      <c r="AC2598" t="s">
        <v>3</v>
      </c>
      <c r="AD2598">
        <v>41.888598</v>
      </c>
      <c r="AE2598">
        <v>-88.015941</v>
      </c>
      <c r="AF2598" s="5" t="str">
        <f>HYPERLINK("https://www.google.com/maps/search/?api=1&amp;query=41.888598,-88.015941","map")</f>
        <v>map</v>
      </c>
    </row>
    <row r="2599" spans="1:32">
      <c r="A2599" t="s">
        <v>2649</v>
      </c>
      <c r="B2599" t="s">
        <v>10192</v>
      </c>
      <c r="C2599" t="s">
        <v>15435</v>
      </c>
      <c r="D2599" t="s">
        <v>16205</v>
      </c>
      <c r="E2599" t="s">
        <v>16218</v>
      </c>
      <c r="F2599" t="s">
        <v>16220</v>
      </c>
      <c r="G2599" t="s">
        <v>16266</v>
      </c>
      <c r="H2599" t="s">
        <v>16250</v>
      </c>
      <c r="I2599" t="s">
        <v>16346</v>
      </c>
      <c r="J2599" t="s">
        <v>16385</v>
      </c>
      <c r="K2599">
        <v>0.093</v>
      </c>
      <c r="L2599">
        <v>4049</v>
      </c>
      <c r="M2599">
        <v>1259</v>
      </c>
      <c r="N2599" t="s">
        <v>16393</v>
      </c>
      <c r="O2599" s="4">
        <v>17216</v>
      </c>
      <c r="P2599" s="4">
        <v>84249</v>
      </c>
      <c r="Q2599" s="4">
        <v>101465</v>
      </c>
      <c r="R2599" s="4">
        <v>304395</v>
      </c>
      <c r="S2599" t="s">
        <v>18924</v>
      </c>
      <c r="T2599" s="6">
        <v>35977</v>
      </c>
      <c r="U2599" s="4">
        <v>144000</v>
      </c>
      <c r="V2599" t="s">
        <v>23739</v>
      </c>
      <c r="W2599" t="s">
        <v>24972</v>
      </c>
      <c r="X2599" t="s">
        <v>3</v>
      </c>
      <c r="AA2599" s="5" t="str">
        <f>HYPERLINK("https://www.zillow.com/homes/981-FOXWORTH-BLVD-LOMBARD-IL-60148_rb/","check listing")</f>
        <v>check listing</v>
      </c>
      <c r="AB2599" s="5" t="str">
        <f>HYPERLINK("https://propertylookup.dupagecounty.gov/Datalets/Datalet.aspx?UseSearch=no&amp;mode=sales&amp;pin=0619302001","sales record")</f>
        <v>sales record</v>
      </c>
      <c r="AC2599" t="s">
        <v>27873</v>
      </c>
      <c r="AD2599">
        <v>41.845227</v>
      </c>
      <c r="AE2599">
        <v>-88.03342499999999</v>
      </c>
      <c r="AF2599" s="5" t="str">
        <f>HYPERLINK("https://www.google.com/maps/search/?api=1&amp;query=41.845227,-88.033425","map")</f>
        <v>map</v>
      </c>
    </row>
    <row r="2600" spans="1:32">
      <c r="A2600" t="s">
        <v>2650</v>
      </c>
      <c r="B2600" t="s">
        <v>10193</v>
      </c>
      <c r="C2600" t="s">
        <v>15468</v>
      </c>
      <c r="D2600" t="s">
        <v>16205</v>
      </c>
      <c r="E2600" t="s">
        <v>16218</v>
      </c>
      <c r="F2600" t="s">
        <v>16220</v>
      </c>
      <c r="G2600" t="s">
        <v>16268</v>
      </c>
      <c r="H2600" t="s">
        <v>16248</v>
      </c>
      <c r="I2600" t="s">
        <v>16346</v>
      </c>
      <c r="J2600" t="s">
        <v>16385</v>
      </c>
      <c r="K2600">
        <v>0.082</v>
      </c>
      <c r="L2600">
        <v>3589</v>
      </c>
      <c r="N2600" t="s">
        <v>16393</v>
      </c>
      <c r="O2600" s="4">
        <v>13869</v>
      </c>
      <c r="P2600" s="4">
        <v>200655</v>
      </c>
      <c r="Q2600" s="4">
        <v>214524</v>
      </c>
      <c r="R2600" s="4">
        <v>643572</v>
      </c>
      <c r="S2600" t="s">
        <v>18925</v>
      </c>
      <c r="T2600" s="6">
        <v>43497</v>
      </c>
      <c r="U2600" s="4">
        <v>484411</v>
      </c>
      <c r="V2600" t="s">
        <v>23739</v>
      </c>
      <c r="W2600" t="s">
        <v>24973</v>
      </c>
      <c r="X2600" t="s">
        <v>3</v>
      </c>
      <c r="AA2600" s="5" t="str">
        <f>HYPERLINK("https://www.zillow.com/homes/23-W-GROVE-ST-LOMBARD-IL-601482205_rb/","check listing")</f>
        <v>check listing</v>
      </c>
      <c r="AB2600" s="5" t="str">
        <f>HYPERLINK("https://propertylookup.dupagecounty.gov/Datalets/Datalet.aspx?UseSearch=no&amp;mode=sales&amp;pin=0607206053","sales record")</f>
        <v>sales record</v>
      </c>
      <c r="AC2600" t="s">
        <v>3</v>
      </c>
      <c r="AD2600">
        <v>41.888944</v>
      </c>
      <c r="AE2600">
        <v>-88.019425</v>
      </c>
      <c r="AF2600" s="5" t="str">
        <f>HYPERLINK("https://www.google.com/maps/search/?api=1&amp;query=41.888944,-88.019425","map")</f>
        <v>map</v>
      </c>
    </row>
    <row r="2601" spans="1:32">
      <c r="A2601" t="s">
        <v>2651</v>
      </c>
      <c r="B2601" t="s">
        <v>10194</v>
      </c>
      <c r="C2601" t="s">
        <v>15435</v>
      </c>
      <c r="D2601" t="s">
        <v>16205</v>
      </c>
      <c r="E2601" t="s">
        <v>16218</v>
      </c>
      <c r="F2601" t="s">
        <v>16220</v>
      </c>
      <c r="G2601" t="s">
        <v>16268</v>
      </c>
      <c r="H2601" t="s">
        <v>16248</v>
      </c>
      <c r="I2601" t="s">
        <v>16346</v>
      </c>
      <c r="J2601" t="s">
        <v>16385</v>
      </c>
      <c r="K2601">
        <v>0.07099999999999999</v>
      </c>
      <c r="L2601">
        <v>3095</v>
      </c>
      <c r="N2601" t="s">
        <v>16393</v>
      </c>
      <c r="O2601" s="4">
        <v>11967</v>
      </c>
      <c r="P2601" s="4">
        <v>188828</v>
      </c>
      <c r="Q2601" s="4">
        <v>200795</v>
      </c>
      <c r="R2601" s="4">
        <v>602385</v>
      </c>
      <c r="S2601" t="s">
        <v>18926</v>
      </c>
      <c r="T2601" s="6">
        <v>42979</v>
      </c>
      <c r="U2601" s="4">
        <v>430000</v>
      </c>
      <c r="V2601" t="s">
        <v>23739</v>
      </c>
      <c r="W2601" t="s">
        <v>18926</v>
      </c>
      <c r="X2601" t="s">
        <v>3</v>
      </c>
      <c r="AA2601" s="5" t="str">
        <f>HYPERLINK("https://www.zillow.com/homes/53-N-PARK-AVE-LOMBARD-IL-60148_rb/","check listing")</f>
        <v>check listing</v>
      </c>
      <c r="AB2601" s="5" t="str">
        <f>HYPERLINK("https://propertylookup.dupagecounty.gov/Datalets/Datalet.aspx?UseSearch=no&amp;mode=sales&amp;pin=0607206050","sales record")</f>
        <v>sales record</v>
      </c>
      <c r="AC2601" t="s">
        <v>3</v>
      </c>
      <c r="AD2601">
        <v>41.888753</v>
      </c>
      <c r="AE2601">
        <v>-88.019779</v>
      </c>
      <c r="AF2601" s="5" t="str">
        <f>HYPERLINK("https://www.google.com/maps/search/?api=1&amp;query=41.888753,-88.019779","map")</f>
        <v>map</v>
      </c>
    </row>
    <row r="2602" spans="1:32">
      <c r="A2602" t="s">
        <v>2652</v>
      </c>
      <c r="B2602" t="s">
        <v>9952</v>
      </c>
      <c r="C2602" t="s">
        <v>15435</v>
      </c>
      <c r="D2602" t="s">
        <v>16205</v>
      </c>
      <c r="E2602" t="s">
        <v>16217</v>
      </c>
      <c r="F2602" t="s">
        <v>16220</v>
      </c>
      <c r="G2602" t="s">
        <v>16254</v>
      </c>
      <c r="H2602" t="s">
        <v>16254</v>
      </c>
      <c r="I2602" t="s">
        <v>16346</v>
      </c>
      <c r="J2602" t="s">
        <v>16385</v>
      </c>
      <c r="K2602">
        <v>0.36</v>
      </c>
      <c r="L2602">
        <v>15686</v>
      </c>
      <c r="N2602" t="s">
        <v>16393</v>
      </c>
      <c r="O2602" s="4">
        <v>31516</v>
      </c>
      <c r="P2602" s="4">
        <v>0</v>
      </c>
      <c r="Q2602" s="4">
        <v>31516</v>
      </c>
      <c r="R2602" s="4">
        <v>94548</v>
      </c>
      <c r="S2602" t="s">
        <v>18684</v>
      </c>
      <c r="X2602" t="s">
        <v>3</v>
      </c>
      <c r="AA2602" s="5" t="str">
        <f>HYPERLINK("https://www.zillow.com/homes/352-W-ST-CHARLES-RD-LOMBARD-IL-60148_rb/","check listing")</f>
        <v>check listing</v>
      </c>
      <c r="AB2602" s="5" t="str">
        <f>HYPERLINK("https://propertylookup.dupagecounty.gov/Datalets/Datalet.aspx?UseSearch=no&amp;mode=sales&amp;pin=0607202022","sales record")</f>
        <v>sales record</v>
      </c>
      <c r="AC2602" t="s">
        <v>27872</v>
      </c>
      <c r="AD2602">
        <v>41.885978</v>
      </c>
      <c r="AE2602">
        <v>-88.026268</v>
      </c>
      <c r="AF2602" s="5" t="str">
        <f>HYPERLINK("https://www.google.com/maps/search/?api=1&amp;query=41.885978,-88.026268","map")</f>
        <v>map</v>
      </c>
    </row>
    <row r="2603" spans="1:32">
      <c r="A2603" t="s">
        <v>2653</v>
      </c>
      <c r="B2603" t="s">
        <v>10195</v>
      </c>
      <c r="C2603" t="s">
        <v>15435</v>
      </c>
      <c r="D2603" t="s">
        <v>16205</v>
      </c>
      <c r="E2603" t="s">
        <v>16217</v>
      </c>
      <c r="F2603" t="s">
        <v>16220</v>
      </c>
      <c r="G2603" t="s">
        <v>16254</v>
      </c>
      <c r="H2603" t="s">
        <v>16254</v>
      </c>
      <c r="I2603" t="s">
        <v>16346</v>
      </c>
      <c r="J2603" t="s">
        <v>16385</v>
      </c>
      <c r="K2603">
        <v>0.317</v>
      </c>
      <c r="L2603">
        <v>13792</v>
      </c>
      <c r="N2603" t="s">
        <v>16393</v>
      </c>
      <c r="O2603" s="4">
        <v>30198</v>
      </c>
      <c r="P2603" s="4">
        <v>0</v>
      </c>
      <c r="Q2603" s="4">
        <v>30198</v>
      </c>
      <c r="R2603" s="4">
        <v>90594</v>
      </c>
      <c r="S2603" t="s">
        <v>18927</v>
      </c>
      <c r="X2603" t="s">
        <v>3</v>
      </c>
      <c r="AA2603" s="5" t="str">
        <f>HYPERLINK("https://www.zillow.com/homes/356-W-ST-CHARLES-RD-LOMBARD-IL-60148_rb/","check listing")</f>
        <v>check listing</v>
      </c>
      <c r="AB2603" s="5" t="str">
        <f>HYPERLINK("https://propertylookup.dupagecounty.gov/Datalets/Datalet.aspx?UseSearch=no&amp;mode=sales&amp;pin=0607202020","sales record")</f>
        <v>sales record</v>
      </c>
      <c r="AC2603" t="s">
        <v>3</v>
      </c>
      <c r="AD2603">
        <v>41.88606</v>
      </c>
      <c r="AE2603">
        <v>-88.02664</v>
      </c>
      <c r="AF2603" s="5" t="str">
        <f>HYPERLINK("https://www.google.com/maps/search/?api=1&amp;query=41.88606,-88.02664","map")</f>
        <v>map</v>
      </c>
    </row>
    <row r="2604" spans="1:32">
      <c r="A2604" t="s">
        <v>2654</v>
      </c>
      <c r="B2604" t="s">
        <v>10196</v>
      </c>
      <c r="C2604" t="s">
        <v>15435</v>
      </c>
      <c r="D2604" t="s">
        <v>16205</v>
      </c>
      <c r="E2604" t="s">
        <v>16217</v>
      </c>
      <c r="F2604" t="s">
        <v>16220</v>
      </c>
      <c r="G2604" t="s">
        <v>16267</v>
      </c>
      <c r="H2604" t="s">
        <v>16254</v>
      </c>
      <c r="I2604" t="s">
        <v>16346</v>
      </c>
      <c r="J2604" t="s">
        <v>16385</v>
      </c>
      <c r="K2604">
        <v>0.304</v>
      </c>
      <c r="L2604">
        <v>13259</v>
      </c>
      <c r="N2604" t="s">
        <v>16393</v>
      </c>
      <c r="O2604" s="4">
        <v>14329</v>
      </c>
      <c r="P2604" s="4">
        <v>0</v>
      </c>
      <c r="Q2604" s="4">
        <v>14329</v>
      </c>
      <c r="R2604" s="4">
        <v>42987</v>
      </c>
      <c r="S2604" t="s">
        <v>18928</v>
      </c>
      <c r="X2604" t="s">
        <v>3</v>
      </c>
      <c r="AA2604" s="5" t="str">
        <f>HYPERLINK("https://www.zillow.com/homes/BUCKINGHAM-CT-LOMBARD-IL-60148_rb/","check listing")</f>
        <v>check listing</v>
      </c>
      <c r="AB2604" s="5" t="str">
        <f>HYPERLINK("https://propertylookup.dupagecounty.gov/Datalets/Datalet.aspx?UseSearch=no&amp;mode=sales&amp;pin=0501408009","sales record")</f>
        <v>sales record</v>
      </c>
      <c r="AC2604" t="s">
        <v>3</v>
      </c>
      <c r="AD2604">
        <v>41.89655</v>
      </c>
      <c r="AE2604">
        <v>-88.036254</v>
      </c>
      <c r="AF2604" s="5" t="str">
        <f>HYPERLINK("https://www.google.com/maps/search/?api=1&amp;query=41.89655,-88.036254","map")</f>
        <v>map</v>
      </c>
    </row>
    <row r="2605" spans="1:32">
      <c r="A2605" t="s">
        <v>2655</v>
      </c>
      <c r="B2605" t="s">
        <v>10197</v>
      </c>
      <c r="C2605" t="s">
        <v>15435</v>
      </c>
      <c r="D2605" t="s">
        <v>16205</v>
      </c>
      <c r="E2605" t="s">
        <v>16217</v>
      </c>
      <c r="F2605" t="s">
        <v>16220</v>
      </c>
      <c r="G2605" t="s">
        <v>16254</v>
      </c>
      <c r="H2605" t="s">
        <v>16254</v>
      </c>
      <c r="I2605" t="s">
        <v>16346</v>
      </c>
      <c r="J2605" t="s">
        <v>16385</v>
      </c>
      <c r="K2605">
        <v>0.296</v>
      </c>
      <c r="L2605">
        <v>12892</v>
      </c>
      <c r="N2605" t="s">
        <v>16393</v>
      </c>
      <c r="O2605" s="4">
        <v>26139</v>
      </c>
      <c r="P2605" s="4">
        <v>0</v>
      </c>
      <c r="Q2605" s="4">
        <v>26139</v>
      </c>
      <c r="R2605" s="4">
        <v>78417</v>
      </c>
      <c r="S2605" t="s">
        <v>18929</v>
      </c>
      <c r="T2605" s="6">
        <v>44197</v>
      </c>
      <c r="U2605" s="4">
        <v>165000</v>
      </c>
      <c r="V2605" t="s">
        <v>23739</v>
      </c>
      <c r="W2605" t="s">
        <v>24974</v>
      </c>
      <c r="X2605" t="s">
        <v>3</v>
      </c>
      <c r="AA2605" s="5" t="str">
        <f>HYPERLINK("https://www.zillow.com/homes/53244-FAIRFIELD-CT-LOMBARD-IL-60148_rb/","check listing")</f>
        <v>check listing</v>
      </c>
      <c r="AB2605" s="5" t="str">
        <f>HYPERLINK("https://propertylookup.dupagecounty.gov/Datalets/Datalet.aspx?UseSearch=no&amp;mode=sales&amp;pin=0620405022","sales record")</f>
        <v>sales record</v>
      </c>
      <c r="AC2605" t="s">
        <v>3</v>
      </c>
      <c r="AD2605">
        <v>41.847604</v>
      </c>
      <c r="AE2605">
        <v>-88.002332</v>
      </c>
      <c r="AF2605" s="5" t="str">
        <f>HYPERLINK("https://www.google.com/maps/search/?api=1&amp;query=41.847604,-88.002332","map")</f>
        <v>map</v>
      </c>
    </row>
    <row r="2606" spans="1:32">
      <c r="A2606" t="s">
        <v>2656</v>
      </c>
      <c r="B2606" t="s">
        <v>10197</v>
      </c>
      <c r="C2606" t="s">
        <v>15435</v>
      </c>
      <c r="D2606" t="s">
        <v>16205</v>
      </c>
      <c r="E2606" t="s">
        <v>16217</v>
      </c>
      <c r="F2606" t="s">
        <v>16220</v>
      </c>
      <c r="G2606" t="s">
        <v>16254</v>
      </c>
      <c r="H2606" t="s">
        <v>16254</v>
      </c>
      <c r="I2606" t="s">
        <v>16346</v>
      </c>
      <c r="J2606" t="s">
        <v>16385</v>
      </c>
      <c r="K2606">
        <v>0.216</v>
      </c>
      <c r="L2606">
        <v>9407</v>
      </c>
      <c r="N2606" t="s">
        <v>16393</v>
      </c>
      <c r="O2606" s="4">
        <v>26139</v>
      </c>
      <c r="P2606" s="4">
        <v>0</v>
      </c>
      <c r="Q2606" s="4">
        <v>26139</v>
      </c>
      <c r="R2606" s="4">
        <v>78417</v>
      </c>
      <c r="S2606" t="s">
        <v>18929</v>
      </c>
      <c r="X2606" t="s">
        <v>3</v>
      </c>
      <c r="AA2606" s="5" t="str">
        <f>HYPERLINK("https://www.zillow.com/homes/53244-FAIRFIELD-CT-LOMBARD-IL-60148_rb/","check listing")</f>
        <v>check listing</v>
      </c>
      <c r="AB2606" s="5" t="str">
        <f>HYPERLINK("https://propertylookup.dupagecounty.gov/Datalets/Datalet.aspx?UseSearch=no&amp;mode=sales&amp;pin=0620405023","sales record")</f>
        <v>sales record</v>
      </c>
      <c r="AC2606" t="s">
        <v>3</v>
      </c>
      <c r="AD2606">
        <v>41.847524</v>
      </c>
      <c r="AE2606">
        <v>-88.002246</v>
      </c>
      <c r="AF2606" s="5" t="str">
        <f>HYPERLINK("https://www.google.com/maps/search/?api=1&amp;query=41.847524,-88.002246","map")</f>
        <v>map</v>
      </c>
    </row>
    <row r="2607" spans="1:32">
      <c r="A2607" t="s">
        <v>2657</v>
      </c>
      <c r="B2607" t="s">
        <v>10198</v>
      </c>
      <c r="C2607" t="s">
        <v>15469</v>
      </c>
      <c r="D2607" t="s">
        <v>16205</v>
      </c>
      <c r="E2607" t="s">
        <v>16217</v>
      </c>
      <c r="F2607" t="s">
        <v>16220</v>
      </c>
      <c r="G2607" t="s">
        <v>16254</v>
      </c>
      <c r="H2607" t="s">
        <v>16254</v>
      </c>
      <c r="I2607" t="s">
        <v>16346</v>
      </c>
      <c r="J2607" t="s">
        <v>16385</v>
      </c>
      <c r="K2607">
        <v>0.206</v>
      </c>
      <c r="L2607">
        <v>8962</v>
      </c>
      <c r="N2607" t="s">
        <v>16393</v>
      </c>
      <c r="O2607" s="4">
        <v>25625</v>
      </c>
      <c r="P2607" s="4">
        <v>0</v>
      </c>
      <c r="Q2607" s="4">
        <v>25625</v>
      </c>
      <c r="R2607" s="4">
        <v>76875</v>
      </c>
      <c r="S2607" t="s">
        <v>18930</v>
      </c>
      <c r="T2607" s="6">
        <v>41306</v>
      </c>
      <c r="U2607" s="4">
        <v>24500</v>
      </c>
      <c r="V2607" t="s">
        <v>23742</v>
      </c>
      <c r="W2607" t="s">
        <v>24975</v>
      </c>
      <c r="X2607" t="s">
        <v>3</v>
      </c>
      <c r="AA2607" s="5" t="str">
        <f>HYPERLINK("https://www.zillow.com/homes/52832-W-MEADOW-AVE-LOMBARD-IL-601481534_rb/","check listing")</f>
        <v>check listing</v>
      </c>
      <c r="AB2607" s="5" t="str">
        <f>HYPERLINK("https://propertylookup.dupagecounty.gov/Datalets/Datalet.aspx?UseSearch=no&amp;mode=sales&amp;pin=0606300032","sales record")</f>
        <v>sales record</v>
      </c>
      <c r="AC2607" t="s">
        <v>3</v>
      </c>
      <c r="AD2607">
        <v>41.894853</v>
      </c>
      <c r="AE2607">
        <v>-88.03203000000001</v>
      </c>
      <c r="AF2607" s="5" t="str">
        <f>HYPERLINK("https://www.google.com/maps/search/?api=1&amp;query=41.894853,-88.03203","map")</f>
        <v>map</v>
      </c>
    </row>
    <row r="2608" spans="1:32">
      <c r="A2608" t="s">
        <v>2658</v>
      </c>
      <c r="B2608" t="s">
        <v>10197</v>
      </c>
      <c r="C2608" t="s">
        <v>15435</v>
      </c>
      <c r="D2608" t="s">
        <v>16205</v>
      </c>
      <c r="E2608" t="s">
        <v>16217</v>
      </c>
      <c r="F2608" t="s">
        <v>16220</v>
      </c>
      <c r="G2608" t="s">
        <v>16254</v>
      </c>
      <c r="H2608" t="s">
        <v>16254</v>
      </c>
      <c r="I2608" t="s">
        <v>16346</v>
      </c>
      <c r="J2608" t="s">
        <v>16385</v>
      </c>
      <c r="K2608">
        <v>0.2</v>
      </c>
      <c r="L2608">
        <v>8709</v>
      </c>
      <c r="N2608" t="s">
        <v>16393</v>
      </c>
      <c r="O2608" s="4">
        <v>26139</v>
      </c>
      <c r="P2608" s="4">
        <v>0</v>
      </c>
      <c r="Q2608" s="4">
        <v>26139</v>
      </c>
      <c r="R2608" s="4">
        <v>78417</v>
      </c>
      <c r="S2608" t="s">
        <v>18931</v>
      </c>
      <c r="X2608" t="s">
        <v>3</v>
      </c>
      <c r="AA2608" s="5" t="str">
        <f>HYPERLINK("https://www.zillow.com/homes/53244-FAIRFIELD-CT-LOMBARD-IL-60148_rb/","check listing")</f>
        <v>check listing</v>
      </c>
      <c r="AB2608" s="5" t="str">
        <f>HYPERLINK("https://propertylookup.dupagecounty.gov/Datalets/Datalet.aspx?UseSearch=no&amp;mode=sales&amp;pin=0620405025","sales record")</f>
        <v>sales record</v>
      </c>
      <c r="AC2608" t="s">
        <v>3</v>
      </c>
      <c r="AD2608">
        <v>41.847236</v>
      </c>
      <c r="AE2608">
        <v>-88.00219300000001</v>
      </c>
      <c r="AF2608" s="5" t="str">
        <f>HYPERLINK("https://www.google.com/maps/search/?api=1&amp;query=41.847236,-88.002193","map")</f>
        <v>map</v>
      </c>
    </row>
    <row r="2609" spans="1:32">
      <c r="A2609" t="s">
        <v>2659</v>
      </c>
      <c r="B2609" t="s">
        <v>10196</v>
      </c>
      <c r="C2609" t="s">
        <v>15435</v>
      </c>
      <c r="D2609" t="s">
        <v>16205</v>
      </c>
      <c r="E2609" t="s">
        <v>16217</v>
      </c>
      <c r="F2609" t="s">
        <v>16220</v>
      </c>
      <c r="G2609" t="s">
        <v>16267</v>
      </c>
      <c r="H2609" t="s">
        <v>16254</v>
      </c>
      <c r="I2609" t="s">
        <v>16346</v>
      </c>
      <c r="J2609" t="s">
        <v>16385</v>
      </c>
      <c r="K2609">
        <v>0.193</v>
      </c>
      <c r="L2609">
        <v>8395</v>
      </c>
      <c r="N2609" t="s">
        <v>16393</v>
      </c>
      <c r="O2609" s="4">
        <v>14329</v>
      </c>
      <c r="P2609" s="4">
        <v>0</v>
      </c>
      <c r="Q2609" s="4">
        <v>14329</v>
      </c>
      <c r="R2609" s="4">
        <v>42987</v>
      </c>
      <c r="S2609" t="s">
        <v>18928</v>
      </c>
      <c r="X2609" t="s">
        <v>3</v>
      </c>
      <c r="AA2609" s="5" t="str">
        <f>HYPERLINK("https://www.zillow.com/homes/BUCKINGHAM-CT-LOMBARD-IL-60148_rb/","check listing")</f>
        <v>check listing</v>
      </c>
      <c r="AB2609" s="5" t="str">
        <f>HYPERLINK("https://propertylookup.dupagecounty.gov/Datalets/Datalet.aspx?UseSearch=no&amp;mode=sales&amp;pin=0501401068","sales record")</f>
        <v>sales record</v>
      </c>
      <c r="AC2609" t="s">
        <v>3</v>
      </c>
      <c r="AD2609">
        <v>41.896446</v>
      </c>
      <c r="AE2609">
        <v>-88.03659500000001</v>
      </c>
      <c r="AF2609" s="5" t="str">
        <f>HYPERLINK("https://www.google.com/maps/search/?api=1&amp;query=41.896446,-88.036595","map")</f>
        <v>map</v>
      </c>
    </row>
    <row r="2610" spans="1:32">
      <c r="A2610" t="s">
        <v>2660</v>
      </c>
      <c r="B2610" t="s">
        <v>10197</v>
      </c>
      <c r="C2610" t="s">
        <v>15435</v>
      </c>
      <c r="D2610" t="s">
        <v>16205</v>
      </c>
      <c r="E2610" t="s">
        <v>16217</v>
      </c>
      <c r="F2610" t="s">
        <v>16220</v>
      </c>
      <c r="G2610" t="s">
        <v>16254</v>
      </c>
      <c r="H2610" t="s">
        <v>16254</v>
      </c>
      <c r="I2610" t="s">
        <v>16346</v>
      </c>
      <c r="J2610" t="s">
        <v>16385</v>
      </c>
      <c r="K2610">
        <v>0.188</v>
      </c>
      <c r="L2610">
        <v>8210</v>
      </c>
      <c r="N2610" t="s">
        <v>16393</v>
      </c>
      <c r="O2610" s="4">
        <v>26139</v>
      </c>
      <c r="P2610" s="4">
        <v>0</v>
      </c>
      <c r="Q2610" s="4">
        <v>26139</v>
      </c>
      <c r="R2610" s="4">
        <v>78417</v>
      </c>
      <c r="S2610" t="s">
        <v>18932</v>
      </c>
      <c r="X2610" t="s">
        <v>3</v>
      </c>
      <c r="AA2610" s="5" t="str">
        <f>HYPERLINK("https://www.zillow.com/homes/53244-FAIRFIELD-CT-LOMBARD-IL-60148_rb/","check listing")</f>
        <v>check listing</v>
      </c>
      <c r="AB2610" s="5" t="str">
        <f>HYPERLINK("https://propertylookup.dupagecounty.gov/Datalets/Datalet.aspx?UseSearch=no&amp;mode=sales&amp;pin=0620405024","sales record")</f>
        <v>sales record</v>
      </c>
      <c r="AC2610" t="s">
        <v>3</v>
      </c>
      <c r="AD2610">
        <v>41.847361</v>
      </c>
      <c r="AE2610">
        <v>-88.00218</v>
      </c>
      <c r="AF2610" s="5" t="str">
        <f>HYPERLINK("https://www.google.com/maps/search/?api=1&amp;query=41.847361,-88.00218","map")</f>
        <v>map</v>
      </c>
    </row>
    <row r="2611" spans="1:32">
      <c r="A2611" t="s">
        <v>2661</v>
      </c>
      <c r="B2611" t="s">
        <v>10199</v>
      </c>
      <c r="C2611" t="s">
        <v>15435</v>
      </c>
      <c r="D2611" t="s">
        <v>16205</v>
      </c>
      <c r="E2611" t="s">
        <v>16217</v>
      </c>
      <c r="F2611" t="s">
        <v>16220</v>
      </c>
      <c r="G2611" t="s">
        <v>16250</v>
      </c>
      <c r="H2611" t="s">
        <v>16250</v>
      </c>
      <c r="I2611" t="s">
        <v>16346</v>
      </c>
      <c r="J2611" t="s">
        <v>16385</v>
      </c>
      <c r="K2611">
        <v>0.17</v>
      </c>
      <c r="L2611">
        <v>7423</v>
      </c>
      <c r="N2611" t="s">
        <v>16393</v>
      </c>
      <c r="O2611" s="4">
        <v>24203</v>
      </c>
      <c r="P2611" s="4">
        <v>0</v>
      </c>
      <c r="Q2611" s="4">
        <v>24203</v>
      </c>
      <c r="R2611" s="4">
        <v>72609</v>
      </c>
      <c r="S2611" t="s">
        <v>18933</v>
      </c>
      <c r="T2611" s="6">
        <v>45414</v>
      </c>
      <c r="U2611" s="4">
        <v>90000</v>
      </c>
      <c r="V2611" t="s">
        <v>23739</v>
      </c>
      <c r="W2611" t="s">
        <v>24976</v>
      </c>
      <c r="X2611" t="s">
        <v>3</v>
      </c>
      <c r="AA2611" s="5" t="str">
        <f>HYPERLINK("https://www.zillow.com/homes/1161-S-FINLEY-RD-LOMBARD-IL-60148_rb/","check listing")</f>
        <v>check listing</v>
      </c>
      <c r="AB2611" s="5" t="str">
        <f>HYPERLINK("https://propertylookup.dupagecounty.gov/Datalets/Datalet.aspx?UseSearch=no&amp;mode=sales&amp;pin=0618414004","sales record")</f>
        <v>sales record</v>
      </c>
      <c r="AC2611" t="s">
        <v>3</v>
      </c>
      <c r="AD2611">
        <v>41.861058</v>
      </c>
      <c r="AE2611">
        <v>-88.026651</v>
      </c>
      <c r="AF2611" s="5" t="str">
        <f>HYPERLINK("https://www.google.com/maps/search/?api=1&amp;query=41.861058,-88.026651","map")</f>
        <v>map</v>
      </c>
    </row>
    <row r="2612" spans="1:32">
      <c r="A2612" t="s">
        <v>2662</v>
      </c>
      <c r="B2612" t="s">
        <v>10192</v>
      </c>
      <c r="C2612" t="s">
        <v>15435</v>
      </c>
      <c r="D2612" t="s">
        <v>16205</v>
      </c>
      <c r="E2612" t="s">
        <v>16217</v>
      </c>
      <c r="F2612" t="s">
        <v>16220</v>
      </c>
      <c r="G2612" t="s">
        <v>16266</v>
      </c>
      <c r="H2612" t="s">
        <v>16250</v>
      </c>
      <c r="I2612" t="s">
        <v>16346</v>
      </c>
      <c r="J2612" t="s">
        <v>16385</v>
      </c>
      <c r="K2612">
        <v>0.11</v>
      </c>
      <c r="L2612">
        <v>4790</v>
      </c>
      <c r="N2612" t="s">
        <v>16393</v>
      </c>
      <c r="O2612" s="4">
        <v>15637</v>
      </c>
      <c r="P2612" s="4">
        <v>0</v>
      </c>
      <c r="Q2612" s="4">
        <v>15637</v>
      </c>
      <c r="R2612" s="4">
        <v>46911</v>
      </c>
      <c r="S2612" t="s">
        <v>18924</v>
      </c>
      <c r="X2612" t="s">
        <v>3</v>
      </c>
      <c r="AA2612" s="5" t="str">
        <f>HYPERLINK("https://www.zillow.com/homes/981-FOXWORTH-BLVD-LOMBARD-IL-60148_rb/","check listing")</f>
        <v>check listing</v>
      </c>
      <c r="AB2612" s="5" t="str">
        <f>HYPERLINK("https://propertylookup.dupagecounty.gov/Datalets/Datalet.aspx?UseSearch=no&amp;mode=sales&amp;pin=0524405003","sales record")</f>
        <v>sales record</v>
      </c>
      <c r="AC2612" t="s">
        <v>27872</v>
      </c>
      <c r="AD2612">
        <v>41.845155</v>
      </c>
      <c r="AE2612">
        <v>-88.033565</v>
      </c>
      <c r="AF2612" s="5" t="str">
        <f>HYPERLINK("https://www.google.com/maps/search/?api=1&amp;query=41.845155,-88.033565","map")</f>
        <v>map</v>
      </c>
    </row>
    <row r="2613" spans="1:32">
      <c r="A2613" t="s">
        <v>2663</v>
      </c>
      <c r="B2613" t="s">
        <v>10200</v>
      </c>
      <c r="C2613" t="s">
        <v>15435</v>
      </c>
      <c r="D2613" t="s">
        <v>16205</v>
      </c>
      <c r="E2613" t="s">
        <v>16217</v>
      </c>
      <c r="F2613" t="s">
        <v>16220</v>
      </c>
      <c r="G2613" t="s">
        <v>16267</v>
      </c>
      <c r="H2613" t="s">
        <v>16254</v>
      </c>
      <c r="I2613" t="s">
        <v>16346</v>
      </c>
      <c r="J2613" t="s">
        <v>16385</v>
      </c>
      <c r="K2613">
        <v>0.068</v>
      </c>
      <c r="L2613">
        <v>2973</v>
      </c>
      <c r="N2613" t="s">
        <v>16393</v>
      </c>
      <c r="O2613" s="4">
        <v>7325</v>
      </c>
      <c r="P2613" s="4">
        <v>0</v>
      </c>
      <c r="Q2613" s="4">
        <v>7325</v>
      </c>
      <c r="R2613" s="4">
        <v>21975</v>
      </c>
      <c r="S2613" t="s">
        <v>18934</v>
      </c>
      <c r="T2613" s="6">
        <v>35582</v>
      </c>
      <c r="U2613" s="4">
        <v>134000</v>
      </c>
      <c r="X2613" t="s">
        <v>3</v>
      </c>
      <c r="AA2613" s="5" t="str">
        <f>HYPERLINK("https://www.zillow.com/homes/160-MAJESTIC-DR-LOMBARD-IL-60148_rb/","check listing")</f>
        <v>check listing</v>
      </c>
      <c r="AB2613" s="5" t="str">
        <f>HYPERLINK("https://propertylookup.dupagecounty.gov/Datalets/Datalet.aspx?UseSearch=no&amp;mode=sales&amp;pin=0629103026","sales record")</f>
        <v>sales record</v>
      </c>
      <c r="AC2613" t="s">
        <v>27872</v>
      </c>
      <c r="AD2613">
        <v>41.841801</v>
      </c>
      <c r="AE2613">
        <v>-88.01235699999999</v>
      </c>
      <c r="AF2613" s="5" t="str">
        <f>HYPERLINK("https://www.google.com/maps/search/?api=1&amp;query=41.841801,-88.012357","map")</f>
        <v>map</v>
      </c>
    </row>
    <row r="2614" spans="1:32">
      <c r="A2614" t="s">
        <v>2664</v>
      </c>
      <c r="B2614" t="s">
        <v>10201</v>
      </c>
      <c r="C2614" t="s">
        <v>15470</v>
      </c>
      <c r="D2614" t="s">
        <v>16205</v>
      </c>
      <c r="E2614" t="s">
        <v>16218</v>
      </c>
      <c r="F2614" t="s">
        <v>16221</v>
      </c>
      <c r="G2614" t="s">
        <v>16269</v>
      </c>
      <c r="H2614" t="s">
        <v>16269</v>
      </c>
      <c r="I2614" t="s">
        <v>16347</v>
      </c>
      <c r="J2614" t="s">
        <v>16386</v>
      </c>
      <c r="K2614">
        <v>0.679</v>
      </c>
      <c r="L2614">
        <v>29598</v>
      </c>
      <c r="M2614">
        <v>2097</v>
      </c>
      <c r="N2614" t="s">
        <v>16393</v>
      </c>
      <c r="O2614" s="4">
        <v>49828</v>
      </c>
      <c r="P2614" s="4">
        <v>80412</v>
      </c>
      <c r="Q2614" s="4">
        <v>130240</v>
      </c>
      <c r="R2614" s="4">
        <v>390720</v>
      </c>
      <c r="S2614" t="s">
        <v>18935</v>
      </c>
      <c r="T2614" s="6">
        <v>43497</v>
      </c>
      <c r="U2614" s="4">
        <v>292000</v>
      </c>
      <c r="V2614" t="s">
        <v>23739</v>
      </c>
      <c r="W2614" t="s">
        <v>24977</v>
      </c>
      <c r="X2614" t="s">
        <v>3</v>
      </c>
      <c r="AA2614" s="5" t="str">
        <f>HYPERLINK("https://www.zillow.com/homes/123-WESTMORE-MEYERS-LOMBARD-IL-601483038_rb/","check listing")</f>
        <v>check listing</v>
      </c>
      <c r="AB2614" s="5" t="str">
        <f>HYPERLINK("https://propertylookup.dupagecounty.gov/Datalets/Datalet.aspx?UseSearch=no&amp;mode=sales&amp;pin=0609109040","sales record")</f>
        <v>sales record</v>
      </c>
      <c r="AC2614" t="s">
        <v>3</v>
      </c>
      <c r="AD2614">
        <v>41.885367</v>
      </c>
      <c r="AE2614">
        <v>-87.992859</v>
      </c>
      <c r="AF2614" s="5" t="str">
        <f>HYPERLINK("https://www.google.com/maps/search/?api=1&amp;query=41.885367,-87.992859","map")</f>
        <v>map</v>
      </c>
    </row>
    <row r="2615" spans="1:32">
      <c r="A2615" t="s">
        <v>2665</v>
      </c>
      <c r="B2615" t="s">
        <v>10202</v>
      </c>
      <c r="C2615" t="s">
        <v>15435</v>
      </c>
      <c r="D2615" t="s">
        <v>16205</v>
      </c>
      <c r="E2615" t="s">
        <v>16218</v>
      </c>
      <c r="F2615" t="s">
        <v>16221</v>
      </c>
      <c r="G2615" t="s">
        <v>16269</v>
      </c>
      <c r="H2615" t="s">
        <v>16269</v>
      </c>
      <c r="I2615" t="s">
        <v>16347</v>
      </c>
      <c r="J2615" t="s">
        <v>16386</v>
      </c>
      <c r="K2615">
        <v>0.515</v>
      </c>
      <c r="L2615">
        <v>22432</v>
      </c>
      <c r="M2615">
        <v>1618</v>
      </c>
      <c r="N2615" t="s">
        <v>16393</v>
      </c>
      <c r="O2615" s="4">
        <v>37955</v>
      </c>
      <c r="P2615" s="4">
        <v>62997</v>
      </c>
      <c r="Q2615" s="4">
        <v>100952</v>
      </c>
      <c r="R2615" s="4">
        <v>302856</v>
      </c>
      <c r="S2615" t="s">
        <v>18936</v>
      </c>
      <c r="T2615" s="6">
        <v>38504</v>
      </c>
      <c r="U2615" s="4">
        <v>250000</v>
      </c>
      <c r="V2615" t="s">
        <v>23739</v>
      </c>
      <c r="W2615" t="s">
        <v>24978</v>
      </c>
      <c r="X2615" t="s">
        <v>3</v>
      </c>
      <c r="AA2615" s="5" t="str">
        <f>HYPERLINK("https://www.zillow.com/homes/113-S-WESTMORE-LOMBARD-IL-60148_rb/","check listing")</f>
        <v>check listing</v>
      </c>
      <c r="AB2615" s="5" t="str">
        <f>HYPERLINK("https://propertylookup.dupagecounty.gov/Datalets/Datalet.aspx?UseSearch=no&amp;mode=sales&amp;pin=0609109005","sales record")</f>
        <v>sales record</v>
      </c>
      <c r="AC2615" t="s">
        <v>3</v>
      </c>
      <c r="AD2615">
        <v>41.885827</v>
      </c>
      <c r="AE2615">
        <v>-87.993011</v>
      </c>
      <c r="AF2615" s="5" t="str">
        <f>HYPERLINK("https://www.google.com/maps/search/?api=1&amp;query=41.885827,-87.993011","map")</f>
        <v>map</v>
      </c>
    </row>
    <row r="2616" spans="1:32">
      <c r="A2616" t="s">
        <v>2666</v>
      </c>
      <c r="B2616" t="s">
        <v>10203</v>
      </c>
      <c r="C2616" t="s">
        <v>15435</v>
      </c>
      <c r="D2616" t="s">
        <v>16205</v>
      </c>
      <c r="E2616" t="s">
        <v>16218</v>
      </c>
      <c r="F2616" t="s">
        <v>16221</v>
      </c>
      <c r="G2616" t="s">
        <v>16269</v>
      </c>
      <c r="H2616" t="s">
        <v>16269</v>
      </c>
      <c r="I2616" t="s">
        <v>16347</v>
      </c>
      <c r="J2616" t="s">
        <v>16386</v>
      </c>
      <c r="K2616">
        <v>0.412</v>
      </c>
      <c r="L2616">
        <v>17948</v>
      </c>
      <c r="M2616">
        <v>1774</v>
      </c>
      <c r="N2616" t="s">
        <v>16393</v>
      </c>
      <c r="O2616" s="4">
        <v>35016</v>
      </c>
      <c r="P2616" s="4">
        <v>40836</v>
      </c>
      <c r="Q2616" s="4">
        <v>75852</v>
      </c>
      <c r="R2616" s="4">
        <v>227556</v>
      </c>
      <c r="S2616" t="s">
        <v>18937</v>
      </c>
      <c r="T2616" s="6">
        <v>39753</v>
      </c>
      <c r="U2616" s="4">
        <v>161500</v>
      </c>
      <c r="V2616" t="s">
        <v>16232</v>
      </c>
      <c r="W2616" t="s">
        <v>24979</v>
      </c>
      <c r="X2616" t="s">
        <v>3</v>
      </c>
      <c r="AA2616" s="5" t="str">
        <f>HYPERLINK("https://www.zillow.com/homes/117-S-WESTMORE-AVE-LOMBARD-IL-60148_rb/","check listing")</f>
        <v>check listing</v>
      </c>
      <c r="AB2616" s="5" t="str">
        <f>HYPERLINK("https://propertylookup.dupagecounty.gov/Datalets/Datalet.aspx?UseSearch=no&amp;mode=sales&amp;pin=0609109006","sales record")</f>
        <v>sales record</v>
      </c>
      <c r="AC2616" t="s">
        <v>3</v>
      </c>
      <c r="AD2616">
        <v>41.885634</v>
      </c>
      <c r="AE2616">
        <v>-87.993009</v>
      </c>
      <c r="AF2616" s="5" t="str">
        <f>HYPERLINK("https://www.google.com/maps/search/?api=1&amp;query=41.885634,-87.993009","map")</f>
        <v>map</v>
      </c>
    </row>
    <row r="2617" spans="1:32">
      <c r="A2617" t="s">
        <v>2667</v>
      </c>
      <c r="B2617" t="s">
        <v>10204</v>
      </c>
      <c r="C2617" t="s">
        <v>15435</v>
      </c>
      <c r="D2617" t="s">
        <v>16205</v>
      </c>
      <c r="E2617" t="s">
        <v>16218</v>
      </c>
      <c r="F2617" t="s">
        <v>16221</v>
      </c>
      <c r="G2617" t="s">
        <v>16269</v>
      </c>
      <c r="H2617" t="s">
        <v>16269</v>
      </c>
      <c r="I2617" t="s">
        <v>16347</v>
      </c>
      <c r="J2617" t="s">
        <v>16386</v>
      </c>
      <c r="K2617">
        <v>0.368</v>
      </c>
      <c r="L2617">
        <v>16033</v>
      </c>
      <c r="M2617">
        <v>1356</v>
      </c>
      <c r="N2617" t="s">
        <v>16393</v>
      </c>
      <c r="O2617" s="4">
        <v>33708</v>
      </c>
      <c r="P2617" s="4">
        <v>71862</v>
      </c>
      <c r="Q2617" s="4">
        <v>105570</v>
      </c>
      <c r="R2617" s="4">
        <v>316710</v>
      </c>
      <c r="S2617" t="s">
        <v>18938</v>
      </c>
      <c r="T2617" s="6">
        <v>32964</v>
      </c>
      <c r="U2617" s="4">
        <v>108000</v>
      </c>
      <c r="X2617" t="s">
        <v>3</v>
      </c>
      <c r="AA2617" s="5" t="str">
        <f>HYPERLINK("https://www.zillow.com/homes/96-S-WESTMORE-AVE-LOMBARD-IL-60148_rb/","check listing")</f>
        <v>check listing</v>
      </c>
      <c r="AB2617" s="5" t="str">
        <f>HYPERLINK("https://propertylookup.dupagecounty.gov/Datalets/Datalet.aspx?UseSearch=no&amp;mode=sales&amp;pin=0609104080","sales record")</f>
        <v>sales record</v>
      </c>
      <c r="AC2617" t="s">
        <v>3</v>
      </c>
      <c r="AD2617">
        <v>41.886298</v>
      </c>
      <c r="AE2617">
        <v>-87.99417699999999</v>
      </c>
      <c r="AF2617" s="5" t="str">
        <f>HYPERLINK("https://www.google.com/maps/search/?api=1&amp;query=41.886298,-87.994177","map")</f>
        <v>map</v>
      </c>
    </row>
    <row r="2618" spans="1:32">
      <c r="A2618" t="s">
        <v>2668</v>
      </c>
      <c r="B2618" t="s">
        <v>10205</v>
      </c>
      <c r="C2618" t="s">
        <v>15471</v>
      </c>
      <c r="D2618" t="s">
        <v>16205</v>
      </c>
      <c r="E2618" t="s">
        <v>16218</v>
      </c>
      <c r="F2618" t="s">
        <v>16221</v>
      </c>
      <c r="G2618" t="s">
        <v>16269</v>
      </c>
      <c r="H2618" t="s">
        <v>16269</v>
      </c>
      <c r="I2618" t="s">
        <v>16347</v>
      </c>
      <c r="J2618" t="s">
        <v>16386</v>
      </c>
      <c r="K2618">
        <v>0.345</v>
      </c>
      <c r="L2618">
        <v>15027</v>
      </c>
      <c r="M2618">
        <v>1608</v>
      </c>
      <c r="N2618" t="s">
        <v>16393</v>
      </c>
      <c r="O2618" s="4">
        <v>33044</v>
      </c>
      <c r="P2618" s="4">
        <v>42772</v>
      </c>
      <c r="Q2618" s="4">
        <v>75816</v>
      </c>
      <c r="R2618" s="4">
        <v>227448</v>
      </c>
      <c r="S2618" t="s">
        <v>18939</v>
      </c>
      <c r="T2618" s="6">
        <v>43800</v>
      </c>
      <c r="U2618" s="4">
        <v>170000</v>
      </c>
      <c r="V2618" t="s">
        <v>23742</v>
      </c>
      <c r="W2618" t="s">
        <v>24980</v>
      </c>
      <c r="X2618" t="s">
        <v>3</v>
      </c>
      <c r="AA2618" s="5" t="str">
        <f>HYPERLINK("https://www.zillow.com/homes/102-WESTMORE-LOMBARD-IL-601483039_rb/","check listing")</f>
        <v>check listing</v>
      </c>
      <c r="AB2618" s="5" t="str">
        <f>HYPERLINK("https://propertylookup.dupagecounty.gov/Datalets/Datalet.aspx?UseSearch=no&amp;mode=sales&amp;pin=0609104087","sales record")</f>
        <v>sales record</v>
      </c>
      <c r="AC2618" t="s">
        <v>3</v>
      </c>
      <c r="AD2618">
        <v>41.886085</v>
      </c>
      <c r="AE2618">
        <v>-87.994174</v>
      </c>
      <c r="AF2618" s="5" t="str">
        <f>HYPERLINK("https://www.google.com/maps/search/?api=1&amp;query=41.886085,-87.994174","map")</f>
        <v>map</v>
      </c>
    </row>
    <row r="2619" spans="1:32">
      <c r="A2619" t="s">
        <v>2669</v>
      </c>
      <c r="B2619" t="s">
        <v>10206</v>
      </c>
      <c r="C2619" t="s">
        <v>15471</v>
      </c>
      <c r="D2619" t="s">
        <v>16205</v>
      </c>
      <c r="E2619" t="s">
        <v>16218</v>
      </c>
      <c r="F2619" t="s">
        <v>16221</v>
      </c>
      <c r="G2619" t="s">
        <v>16269</v>
      </c>
      <c r="H2619" t="s">
        <v>16269</v>
      </c>
      <c r="I2619" t="s">
        <v>16347</v>
      </c>
      <c r="J2619" t="s">
        <v>16386</v>
      </c>
      <c r="K2619">
        <v>0.345</v>
      </c>
      <c r="L2619">
        <v>15026</v>
      </c>
      <c r="M2619">
        <v>1284</v>
      </c>
      <c r="N2619" t="s">
        <v>16393</v>
      </c>
      <c r="O2619" s="4">
        <v>33044</v>
      </c>
      <c r="P2619" s="4">
        <v>47099</v>
      </c>
      <c r="Q2619" s="4">
        <v>80143</v>
      </c>
      <c r="R2619" s="4">
        <v>240429</v>
      </c>
      <c r="S2619" t="s">
        <v>18940</v>
      </c>
      <c r="T2619" s="6">
        <v>41548</v>
      </c>
      <c r="U2619" s="4">
        <v>80000</v>
      </c>
      <c r="V2619" t="s">
        <v>16232</v>
      </c>
      <c r="W2619" t="s">
        <v>18940</v>
      </c>
      <c r="X2619" t="s">
        <v>3</v>
      </c>
      <c r="AA2619" s="5" t="str">
        <f>HYPERLINK("https://www.zillow.com/homes/116-WESTMORE-MEYERS-LOMBARD-IL-601483039_rb/","check listing")</f>
        <v>check listing</v>
      </c>
      <c r="AB2619" s="5" t="str">
        <f>HYPERLINK("https://propertylookup.dupagecounty.gov/Datalets/Datalet.aspx?UseSearch=no&amp;mode=sales&amp;pin=0609104131","sales record")</f>
        <v>sales record</v>
      </c>
      <c r="AC2619" t="s">
        <v>3</v>
      </c>
      <c r="AD2619">
        <v>41.885672</v>
      </c>
      <c r="AE2619">
        <v>-87.994169</v>
      </c>
      <c r="AF2619" s="5" t="str">
        <f>HYPERLINK("https://www.google.com/maps/search/?api=1&amp;query=41.885672,-87.994169","map")</f>
        <v>map</v>
      </c>
    </row>
    <row r="2620" spans="1:32">
      <c r="A2620" t="s">
        <v>2670</v>
      </c>
      <c r="B2620" t="s">
        <v>10207</v>
      </c>
      <c r="C2620" t="s">
        <v>15472</v>
      </c>
      <c r="D2620" t="s">
        <v>16205</v>
      </c>
      <c r="E2620" t="s">
        <v>16218</v>
      </c>
      <c r="F2620" t="s">
        <v>16221</v>
      </c>
      <c r="G2620" t="s">
        <v>16269</v>
      </c>
      <c r="H2620" t="s">
        <v>16269</v>
      </c>
      <c r="I2620" t="s">
        <v>16347</v>
      </c>
      <c r="J2620" t="s">
        <v>16386</v>
      </c>
      <c r="K2620">
        <v>0.342</v>
      </c>
      <c r="L2620">
        <v>14882</v>
      </c>
      <c r="M2620">
        <v>2406</v>
      </c>
      <c r="N2620" t="s">
        <v>16393</v>
      </c>
      <c r="O2620" s="4">
        <v>28157</v>
      </c>
      <c r="P2620" s="4">
        <v>88961</v>
      </c>
      <c r="Q2620" s="4">
        <v>117118</v>
      </c>
      <c r="R2620" s="4">
        <v>351354</v>
      </c>
      <c r="S2620" t="s">
        <v>18941</v>
      </c>
      <c r="T2620" s="6">
        <v>44166</v>
      </c>
      <c r="U2620" s="4">
        <v>240000</v>
      </c>
      <c r="V2620" t="s">
        <v>23740</v>
      </c>
      <c r="W2620" t="s">
        <v>18941</v>
      </c>
      <c r="X2620" t="s">
        <v>3</v>
      </c>
      <c r="AA2620" s="5" t="str">
        <f>HYPERLINK("https://www.zillow.com/homes/91-WESTMORE-MEYERS-LOMBARD-IL-601483035_rb/","check listing")</f>
        <v>check listing</v>
      </c>
      <c r="AB2620" s="5" t="str">
        <f>HYPERLINK("https://propertylookup.dupagecounty.gov/Datalets/Datalet.aspx?UseSearch=no&amp;mode=sales&amp;pin=0609107009","sales record")</f>
        <v>sales record</v>
      </c>
      <c r="AC2620" t="s">
        <v>3</v>
      </c>
      <c r="AD2620">
        <v>41.886522</v>
      </c>
      <c r="AE2620">
        <v>-87.99334</v>
      </c>
      <c r="AF2620" s="5" t="str">
        <f>HYPERLINK("https://www.google.com/maps/search/?api=1&amp;query=41.886522,-87.99334","map")</f>
        <v>map</v>
      </c>
    </row>
    <row r="2621" spans="1:32">
      <c r="A2621" t="s">
        <v>2671</v>
      </c>
      <c r="B2621" t="s">
        <v>10208</v>
      </c>
      <c r="C2621" t="s">
        <v>15435</v>
      </c>
      <c r="D2621" t="s">
        <v>16205</v>
      </c>
      <c r="E2621" t="s">
        <v>16218</v>
      </c>
      <c r="F2621" t="s">
        <v>16221</v>
      </c>
      <c r="G2621" t="s">
        <v>16269</v>
      </c>
      <c r="H2621" t="s">
        <v>16269</v>
      </c>
      <c r="I2621" t="s">
        <v>16347</v>
      </c>
      <c r="J2621" t="s">
        <v>16386</v>
      </c>
      <c r="K2621">
        <v>0.29</v>
      </c>
      <c r="L2621">
        <v>12624</v>
      </c>
      <c r="M2621">
        <v>1898</v>
      </c>
      <c r="N2621" t="s">
        <v>16393</v>
      </c>
      <c r="O2621" s="4">
        <v>29872</v>
      </c>
      <c r="P2621" s="4">
        <v>80645</v>
      </c>
      <c r="Q2621" s="4">
        <v>110517</v>
      </c>
      <c r="R2621" s="4">
        <v>331551</v>
      </c>
      <c r="S2621" t="s">
        <v>18942</v>
      </c>
      <c r="X2621" t="s">
        <v>3</v>
      </c>
      <c r="AA2621" s="5" t="str">
        <f>HYPERLINK("https://www.zillow.com/homes/70-S-WESTMORE-AVE-LOMBARD-IL-60148_rb/","check listing")</f>
        <v>check listing</v>
      </c>
      <c r="AB2621" s="5" t="str">
        <f>HYPERLINK("https://propertylookup.dupagecounty.gov/Datalets/Datalet.aspx?UseSearch=no&amp;mode=sales&amp;pin=0609104128","sales record")</f>
        <v>sales record</v>
      </c>
      <c r="AC2621" t="s">
        <v>3</v>
      </c>
      <c r="AD2621">
        <v>41.887168</v>
      </c>
      <c r="AE2621">
        <v>-87.99418799999999</v>
      </c>
      <c r="AF2621" s="5" t="str">
        <f>HYPERLINK("https://www.google.com/maps/search/?api=1&amp;query=41.887168,-87.994188","map")</f>
        <v>map</v>
      </c>
    </row>
    <row r="2622" spans="1:32">
      <c r="A2622" t="s">
        <v>2672</v>
      </c>
      <c r="B2622" t="s">
        <v>10209</v>
      </c>
      <c r="C2622" t="s">
        <v>15435</v>
      </c>
      <c r="D2622" t="s">
        <v>16205</v>
      </c>
      <c r="E2622" t="s">
        <v>16218</v>
      </c>
      <c r="F2622" t="s">
        <v>16221</v>
      </c>
      <c r="G2622" t="s">
        <v>16269</v>
      </c>
      <c r="H2622" t="s">
        <v>16269</v>
      </c>
      <c r="I2622" t="s">
        <v>16347</v>
      </c>
      <c r="J2622" t="s">
        <v>16386</v>
      </c>
      <c r="K2622">
        <v>0.23</v>
      </c>
      <c r="L2622">
        <v>10022</v>
      </c>
      <c r="M2622">
        <v>1072</v>
      </c>
      <c r="N2622" t="s">
        <v>16393</v>
      </c>
      <c r="O2622" s="4">
        <v>26442</v>
      </c>
      <c r="P2622" s="4">
        <v>55672</v>
      </c>
      <c r="Q2622" s="4">
        <v>82114</v>
      </c>
      <c r="R2622" s="4">
        <v>246342</v>
      </c>
      <c r="S2622" t="s">
        <v>18943</v>
      </c>
      <c r="T2622" s="6">
        <v>41122</v>
      </c>
      <c r="U2622" s="4">
        <v>56000</v>
      </c>
      <c r="V2622" t="s">
        <v>23739</v>
      </c>
      <c r="W2622" t="s">
        <v>24981</v>
      </c>
      <c r="X2622" t="s">
        <v>3</v>
      </c>
      <c r="AA2622" s="5" t="str">
        <f>HYPERLINK("https://www.zillow.com/homes/90-S-WESTMORE-AVE-LOMBARD-IL-60148_rb/","check listing")</f>
        <v>check listing</v>
      </c>
      <c r="AB2622" s="5" t="str">
        <f>HYPERLINK("https://propertylookup.dupagecounty.gov/Datalets/Datalet.aspx?UseSearch=no&amp;mode=sales&amp;pin=0609104130","sales record")</f>
        <v>sales record</v>
      </c>
      <c r="AC2622" t="s">
        <v>3</v>
      </c>
      <c r="AD2622">
        <v>41.886477</v>
      </c>
      <c r="AE2622">
        <v>-87.994179</v>
      </c>
      <c r="AF2622" s="5" t="str">
        <f>HYPERLINK("https://www.google.com/maps/search/?api=1&amp;query=41.886477,-87.994179","map")</f>
        <v>map</v>
      </c>
    </row>
    <row r="2623" spans="1:32">
      <c r="A2623" t="s">
        <v>2673</v>
      </c>
      <c r="B2623" t="s">
        <v>10210</v>
      </c>
      <c r="C2623" t="s">
        <v>15435</v>
      </c>
      <c r="D2623" t="s">
        <v>16205</v>
      </c>
      <c r="E2623" t="s">
        <v>16218</v>
      </c>
      <c r="F2623" t="s">
        <v>16221</v>
      </c>
      <c r="G2623" t="s">
        <v>16269</v>
      </c>
      <c r="H2623" t="s">
        <v>16269</v>
      </c>
      <c r="I2623" t="s">
        <v>16347</v>
      </c>
      <c r="J2623" t="s">
        <v>16386</v>
      </c>
      <c r="K2623">
        <v>0.188</v>
      </c>
      <c r="L2623">
        <v>8175</v>
      </c>
      <c r="M2623">
        <v>1946</v>
      </c>
      <c r="N2623" t="s">
        <v>16393</v>
      </c>
      <c r="O2623" s="4">
        <v>26943</v>
      </c>
      <c r="P2623" s="4">
        <v>93545</v>
      </c>
      <c r="Q2623" s="4">
        <v>120488</v>
      </c>
      <c r="R2623" s="4">
        <v>361464</v>
      </c>
      <c r="S2623" t="s">
        <v>18944</v>
      </c>
      <c r="X2623" t="s">
        <v>3</v>
      </c>
      <c r="AA2623" s="5" t="str">
        <f>HYPERLINK("https://www.zillow.com/homes/1015-E-MAPLE-ST-LOMBARD-IL-60148_rb/","check listing")</f>
        <v>check listing</v>
      </c>
      <c r="AB2623" s="5" t="str">
        <f>HYPERLINK("https://propertylookup.dupagecounty.gov/Datalets/Datalet.aspx?UseSearch=no&amp;mode=sales&amp;pin=0609114004","sales record")</f>
        <v>sales record</v>
      </c>
      <c r="AC2623" t="s">
        <v>3</v>
      </c>
      <c r="AD2623">
        <v>41.884198</v>
      </c>
      <c r="AE2623">
        <v>-87.99287</v>
      </c>
      <c r="AF2623" s="5" t="str">
        <f>HYPERLINK("https://www.google.com/maps/search/?api=1&amp;query=41.884198,-87.99287","map")</f>
        <v>map</v>
      </c>
    </row>
    <row r="2624" spans="1:32">
      <c r="A2624" t="s">
        <v>2674</v>
      </c>
      <c r="B2624" t="s">
        <v>10211</v>
      </c>
      <c r="C2624" t="s">
        <v>15435</v>
      </c>
      <c r="D2624" t="s">
        <v>16205</v>
      </c>
      <c r="E2624" t="s">
        <v>16218</v>
      </c>
      <c r="F2624" t="s">
        <v>16221</v>
      </c>
      <c r="G2624" t="s">
        <v>16269</v>
      </c>
      <c r="H2624" t="s">
        <v>16269</v>
      </c>
      <c r="I2624" t="s">
        <v>16347</v>
      </c>
      <c r="J2624" t="s">
        <v>16386</v>
      </c>
      <c r="K2624">
        <v>0.176</v>
      </c>
      <c r="L2624">
        <v>7684</v>
      </c>
      <c r="M2624">
        <v>1800</v>
      </c>
      <c r="N2624" t="s">
        <v>16393</v>
      </c>
      <c r="O2624" s="4">
        <v>25346</v>
      </c>
      <c r="P2624" s="4">
        <v>89089</v>
      </c>
      <c r="Q2624" s="4">
        <v>114435</v>
      </c>
      <c r="R2624" s="4">
        <v>343305</v>
      </c>
      <c r="S2624" t="s">
        <v>18945</v>
      </c>
      <c r="T2624" s="6">
        <v>38231</v>
      </c>
      <c r="U2624" s="4">
        <v>241000</v>
      </c>
      <c r="V2624" t="s">
        <v>23739</v>
      </c>
      <c r="W2624" t="s">
        <v>18945</v>
      </c>
      <c r="X2624" t="s">
        <v>3</v>
      </c>
      <c r="AA2624" s="5" t="str">
        <f>HYPERLINK("https://www.zillow.com/homes/1014-E-MAPLE-ST-LOMBARD-IL-60148_rb/","check listing")</f>
        <v>check listing</v>
      </c>
      <c r="AB2624" s="5" t="str">
        <f>HYPERLINK("https://propertylookup.dupagecounty.gov/Datalets/Datalet.aspx?UseSearch=no&amp;mode=sales&amp;pin=0609109023","sales record")</f>
        <v>sales record</v>
      </c>
      <c r="AC2624" t="s">
        <v>3</v>
      </c>
      <c r="AD2624">
        <v>41.884703</v>
      </c>
      <c r="AE2624">
        <v>-87.992924</v>
      </c>
      <c r="AF2624" s="5" t="str">
        <f>HYPERLINK("https://www.google.com/maps/search/?api=1&amp;query=41.884703,-87.992924","map")</f>
        <v>map</v>
      </c>
    </row>
    <row r="2625" spans="1:32">
      <c r="A2625" t="s">
        <v>2675</v>
      </c>
      <c r="B2625" t="s">
        <v>10212</v>
      </c>
      <c r="C2625" t="s">
        <v>15435</v>
      </c>
      <c r="D2625" t="s">
        <v>16205</v>
      </c>
      <c r="E2625" t="s">
        <v>16218</v>
      </c>
      <c r="F2625" t="s">
        <v>16221</v>
      </c>
      <c r="G2625" t="s">
        <v>16269</v>
      </c>
      <c r="H2625" t="s">
        <v>16269</v>
      </c>
      <c r="I2625" t="s">
        <v>16347</v>
      </c>
      <c r="J2625" t="s">
        <v>16386</v>
      </c>
      <c r="K2625">
        <v>0.172</v>
      </c>
      <c r="L2625">
        <v>7511</v>
      </c>
      <c r="M2625">
        <v>1488</v>
      </c>
      <c r="N2625" t="s">
        <v>16393</v>
      </c>
      <c r="O2625" s="4">
        <v>19841</v>
      </c>
      <c r="P2625" s="4">
        <v>69844</v>
      </c>
      <c r="Q2625" s="4">
        <v>89685</v>
      </c>
      <c r="R2625" s="4">
        <v>269055</v>
      </c>
      <c r="S2625" t="s">
        <v>18946</v>
      </c>
      <c r="T2625" s="6">
        <v>37043</v>
      </c>
      <c r="U2625" s="4">
        <v>190000</v>
      </c>
      <c r="V2625" t="s">
        <v>23739</v>
      </c>
      <c r="W2625" t="s">
        <v>24982</v>
      </c>
      <c r="X2625" t="s">
        <v>3</v>
      </c>
      <c r="AA2625" s="5" t="str">
        <f>HYPERLINK("https://www.zillow.com/homes/120-S-WESTMORE-AVE-LOMBARD-IL-60148_rb/","check listing")</f>
        <v>check listing</v>
      </c>
      <c r="AB2625" s="5" t="str">
        <f>HYPERLINK("https://propertylookup.dupagecounty.gov/Datalets/Datalet.aspx?UseSearch=no&amp;mode=sales&amp;pin=0609104132","sales record")</f>
        <v>sales record</v>
      </c>
      <c r="AC2625" t="s">
        <v>3</v>
      </c>
      <c r="AD2625">
        <v>41.885499</v>
      </c>
      <c r="AE2625">
        <v>-87.994075</v>
      </c>
      <c r="AF2625" s="5" t="str">
        <f>HYPERLINK("https://www.google.com/maps/search/?api=1&amp;query=41.885499,-87.994075","map")</f>
        <v>map</v>
      </c>
    </row>
    <row r="2626" spans="1:32">
      <c r="A2626" t="s">
        <v>2676</v>
      </c>
      <c r="B2626" t="s">
        <v>10213</v>
      </c>
      <c r="C2626" t="s">
        <v>15471</v>
      </c>
      <c r="D2626" t="s">
        <v>16205</v>
      </c>
      <c r="E2626" t="s">
        <v>16218</v>
      </c>
      <c r="F2626" t="s">
        <v>16221</v>
      </c>
      <c r="G2626" t="s">
        <v>16269</v>
      </c>
      <c r="H2626" t="s">
        <v>16269</v>
      </c>
      <c r="I2626" t="s">
        <v>16347</v>
      </c>
      <c r="J2626" t="s">
        <v>16386</v>
      </c>
      <c r="K2626">
        <v>0.172</v>
      </c>
      <c r="L2626">
        <v>7476</v>
      </c>
      <c r="M2626">
        <v>1225</v>
      </c>
      <c r="N2626" t="s">
        <v>16393</v>
      </c>
      <c r="O2626" s="4">
        <v>19841</v>
      </c>
      <c r="P2626" s="4">
        <v>54785</v>
      </c>
      <c r="Q2626" s="4">
        <v>74626</v>
      </c>
      <c r="R2626" s="4">
        <v>223878</v>
      </c>
      <c r="S2626" t="s">
        <v>18947</v>
      </c>
      <c r="T2626" s="6">
        <v>44256</v>
      </c>
      <c r="U2626" s="4">
        <v>255000</v>
      </c>
      <c r="V2626" t="s">
        <v>23738</v>
      </c>
      <c r="W2626" t="s">
        <v>24983</v>
      </c>
      <c r="X2626" t="s">
        <v>3</v>
      </c>
      <c r="AA2626" s="5" t="str">
        <f>HYPERLINK("https://www.zillow.com/homes/122-WESTMORE-AVE-LOMBARD-IL-601483039_rb/","check listing")</f>
        <v>check listing</v>
      </c>
      <c r="AB2626" s="5" t="str">
        <f>HYPERLINK("https://propertylookup.dupagecounty.gov/Datalets/Datalet.aspx?UseSearch=no&amp;mode=sales&amp;pin=0609104133","sales record")</f>
        <v>sales record</v>
      </c>
      <c r="AC2626" t="s">
        <v>3</v>
      </c>
      <c r="AD2626">
        <v>41.885362</v>
      </c>
      <c r="AE2626">
        <v>-87.994073</v>
      </c>
      <c r="AF2626" s="5" t="str">
        <f>HYPERLINK("https://www.google.com/maps/search/?api=1&amp;query=41.885362,-87.994073","map")</f>
        <v>map</v>
      </c>
    </row>
    <row r="2627" spans="1:32">
      <c r="A2627" t="s">
        <v>2677</v>
      </c>
      <c r="B2627" t="s">
        <v>10214</v>
      </c>
      <c r="C2627" t="s">
        <v>15473</v>
      </c>
      <c r="D2627" t="s">
        <v>16205</v>
      </c>
      <c r="E2627" t="s">
        <v>16217</v>
      </c>
      <c r="F2627" t="s">
        <v>16221</v>
      </c>
      <c r="G2627" t="s">
        <v>16269</v>
      </c>
      <c r="H2627" t="s">
        <v>16269</v>
      </c>
      <c r="I2627" t="s">
        <v>16347</v>
      </c>
      <c r="J2627" t="s">
        <v>16386</v>
      </c>
      <c r="K2627">
        <v>0.141</v>
      </c>
      <c r="L2627">
        <v>6158</v>
      </c>
      <c r="N2627" t="s">
        <v>16393</v>
      </c>
      <c r="O2627" s="4">
        <v>41689</v>
      </c>
      <c r="P2627" s="4">
        <v>0</v>
      </c>
      <c r="Q2627" s="4">
        <v>41689</v>
      </c>
      <c r="R2627" s="4">
        <v>125067</v>
      </c>
      <c r="S2627" t="s">
        <v>18948</v>
      </c>
      <c r="X2627" t="s">
        <v>3</v>
      </c>
      <c r="AA2627" s="5" t="str">
        <f>HYPERLINK("https://www.zillow.com/homes/600-W-PLEASANT-LN-E-LOMBARD-IL-601481439_rb/","check listing")</f>
        <v>check listing</v>
      </c>
      <c r="AB2627" s="5" t="str">
        <f>HYPERLINK("https://propertylookup.dupagecounty.gov/Datalets/Datalet.aspx?UseSearch=no&amp;mode=sales&amp;pin=0501204069","sales record")</f>
        <v>sales record</v>
      </c>
      <c r="AC2627" t="s">
        <v>3</v>
      </c>
      <c r="AD2627">
        <v>41.898355</v>
      </c>
      <c r="AE2627">
        <v>-88.03405100000001</v>
      </c>
      <c r="AF2627" s="5" t="str">
        <f>HYPERLINK("https://www.google.com/maps/search/?api=1&amp;query=41.898355,-88.034051","map")</f>
        <v>map</v>
      </c>
    </row>
    <row r="2628" spans="1:32">
      <c r="A2628" t="s">
        <v>2678</v>
      </c>
      <c r="B2628" t="s">
        <v>10214</v>
      </c>
      <c r="C2628" t="s">
        <v>15473</v>
      </c>
      <c r="D2628" t="s">
        <v>16205</v>
      </c>
      <c r="E2628" t="s">
        <v>16217</v>
      </c>
      <c r="F2628" t="s">
        <v>16221</v>
      </c>
      <c r="G2628" t="s">
        <v>16269</v>
      </c>
      <c r="H2628" t="s">
        <v>16269</v>
      </c>
      <c r="I2628" t="s">
        <v>16347</v>
      </c>
      <c r="J2628" t="s">
        <v>16386</v>
      </c>
      <c r="K2628">
        <v>0.141</v>
      </c>
      <c r="L2628">
        <v>6158</v>
      </c>
      <c r="N2628" t="s">
        <v>16393</v>
      </c>
      <c r="O2628" s="4">
        <v>41689</v>
      </c>
      <c r="P2628" s="4">
        <v>0</v>
      </c>
      <c r="Q2628" s="4">
        <v>41689</v>
      </c>
      <c r="R2628" s="4">
        <v>125067</v>
      </c>
      <c r="S2628" t="s">
        <v>18948</v>
      </c>
      <c r="X2628" t="s">
        <v>3</v>
      </c>
      <c r="AA2628" s="5" t="str">
        <f>HYPERLINK("https://www.zillow.com/homes/600-W-PLEASANT-LN-E-LOMBARD-IL-601481439_rb/","check listing")</f>
        <v>check listing</v>
      </c>
      <c r="AB2628" s="5" t="str">
        <f>HYPERLINK("https://propertylookup.dupagecounty.gov/Datalets/Datalet.aspx?UseSearch=no&amp;mode=sales&amp;pin=0501204070","sales record")</f>
        <v>sales record</v>
      </c>
      <c r="AC2628" t="s">
        <v>3</v>
      </c>
      <c r="AD2628">
        <v>41.898349</v>
      </c>
      <c r="AE2628">
        <v>-88.03357699999999</v>
      </c>
      <c r="AF2628" s="5" t="str">
        <f>HYPERLINK("https://www.google.com/maps/search/?api=1&amp;query=41.898349,-88.033577","map")</f>
        <v>map</v>
      </c>
    </row>
    <row r="2629" spans="1:32">
      <c r="A2629" t="s">
        <v>2679</v>
      </c>
      <c r="B2629" t="s">
        <v>10215</v>
      </c>
      <c r="C2629" t="s">
        <v>15474</v>
      </c>
      <c r="D2629" t="s">
        <v>16206</v>
      </c>
      <c r="E2629" t="s">
        <v>16218</v>
      </c>
      <c r="F2629" t="s">
        <v>16222</v>
      </c>
      <c r="G2629" t="s">
        <v>16270</v>
      </c>
      <c r="H2629" t="s">
        <v>16270</v>
      </c>
      <c r="I2629" t="s">
        <v>16348</v>
      </c>
      <c r="J2629" t="s">
        <v>16385</v>
      </c>
      <c r="K2629">
        <v>0.547</v>
      </c>
      <c r="L2629">
        <v>23840</v>
      </c>
      <c r="M2629">
        <v>1979</v>
      </c>
      <c r="N2629" t="s">
        <v>16393</v>
      </c>
      <c r="O2629" s="4">
        <v>269930</v>
      </c>
      <c r="P2629" s="4">
        <v>1585074</v>
      </c>
      <c r="Q2629" s="4">
        <v>1855004</v>
      </c>
      <c r="R2629" s="4">
        <v>5565012</v>
      </c>
      <c r="S2629" t="s">
        <v>18949</v>
      </c>
      <c r="T2629" s="6">
        <v>45237</v>
      </c>
      <c r="U2629" s="4">
        <v>5425000</v>
      </c>
      <c r="V2629" t="s">
        <v>23741</v>
      </c>
      <c r="W2629" t="s">
        <v>24984</v>
      </c>
      <c r="X2629" t="s">
        <v>3</v>
      </c>
      <c r="AA2629" s="5" t="str">
        <f>HYPERLINK("https://www.zillow.com/homes/222-W-VAN-BUREN-AVE-NAPERVILLE-IL-605405329_rb/","check listing")</f>
        <v>check listing</v>
      </c>
      <c r="AB2629" s="5" t="str">
        <f>HYPERLINK("https://propertylookup.dupagecounty.gov/Datalets/Datalet.aspx?UseSearch=no&amp;mode=sales&amp;pin=0713421018","sales record")</f>
        <v>sales record</v>
      </c>
      <c r="AC2629" t="s">
        <v>3</v>
      </c>
      <c r="AD2629">
        <v>41.773915</v>
      </c>
      <c r="AE2629">
        <v>-88.15204900000001</v>
      </c>
      <c r="AF2629" s="5" t="str">
        <f>HYPERLINK("https://www.google.com/maps/search/?api=1&amp;query=41.773915,-88.152049","map")</f>
        <v>map</v>
      </c>
    </row>
    <row r="2630" spans="1:32">
      <c r="A2630" t="s">
        <v>2680</v>
      </c>
      <c r="B2630" t="s">
        <v>10216</v>
      </c>
      <c r="C2630" t="s">
        <v>15475</v>
      </c>
      <c r="D2630" t="s">
        <v>16206</v>
      </c>
      <c r="E2630" t="s">
        <v>16218</v>
      </c>
      <c r="F2630" t="s">
        <v>16222</v>
      </c>
      <c r="G2630" t="s">
        <v>16262</v>
      </c>
      <c r="H2630" t="s">
        <v>16262</v>
      </c>
      <c r="I2630" t="s">
        <v>16349</v>
      </c>
      <c r="J2630" t="s">
        <v>16385</v>
      </c>
      <c r="K2630">
        <v>0.252</v>
      </c>
      <c r="L2630">
        <v>10969</v>
      </c>
      <c r="M2630">
        <v>3167</v>
      </c>
      <c r="N2630" t="s">
        <v>16393</v>
      </c>
      <c r="O2630" s="4">
        <v>135563</v>
      </c>
      <c r="P2630" s="4">
        <v>10455</v>
      </c>
      <c r="Q2630" s="4">
        <v>146018</v>
      </c>
      <c r="R2630" s="4">
        <v>438054</v>
      </c>
      <c r="S2630" t="s">
        <v>18950</v>
      </c>
      <c r="X2630" t="s">
        <v>3</v>
      </c>
      <c r="AA2630" s="5" t="str">
        <f>HYPERLINK("https://www.zillow.com/homes/415-W-JACKSON-AVE-NAPERVILLE-IL-60540_rb/","check listing")</f>
        <v>check listing</v>
      </c>
      <c r="AB2630" s="5" t="str">
        <f>HYPERLINK("https://propertylookup.dupagecounty.gov/Datalets/Datalet.aspx?UseSearch=no&amp;mode=sales&amp;pin=0713426018","sales record")</f>
        <v>sales record</v>
      </c>
      <c r="AC2630" t="s">
        <v>3</v>
      </c>
      <c r="AD2630">
        <v>41.772243</v>
      </c>
      <c r="AE2630">
        <v>-88.155069</v>
      </c>
      <c r="AF2630" s="5" t="str">
        <f>HYPERLINK("https://www.google.com/maps/search/?api=1&amp;query=41.772243,-88.155069","map")</f>
        <v>map</v>
      </c>
    </row>
    <row r="2631" spans="1:32">
      <c r="A2631" t="s">
        <v>2681</v>
      </c>
      <c r="B2631" t="s">
        <v>10217</v>
      </c>
      <c r="C2631" t="s">
        <v>15475</v>
      </c>
      <c r="D2631" t="s">
        <v>16206</v>
      </c>
      <c r="E2631" t="s">
        <v>16218</v>
      </c>
      <c r="F2631" t="s">
        <v>16222</v>
      </c>
      <c r="G2631" t="s">
        <v>16270</v>
      </c>
      <c r="H2631" t="s">
        <v>16270</v>
      </c>
      <c r="I2631" t="s">
        <v>16348</v>
      </c>
      <c r="J2631" t="s">
        <v>16385</v>
      </c>
      <c r="K2631">
        <v>0.203</v>
      </c>
      <c r="L2631">
        <v>8824</v>
      </c>
      <c r="M2631">
        <v>5019</v>
      </c>
      <c r="N2631" t="s">
        <v>16393</v>
      </c>
      <c r="O2631" s="4">
        <v>131071</v>
      </c>
      <c r="P2631" s="4">
        <v>774663</v>
      </c>
      <c r="Q2631" s="4">
        <v>905734</v>
      </c>
      <c r="R2631" s="4">
        <v>2717202</v>
      </c>
      <c r="S2631" t="s">
        <v>18951</v>
      </c>
      <c r="T2631" s="6">
        <v>41395</v>
      </c>
      <c r="U2631" s="4">
        <v>817500</v>
      </c>
      <c r="V2631" t="s">
        <v>16232</v>
      </c>
      <c r="W2631" t="s">
        <v>24985</v>
      </c>
      <c r="X2631" t="s">
        <v>3</v>
      </c>
      <c r="AA2631" s="5" t="str">
        <f>HYPERLINK("https://www.zillow.com/homes/183-W-BENTON-AVE-NAPERVILLE-IL-60540_rb/","check listing")</f>
        <v>check listing</v>
      </c>
      <c r="AB2631" s="5" t="str">
        <f>HYPERLINK("https://propertylookup.dupagecounty.gov/Datalets/Datalet.aspx?UseSearch=no&amp;mode=sales&amp;pin=0713410007","sales record")</f>
        <v>sales record</v>
      </c>
      <c r="AC2631" t="s">
        <v>3</v>
      </c>
      <c r="AD2631">
        <v>41.775471</v>
      </c>
      <c r="AE2631">
        <v>-88.150897</v>
      </c>
      <c r="AF2631" s="5" t="str">
        <f>HYPERLINK("https://www.google.com/maps/search/?api=1&amp;query=41.775471,-88.150897","map")</f>
        <v>map</v>
      </c>
    </row>
    <row r="2632" spans="1:32">
      <c r="A2632" t="s">
        <v>2682</v>
      </c>
      <c r="B2632" t="s">
        <v>10218</v>
      </c>
      <c r="C2632" t="s">
        <v>15475</v>
      </c>
      <c r="D2632" t="s">
        <v>16206</v>
      </c>
      <c r="E2632" t="s">
        <v>16218</v>
      </c>
      <c r="F2632" t="s">
        <v>16222</v>
      </c>
      <c r="G2632" t="s">
        <v>16270</v>
      </c>
      <c r="H2632" t="s">
        <v>16270</v>
      </c>
      <c r="I2632" t="s">
        <v>16348</v>
      </c>
      <c r="J2632" t="s">
        <v>16385</v>
      </c>
      <c r="K2632">
        <v>0.203</v>
      </c>
      <c r="L2632">
        <v>8824</v>
      </c>
      <c r="M2632">
        <v>2529</v>
      </c>
      <c r="N2632" t="s">
        <v>16393</v>
      </c>
      <c r="O2632" s="4">
        <v>142666</v>
      </c>
      <c r="P2632" s="4">
        <v>68459</v>
      </c>
      <c r="Q2632" s="4">
        <v>211125</v>
      </c>
      <c r="R2632" s="4">
        <v>633375</v>
      </c>
      <c r="S2632" t="s">
        <v>18952</v>
      </c>
      <c r="T2632" s="6">
        <v>34425</v>
      </c>
      <c r="U2632" s="4">
        <v>207500</v>
      </c>
      <c r="X2632" t="s">
        <v>3</v>
      </c>
      <c r="AA2632" s="5" t="str">
        <f>HYPERLINK("https://www.zillow.com/homes/13-N-MAIN-ST-NAPERVILLE-IL-60540_rb/","check listing")</f>
        <v>check listing</v>
      </c>
      <c r="AB2632" s="5" t="str">
        <f>HYPERLINK("https://propertylookup.dupagecounty.gov/Datalets/Datalet.aspx?UseSearch=no&amp;mode=sales&amp;pin=0713410013","sales record")</f>
        <v>sales record</v>
      </c>
      <c r="AC2632" t="s">
        <v>27873</v>
      </c>
      <c r="AD2632">
        <v>41.775532</v>
      </c>
      <c r="AE2632">
        <v>-88.14979700000001</v>
      </c>
      <c r="AF2632" s="5" t="str">
        <f>HYPERLINK("https://www.google.com/maps/search/?api=1&amp;query=41.775532,-88.149797","map")</f>
        <v>map</v>
      </c>
    </row>
    <row r="2633" spans="1:32">
      <c r="A2633" t="s">
        <v>2683</v>
      </c>
      <c r="B2633" t="s">
        <v>10219</v>
      </c>
      <c r="C2633" t="s">
        <v>15476</v>
      </c>
      <c r="D2633" t="s">
        <v>16206</v>
      </c>
      <c r="E2633" t="s">
        <v>16218</v>
      </c>
      <c r="F2633" t="s">
        <v>16222</v>
      </c>
      <c r="G2633" t="s">
        <v>16270</v>
      </c>
      <c r="H2633" t="s">
        <v>16270</v>
      </c>
      <c r="I2633" t="s">
        <v>16348</v>
      </c>
      <c r="J2633" t="s">
        <v>16385</v>
      </c>
      <c r="K2633">
        <v>0.189</v>
      </c>
      <c r="L2633">
        <v>8212</v>
      </c>
      <c r="N2633" t="s">
        <v>16393</v>
      </c>
      <c r="O2633" s="4">
        <v>43369</v>
      </c>
      <c r="P2633" s="4">
        <v>191777</v>
      </c>
      <c r="Q2633" s="4">
        <v>235146</v>
      </c>
      <c r="R2633" s="4">
        <v>705438</v>
      </c>
      <c r="S2633" t="s">
        <v>18953</v>
      </c>
      <c r="T2633" s="6">
        <v>43009</v>
      </c>
      <c r="U2633" s="4">
        <v>486126</v>
      </c>
      <c r="V2633" t="s">
        <v>23739</v>
      </c>
      <c r="W2633" t="s">
        <v>24986</v>
      </c>
      <c r="X2633" t="s">
        <v>3</v>
      </c>
      <c r="AA2633" s="5" t="str">
        <f>HYPERLINK("https://www.zillow.com/homes/1612-CASTLE-LAWN-CT-NAPERVILLE-IL-60565_rb/","check listing")</f>
        <v>check listing</v>
      </c>
      <c r="AB2633" s="5" t="str">
        <f>HYPERLINK("https://propertylookup.dupagecounty.gov/Datalets/Datalet.aspx?UseSearch=no&amp;mode=sales&amp;pin=0828301073","sales record")</f>
        <v>sales record</v>
      </c>
      <c r="AC2633" t="s">
        <v>3</v>
      </c>
      <c r="AD2633">
        <v>41.747484</v>
      </c>
      <c r="AE2633">
        <v>-88.100577</v>
      </c>
      <c r="AF2633" s="5" t="str">
        <f>HYPERLINK("https://www.google.com/maps/search/?api=1&amp;query=41.747484,-88.100577","map")</f>
        <v>map</v>
      </c>
    </row>
    <row r="2634" spans="1:32">
      <c r="A2634" t="s">
        <v>2684</v>
      </c>
      <c r="B2634" t="s">
        <v>10220</v>
      </c>
      <c r="C2634" t="s">
        <v>15477</v>
      </c>
      <c r="D2634" t="s">
        <v>16206</v>
      </c>
      <c r="E2634" t="s">
        <v>16218</v>
      </c>
      <c r="F2634" t="s">
        <v>16222</v>
      </c>
      <c r="G2634" t="s">
        <v>16270</v>
      </c>
      <c r="H2634" t="s">
        <v>16270</v>
      </c>
      <c r="I2634" t="s">
        <v>16348</v>
      </c>
      <c r="J2634" t="s">
        <v>16385</v>
      </c>
      <c r="K2634">
        <v>0.18</v>
      </c>
      <c r="L2634">
        <v>7847</v>
      </c>
      <c r="N2634" t="s">
        <v>16393</v>
      </c>
      <c r="O2634" s="4">
        <v>43369</v>
      </c>
      <c r="P2634" s="4">
        <v>202086</v>
      </c>
      <c r="Q2634" s="4">
        <v>245455</v>
      </c>
      <c r="R2634" s="4">
        <v>736365</v>
      </c>
      <c r="S2634" t="s">
        <v>18954</v>
      </c>
      <c r="T2634" s="6">
        <v>42887</v>
      </c>
      <c r="U2634" s="4">
        <v>579000</v>
      </c>
      <c r="V2634" t="s">
        <v>23739</v>
      </c>
      <c r="W2634" t="s">
        <v>18954</v>
      </c>
      <c r="X2634" t="s">
        <v>3</v>
      </c>
      <c r="AA2634" s="5" t="str">
        <f>HYPERLINK("https://www.zillow.com/homes/1641-CASTLE-LAWN-CT-NAPERVILLE-IL-605652096_rb/","check listing")</f>
        <v>check listing</v>
      </c>
      <c r="AB2634" s="5" t="str">
        <f>HYPERLINK("https://propertylookup.dupagecounty.gov/Datalets/Datalet.aspx?UseSearch=no&amp;mode=sales&amp;pin=0828301062","sales record")</f>
        <v>sales record</v>
      </c>
      <c r="AC2634" t="s">
        <v>3</v>
      </c>
      <c r="AD2634">
        <v>41.747994</v>
      </c>
      <c r="AE2634">
        <v>-88.099029</v>
      </c>
      <c r="AF2634" s="5" t="str">
        <f>HYPERLINK("https://www.google.com/maps/search/?api=1&amp;query=41.747994,-88.099029","map")</f>
        <v>map</v>
      </c>
    </row>
    <row r="2635" spans="1:32">
      <c r="A2635" t="s">
        <v>2685</v>
      </c>
      <c r="B2635" t="s">
        <v>10221</v>
      </c>
      <c r="C2635" t="s">
        <v>15475</v>
      </c>
      <c r="D2635" t="s">
        <v>16206</v>
      </c>
      <c r="E2635" t="s">
        <v>16218</v>
      </c>
      <c r="F2635" t="s">
        <v>16222</v>
      </c>
      <c r="G2635" t="s">
        <v>16270</v>
      </c>
      <c r="H2635" t="s">
        <v>16270</v>
      </c>
      <c r="I2635" t="s">
        <v>16348</v>
      </c>
      <c r="J2635" t="s">
        <v>16385</v>
      </c>
      <c r="K2635">
        <v>0.178</v>
      </c>
      <c r="L2635">
        <v>7772</v>
      </c>
      <c r="M2635">
        <v>2482</v>
      </c>
      <c r="N2635" t="s">
        <v>16393</v>
      </c>
      <c r="O2635" s="4">
        <v>123370</v>
      </c>
      <c r="P2635" s="4">
        <v>68850</v>
      </c>
      <c r="Q2635" s="4">
        <v>192220</v>
      </c>
      <c r="R2635" s="4">
        <v>576660</v>
      </c>
      <c r="S2635" t="s">
        <v>18955</v>
      </c>
      <c r="X2635" t="s">
        <v>3</v>
      </c>
      <c r="AA2635" s="5" t="str">
        <f>HYPERLINK("https://www.zillow.com/homes/216-N-WASHINGTON-ST-NAPERVILLE-IL-60540_rb/","check listing")</f>
        <v>check listing</v>
      </c>
      <c r="AB2635" s="5" t="str">
        <f>HYPERLINK("https://propertylookup.dupagecounty.gov/Datalets/Datalet.aspx?UseSearch=no&amp;mode=sales&amp;pin=0713227004","sales record")</f>
        <v>sales record</v>
      </c>
      <c r="AC2635" t="s">
        <v>27873</v>
      </c>
      <c r="AD2635">
        <v>41.778007</v>
      </c>
      <c r="AE2635">
        <v>-88.14721</v>
      </c>
      <c r="AF2635" s="5" t="str">
        <f>HYPERLINK("https://www.google.com/maps/search/?api=1&amp;query=41.778007,-88.14721","map")</f>
        <v>map</v>
      </c>
    </row>
    <row r="2636" spans="1:32">
      <c r="A2636" t="s">
        <v>2686</v>
      </c>
      <c r="B2636" t="s">
        <v>10222</v>
      </c>
      <c r="C2636" t="s">
        <v>15476</v>
      </c>
      <c r="D2636" t="s">
        <v>16206</v>
      </c>
      <c r="E2636" t="s">
        <v>16218</v>
      </c>
      <c r="F2636" t="s">
        <v>16222</v>
      </c>
      <c r="G2636" t="s">
        <v>16270</v>
      </c>
      <c r="H2636" t="s">
        <v>16270</v>
      </c>
      <c r="I2636" t="s">
        <v>16348</v>
      </c>
      <c r="J2636" t="s">
        <v>16385</v>
      </c>
      <c r="K2636">
        <v>0.174</v>
      </c>
      <c r="L2636">
        <v>7599</v>
      </c>
      <c r="N2636" t="s">
        <v>16393</v>
      </c>
      <c r="O2636" s="4">
        <v>43369</v>
      </c>
      <c r="P2636" s="4">
        <v>189434</v>
      </c>
      <c r="Q2636" s="4">
        <v>232803</v>
      </c>
      <c r="R2636" s="4">
        <v>698409</v>
      </c>
      <c r="S2636" t="s">
        <v>18956</v>
      </c>
      <c r="T2636" s="6">
        <v>45154</v>
      </c>
      <c r="U2636" s="4">
        <v>600000</v>
      </c>
      <c r="V2636" t="s">
        <v>23741</v>
      </c>
      <c r="W2636" t="s">
        <v>24987</v>
      </c>
      <c r="X2636" t="s">
        <v>3</v>
      </c>
      <c r="AA2636" s="5" t="str">
        <f>HYPERLINK("https://www.zillow.com/homes/1611-CASTLE-LAWN-CT-NAPERVILLE-IL-60565_rb/","check listing")</f>
        <v>check listing</v>
      </c>
      <c r="AB2636" s="5" t="str">
        <f>HYPERLINK("https://propertylookup.dupagecounty.gov/Datalets/Datalet.aspx?UseSearch=no&amp;mode=sales&amp;pin=0828301066","sales record")</f>
        <v>sales record</v>
      </c>
      <c r="AC2636" t="s">
        <v>3</v>
      </c>
      <c r="AD2636">
        <v>41.747987</v>
      </c>
      <c r="AE2636">
        <v>-88.10060799999999</v>
      </c>
      <c r="AF2636" s="5" t="str">
        <f>HYPERLINK("https://www.google.com/maps/search/?api=1&amp;query=41.747987,-88.100608","map")</f>
        <v>map</v>
      </c>
    </row>
    <row r="2637" spans="1:32">
      <c r="A2637" t="s">
        <v>2687</v>
      </c>
      <c r="B2637" t="s">
        <v>10223</v>
      </c>
      <c r="C2637" t="s">
        <v>15476</v>
      </c>
      <c r="D2637" t="s">
        <v>16206</v>
      </c>
      <c r="E2637" t="s">
        <v>16218</v>
      </c>
      <c r="F2637" t="s">
        <v>16222</v>
      </c>
      <c r="G2637" t="s">
        <v>16270</v>
      </c>
      <c r="H2637" t="s">
        <v>16270</v>
      </c>
      <c r="I2637" t="s">
        <v>16348</v>
      </c>
      <c r="J2637" t="s">
        <v>16385</v>
      </c>
      <c r="K2637">
        <v>0.151</v>
      </c>
      <c r="L2637">
        <v>6585</v>
      </c>
      <c r="N2637" t="s">
        <v>16393</v>
      </c>
      <c r="O2637" s="4">
        <v>43369</v>
      </c>
      <c r="P2637" s="4">
        <v>199898</v>
      </c>
      <c r="Q2637" s="4">
        <v>243267</v>
      </c>
      <c r="R2637" s="4">
        <v>729801</v>
      </c>
      <c r="S2637" t="s">
        <v>18957</v>
      </c>
      <c r="X2637" t="s">
        <v>3</v>
      </c>
      <c r="AA2637" s="5" t="str">
        <f>HYPERLINK("https://www.zillow.com/homes/1610-CASTLE-LAWN-CT-NAPERVILLE-IL-60565_rb/","check listing")</f>
        <v>check listing</v>
      </c>
      <c r="AB2637" s="5" t="str">
        <f>HYPERLINK("https://propertylookup.dupagecounty.gov/Datalets/Datalet.aspx?UseSearch=no&amp;mode=sales&amp;pin=0828301072","sales record")</f>
        <v>sales record</v>
      </c>
      <c r="AC2637" t="s">
        <v>3</v>
      </c>
      <c r="AD2637">
        <v>41.747547</v>
      </c>
      <c r="AE2637">
        <v>-88.100639</v>
      </c>
      <c r="AF2637" s="5" t="str">
        <f>HYPERLINK("https://www.google.com/maps/search/?api=1&amp;query=41.747547,-88.100639","map")</f>
        <v>map</v>
      </c>
    </row>
    <row r="2638" spans="1:32">
      <c r="A2638" t="s">
        <v>2688</v>
      </c>
      <c r="B2638" t="s">
        <v>10224</v>
      </c>
      <c r="C2638" t="s">
        <v>15476</v>
      </c>
      <c r="D2638" t="s">
        <v>16206</v>
      </c>
      <c r="E2638" t="s">
        <v>16218</v>
      </c>
      <c r="F2638" t="s">
        <v>16222</v>
      </c>
      <c r="G2638" t="s">
        <v>16270</v>
      </c>
      <c r="H2638" t="s">
        <v>16270</v>
      </c>
      <c r="I2638" t="s">
        <v>16348</v>
      </c>
      <c r="J2638" t="s">
        <v>16385</v>
      </c>
      <c r="K2638">
        <v>0.149</v>
      </c>
      <c r="L2638">
        <v>6510</v>
      </c>
      <c r="N2638" t="s">
        <v>16393</v>
      </c>
      <c r="O2638" s="4">
        <v>43369</v>
      </c>
      <c r="P2638" s="4">
        <v>201040</v>
      </c>
      <c r="Q2638" s="4">
        <v>244409</v>
      </c>
      <c r="R2638" s="4">
        <v>733227</v>
      </c>
      <c r="S2638" t="s">
        <v>18958</v>
      </c>
      <c r="T2638" s="6">
        <v>43221</v>
      </c>
      <c r="U2638" s="4">
        <v>490000</v>
      </c>
      <c r="V2638" t="s">
        <v>23739</v>
      </c>
      <c r="W2638" t="s">
        <v>24988</v>
      </c>
      <c r="X2638" t="s">
        <v>3</v>
      </c>
      <c r="AA2638" s="5" t="str">
        <f>HYPERLINK("https://www.zillow.com/homes/1629-CASTLE-LAWN-CT-NAPERVILLE-IL-60565_rb/","check listing")</f>
        <v>check listing</v>
      </c>
      <c r="AB2638" s="5" t="str">
        <f>HYPERLINK("https://propertylookup.dupagecounty.gov/Datalets/Datalet.aspx?UseSearch=no&amp;mode=sales&amp;pin=0828301078","sales record")</f>
        <v>sales record</v>
      </c>
      <c r="AC2638" t="s">
        <v>3</v>
      </c>
      <c r="AD2638">
        <v>41.747985</v>
      </c>
      <c r="AE2638">
        <v>-88.099648</v>
      </c>
      <c r="AF2638" s="5" t="str">
        <f>HYPERLINK("https://www.google.com/maps/search/?api=1&amp;query=41.747985,-88.099648","map")</f>
        <v>map</v>
      </c>
    </row>
    <row r="2639" spans="1:32">
      <c r="A2639" t="s">
        <v>2689</v>
      </c>
      <c r="B2639" t="s">
        <v>10225</v>
      </c>
      <c r="C2639" t="s">
        <v>15477</v>
      </c>
      <c r="D2639" t="s">
        <v>16206</v>
      </c>
      <c r="E2639" t="s">
        <v>16218</v>
      </c>
      <c r="F2639" t="s">
        <v>16222</v>
      </c>
      <c r="G2639" t="s">
        <v>16270</v>
      </c>
      <c r="H2639" t="s">
        <v>16270</v>
      </c>
      <c r="I2639" t="s">
        <v>16348</v>
      </c>
      <c r="J2639" t="s">
        <v>16385</v>
      </c>
      <c r="K2639">
        <v>0.148</v>
      </c>
      <c r="L2639">
        <v>6455</v>
      </c>
      <c r="N2639" t="s">
        <v>16393</v>
      </c>
      <c r="O2639" s="4">
        <v>43369</v>
      </c>
      <c r="P2639" s="4">
        <v>201479</v>
      </c>
      <c r="Q2639" s="4">
        <v>244848</v>
      </c>
      <c r="R2639" s="4">
        <v>734544</v>
      </c>
      <c r="S2639" t="s">
        <v>18959</v>
      </c>
      <c r="T2639" s="6">
        <v>44348</v>
      </c>
      <c r="U2639" s="4">
        <v>560000</v>
      </c>
      <c r="V2639" t="s">
        <v>23739</v>
      </c>
      <c r="W2639" t="s">
        <v>24989</v>
      </c>
      <c r="X2639" t="s">
        <v>3</v>
      </c>
      <c r="AA2639" s="5" t="str">
        <f>HYPERLINK("https://www.zillow.com/homes/1635-CASTLE-LAWN-CT-NAPERVILLE-IL-605652096_rb/","check listing")</f>
        <v>check listing</v>
      </c>
      <c r="AB2639" s="5" t="str">
        <f>HYPERLINK("https://propertylookup.dupagecounty.gov/Datalets/Datalet.aspx?UseSearch=no&amp;mode=sales&amp;pin=0828301064","sales record")</f>
        <v>sales record</v>
      </c>
      <c r="AC2639" t="s">
        <v>3</v>
      </c>
      <c r="AD2639">
        <v>41.747989</v>
      </c>
      <c r="AE2639">
        <v>-88.099346</v>
      </c>
      <c r="AF2639" s="5" t="str">
        <f>HYPERLINK("https://www.google.com/maps/search/?api=1&amp;query=41.747989,-88.099346","map")</f>
        <v>map</v>
      </c>
    </row>
    <row r="2640" spans="1:32">
      <c r="A2640" t="s">
        <v>2690</v>
      </c>
      <c r="B2640" t="s">
        <v>10226</v>
      </c>
      <c r="C2640" t="s">
        <v>15476</v>
      </c>
      <c r="D2640" t="s">
        <v>16206</v>
      </c>
      <c r="E2640" t="s">
        <v>16218</v>
      </c>
      <c r="F2640" t="s">
        <v>16222</v>
      </c>
      <c r="G2640" t="s">
        <v>16270</v>
      </c>
      <c r="H2640" t="s">
        <v>16270</v>
      </c>
      <c r="I2640" t="s">
        <v>16348</v>
      </c>
      <c r="J2640" t="s">
        <v>16385</v>
      </c>
      <c r="K2640">
        <v>0.142</v>
      </c>
      <c r="L2640">
        <v>6206</v>
      </c>
      <c r="N2640" t="s">
        <v>16393</v>
      </c>
      <c r="O2640" s="4">
        <v>43369</v>
      </c>
      <c r="P2640" s="4">
        <v>193644</v>
      </c>
      <c r="Q2640" s="4">
        <v>237013</v>
      </c>
      <c r="R2640" s="4">
        <v>711039</v>
      </c>
      <c r="S2640" t="s">
        <v>18960</v>
      </c>
      <c r="T2640" s="6">
        <v>45474</v>
      </c>
      <c r="U2640" s="4">
        <v>660000</v>
      </c>
      <c r="V2640" t="s">
        <v>23739</v>
      </c>
      <c r="W2640" t="s">
        <v>24990</v>
      </c>
      <c r="X2640" t="s">
        <v>3</v>
      </c>
      <c r="AA2640" s="5" t="str">
        <f>HYPERLINK("https://www.zillow.com/homes/1633-CASTLE-LAWN-CT-NAPERVILLE-IL-60565_rb/","check listing")</f>
        <v>check listing</v>
      </c>
      <c r="AB2640" s="5" t="str">
        <f>HYPERLINK("https://propertylookup.dupagecounty.gov/Datalets/Datalet.aspx?UseSearch=no&amp;mode=sales&amp;pin=0828301065","sales record")</f>
        <v>sales record</v>
      </c>
      <c r="AC2640" t="s">
        <v>3</v>
      </c>
      <c r="AD2640">
        <v>41.747987</v>
      </c>
      <c r="AE2640">
        <v>-88.099497</v>
      </c>
      <c r="AF2640" s="5" t="str">
        <f>HYPERLINK("https://www.google.com/maps/search/?api=1&amp;query=41.747987,-88.099497","map")</f>
        <v>map</v>
      </c>
    </row>
    <row r="2641" spans="1:32">
      <c r="A2641" t="s">
        <v>2691</v>
      </c>
      <c r="B2641" t="s">
        <v>10227</v>
      </c>
      <c r="C2641" t="s">
        <v>15477</v>
      </c>
      <c r="D2641" t="s">
        <v>16206</v>
      </c>
      <c r="E2641" t="s">
        <v>16218</v>
      </c>
      <c r="F2641" t="s">
        <v>16222</v>
      </c>
      <c r="G2641" t="s">
        <v>16270</v>
      </c>
      <c r="H2641" t="s">
        <v>16270</v>
      </c>
      <c r="I2641" t="s">
        <v>16348</v>
      </c>
      <c r="J2641" t="s">
        <v>16385</v>
      </c>
      <c r="K2641">
        <v>0.142</v>
      </c>
      <c r="L2641">
        <v>6183</v>
      </c>
      <c r="N2641" t="s">
        <v>16393</v>
      </c>
      <c r="O2641" s="4">
        <v>43369</v>
      </c>
      <c r="P2641" s="4">
        <v>204204</v>
      </c>
      <c r="Q2641" s="4">
        <v>247573</v>
      </c>
      <c r="R2641" s="4">
        <v>742719</v>
      </c>
      <c r="S2641" t="s">
        <v>18961</v>
      </c>
      <c r="T2641" s="6">
        <v>45397</v>
      </c>
      <c r="U2641" s="4">
        <v>645000</v>
      </c>
      <c r="V2641" t="s">
        <v>23741</v>
      </c>
      <c r="W2641" t="s">
        <v>24991</v>
      </c>
      <c r="X2641" t="s">
        <v>3</v>
      </c>
      <c r="AA2641" s="5" t="str">
        <f>HYPERLINK("https://www.zillow.com/homes/1639-CASTLE-LAWN-CT-NAPERVILLE-IL-605652096_rb/","check listing")</f>
        <v>check listing</v>
      </c>
      <c r="AB2641" s="5" t="str">
        <f>HYPERLINK("https://propertylookup.dupagecounty.gov/Datalets/Datalet.aspx?UseSearch=no&amp;mode=sales&amp;pin=0828301063","sales record")</f>
        <v>sales record</v>
      </c>
      <c r="AC2641" t="s">
        <v>3</v>
      </c>
      <c r="AD2641">
        <v>41.747991</v>
      </c>
      <c r="AE2641">
        <v>-88.09919600000001</v>
      </c>
      <c r="AF2641" s="5" t="str">
        <f>HYPERLINK("https://www.google.com/maps/search/?api=1&amp;query=41.747991,-88.099196","map")</f>
        <v>map</v>
      </c>
    </row>
    <row r="2642" spans="1:32">
      <c r="A2642" t="s">
        <v>2692</v>
      </c>
      <c r="B2642" t="s">
        <v>10228</v>
      </c>
      <c r="C2642" t="s">
        <v>15477</v>
      </c>
      <c r="D2642" t="s">
        <v>16206</v>
      </c>
      <c r="E2642" t="s">
        <v>16218</v>
      </c>
      <c r="F2642" t="s">
        <v>16222</v>
      </c>
      <c r="G2642" t="s">
        <v>16270</v>
      </c>
      <c r="H2642" t="s">
        <v>16270</v>
      </c>
      <c r="I2642" t="s">
        <v>16348</v>
      </c>
      <c r="J2642" t="s">
        <v>16385</v>
      </c>
      <c r="K2642">
        <v>0.142</v>
      </c>
      <c r="L2642">
        <v>6178</v>
      </c>
      <c r="N2642" t="s">
        <v>16393</v>
      </c>
      <c r="O2642" s="4">
        <v>43369</v>
      </c>
      <c r="P2642" s="4">
        <v>194797</v>
      </c>
      <c r="Q2642" s="4">
        <v>238166</v>
      </c>
      <c r="R2642" s="4">
        <v>714498</v>
      </c>
      <c r="S2642" t="s">
        <v>18962</v>
      </c>
      <c r="T2642" s="6">
        <v>43374</v>
      </c>
      <c r="U2642" s="4">
        <v>494999</v>
      </c>
      <c r="V2642" t="s">
        <v>23739</v>
      </c>
      <c r="W2642" t="s">
        <v>24992</v>
      </c>
      <c r="X2642" t="s">
        <v>3</v>
      </c>
      <c r="AA2642" s="5" t="str">
        <f>HYPERLINK("https://www.zillow.com/homes/1627-CASTLE-LAWN-CT-NAPERVILLE-IL-605652096_rb/","check listing")</f>
        <v>check listing</v>
      </c>
      <c r="AB2642" s="5" t="str">
        <f>HYPERLINK("https://propertylookup.dupagecounty.gov/Datalets/Datalet.aspx?UseSearch=no&amp;mode=sales&amp;pin=0828301079","sales record")</f>
        <v>sales record</v>
      </c>
      <c r="AC2642" t="s">
        <v>3</v>
      </c>
      <c r="AD2642">
        <v>41.747983</v>
      </c>
      <c r="AE2642">
        <v>-88.099799</v>
      </c>
      <c r="AF2642" s="5" t="str">
        <f>HYPERLINK("https://www.google.com/maps/search/?api=1&amp;query=41.747983,-88.099799","map")</f>
        <v>map</v>
      </c>
    </row>
    <row r="2643" spans="1:32">
      <c r="A2643" t="s">
        <v>2693</v>
      </c>
      <c r="B2643" t="s">
        <v>10229</v>
      </c>
      <c r="C2643" t="s">
        <v>15476</v>
      </c>
      <c r="D2643" t="s">
        <v>16206</v>
      </c>
      <c r="E2643" t="s">
        <v>16218</v>
      </c>
      <c r="F2643" t="s">
        <v>16222</v>
      </c>
      <c r="G2643" t="s">
        <v>16270</v>
      </c>
      <c r="H2643" t="s">
        <v>16270</v>
      </c>
      <c r="I2643" t="s">
        <v>16348</v>
      </c>
      <c r="J2643" t="s">
        <v>16385</v>
      </c>
      <c r="K2643">
        <v>0.132</v>
      </c>
      <c r="L2643">
        <v>5756</v>
      </c>
      <c r="N2643" t="s">
        <v>16393</v>
      </c>
      <c r="O2643" s="4">
        <v>43369</v>
      </c>
      <c r="P2643" s="4">
        <v>185367</v>
      </c>
      <c r="Q2643" s="4">
        <v>228736</v>
      </c>
      <c r="R2643" s="4">
        <v>686208</v>
      </c>
      <c r="S2643" t="s">
        <v>18963</v>
      </c>
      <c r="X2643" t="s">
        <v>3</v>
      </c>
      <c r="AA2643" s="5" t="str">
        <f>HYPERLINK("https://www.zillow.com/homes/1609-CASTLE-LAWN-CT-NAPERVILLE-IL-60565_rb/","check listing")</f>
        <v>check listing</v>
      </c>
      <c r="AB2643" s="5" t="str">
        <f>HYPERLINK("https://propertylookup.dupagecounty.gov/Datalets/Datalet.aspx?UseSearch=no&amp;mode=sales&amp;pin=0828301067","sales record")</f>
        <v>sales record</v>
      </c>
      <c r="AC2643" t="s">
        <v>3</v>
      </c>
      <c r="AD2643">
        <v>41.748004</v>
      </c>
      <c r="AE2643">
        <v>-88.10091199999999</v>
      </c>
      <c r="AF2643" s="5" t="str">
        <f>HYPERLINK("https://www.google.com/maps/search/?api=1&amp;query=41.748004,-88.100912","map")</f>
        <v>map</v>
      </c>
    </row>
    <row r="2644" spans="1:32">
      <c r="A2644" t="s">
        <v>2694</v>
      </c>
      <c r="B2644" t="s">
        <v>10230</v>
      </c>
      <c r="C2644" t="s">
        <v>15477</v>
      </c>
      <c r="D2644" t="s">
        <v>16206</v>
      </c>
      <c r="E2644" t="s">
        <v>16218</v>
      </c>
      <c r="F2644" t="s">
        <v>16222</v>
      </c>
      <c r="G2644" t="s">
        <v>16270</v>
      </c>
      <c r="H2644" t="s">
        <v>16270</v>
      </c>
      <c r="I2644" t="s">
        <v>16348</v>
      </c>
      <c r="J2644" t="s">
        <v>16385</v>
      </c>
      <c r="K2644">
        <v>0.129</v>
      </c>
      <c r="L2644">
        <v>5604</v>
      </c>
      <c r="N2644" t="s">
        <v>16393</v>
      </c>
      <c r="O2644" s="4">
        <v>43369</v>
      </c>
      <c r="P2644" s="4">
        <v>202383</v>
      </c>
      <c r="Q2644" s="4">
        <v>245752</v>
      </c>
      <c r="R2644" s="4">
        <v>737256</v>
      </c>
      <c r="S2644" t="s">
        <v>18964</v>
      </c>
      <c r="T2644" s="6">
        <v>45380</v>
      </c>
      <c r="U2644" s="4">
        <v>598000</v>
      </c>
      <c r="V2644" t="s">
        <v>23739</v>
      </c>
      <c r="W2644" t="s">
        <v>18964</v>
      </c>
      <c r="X2644" t="s">
        <v>3</v>
      </c>
      <c r="AA2644" s="5" t="str">
        <f>HYPERLINK("https://www.zillow.com/homes/1605-CASTLE-LAWN-CT-NAPERVILLE-IL-605652096_rb/","check listing")</f>
        <v>check listing</v>
      </c>
      <c r="AB2644" s="5" t="str">
        <f>HYPERLINK("https://propertylookup.dupagecounty.gov/Datalets/Datalet.aspx?UseSearch=no&amp;mode=sales&amp;pin=0828301068","sales record")</f>
        <v>sales record</v>
      </c>
      <c r="AC2644" t="s">
        <v>3</v>
      </c>
      <c r="AD2644">
        <v>41.747912</v>
      </c>
      <c r="AE2644">
        <v>-88.100916</v>
      </c>
      <c r="AF2644" s="5" t="str">
        <f>HYPERLINK("https://www.google.com/maps/search/?api=1&amp;query=41.747912,-88.100916","map")</f>
        <v>map</v>
      </c>
    </row>
    <row r="2645" spans="1:32">
      <c r="A2645" t="s">
        <v>2695</v>
      </c>
      <c r="B2645" t="s">
        <v>10231</v>
      </c>
      <c r="C2645" t="s">
        <v>15476</v>
      </c>
      <c r="D2645" t="s">
        <v>16206</v>
      </c>
      <c r="E2645" t="s">
        <v>16218</v>
      </c>
      <c r="F2645" t="s">
        <v>16222</v>
      </c>
      <c r="G2645" t="s">
        <v>16270</v>
      </c>
      <c r="H2645" t="s">
        <v>16270</v>
      </c>
      <c r="I2645" t="s">
        <v>16348</v>
      </c>
      <c r="J2645" t="s">
        <v>16385</v>
      </c>
      <c r="K2645">
        <v>0.121</v>
      </c>
      <c r="L2645">
        <v>5260</v>
      </c>
      <c r="N2645" t="s">
        <v>16393</v>
      </c>
      <c r="O2645" s="4">
        <v>43369</v>
      </c>
      <c r="P2645" s="4">
        <v>201337</v>
      </c>
      <c r="Q2645" s="4">
        <v>244706</v>
      </c>
      <c r="R2645" s="4">
        <v>734118</v>
      </c>
      <c r="S2645" t="s">
        <v>18965</v>
      </c>
      <c r="T2645" s="6">
        <v>43040</v>
      </c>
      <c r="U2645" s="4">
        <v>531182</v>
      </c>
      <c r="V2645" t="s">
        <v>23739</v>
      </c>
      <c r="W2645" t="s">
        <v>24993</v>
      </c>
      <c r="X2645" t="s">
        <v>3</v>
      </c>
      <c r="AA2645" s="5" t="str">
        <f>HYPERLINK("https://www.zillow.com/homes/1646-CASTLE-LAWN-CT-NAPERVILLE-IL-60565_rb/","check listing")</f>
        <v>check listing</v>
      </c>
      <c r="AB2645" s="5" t="str">
        <f>HYPERLINK("https://propertylookup.dupagecounty.gov/Datalets/Datalet.aspx?UseSearch=no&amp;mode=sales&amp;pin=0828301075","sales record")</f>
        <v>sales record</v>
      </c>
      <c r="AC2645" t="s">
        <v>3</v>
      </c>
      <c r="AD2645">
        <v>41.747451</v>
      </c>
      <c r="AE2645">
        <v>-88.098906</v>
      </c>
      <c r="AF2645" s="5" t="str">
        <f>HYPERLINK("https://www.google.com/maps/search/?api=1&amp;query=41.747451,-88.098906","map")</f>
        <v>map</v>
      </c>
    </row>
    <row r="2646" spans="1:32">
      <c r="A2646" t="s">
        <v>2696</v>
      </c>
      <c r="B2646" t="s">
        <v>10232</v>
      </c>
      <c r="C2646" t="s">
        <v>15476</v>
      </c>
      <c r="D2646" t="s">
        <v>16206</v>
      </c>
      <c r="E2646" t="s">
        <v>16218</v>
      </c>
      <c r="F2646" t="s">
        <v>16222</v>
      </c>
      <c r="G2646" t="s">
        <v>16270</v>
      </c>
      <c r="H2646" t="s">
        <v>16270</v>
      </c>
      <c r="I2646" t="s">
        <v>16348</v>
      </c>
      <c r="J2646" t="s">
        <v>16385</v>
      </c>
      <c r="K2646">
        <v>0.119</v>
      </c>
      <c r="L2646">
        <v>5176</v>
      </c>
      <c r="N2646" t="s">
        <v>16393</v>
      </c>
      <c r="O2646" s="4">
        <v>43369</v>
      </c>
      <c r="P2646" s="4">
        <v>184926</v>
      </c>
      <c r="Q2646" s="4">
        <v>228295</v>
      </c>
      <c r="R2646" s="4">
        <v>684885</v>
      </c>
      <c r="S2646" t="s">
        <v>18966</v>
      </c>
      <c r="T2646" s="6">
        <v>43160</v>
      </c>
      <c r="U2646" s="4">
        <v>462368</v>
      </c>
      <c r="V2646" t="s">
        <v>23739</v>
      </c>
      <c r="W2646" t="s">
        <v>18966</v>
      </c>
      <c r="X2646" t="s">
        <v>3</v>
      </c>
      <c r="AA2646" s="5" t="str">
        <f>HYPERLINK("https://www.zillow.com/homes/1606-CASTLE-LAWN-CT-NAPERVILLE-IL-60565_rb/","check listing")</f>
        <v>check listing</v>
      </c>
      <c r="AB2646" s="5" t="str">
        <f>HYPERLINK("https://propertylookup.dupagecounty.gov/Datalets/Datalet.aspx?UseSearch=no&amp;mode=sales&amp;pin=0828301071","sales record")</f>
        <v>sales record</v>
      </c>
      <c r="AC2646" t="s">
        <v>3</v>
      </c>
      <c r="AD2646">
        <v>41.747554</v>
      </c>
      <c r="AE2646">
        <v>-88.100909</v>
      </c>
      <c r="AF2646" s="5" t="str">
        <f>HYPERLINK("https://www.google.com/maps/search/?api=1&amp;query=41.747554,-88.100909","map")</f>
        <v>map</v>
      </c>
    </row>
    <row r="2647" spans="1:32">
      <c r="A2647" t="s">
        <v>2697</v>
      </c>
      <c r="B2647" t="s">
        <v>10233</v>
      </c>
      <c r="C2647" t="s">
        <v>15476</v>
      </c>
      <c r="D2647" t="s">
        <v>16206</v>
      </c>
      <c r="E2647" t="s">
        <v>16218</v>
      </c>
      <c r="F2647" t="s">
        <v>16222</v>
      </c>
      <c r="G2647" t="s">
        <v>16270</v>
      </c>
      <c r="H2647" t="s">
        <v>16270</v>
      </c>
      <c r="I2647" t="s">
        <v>16348</v>
      </c>
      <c r="J2647" t="s">
        <v>16385</v>
      </c>
      <c r="K2647">
        <v>0.117</v>
      </c>
      <c r="L2647">
        <v>5107</v>
      </c>
      <c r="N2647" t="s">
        <v>16393</v>
      </c>
      <c r="O2647" s="4">
        <v>43369</v>
      </c>
      <c r="P2647" s="4">
        <v>190885</v>
      </c>
      <c r="Q2647" s="4">
        <v>234254</v>
      </c>
      <c r="R2647" s="4">
        <v>702762</v>
      </c>
      <c r="S2647" t="s">
        <v>18967</v>
      </c>
      <c r="T2647" s="6">
        <v>42856</v>
      </c>
      <c r="U2647" s="4">
        <v>501160</v>
      </c>
      <c r="V2647" t="s">
        <v>23739</v>
      </c>
      <c r="W2647" t="s">
        <v>18967</v>
      </c>
      <c r="X2647" t="s">
        <v>3</v>
      </c>
      <c r="AA2647" s="5" t="str">
        <f>HYPERLINK("https://www.zillow.com/homes/1616-CASTLE-LAWN-CT-NAPERVILLE-IL-60565_rb/","check listing")</f>
        <v>check listing</v>
      </c>
      <c r="AB2647" s="5" t="str">
        <f>HYPERLINK("https://propertylookup.dupagecounty.gov/Datalets/Datalet.aspx?UseSearch=no&amp;mode=sales&amp;pin=0828301055","sales record")</f>
        <v>sales record</v>
      </c>
      <c r="AC2647" t="s">
        <v>3</v>
      </c>
      <c r="AD2647">
        <v>41.747427</v>
      </c>
      <c r="AE2647">
        <v>-88.100459</v>
      </c>
      <c r="AF2647" s="5" t="str">
        <f>HYPERLINK("https://www.google.com/maps/search/?api=1&amp;query=41.747427,-88.100459","map")</f>
        <v>map</v>
      </c>
    </row>
    <row r="2648" spans="1:32">
      <c r="A2648" t="s">
        <v>2698</v>
      </c>
      <c r="B2648" t="s">
        <v>10234</v>
      </c>
      <c r="C2648" t="s">
        <v>15476</v>
      </c>
      <c r="D2648" t="s">
        <v>16206</v>
      </c>
      <c r="E2648" t="s">
        <v>16218</v>
      </c>
      <c r="F2648" t="s">
        <v>16222</v>
      </c>
      <c r="G2648" t="s">
        <v>16270</v>
      </c>
      <c r="H2648" t="s">
        <v>16270</v>
      </c>
      <c r="I2648" t="s">
        <v>16348</v>
      </c>
      <c r="J2648" t="s">
        <v>16385</v>
      </c>
      <c r="K2648">
        <v>0.114</v>
      </c>
      <c r="L2648">
        <v>4979</v>
      </c>
      <c r="N2648" t="s">
        <v>16393</v>
      </c>
      <c r="O2648" s="4">
        <v>43369</v>
      </c>
      <c r="P2648" s="4">
        <v>198008</v>
      </c>
      <c r="Q2648" s="4">
        <v>241377</v>
      </c>
      <c r="R2648" s="4">
        <v>724131</v>
      </c>
      <c r="S2648" t="s">
        <v>18968</v>
      </c>
      <c r="T2648" s="6">
        <v>43009</v>
      </c>
      <c r="U2648" s="4">
        <v>518610</v>
      </c>
      <c r="V2648" t="s">
        <v>23739</v>
      </c>
      <c r="W2648" t="s">
        <v>24994</v>
      </c>
      <c r="X2648" t="s">
        <v>3</v>
      </c>
      <c r="AA2648" s="5" t="str">
        <f>HYPERLINK("https://www.zillow.com/homes/1604-CASTLE-LAWN-CT-NAPERVILLE-IL-60565_rb/","check listing")</f>
        <v>check listing</v>
      </c>
      <c r="AB2648" s="5" t="str">
        <f>HYPERLINK("https://propertylookup.dupagecounty.gov/Datalets/Datalet.aspx?UseSearch=no&amp;mode=sales&amp;pin=0828301070","sales record")</f>
        <v>sales record</v>
      </c>
      <c r="AC2648" t="s">
        <v>3</v>
      </c>
      <c r="AD2648">
        <v>41.747667</v>
      </c>
      <c r="AE2648">
        <v>-88.10091300000001</v>
      </c>
      <c r="AF2648" s="5" t="str">
        <f>HYPERLINK("https://www.google.com/maps/search/?api=1&amp;query=41.747667,-88.100913","map")</f>
        <v>map</v>
      </c>
    </row>
    <row r="2649" spans="1:32">
      <c r="A2649" t="s">
        <v>2699</v>
      </c>
      <c r="B2649" t="s">
        <v>10235</v>
      </c>
      <c r="C2649" t="s">
        <v>15477</v>
      </c>
      <c r="D2649" t="s">
        <v>16206</v>
      </c>
      <c r="E2649" t="s">
        <v>16218</v>
      </c>
      <c r="F2649" t="s">
        <v>16222</v>
      </c>
      <c r="G2649" t="s">
        <v>16270</v>
      </c>
      <c r="H2649" t="s">
        <v>16270</v>
      </c>
      <c r="I2649" t="s">
        <v>16348</v>
      </c>
      <c r="J2649" t="s">
        <v>16385</v>
      </c>
      <c r="K2649">
        <v>0.113</v>
      </c>
      <c r="L2649">
        <v>4942</v>
      </c>
      <c r="N2649" t="s">
        <v>16393</v>
      </c>
      <c r="O2649" s="4">
        <v>43369</v>
      </c>
      <c r="P2649" s="4">
        <v>199768</v>
      </c>
      <c r="Q2649" s="4">
        <v>243137</v>
      </c>
      <c r="R2649" s="4">
        <v>729411</v>
      </c>
      <c r="S2649" t="s">
        <v>18969</v>
      </c>
      <c r="T2649" s="6">
        <v>42887</v>
      </c>
      <c r="U2649" s="4">
        <v>528000</v>
      </c>
      <c r="V2649" t="s">
        <v>23739</v>
      </c>
      <c r="W2649" t="s">
        <v>24995</v>
      </c>
      <c r="X2649" t="s">
        <v>3</v>
      </c>
      <c r="AA2649" s="5" t="str">
        <f>HYPERLINK("https://www.zillow.com/homes/1628-CASTLE-LAWN-CT-NAPERVILLE-IL-605652096_rb/","check listing")</f>
        <v>check listing</v>
      </c>
      <c r="AB2649" s="5" t="str">
        <f>HYPERLINK("https://propertylookup.dupagecounty.gov/Datalets/Datalet.aspx?UseSearch=no&amp;mode=sales&amp;pin=0828301057","sales record")</f>
        <v>sales record</v>
      </c>
      <c r="AC2649" t="s">
        <v>3</v>
      </c>
      <c r="AD2649">
        <v>41.747436</v>
      </c>
      <c r="AE2649">
        <v>-88.099824</v>
      </c>
      <c r="AF2649" s="5" t="str">
        <f>HYPERLINK("https://www.google.com/maps/search/?api=1&amp;query=41.747436,-88.099824","map")</f>
        <v>map</v>
      </c>
    </row>
    <row r="2650" spans="1:32">
      <c r="A2650" t="s">
        <v>2700</v>
      </c>
      <c r="B2650" t="s">
        <v>10236</v>
      </c>
      <c r="C2650" t="s">
        <v>15476</v>
      </c>
      <c r="D2650" t="s">
        <v>16206</v>
      </c>
      <c r="E2650" t="s">
        <v>16218</v>
      </c>
      <c r="F2650" t="s">
        <v>16222</v>
      </c>
      <c r="G2650" t="s">
        <v>16270</v>
      </c>
      <c r="H2650" t="s">
        <v>16270</v>
      </c>
      <c r="I2650" t="s">
        <v>16348</v>
      </c>
      <c r="J2650" t="s">
        <v>16385</v>
      </c>
      <c r="K2650">
        <v>0.113</v>
      </c>
      <c r="L2650">
        <v>4933</v>
      </c>
      <c r="N2650" t="s">
        <v>16393</v>
      </c>
      <c r="O2650" s="4">
        <v>43369</v>
      </c>
      <c r="P2650" s="4">
        <v>199768</v>
      </c>
      <c r="Q2650" s="4">
        <v>243137</v>
      </c>
      <c r="R2650" s="4">
        <v>729411</v>
      </c>
      <c r="S2650" t="s">
        <v>18970</v>
      </c>
      <c r="T2650" s="6">
        <v>42826</v>
      </c>
      <c r="U2650" s="4">
        <v>535367</v>
      </c>
      <c r="V2650" t="s">
        <v>23739</v>
      </c>
      <c r="W2650" t="s">
        <v>24996</v>
      </c>
      <c r="X2650" t="s">
        <v>3</v>
      </c>
      <c r="AA2650" s="5" t="str">
        <f>HYPERLINK("https://www.zillow.com/homes/1622-CASTLE-LAWN-CT-NAPERVILLE-IL-60565_rb/","check listing")</f>
        <v>check listing</v>
      </c>
      <c r="AB2650" s="5" t="str">
        <f>HYPERLINK("https://propertylookup.dupagecounty.gov/Datalets/Datalet.aspx?UseSearch=no&amp;mode=sales&amp;pin=0828301060","sales record")</f>
        <v>sales record</v>
      </c>
      <c r="AC2650" t="s">
        <v>3</v>
      </c>
      <c r="AD2650">
        <v>41.747431</v>
      </c>
      <c r="AE2650">
        <v>-88.10014</v>
      </c>
      <c r="AF2650" s="5" t="str">
        <f>HYPERLINK("https://www.google.com/maps/search/?api=1&amp;query=41.747431,-88.10014","map")</f>
        <v>map</v>
      </c>
    </row>
    <row r="2651" spans="1:32">
      <c r="A2651" t="s">
        <v>2701</v>
      </c>
      <c r="B2651" t="s">
        <v>10237</v>
      </c>
      <c r="C2651" t="s">
        <v>15476</v>
      </c>
      <c r="D2651" t="s">
        <v>16206</v>
      </c>
      <c r="E2651" t="s">
        <v>16218</v>
      </c>
      <c r="F2651" t="s">
        <v>16222</v>
      </c>
      <c r="G2651" t="s">
        <v>16270</v>
      </c>
      <c r="H2651" t="s">
        <v>16270</v>
      </c>
      <c r="I2651" t="s">
        <v>16348</v>
      </c>
      <c r="J2651" t="s">
        <v>16385</v>
      </c>
      <c r="K2651">
        <v>0.108</v>
      </c>
      <c r="L2651">
        <v>4724</v>
      </c>
      <c r="N2651" t="s">
        <v>16393</v>
      </c>
      <c r="O2651" s="4">
        <v>43369</v>
      </c>
      <c r="P2651" s="4">
        <v>185962</v>
      </c>
      <c r="Q2651" s="4">
        <v>229331</v>
      </c>
      <c r="R2651" s="4">
        <v>687993</v>
      </c>
      <c r="S2651" t="s">
        <v>18971</v>
      </c>
      <c r="T2651" s="6">
        <v>43040</v>
      </c>
      <c r="U2651" s="4">
        <v>523531</v>
      </c>
      <c r="V2651" t="s">
        <v>23739</v>
      </c>
      <c r="W2651" t="s">
        <v>18971</v>
      </c>
      <c r="X2651" t="s">
        <v>3</v>
      </c>
      <c r="AA2651" s="5" t="str">
        <f>HYPERLINK("https://www.zillow.com/homes/1648-CASTLE-LAWN-CT-NAPERVILLE-IL-60565_rb/","check listing")</f>
        <v>check listing</v>
      </c>
      <c r="AB2651" s="5" t="str">
        <f>HYPERLINK("https://propertylookup.dupagecounty.gov/Datalets/Datalet.aspx?UseSearch=no&amp;mode=sales&amp;pin=0828301074","sales record")</f>
        <v>sales record</v>
      </c>
      <c r="AC2651" t="s">
        <v>3</v>
      </c>
      <c r="AD2651">
        <v>41.747431</v>
      </c>
      <c r="AE2651">
        <v>-88.098741</v>
      </c>
      <c r="AF2651" s="5" t="str">
        <f>HYPERLINK("https://www.google.com/maps/search/?api=1&amp;query=41.747431,-88.098741","map")</f>
        <v>map</v>
      </c>
    </row>
    <row r="2652" spans="1:32">
      <c r="A2652" t="s">
        <v>2702</v>
      </c>
      <c r="B2652" t="s">
        <v>10238</v>
      </c>
      <c r="C2652" t="s">
        <v>15477</v>
      </c>
      <c r="D2652" t="s">
        <v>16206</v>
      </c>
      <c r="E2652" t="s">
        <v>16218</v>
      </c>
      <c r="F2652" t="s">
        <v>16222</v>
      </c>
      <c r="G2652" t="s">
        <v>16270</v>
      </c>
      <c r="H2652" t="s">
        <v>16270</v>
      </c>
      <c r="I2652" t="s">
        <v>16348</v>
      </c>
      <c r="J2652" t="s">
        <v>16385</v>
      </c>
      <c r="K2652">
        <v>0.108</v>
      </c>
      <c r="L2652">
        <v>4711</v>
      </c>
      <c r="N2652" t="s">
        <v>16393</v>
      </c>
      <c r="O2652" s="4">
        <v>43369</v>
      </c>
      <c r="P2652" s="4">
        <v>199768</v>
      </c>
      <c r="Q2652" s="4">
        <v>243137</v>
      </c>
      <c r="R2652" s="4">
        <v>729411</v>
      </c>
      <c r="S2652" t="s">
        <v>18972</v>
      </c>
      <c r="T2652" s="6">
        <v>44742</v>
      </c>
      <c r="U2652" s="4">
        <v>585000</v>
      </c>
      <c r="V2652" t="s">
        <v>23739</v>
      </c>
      <c r="W2652" t="s">
        <v>24997</v>
      </c>
      <c r="X2652" t="s">
        <v>3</v>
      </c>
      <c r="AA2652" s="5" t="str">
        <f>HYPERLINK("https://www.zillow.com/homes/1640-CASTLE-LAWN-CT-NAPERVILLE-IL-605652096_rb/","check listing")</f>
        <v>check listing</v>
      </c>
      <c r="AB2652" s="5" t="str">
        <f>HYPERLINK("https://propertylookup.dupagecounty.gov/Datalets/Datalet.aspx?UseSearch=no&amp;mode=sales&amp;pin=0828301076","sales record")</f>
        <v>sales record</v>
      </c>
      <c r="AC2652" t="s">
        <v>3</v>
      </c>
      <c r="AD2652">
        <v>41.747446</v>
      </c>
      <c r="AE2652">
        <v>-88.099217</v>
      </c>
      <c r="AF2652" s="5" t="str">
        <f>HYPERLINK("https://www.google.com/maps/search/?api=1&amp;query=41.747446,-88.099217","map")</f>
        <v>map</v>
      </c>
    </row>
    <row r="2653" spans="1:32">
      <c r="A2653" t="s">
        <v>2703</v>
      </c>
      <c r="B2653" t="s">
        <v>10239</v>
      </c>
      <c r="C2653" t="s">
        <v>15477</v>
      </c>
      <c r="D2653" t="s">
        <v>16206</v>
      </c>
      <c r="E2653" t="s">
        <v>16218</v>
      </c>
      <c r="F2653" t="s">
        <v>16222</v>
      </c>
      <c r="G2653" t="s">
        <v>16270</v>
      </c>
      <c r="H2653" t="s">
        <v>16270</v>
      </c>
      <c r="I2653" t="s">
        <v>16348</v>
      </c>
      <c r="J2653" t="s">
        <v>16385</v>
      </c>
      <c r="K2653">
        <v>0.108</v>
      </c>
      <c r="L2653">
        <v>4701</v>
      </c>
      <c r="N2653" t="s">
        <v>16393</v>
      </c>
      <c r="O2653" s="4">
        <v>43369</v>
      </c>
      <c r="P2653" s="4">
        <v>200207</v>
      </c>
      <c r="Q2653" s="4">
        <v>243576</v>
      </c>
      <c r="R2653" s="4">
        <v>730728</v>
      </c>
      <c r="S2653" t="s">
        <v>18973</v>
      </c>
      <c r="T2653" s="6">
        <v>43983</v>
      </c>
      <c r="U2653" s="4">
        <v>487500</v>
      </c>
      <c r="V2653" t="s">
        <v>23740</v>
      </c>
      <c r="W2653" t="s">
        <v>24998</v>
      </c>
      <c r="X2653" t="s">
        <v>3</v>
      </c>
      <c r="AA2653" s="5" t="str">
        <f>HYPERLINK("https://www.zillow.com/homes/1634-CASTLE-LAWN-CT-NAPERVILLE-IL-605652096_rb/","check listing")</f>
        <v>check listing</v>
      </c>
      <c r="AB2653" s="5" t="str">
        <f>HYPERLINK("https://propertylookup.dupagecounty.gov/Datalets/Datalet.aspx?UseSearch=no&amp;mode=sales&amp;pin=0828301058","sales record")</f>
        <v>sales record</v>
      </c>
      <c r="AC2653" t="s">
        <v>3</v>
      </c>
      <c r="AD2653">
        <v>41.747441</v>
      </c>
      <c r="AE2653">
        <v>-88.099519</v>
      </c>
      <c r="AF2653" s="5" t="str">
        <f>HYPERLINK("https://www.google.com/maps/search/?api=1&amp;query=41.747441,-88.099519","map")</f>
        <v>map</v>
      </c>
    </row>
    <row r="2654" spans="1:32">
      <c r="A2654" t="s">
        <v>2704</v>
      </c>
      <c r="B2654" t="s">
        <v>10240</v>
      </c>
      <c r="C2654" t="s">
        <v>15477</v>
      </c>
      <c r="D2654" t="s">
        <v>16206</v>
      </c>
      <c r="E2654" t="s">
        <v>16218</v>
      </c>
      <c r="F2654" t="s">
        <v>16222</v>
      </c>
      <c r="G2654" t="s">
        <v>16270</v>
      </c>
      <c r="H2654" t="s">
        <v>16270</v>
      </c>
      <c r="I2654" t="s">
        <v>16348</v>
      </c>
      <c r="J2654" t="s">
        <v>16385</v>
      </c>
      <c r="K2654">
        <v>0.107</v>
      </c>
      <c r="L2654">
        <v>4659</v>
      </c>
      <c r="N2654" t="s">
        <v>16393</v>
      </c>
      <c r="O2654" s="4">
        <v>43369</v>
      </c>
      <c r="P2654" s="4">
        <v>185367</v>
      </c>
      <c r="Q2654" s="4">
        <v>228736</v>
      </c>
      <c r="R2654" s="4">
        <v>686208</v>
      </c>
      <c r="S2654" t="s">
        <v>18974</v>
      </c>
      <c r="T2654" s="6">
        <v>45093</v>
      </c>
      <c r="U2654" s="4">
        <v>582000</v>
      </c>
      <c r="V2654" t="s">
        <v>23739</v>
      </c>
      <c r="W2654" t="s">
        <v>24999</v>
      </c>
      <c r="X2654" t="s">
        <v>3</v>
      </c>
      <c r="AA2654" s="5" t="str">
        <f>HYPERLINK("https://www.zillow.com/homes/1624-CASTLE-LAWN-CT-NAPERVILLE-IL-605652096_rb/","check listing")</f>
        <v>check listing</v>
      </c>
      <c r="AB2654" s="5" t="str">
        <f>HYPERLINK("https://propertylookup.dupagecounty.gov/Datalets/Datalet.aspx?UseSearch=no&amp;mode=sales&amp;pin=0828301061","sales record")</f>
        <v>sales record</v>
      </c>
      <c r="AC2654" t="s">
        <v>3</v>
      </c>
      <c r="AD2654">
        <v>41.747434</v>
      </c>
      <c r="AE2654">
        <v>-88.099982</v>
      </c>
      <c r="AF2654" s="5" t="str">
        <f>HYPERLINK("https://www.google.com/maps/search/?api=1&amp;query=41.747434,-88.099982","map")</f>
        <v>map</v>
      </c>
    </row>
    <row r="2655" spans="1:32">
      <c r="A2655" t="s">
        <v>2705</v>
      </c>
      <c r="B2655" t="s">
        <v>10241</v>
      </c>
      <c r="C2655" t="s">
        <v>15476</v>
      </c>
      <c r="D2655" t="s">
        <v>16206</v>
      </c>
      <c r="E2655" t="s">
        <v>16218</v>
      </c>
      <c r="F2655" t="s">
        <v>16222</v>
      </c>
      <c r="G2655" t="s">
        <v>16270</v>
      </c>
      <c r="H2655" t="s">
        <v>16270</v>
      </c>
      <c r="I2655" t="s">
        <v>16348</v>
      </c>
      <c r="J2655" t="s">
        <v>16385</v>
      </c>
      <c r="K2655">
        <v>0.106</v>
      </c>
      <c r="L2655">
        <v>4635</v>
      </c>
      <c r="N2655" t="s">
        <v>16393</v>
      </c>
      <c r="O2655" s="4">
        <v>43369</v>
      </c>
      <c r="P2655" s="4">
        <v>194095</v>
      </c>
      <c r="Q2655" s="4">
        <v>237464</v>
      </c>
      <c r="R2655" s="4">
        <v>712392</v>
      </c>
      <c r="S2655" t="s">
        <v>18975</v>
      </c>
      <c r="T2655" s="6">
        <v>42795</v>
      </c>
      <c r="U2655" s="4">
        <v>513176</v>
      </c>
      <c r="V2655" t="s">
        <v>23739</v>
      </c>
      <c r="W2655" t="s">
        <v>25000</v>
      </c>
      <c r="X2655" t="s">
        <v>3</v>
      </c>
      <c r="AA2655" s="5" t="str">
        <f>HYPERLINK("https://www.zillow.com/homes/1618-CASTLE-LAWN-CT-NAPERVILLE-IL-60565_rb/","check listing")</f>
        <v>check listing</v>
      </c>
      <c r="AB2655" s="5" t="str">
        <f>HYPERLINK("https://propertylookup.dupagecounty.gov/Datalets/Datalet.aspx?UseSearch=no&amp;mode=sales&amp;pin=0828301054","sales record")</f>
        <v>sales record</v>
      </c>
      <c r="AC2655" t="s">
        <v>3</v>
      </c>
      <c r="AD2655">
        <v>41.747429</v>
      </c>
      <c r="AE2655">
        <v>-88.100298</v>
      </c>
      <c r="AF2655" s="5" t="str">
        <f>HYPERLINK("https://www.google.com/maps/search/?api=1&amp;query=41.747429,-88.100298","map")</f>
        <v>map</v>
      </c>
    </row>
    <row r="2656" spans="1:32">
      <c r="A2656" t="s">
        <v>2706</v>
      </c>
      <c r="B2656" t="s">
        <v>10242</v>
      </c>
      <c r="C2656" t="s">
        <v>15477</v>
      </c>
      <c r="D2656" t="s">
        <v>16206</v>
      </c>
      <c r="E2656" t="s">
        <v>16218</v>
      </c>
      <c r="F2656" t="s">
        <v>16222</v>
      </c>
      <c r="G2656" t="s">
        <v>16270</v>
      </c>
      <c r="H2656" t="s">
        <v>16270</v>
      </c>
      <c r="I2656" t="s">
        <v>16348</v>
      </c>
      <c r="J2656" t="s">
        <v>16385</v>
      </c>
      <c r="K2656">
        <v>0.104</v>
      </c>
      <c r="L2656">
        <v>4543</v>
      </c>
      <c r="N2656" t="s">
        <v>16393</v>
      </c>
      <c r="O2656" s="4">
        <v>43369</v>
      </c>
      <c r="P2656" s="4">
        <v>187091</v>
      </c>
      <c r="Q2656" s="4">
        <v>230460</v>
      </c>
      <c r="R2656" s="4">
        <v>691380</v>
      </c>
      <c r="S2656" t="s">
        <v>18976</v>
      </c>
      <c r="T2656" s="6">
        <v>45247</v>
      </c>
      <c r="U2656" s="4">
        <v>615000</v>
      </c>
      <c r="V2656" t="s">
        <v>23739</v>
      </c>
      <c r="W2656" t="s">
        <v>25001</v>
      </c>
      <c r="X2656" t="s">
        <v>3</v>
      </c>
      <c r="AA2656" s="5" t="str">
        <f>HYPERLINK("https://www.zillow.com/homes/1603-CASTLE-LAWN-CT-NAPERVILLE-IL-605652096_rb/","check listing")</f>
        <v>check listing</v>
      </c>
      <c r="AB2656" s="5" t="str">
        <f>HYPERLINK("https://propertylookup.dupagecounty.gov/Datalets/Datalet.aspx?UseSearch=no&amp;mode=sales&amp;pin=0828301069","sales record")</f>
        <v>sales record</v>
      </c>
      <c r="AC2656" t="s">
        <v>3</v>
      </c>
      <c r="AD2656">
        <v>41.747771</v>
      </c>
      <c r="AE2656">
        <v>-88.10092899999999</v>
      </c>
      <c r="AF2656" s="5" t="str">
        <f>HYPERLINK("https://www.google.com/maps/search/?api=1&amp;query=41.747771,-88.100929","map")</f>
        <v>map</v>
      </c>
    </row>
    <row r="2657" spans="1:32">
      <c r="A2657" t="s">
        <v>2707</v>
      </c>
      <c r="B2657" t="s">
        <v>10243</v>
      </c>
      <c r="C2657" t="s">
        <v>15476</v>
      </c>
      <c r="D2657" t="s">
        <v>16206</v>
      </c>
      <c r="E2657" t="s">
        <v>16218</v>
      </c>
      <c r="F2657" t="s">
        <v>16222</v>
      </c>
      <c r="G2657" t="s">
        <v>16270</v>
      </c>
      <c r="H2657" t="s">
        <v>16270</v>
      </c>
      <c r="I2657" t="s">
        <v>16348</v>
      </c>
      <c r="J2657" t="s">
        <v>16385</v>
      </c>
      <c r="K2657">
        <v>0.102</v>
      </c>
      <c r="L2657">
        <v>4443</v>
      </c>
      <c r="N2657" t="s">
        <v>16393</v>
      </c>
      <c r="O2657" s="4">
        <v>43369</v>
      </c>
      <c r="P2657" s="4">
        <v>171585</v>
      </c>
      <c r="Q2657" s="4">
        <v>214954</v>
      </c>
      <c r="R2657" s="4">
        <v>644862</v>
      </c>
      <c r="S2657" t="s">
        <v>18977</v>
      </c>
      <c r="T2657" s="6">
        <v>43132</v>
      </c>
      <c r="U2657" s="4">
        <v>460280</v>
      </c>
      <c r="V2657" t="s">
        <v>23739</v>
      </c>
      <c r="W2657" t="s">
        <v>25002</v>
      </c>
      <c r="X2657" t="s">
        <v>3</v>
      </c>
      <c r="AA2657" s="5" t="str">
        <f>HYPERLINK("https://www.zillow.com/homes/1636-CASTLE-LAWN-CT-NAPERVILLE-IL-60565_rb/","check listing")</f>
        <v>check listing</v>
      </c>
      <c r="AB2657" s="5" t="str">
        <f>HYPERLINK("https://propertylookup.dupagecounty.gov/Datalets/Datalet.aspx?UseSearch=no&amp;mode=sales&amp;pin=0828301059","sales record")</f>
        <v>sales record</v>
      </c>
      <c r="AC2657" t="s">
        <v>3</v>
      </c>
      <c r="AD2657">
        <v>41.747443</v>
      </c>
      <c r="AE2657">
        <v>-88.099368</v>
      </c>
      <c r="AF2657" s="5" t="str">
        <f>HYPERLINK("https://www.google.com/maps/search/?api=1&amp;query=41.747443,-88.099368","map")</f>
        <v>map</v>
      </c>
    </row>
    <row r="2658" spans="1:32">
      <c r="A2658" t="s">
        <v>2708</v>
      </c>
      <c r="B2658" t="s">
        <v>10244</v>
      </c>
      <c r="C2658" t="s">
        <v>15476</v>
      </c>
      <c r="D2658" t="s">
        <v>16206</v>
      </c>
      <c r="E2658" t="s">
        <v>16218</v>
      </c>
      <c r="F2658" t="s">
        <v>16222</v>
      </c>
      <c r="G2658" t="s">
        <v>16270</v>
      </c>
      <c r="H2658" t="s">
        <v>16270</v>
      </c>
      <c r="I2658" t="s">
        <v>16348</v>
      </c>
      <c r="J2658" t="s">
        <v>16385</v>
      </c>
      <c r="K2658">
        <v>0.102</v>
      </c>
      <c r="L2658">
        <v>4433</v>
      </c>
      <c r="N2658" t="s">
        <v>16393</v>
      </c>
      <c r="O2658" s="4">
        <v>43369</v>
      </c>
      <c r="P2658" s="4">
        <v>193644</v>
      </c>
      <c r="Q2658" s="4">
        <v>237013</v>
      </c>
      <c r="R2658" s="4">
        <v>711039</v>
      </c>
      <c r="S2658" t="s">
        <v>18978</v>
      </c>
      <c r="T2658" s="6">
        <v>43101</v>
      </c>
      <c r="U2658" s="4">
        <v>511582</v>
      </c>
      <c r="V2658" t="s">
        <v>23739</v>
      </c>
      <c r="W2658" t="s">
        <v>25003</v>
      </c>
      <c r="X2658" t="s">
        <v>3</v>
      </c>
      <c r="AA2658" s="5" t="str">
        <f>HYPERLINK("https://www.zillow.com/homes/1642-CASTLE-LAWN-CT-NAPERVILLE-IL-60565_rb/","check listing")</f>
        <v>check listing</v>
      </c>
      <c r="AB2658" s="5" t="str">
        <f>HYPERLINK("https://propertylookup.dupagecounty.gov/Datalets/Datalet.aspx?UseSearch=no&amp;mode=sales&amp;pin=0828301077","sales record")</f>
        <v>sales record</v>
      </c>
      <c r="AC2658" t="s">
        <v>3</v>
      </c>
      <c r="AD2658">
        <v>41.747448</v>
      </c>
      <c r="AE2658">
        <v>-88.09906599999999</v>
      </c>
      <c r="AF2658" s="5" t="str">
        <f>HYPERLINK("https://www.google.com/maps/search/?api=1&amp;query=41.747448,-88.099066","map")</f>
        <v>map</v>
      </c>
    </row>
    <row r="2659" spans="1:32">
      <c r="A2659" t="s">
        <v>2709</v>
      </c>
      <c r="B2659" t="s">
        <v>10245</v>
      </c>
      <c r="C2659" t="s">
        <v>15476</v>
      </c>
      <c r="D2659" t="s">
        <v>16206</v>
      </c>
      <c r="E2659" t="s">
        <v>16218</v>
      </c>
      <c r="F2659" t="s">
        <v>16222</v>
      </c>
      <c r="G2659" t="s">
        <v>16270</v>
      </c>
      <c r="H2659" t="s">
        <v>16270</v>
      </c>
      <c r="I2659" t="s">
        <v>16348</v>
      </c>
      <c r="J2659" t="s">
        <v>16385</v>
      </c>
      <c r="K2659">
        <v>0.102</v>
      </c>
      <c r="L2659">
        <v>4425</v>
      </c>
      <c r="N2659" t="s">
        <v>16393</v>
      </c>
      <c r="O2659" s="4">
        <v>43369</v>
      </c>
      <c r="P2659" s="4">
        <v>192216</v>
      </c>
      <c r="Q2659" s="4">
        <v>235585</v>
      </c>
      <c r="R2659" s="4">
        <v>706755</v>
      </c>
      <c r="S2659" t="s">
        <v>18979</v>
      </c>
      <c r="T2659" s="6">
        <v>42826</v>
      </c>
      <c r="U2659" s="4">
        <v>502427</v>
      </c>
      <c r="V2659" t="s">
        <v>23739</v>
      </c>
      <c r="W2659" t="s">
        <v>25004</v>
      </c>
      <c r="X2659" t="s">
        <v>3</v>
      </c>
      <c r="AA2659" s="5" t="str">
        <f>HYPERLINK("https://www.zillow.com/homes/1630-CASTLE-LAWN-CT-NAPERVILLE-IL-60565_rb/","check listing")</f>
        <v>check listing</v>
      </c>
      <c r="AB2659" s="5" t="str">
        <f>HYPERLINK("https://propertylookup.dupagecounty.gov/Datalets/Datalet.aspx?UseSearch=no&amp;mode=sales&amp;pin=0828301056","sales record")</f>
        <v>sales record</v>
      </c>
      <c r="AC2659" t="s">
        <v>3</v>
      </c>
      <c r="AD2659">
        <v>41.747439</v>
      </c>
      <c r="AE2659">
        <v>-88.09966900000001</v>
      </c>
      <c r="AF2659" s="5" t="str">
        <f>HYPERLINK("https://www.google.com/maps/search/?api=1&amp;query=41.747439,-88.099669","map")</f>
        <v>map</v>
      </c>
    </row>
    <row r="2660" spans="1:32">
      <c r="A2660" t="s">
        <v>2710</v>
      </c>
      <c r="B2660" t="s">
        <v>10246</v>
      </c>
      <c r="C2660" t="s">
        <v>15478</v>
      </c>
      <c r="D2660" t="s">
        <v>16206</v>
      </c>
      <c r="E2660" t="s">
        <v>16217</v>
      </c>
      <c r="F2660" t="s">
        <v>16222</v>
      </c>
      <c r="G2660" t="s">
        <v>16270</v>
      </c>
      <c r="H2660" t="s">
        <v>16270</v>
      </c>
      <c r="I2660" t="s">
        <v>16348</v>
      </c>
      <c r="J2660" t="s">
        <v>16385</v>
      </c>
      <c r="K2660">
        <v>0.887</v>
      </c>
      <c r="L2660">
        <v>38633</v>
      </c>
      <c r="M2660">
        <v>2374</v>
      </c>
      <c r="N2660" t="s">
        <v>16392</v>
      </c>
      <c r="O2660" s="4">
        <v>129826</v>
      </c>
      <c r="P2660" s="4">
        <v>0</v>
      </c>
      <c r="Q2660" s="4">
        <v>129826</v>
      </c>
      <c r="R2660" s="4">
        <v>389478</v>
      </c>
      <c r="S2660" t="s">
        <v>18980</v>
      </c>
      <c r="X2660" t="s">
        <v>3</v>
      </c>
      <c r="AA2660" s="5" t="str">
        <f>HYPERLINK("https://www.zillow.com/homes/27W280-BAUER-RD-NAPERVILLE-IL-60563_rb/","check listing")</f>
        <v>check listing</v>
      </c>
      <c r="AB2660" s="5" t="str">
        <f>HYPERLINK("https://propertylookup.dupagecounty.gov/Datalets/Datalet.aspx?UseSearch=no&amp;mode=sales&amp;pin=0712209025","sales record")</f>
        <v>sales record</v>
      </c>
      <c r="AC2660" t="s">
        <v>11</v>
      </c>
      <c r="AD2660">
        <v>41.794758</v>
      </c>
      <c r="AE2660">
        <v>-88.15369099999999</v>
      </c>
      <c r="AF2660" s="5" t="str">
        <f>HYPERLINK("https://www.google.com/maps/search/?api=1&amp;query=41.794758,-88.153691","map")</f>
        <v>map</v>
      </c>
    </row>
    <row r="2661" spans="1:32">
      <c r="A2661" t="s">
        <v>2711</v>
      </c>
      <c r="B2661" t="s">
        <v>10247</v>
      </c>
      <c r="C2661" t="s">
        <v>15479</v>
      </c>
      <c r="D2661" t="s">
        <v>16206</v>
      </c>
      <c r="E2661" t="s">
        <v>16217</v>
      </c>
      <c r="F2661" t="s">
        <v>16222</v>
      </c>
      <c r="G2661" t="s">
        <v>16271</v>
      </c>
      <c r="H2661" t="s">
        <v>16272</v>
      </c>
      <c r="I2661" t="s">
        <v>16350</v>
      </c>
      <c r="J2661" t="s">
        <v>16385</v>
      </c>
      <c r="K2661">
        <v>0.381</v>
      </c>
      <c r="L2661">
        <v>16609</v>
      </c>
      <c r="N2661" t="s">
        <v>16392</v>
      </c>
      <c r="O2661" s="4">
        <v>365420</v>
      </c>
      <c r="P2661" s="4">
        <v>0</v>
      </c>
      <c r="Q2661" s="4">
        <v>365420</v>
      </c>
      <c r="R2661" s="4">
        <v>1096260</v>
      </c>
      <c r="S2661" t="s">
        <v>18981</v>
      </c>
      <c r="T2661" s="6">
        <v>38078</v>
      </c>
      <c r="U2661" s="4">
        <v>1177574</v>
      </c>
      <c r="V2661" t="s">
        <v>23742</v>
      </c>
      <c r="W2661" t="s">
        <v>25005</v>
      </c>
      <c r="X2661" t="s">
        <v>3</v>
      </c>
      <c r="AA2661" s="5" t="str">
        <f>HYPERLINK("https://www.zillow.com/homes/1-S-MAIN-ST-NAPERVILLE-IL-605405314_rb/","check listing")</f>
        <v>check listing</v>
      </c>
      <c r="AB2661" s="5" t="str">
        <f>HYPERLINK("https://propertylookup.dupagecounty.gov/Datalets/Datalet.aspx?UseSearch=no&amp;mode=sales&amp;pin=0713418007","sales record")</f>
        <v>sales record</v>
      </c>
      <c r="AC2661" t="s">
        <v>3</v>
      </c>
      <c r="AD2661">
        <v>41.774739</v>
      </c>
      <c r="AE2661">
        <v>-88.149958</v>
      </c>
      <c r="AF2661" s="5" t="str">
        <f>HYPERLINK("https://www.google.com/maps/search/?api=1&amp;query=41.774739,-88.149958","map")</f>
        <v>map</v>
      </c>
    </row>
    <row r="2662" spans="1:32">
      <c r="A2662" t="s">
        <v>2712</v>
      </c>
      <c r="B2662" t="s">
        <v>10248</v>
      </c>
      <c r="C2662" t="s">
        <v>15475</v>
      </c>
      <c r="D2662" t="s">
        <v>16206</v>
      </c>
      <c r="E2662" t="s">
        <v>16217</v>
      </c>
      <c r="F2662" t="s">
        <v>16222</v>
      </c>
      <c r="G2662" t="s">
        <v>16272</v>
      </c>
      <c r="H2662" t="s">
        <v>16272</v>
      </c>
      <c r="I2662" t="s">
        <v>16350</v>
      </c>
      <c r="J2662" t="s">
        <v>16385</v>
      </c>
      <c r="K2662">
        <v>0.328</v>
      </c>
      <c r="L2662">
        <v>14304</v>
      </c>
      <c r="N2662" t="s">
        <v>16392</v>
      </c>
      <c r="O2662" s="4">
        <v>357881</v>
      </c>
      <c r="P2662" s="4">
        <v>0</v>
      </c>
      <c r="Q2662" s="4">
        <v>357881</v>
      </c>
      <c r="R2662" s="4">
        <v>1073643</v>
      </c>
      <c r="S2662" t="s">
        <v>18982</v>
      </c>
      <c r="X2662" t="s">
        <v>3</v>
      </c>
      <c r="AA2662" s="5" t="str">
        <f>HYPERLINK("https://www.zillow.com/homes/41923-S-WASHINGTON-ST-NAPERVILLE-IL-60540_rb/","check listing")</f>
        <v>check listing</v>
      </c>
      <c r="AB2662" s="5" t="str">
        <f>HYPERLINK("https://propertylookup.dupagecounty.gov/Datalets/Datalet.aspx?UseSearch=no&amp;mode=sales&amp;pin=0713443011","sales record")</f>
        <v>sales record</v>
      </c>
      <c r="AC2662" t="s">
        <v>27872</v>
      </c>
      <c r="AD2662">
        <v>41.770609</v>
      </c>
      <c r="AE2662">
        <v>-88.148804</v>
      </c>
      <c r="AF2662" s="5" t="str">
        <f>HYPERLINK("https://www.google.com/maps/search/?api=1&amp;query=41.770609,-88.148804","map")</f>
        <v>map</v>
      </c>
    </row>
    <row r="2663" spans="1:32">
      <c r="A2663" t="s">
        <v>2713</v>
      </c>
      <c r="B2663" t="s">
        <v>10249</v>
      </c>
      <c r="C2663" t="s">
        <v>15475</v>
      </c>
      <c r="D2663" t="s">
        <v>16206</v>
      </c>
      <c r="E2663" t="s">
        <v>16217</v>
      </c>
      <c r="F2663" t="s">
        <v>16222</v>
      </c>
      <c r="G2663" t="s">
        <v>16272</v>
      </c>
      <c r="H2663" t="s">
        <v>16272</v>
      </c>
      <c r="I2663" t="s">
        <v>16350</v>
      </c>
      <c r="J2663" t="s">
        <v>16385</v>
      </c>
      <c r="K2663">
        <v>0.279</v>
      </c>
      <c r="L2663">
        <v>12152</v>
      </c>
      <c r="N2663" t="s">
        <v>16392</v>
      </c>
      <c r="O2663" s="4">
        <v>298783</v>
      </c>
      <c r="P2663" s="4">
        <v>0</v>
      </c>
      <c r="Q2663" s="4">
        <v>298783</v>
      </c>
      <c r="R2663" s="4">
        <v>896349</v>
      </c>
      <c r="S2663" t="s">
        <v>18983</v>
      </c>
      <c r="T2663" s="6">
        <v>45274</v>
      </c>
      <c r="U2663" s="4">
        <v>2200000</v>
      </c>
      <c r="V2663" t="s">
        <v>16232</v>
      </c>
      <c r="W2663" t="s">
        <v>25006</v>
      </c>
      <c r="X2663" t="s">
        <v>3</v>
      </c>
      <c r="AA2663" s="5" t="str">
        <f>HYPERLINK("https://www.zillow.com/homes/36-S-WASHINGTON-ST-NAPERVILLE-IL-60540_rb/","check listing")</f>
        <v>check listing</v>
      </c>
      <c r="AB2663" s="5" t="str">
        <f>HYPERLINK("https://propertylookup.dupagecounty.gov/Datalets/Datalet.aspx?UseSearch=no&amp;mode=sales&amp;pin=0713420006","sales record")</f>
        <v>sales record</v>
      </c>
      <c r="AC2663" t="s">
        <v>3</v>
      </c>
      <c r="AD2663">
        <v>41.774167</v>
      </c>
      <c r="AE2663">
        <v>-88.147413</v>
      </c>
      <c r="AF2663" s="5" t="str">
        <f>HYPERLINK("https://www.google.com/maps/search/?api=1&amp;query=41.774167,-88.147413","map")</f>
        <v>map</v>
      </c>
    </row>
    <row r="2664" spans="1:32">
      <c r="A2664" t="s">
        <v>2714</v>
      </c>
      <c r="B2664" t="s">
        <v>10250</v>
      </c>
      <c r="C2664" t="s">
        <v>15475</v>
      </c>
      <c r="D2664" t="s">
        <v>16206</v>
      </c>
      <c r="E2664" t="s">
        <v>16217</v>
      </c>
      <c r="F2664" t="s">
        <v>16222</v>
      </c>
      <c r="G2664" t="s">
        <v>16272</v>
      </c>
      <c r="H2664" t="s">
        <v>16272</v>
      </c>
      <c r="I2664" t="s">
        <v>16350</v>
      </c>
      <c r="J2664" t="s">
        <v>16385</v>
      </c>
      <c r="K2664">
        <v>0.272</v>
      </c>
      <c r="L2664">
        <v>11845</v>
      </c>
      <c r="N2664" t="s">
        <v>16392</v>
      </c>
      <c r="O2664" s="4">
        <v>342685</v>
      </c>
      <c r="P2664" s="4">
        <v>0</v>
      </c>
      <c r="Q2664" s="4">
        <v>342685</v>
      </c>
      <c r="R2664" s="4">
        <v>1028055</v>
      </c>
      <c r="S2664" t="s">
        <v>18984</v>
      </c>
      <c r="X2664" t="s">
        <v>3</v>
      </c>
      <c r="AA2664" s="5" t="str">
        <f>HYPERLINK("https://www.zillow.com/homes/226-S-MAIN-ST-NAPERVILLE-IL-60540_rb/","check listing")</f>
        <v>check listing</v>
      </c>
      <c r="AB2664" s="5" t="str">
        <f>HYPERLINK("https://propertylookup.dupagecounty.gov/Datalets/Datalet.aspx?UseSearch=no&amp;mode=sales&amp;pin=0713430024","sales record")</f>
        <v>sales record</v>
      </c>
      <c r="AC2664" t="s">
        <v>27872</v>
      </c>
      <c r="AD2664">
        <v>41.772072</v>
      </c>
      <c r="AE2664">
        <v>-88.14922300000001</v>
      </c>
      <c r="AF2664" s="5" t="str">
        <f>HYPERLINK("https://www.google.com/maps/search/?api=1&amp;query=41.772072,-88.149223","map")</f>
        <v>map</v>
      </c>
    </row>
    <row r="2665" spans="1:32">
      <c r="A2665" t="s">
        <v>2715</v>
      </c>
      <c r="B2665" t="s">
        <v>10251</v>
      </c>
      <c r="C2665" t="s">
        <v>15475</v>
      </c>
      <c r="D2665" t="s">
        <v>16206</v>
      </c>
      <c r="E2665" t="s">
        <v>16217</v>
      </c>
      <c r="F2665" t="s">
        <v>16222</v>
      </c>
      <c r="G2665" t="s">
        <v>16272</v>
      </c>
      <c r="H2665" t="s">
        <v>16272</v>
      </c>
      <c r="I2665" t="s">
        <v>16350</v>
      </c>
      <c r="J2665" t="s">
        <v>16385</v>
      </c>
      <c r="K2665">
        <v>0.262</v>
      </c>
      <c r="L2665">
        <v>11397</v>
      </c>
      <c r="M2665">
        <v>9232</v>
      </c>
      <c r="N2665" t="s">
        <v>16392</v>
      </c>
      <c r="O2665" s="4">
        <v>280109</v>
      </c>
      <c r="P2665" s="4">
        <v>0</v>
      </c>
      <c r="Q2665" s="4">
        <v>280109</v>
      </c>
      <c r="R2665" s="4">
        <v>840327</v>
      </c>
      <c r="S2665" t="s">
        <v>18983</v>
      </c>
      <c r="T2665" s="6">
        <v>45274</v>
      </c>
      <c r="U2665" s="4">
        <v>2200000</v>
      </c>
      <c r="V2665" t="s">
        <v>16232</v>
      </c>
      <c r="W2665" t="s">
        <v>25006</v>
      </c>
      <c r="X2665" t="s">
        <v>3</v>
      </c>
      <c r="AA2665" s="5" t="str">
        <f>HYPERLINK("https://www.zillow.com/homes/34-S-WASHINGTON-ST-NAPERVILLE-IL-60540_rb/","check listing")</f>
        <v>check listing</v>
      </c>
      <c r="AB2665" s="5" t="str">
        <f>HYPERLINK("https://propertylookup.dupagecounty.gov/Datalets/Datalet.aspx?UseSearch=no&amp;mode=sales&amp;pin=0713420005","sales record")</f>
        <v>sales record</v>
      </c>
      <c r="AC2665" t="s">
        <v>11</v>
      </c>
      <c r="AD2665">
        <v>41.774444</v>
      </c>
      <c r="AE2665">
        <v>-88.14739899999999</v>
      </c>
      <c r="AF2665" s="5" t="str">
        <f>HYPERLINK("https://www.google.com/maps/search/?api=1&amp;query=41.774444,-88.147399","map")</f>
        <v>map</v>
      </c>
    </row>
    <row r="2666" spans="1:32">
      <c r="A2666" t="s">
        <v>2716</v>
      </c>
      <c r="B2666" t="s">
        <v>10252</v>
      </c>
      <c r="C2666" t="s">
        <v>15475</v>
      </c>
      <c r="D2666" t="s">
        <v>16206</v>
      </c>
      <c r="E2666" t="s">
        <v>16217</v>
      </c>
      <c r="F2666" t="s">
        <v>16222</v>
      </c>
      <c r="G2666" t="s">
        <v>16272</v>
      </c>
      <c r="H2666" t="s">
        <v>16272</v>
      </c>
      <c r="I2666" t="s">
        <v>16350</v>
      </c>
      <c r="J2666" t="s">
        <v>16385</v>
      </c>
      <c r="K2666">
        <v>0.235</v>
      </c>
      <c r="L2666">
        <v>10222</v>
      </c>
      <c r="N2666" t="s">
        <v>16392</v>
      </c>
      <c r="O2666" s="4">
        <v>254539</v>
      </c>
      <c r="P2666" s="4">
        <v>0</v>
      </c>
      <c r="Q2666" s="4">
        <v>254539</v>
      </c>
      <c r="R2666" s="4">
        <v>763617</v>
      </c>
      <c r="S2666" t="s">
        <v>18985</v>
      </c>
      <c r="X2666" t="s">
        <v>3</v>
      </c>
      <c r="AA2666" s="5" t="str">
        <f>HYPERLINK("https://www.zillow.com/homes/315-S-MAIN-ST-NAPERVILLE-IL-60540_rb/","check listing")</f>
        <v>check listing</v>
      </c>
      <c r="AB2666" s="5" t="str">
        <f>HYPERLINK("https://propertylookup.dupagecounty.gov/Datalets/Datalet.aspx?UseSearch=no&amp;mode=sales&amp;pin=0713440012","sales record")</f>
        <v>sales record</v>
      </c>
      <c r="AC2666" t="s">
        <v>3</v>
      </c>
      <c r="AD2666">
        <v>41.771173</v>
      </c>
      <c r="AE2666">
        <v>-88.149957</v>
      </c>
      <c r="AF2666" s="5" t="str">
        <f>HYPERLINK("https://www.google.com/maps/search/?api=1&amp;query=41.771173,-88.149957","map")</f>
        <v>map</v>
      </c>
    </row>
    <row r="2667" spans="1:32">
      <c r="A2667" t="s">
        <v>2717</v>
      </c>
      <c r="B2667" t="s">
        <v>10253</v>
      </c>
      <c r="C2667" t="s">
        <v>15475</v>
      </c>
      <c r="D2667" t="s">
        <v>16206</v>
      </c>
      <c r="E2667" t="s">
        <v>16217</v>
      </c>
      <c r="F2667" t="s">
        <v>16222</v>
      </c>
      <c r="G2667" t="s">
        <v>16270</v>
      </c>
      <c r="H2667" t="s">
        <v>16270</v>
      </c>
      <c r="I2667" t="s">
        <v>16348</v>
      </c>
      <c r="J2667" t="s">
        <v>16385</v>
      </c>
      <c r="K2667">
        <v>0.213</v>
      </c>
      <c r="L2667">
        <v>9280</v>
      </c>
      <c r="N2667" t="s">
        <v>16392</v>
      </c>
      <c r="O2667" s="4">
        <v>113899</v>
      </c>
      <c r="P2667" s="4">
        <v>0</v>
      </c>
      <c r="Q2667" s="4">
        <v>113899</v>
      </c>
      <c r="R2667" s="4">
        <v>341697</v>
      </c>
      <c r="S2667" t="s">
        <v>18986</v>
      </c>
      <c r="X2667" t="s">
        <v>3</v>
      </c>
      <c r="AA2667" s="5" t="str">
        <f>HYPERLINK("https://www.zillow.com/homes/141-AURORA-AVE-NAPERVILLE-IL-60540_rb/","check listing")</f>
        <v>check listing</v>
      </c>
      <c r="AB2667" s="5" t="str">
        <f>HYPERLINK("https://propertylookup.dupagecounty.gov/Datalets/Datalet.aspx?UseSearch=no&amp;mode=sales&amp;pin=0713442023","sales record")</f>
        <v>sales record</v>
      </c>
      <c r="AC2667" t="s">
        <v>3</v>
      </c>
      <c r="AD2667">
        <v>41.770224</v>
      </c>
      <c r="AE2667">
        <v>-88.15116399999999</v>
      </c>
      <c r="AF2667" s="5" t="str">
        <f>HYPERLINK("https://www.google.com/maps/search/?api=1&amp;query=41.770224,-88.151164","map")</f>
        <v>map</v>
      </c>
    </row>
    <row r="2668" spans="1:32">
      <c r="A2668" t="s">
        <v>2718</v>
      </c>
      <c r="B2668" t="s">
        <v>10254</v>
      </c>
      <c r="C2668" t="s">
        <v>15480</v>
      </c>
      <c r="D2668" t="s">
        <v>16206</v>
      </c>
      <c r="E2668" t="s">
        <v>16217</v>
      </c>
      <c r="F2668" t="s">
        <v>16222</v>
      </c>
      <c r="G2668" t="s">
        <v>16272</v>
      </c>
      <c r="H2668" t="s">
        <v>16272</v>
      </c>
      <c r="I2668" t="s">
        <v>16350</v>
      </c>
      <c r="J2668" t="s">
        <v>16385</v>
      </c>
      <c r="K2668">
        <v>0.141</v>
      </c>
      <c r="L2668">
        <v>6160</v>
      </c>
      <c r="N2668" t="s">
        <v>16392</v>
      </c>
      <c r="O2668" s="4">
        <v>178916</v>
      </c>
      <c r="P2668" s="4">
        <v>0</v>
      </c>
      <c r="Q2668" s="4">
        <v>178916</v>
      </c>
      <c r="R2668" s="4">
        <v>536748</v>
      </c>
      <c r="S2668" t="s">
        <v>18987</v>
      </c>
      <c r="T2668" s="6">
        <v>44470</v>
      </c>
      <c r="U2668" s="4">
        <v>23300000</v>
      </c>
      <c r="V2668" t="s">
        <v>16232</v>
      </c>
      <c r="W2668" t="s">
        <v>25007</v>
      </c>
      <c r="X2668" t="s">
        <v>3</v>
      </c>
      <c r="AA2668" s="5" t="str">
        <f>HYPERLINK("https://www.zillow.com/homes/11119-S-MAIN-ST-NAPERVILLE-IL-605405316_rb/","check listing")</f>
        <v>check listing</v>
      </c>
      <c r="AB2668" s="5" t="str">
        <f>HYPERLINK("https://propertylookup.dupagecounty.gov/Datalets/Datalet.aspx?UseSearch=no&amp;mode=sales&amp;pin=0713422026","sales record")</f>
        <v>sales record</v>
      </c>
      <c r="AC2668" t="s">
        <v>27872</v>
      </c>
      <c r="AD2668">
        <v>41.773908</v>
      </c>
      <c r="AE2668">
        <v>-88.150019</v>
      </c>
      <c r="AF2668" s="5" t="str">
        <f>HYPERLINK("https://www.google.com/maps/search/?api=1&amp;query=41.773908,-88.150019","map")</f>
        <v>map</v>
      </c>
    </row>
    <row r="2669" spans="1:32">
      <c r="A2669" t="s">
        <v>2719</v>
      </c>
      <c r="B2669" t="s">
        <v>10255</v>
      </c>
      <c r="C2669" t="s">
        <v>15475</v>
      </c>
      <c r="D2669" t="s">
        <v>16206</v>
      </c>
      <c r="E2669" t="s">
        <v>16217</v>
      </c>
      <c r="F2669" t="s">
        <v>16222</v>
      </c>
      <c r="G2669" t="s">
        <v>16272</v>
      </c>
      <c r="H2669" t="s">
        <v>16272</v>
      </c>
      <c r="I2669" t="s">
        <v>16350</v>
      </c>
      <c r="J2669" t="s">
        <v>16385</v>
      </c>
      <c r="K2669">
        <v>0.139</v>
      </c>
      <c r="L2669">
        <v>6075</v>
      </c>
      <c r="N2669" t="s">
        <v>16392</v>
      </c>
      <c r="O2669" s="4">
        <v>149379</v>
      </c>
      <c r="P2669" s="4">
        <v>0</v>
      </c>
      <c r="Q2669" s="4">
        <v>149379</v>
      </c>
      <c r="R2669" s="4">
        <v>448137</v>
      </c>
      <c r="S2669" t="s">
        <v>18988</v>
      </c>
      <c r="T2669" s="6">
        <v>35278</v>
      </c>
      <c r="U2669" s="4">
        <v>173000</v>
      </c>
      <c r="X2669" t="s">
        <v>3</v>
      </c>
      <c r="AA2669" s="5" t="str">
        <f>HYPERLINK("https://www.zillow.com/homes/18-S-WASHINGTON-ST-NAPERVILLE-IL-60540_rb/","check listing")</f>
        <v>check listing</v>
      </c>
      <c r="AB2669" s="5" t="str">
        <f>HYPERLINK("https://propertylookup.dupagecounty.gov/Datalets/Datalet.aspx?UseSearch=no&amp;mode=sales&amp;pin=0713420004","sales record")</f>
        <v>sales record</v>
      </c>
      <c r="AC2669" t="s">
        <v>3</v>
      </c>
      <c r="AD2669">
        <v>41.774583</v>
      </c>
      <c r="AE2669">
        <v>-88.147392</v>
      </c>
      <c r="AF2669" s="5" t="str">
        <f>HYPERLINK("https://www.google.com/maps/search/?api=1&amp;query=41.774583,-88.147392","map")</f>
        <v>map</v>
      </c>
    </row>
    <row r="2670" spans="1:32">
      <c r="A2670" t="s">
        <v>2720</v>
      </c>
      <c r="B2670" t="s">
        <v>10247</v>
      </c>
      <c r="C2670" t="s">
        <v>15479</v>
      </c>
      <c r="D2670" t="s">
        <v>16206</v>
      </c>
      <c r="E2670" t="s">
        <v>16217</v>
      </c>
      <c r="F2670" t="s">
        <v>16222</v>
      </c>
      <c r="G2670" t="s">
        <v>16271</v>
      </c>
      <c r="H2670" t="s">
        <v>16272</v>
      </c>
      <c r="I2670" t="s">
        <v>16350</v>
      </c>
      <c r="J2670" t="s">
        <v>16385</v>
      </c>
      <c r="K2670">
        <v>0.127</v>
      </c>
      <c r="L2670">
        <v>5545</v>
      </c>
      <c r="N2670" t="s">
        <v>16392</v>
      </c>
      <c r="O2670" s="4">
        <v>121810</v>
      </c>
      <c r="P2670" s="4">
        <v>0</v>
      </c>
      <c r="Q2670" s="4">
        <v>121810</v>
      </c>
      <c r="R2670" s="4">
        <v>365430</v>
      </c>
      <c r="S2670" t="s">
        <v>18981</v>
      </c>
      <c r="T2670" s="6">
        <v>38838</v>
      </c>
      <c r="U2670" s="4">
        <v>1700000</v>
      </c>
      <c r="V2670" t="s">
        <v>23740</v>
      </c>
      <c r="W2670" t="s">
        <v>25008</v>
      </c>
      <c r="X2670" t="s">
        <v>3</v>
      </c>
      <c r="AA2670" s="5" t="str">
        <f>HYPERLINK("https://www.zillow.com/homes/1-S-MAIN-ST-NAPERVILLE-IL-605405314_rb/","check listing")</f>
        <v>check listing</v>
      </c>
      <c r="AB2670" s="5" t="str">
        <f>HYPERLINK("https://propertylookup.dupagecounty.gov/Datalets/Datalet.aspx?UseSearch=no&amp;mode=sales&amp;pin=0713418006","sales record")</f>
        <v>sales record</v>
      </c>
      <c r="AC2670" t="s">
        <v>3</v>
      </c>
      <c r="AD2670">
        <v>41.774961</v>
      </c>
      <c r="AE2670">
        <v>-88.149703</v>
      </c>
      <c r="AF2670" s="5" t="str">
        <f>HYPERLINK("https://www.google.com/maps/search/?api=1&amp;query=41.774961,-88.149703","map")</f>
        <v>map</v>
      </c>
    </row>
    <row r="2671" spans="1:32">
      <c r="A2671" t="s">
        <v>2721</v>
      </c>
      <c r="B2671" t="s">
        <v>10247</v>
      </c>
      <c r="C2671" t="s">
        <v>15479</v>
      </c>
      <c r="D2671" t="s">
        <v>16206</v>
      </c>
      <c r="E2671" t="s">
        <v>16217</v>
      </c>
      <c r="F2671" t="s">
        <v>16222</v>
      </c>
      <c r="G2671" t="s">
        <v>16271</v>
      </c>
      <c r="H2671" t="s">
        <v>16272</v>
      </c>
      <c r="I2671" t="s">
        <v>16350</v>
      </c>
      <c r="J2671" t="s">
        <v>16385</v>
      </c>
      <c r="K2671">
        <v>0.127</v>
      </c>
      <c r="L2671">
        <v>5538</v>
      </c>
      <c r="N2671" t="s">
        <v>16392</v>
      </c>
      <c r="O2671" s="4">
        <v>121810</v>
      </c>
      <c r="P2671" s="4">
        <v>0</v>
      </c>
      <c r="Q2671" s="4">
        <v>121810</v>
      </c>
      <c r="R2671" s="4">
        <v>365430</v>
      </c>
      <c r="S2671" t="s">
        <v>18981</v>
      </c>
      <c r="X2671" t="s">
        <v>3</v>
      </c>
      <c r="AA2671" s="5" t="str">
        <f>HYPERLINK("https://www.zillow.com/homes/1-S-MAIN-ST-NAPERVILLE-IL-605405314_rb/","check listing")</f>
        <v>check listing</v>
      </c>
      <c r="AB2671" s="5" t="str">
        <f>HYPERLINK("https://propertylookup.dupagecounty.gov/Datalets/Datalet.aspx?UseSearch=no&amp;mode=sales&amp;pin=0713418005","sales record")</f>
        <v>sales record</v>
      </c>
      <c r="AC2671" t="s">
        <v>3</v>
      </c>
      <c r="AD2671">
        <v>41.774967</v>
      </c>
      <c r="AE2671">
        <v>-88.149947</v>
      </c>
      <c r="AF2671" s="5" t="str">
        <f>HYPERLINK("https://www.google.com/maps/search/?api=1&amp;query=41.774967,-88.149947","map")</f>
        <v>map</v>
      </c>
    </row>
    <row r="2672" spans="1:32">
      <c r="A2672" t="s">
        <v>2722</v>
      </c>
      <c r="B2672" t="s">
        <v>10247</v>
      </c>
      <c r="C2672" t="s">
        <v>15479</v>
      </c>
      <c r="D2672" t="s">
        <v>16206</v>
      </c>
      <c r="E2672" t="s">
        <v>16217</v>
      </c>
      <c r="F2672" t="s">
        <v>16222</v>
      </c>
      <c r="G2672" t="s">
        <v>16271</v>
      </c>
      <c r="H2672" t="s">
        <v>16272</v>
      </c>
      <c r="I2672" t="s">
        <v>16350</v>
      </c>
      <c r="J2672" t="s">
        <v>16385</v>
      </c>
      <c r="K2672">
        <v>0.127</v>
      </c>
      <c r="L2672">
        <v>5530</v>
      </c>
      <c r="N2672" t="s">
        <v>16392</v>
      </c>
      <c r="O2672" s="4">
        <v>121810</v>
      </c>
      <c r="P2672" s="4">
        <v>0</v>
      </c>
      <c r="Q2672" s="4">
        <v>121810</v>
      </c>
      <c r="R2672" s="4">
        <v>365430</v>
      </c>
      <c r="S2672" t="s">
        <v>18989</v>
      </c>
      <c r="T2672" s="6">
        <v>42736</v>
      </c>
      <c r="U2672" s="4">
        <v>88000000</v>
      </c>
      <c r="V2672" t="s">
        <v>16232</v>
      </c>
      <c r="W2672" t="s">
        <v>25009</v>
      </c>
      <c r="X2672" t="s">
        <v>3</v>
      </c>
      <c r="AA2672" s="5" t="str">
        <f>HYPERLINK("https://www.zillow.com/homes/1-S-MAIN-ST-NAPERVILLE-IL-605405314_rb/","check listing")</f>
        <v>check listing</v>
      </c>
      <c r="AB2672" s="5" t="str">
        <f>HYPERLINK("https://propertylookup.dupagecounty.gov/Datalets/Datalet.aspx?UseSearch=no&amp;mode=sales&amp;pin=0713418004","sales record")</f>
        <v>sales record</v>
      </c>
      <c r="AC2672" t="s">
        <v>3</v>
      </c>
      <c r="AD2672">
        <v>41.774974</v>
      </c>
      <c r="AE2672">
        <v>-88.15018999999999</v>
      </c>
      <c r="AF2672" s="5" t="str">
        <f>HYPERLINK("https://www.google.com/maps/search/?api=1&amp;query=41.774974,-88.15019","map")</f>
        <v>map</v>
      </c>
    </row>
    <row r="2673" spans="1:32">
      <c r="A2673" t="s">
        <v>2723</v>
      </c>
      <c r="B2673" t="s">
        <v>10256</v>
      </c>
      <c r="C2673" t="s">
        <v>15474</v>
      </c>
      <c r="D2673" t="s">
        <v>16206</v>
      </c>
      <c r="E2673" t="s">
        <v>16217</v>
      </c>
      <c r="F2673" t="s">
        <v>16222</v>
      </c>
      <c r="G2673" t="s">
        <v>16270</v>
      </c>
      <c r="H2673" t="s">
        <v>16270</v>
      </c>
      <c r="I2673" t="s">
        <v>16348</v>
      </c>
      <c r="J2673" t="s">
        <v>16385</v>
      </c>
      <c r="K2673">
        <v>0.123</v>
      </c>
      <c r="L2673">
        <v>5375</v>
      </c>
      <c r="N2673" t="s">
        <v>16393</v>
      </c>
      <c r="O2673" s="4">
        <v>146198</v>
      </c>
      <c r="P2673" s="4">
        <v>0</v>
      </c>
      <c r="Q2673" s="4">
        <v>146198</v>
      </c>
      <c r="R2673" s="4">
        <v>438594</v>
      </c>
      <c r="S2673" t="s">
        <v>18990</v>
      </c>
      <c r="X2673" t="s">
        <v>3</v>
      </c>
      <c r="AA2673" s="5" t="str">
        <f>HYPERLINK("https://www.zillow.com/homes/115-S-WEBSTER-ST-NAPERVILLE-IL-605405329_rb/","check listing")</f>
        <v>check listing</v>
      </c>
      <c r="AB2673" s="5" t="str">
        <f>HYPERLINK("https://propertylookup.dupagecounty.gov/Datalets/Datalet.aspx?UseSearch=no&amp;mode=sales&amp;pin=0713421025","sales record")</f>
        <v>sales record</v>
      </c>
      <c r="AC2673" t="s">
        <v>3</v>
      </c>
      <c r="AD2673">
        <v>41.773642</v>
      </c>
      <c r="AE2673">
        <v>-88.15157600000001</v>
      </c>
      <c r="AF2673" s="5" t="str">
        <f>HYPERLINK("https://www.google.com/maps/search/?api=1&amp;query=41.773642,-88.151576","map")</f>
        <v>map</v>
      </c>
    </row>
    <row r="2674" spans="1:32">
      <c r="A2674" t="s">
        <v>2724</v>
      </c>
      <c r="B2674" t="s">
        <v>10257</v>
      </c>
      <c r="C2674" t="s">
        <v>15481</v>
      </c>
      <c r="D2674" t="s">
        <v>16206</v>
      </c>
      <c r="E2674" t="s">
        <v>16217</v>
      </c>
      <c r="F2674" t="s">
        <v>16222</v>
      </c>
      <c r="G2674" t="s">
        <v>16270</v>
      </c>
      <c r="H2674" t="s">
        <v>16270</v>
      </c>
      <c r="I2674" t="s">
        <v>16348</v>
      </c>
      <c r="J2674" t="s">
        <v>16385</v>
      </c>
      <c r="K2674">
        <v>0.122</v>
      </c>
      <c r="L2674">
        <v>5312</v>
      </c>
      <c r="N2674" t="s">
        <v>16392</v>
      </c>
      <c r="O2674" s="4">
        <v>87633</v>
      </c>
      <c r="P2674" s="4">
        <v>0</v>
      </c>
      <c r="Q2674" s="4">
        <v>87633</v>
      </c>
      <c r="R2674" s="4">
        <v>262899</v>
      </c>
      <c r="S2674" t="s">
        <v>18991</v>
      </c>
      <c r="T2674" s="6">
        <v>42767</v>
      </c>
      <c r="U2674" s="4">
        <v>225000</v>
      </c>
      <c r="V2674" t="s">
        <v>16232</v>
      </c>
      <c r="W2674" t="s">
        <v>25010</v>
      </c>
      <c r="X2674" t="s">
        <v>3</v>
      </c>
      <c r="AA2674" s="5" t="str">
        <f>HYPERLINK("https://www.zillow.com/homes/19-W-BENTON-AVE-NAPERVILLE-IL-605404501_rb/","check listing")</f>
        <v>check listing</v>
      </c>
      <c r="AB2674" s="5" t="str">
        <f>HYPERLINK("https://propertylookup.dupagecounty.gov/Datalets/Datalet.aspx?UseSearch=no&amp;mode=sales&amp;pin=0713411011","sales record")</f>
        <v>sales record</v>
      </c>
      <c r="AC2674" t="s">
        <v>27872</v>
      </c>
      <c r="AD2674">
        <v>41.775404</v>
      </c>
      <c r="AE2674">
        <v>-88.148422</v>
      </c>
      <c r="AF2674" s="5" t="str">
        <f>HYPERLINK("https://www.google.com/maps/search/?api=1&amp;query=41.775404,-88.148422","map")</f>
        <v>map</v>
      </c>
    </row>
    <row r="2675" spans="1:32">
      <c r="A2675" t="s">
        <v>2725</v>
      </c>
      <c r="B2675" t="s">
        <v>10258</v>
      </c>
      <c r="C2675" t="s">
        <v>15474</v>
      </c>
      <c r="D2675" t="s">
        <v>16206</v>
      </c>
      <c r="E2675" t="s">
        <v>16217</v>
      </c>
      <c r="F2675" t="s">
        <v>16222</v>
      </c>
      <c r="G2675" t="s">
        <v>16270</v>
      </c>
      <c r="H2675" t="s">
        <v>16270</v>
      </c>
      <c r="I2675" t="s">
        <v>16348</v>
      </c>
      <c r="J2675" t="s">
        <v>16385</v>
      </c>
      <c r="K2675">
        <v>0.122</v>
      </c>
      <c r="L2675">
        <v>5301</v>
      </c>
      <c r="M2675">
        <v>1732</v>
      </c>
      <c r="N2675" t="s">
        <v>16393</v>
      </c>
      <c r="O2675" s="4">
        <v>146198</v>
      </c>
      <c r="P2675" s="4">
        <v>0</v>
      </c>
      <c r="Q2675" s="4">
        <v>146198</v>
      </c>
      <c r="R2675" s="4">
        <v>438594</v>
      </c>
      <c r="S2675" t="s">
        <v>18990</v>
      </c>
      <c r="X2675" t="s">
        <v>3</v>
      </c>
      <c r="AA2675" s="5" t="str">
        <f>HYPERLINK("https://www.zillow.com/homes/103-S-WEBSTER-ST-NAPERVILLE-IL-605405329_rb/","check listing")</f>
        <v>check listing</v>
      </c>
      <c r="AB2675" s="5" t="str">
        <f>HYPERLINK("https://propertylookup.dupagecounty.gov/Datalets/Datalet.aspx?UseSearch=no&amp;mode=sales&amp;pin=0713421022","sales record")</f>
        <v>sales record</v>
      </c>
      <c r="AC2675" t="s">
        <v>11</v>
      </c>
      <c r="AD2675">
        <v>41.773978</v>
      </c>
      <c r="AE2675">
        <v>-88.15155900000001</v>
      </c>
      <c r="AF2675" s="5" t="str">
        <f>HYPERLINK("https://www.google.com/maps/search/?api=1&amp;query=41.773978,-88.151559","map")</f>
        <v>map</v>
      </c>
    </row>
    <row r="2676" spans="1:32">
      <c r="A2676" t="s">
        <v>2726</v>
      </c>
      <c r="B2676" t="s">
        <v>10259</v>
      </c>
      <c r="C2676" t="s">
        <v>15474</v>
      </c>
      <c r="D2676" t="s">
        <v>16206</v>
      </c>
      <c r="E2676" t="s">
        <v>16217</v>
      </c>
      <c r="F2676" t="s">
        <v>16222</v>
      </c>
      <c r="G2676" t="s">
        <v>16270</v>
      </c>
      <c r="H2676" t="s">
        <v>16270</v>
      </c>
      <c r="I2676" t="s">
        <v>16348</v>
      </c>
      <c r="J2676" t="s">
        <v>16385</v>
      </c>
      <c r="K2676">
        <v>0.111</v>
      </c>
      <c r="L2676">
        <v>4814</v>
      </c>
      <c r="N2676" t="s">
        <v>16393</v>
      </c>
      <c r="O2676" s="4">
        <v>127930</v>
      </c>
      <c r="P2676" s="4">
        <v>0</v>
      </c>
      <c r="Q2676" s="4">
        <v>127930</v>
      </c>
      <c r="R2676" s="4">
        <v>383790</v>
      </c>
      <c r="S2676" t="s">
        <v>18990</v>
      </c>
      <c r="X2676" t="s">
        <v>3</v>
      </c>
      <c r="AA2676" s="5" t="str">
        <f>HYPERLINK("https://www.zillow.com/homes/107-S-WEBSTER-ST-NAPERVILLE-IL-605405329_rb/","check listing")</f>
        <v>check listing</v>
      </c>
      <c r="AB2676" s="5" t="str">
        <f>HYPERLINK("https://propertylookup.dupagecounty.gov/Datalets/Datalet.aspx?UseSearch=no&amp;mode=sales&amp;pin=0713421023","sales record")</f>
        <v>sales record</v>
      </c>
      <c r="AC2676" t="s">
        <v>3</v>
      </c>
      <c r="AD2676">
        <v>41.773864</v>
      </c>
      <c r="AE2676">
        <v>-88.15156500000001</v>
      </c>
      <c r="AF2676" s="5" t="str">
        <f>HYPERLINK("https://www.google.com/maps/search/?api=1&amp;query=41.773864,-88.151565","map")</f>
        <v>map</v>
      </c>
    </row>
    <row r="2677" spans="1:32">
      <c r="A2677" t="s">
        <v>2727</v>
      </c>
      <c r="B2677" t="s">
        <v>10260</v>
      </c>
      <c r="C2677" t="s">
        <v>15474</v>
      </c>
      <c r="D2677" t="s">
        <v>16206</v>
      </c>
      <c r="E2677" t="s">
        <v>16217</v>
      </c>
      <c r="F2677" t="s">
        <v>16222</v>
      </c>
      <c r="G2677" t="s">
        <v>16270</v>
      </c>
      <c r="H2677" t="s">
        <v>16270</v>
      </c>
      <c r="I2677" t="s">
        <v>16348</v>
      </c>
      <c r="J2677" t="s">
        <v>16385</v>
      </c>
      <c r="K2677">
        <v>0.11</v>
      </c>
      <c r="L2677">
        <v>4811</v>
      </c>
      <c r="N2677" t="s">
        <v>16393</v>
      </c>
      <c r="O2677" s="4">
        <v>127930</v>
      </c>
      <c r="P2677" s="4">
        <v>0</v>
      </c>
      <c r="Q2677" s="4">
        <v>127930</v>
      </c>
      <c r="R2677" s="4">
        <v>383790</v>
      </c>
      <c r="S2677" t="s">
        <v>18990</v>
      </c>
      <c r="X2677" t="s">
        <v>3</v>
      </c>
      <c r="AA2677" s="5" t="str">
        <f>HYPERLINK("https://www.zillow.com/homes/111-S-WEBSTER-ST-NAPERVILLE-IL-605405329_rb/","check listing")</f>
        <v>check listing</v>
      </c>
      <c r="AB2677" s="5" t="str">
        <f>HYPERLINK("https://propertylookup.dupagecounty.gov/Datalets/Datalet.aspx?UseSearch=no&amp;mode=sales&amp;pin=0713421024","sales record")</f>
        <v>sales record</v>
      </c>
      <c r="AC2677" t="s">
        <v>3</v>
      </c>
      <c r="AD2677">
        <v>41.773756</v>
      </c>
      <c r="AE2677">
        <v>-88.15157000000001</v>
      </c>
      <c r="AF2677" s="5" t="str">
        <f>HYPERLINK("https://www.google.com/maps/search/?api=1&amp;query=41.773756,-88.15157","map")</f>
        <v>map</v>
      </c>
    </row>
    <row r="2678" spans="1:32">
      <c r="A2678" t="s">
        <v>2728</v>
      </c>
      <c r="B2678" t="s">
        <v>10261</v>
      </c>
      <c r="C2678" t="s">
        <v>15479</v>
      </c>
      <c r="D2678" t="s">
        <v>16206</v>
      </c>
      <c r="E2678" t="s">
        <v>16217</v>
      </c>
      <c r="F2678" t="s">
        <v>16222</v>
      </c>
      <c r="G2678" t="s">
        <v>16272</v>
      </c>
      <c r="H2678" t="s">
        <v>16272</v>
      </c>
      <c r="I2678" t="s">
        <v>16350</v>
      </c>
      <c r="J2678" t="s">
        <v>16385</v>
      </c>
      <c r="K2678">
        <v>0.08500000000000001</v>
      </c>
      <c r="L2678">
        <v>3696</v>
      </c>
      <c r="N2678" t="s">
        <v>16392</v>
      </c>
      <c r="O2678" s="4">
        <v>94733</v>
      </c>
      <c r="P2678" s="4">
        <v>0</v>
      </c>
      <c r="Q2678" s="4">
        <v>94733</v>
      </c>
      <c r="R2678" s="4">
        <v>284199</v>
      </c>
      <c r="S2678" t="s">
        <v>18981</v>
      </c>
      <c r="T2678" s="6">
        <v>38534</v>
      </c>
      <c r="U2678" s="4">
        <v>427500</v>
      </c>
      <c r="V2678" t="s">
        <v>23740</v>
      </c>
      <c r="W2678" t="s">
        <v>25011</v>
      </c>
      <c r="X2678" t="s">
        <v>3</v>
      </c>
      <c r="AA2678" s="5" t="str">
        <f>HYPERLINK("https://www.zillow.com/homes/55-S-MAIN-ST-NAPERVILLE-IL-605405314_rb/","check listing")</f>
        <v>check listing</v>
      </c>
      <c r="AB2678" s="5" t="str">
        <f>HYPERLINK("https://propertylookup.dupagecounty.gov/Datalets/Datalet.aspx?UseSearch=no&amp;mode=sales&amp;pin=0713418013","sales record")</f>
        <v>sales record</v>
      </c>
      <c r="AC2678" t="s">
        <v>3</v>
      </c>
      <c r="AD2678">
        <v>41.774541</v>
      </c>
      <c r="AE2678">
        <v>-88.149725</v>
      </c>
      <c r="AF2678" s="5" t="str">
        <f>HYPERLINK("https://www.google.com/maps/search/?api=1&amp;query=41.774541,-88.149725","map")</f>
        <v>map</v>
      </c>
    </row>
    <row r="2679" spans="1:32">
      <c r="A2679" t="s">
        <v>2729</v>
      </c>
      <c r="B2679" t="s">
        <v>10262</v>
      </c>
      <c r="C2679" t="s">
        <v>15475</v>
      </c>
      <c r="D2679" t="s">
        <v>16206</v>
      </c>
      <c r="E2679" t="s">
        <v>16217</v>
      </c>
      <c r="F2679" t="s">
        <v>16222</v>
      </c>
      <c r="G2679" t="s">
        <v>16272</v>
      </c>
      <c r="H2679" t="s">
        <v>16272</v>
      </c>
      <c r="I2679" t="s">
        <v>16350</v>
      </c>
      <c r="J2679" t="s">
        <v>16385</v>
      </c>
      <c r="K2679">
        <v>0.08</v>
      </c>
      <c r="L2679">
        <v>3467</v>
      </c>
      <c r="N2679" t="s">
        <v>16392</v>
      </c>
      <c r="O2679" s="4">
        <v>100900</v>
      </c>
      <c r="P2679" s="4">
        <v>0</v>
      </c>
      <c r="Q2679" s="4">
        <v>100900</v>
      </c>
      <c r="R2679" s="4">
        <v>302700</v>
      </c>
      <c r="S2679" t="s">
        <v>18992</v>
      </c>
      <c r="T2679" s="6">
        <v>31898</v>
      </c>
      <c r="U2679" s="4">
        <v>588970</v>
      </c>
      <c r="X2679" t="s">
        <v>3</v>
      </c>
      <c r="AA2679" s="5" t="str">
        <f>HYPERLINK("https://www.zillow.com/homes/124-S-WASHINGTON-ST-NAPERVILLE-IL-60540_rb/","check listing")</f>
        <v>check listing</v>
      </c>
      <c r="AB2679" s="5" t="str">
        <f>HYPERLINK("https://propertylookup.dupagecounty.gov/Datalets/Datalet.aspx?UseSearch=no&amp;mode=sales&amp;pin=0713424004","sales record")</f>
        <v>sales record</v>
      </c>
      <c r="AC2679" t="s">
        <v>27872</v>
      </c>
      <c r="AD2679">
        <v>41.773377</v>
      </c>
      <c r="AE2679">
        <v>-88.147552</v>
      </c>
      <c r="AF2679" s="5" t="str">
        <f>HYPERLINK("https://www.google.com/maps/search/?api=1&amp;query=41.773377,-88.147552","map")</f>
        <v>map</v>
      </c>
    </row>
    <row r="2680" spans="1:32">
      <c r="A2680" t="s">
        <v>2730</v>
      </c>
      <c r="B2680" t="s">
        <v>10263</v>
      </c>
      <c r="C2680" t="s">
        <v>15475</v>
      </c>
      <c r="D2680" t="s">
        <v>16206</v>
      </c>
      <c r="E2680" t="s">
        <v>16217</v>
      </c>
      <c r="F2680" t="s">
        <v>16222</v>
      </c>
      <c r="G2680" t="s">
        <v>16272</v>
      </c>
      <c r="H2680" t="s">
        <v>16272</v>
      </c>
      <c r="I2680" t="s">
        <v>16350</v>
      </c>
      <c r="J2680" t="s">
        <v>16385</v>
      </c>
      <c r="K2680">
        <v>0.061</v>
      </c>
      <c r="L2680">
        <v>2649</v>
      </c>
      <c r="N2680" t="s">
        <v>16392</v>
      </c>
      <c r="O2680" s="4">
        <v>87999</v>
      </c>
      <c r="P2680" s="4">
        <v>0</v>
      </c>
      <c r="Q2680" s="4">
        <v>87999</v>
      </c>
      <c r="R2680" s="4">
        <v>263997</v>
      </c>
      <c r="S2680" t="s">
        <v>18993</v>
      </c>
      <c r="X2680" t="s">
        <v>3</v>
      </c>
      <c r="AA2680" s="5" t="str">
        <f>HYPERLINK("https://www.zillow.com/homes/175-W-JACKSON-AVE-NAPERVILLE-IL-60540_rb/","check listing")</f>
        <v>check listing</v>
      </c>
      <c r="AB2680" s="5" t="str">
        <f>HYPERLINK("https://propertylookup.dupagecounty.gov/Datalets/Datalet.aspx?UseSearch=no&amp;mode=sales&amp;pin=0713429010","sales record")</f>
        <v>sales record</v>
      </c>
      <c r="AC2680" t="s">
        <v>27872</v>
      </c>
      <c r="AD2680">
        <v>41.772373</v>
      </c>
      <c r="AE2680">
        <v>-88.150785</v>
      </c>
      <c r="AF2680" s="5" t="str">
        <f>HYPERLINK("https://www.google.com/maps/search/?api=1&amp;query=41.772373,-88.150785","map")</f>
        <v>map</v>
      </c>
    </row>
    <row r="2681" spans="1:32">
      <c r="A2681" t="s">
        <v>2731</v>
      </c>
      <c r="B2681" t="s">
        <v>10264</v>
      </c>
      <c r="C2681" t="s">
        <v>15478</v>
      </c>
      <c r="D2681" t="s">
        <v>16206</v>
      </c>
      <c r="E2681" t="s">
        <v>16218</v>
      </c>
      <c r="F2681" t="s">
        <v>16220</v>
      </c>
      <c r="G2681" t="s">
        <v>16273</v>
      </c>
      <c r="H2681" t="s">
        <v>16254</v>
      </c>
      <c r="I2681" t="s">
        <v>16351</v>
      </c>
      <c r="J2681" t="s">
        <v>16386</v>
      </c>
      <c r="K2681">
        <v>0.677</v>
      </c>
      <c r="L2681">
        <v>29509</v>
      </c>
      <c r="M2681">
        <v>2472</v>
      </c>
      <c r="N2681" t="s">
        <v>16393</v>
      </c>
      <c r="O2681" s="4">
        <v>65164</v>
      </c>
      <c r="P2681" s="4">
        <v>126311</v>
      </c>
      <c r="Q2681" s="4">
        <v>191475</v>
      </c>
      <c r="R2681" s="4">
        <v>574425</v>
      </c>
      <c r="S2681" t="s">
        <v>18994</v>
      </c>
      <c r="T2681" s="6">
        <v>39295</v>
      </c>
      <c r="U2681" s="4">
        <v>425000</v>
      </c>
      <c r="V2681" t="s">
        <v>23739</v>
      </c>
      <c r="W2681" t="s">
        <v>25012</v>
      </c>
      <c r="X2681" t="s">
        <v>3</v>
      </c>
      <c r="AA2681" s="5" t="str">
        <f>HYPERLINK("https://www.zillow.com/homes/1125-BURKE-CT-NAPERVILLE-IL-60563_rb/","check listing")</f>
        <v>check listing</v>
      </c>
      <c r="AB2681" s="5" t="str">
        <f>HYPERLINK("https://propertylookup.dupagecounty.gov/Datalets/Datalet.aspx?UseSearch=no&amp;mode=sales&amp;pin=0709304013","sales record")</f>
        <v>sales record</v>
      </c>
      <c r="AC2681" t="s">
        <v>3</v>
      </c>
      <c r="AD2681">
        <v>41.788887</v>
      </c>
      <c r="AE2681">
        <v>-88.215716</v>
      </c>
      <c r="AF2681" s="5" t="str">
        <f>HYPERLINK("https://www.google.com/maps/search/?api=1&amp;query=41.788887,-88.215716","map")</f>
        <v>map</v>
      </c>
    </row>
    <row r="2682" spans="1:32">
      <c r="A2682" t="s">
        <v>2732</v>
      </c>
      <c r="B2682" t="s">
        <v>10265</v>
      </c>
      <c r="C2682" t="s">
        <v>15482</v>
      </c>
      <c r="D2682" t="s">
        <v>16206</v>
      </c>
      <c r="E2682" t="s">
        <v>16218</v>
      </c>
      <c r="F2682" t="s">
        <v>16220</v>
      </c>
      <c r="G2682" t="s">
        <v>16273</v>
      </c>
      <c r="H2682" t="s">
        <v>16254</v>
      </c>
      <c r="I2682" t="s">
        <v>16351</v>
      </c>
      <c r="J2682" t="s">
        <v>16386</v>
      </c>
      <c r="K2682">
        <v>0.671</v>
      </c>
      <c r="L2682">
        <v>29249</v>
      </c>
      <c r="M2682">
        <v>2473</v>
      </c>
      <c r="N2682" t="s">
        <v>16393</v>
      </c>
      <c r="O2682" s="4">
        <v>62784</v>
      </c>
      <c r="P2682" s="4">
        <v>136967</v>
      </c>
      <c r="Q2682" s="4">
        <v>199751</v>
      </c>
      <c r="R2682" s="4">
        <v>599253</v>
      </c>
      <c r="S2682" t="s">
        <v>18995</v>
      </c>
      <c r="T2682" s="6">
        <v>44788</v>
      </c>
      <c r="U2682" s="4">
        <v>435000</v>
      </c>
      <c r="V2682" t="s">
        <v>23739</v>
      </c>
      <c r="W2682" t="s">
        <v>25013</v>
      </c>
      <c r="X2682" t="s">
        <v>3</v>
      </c>
      <c r="AA2682" s="5" t="str">
        <f>HYPERLINK("https://www.zillow.com/homes/1124-BURKE-CT-NAPERVILLE-IL-605631792_rb/","check listing")</f>
        <v>check listing</v>
      </c>
      <c r="AB2682" s="5" t="str">
        <f>HYPERLINK("https://propertylookup.dupagecounty.gov/Datalets/Datalet.aspx?UseSearch=no&amp;mode=sales&amp;pin=0709304014","sales record")</f>
        <v>sales record</v>
      </c>
      <c r="AC2682" t="s">
        <v>3</v>
      </c>
      <c r="AD2682">
        <v>41.788764</v>
      </c>
      <c r="AE2682">
        <v>-88.215521</v>
      </c>
      <c r="AF2682" s="5" t="str">
        <f>HYPERLINK("https://www.google.com/maps/search/?api=1&amp;query=41.788764,-88.215521","map")</f>
        <v>map</v>
      </c>
    </row>
    <row r="2683" spans="1:32">
      <c r="A2683" t="s">
        <v>2733</v>
      </c>
      <c r="B2683" t="s">
        <v>10266</v>
      </c>
      <c r="C2683" t="s">
        <v>15475</v>
      </c>
      <c r="D2683" t="s">
        <v>16206</v>
      </c>
      <c r="E2683" t="s">
        <v>16218</v>
      </c>
      <c r="F2683" t="s">
        <v>16220</v>
      </c>
      <c r="G2683" t="s">
        <v>16274</v>
      </c>
      <c r="H2683" t="s">
        <v>16269</v>
      </c>
      <c r="I2683" t="s">
        <v>16352</v>
      </c>
      <c r="J2683" t="s">
        <v>16386</v>
      </c>
      <c r="K2683">
        <v>0.516</v>
      </c>
      <c r="L2683">
        <v>22480</v>
      </c>
      <c r="M2683">
        <v>2573</v>
      </c>
      <c r="N2683" t="s">
        <v>16393</v>
      </c>
      <c r="O2683" s="4">
        <v>58646</v>
      </c>
      <c r="P2683" s="4">
        <v>141958</v>
      </c>
      <c r="Q2683" s="4">
        <v>200604</v>
      </c>
      <c r="R2683" s="4">
        <v>601812</v>
      </c>
      <c r="S2683" t="s">
        <v>18996</v>
      </c>
      <c r="T2683" s="6">
        <v>39692</v>
      </c>
      <c r="U2683" s="4">
        <v>400000</v>
      </c>
      <c r="V2683" t="s">
        <v>23739</v>
      </c>
      <c r="W2683" t="s">
        <v>25014</v>
      </c>
      <c r="X2683" t="s">
        <v>3</v>
      </c>
      <c r="AA2683" s="5" t="str">
        <f>HYPERLINK("https://www.zillow.com/homes/1171-OAKTON-LN-NAPERVILLE-IL-60540_rb/","check listing")</f>
        <v>check listing</v>
      </c>
      <c r="AB2683" s="5" t="str">
        <f>HYPERLINK("https://propertylookup.dupagecounty.gov/Datalets/Datalet.aspx?UseSearch=no&amp;mode=sales&amp;pin=0723410088","sales record")</f>
        <v>sales record</v>
      </c>
      <c r="AC2683" t="s">
        <v>3</v>
      </c>
      <c r="AD2683">
        <v>41.756087</v>
      </c>
      <c r="AE2683">
        <v>-88.16759999999999</v>
      </c>
      <c r="AF2683" s="5" t="str">
        <f>HYPERLINK("https://www.google.com/maps/search/?api=1&amp;query=41.756087,-88.1676","map")</f>
        <v>map</v>
      </c>
    </row>
    <row r="2684" spans="1:32">
      <c r="A2684" t="s">
        <v>2734</v>
      </c>
      <c r="B2684" t="s">
        <v>10267</v>
      </c>
      <c r="C2684" t="s">
        <v>15475</v>
      </c>
      <c r="D2684" t="s">
        <v>16206</v>
      </c>
      <c r="E2684" t="s">
        <v>16218</v>
      </c>
      <c r="F2684" t="s">
        <v>16220</v>
      </c>
      <c r="G2684" t="s">
        <v>16274</v>
      </c>
      <c r="H2684" t="s">
        <v>16269</v>
      </c>
      <c r="I2684" t="s">
        <v>16352</v>
      </c>
      <c r="J2684" t="s">
        <v>16386</v>
      </c>
      <c r="K2684">
        <v>0.487</v>
      </c>
      <c r="L2684">
        <v>21230</v>
      </c>
      <c r="M2684">
        <v>2178</v>
      </c>
      <c r="N2684" t="s">
        <v>16393</v>
      </c>
      <c r="O2684" s="4">
        <v>65152</v>
      </c>
      <c r="P2684" s="4">
        <v>144326</v>
      </c>
      <c r="Q2684" s="4">
        <v>209478</v>
      </c>
      <c r="R2684" s="4">
        <v>628434</v>
      </c>
      <c r="S2684" t="s">
        <v>18997</v>
      </c>
      <c r="T2684" s="6">
        <v>32843</v>
      </c>
      <c r="U2684" s="4">
        <v>200000</v>
      </c>
      <c r="X2684" t="s">
        <v>3</v>
      </c>
      <c r="AA2684" s="5" t="str">
        <f>HYPERLINK("https://www.zillow.com/homes/976-ELM-CT-NAPERVILLE-IL-60540_rb/","check listing")</f>
        <v>check listing</v>
      </c>
      <c r="AB2684" s="5" t="str">
        <f>HYPERLINK("https://propertylookup.dupagecounty.gov/Datalets/Datalet.aspx?UseSearch=no&amp;mode=sales&amp;pin=0726208007","sales record")</f>
        <v>sales record</v>
      </c>
      <c r="AC2684" t="s">
        <v>3</v>
      </c>
      <c r="AD2684">
        <v>41.750234</v>
      </c>
      <c r="AE2684">
        <v>-88.17269400000001</v>
      </c>
      <c r="AF2684" s="5" t="str">
        <f>HYPERLINK("https://www.google.com/maps/search/?api=1&amp;query=41.750234,-88.172694","map")</f>
        <v>map</v>
      </c>
    </row>
    <row r="2685" spans="1:32">
      <c r="A2685" t="s">
        <v>2735</v>
      </c>
      <c r="B2685" t="s">
        <v>10268</v>
      </c>
      <c r="C2685" t="s">
        <v>15475</v>
      </c>
      <c r="D2685" t="s">
        <v>16206</v>
      </c>
      <c r="E2685" t="s">
        <v>16218</v>
      </c>
      <c r="F2685" t="s">
        <v>16220</v>
      </c>
      <c r="G2685" t="s">
        <v>16273</v>
      </c>
      <c r="H2685" t="s">
        <v>16254</v>
      </c>
      <c r="I2685" t="s">
        <v>16351</v>
      </c>
      <c r="J2685" t="s">
        <v>16386</v>
      </c>
      <c r="K2685">
        <v>0.481</v>
      </c>
      <c r="L2685">
        <v>20973</v>
      </c>
      <c r="M2685">
        <v>2374</v>
      </c>
      <c r="N2685" t="s">
        <v>16393</v>
      </c>
      <c r="O2685" s="4">
        <v>55058</v>
      </c>
      <c r="P2685" s="4">
        <v>118537</v>
      </c>
      <c r="Q2685" s="4">
        <v>173595</v>
      </c>
      <c r="R2685" s="4">
        <v>520785</v>
      </c>
      <c r="S2685" t="s">
        <v>18998</v>
      </c>
      <c r="T2685" s="6">
        <v>37469</v>
      </c>
      <c r="U2685" s="4">
        <v>288062</v>
      </c>
      <c r="V2685" t="s">
        <v>23739</v>
      </c>
      <c r="W2685" t="s">
        <v>25015</v>
      </c>
      <c r="X2685" t="s">
        <v>3</v>
      </c>
      <c r="AA2685" s="5" t="str">
        <f>HYPERLINK("https://www.zillow.com/homes/1105-BURKE-CT-NAPERVILLE-IL-60540_rb/","check listing")</f>
        <v>check listing</v>
      </c>
      <c r="AB2685" s="5" t="str">
        <f>HYPERLINK("https://propertylookup.dupagecounty.gov/Datalets/Datalet.aspx?UseSearch=no&amp;mode=sales&amp;pin=0709304008","sales record")</f>
        <v>sales record</v>
      </c>
      <c r="AC2685" t="s">
        <v>3</v>
      </c>
      <c r="AD2685">
        <v>41.787537</v>
      </c>
      <c r="AE2685">
        <v>-88.217191</v>
      </c>
      <c r="AF2685" s="5" t="str">
        <f>HYPERLINK("https://www.google.com/maps/search/?api=1&amp;query=41.787537,-88.217191","map")</f>
        <v>map</v>
      </c>
    </row>
    <row r="2686" spans="1:32">
      <c r="A2686" t="s">
        <v>2736</v>
      </c>
      <c r="B2686" t="s">
        <v>10269</v>
      </c>
      <c r="C2686" t="s">
        <v>15483</v>
      </c>
      <c r="D2686" t="s">
        <v>16206</v>
      </c>
      <c r="E2686" t="s">
        <v>16218</v>
      </c>
      <c r="F2686" t="s">
        <v>16220</v>
      </c>
      <c r="G2686" t="s">
        <v>16273</v>
      </c>
      <c r="H2686" t="s">
        <v>16254</v>
      </c>
      <c r="I2686" t="s">
        <v>16351</v>
      </c>
      <c r="J2686" t="s">
        <v>16386</v>
      </c>
      <c r="K2686">
        <v>0.467</v>
      </c>
      <c r="L2686">
        <v>20322</v>
      </c>
      <c r="M2686">
        <v>2639</v>
      </c>
      <c r="N2686" t="s">
        <v>16393</v>
      </c>
      <c r="O2686" s="4">
        <v>55472</v>
      </c>
      <c r="P2686" s="4">
        <v>135038</v>
      </c>
      <c r="Q2686" s="4">
        <v>190510</v>
      </c>
      <c r="R2686" s="4">
        <v>571530</v>
      </c>
      <c r="S2686" t="s">
        <v>18999</v>
      </c>
      <c r="T2686" s="6">
        <v>36951</v>
      </c>
      <c r="U2686" s="4">
        <v>255000</v>
      </c>
      <c r="V2686" t="s">
        <v>16232</v>
      </c>
      <c r="W2686" t="s">
        <v>25016</v>
      </c>
      <c r="X2686" t="s">
        <v>3</v>
      </c>
      <c r="AA2686" s="5" t="str">
        <f>HYPERLINK("https://www.zillow.com/homes/1017-PRAIRIE-VIEW-CT-NAPERVILLE-IL-605631983_rb/","check listing")</f>
        <v>check listing</v>
      </c>
      <c r="AB2686" s="5" t="str">
        <f>HYPERLINK("https://propertylookup.dupagecounty.gov/Datalets/Datalet.aspx?UseSearch=no&amp;mode=sales&amp;pin=0709410024","sales record")</f>
        <v>sales record</v>
      </c>
      <c r="AC2686" t="s">
        <v>3</v>
      </c>
      <c r="AD2686">
        <v>41.787177</v>
      </c>
      <c r="AE2686">
        <v>-88.21391</v>
      </c>
      <c r="AF2686" s="5" t="str">
        <f>HYPERLINK("https://www.google.com/maps/search/?api=1&amp;query=41.787177,-88.21391","map")</f>
        <v>map</v>
      </c>
    </row>
    <row r="2687" spans="1:32">
      <c r="A2687" t="s">
        <v>2737</v>
      </c>
      <c r="B2687" t="s">
        <v>10270</v>
      </c>
      <c r="C2687" t="s">
        <v>15475</v>
      </c>
      <c r="D2687" t="s">
        <v>16206</v>
      </c>
      <c r="E2687" t="s">
        <v>16218</v>
      </c>
      <c r="F2687" t="s">
        <v>16220</v>
      </c>
      <c r="G2687" t="s">
        <v>16273</v>
      </c>
      <c r="H2687" t="s">
        <v>16254</v>
      </c>
      <c r="I2687" t="s">
        <v>16351</v>
      </c>
      <c r="J2687" t="s">
        <v>16386</v>
      </c>
      <c r="K2687">
        <v>0.449</v>
      </c>
      <c r="L2687">
        <v>19549</v>
      </c>
      <c r="M2687">
        <v>2770</v>
      </c>
      <c r="N2687" t="s">
        <v>16393</v>
      </c>
      <c r="O2687" s="4">
        <v>52702</v>
      </c>
      <c r="P2687" s="4">
        <v>172386</v>
      </c>
      <c r="Q2687" s="4">
        <v>225088</v>
      </c>
      <c r="R2687" s="4">
        <v>675264</v>
      </c>
      <c r="S2687" t="s">
        <v>19000</v>
      </c>
      <c r="T2687" s="6">
        <v>40087</v>
      </c>
      <c r="U2687" s="4">
        <v>420000</v>
      </c>
      <c r="V2687" t="s">
        <v>23739</v>
      </c>
      <c r="W2687" t="s">
        <v>25017</v>
      </c>
      <c r="X2687" t="s">
        <v>3</v>
      </c>
      <c r="AA2687" s="5" t="str">
        <f>HYPERLINK("https://www.zillow.com/homes/1101-BURKE-CT-NAPERVILLE-IL-60540_rb/","check listing")</f>
        <v>check listing</v>
      </c>
      <c r="AB2687" s="5" t="str">
        <f>HYPERLINK("https://propertylookup.dupagecounty.gov/Datalets/Datalet.aspx?UseSearch=no&amp;mode=sales&amp;pin=0709304007","sales record")</f>
        <v>sales record</v>
      </c>
      <c r="AC2687" t="s">
        <v>3</v>
      </c>
      <c r="AD2687">
        <v>41.787315</v>
      </c>
      <c r="AE2687">
        <v>-88.216948</v>
      </c>
      <c r="AF2687" s="5" t="str">
        <f>HYPERLINK("https://www.google.com/maps/search/?api=1&amp;query=41.787315,-88.216948","map")</f>
        <v>map</v>
      </c>
    </row>
    <row r="2688" spans="1:32">
      <c r="A2688" t="s">
        <v>2738</v>
      </c>
      <c r="B2688" t="s">
        <v>10271</v>
      </c>
      <c r="C2688" t="s">
        <v>15475</v>
      </c>
      <c r="D2688" t="s">
        <v>16206</v>
      </c>
      <c r="E2688" t="s">
        <v>16218</v>
      </c>
      <c r="F2688" t="s">
        <v>16220</v>
      </c>
      <c r="G2688" t="s">
        <v>16274</v>
      </c>
      <c r="H2688" t="s">
        <v>16269</v>
      </c>
      <c r="I2688" t="s">
        <v>16352</v>
      </c>
      <c r="J2688" t="s">
        <v>16386</v>
      </c>
      <c r="K2688">
        <v>0.424</v>
      </c>
      <c r="L2688">
        <v>18472</v>
      </c>
      <c r="M2688">
        <v>2969</v>
      </c>
      <c r="N2688" t="s">
        <v>16393</v>
      </c>
      <c r="O2688" s="4">
        <v>65322</v>
      </c>
      <c r="P2688" s="4">
        <v>175718</v>
      </c>
      <c r="Q2688" s="4">
        <v>241040</v>
      </c>
      <c r="R2688" s="4">
        <v>723120</v>
      </c>
      <c r="S2688" t="s">
        <v>19001</v>
      </c>
      <c r="T2688" s="6">
        <v>38657</v>
      </c>
      <c r="U2688" s="4">
        <v>550000</v>
      </c>
      <c r="V2688" t="s">
        <v>16232</v>
      </c>
      <c r="W2688" t="s">
        <v>25018</v>
      </c>
      <c r="X2688" t="s">
        <v>3</v>
      </c>
      <c r="AA2688" s="5" t="str">
        <f>HYPERLINK("https://www.zillow.com/homes/1751-CHADWICKE-CIR-NAPERVILLE-IL-60540_rb/","check listing")</f>
        <v>check listing</v>
      </c>
      <c r="AB2688" s="5" t="str">
        <f>HYPERLINK("https://propertylookup.dupagecounty.gov/Datalets/Datalet.aspx?UseSearch=no&amp;mode=sales&amp;pin=0723311018","sales record")</f>
        <v>sales record</v>
      </c>
      <c r="AC2688" t="s">
        <v>3</v>
      </c>
      <c r="AD2688">
        <v>41.754915</v>
      </c>
      <c r="AE2688">
        <v>-88.186173</v>
      </c>
      <c r="AF2688" s="5" t="str">
        <f>HYPERLINK("https://www.google.com/maps/search/?api=1&amp;query=41.754915,-88.186173","map")</f>
        <v>map</v>
      </c>
    </row>
    <row r="2689" spans="1:32">
      <c r="A2689" t="s">
        <v>2739</v>
      </c>
      <c r="B2689" t="s">
        <v>10272</v>
      </c>
      <c r="C2689" t="s">
        <v>15475</v>
      </c>
      <c r="D2689" t="s">
        <v>16206</v>
      </c>
      <c r="E2689" t="s">
        <v>16218</v>
      </c>
      <c r="F2689" t="s">
        <v>16220</v>
      </c>
      <c r="G2689" t="s">
        <v>16274</v>
      </c>
      <c r="H2689" t="s">
        <v>16269</v>
      </c>
      <c r="I2689" t="s">
        <v>16352</v>
      </c>
      <c r="J2689" t="s">
        <v>16386</v>
      </c>
      <c r="K2689">
        <v>0.421</v>
      </c>
      <c r="L2689">
        <v>18338</v>
      </c>
      <c r="M2689">
        <v>3946</v>
      </c>
      <c r="N2689" t="s">
        <v>16393</v>
      </c>
      <c r="O2689" s="4">
        <v>65322</v>
      </c>
      <c r="P2689" s="4">
        <v>169261</v>
      </c>
      <c r="Q2689" s="4">
        <v>234583</v>
      </c>
      <c r="R2689" s="4">
        <v>703749</v>
      </c>
      <c r="S2689" t="s">
        <v>19002</v>
      </c>
      <c r="T2689" s="6">
        <v>31260</v>
      </c>
      <c r="U2689" s="4">
        <v>142050</v>
      </c>
      <c r="X2689" t="s">
        <v>3</v>
      </c>
      <c r="AA2689" s="5" t="str">
        <f>HYPERLINK("https://www.zillow.com/homes/1401-GREENLEE-CT-NAPERVILLE-IL-60540_rb/","check listing")</f>
        <v>check listing</v>
      </c>
      <c r="AB2689" s="5" t="str">
        <f>HYPERLINK("https://propertylookup.dupagecounty.gov/Datalets/Datalet.aspx?UseSearch=no&amp;mode=sales&amp;pin=0723305008","sales record")</f>
        <v>sales record</v>
      </c>
      <c r="AC2689" t="s">
        <v>3</v>
      </c>
      <c r="AD2689">
        <v>41.760538</v>
      </c>
      <c r="AE2689">
        <v>-88.17738</v>
      </c>
      <c r="AF2689" s="5" t="str">
        <f>HYPERLINK("https://www.google.com/maps/search/?api=1&amp;query=41.760538,-88.17738","map")</f>
        <v>map</v>
      </c>
    </row>
    <row r="2690" spans="1:32">
      <c r="A2690" t="s">
        <v>2740</v>
      </c>
      <c r="B2690" t="s">
        <v>10273</v>
      </c>
      <c r="C2690" t="s">
        <v>15475</v>
      </c>
      <c r="D2690" t="s">
        <v>16206</v>
      </c>
      <c r="E2690" t="s">
        <v>16218</v>
      </c>
      <c r="F2690" t="s">
        <v>16220</v>
      </c>
      <c r="G2690" t="s">
        <v>16274</v>
      </c>
      <c r="H2690" t="s">
        <v>16269</v>
      </c>
      <c r="I2690" t="s">
        <v>16352</v>
      </c>
      <c r="J2690" t="s">
        <v>16386</v>
      </c>
      <c r="K2690">
        <v>0.421</v>
      </c>
      <c r="L2690">
        <v>18327</v>
      </c>
      <c r="M2690">
        <v>2963</v>
      </c>
      <c r="N2690" t="s">
        <v>16393</v>
      </c>
      <c r="O2690" s="4">
        <v>65322</v>
      </c>
      <c r="P2690" s="4">
        <v>194148</v>
      </c>
      <c r="Q2690" s="4">
        <v>259470</v>
      </c>
      <c r="R2690" s="4">
        <v>778410</v>
      </c>
      <c r="S2690" t="s">
        <v>19003</v>
      </c>
      <c r="T2690" s="6">
        <v>34394</v>
      </c>
      <c r="U2690" s="4">
        <v>281539</v>
      </c>
      <c r="X2690" t="s">
        <v>3</v>
      </c>
      <c r="AA2690" s="5" t="str">
        <f>HYPERLINK("https://www.zillow.com/homes/1755-CHADWICKE-CIR-NAPERVILLE-IL-60540_rb/","check listing")</f>
        <v>check listing</v>
      </c>
      <c r="AB2690" s="5" t="str">
        <f>HYPERLINK("https://propertylookup.dupagecounty.gov/Datalets/Datalet.aspx?UseSearch=no&amp;mode=sales&amp;pin=0723311019","sales record")</f>
        <v>sales record</v>
      </c>
      <c r="AC2690" t="s">
        <v>3</v>
      </c>
      <c r="AD2690">
        <v>41.754895</v>
      </c>
      <c r="AE2690">
        <v>-88.185818</v>
      </c>
      <c r="AF2690" s="5" t="str">
        <f>HYPERLINK("https://www.google.com/maps/search/?api=1&amp;query=41.754895,-88.185818","map")</f>
        <v>map</v>
      </c>
    </row>
    <row r="2691" spans="1:32">
      <c r="A2691" t="s">
        <v>2741</v>
      </c>
      <c r="B2691" t="s">
        <v>10274</v>
      </c>
      <c r="C2691" t="s">
        <v>15475</v>
      </c>
      <c r="D2691" t="s">
        <v>16206</v>
      </c>
      <c r="E2691" t="s">
        <v>16218</v>
      </c>
      <c r="F2691" t="s">
        <v>16220</v>
      </c>
      <c r="G2691" t="s">
        <v>16274</v>
      </c>
      <c r="H2691" t="s">
        <v>16269</v>
      </c>
      <c r="I2691" t="s">
        <v>16352</v>
      </c>
      <c r="J2691" t="s">
        <v>16386</v>
      </c>
      <c r="K2691">
        <v>0.401</v>
      </c>
      <c r="L2691">
        <v>17454</v>
      </c>
      <c r="M2691">
        <v>3086</v>
      </c>
      <c r="N2691" t="s">
        <v>16393</v>
      </c>
      <c r="O2691" s="4">
        <v>65322</v>
      </c>
      <c r="P2691" s="4">
        <v>225283</v>
      </c>
      <c r="Q2691" s="4">
        <v>290605</v>
      </c>
      <c r="R2691" s="4">
        <v>871815</v>
      </c>
      <c r="S2691" t="s">
        <v>19004</v>
      </c>
      <c r="T2691" s="6">
        <v>44378</v>
      </c>
      <c r="U2691" s="4">
        <v>736000</v>
      </c>
      <c r="V2691" t="s">
        <v>23739</v>
      </c>
      <c r="W2691" t="s">
        <v>25019</v>
      </c>
      <c r="X2691" t="s">
        <v>3</v>
      </c>
      <c r="AA2691" s="5" t="str">
        <f>HYPERLINK("https://www.zillow.com/homes/1716-CHEPSTOW-CT-NAPERVILLE-IL-60540_rb/","check listing")</f>
        <v>check listing</v>
      </c>
      <c r="AB2691" s="5" t="str">
        <f>HYPERLINK("https://propertylookup.dupagecounty.gov/Datalets/Datalet.aspx?UseSearch=no&amp;mode=sales&amp;pin=0723310005","sales record")</f>
        <v>sales record</v>
      </c>
      <c r="AC2691" t="s">
        <v>3</v>
      </c>
      <c r="AD2691">
        <v>41.755957</v>
      </c>
      <c r="AE2691">
        <v>-88.184804</v>
      </c>
      <c r="AF2691" s="5" t="str">
        <f>HYPERLINK("https://www.google.com/maps/search/?api=1&amp;query=41.755957,-88.184804","map")</f>
        <v>map</v>
      </c>
    </row>
    <row r="2692" spans="1:32">
      <c r="A2692" t="s">
        <v>2742</v>
      </c>
      <c r="B2692" t="s">
        <v>10275</v>
      </c>
      <c r="C2692" t="s">
        <v>15478</v>
      </c>
      <c r="D2692" t="s">
        <v>16206</v>
      </c>
      <c r="E2692" t="s">
        <v>16218</v>
      </c>
      <c r="F2692" t="s">
        <v>16220</v>
      </c>
      <c r="G2692" t="s">
        <v>16273</v>
      </c>
      <c r="H2692" t="s">
        <v>16254</v>
      </c>
      <c r="I2692" t="s">
        <v>16351</v>
      </c>
      <c r="J2692" t="s">
        <v>16386</v>
      </c>
      <c r="K2692">
        <v>0.397</v>
      </c>
      <c r="L2692">
        <v>17306</v>
      </c>
      <c r="M2692">
        <v>4205</v>
      </c>
      <c r="N2692" t="s">
        <v>16393</v>
      </c>
      <c r="O2692" s="4">
        <v>56327</v>
      </c>
      <c r="P2692" s="4">
        <v>169847</v>
      </c>
      <c r="Q2692" s="4">
        <v>226174</v>
      </c>
      <c r="R2692" s="4">
        <v>678522</v>
      </c>
      <c r="S2692" t="s">
        <v>19005</v>
      </c>
      <c r="T2692" s="6">
        <v>42278</v>
      </c>
      <c r="U2692" s="4">
        <v>415000</v>
      </c>
      <c r="V2692" t="s">
        <v>23739</v>
      </c>
      <c r="W2692" t="s">
        <v>19005</v>
      </c>
      <c r="X2692" t="s">
        <v>3</v>
      </c>
      <c r="AA2692" s="5" t="str">
        <f>HYPERLINK("https://www.zillow.com/homes/2078-BUNKER-CIR-NAPERVILLE-IL-60563_rb/","check listing")</f>
        <v>check listing</v>
      </c>
      <c r="AB2692" s="5" t="str">
        <f>HYPERLINK("https://propertylookup.dupagecounty.gov/Datalets/Datalet.aspx?UseSearch=no&amp;mode=sales&amp;pin=0709200012","sales record")</f>
        <v>sales record</v>
      </c>
      <c r="AC2692" t="s">
        <v>3</v>
      </c>
      <c r="AD2692">
        <v>41.795346</v>
      </c>
      <c r="AE2692">
        <v>-88.214089</v>
      </c>
      <c r="AF2692" s="5" t="str">
        <f>HYPERLINK("https://www.google.com/maps/search/?api=1&amp;query=41.795346,-88.214089","map")</f>
        <v>map</v>
      </c>
    </row>
    <row r="2693" spans="1:32">
      <c r="A2693" t="s">
        <v>2743</v>
      </c>
      <c r="B2693" t="s">
        <v>10276</v>
      </c>
      <c r="C2693" t="s">
        <v>15475</v>
      </c>
      <c r="D2693" t="s">
        <v>16206</v>
      </c>
      <c r="E2693" t="s">
        <v>16218</v>
      </c>
      <c r="F2693" t="s">
        <v>16220</v>
      </c>
      <c r="G2693" t="s">
        <v>16274</v>
      </c>
      <c r="H2693" t="s">
        <v>16269</v>
      </c>
      <c r="I2693" t="s">
        <v>16352</v>
      </c>
      <c r="J2693" t="s">
        <v>16386</v>
      </c>
      <c r="K2693">
        <v>0.397</v>
      </c>
      <c r="L2693">
        <v>17285</v>
      </c>
      <c r="M2693">
        <v>2968</v>
      </c>
      <c r="N2693" t="s">
        <v>16393</v>
      </c>
      <c r="O2693" s="4">
        <v>65347</v>
      </c>
      <c r="P2693" s="4">
        <v>207707</v>
      </c>
      <c r="Q2693" s="4">
        <v>273054</v>
      </c>
      <c r="R2693" s="4">
        <v>819162</v>
      </c>
      <c r="S2693" t="s">
        <v>19006</v>
      </c>
      <c r="T2693" s="6">
        <v>39630</v>
      </c>
      <c r="U2693" s="4">
        <v>364000</v>
      </c>
      <c r="V2693" t="s">
        <v>16232</v>
      </c>
      <c r="W2693" t="s">
        <v>25020</v>
      </c>
      <c r="X2693" t="s">
        <v>3</v>
      </c>
      <c r="AA2693" s="5" t="str">
        <f>HYPERLINK("https://www.zillow.com/homes/1408-GREENLEE-CT-NAPERVILLE-IL-60540_rb/","check listing")</f>
        <v>check listing</v>
      </c>
      <c r="AB2693" s="5" t="str">
        <f>HYPERLINK("https://propertylookup.dupagecounty.gov/Datalets/Datalet.aspx?UseSearch=no&amp;mode=sales&amp;pin=0723305011","sales record")</f>
        <v>sales record</v>
      </c>
      <c r="AC2693" t="s">
        <v>3</v>
      </c>
      <c r="AD2693">
        <v>41.759782</v>
      </c>
      <c r="AE2693">
        <v>-88.17699399999999</v>
      </c>
      <c r="AF2693" s="5" t="str">
        <f>HYPERLINK("https://www.google.com/maps/search/?api=1&amp;query=41.759782,-88.176994","map")</f>
        <v>map</v>
      </c>
    </row>
    <row r="2694" spans="1:32">
      <c r="A2694" t="s">
        <v>2744</v>
      </c>
      <c r="B2694" t="s">
        <v>10277</v>
      </c>
      <c r="C2694" t="s">
        <v>15475</v>
      </c>
      <c r="D2694" t="s">
        <v>16206</v>
      </c>
      <c r="E2694" t="s">
        <v>16218</v>
      </c>
      <c r="F2694" t="s">
        <v>16220</v>
      </c>
      <c r="G2694" t="s">
        <v>16269</v>
      </c>
      <c r="H2694" t="s">
        <v>16269</v>
      </c>
      <c r="I2694" t="s">
        <v>16352</v>
      </c>
      <c r="J2694" t="s">
        <v>16386</v>
      </c>
      <c r="K2694">
        <v>0.393</v>
      </c>
      <c r="L2694">
        <v>17131</v>
      </c>
      <c r="M2694">
        <v>2142</v>
      </c>
      <c r="N2694" t="s">
        <v>16393</v>
      </c>
      <c r="O2694" s="4">
        <v>60159</v>
      </c>
      <c r="P2694" s="4">
        <v>175681</v>
      </c>
      <c r="Q2694" s="4">
        <v>235840</v>
      </c>
      <c r="R2694" s="4">
        <v>707520</v>
      </c>
      <c r="S2694" t="s">
        <v>19007</v>
      </c>
      <c r="T2694" s="6">
        <v>46003</v>
      </c>
      <c r="U2694" s="4">
        <v>450000</v>
      </c>
      <c r="V2694" t="s">
        <v>23741</v>
      </c>
      <c r="W2694" t="s">
        <v>25021</v>
      </c>
      <c r="X2694" t="s">
        <v>3</v>
      </c>
      <c r="AA2694" s="5" t="str">
        <f>HYPERLINK("https://www.zillow.com/homes/300-N-RIVER-RD-NAPERVILLE-IL-60540_rb/","check listing")</f>
        <v>check listing</v>
      </c>
      <c r="AB2694" s="5" t="str">
        <f>HYPERLINK("https://propertylookup.dupagecounty.gov/Datalets/Datalet.aspx?UseSearch=no&amp;mode=sales&amp;pin=0714109003","sales record")</f>
        <v>sales record</v>
      </c>
      <c r="AC2694" t="s">
        <v>3</v>
      </c>
      <c r="AD2694">
        <v>41.777638</v>
      </c>
      <c r="AE2694">
        <v>-88.176761</v>
      </c>
      <c r="AF2694" s="5" t="str">
        <f>HYPERLINK("https://www.google.com/maps/search/?api=1&amp;query=41.777638,-88.176761","map")</f>
        <v>map</v>
      </c>
    </row>
    <row r="2695" spans="1:32">
      <c r="A2695" t="s">
        <v>2745</v>
      </c>
      <c r="B2695" t="s">
        <v>10278</v>
      </c>
      <c r="C2695" t="s">
        <v>15475</v>
      </c>
      <c r="D2695" t="s">
        <v>16206</v>
      </c>
      <c r="E2695" t="s">
        <v>16218</v>
      </c>
      <c r="F2695" t="s">
        <v>16220</v>
      </c>
      <c r="G2695" t="s">
        <v>16275</v>
      </c>
      <c r="H2695" t="s">
        <v>16276</v>
      </c>
      <c r="I2695" t="s">
        <v>16352</v>
      </c>
      <c r="J2695" t="s">
        <v>16386</v>
      </c>
      <c r="K2695">
        <v>0.389</v>
      </c>
      <c r="L2695">
        <v>16926</v>
      </c>
      <c r="M2695">
        <v>1941</v>
      </c>
      <c r="N2695" t="s">
        <v>16393</v>
      </c>
      <c r="O2695" s="4">
        <v>51103</v>
      </c>
      <c r="P2695" s="4">
        <v>97886</v>
      </c>
      <c r="Q2695" s="4">
        <v>148989</v>
      </c>
      <c r="R2695" s="4">
        <v>446967</v>
      </c>
      <c r="S2695" t="s">
        <v>19008</v>
      </c>
      <c r="T2695" s="6">
        <v>39722</v>
      </c>
      <c r="U2695" s="4">
        <v>280000</v>
      </c>
      <c r="V2695" t="s">
        <v>23739</v>
      </c>
      <c r="W2695" t="s">
        <v>19008</v>
      </c>
      <c r="X2695" t="s">
        <v>3</v>
      </c>
      <c r="AA2695" s="5" t="str">
        <f>HYPERLINK("https://www.zillow.com/homes/2412-ORCHID-CT-NAPERVILLE-IL-60540_rb/","check listing")</f>
        <v>check listing</v>
      </c>
      <c r="AB2695" s="5" t="str">
        <f>HYPERLINK("https://propertylookup.dupagecounty.gov/Datalets/Datalet.aspx?UseSearch=no&amp;mode=sales&amp;pin=0722407004","sales record")</f>
        <v>sales record</v>
      </c>
      <c r="AC2695" t="s">
        <v>3</v>
      </c>
      <c r="AD2695">
        <v>41.757131</v>
      </c>
      <c r="AE2695">
        <v>-88.195566</v>
      </c>
      <c r="AF2695" s="5" t="str">
        <f>HYPERLINK("https://www.google.com/maps/search/?api=1&amp;query=41.757131,-88.195566","map")</f>
        <v>map</v>
      </c>
    </row>
    <row r="2696" spans="1:32">
      <c r="A2696" t="s">
        <v>2746</v>
      </c>
      <c r="B2696" t="s">
        <v>10279</v>
      </c>
      <c r="C2696" t="s">
        <v>15475</v>
      </c>
      <c r="D2696" t="s">
        <v>16206</v>
      </c>
      <c r="E2696" t="s">
        <v>16218</v>
      </c>
      <c r="F2696" t="s">
        <v>16220</v>
      </c>
      <c r="G2696" t="s">
        <v>16273</v>
      </c>
      <c r="H2696" t="s">
        <v>16254</v>
      </c>
      <c r="I2696" t="s">
        <v>16351</v>
      </c>
      <c r="J2696" t="s">
        <v>16386</v>
      </c>
      <c r="K2696">
        <v>0.386</v>
      </c>
      <c r="L2696">
        <v>16799</v>
      </c>
      <c r="M2696">
        <v>2473</v>
      </c>
      <c r="N2696" t="s">
        <v>16393</v>
      </c>
      <c r="O2696" s="4">
        <v>54265</v>
      </c>
      <c r="P2696" s="4">
        <v>161658</v>
      </c>
      <c r="Q2696" s="4">
        <v>215923</v>
      </c>
      <c r="R2696" s="4">
        <v>647769</v>
      </c>
      <c r="S2696" t="s">
        <v>19009</v>
      </c>
      <c r="T2696" s="6">
        <v>41487</v>
      </c>
      <c r="U2696" s="4">
        <v>380000</v>
      </c>
      <c r="V2696" t="s">
        <v>16232</v>
      </c>
      <c r="W2696" t="s">
        <v>19009</v>
      </c>
      <c r="X2696" t="s">
        <v>3</v>
      </c>
      <c r="AA2696" s="5" t="str">
        <f>HYPERLINK("https://www.zillow.com/homes/2082-BUNKER-CIR-NAPERVILLE-IL-60540_rb/","check listing")</f>
        <v>check listing</v>
      </c>
      <c r="AB2696" s="5" t="str">
        <f>HYPERLINK("https://propertylookup.dupagecounty.gov/Datalets/Datalet.aspx?UseSearch=no&amp;mode=sales&amp;pin=0709200011","sales record")</f>
        <v>sales record</v>
      </c>
      <c r="AC2696" t="s">
        <v>3</v>
      </c>
      <c r="AD2696">
        <v>41.795073</v>
      </c>
      <c r="AE2696">
        <v>-88.214157</v>
      </c>
      <c r="AF2696" s="5" t="str">
        <f>HYPERLINK("https://www.google.com/maps/search/?api=1&amp;query=41.795073,-88.214157","map")</f>
        <v>map</v>
      </c>
    </row>
    <row r="2697" spans="1:32">
      <c r="A2697" t="s">
        <v>2747</v>
      </c>
      <c r="B2697" t="s">
        <v>10280</v>
      </c>
      <c r="C2697" t="s">
        <v>15478</v>
      </c>
      <c r="D2697" t="s">
        <v>16206</v>
      </c>
      <c r="E2697" t="s">
        <v>16218</v>
      </c>
      <c r="F2697" t="s">
        <v>16220</v>
      </c>
      <c r="G2697" t="s">
        <v>16273</v>
      </c>
      <c r="H2697" t="s">
        <v>16254</v>
      </c>
      <c r="I2697" t="s">
        <v>16351</v>
      </c>
      <c r="J2697" t="s">
        <v>16386</v>
      </c>
      <c r="K2697">
        <v>0.378</v>
      </c>
      <c r="L2697">
        <v>16471</v>
      </c>
      <c r="M2697">
        <v>2902</v>
      </c>
      <c r="N2697" t="s">
        <v>16393</v>
      </c>
      <c r="O2697" s="4">
        <v>55472</v>
      </c>
      <c r="P2697" s="4">
        <v>146328</v>
      </c>
      <c r="Q2697" s="4">
        <v>201800</v>
      </c>
      <c r="R2697" s="4">
        <v>605400</v>
      </c>
      <c r="S2697" t="s">
        <v>19010</v>
      </c>
      <c r="T2697" s="6">
        <v>40909</v>
      </c>
      <c r="U2697" s="4">
        <v>252000</v>
      </c>
      <c r="V2697" t="s">
        <v>16232</v>
      </c>
      <c r="W2697" t="s">
        <v>19010</v>
      </c>
      <c r="X2697" t="s">
        <v>3</v>
      </c>
      <c r="AA2697" s="5" t="str">
        <f>HYPERLINK("https://www.zillow.com/homes/1016-MANDALAY-CT-NAPERVILLE-IL-60563_rb/","check listing")</f>
        <v>check listing</v>
      </c>
      <c r="AB2697" s="5" t="str">
        <f>HYPERLINK("https://propertylookup.dupagecounty.gov/Datalets/Datalet.aspx?UseSearch=no&amp;mode=sales&amp;pin=0709410016","sales record")</f>
        <v>sales record</v>
      </c>
      <c r="AC2697" t="s">
        <v>3</v>
      </c>
      <c r="AD2697">
        <v>41.787176</v>
      </c>
      <c r="AE2697">
        <v>-88.21438999999999</v>
      </c>
      <c r="AF2697" s="5" t="str">
        <f>HYPERLINK("https://www.google.com/maps/search/?api=1&amp;query=41.787176,-88.21439","map")</f>
        <v>map</v>
      </c>
    </row>
    <row r="2698" spans="1:32">
      <c r="A2698" t="s">
        <v>2748</v>
      </c>
      <c r="B2698" t="s">
        <v>10281</v>
      </c>
      <c r="C2698" t="s">
        <v>15475</v>
      </c>
      <c r="D2698" t="s">
        <v>16206</v>
      </c>
      <c r="E2698" t="s">
        <v>16218</v>
      </c>
      <c r="F2698" t="s">
        <v>16220</v>
      </c>
      <c r="G2698" t="s">
        <v>16274</v>
      </c>
      <c r="H2698" t="s">
        <v>16269</v>
      </c>
      <c r="I2698" t="s">
        <v>16352</v>
      </c>
      <c r="J2698" t="s">
        <v>16386</v>
      </c>
      <c r="K2698">
        <v>0.377</v>
      </c>
      <c r="L2698">
        <v>16404</v>
      </c>
      <c r="M2698">
        <v>1847</v>
      </c>
      <c r="N2698" t="s">
        <v>16393</v>
      </c>
      <c r="O2698" s="4">
        <v>58646</v>
      </c>
      <c r="P2698" s="4">
        <v>123248</v>
      </c>
      <c r="Q2698" s="4">
        <v>181894</v>
      </c>
      <c r="R2698" s="4">
        <v>545682</v>
      </c>
      <c r="S2698" t="s">
        <v>19011</v>
      </c>
      <c r="T2698" s="6">
        <v>44013</v>
      </c>
      <c r="U2698" s="4">
        <v>350000</v>
      </c>
      <c r="V2698" t="s">
        <v>23739</v>
      </c>
      <c r="W2698" t="s">
        <v>25022</v>
      </c>
      <c r="X2698" t="s">
        <v>3</v>
      </c>
      <c r="AA2698" s="5" t="str">
        <f>HYPERLINK("https://www.zillow.com/homes/1167-OAKTON-LN-NAPERVILLE-IL-60540_rb/","check listing")</f>
        <v>check listing</v>
      </c>
      <c r="AB2698" s="5" t="str">
        <f>HYPERLINK("https://propertylookup.dupagecounty.gov/Datalets/Datalet.aspx?UseSearch=no&amp;mode=sales&amp;pin=0723410089","sales record")</f>
        <v>sales record</v>
      </c>
      <c r="AC2698" t="s">
        <v>3</v>
      </c>
      <c r="AD2698">
        <v>41.756063</v>
      </c>
      <c r="AE2698">
        <v>-88.16725</v>
      </c>
      <c r="AF2698" s="5" t="str">
        <f>HYPERLINK("https://www.google.com/maps/search/?api=1&amp;query=41.756063,-88.16725","map")</f>
        <v>map</v>
      </c>
    </row>
    <row r="2699" spans="1:32">
      <c r="A2699" t="s">
        <v>2749</v>
      </c>
      <c r="B2699" t="s">
        <v>10282</v>
      </c>
      <c r="C2699" t="s">
        <v>15475</v>
      </c>
      <c r="D2699" t="s">
        <v>16206</v>
      </c>
      <c r="E2699" t="s">
        <v>16218</v>
      </c>
      <c r="F2699" t="s">
        <v>16220</v>
      </c>
      <c r="G2699" t="s">
        <v>16274</v>
      </c>
      <c r="H2699" t="s">
        <v>16269</v>
      </c>
      <c r="I2699" t="s">
        <v>16352</v>
      </c>
      <c r="J2699" t="s">
        <v>16386</v>
      </c>
      <c r="K2699">
        <v>0.366</v>
      </c>
      <c r="L2699">
        <v>15958</v>
      </c>
      <c r="M2699">
        <v>2638</v>
      </c>
      <c r="N2699" t="s">
        <v>16393</v>
      </c>
      <c r="O2699" s="4">
        <v>65152</v>
      </c>
      <c r="P2699" s="4">
        <v>150001</v>
      </c>
      <c r="Q2699" s="4">
        <v>215153</v>
      </c>
      <c r="R2699" s="4">
        <v>645459</v>
      </c>
      <c r="S2699" t="s">
        <v>19012</v>
      </c>
      <c r="T2699" s="6">
        <v>32933</v>
      </c>
      <c r="U2699" s="4">
        <v>206600</v>
      </c>
      <c r="X2699" t="s">
        <v>3</v>
      </c>
      <c r="AA2699" s="5" t="str">
        <f>HYPERLINK("https://www.zillow.com/homes/977-ELM-CT-NAPERVILLE-IL-60540_rb/","check listing")</f>
        <v>check listing</v>
      </c>
      <c r="AB2699" s="5" t="str">
        <f>HYPERLINK("https://propertylookup.dupagecounty.gov/Datalets/Datalet.aspx?UseSearch=no&amp;mode=sales&amp;pin=0726208008","sales record")</f>
        <v>sales record</v>
      </c>
      <c r="AC2699" t="s">
        <v>3</v>
      </c>
      <c r="AD2699">
        <v>41.750375</v>
      </c>
      <c r="AE2699">
        <v>-88.173171</v>
      </c>
      <c r="AF2699" s="5" t="str">
        <f>HYPERLINK("https://www.google.com/maps/search/?api=1&amp;query=41.750375,-88.173171","map")</f>
        <v>map</v>
      </c>
    </row>
    <row r="2700" spans="1:32">
      <c r="A2700" t="s">
        <v>2750</v>
      </c>
      <c r="B2700" t="s">
        <v>10283</v>
      </c>
      <c r="C2700" t="s">
        <v>15475</v>
      </c>
      <c r="D2700" t="s">
        <v>16206</v>
      </c>
      <c r="E2700" t="s">
        <v>16218</v>
      </c>
      <c r="F2700" t="s">
        <v>16220</v>
      </c>
      <c r="G2700" t="s">
        <v>16274</v>
      </c>
      <c r="H2700" t="s">
        <v>16269</v>
      </c>
      <c r="I2700" t="s">
        <v>16352</v>
      </c>
      <c r="J2700" t="s">
        <v>16386</v>
      </c>
      <c r="K2700">
        <v>0.364</v>
      </c>
      <c r="L2700">
        <v>15847</v>
      </c>
      <c r="M2700">
        <v>2638</v>
      </c>
      <c r="N2700" t="s">
        <v>16393</v>
      </c>
      <c r="O2700" s="4">
        <v>65322</v>
      </c>
      <c r="P2700" s="4">
        <v>170396</v>
      </c>
      <c r="Q2700" s="4">
        <v>235718</v>
      </c>
      <c r="R2700" s="4">
        <v>707154</v>
      </c>
      <c r="S2700" t="s">
        <v>19013</v>
      </c>
      <c r="T2700" s="6">
        <v>36039</v>
      </c>
      <c r="U2700" s="4">
        <v>282329</v>
      </c>
      <c r="X2700" t="s">
        <v>3</v>
      </c>
      <c r="AA2700" s="5" t="str">
        <f>HYPERLINK("https://www.zillow.com/homes/703-HAYLE-CT-NAPERVILLE-IL-60540_rb/","check listing")</f>
        <v>check listing</v>
      </c>
      <c r="AB2700" s="5" t="str">
        <f>HYPERLINK("https://propertylookup.dupagecounty.gov/Datalets/Datalet.aspx?UseSearch=no&amp;mode=sales&amp;pin=0723311006","sales record")</f>
        <v>sales record</v>
      </c>
      <c r="AC2700" t="s">
        <v>3</v>
      </c>
      <c r="AD2700">
        <v>41.757598</v>
      </c>
      <c r="AE2700">
        <v>-88.185956</v>
      </c>
      <c r="AF2700" s="5" t="str">
        <f>HYPERLINK("https://www.google.com/maps/search/?api=1&amp;query=41.757598,-88.185956","map")</f>
        <v>map</v>
      </c>
    </row>
    <row r="2701" spans="1:32">
      <c r="A2701" t="s">
        <v>2751</v>
      </c>
      <c r="B2701" t="s">
        <v>10284</v>
      </c>
      <c r="C2701" t="s">
        <v>15484</v>
      </c>
      <c r="D2701" t="s">
        <v>16206</v>
      </c>
      <c r="E2701" t="s">
        <v>16218</v>
      </c>
      <c r="F2701" t="s">
        <v>16220</v>
      </c>
      <c r="G2701" t="s">
        <v>16274</v>
      </c>
      <c r="H2701" t="s">
        <v>16269</v>
      </c>
      <c r="I2701" t="s">
        <v>16352</v>
      </c>
      <c r="J2701" t="s">
        <v>16386</v>
      </c>
      <c r="K2701">
        <v>0.362</v>
      </c>
      <c r="L2701">
        <v>15773</v>
      </c>
      <c r="M2701">
        <v>2705</v>
      </c>
      <c r="N2701" t="s">
        <v>16393</v>
      </c>
      <c r="O2701" s="4">
        <v>58060</v>
      </c>
      <c r="P2701" s="4">
        <v>196479</v>
      </c>
      <c r="Q2701" s="4">
        <v>254539</v>
      </c>
      <c r="R2701" s="4">
        <v>763617</v>
      </c>
      <c r="S2701" t="s">
        <v>19014</v>
      </c>
      <c r="T2701" s="6">
        <v>44501</v>
      </c>
      <c r="U2701" s="4">
        <v>639900</v>
      </c>
      <c r="V2701" t="s">
        <v>23740</v>
      </c>
      <c r="W2701" t="s">
        <v>25023</v>
      </c>
      <c r="X2701" t="s">
        <v>3</v>
      </c>
      <c r="AA2701" s="5" t="str">
        <f>HYPERLINK("https://www.zillow.com/homes/1703-CHEPSTOW-CT-NAPERVILLE-IL-605400395_rb/","check listing")</f>
        <v>check listing</v>
      </c>
      <c r="AB2701" s="5" t="str">
        <f>HYPERLINK("https://propertylookup.dupagecounty.gov/Datalets/Datalet.aspx?UseSearch=no&amp;mode=sales&amp;pin=0723310002","sales record")</f>
        <v>sales record</v>
      </c>
      <c r="AC2701" t="s">
        <v>3</v>
      </c>
      <c r="AD2701">
        <v>41.756561</v>
      </c>
      <c r="AE2701">
        <v>-88.184282</v>
      </c>
      <c r="AF2701" s="5" t="str">
        <f>HYPERLINK("https://www.google.com/maps/search/?api=1&amp;query=41.756561,-88.184282","map")</f>
        <v>map</v>
      </c>
    </row>
    <row r="2702" spans="1:32">
      <c r="A2702" t="s">
        <v>2752</v>
      </c>
      <c r="B2702" t="s">
        <v>10285</v>
      </c>
      <c r="C2702" t="s">
        <v>15478</v>
      </c>
      <c r="D2702" t="s">
        <v>16206</v>
      </c>
      <c r="E2702" t="s">
        <v>16218</v>
      </c>
      <c r="F2702" t="s">
        <v>16220</v>
      </c>
      <c r="G2702" t="s">
        <v>16274</v>
      </c>
      <c r="H2702" t="s">
        <v>16269</v>
      </c>
      <c r="I2702" t="s">
        <v>16352</v>
      </c>
      <c r="J2702" t="s">
        <v>16386</v>
      </c>
      <c r="K2702">
        <v>0.362</v>
      </c>
      <c r="L2702">
        <v>15769</v>
      </c>
      <c r="M2702">
        <v>3794</v>
      </c>
      <c r="N2702" t="s">
        <v>16393</v>
      </c>
      <c r="O2702" s="4">
        <v>84716</v>
      </c>
      <c r="P2702" s="4">
        <v>169539</v>
      </c>
      <c r="Q2702" s="4">
        <v>254255</v>
      </c>
      <c r="R2702" s="4">
        <v>762765</v>
      </c>
      <c r="S2702" t="s">
        <v>19015</v>
      </c>
      <c r="T2702" s="6">
        <v>38565</v>
      </c>
      <c r="U2702" s="4">
        <v>623000</v>
      </c>
      <c r="V2702" t="s">
        <v>23739</v>
      </c>
      <c r="W2702" t="s">
        <v>25024</v>
      </c>
      <c r="X2702" t="s">
        <v>3</v>
      </c>
      <c r="AA2702" s="5" t="str">
        <f>HYPERLINK("https://www.zillow.com/homes/1165-DICKENS-AVE-NAPERVILLE-IL-60563_rb/","check listing")</f>
        <v>check listing</v>
      </c>
      <c r="AB2702" s="5" t="str">
        <f>HYPERLINK("https://propertylookup.dupagecounty.gov/Datalets/Datalet.aspx?UseSearch=no&amp;mode=sales&amp;pin=0808315004","sales record")</f>
        <v>sales record</v>
      </c>
      <c r="AC2702" t="s">
        <v>3</v>
      </c>
      <c r="AD2702">
        <v>41.791049</v>
      </c>
      <c r="AE2702">
        <v>-88.126413</v>
      </c>
      <c r="AF2702" s="5" t="str">
        <f>HYPERLINK("https://www.google.com/maps/search/?api=1&amp;query=41.791049,-88.126413","map")</f>
        <v>map</v>
      </c>
    </row>
    <row r="2703" spans="1:32">
      <c r="A2703" t="s">
        <v>2753</v>
      </c>
      <c r="B2703" t="s">
        <v>10286</v>
      </c>
      <c r="C2703" t="s">
        <v>15475</v>
      </c>
      <c r="D2703" t="s">
        <v>16206</v>
      </c>
      <c r="E2703" t="s">
        <v>16218</v>
      </c>
      <c r="F2703" t="s">
        <v>16220</v>
      </c>
      <c r="G2703" t="s">
        <v>16274</v>
      </c>
      <c r="H2703" t="s">
        <v>16269</v>
      </c>
      <c r="I2703" t="s">
        <v>16352</v>
      </c>
      <c r="J2703" t="s">
        <v>16386</v>
      </c>
      <c r="K2703">
        <v>0.361</v>
      </c>
      <c r="L2703">
        <v>15713</v>
      </c>
      <c r="M2703">
        <v>3428</v>
      </c>
      <c r="N2703" t="s">
        <v>16393</v>
      </c>
      <c r="O2703" s="4">
        <v>58060</v>
      </c>
      <c r="P2703" s="4">
        <v>198346</v>
      </c>
      <c r="Q2703" s="4">
        <v>256406</v>
      </c>
      <c r="R2703" s="4">
        <v>769218</v>
      </c>
      <c r="S2703" t="s">
        <v>19016</v>
      </c>
      <c r="T2703" s="6">
        <v>39295</v>
      </c>
      <c r="U2703" s="4">
        <v>559000</v>
      </c>
      <c r="V2703" t="s">
        <v>23739</v>
      </c>
      <c r="W2703" t="s">
        <v>25025</v>
      </c>
      <c r="X2703" t="s">
        <v>3</v>
      </c>
      <c r="AA2703" s="5" t="str">
        <f>HYPERLINK("https://www.zillow.com/homes/1711-CHEPSTOW-CT-NAPERVILLE-IL-60540_rb/","check listing")</f>
        <v>check listing</v>
      </c>
      <c r="AB2703" s="5" t="str">
        <f>HYPERLINK("https://propertylookup.dupagecounty.gov/Datalets/Datalet.aspx?UseSearch=no&amp;mode=sales&amp;pin=0723310004","sales record")</f>
        <v>sales record</v>
      </c>
      <c r="AC2703" t="s">
        <v>3</v>
      </c>
      <c r="AD2703">
        <v>41.756364</v>
      </c>
      <c r="AE2703">
        <v>-88.184855</v>
      </c>
      <c r="AF2703" s="5" t="str">
        <f>HYPERLINK("https://www.google.com/maps/search/?api=1&amp;query=41.756364,-88.184855","map")</f>
        <v>map</v>
      </c>
    </row>
    <row r="2704" spans="1:32">
      <c r="A2704" t="s">
        <v>2754</v>
      </c>
      <c r="B2704" t="s">
        <v>10287</v>
      </c>
      <c r="C2704" t="s">
        <v>15475</v>
      </c>
      <c r="D2704" t="s">
        <v>16206</v>
      </c>
      <c r="E2704" t="s">
        <v>16218</v>
      </c>
      <c r="F2704" t="s">
        <v>16220</v>
      </c>
      <c r="G2704" t="s">
        <v>16274</v>
      </c>
      <c r="H2704" t="s">
        <v>16269</v>
      </c>
      <c r="I2704" t="s">
        <v>16352</v>
      </c>
      <c r="J2704" t="s">
        <v>16386</v>
      </c>
      <c r="K2704">
        <v>0.351</v>
      </c>
      <c r="L2704">
        <v>15303</v>
      </c>
      <c r="M2704">
        <v>3365</v>
      </c>
      <c r="N2704" t="s">
        <v>16393</v>
      </c>
      <c r="O2704" s="4">
        <v>65322</v>
      </c>
      <c r="P2704" s="4">
        <v>196027</v>
      </c>
      <c r="Q2704" s="4">
        <v>261349</v>
      </c>
      <c r="R2704" s="4">
        <v>784047</v>
      </c>
      <c r="S2704" t="s">
        <v>19017</v>
      </c>
      <c r="T2704" s="6">
        <v>45957</v>
      </c>
      <c r="U2704" s="4">
        <v>725000</v>
      </c>
      <c r="V2704" t="s">
        <v>23741</v>
      </c>
      <c r="W2704" t="s">
        <v>25026</v>
      </c>
      <c r="X2704" t="s">
        <v>3</v>
      </c>
      <c r="AA2704" s="5" t="str">
        <f>HYPERLINK("https://www.zillow.com/homes/1712-CHEPSTOW-CT-NAPERVILLE-IL-60540_rb/","check listing")</f>
        <v>check listing</v>
      </c>
      <c r="AB2704" s="5" t="str">
        <f>HYPERLINK("https://propertylookup.dupagecounty.gov/Datalets/Datalet.aspx?UseSearch=no&amp;mode=sales&amp;pin=0723310006","sales record")</f>
        <v>sales record</v>
      </c>
      <c r="AC2704" t="s">
        <v>3</v>
      </c>
      <c r="AD2704">
        <v>41.755835</v>
      </c>
      <c r="AE2704">
        <v>-88.18441</v>
      </c>
      <c r="AF2704" s="5" t="str">
        <f>HYPERLINK("https://www.google.com/maps/search/?api=1&amp;query=41.755835,-88.18441","map")</f>
        <v>map</v>
      </c>
    </row>
    <row r="2705" spans="1:32">
      <c r="A2705" t="s">
        <v>2755</v>
      </c>
      <c r="B2705" t="s">
        <v>10288</v>
      </c>
      <c r="C2705" t="s">
        <v>15475</v>
      </c>
      <c r="D2705" t="s">
        <v>16206</v>
      </c>
      <c r="E2705" t="s">
        <v>16218</v>
      </c>
      <c r="F2705" t="s">
        <v>16220</v>
      </c>
      <c r="G2705" t="s">
        <v>16274</v>
      </c>
      <c r="H2705" t="s">
        <v>16269</v>
      </c>
      <c r="I2705" t="s">
        <v>16352</v>
      </c>
      <c r="J2705" t="s">
        <v>16386</v>
      </c>
      <c r="K2705">
        <v>0.351</v>
      </c>
      <c r="L2705">
        <v>15302</v>
      </c>
      <c r="M2705">
        <v>2374</v>
      </c>
      <c r="N2705" t="s">
        <v>16393</v>
      </c>
      <c r="O2705" s="4">
        <v>65322</v>
      </c>
      <c r="P2705" s="4">
        <v>175084</v>
      </c>
      <c r="Q2705" s="4">
        <v>240406</v>
      </c>
      <c r="R2705" s="4">
        <v>721218</v>
      </c>
      <c r="S2705" t="s">
        <v>19018</v>
      </c>
      <c r="U2705" s="4">
        <v>271279</v>
      </c>
      <c r="X2705" t="s">
        <v>3</v>
      </c>
      <c r="AA2705" s="5" t="str">
        <f>HYPERLINK("https://www.zillow.com/homes/708-HAYLE-CT-NAPERVILLE-IL-60540_rb/","check listing")</f>
        <v>check listing</v>
      </c>
      <c r="AB2705" s="5" t="str">
        <f>HYPERLINK("https://propertylookup.dupagecounty.gov/Datalets/Datalet.aspx?UseSearch=no&amp;mode=sales&amp;pin=0723311004","sales record")</f>
        <v>sales record</v>
      </c>
      <c r="AC2705" t="s">
        <v>3</v>
      </c>
      <c r="AD2705">
        <v>41.757711</v>
      </c>
      <c r="AE2705">
        <v>-88.18518299999999</v>
      </c>
      <c r="AF2705" s="5" t="str">
        <f>HYPERLINK("https://www.google.com/maps/search/?api=1&amp;query=41.757711,-88.185183","map")</f>
        <v>map</v>
      </c>
    </row>
    <row r="2706" spans="1:32">
      <c r="A2706" t="s">
        <v>2756</v>
      </c>
      <c r="B2706" t="s">
        <v>10289</v>
      </c>
      <c r="C2706" t="s">
        <v>15478</v>
      </c>
      <c r="D2706" t="s">
        <v>16206</v>
      </c>
      <c r="E2706" t="s">
        <v>16218</v>
      </c>
      <c r="F2706" t="s">
        <v>16220</v>
      </c>
      <c r="G2706" t="s">
        <v>16274</v>
      </c>
      <c r="H2706" t="s">
        <v>16269</v>
      </c>
      <c r="I2706" t="s">
        <v>16352</v>
      </c>
      <c r="J2706" t="s">
        <v>16386</v>
      </c>
      <c r="K2706">
        <v>0.346</v>
      </c>
      <c r="L2706">
        <v>15085</v>
      </c>
      <c r="M2706">
        <v>2722</v>
      </c>
      <c r="N2706" t="s">
        <v>16393</v>
      </c>
      <c r="O2706" s="4">
        <v>62356</v>
      </c>
      <c r="P2706" s="4">
        <v>93077</v>
      </c>
      <c r="Q2706" s="4">
        <v>155433</v>
      </c>
      <c r="R2706" s="4">
        <v>466299</v>
      </c>
      <c r="S2706" t="s">
        <v>19019</v>
      </c>
      <c r="T2706" s="6">
        <v>41974</v>
      </c>
      <c r="U2706" s="4">
        <v>258000</v>
      </c>
      <c r="V2706" t="s">
        <v>23739</v>
      </c>
      <c r="W2706" t="s">
        <v>25027</v>
      </c>
      <c r="X2706" t="s">
        <v>3</v>
      </c>
      <c r="AA2706" s="5" t="str">
        <f>HYPERLINK("https://www.zillow.com/homes/729-SMALL-CT-NAPERVILLE-IL-60563_rb/","check listing")</f>
        <v>check listing</v>
      </c>
      <c r="AB2706" s="5" t="str">
        <f>HYPERLINK("https://propertylookup.dupagecounty.gov/Datalets/Datalet.aspx?UseSearch=no&amp;mode=sales&amp;pin=0715206008","sales record")</f>
        <v>sales record</v>
      </c>
      <c r="AC2706" t="s">
        <v>3</v>
      </c>
      <c r="AD2706">
        <v>41.78063</v>
      </c>
      <c r="AE2706">
        <v>-88.18818</v>
      </c>
      <c r="AF2706" s="5" t="str">
        <f>HYPERLINK("https://www.google.com/maps/search/?api=1&amp;query=41.78063,-88.18818","map")</f>
        <v>map</v>
      </c>
    </row>
    <row r="2707" spans="1:32">
      <c r="A2707" t="s">
        <v>2757</v>
      </c>
      <c r="B2707" t="s">
        <v>10290</v>
      </c>
      <c r="C2707" t="s">
        <v>15485</v>
      </c>
      <c r="D2707" t="s">
        <v>16206</v>
      </c>
      <c r="E2707" t="s">
        <v>16218</v>
      </c>
      <c r="F2707" t="s">
        <v>16220</v>
      </c>
      <c r="G2707" t="s">
        <v>16274</v>
      </c>
      <c r="H2707" t="s">
        <v>16269</v>
      </c>
      <c r="I2707" t="s">
        <v>16352</v>
      </c>
      <c r="J2707" t="s">
        <v>16386</v>
      </c>
      <c r="K2707">
        <v>0.346</v>
      </c>
      <c r="L2707">
        <v>15080</v>
      </c>
      <c r="M2707">
        <v>3166</v>
      </c>
      <c r="N2707" t="s">
        <v>16393</v>
      </c>
      <c r="O2707" s="4">
        <v>65322</v>
      </c>
      <c r="P2707" s="4">
        <v>189766</v>
      </c>
      <c r="Q2707" s="4">
        <v>255088</v>
      </c>
      <c r="R2707" s="4">
        <v>765264</v>
      </c>
      <c r="S2707" t="s">
        <v>19020</v>
      </c>
      <c r="T2707" s="6">
        <v>35947</v>
      </c>
      <c r="U2707" s="4">
        <v>280000</v>
      </c>
      <c r="X2707" t="s">
        <v>3</v>
      </c>
      <c r="AA2707" s="5" t="str">
        <f>HYPERLINK("https://www.zillow.com/homes/1417-ROLLING-GROVE-CT-NAPERVILLE-IL-605406355_rb/","check listing")</f>
        <v>check listing</v>
      </c>
      <c r="AB2707" s="5" t="str">
        <f>HYPERLINK("https://propertylookup.dupagecounty.gov/Datalets/Datalet.aspx?UseSearch=no&amp;mode=sales&amp;pin=0723304017","sales record")</f>
        <v>sales record</v>
      </c>
      <c r="AC2707" t="s">
        <v>3</v>
      </c>
      <c r="AD2707">
        <v>41.760836</v>
      </c>
      <c r="AE2707">
        <v>-88.17949299999999</v>
      </c>
      <c r="AF2707" s="5" t="str">
        <f>HYPERLINK("https://www.google.com/maps/search/?api=1&amp;query=41.760836,-88.179493","map")</f>
        <v>map</v>
      </c>
    </row>
    <row r="2708" spans="1:32">
      <c r="A2708" t="s">
        <v>2758</v>
      </c>
      <c r="B2708" t="s">
        <v>10291</v>
      </c>
      <c r="C2708" t="s">
        <v>15485</v>
      </c>
      <c r="D2708" t="s">
        <v>16206</v>
      </c>
      <c r="E2708" t="s">
        <v>16218</v>
      </c>
      <c r="F2708" t="s">
        <v>16220</v>
      </c>
      <c r="G2708" t="s">
        <v>16274</v>
      </c>
      <c r="H2708" t="s">
        <v>16269</v>
      </c>
      <c r="I2708" t="s">
        <v>16352</v>
      </c>
      <c r="J2708" t="s">
        <v>16386</v>
      </c>
      <c r="K2708">
        <v>0.341</v>
      </c>
      <c r="L2708">
        <v>14838</v>
      </c>
      <c r="M2708">
        <v>2194</v>
      </c>
      <c r="N2708" t="s">
        <v>16393</v>
      </c>
      <c r="O2708" s="4">
        <v>65322</v>
      </c>
      <c r="P2708" s="4">
        <v>172337</v>
      </c>
      <c r="Q2708" s="4">
        <v>237659</v>
      </c>
      <c r="R2708" s="4">
        <v>712977</v>
      </c>
      <c r="S2708" t="s">
        <v>19021</v>
      </c>
      <c r="T2708" s="6">
        <v>45393</v>
      </c>
      <c r="U2708" s="4">
        <v>650000</v>
      </c>
      <c r="V2708" t="s">
        <v>23741</v>
      </c>
      <c r="W2708" t="s">
        <v>25028</v>
      </c>
      <c r="X2708" t="s">
        <v>3</v>
      </c>
      <c r="AA2708" s="5" t="str">
        <f>HYPERLINK("https://www.zillow.com/homes/1418-ROLLING-GROVE-CT-NAPERVILLE-IL-605406355_rb/","check listing")</f>
        <v>check listing</v>
      </c>
      <c r="AB2708" s="5" t="str">
        <f>HYPERLINK("https://propertylookup.dupagecounty.gov/Datalets/Datalet.aspx?UseSearch=no&amp;mode=sales&amp;pin=0723304016","sales record")</f>
        <v>sales record</v>
      </c>
      <c r="AC2708" t="s">
        <v>3</v>
      </c>
      <c r="AD2708">
        <v>41.760342</v>
      </c>
      <c r="AE2708">
        <v>-88.17936</v>
      </c>
      <c r="AF2708" s="5" t="str">
        <f>HYPERLINK("https://www.google.com/maps/search/?api=1&amp;query=41.760342,-88.17936","map")</f>
        <v>map</v>
      </c>
    </row>
    <row r="2709" spans="1:32">
      <c r="A2709" t="s">
        <v>2759</v>
      </c>
      <c r="B2709" t="s">
        <v>10292</v>
      </c>
      <c r="C2709" t="s">
        <v>15475</v>
      </c>
      <c r="D2709" t="s">
        <v>16206</v>
      </c>
      <c r="E2709" t="s">
        <v>16218</v>
      </c>
      <c r="F2709" t="s">
        <v>16220</v>
      </c>
      <c r="G2709" t="s">
        <v>16274</v>
      </c>
      <c r="H2709" t="s">
        <v>16269</v>
      </c>
      <c r="I2709" t="s">
        <v>16352</v>
      </c>
      <c r="J2709" t="s">
        <v>16386</v>
      </c>
      <c r="K2709">
        <v>0.339</v>
      </c>
      <c r="L2709">
        <v>14784</v>
      </c>
      <c r="M2709">
        <v>2473</v>
      </c>
      <c r="N2709" t="s">
        <v>16393</v>
      </c>
      <c r="O2709" s="4">
        <v>65152</v>
      </c>
      <c r="P2709" s="4">
        <v>157679</v>
      </c>
      <c r="Q2709" s="4">
        <v>222831</v>
      </c>
      <c r="R2709" s="4">
        <v>668493</v>
      </c>
      <c r="S2709" t="s">
        <v>19022</v>
      </c>
      <c r="T2709" s="6">
        <v>32752</v>
      </c>
      <c r="U2709" s="4">
        <v>209830</v>
      </c>
      <c r="X2709" t="s">
        <v>3</v>
      </c>
      <c r="AA2709" s="5" t="str">
        <f>HYPERLINK("https://www.zillow.com/homes/936-ELM-ST-NAPERVILLE-IL-60540_rb/","check listing")</f>
        <v>check listing</v>
      </c>
      <c r="AB2709" s="5" t="str">
        <f>HYPERLINK("https://propertylookup.dupagecounty.gov/Datalets/Datalet.aspx?UseSearch=no&amp;mode=sales&amp;pin=0726207010","sales record")</f>
        <v>sales record</v>
      </c>
      <c r="AC2709" t="s">
        <v>3</v>
      </c>
      <c r="AD2709">
        <v>41.752521</v>
      </c>
      <c r="AE2709">
        <v>-88.172658</v>
      </c>
      <c r="AF2709" s="5" t="str">
        <f>HYPERLINK("https://www.google.com/maps/search/?api=1&amp;query=41.752521,-88.172658","map")</f>
        <v>map</v>
      </c>
    </row>
    <row r="2710" spans="1:32">
      <c r="A2710" t="s">
        <v>2760</v>
      </c>
      <c r="B2710" t="s">
        <v>10293</v>
      </c>
      <c r="C2710" t="s">
        <v>15475</v>
      </c>
      <c r="D2710" t="s">
        <v>16206</v>
      </c>
      <c r="E2710" t="s">
        <v>16218</v>
      </c>
      <c r="F2710" t="s">
        <v>16220</v>
      </c>
      <c r="G2710" t="s">
        <v>16276</v>
      </c>
      <c r="H2710" t="s">
        <v>16276</v>
      </c>
      <c r="I2710" t="s">
        <v>16352</v>
      </c>
      <c r="J2710" t="s">
        <v>16386</v>
      </c>
      <c r="K2710">
        <v>0.338</v>
      </c>
      <c r="L2710">
        <v>14732</v>
      </c>
      <c r="M2710">
        <v>2358</v>
      </c>
      <c r="N2710" t="s">
        <v>16393</v>
      </c>
      <c r="O2710" s="4">
        <v>48870</v>
      </c>
      <c r="P2710" s="4">
        <v>135416</v>
      </c>
      <c r="Q2710" s="4">
        <v>184286</v>
      </c>
      <c r="R2710" s="4">
        <v>552858</v>
      </c>
      <c r="S2710" t="s">
        <v>19023</v>
      </c>
      <c r="T2710" s="6">
        <v>36831</v>
      </c>
      <c r="U2710" s="4">
        <v>238100</v>
      </c>
      <c r="V2710" t="s">
        <v>23739</v>
      </c>
      <c r="W2710" t="s">
        <v>25029</v>
      </c>
      <c r="X2710" t="s">
        <v>3</v>
      </c>
      <c r="AA2710" s="5" t="str">
        <f>HYPERLINK("https://www.zillow.com/homes/2044-SCHUMACHER-LN-NAPERVILLE-IL-60540_rb/","check listing")</f>
        <v>check listing</v>
      </c>
      <c r="AB2710" s="5" t="str">
        <f>HYPERLINK("https://propertylookup.dupagecounty.gov/Datalets/Datalet.aspx?UseSearch=no&amp;mode=sales&amp;pin=0727211011","sales record")</f>
        <v>sales record</v>
      </c>
      <c r="AC2710" t="s">
        <v>3</v>
      </c>
      <c r="AD2710">
        <v>41.754568</v>
      </c>
      <c r="AE2710">
        <v>-88.18706400000001</v>
      </c>
      <c r="AF2710" s="5" t="str">
        <f>HYPERLINK("https://www.google.com/maps/search/?api=1&amp;query=41.754568,-88.187064","map")</f>
        <v>map</v>
      </c>
    </row>
    <row r="2711" spans="1:32">
      <c r="A2711" t="s">
        <v>2761</v>
      </c>
      <c r="B2711" t="s">
        <v>10294</v>
      </c>
      <c r="C2711" t="s">
        <v>15486</v>
      </c>
      <c r="D2711" t="s">
        <v>16206</v>
      </c>
      <c r="E2711" t="s">
        <v>16218</v>
      </c>
      <c r="F2711" t="s">
        <v>16220</v>
      </c>
      <c r="G2711" t="s">
        <v>16275</v>
      </c>
      <c r="H2711" t="s">
        <v>16276</v>
      </c>
      <c r="I2711" t="s">
        <v>16352</v>
      </c>
      <c r="J2711" t="s">
        <v>16386</v>
      </c>
      <c r="K2711">
        <v>0.338</v>
      </c>
      <c r="L2711">
        <v>14724</v>
      </c>
      <c r="M2711">
        <v>2473</v>
      </c>
      <c r="N2711" t="s">
        <v>16393</v>
      </c>
      <c r="O2711" s="4">
        <v>52690</v>
      </c>
      <c r="P2711" s="4">
        <v>152552</v>
      </c>
      <c r="Q2711" s="4">
        <v>205242</v>
      </c>
      <c r="R2711" s="4">
        <v>615726</v>
      </c>
      <c r="S2711" t="s">
        <v>19024</v>
      </c>
      <c r="T2711" s="6">
        <v>40695</v>
      </c>
      <c r="U2711" s="4">
        <v>327000</v>
      </c>
      <c r="V2711" t="s">
        <v>23739</v>
      </c>
      <c r="W2711" t="s">
        <v>25030</v>
      </c>
      <c r="X2711" t="s">
        <v>3</v>
      </c>
      <c r="AA2711" s="5" t="str">
        <f>HYPERLINK("https://www.zillow.com/homes/616-CARAWAY-CT-NAPERVILLE-IL-605406287_rb/","check listing")</f>
        <v>check listing</v>
      </c>
      <c r="AB2711" s="5" t="str">
        <f>HYPERLINK("https://propertylookup.dupagecounty.gov/Datalets/Datalet.aspx?UseSearch=no&amp;mode=sales&amp;pin=0722405015","sales record")</f>
        <v>sales record</v>
      </c>
      <c r="AC2711" t="s">
        <v>3</v>
      </c>
      <c r="AD2711">
        <v>41.759678</v>
      </c>
      <c r="AE2711">
        <v>-88.193089</v>
      </c>
      <c r="AF2711" s="5" t="str">
        <f>HYPERLINK("https://www.google.com/maps/search/?api=1&amp;query=41.759678,-88.193089","map")</f>
        <v>map</v>
      </c>
    </row>
    <row r="2712" spans="1:32">
      <c r="A2712" t="s">
        <v>2762</v>
      </c>
      <c r="B2712" t="s">
        <v>10295</v>
      </c>
      <c r="C2712" t="s">
        <v>15487</v>
      </c>
      <c r="D2712" t="s">
        <v>16206</v>
      </c>
      <c r="E2712" t="s">
        <v>16218</v>
      </c>
      <c r="F2712" t="s">
        <v>16220</v>
      </c>
      <c r="G2712" t="s">
        <v>16274</v>
      </c>
      <c r="H2712" t="s">
        <v>16269</v>
      </c>
      <c r="I2712" t="s">
        <v>16352</v>
      </c>
      <c r="J2712" t="s">
        <v>16386</v>
      </c>
      <c r="K2712">
        <v>0.337</v>
      </c>
      <c r="L2712">
        <v>14677</v>
      </c>
      <c r="M2712">
        <v>4206</v>
      </c>
      <c r="N2712" t="s">
        <v>16393</v>
      </c>
      <c r="O2712" s="4">
        <v>58060</v>
      </c>
      <c r="P2712" s="4">
        <v>184957</v>
      </c>
      <c r="Q2712" s="4">
        <v>243017</v>
      </c>
      <c r="R2712" s="4">
        <v>729051</v>
      </c>
      <c r="S2712" t="s">
        <v>19025</v>
      </c>
      <c r="T2712" s="6">
        <v>41122</v>
      </c>
      <c r="U2712" s="4">
        <v>460000</v>
      </c>
      <c r="V2712" t="s">
        <v>23740</v>
      </c>
      <c r="W2712" t="s">
        <v>25031</v>
      </c>
      <c r="X2712" t="s">
        <v>3</v>
      </c>
      <c r="AA2712" s="5" t="str">
        <f>HYPERLINK("https://www.zillow.com/homes/715-HAYLE-CT-NAPERVILLE-IL-605400396_rb/","check listing")</f>
        <v>check listing</v>
      </c>
      <c r="AB2712" s="5" t="str">
        <f>HYPERLINK("https://propertylookup.dupagecounty.gov/Datalets/Datalet.aspx?UseSearch=no&amp;mode=sales&amp;pin=0723311009","sales record")</f>
        <v>sales record</v>
      </c>
      <c r="AC2712" t="s">
        <v>3</v>
      </c>
      <c r="AD2712">
        <v>41.757043</v>
      </c>
      <c r="AE2712">
        <v>-88.18591499999999</v>
      </c>
      <c r="AF2712" s="5" t="str">
        <f>HYPERLINK("https://www.google.com/maps/search/?api=1&amp;query=41.757043,-88.185915","map")</f>
        <v>map</v>
      </c>
    </row>
    <row r="2713" spans="1:32">
      <c r="A2713" t="s">
        <v>2763</v>
      </c>
      <c r="B2713" t="s">
        <v>10296</v>
      </c>
      <c r="C2713" t="s">
        <v>15488</v>
      </c>
      <c r="D2713" t="s">
        <v>16206</v>
      </c>
      <c r="E2713" t="s">
        <v>16218</v>
      </c>
      <c r="F2713" t="s">
        <v>16220</v>
      </c>
      <c r="G2713" t="s">
        <v>16274</v>
      </c>
      <c r="H2713" t="s">
        <v>16269</v>
      </c>
      <c r="I2713" t="s">
        <v>16352</v>
      </c>
      <c r="J2713" t="s">
        <v>16386</v>
      </c>
      <c r="K2713">
        <v>0.337</v>
      </c>
      <c r="L2713">
        <v>14661</v>
      </c>
      <c r="M2713">
        <v>3760</v>
      </c>
      <c r="N2713" t="s">
        <v>16393</v>
      </c>
      <c r="O2713" s="4">
        <v>58060</v>
      </c>
      <c r="P2713" s="4">
        <v>206243</v>
      </c>
      <c r="Q2713" s="4">
        <v>264303</v>
      </c>
      <c r="R2713" s="4">
        <v>792909</v>
      </c>
      <c r="S2713" t="s">
        <v>19026</v>
      </c>
      <c r="T2713" s="6">
        <v>42248</v>
      </c>
      <c r="U2713" s="4">
        <v>481500</v>
      </c>
      <c r="V2713" t="s">
        <v>23740</v>
      </c>
      <c r="W2713" t="s">
        <v>25032</v>
      </c>
      <c r="X2713" t="s">
        <v>3</v>
      </c>
      <c r="AA2713" s="5" t="str">
        <f>HYPERLINK("https://www.zillow.com/homes/1711-CHADWICKE-CIR-NAPERVILLE-IL-605400397_rb/","check listing")</f>
        <v>check listing</v>
      </c>
      <c r="AB2713" s="5" t="str">
        <f>HYPERLINK("https://propertylookup.dupagecounty.gov/Datalets/Datalet.aspx?UseSearch=no&amp;mode=sales&amp;pin=0723311003","sales record")</f>
        <v>sales record</v>
      </c>
      <c r="AC2713" t="s">
        <v>3</v>
      </c>
      <c r="AD2713">
        <v>41.757323</v>
      </c>
      <c r="AE2713">
        <v>-88.18519499999999</v>
      </c>
      <c r="AF2713" s="5" t="str">
        <f>HYPERLINK("https://www.google.com/maps/search/?api=1&amp;query=41.757323,-88.185195","map")</f>
        <v>map</v>
      </c>
    </row>
    <row r="2714" spans="1:32">
      <c r="A2714" t="s">
        <v>2764</v>
      </c>
      <c r="B2714" t="s">
        <v>10297</v>
      </c>
      <c r="C2714" t="s">
        <v>15488</v>
      </c>
      <c r="D2714" t="s">
        <v>16206</v>
      </c>
      <c r="E2714" t="s">
        <v>16218</v>
      </c>
      <c r="F2714" t="s">
        <v>16220</v>
      </c>
      <c r="G2714" t="s">
        <v>16274</v>
      </c>
      <c r="H2714" t="s">
        <v>16269</v>
      </c>
      <c r="I2714" t="s">
        <v>16352</v>
      </c>
      <c r="J2714" t="s">
        <v>16386</v>
      </c>
      <c r="K2714">
        <v>0.336</v>
      </c>
      <c r="L2714">
        <v>14629</v>
      </c>
      <c r="M2714">
        <v>3561</v>
      </c>
      <c r="N2714" t="s">
        <v>16393</v>
      </c>
      <c r="O2714" s="4">
        <v>58060</v>
      </c>
      <c r="P2714" s="4">
        <v>208697</v>
      </c>
      <c r="Q2714" s="4">
        <v>266757</v>
      </c>
      <c r="R2714" s="4">
        <v>800271</v>
      </c>
      <c r="S2714" t="s">
        <v>19027</v>
      </c>
      <c r="T2714" s="6">
        <v>44682</v>
      </c>
      <c r="U2714" s="4">
        <v>680000</v>
      </c>
      <c r="V2714" t="s">
        <v>23739</v>
      </c>
      <c r="W2714" t="s">
        <v>25033</v>
      </c>
      <c r="X2714" t="s">
        <v>3</v>
      </c>
      <c r="AA2714" s="5" t="str">
        <f>HYPERLINK("https://www.zillow.com/homes/1707-CHADWICKE-CIR-NAPERVILLE-IL-605400397_rb/","check listing")</f>
        <v>check listing</v>
      </c>
      <c r="AB2714" s="5" t="str">
        <f>HYPERLINK("https://propertylookup.dupagecounty.gov/Datalets/Datalet.aspx?UseSearch=no&amp;mode=sales&amp;pin=0723311002","sales record")</f>
        <v>sales record</v>
      </c>
      <c r="AC2714" t="s">
        <v>3</v>
      </c>
      <c r="AD2714">
        <v>41.757392</v>
      </c>
      <c r="AE2714">
        <v>-88.184721</v>
      </c>
      <c r="AF2714" s="5" t="str">
        <f>HYPERLINK("https://www.google.com/maps/search/?api=1&amp;query=41.757392,-88.184721","map")</f>
        <v>map</v>
      </c>
    </row>
    <row r="2715" spans="1:32">
      <c r="A2715" t="s">
        <v>2765</v>
      </c>
      <c r="B2715" t="s">
        <v>10298</v>
      </c>
      <c r="C2715" t="s">
        <v>15478</v>
      </c>
      <c r="D2715" t="s">
        <v>16206</v>
      </c>
      <c r="E2715" t="s">
        <v>16218</v>
      </c>
      <c r="F2715" t="s">
        <v>16220</v>
      </c>
      <c r="G2715" t="s">
        <v>16273</v>
      </c>
      <c r="H2715" t="s">
        <v>16254</v>
      </c>
      <c r="I2715" t="s">
        <v>16351</v>
      </c>
      <c r="J2715" t="s">
        <v>16386</v>
      </c>
      <c r="K2715">
        <v>0.335</v>
      </c>
      <c r="L2715">
        <v>14603</v>
      </c>
      <c r="M2715">
        <v>1979</v>
      </c>
      <c r="N2715" t="s">
        <v>16393</v>
      </c>
      <c r="O2715" s="4">
        <v>47990</v>
      </c>
      <c r="P2715" s="4">
        <v>124260</v>
      </c>
      <c r="Q2715" s="4">
        <v>172250</v>
      </c>
      <c r="R2715" s="4">
        <v>516750</v>
      </c>
      <c r="S2715" t="s">
        <v>19028</v>
      </c>
      <c r="T2715" s="6">
        <v>45784</v>
      </c>
      <c r="U2715" s="4">
        <v>570000</v>
      </c>
      <c r="V2715" t="s">
        <v>23739</v>
      </c>
      <c r="W2715" t="s">
        <v>25034</v>
      </c>
      <c r="X2715" t="s">
        <v>3</v>
      </c>
      <c r="AA2715" s="5" t="str">
        <f>HYPERLINK("https://www.zillow.com/homes/1004-MANDALAY-CT-NAPERVILLE-IL-60563_rb/","check listing")</f>
        <v>check listing</v>
      </c>
      <c r="AB2715" s="5" t="str">
        <f>HYPERLINK("https://propertylookup.dupagecounty.gov/Datalets/Datalet.aspx?UseSearch=no&amp;mode=sales&amp;pin=0709410019","sales record")</f>
        <v>sales record</v>
      </c>
      <c r="AC2715" t="s">
        <v>3</v>
      </c>
      <c r="AD2715">
        <v>41.786446</v>
      </c>
      <c r="AE2715">
        <v>-88.214606</v>
      </c>
      <c r="AF2715" s="5" t="str">
        <f>HYPERLINK("https://www.google.com/maps/search/?api=1&amp;query=41.786446,-88.214606","map")</f>
        <v>map</v>
      </c>
    </row>
    <row r="2716" spans="1:32">
      <c r="A2716" t="s">
        <v>2766</v>
      </c>
      <c r="B2716" t="s">
        <v>10299</v>
      </c>
      <c r="C2716" t="s">
        <v>15475</v>
      </c>
      <c r="D2716" t="s">
        <v>16206</v>
      </c>
      <c r="E2716" t="s">
        <v>16218</v>
      </c>
      <c r="F2716" t="s">
        <v>16220</v>
      </c>
      <c r="G2716" t="s">
        <v>16274</v>
      </c>
      <c r="H2716" t="s">
        <v>16269</v>
      </c>
      <c r="I2716" t="s">
        <v>16352</v>
      </c>
      <c r="J2716" t="s">
        <v>16386</v>
      </c>
      <c r="K2716">
        <v>0.334</v>
      </c>
      <c r="L2716">
        <v>14560</v>
      </c>
      <c r="M2716">
        <v>2539</v>
      </c>
      <c r="N2716" t="s">
        <v>16393</v>
      </c>
      <c r="O2716" s="4">
        <v>65322</v>
      </c>
      <c r="P2716" s="4">
        <v>182418</v>
      </c>
      <c r="Q2716" s="4">
        <v>247740</v>
      </c>
      <c r="R2716" s="4">
        <v>743220</v>
      </c>
      <c r="S2716" t="s">
        <v>19029</v>
      </c>
      <c r="T2716" s="6">
        <v>35551</v>
      </c>
      <c r="U2716" s="4">
        <v>285000</v>
      </c>
      <c r="X2716" t="s">
        <v>3</v>
      </c>
      <c r="AA2716" s="5" t="str">
        <f>HYPERLINK("https://www.zillow.com/homes/675-OAKHURST-CT-NAPERVILLE-IL-60540_rb/","check listing")</f>
        <v>check listing</v>
      </c>
      <c r="AB2716" s="5" t="str">
        <f>HYPERLINK("https://propertylookup.dupagecounty.gov/Datalets/Datalet.aspx?UseSearch=no&amp;mode=sales&amp;pin=0723303006","sales record")</f>
        <v>sales record</v>
      </c>
      <c r="AC2716" t="s">
        <v>3</v>
      </c>
      <c r="AD2716">
        <v>41.759275</v>
      </c>
      <c r="AE2716">
        <v>-88.18119900000001</v>
      </c>
      <c r="AF2716" s="5" t="str">
        <f>HYPERLINK("https://www.google.com/maps/search/?api=1&amp;query=41.759275,-88.181199","map")</f>
        <v>map</v>
      </c>
    </row>
    <row r="2717" spans="1:32">
      <c r="A2717" t="s">
        <v>2767</v>
      </c>
      <c r="B2717" t="s">
        <v>10300</v>
      </c>
      <c r="C2717" t="s">
        <v>15475</v>
      </c>
      <c r="D2717" t="s">
        <v>16206</v>
      </c>
      <c r="E2717" t="s">
        <v>16218</v>
      </c>
      <c r="F2717" t="s">
        <v>16220</v>
      </c>
      <c r="G2717" t="s">
        <v>16274</v>
      </c>
      <c r="H2717" t="s">
        <v>16269</v>
      </c>
      <c r="I2717" t="s">
        <v>16352</v>
      </c>
      <c r="J2717" t="s">
        <v>16386</v>
      </c>
      <c r="K2717">
        <v>0.334</v>
      </c>
      <c r="L2717">
        <v>14528</v>
      </c>
      <c r="M2717">
        <v>3167</v>
      </c>
      <c r="N2717" t="s">
        <v>16393</v>
      </c>
      <c r="O2717" s="4">
        <v>65322</v>
      </c>
      <c r="P2717" s="4">
        <v>204156</v>
      </c>
      <c r="Q2717" s="4">
        <v>269478</v>
      </c>
      <c r="R2717" s="4">
        <v>808434</v>
      </c>
      <c r="S2717" t="s">
        <v>19030</v>
      </c>
      <c r="T2717" s="6">
        <v>42552</v>
      </c>
      <c r="U2717" s="4">
        <v>499700</v>
      </c>
      <c r="V2717" t="s">
        <v>23739</v>
      </c>
      <c r="W2717" t="s">
        <v>25035</v>
      </c>
      <c r="X2717" t="s">
        <v>3</v>
      </c>
      <c r="AA2717" s="5" t="str">
        <f>HYPERLINK("https://www.zillow.com/homes/674-OAKHURST-CT-NAPERVILLE-IL-60540_rb/","check listing")</f>
        <v>check listing</v>
      </c>
      <c r="AB2717" s="5" t="str">
        <f>HYPERLINK("https://propertylookup.dupagecounty.gov/Datalets/Datalet.aspx?UseSearch=no&amp;mode=sales&amp;pin=0723303007","sales record")</f>
        <v>sales record</v>
      </c>
      <c r="AC2717" t="s">
        <v>3</v>
      </c>
      <c r="AD2717">
        <v>41.758901</v>
      </c>
      <c r="AE2717">
        <v>-88.18105799999999</v>
      </c>
      <c r="AF2717" s="5" t="str">
        <f>HYPERLINK("https://www.google.com/maps/search/?api=1&amp;query=41.758901,-88.181058","map")</f>
        <v>map</v>
      </c>
    </row>
    <row r="2718" spans="1:32">
      <c r="A2718" t="s">
        <v>2768</v>
      </c>
      <c r="B2718" t="s">
        <v>10301</v>
      </c>
      <c r="C2718" t="s">
        <v>15478</v>
      </c>
      <c r="D2718" t="s">
        <v>16206</v>
      </c>
      <c r="E2718" t="s">
        <v>16218</v>
      </c>
      <c r="F2718" t="s">
        <v>16220</v>
      </c>
      <c r="G2718" t="s">
        <v>16273</v>
      </c>
      <c r="H2718" t="s">
        <v>16254</v>
      </c>
      <c r="I2718" t="s">
        <v>16351</v>
      </c>
      <c r="J2718" t="s">
        <v>16386</v>
      </c>
      <c r="K2718">
        <v>0.332</v>
      </c>
      <c r="L2718">
        <v>14445</v>
      </c>
      <c r="M2718">
        <v>2788</v>
      </c>
      <c r="N2718" t="s">
        <v>16393</v>
      </c>
      <c r="O2718" s="4">
        <v>55472</v>
      </c>
      <c r="P2718" s="4">
        <v>136808</v>
      </c>
      <c r="Q2718" s="4">
        <v>192280</v>
      </c>
      <c r="R2718" s="4">
        <v>576840</v>
      </c>
      <c r="S2718" t="s">
        <v>19031</v>
      </c>
      <c r="T2718" s="6">
        <v>31990</v>
      </c>
      <c r="U2718" s="4">
        <v>170194</v>
      </c>
      <c r="X2718" t="s">
        <v>3</v>
      </c>
      <c r="AA2718" s="5" t="str">
        <f>HYPERLINK("https://www.zillow.com/homes/1028-BURKE-CT-NAPERVILLE-IL-60563_rb/","check listing")</f>
        <v>check listing</v>
      </c>
      <c r="AB2718" s="5" t="str">
        <f>HYPERLINK("https://propertylookup.dupagecounty.gov/Datalets/Datalet.aspx?UseSearch=no&amp;mode=sales&amp;pin=0709304019","sales record")</f>
        <v>sales record</v>
      </c>
      <c r="AC2718" t="s">
        <v>3</v>
      </c>
      <c r="AD2718">
        <v>41.787304</v>
      </c>
      <c r="AE2718">
        <v>-88.215737</v>
      </c>
      <c r="AF2718" s="5" t="str">
        <f>HYPERLINK("https://www.google.com/maps/search/?api=1&amp;query=41.787304,-88.215737","map")</f>
        <v>map</v>
      </c>
    </row>
    <row r="2719" spans="1:32">
      <c r="A2719" t="s">
        <v>2769</v>
      </c>
      <c r="B2719" t="s">
        <v>10302</v>
      </c>
      <c r="C2719" t="s">
        <v>15489</v>
      </c>
      <c r="D2719" t="s">
        <v>16206</v>
      </c>
      <c r="E2719" t="s">
        <v>16218</v>
      </c>
      <c r="F2719" t="s">
        <v>16220</v>
      </c>
      <c r="G2719" t="s">
        <v>16275</v>
      </c>
      <c r="H2719" t="s">
        <v>16276</v>
      </c>
      <c r="I2719" t="s">
        <v>16352</v>
      </c>
      <c r="J2719" t="s">
        <v>16386</v>
      </c>
      <c r="K2719">
        <v>0.331</v>
      </c>
      <c r="L2719">
        <v>14425</v>
      </c>
      <c r="M2719">
        <v>2369</v>
      </c>
      <c r="N2719" t="s">
        <v>16393</v>
      </c>
      <c r="O2719" s="4">
        <v>51995</v>
      </c>
      <c r="P2719" s="4">
        <v>103000</v>
      </c>
      <c r="Q2719" s="4">
        <v>154995</v>
      </c>
      <c r="R2719" s="4">
        <v>464985</v>
      </c>
      <c r="S2719" t="s">
        <v>19032</v>
      </c>
      <c r="T2719" s="6">
        <v>45558</v>
      </c>
      <c r="U2719" s="4">
        <v>490000</v>
      </c>
      <c r="V2719" t="s">
        <v>23739</v>
      </c>
      <c r="W2719" t="s">
        <v>25036</v>
      </c>
      <c r="X2719" t="s">
        <v>3</v>
      </c>
      <c r="AA2719" s="5" t="str">
        <f>HYPERLINK("https://www.zillow.com/homes/2320-PERIWINKLE-CT-NAPERVILLE-IL-605409220_rb/","check listing")</f>
        <v>check listing</v>
      </c>
      <c r="AB2719" s="5" t="str">
        <f>HYPERLINK("https://propertylookup.dupagecounty.gov/Datalets/Datalet.aspx?UseSearch=no&amp;mode=sales&amp;pin=0722407032","sales record")</f>
        <v>sales record</v>
      </c>
      <c r="AC2719" t="s">
        <v>3</v>
      </c>
      <c r="AD2719">
        <v>41.757966</v>
      </c>
      <c r="AE2719">
        <v>-88.192652</v>
      </c>
      <c r="AF2719" s="5" t="str">
        <f>HYPERLINK("https://www.google.com/maps/search/?api=1&amp;query=41.757966,-88.192652","map")</f>
        <v>map</v>
      </c>
    </row>
    <row r="2720" spans="1:32">
      <c r="A2720" t="s">
        <v>2770</v>
      </c>
      <c r="B2720" t="s">
        <v>10303</v>
      </c>
      <c r="C2720" t="s">
        <v>15490</v>
      </c>
      <c r="D2720" t="s">
        <v>16206</v>
      </c>
      <c r="E2720" t="s">
        <v>16218</v>
      </c>
      <c r="F2720" t="s">
        <v>16220</v>
      </c>
      <c r="G2720" t="s">
        <v>16274</v>
      </c>
      <c r="H2720" t="s">
        <v>16269</v>
      </c>
      <c r="I2720" t="s">
        <v>16352</v>
      </c>
      <c r="J2720" t="s">
        <v>16386</v>
      </c>
      <c r="K2720">
        <v>0.33</v>
      </c>
      <c r="L2720">
        <v>14390</v>
      </c>
      <c r="M2720">
        <v>2572</v>
      </c>
      <c r="N2720" t="s">
        <v>16393</v>
      </c>
      <c r="O2720" s="4">
        <v>65152</v>
      </c>
      <c r="P2720" s="4">
        <v>154664</v>
      </c>
      <c r="Q2720" s="4">
        <v>219816</v>
      </c>
      <c r="R2720" s="4">
        <v>659448</v>
      </c>
      <c r="S2720" t="s">
        <v>19033</v>
      </c>
      <c r="T2720" s="6">
        <v>32782</v>
      </c>
      <c r="U2720" s="4">
        <v>200570</v>
      </c>
      <c r="X2720" t="s">
        <v>3</v>
      </c>
      <c r="AA2720" s="5" t="str">
        <f>HYPERLINK("https://www.zillow.com/homes/932-ELM-ST-NAPERVILLE-IL-605400346_rb/","check listing")</f>
        <v>check listing</v>
      </c>
      <c r="AB2720" s="5" t="str">
        <f>HYPERLINK("https://propertylookup.dupagecounty.gov/Datalets/Datalet.aspx?UseSearch=no&amp;mode=sales&amp;pin=0726207009","sales record")</f>
        <v>sales record</v>
      </c>
      <c r="AC2720" t="s">
        <v>3</v>
      </c>
      <c r="AD2720">
        <v>41.752705</v>
      </c>
      <c r="AE2720">
        <v>-88.172808</v>
      </c>
      <c r="AF2720" s="5" t="str">
        <f>HYPERLINK("https://www.google.com/maps/search/?api=1&amp;query=41.752705,-88.172808","map")</f>
        <v>map</v>
      </c>
    </row>
    <row r="2721" spans="1:32">
      <c r="A2721" t="s">
        <v>2771</v>
      </c>
      <c r="B2721" t="s">
        <v>10304</v>
      </c>
      <c r="C2721" t="s">
        <v>15475</v>
      </c>
      <c r="D2721" t="s">
        <v>16206</v>
      </c>
      <c r="E2721" t="s">
        <v>16218</v>
      </c>
      <c r="F2721" t="s">
        <v>16220</v>
      </c>
      <c r="G2721" t="s">
        <v>16274</v>
      </c>
      <c r="H2721" t="s">
        <v>16269</v>
      </c>
      <c r="I2721" t="s">
        <v>16352</v>
      </c>
      <c r="J2721" t="s">
        <v>16386</v>
      </c>
      <c r="K2721">
        <v>0.33</v>
      </c>
      <c r="L2721">
        <v>14370</v>
      </c>
      <c r="M2721">
        <v>4420</v>
      </c>
      <c r="N2721" t="s">
        <v>16393</v>
      </c>
      <c r="O2721" s="4">
        <v>52421</v>
      </c>
      <c r="P2721" s="4">
        <v>262960</v>
      </c>
      <c r="Q2721" s="4">
        <v>315381</v>
      </c>
      <c r="R2721" s="4">
        <v>946143</v>
      </c>
      <c r="S2721" t="s">
        <v>19034</v>
      </c>
      <c r="T2721" s="6">
        <v>32782</v>
      </c>
      <c r="U2721" s="4">
        <v>101000</v>
      </c>
      <c r="X2721" t="s">
        <v>3</v>
      </c>
      <c r="AA2721" s="5" t="str">
        <f>HYPERLINK("https://www.zillow.com/homes/28W525-OSWEGO-RD-NAPERVILLE-IL-60540_rb/","check listing")</f>
        <v>check listing</v>
      </c>
      <c r="AB2721" s="5" t="str">
        <f>HYPERLINK("https://propertylookup.dupagecounty.gov/Datalets/Datalet.aspx?UseSearch=no&amp;mode=sales&amp;pin=0723300003","sales record")</f>
        <v>sales record</v>
      </c>
      <c r="AC2721" t="s">
        <v>3</v>
      </c>
      <c r="AD2721">
        <v>41.760957</v>
      </c>
      <c r="AE2721">
        <v>-88.180875</v>
      </c>
      <c r="AF2721" s="5" t="str">
        <f>HYPERLINK("https://www.google.com/maps/search/?api=1&amp;query=41.760957,-88.180875","map")</f>
        <v>map</v>
      </c>
    </row>
    <row r="2722" spans="1:32">
      <c r="A2722" t="s">
        <v>2772</v>
      </c>
      <c r="B2722" t="s">
        <v>10305</v>
      </c>
      <c r="C2722" t="s">
        <v>15478</v>
      </c>
      <c r="D2722" t="s">
        <v>16206</v>
      </c>
      <c r="E2722" t="s">
        <v>16218</v>
      </c>
      <c r="F2722" t="s">
        <v>16220</v>
      </c>
      <c r="G2722" t="s">
        <v>16273</v>
      </c>
      <c r="H2722" t="s">
        <v>16254</v>
      </c>
      <c r="I2722" t="s">
        <v>16351</v>
      </c>
      <c r="J2722" t="s">
        <v>16386</v>
      </c>
      <c r="K2722">
        <v>0.329</v>
      </c>
      <c r="L2722">
        <v>14350</v>
      </c>
      <c r="M2722">
        <v>1813</v>
      </c>
      <c r="N2722" t="s">
        <v>16393</v>
      </c>
      <c r="O2722" s="4">
        <v>55472</v>
      </c>
      <c r="P2722" s="4">
        <v>111384</v>
      </c>
      <c r="Q2722" s="4">
        <v>166856</v>
      </c>
      <c r="R2722" s="4">
        <v>500568</v>
      </c>
      <c r="S2722" t="s">
        <v>19035</v>
      </c>
      <c r="T2722" s="6">
        <v>41091</v>
      </c>
      <c r="U2722" s="4">
        <v>268000</v>
      </c>
      <c r="V2722" t="s">
        <v>23739</v>
      </c>
      <c r="W2722" t="s">
        <v>19035</v>
      </c>
      <c r="X2722" t="s">
        <v>3</v>
      </c>
      <c r="AA2722" s="5" t="str">
        <f>HYPERLINK("https://www.zillow.com/homes/1012-MANDALAY-CT-NAPERVILLE-IL-60563_rb/","check listing")</f>
        <v>check listing</v>
      </c>
      <c r="AB2722" s="5" t="str">
        <f>HYPERLINK("https://propertylookup.dupagecounty.gov/Datalets/Datalet.aspx?UseSearch=no&amp;mode=sales&amp;pin=0709410017","sales record")</f>
        <v>sales record</v>
      </c>
      <c r="AC2722" t="s">
        <v>3</v>
      </c>
      <c r="AD2722">
        <v>41.786836</v>
      </c>
      <c r="AE2722">
        <v>-88.214344</v>
      </c>
      <c r="AF2722" s="5" t="str">
        <f>HYPERLINK("https://www.google.com/maps/search/?api=1&amp;query=41.786836,-88.214344","map")</f>
        <v>map</v>
      </c>
    </row>
    <row r="2723" spans="1:32">
      <c r="A2723" t="s">
        <v>2773</v>
      </c>
      <c r="B2723" t="s">
        <v>10306</v>
      </c>
      <c r="C2723" t="s">
        <v>15478</v>
      </c>
      <c r="D2723" t="s">
        <v>16206</v>
      </c>
      <c r="E2723" t="s">
        <v>16218</v>
      </c>
      <c r="F2723" t="s">
        <v>16220</v>
      </c>
      <c r="G2723" t="s">
        <v>16273</v>
      </c>
      <c r="H2723" t="s">
        <v>16254</v>
      </c>
      <c r="I2723" t="s">
        <v>16351</v>
      </c>
      <c r="J2723" t="s">
        <v>16386</v>
      </c>
      <c r="K2723">
        <v>0.328</v>
      </c>
      <c r="L2723">
        <v>14303</v>
      </c>
      <c r="M2723">
        <v>2970</v>
      </c>
      <c r="N2723" t="s">
        <v>16393</v>
      </c>
      <c r="O2723" s="4">
        <v>55472</v>
      </c>
      <c r="P2723" s="4">
        <v>97775</v>
      </c>
      <c r="Q2723" s="4">
        <v>153247</v>
      </c>
      <c r="R2723" s="4">
        <v>459741</v>
      </c>
      <c r="S2723" t="s">
        <v>19036</v>
      </c>
      <c r="T2723" s="6">
        <v>42064</v>
      </c>
      <c r="U2723" s="4">
        <v>294900</v>
      </c>
      <c r="V2723" t="s">
        <v>16232</v>
      </c>
      <c r="W2723" t="s">
        <v>25037</v>
      </c>
      <c r="X2723" t="s">
        <v>3</v>
      </c>
      <c r="AA2723" s="5" t="str">
        <f>HYPERLINK("https://www.zillow.com/homes/1013-MANDALAY-CT-NAPERVILLE-IL-60563_rb/","check listing")</f>
        <v>check listing</v>
      </c>
      <c r="AB2723" s="5" t="str">
        <f>HYPERLINK("https://propertylookup.dupagecounty.gov/Datalets/Datalet.aspx?UseSearch=no&amp;mode=sales&amp;pin=0709410014","sales record")</f>
        <v>sales record</v>
      </c>
      <c r="AC2723" t="s">
        <v>3</v>
      </c>
      <c r="AD2723">
        <v>41.787139</v>
      </c>
      <c r="AE2723">
        <v>-88.21521</v>
      </c>
      <c r="AF2723" s="5" t="str">
        <f>HYPERLINK("https://www.google.com/maps/search/?api=1&amp;query=41.787139,-88.21521","map")</f>
        <v>map</v>
      </c>
    </row>
    <row r="2724" spans="1:32">
      <c r="A2724" t="s">
        <v>2774</v>
      </c>
      <c r="B2724" t="s">
        <v>10307</v>
      </c>
      <c r="C2724" t="s">
        <v>15478</v>
      </c>
      <c r="D2724" t="s">
        <v>16206</v>
      </c>
      <c r="E2724" t="s">
        <v>16218</v>
      </c>
      <c r="F2724" t="s">
        <v>16220</v>
      </c>
      <c r="G2724" t="s">
        <v>16274</v>
      </c>
      <c r="H2724" t="s">
        <v>16269</v>
      </c>
      <c r="I2724" t="s">
        <v>16352</v>
      </c>
      <c r="J2724" t="s">
        <v>16386</v>
      </c>
      <c r="K2724">
        <v>0.328</v>
      </c>
      <c r="L2724">
        <v>14271</v>
      </c>
      <c r="M2724">
        <v>2639</v>
      </c>
      <c r="N2724" t="s">
        <v>16393</v>
      </c>
      <c r="O2724" s="4">
        <v>84716</v>
      </c>
      <c r="P2724" s="4">
        <v>131521</v>
      </c>
      <c r="Q2724" s="4">
        <v>216237</v>
      </c>
      <c r="R2724" s="4">
        <v>648711</v>
      </c>
      <c r="S2724" t="s">
        <v>19037</v>
      </c>
      <c r="T2724" s="6">
        <v>37865</v>
      </c>
      <c r="U2724" s="4">
        <v>485000</v>
      </c>
      <c r="V2724" t="s">
        <v>23739</v>
      </c>
      <c r="W2724" t="s">
        <v>25038</v>
      </c>
      <c r="X2724" t="s">
        <v>3</v>
      </c>
      <c r="AA2724" s="5" t="str">
        <f>HYPERLINK("https://www.zillow.com/homes/1149-DICKENS-AVE-NAPERVILLE-IL-60563_rb/","check listing")</f>
        <v>check listing</v>
      </c>
      <c r="AB2724" s="5" t="str">
        <f>HYPERLINK("https://propertylookup.dupagecounty.gov/Datalets/Datalet.aspx?UseSearch=no&amp;mode=sales&amp;pin=0808315003","sales record")</f>
        <v>sales record</v>
      </c>
      <c r="AC2724" t="s">
        <v>3</v>
      </c>
      <c r="AD2724">
        <v>41.790807</v>
      </c>
      <c r="AE2724">
        <v>-88.12657</v>
      </c>
      <c r="AF2724" s="5" t="str">
        <f>HYPERLINK("https://www.google.com/maps/search/?api=1&amp;query=41.790807,-88.12657","map")</f>
        <v>map</v>
      </c>
    </row>
    <row r="2725" spans="1:32">
      <c r="A2725" t="s">
        <v>2775</v>
      </c>
      <c r="B2725" t="s">
        <v>10308</v>
      </c>
      <c r="C2725" t="s">
        <v>15475</v>
      </c>
      <c r="D2725" t="s">
        <v>16206</v>
      </c>
      <c r="E2725" t="s">
        <v>16218</v>
      </c>
      <c r="F2725" t="s">
        <v>16220</v>
      </c>
      <c r="G2725" t="s">
        <v>16274</v>
      </c>
      <c r="H2725" t="s">
        <v>16269</v>
      </c>
      <c r="I2725" t="s">
        <v>16352</v>
      </c>
      <c r="J2725" t="s">
        <v>16386</v>
      </c>
      <c r="K2725">
        <v>0.327</v>
      </c>
      <c r="L2725">
        <v>14261</v>
      </c>
      <c r="M2725">
        <v>2309</v>
      </c>
      <c r="N2725" t="s">
        <v>16393</v>
      </c>
      <c r="O2725" s="4">
        <v>52128</v>
      </c>
      <c r="P2725" s="4">
        <v>123699</v>
      </c>
      <c r="Q2725" s="4">
        <v>175827</v>
      </c>
      <c r="R2725" s="4">
        <v>527481</v>
      </c>
      <c r="S2725" t="s">
        <v>19038</v>
      </c>
      <c r="T2725" s="6">
        <v>38869</v>
      </c>
      <c r="U2725" s="4">
        <v>375000</v>
      </c>
      <c r="V2725" t="s">
        <v>23739</v>
      </c>
      <c r="W2725" t="s">
        <v>25039</v>
      </c>
      <c r="X2725" t="s">
        <v>3</v>
      </c>
      <c r="AA2725" s="5" t="str">
        <f>HYPERLINK("https://www.zillow.com/homes/901-ELM-ST-NAPERVILLE-IL-60540_rb/","check listing")</f>
        <v>check listing</v>
      </c>
      <c r="AB2725" s="5" t="str">
        <f>HYPERLINK("https://propertylookup.dupagecounty.gov/Datalets/Datalet.aspx?UseSearch=no&amp;mode=sales&amp;pin=0726208027","sales record")</f>
        <v>sales record</v>
      </c>
      <c r="AC2725" t="s">
        <v>3</v>
      </c>
      <c r="AD2725">
        <v>41.754225</v>
      </c>
      <c r="AE2725">
        <v>-88.17412</v>
      </c>
      <c r="AF2725" s="5" t="str">
        <f>HYPERLINK("https://www.google.com/maps/search/?api=1&amp;query=41.754225,-88.17412","map")</f>
        <v>map</v>
      </c>
    </row>
    <row r="2726" spans="1:32">
      <c r="A2726" t="s">
        <v>2776</v>
      </c>
      <c r="B2726" t="s">
        <v>10309</v>
      </c>
      <c r="C2726" t="s">
        <v>15475</v>
      </c>
      <c r="D2726" t="s">
        <v>16206</v>
      </c>
      <c r="E2726" t="s">
        <v>16218</v>
      </c>
      <c r="F2726" t="s">
        <v>16220</v>
      </c>
      <c r="G2726" t="s">
        <v>16275</v>
      </c>
      <c r="H2726" t="s">
        <v>16276</v>
      </c>
      <c r="I2726" t="s">
        <v>16352</v>
      </c>
      <c r="J2726" t="s">
        <v>16386</v>
      </c>
      <c r="K2726">
        <v>0.327</v>
      </c>
      <c r="L2726">
        <v>14255</v>
      </c>
      <c r="M2726">
        <v>2144</v>
      </c>
      <c r="N2726" t="s">
        <v>16393</v>
      </c>
      <c r="O2726" s="4">
        <v>52555</v>
      </c>
      <c r="P2726" s="4">
        <v>132134</v>
      </c>
      <c r="Q2726" s="4">
        <v>184689</v>
      </c>
      <c r="R2726" s="4">
        <v>554067</v>
      </c>
      <c r="S2726" t="s">
        <v>19039</v>
      </c>
      <c r="T2726" s="6">
        <v>38169</v>
      </c>
      <c r="U2726" s="4">
        <v>310000</v>
      </c>
      <c r="V2726" t="s">
        <v>23739</v>
      </c>
      <c r="W2726" t="s">
        <v>25040</v>
      </c>
      <c r="X2726" t="s">
        <v>3</v>
      </c>
      <c r="AA2726" s="5" t="str">
        <f>HYPERLINK("https://www.zillow.com/homes/1263-LAKEWOOD-CIR-NAPERVILLE-IL-60540_rb/","check listing")</f>
        <v>check listing</v>
      </c>
      <c r="AB2726" s="5" t="str">
        <f>HYPERLINK("https://propertylookup.dupagecounty.gov/Datalets/Datalet.aspx?UseSearch=no&amp;mode=sales&amp;pin=0727201054","sales record")</f>
        <v>sales record</v>
      </c>
      <c r="AC2726" t="s">
        <v>3</v>
      </c>
      <c r="AD2726">
        <v>41.747754</v>
      </c>
      <c r="AE2726">
        <v>-88.19338399999999</v>
      </c>
      <c r="AF2726" s="5" t="str">
        <f>HYPERLINK("https://www.google.com/maps/search/?api=1&amp;query=41.747754,-88.193384","map")</f>
        <v>map</v>
      </c>
    </row>
    <row r="2727" spans="1:32">
      <c r="A2727" t="s">
        <v>2777</v>
      </c>
      <c r="B2727" t="s">
        <v>10310</v>
      </c>
      <c r="C2727" t="s">
        <v>15478</v>
      </c>
      <c r="D2727" t="s">
        <v>16206</v>
      </c>
      <c r="E2727" t="s">
        <v>16218</v>
      </c>
      <c r="F2727" t="s">
        <v>16220</v>
      </c>
      <c r="G2727" t="s">
        <v>16273</v>
      </c>
      <c r="H2727" t="s">
        <v>16254</v>
      </c>
      <c r="I2727" t="s">
        <v>16351</v>
      </c>
      <c r="J2727" t="s">
        <v>16386</v>
      </c>
      <c r="K2727">
        <v>0.327</v>
      </c>
      <c r="L2727">
        <v>14251</v>
      </c>
      <c r="M2727">
        <v>2721</v>
      </c>
      <c r="N2727" t="s">
        <v>16393</v>
      </c>
      <c r="O2727" s="4">
        <v>55472</v>
      </c>
      <c r="P2727" s="4">
        <v>93907</v>
      </c>
      <c r="Q2727" s="4">
        <v>149379</v>
      </c>
      <c r="R2727" s="4">
        <v>448137</v>
      </c>
      <c r="S2727" t="s">
        <v>19040</v>
      </c>
      <c r="T2727" s="6">
        <v>32509</v>
      </c>
      <c r="U2727" s="4">
        <v>149900</v>
      </c>
      <c r="X2727" t="s">
        <v>3</v>
      </c>
      <c r="AA2727" s="5" t="str">
        <f>HYPERLINK("https://www.zillow.com/homes/1024-BURKE-CT-NAPERVILLE-IL-60563_rb/","check listing")</f>
        <v>check listing</v>
      </c>
      <c r="AB2727" s="5" t="str">
        <f>HYPERLINK("https://propertylookup.dupagecounty.gov/Datalets/Datalet.aspx?UseSearch=no&amp;mode=sales&amp;pin=0709304020","sales record")</f>
        <v>sales record</v>
      </c>
      <c r="AC2727" t="s">
        <v>3</v>
      </c>
      <c r="AD2727">
        <v>41.787077</v>
      </c>
      <c r="AE2727">
        <v>-88.21577499999999</v>
      </c>
      <c r="AF2727" s="5" t="str">
        <f>HYPERLINK("https://www.google.com/maps/search/?api=1&amp;query=41.787077,-88.215775","map")</f>
        <v>map</v>
      </c>
    </row>
    <row r="2728" spans="1:32">
      <c r="A2728" t="s">
        <v>2778</v>
      </c>
      <c r="B2728" t="s">
        <v>10311</v>
      </c>
      <c r="C2728" t="s">
        <v>15475</v>
      </c>
      <c r="D2728" t="s">
        <v>16206</v>
      </c>
      <c r="E2728" t="s">
        <v>16218</v>
      </c>
      <c r="F2728" t="s">
        <v>16220</v>
      </c>
      <c r="G2728" t="s">
        <v>16274</v>
      </c>
      <c r="H2728" t="s">
        <v>16269</v>
      </c>
      <c r="I2728" t="s">
        <v>16352</v>
      </c>
      <c r="J2728" t="s">
        <v>16386</v>
      </c>
      <c r="K2728">
        <v>0.325</v>
      </c>
      <c r="L2728">
        <v>14157</v>
      </c>
      <c r="M2728">
        <v>2968</v>
      </c>
      <c r="N2728" t="s">
        <v>16393</v>
      </c>
      <c r="O2728" s="4">
        <v>58060</v>
      </c>
      <c r="P2728" s="4">
        <v>174095</v>
      </c>
      <c r="Q2728" s="4">
        <v>232155</v>
      </c>
      <c r="R2728" s="4">
        <v>696465</v>
      </c>
      <c r="S2728" t="s">
        <v>19041</v>
      </c>
      <c r="T2728" s="6">
        <v>31656</v>
      </c>
      <c r="U2728" s="4">
        <v>203930</v>
      </c>
      <c r="X2728" t="s">
        <v>3</v>
      </c>
      <c r="AA2728" s="5" t="str">
        <f>HYPERLINK("https://www.zillow.com/homes/619-OAKHURST-DR-NAPERVILLE-IL-60540_rb/","check listing")</f>
        <v>check listing</v>
      </c>
      <c r="AB2728" s="5" t="str">
        <f>HYPERLINK("https://propertylookup.dupagecounty.gov/Datalets/Datalet.aspx?UseSearch=no&amp;mode=sales&amp;pin=0723304011","sales record")</f>
        <v>sales record</v>
      </c>
      <c r="AC2728" t="s">
        <v>3</v>
      </c>
      <c r="AD2728">
        <v>41.760363</v>
      </c>
      <c r="AE2728">
        <v>-88.17809</v>
      </c>
      <c r="AF2728" s="5" t="str">
        <f>HYPERLINK("https://www.google.com/maps/search/?api=1&amp;query=41.760363,-88.17809","map")</f>
        <v>map</v>
      </c>
    </row>
    <row r="2729" spans="1:32">
      <c r="A2729" t="s">
        <v>2779</v>
      </c>
      <c r="B2729" t="s">
        <v>10312</v>
      </c>
      <c r="C2729" t="s">
        <v>15491</v>
      </c>
      <c r="D2729" t="s">
        <v>16206</v>
      </c>
      <c r="E2729" t="s">
        <v>16218</v>
      </c>
      <c r="F2729" t="s">
        <v>16220</v>
      </c>
      <c r="G2729" t="s">
        <v>16273</v>
      </c>
      <c r="H2729" t="s">
        <v>16254</v>
      </c>
      <c r="I2729" t="s">
        <v>16351</v>
      </c>
      <c r="J2729" t="s">
        <v>16386</v>
      </c>
      <c r="K2729">
        <v>0.322</v>
      </c>
      <c r="L2729">
        <v>14048</v>
      </c>
      <c r="M2729">
        <v>2473</v>
      </c>
      <c r="N2729" t="s">
        <v>16393</v>
      </c>
      <c r="O2729" s="4">
        <v>45366</v>
      </c>
      <c r="P2729" s="4">
        <v>128069</v>
      </c>
      <c r="Q2729" s="4">
        <v>173435</v>
      </c>
      <c r="R2729" s="4">
        <v>520305</v>
      </c>
      <c r="S2729" t="s">
        <v>19042</v>
      </c>
      <c r="T2729" s="6">
        <v>44682</v>
      </c>
      <c r="U2729" s="4">
        <v>530000</v>
      </c>
      <c r="V2729" t="s">
        <v>23739</v>
      </c>
      <c r="W2729" t="s">
        <v>25041</v>
      </c>
      <c r="X2729" t="s">
        <v>3</v>
      </c>
      <c r="AA2729" s="5" t="str">
        <f>HYPERLINK("https://www.zillow.com/homes/1005-MANDALAY-CT-NAPERVILLE-IL-605631980_rb/","check listing")</f>
        <v>check listing</v>
      </c>
      <c r="AB2729" s="5" t="str">
        <f>HYPERLINK("https://propertylookup.dupagecounty.gov/Datalets/Datalet.aspx?UseSearch=no&amp;mode=sales&amp;pin=0709410012","sales record")</f>
        <v>sales record</v>
      </c>
      <c r="AC2729" t="s">
        <v>3</v>
      </c>
      <c r="AD2729">
        <v>41.786712</v>
      </c>
      <c r="AE2729">
        <v>-88.215344</v>
      </c>
      <c r="AF2729" s="5" t="str">
        <f>HYPERLINK("https://www.google.com/maps/search/?api=1&amp;query=41.786712,-88.215344","map")</f>
        <v>map</v>
      </c>
    </row>
    <row r="2730" spans="1:32">
      <c r="A2730" t="s">
        <v>2780</v>
      </c>
      <c r="B2730" t="s">
        <v>10313</v>
      </c>
      <c r="C2730" t="s">
        <v>15475</v>
      </c>
      <c r="D2730" t="s">
        <v>16206</v>
      </c>
      <c r="E2730" t="s">
        <v>16218</v>
      </c>
      <c r="F2730" t="s">
        <v>16220</v>
      </c>
      <c r="G2730" t="s">
        <v>16275</v>
      </c>
      <c r="H2730" t="s">
        <v>16276</v>
      </c>
      <c r="I2730" t="s">
        <v>16352</v>
      </c>
      <c r="J2730" t="s">
        <v>16386</v>
      </c>
      <c r="K2730">
        <v>0.321</v>
      </c>
      <c r="L2730">
        <v>13969</v>
      </c>
      <c r="M2730">
        <v>2114</v>
      </c>
      <c r="N2730" t="s">
        <v>16393</v>
      </c>
      <c r="O2730" s="4">
        <v>60245</v>
      </c>
      <c r="P2730" s="4">
        <v>113545</v>
      </c>
      <c r="Q2730" s="4">
        <v>173790</v>
      </c>
      <c r="R2730" s="4">
        <v>521370</v>
      </c>
      <c r="S2730" t="s">
        <v>19043</v>
      </c>
      <c r="T2730" s="6">
        <v>44879</v>
      </c>
      <c r="U2730" s="4">
        <v>459900</v>
      </c>
      <c r="V2730" t="s">
        <v>23739</v>
      </c>
      <c r="W2730" t="s">
        <v>25042</v>
      </c>
      <c r="X2730" t="s">
        <v>3</v>
      </c>
      <c r="AA2730" s="5" t="str">
        <f>HYPERLINK("https://www.zillow.com/homes/1112-NATALIE-CT-NAPERVILLE-IL-60540_rb/","check listing")</f>
        <v>check listing</v>
      </c>
      <c r="AB2730" s="5" t="str">
        <f>HYPERLINK("https://propertylookup.dupagecounty.gov/Datalets/Datalet.aspx?UseSearch=no&amp;mode=sales&amp;pin=0727206038","sales record")</f>
        <v>sales record</v>
      </c>
      <c r="AC2730" t="s">
        <v>3</v>
      </c>
      <c r="AD2730">
        <v>41.750009</v>
      </c>
      <c r="AE2730">
        <v>-88.192457</v>
      </c>
      <c r="AF2730" s="5" t="str">
        <f>HYPERLINK("https://www.google.com/maps/search/?api=1&amp;query=41.750009,-88.192457","map")</f>
        <v>map</v>
      </c>
    </row>
    <row r="2731" spans="1:32">
      <c r="A2731" t="s">
        <v>2781</v>
      </c>
      <c r="B2731" t="s">
        <v>10314</v>
      </c>
      <c r="C2731" t="s">
        <v>15475</v>
      </c>
      <c r="D2731" t="s">
        <v>16206</v>
      </c>
      <c r="E2731" t="s">
        <v>16218</v>
      </c>
      <c r="F2731" t="s">
        <v>16220</v>
      </c>
      <c r="G2731" t="s">
        <v>16275</v>
      </c>
      <c r="H2731" t="s">
        <v>16276</v>
      </c>
      <c r="I2731" t="s">
        <v>16352</v>
      </c>
      <c r="J2731" t="s">
        <v>16386</v>
      </c>
      <c r="K2731">
        <v>0.32</v>
      </c>
      <c r="L2731">
        <v>13956</v>
      </c>
      <c r="M2731">
        <v>1978</v>
      </c>
      <c r="N2731" t="s">
        <v>16393</v>
      </c>
      <c r="O2731" s="4">
        <v>54056</v>
      </c>
      <c r="P2731" s="4">
        <v>92295</v>
      </c>
      <c r="Q2731" s="4">
        <v>146351</v>
      </c>
      <c r="R2731" s="4">
        <v>439053</v>
      </c>
      <c r="S2731" t="s">
        <v>19044</v>
      </c>
      <c r="T2731" s="6">
        <v>44712</v>
      </c>
      <c r="U2731" s="4">
        <v>430000</v>
      </c>
      <c r="V2731" t="s">
        <v>23739</v>
      </c>
      <c r="W2731" t="s">
        <v>25043</v>
      </c>
      <c r="X2731" t="s">
        <v>3</v>
      </c>
      <c r="AA2731" s="5" t="str">
        <f>HYPERLINK("https://www.zillow.com/homes/1223-LAKEWOOD-CIR-NAPERVILLE-IL-60540_rb/","check listing")</f>
        <v>check listing</v>
      </c>
      <c r="AB2731" s="5" t="str">
        <f>HYPERLINK("https://propertylookup.dupagecounty.gov/Datalets/Datalet.aspx?UseSearch=no&amp;mode=sales&amp;pin=0727201044","sales record")</f>
        <v>sales record</v>
      </c>
      <c r="AC2731" t="s">
        <v>3</v>
      </c>
      <c r="AD2731">
        <v>41.747897</v>
      </c>
      <c r="AE2731">
        <v>-88.19102599999999</v>
      </c>
      <c r="AF2731" s="5" t="str">
        <f>HYPERLINK("https://www.google.com/maps/search/?api=1&amp;query=41.747897,-88.191026","map")</f>
        <v>map</v>
      </c>
    </row>
    <row r="2732" spans="1:32">
      <c r="A2732" t="s">
        <v>2782</v>
      </c>
      <c r="B2732" t="s">
        <v>10315</v>
      </c>
      <c r="C2732" t="s">
        <v>15492</v>
      </c>
      <c r="D2732" t="s">
        <v>16206</v>
      </c>
      <c r="E2732" t="s">
        <v>16218</v>
      </c>
      <c r="F2732" t="s">
        <v>16220</v>
      </c>
      <c r="G2732" t="s">
        <v>16273</v>
      </c>
      <c r="H2732" t="s">
        <v>16254</v>
      </c>
      <c r="I2732" t="s">
        <v>16351</v>
      </c>
      <c r="J2732" t="s">
        <v>16386</v>
      </c>
      <c r="K2732">
        <v>0.319</v>
      </c>
      <c r="L2732">
        <v>13904</v>
      </c>
      <c r="M2732">
        <v>1451</v>
      </c>
      <c r="N2732" t="s">
        <v>16393</v>
      </c>
      <c r="O2732" s="4">
        <v>50396</v>
      </c>
      <c r="P2732" s="4">
        <v>121844</v>
      </c>
      <c r="Q2732" s="4">
        <v>172240</v>
      </c>
      <c r="R2732" s="4">
        <v>516720</v>
      </c>
      <c r="S2732" t="s">
        <v>19045</v>
      </c>
      <c r="T2732" s="6">
        <v>45037</v>
      </c>
      <c r="U2732" s="4">
        <v>415000</v>
      </c>
      <c r="V2732" t="s">
        <v>23739</v>
      </c>
      <c r="W2732" t="s">
        <v>25044</v>
      </c>
      <c r="X2732" t="s">
        <v>3</v>
      </c>
      <c r="AA2732" s="5" t="str">
        <f>HYPERLINK("https://www.zillow.com/homes/2056-MAPLEWOOD-CIR-NAPERVILLE-IL-605631981_rb/","check listing")</f>
        <v>check listing</v>
      </c>
      <c r="AB2732" s="5" t="str">
        <f>HYPERLINK("https://propertylookup.dupagecounty.gov/Datalets/Datalet.aspx?UseSearch=no&amp;mode=sales&amp;pin=0709411029","sales record")</f>
        <v>sales record</v>
      </c>
      <c r="AC2732" t="s">
        <v>3</v>
      </c>
      <c r="AD2732">
        <v>41.787176</v>
      </c>
      <c r="AE2732">
        <v>-88.20880200000001</v>
      </c>
      <c r="AF2732" s="5" t="str">
        <f>HYPERLINK("https://www.google.com/maps/search/?api=1&amp;query=41.787176,-88.208802","map")</f>
        <v>map</v>
      </c>
    </row>
    <row r="2733" spans="1:32">
      <c r="A2733" t="s">
        <v>2783</v>
      </c>
      <c r="B2733" t="s">
        <v>10316</v>
      </c>
      <c r="C2733" t="s">
        <v>15475</v>
      </c>
      <c r="D2733" t="s">
        <v>16206</v>
      </c>
      <c r="E2733" t="s">
        <v>16218</v>
      </c>
      <c r="F2733" t="s">
        <v>16220</v>
      </c>
      <c r="G2733" t="s">
        <v>16275</v>
      </c>
      <c r="H2733" t="s">
        <v>16276</v>
      </c>
      <c r="I2733" t="s">
        <v>16352</v>
      </c>
      <c r="J2733" t="s">
        <v>16386</v>
      </c>
      <c r="K2733">
        <v>0.319</v>
      </c>
      <c r="L2733">
        <v>13899</v>
      </c>
      <c r="M2733">
        <v>2348</v>
      </c>
      <c r="N2733" t="s">
        <v>16393</v>
      </c>
      <c r="O2733" s="4">
        <v>52555</v>
      </c>
      <c r="P2733" s="4">
        <v>135331</v>
      </c>
      <c r="Q2733" s="4">
        <v>187886</v>
      </c>
      <c r="R2733" s="4">
        <v>563658</v>
      </c>
      <c r="S2733" t="s">
        <v>19046</v>
      </c>
      <c r="T2733" s="6">
        <v>45057</v>
      </c>
      <c r="U2733" s="4">
        <v>490000</v>
      </c>
      <c r="V2733" t="s">
        <v>23739</v>
      </c>
      <c r="W2733" t="s">
        <v>25045</v>
      </c>
      <c r="X2733" t="s">
        <v>3</v>
      </c>
      <c r="AA2733" s="5" t="str">
        <f>HYPERLINK("https://www.zillow.com/homes/1220-SAMUEL-CT-NAPERVILLE-IL-60540_rb/","check listing")</f>
        <v>check listing</v>
      </c>
      <c r="AB2733" s="5" t="str">
        <f>HYPERLINK("https://propertylookup.dupagecounty.gov/Datalets/Datalet.aspx?UseSearch=no&amp;mode=sales&amp;pin=0727201064","sales record")</f>
        <v>sales record</v>
      </c>
      <c r="AC2733" t="s">
        <v>3</v>
      </c>
      <c r="AD2733">
        <v>41.747753</v>
      </c>
      <c r="AE2733">
        <v>-88.193741</v>
      </c>
      <c r="AF2733" s="5" t="str">
        <f>HYPERLINK("https://www.google.com/maps/search/?api=1&amp;query=41.747753,-88.193741","map")</f>
        <v>map</v>
      </c>
    </row>
    <row r="2734" spans="1:32">
      <c r="A2734" t="s">
        <v>2784</v>
      </c>
      <c r="B2734" t="s">
        <v>10317</v>
      </c>
      <c r="C2734" t="s">
        <v>15475</v>
      </c>
      <c r="D2734" t="s">
        <v>16206</v>
      </c>
      <c r="E2734" t="s">
        <v>16218</v>
      </c>
      <c r="F2734" t="s">
        <v>16220</v>
      </c>
      <c r="G2734" t="s">
        <v>16274</v>
      </c>
      <c r="H2734" t="s">
        <v>16269</v>
      </c>
      <c r="I2734" t="s">
        <v>16352</v>
      </c>
      <c r="J2734" t="s">
        <v>16386</v>
      </c>
      <c r="K2734">
        <v>0.318</v>
      </c>
      <c r="L2734">
        <v>13871</v>
      </c>
      <c r="M2734">
        <v>3232</v>
      </c>
      <c r="N2734" t="s">
        <v>16393</v>
      </c>
      <c r="O2734" s="4">
        <v>52128</v>
      </c>
      <c r="P2734" s="4">
        <v>141165</v>
      </c>
      <c r="Q2734" s="4">
        <v>193293</v>
      </c>
      <c r="R2734" s="4">
        <v>579879</v>
      </c>
      <c r="S2734" t="s">
        <v>19047</v>
      </c>
      <c r="T2734" s="6">
        <v>37257</v>
      </c>
      <c r="U2734" s="4">
        <v>280000</v>
      </c>
      <c r="V2734" t="s">
        <v>23739</v>
      </c>
      <c r="W2734" t="s">
        <v>25046</v>
      </c>
      <c r="X2734" t="s">
        <v>3</v>
      </c>
      <c r="AA2734" s="5" t="str">
        <f>HYPERLINK("https://www.zillow.com/homes/847-PLAINFIELDNAPER-NAPERVILLE-IL-60540_rb/","check listing")</f>
        <v>check listing</v>
      </c>
      <c r="AB2734" s="5" t="str">
        <f>HYPERLINK("https://propertylookup.dupagecounty.gov/Datalets/Datalet.aspx?UseSearch=no&amp;mode=sales&amp;pin=0723410097","sales record")</f>
        <v>sales record</v>
      </c>
      <c r="AC2734" t="s">
        <v>3</v>
      </c>
      <c r="AD2734">
        <v>41.756622</v>
      </c>
      <c r="AE2734">
        <v>-88.166791</v>
      </c>
      <c r="AF2734" s="5" t="str">
        <f>HYPERLINK("https://www.google.com/maps/search/?api=1&amp;query=41.756622,-88.166791","map")</f>
        <v>map</v>
      </c>
    </row>
    <row r="2735" spans="1:32">
      <c r="A2735" t="s">
        <v>2785</v>
      </c>
      <c r="B2735" t="s">
        <v>10318</v>
      </c>
      <c r="C2735" t="s">
        <v>15475</v>
      </c>
      <c r="D2735" t="s">
        <v>16206</v>
      </c>
      <c r="E2735" t="s">
        <v>16218</v>
      </c>
      <c r="F2735" t="s">
        <v>16220</v>
      </c>
      <c r="G2735" t="s">
        <v>16274</v>
      </c>
      <c r="H2735" t="s">
        <v>16269</v>
      </c>
      <c r="I2735" t="s">
        <v>16352</v>
      </c>
      <c r="J2735" t="s">
        <v>16386</v>
      </c>
      <c r="K2735">
        <v>0.315</v>
      </c>
      <c r="L2735">
        <v>13729</v>
      </c>
      <c r="M2735">
        <v>2770</v>
      </c>
      <c r="N2735" t="s">
        <v>16393</v>
      </c>
      <c r="O2735" s="4">
        <v>55106</v>
      </c>
      <c r="P2735" s="4">
        <v>132682</v>
      </c>
      <c r="Q2735" s="4">
        <v>187788</v>
      </c>
      <c r="R2735" s="4">
        <v>563364</v>
      </c>
      <c r="S2735" t="s">
        <v>19048</v>
      </c>
      <c r="T2735" s="6">
        <v>37653</v>
      </c>
      <c r="U2735" s="4">
        <v>282000</v>
      </c>
      <c r="V2735" t="s">
        <v>23739</v>
      </c>
      <c r="W2735" t="s">
        <v>25047</v>
      </c>
      <c r="X2735" t="s">
        <v>3</v>
      </c>
      <c r="AA2735" s="5" t="str">
        <f>HYPERLINK("https://www.zillow.com/homes/1233-ASHTON-LN-NAPERVILLE-IL-60540_rb/","check listing")</f>
        <v>check listing</v>
      </c>
      <c r="AB2735" s="5" t="str">
        <f>HYPERLINK("https://propertylookup.dupagecounty.gov/Datalets/Datalet.aspx?UseSearch=no&amp;mode=sales&amp;pin=0726205011","sales record")</f>
        <v>sales record</v>
      </c>
      <c r="AC2735" t="s">
        <v>3</v>
      </c>
      <c r="AD2735">
        <v>41.753503</v>
      </c>
      <c r="AE2735">
        <v>-88.169721</v>
      </c>
      <c r="AF2735" s="5" t="str">
        <f>HYPERLINK("https://www.google.com/maps/search/?api=1&amp;query=41.753503,-88.169721","map")</f>
        <v>map</v>
      </c>
    </row>
    <row r="2736" spans="1:32">
      <c r="A2736" t="s">
        <v>2786</v>
      </c>
      <c r="B2736" t="s">
        <v>10319</v>
      </c>
      <c r="C2736" t="s">
        <v>15475</v>
      </c>
      <c r="D2736" t="s">
        <v>16206</v>
      </c>
      <c r="E2736" t="s">
        <v>16218</v>
      </c>
      <c r="F2736" t="s">
        <v>16220</v>
      </c>
      <c r="G2736" t="s">
        <v>16274</v>
      </c>
      <c r="H2736" t="s">
        <v>16269</v>
      </c>
      <c r="I2736" t="s">
        <v>16352</v>
      </c>
      <c r="J2736" t="s">
        <v>16386</v>
      </c>
      <c r="K2736">
        <v>0.315</v>
      </c>
      <c r="L2736">
        <v>13720</v>
      </c>
      <c r="M2736">
        <v>2573</v>
      </c>
      <c r="N2736" t="s">
        <v>16393</v>
      </c>
      <c r="O2736" s="4">
        <v>52128</v>
      </c>
      <c r="P2736" s="4">
        <v>146205</v>
      </c>
      <c r="Q2736" s="4">
        <v>198333</v>
      </c>
      <c r="R2736" s="4">
        <v>594999</v>
      </c>
      <c r="S2736" t="s">
        <v>19049</v>
      </c>
      <c r="T2736" s="6">
        <v>37773</v>
      </c>
      <c r="U2736" s="4">
        <v>305000</v>
      </c>
      <c r="V2736" t="s">
        <v>23739</v>
      </c>
      <c r="W2736" t="s">
        <v>25048</v>
      </c>
      <c r="X2736" t="s">
        <v>3</v>
      </c>
      <c r="AA2736" s="5" t="str">
        <f>HYPERLINK("https://www.zillow.com/homes/1151-ARDMORE-DR-NAPERVILLE-IL-60540_rb/","check listing")</f>
        <v>check listing</v>
      </c>
      <c r="AB2736" s="5" t="str">
        <f>HYPERLINK("https://propertylookup.dupagecounty.gov/Datalets/Datalet.aspx?UseSearch=no&amp;mode=sales&amp;pin=0723410091","sales record")</f>
        <v>sales record</v>
      </c>
      <c r="AC2736" t="s">
        <v>3</v>
      </c>
      <c r="AD2736">
        <v>41.755338</v>
      </c>
      <c r="AE2736">
        <v>-88.16727899999999</v>
      </c>
      <c r="AF2736" s="5" t="str">
        <f>HYPERLINK("https://www.google.com/maps/search/?api=1&amp;query=41.755338,-88.167279","map")</f>
        <v>map</v>
      </c>
    </row>
    <row r="2737" spans="1:32">
      <c r="A2737" t="s">
        <v>2787</v>
      </c>
      <c r="B2737" t="s">
        <v>10320</v>
      </c>
      <c r="C2737" t="s">
        <v>15475</v>
      </c>
      <c r="D2737" t="s">
        <v>16206</v>
      </c>
      <c r="E2737" t="s">
        <v>16218</v>
      </c>
      <c r="F2737" t="s">
        <v>16220</v>
      </c>
      <c r="G2737" t="s">
        <v>16274</v>
      </c>
      <c r="H2737" t="s">
        <v>16269</v>
      </c>
      <c r="I2737" t="s">
        <v>16352</v>
      </c>
      <c r="J2737" t="s">
        <v>16386</v>
      </c>
      <c r="K2737">
        <v>0.315</v>
      </c>
      <c r="L2737">
        <v>13719</v>
      </c>
      <c r="M2737">
        <v>2805</v>
      </c>
      <c r="N2737" t="s">
        <v>16393</v>
      </c>
      <c r="O2737" s="4">
        <v>58060</v>
      </c>
      <c r="P2737" s="4">
        <v>164745</v>
      </c>
      <c r="Q2737" s="4">
        <v>222805</v>
      </c>
      <c r="R2737" s="4">
        <v>668415</v>
      </c>
      <c r="S2737" t="s">
        <v>19050</v>
      </c>
      <c r="T2737" s="6">
        <v>43922</v>
      </c>
      <c r="U2737" s="4">
        <v>534000</v>
      </c>
      <c r="V2737" t="s">
        <v>23739</v>
      </c>
      <c r="W2737" t="s">
        <v>25049</v>
      </c>
      <c r="X2737" t="s">
        <v>3</v>
      </c>
      <c r="AA2737" s="5" t="str">
        <f>HYPERLINK("https://www.zillow.com/homes/1400-GREENLEE-CT-NAPERVILLE-IL-60540_rb/","check listing")</f>
        <v>check listing</v>
      </c>
      <c r="AB2737" s="5" t="str">
        <f>HYPERLINK("https://propertylookup.dupagecounty.gov/Datalets/Datalet.aspx?UseSearch=no&amp;mode=sales&amp;pin=0723305013","sales record")</f>
        <v>sales record</v>
      </c>
      <c r="AC2737" t="s">
        <v>3</v>
      </c>
      <c r="AD2737">
        <v>41.75982</v>
      </c>
      <c r="AE2737">
        <v>-88.17774300000001</v>
      </c>
      <c r="AF2737" s="5" t="str">
        <f>HYPERLINK("https://www.google.com/maps/search/?api=1&amp;query=41.75982,-88.177743","map")</f>
        <v>map</v>
      </c>
    </row>
    <row r="2738" spans="1:32">
      <c r="A2738" t="s">
        <v>2788</v>
      </c>
      <c r="B2738" t="s">
        <v>10321</v>
      </c>
      <c r="C2738" t="s">
        <v>15493</v>
      </c>
      <c r="D2738" t="s">
        <v>16206</v>
      </c>
      <c r="E2738" t="s">
        <v>16218</v>
      </c>
      <c r="F2738" t="s">
        <v>16220</v>
      </c>
      <c r="G2738" t="s">
        <v>16274</v>
      </c>
      <c r="H2738" t="s">
        <v>16269</v>
      </c>
      <c r="I2738" t="s">
        <v>16352</v>
      </c>
      <c r="J2738" t="s">
        <v>16386</v>
      </c>
      <c r="K2738">
        <v>0.314</v>
      </c>
      <c r="L2738">
        <v>13658</v>
      </c>
      <c r="M2738">
        <v>2553</v>
      </c>
      <c r="N2738" t="s">
        <v>16393</v>
      </c>
      <c r="O2738" s="4">
        <v>58060</v>
      </c>
      <c r="P2738" s="4">
        <v>174985</v>
      </c>
      <c r="Q2738" s="4">
        <v>233045</v>
      </c>
      <c r="R2738" s="4">
        <v>699135</v>
      </c>
      <c r="S2738" t="s">
        <v>19051</v>
      </c>
      <c r="T2738" s="6">
        <v>45393</v>
      </c>
      <c r="U2738" s="4">
        <v>700000</v>
      </c>
      <c r="V2738" t="s">
        <v>23739</v>
      </c>
      <c r="W2738" t="s">
        <v>25050</v>
      </c>
      <c r="X2738" t="s">
        <v>3</v>
      </c>
      <c r="AA2738" s="5" t="str">
        <f>HYPERLINK("https://www.zillow.com/homes/1788-CHADWICKE-CIR-NAPERVILLE-IL-605400399_rb/","check listing")</f>
        <v>check listing</v>
      </c>
      <c r="AB2738" s="5" t="str">
        <f>HYPERLINK("https://propertylookup.dupagecounty.gov/Datalets/Datalet.aspx?UseSearch=no&amp;mode=sales&amp;pin=0723310010","sales record")</f>
        <v>sales record</v>
      </c>
      <c r="AC2738" t="s">
        <v>3</v>
      </c>
      <c r="AD2738">
        <v>41.755515</v>
      </c>
      <c r="AE2738">
        <v>-88.183498</v>
      </c>
      <c r="AF2738" s="5" t="str">
        <f>HYPERLINK("https://www.google.com/maps/search/?api=1&amp;query=41.755515,-88.183498","map")</f>
        <v>map</v>
      </c>
    </row>
    <row r="2739" spans="1:32">
      <c r="A2739" t="s">
        <v>2789</v>
      </c>
      <c r="B2739" t="s">
        <v>10322</v>
      </c>
      <c r="C2739" t="s">
        <v>15478</v>
      </c>
      <c r="D2739" t="s">
        <v>16206</v>
      </c>
      <c r="E2739" t="s">
        <v>16218</v>
      </c>
      <c r="F2739" t="s">
        <v>16220</v>
      </c>
      <c r="G2739" t="s">
        <v>16274</v>
      </c>
      <c r="H2739" t="s">
        <v>16269</v>
      </c>
      <c r="I2739" t="s">
        <v>16352</v>
      </c>
      <c r="J2739" t="s">
        <v>16386</v>
      </c>
      <c r="K2739">
        <v>0.313</v>
      </c>
      <c r="L2739">
        <v>13652</v>
      </c>
      <c r="M2739">
        <v>2769</v>
      </c>
      <c r="N2739" t="s">
        <v>16393</v>
      </c>
      <c r="O2739" s="4">
        <v>60269</v>
      </c>
      <c r="P2739" s="4">
        <v>144485</v>
      </c>
      <c r="Q2739" s="4">
        <v>204754</v>
      </c>
      <c r="R2739" s="4">
        <v>614262</v>
      </c>
      <c r="S2739" t="s">
        <v>19052</v>
      </c>
      <c r="T2739" s="6">
        <v>36130</v>
      </c>
      <c r="U2739" s="4">
        <v>223000</v>
      </c>
      <c r="X2739" t="s">
        <v>3</v>
      </c>
      <c r="AA2739" s="5" t="str">
        <f>HYPERLINK("https://www.zillow.com/homes/1586-HINTERLONG-LN-NAPERVILLE-IL-60563_rb/","check listing")</f>
        <v>check listing</v>
      </c>
      <c r="AB2739" s="5" t="str">
        <f>HYPERLINK("https://propertylookup.dupagecounty.gov/Datalets/Datalet.aspx?UseSearch=no&amp;mode=sales&amp;pin=0715206015","sales record")</f>
        <v>sales record</v>
      </c>
      <c r="AC2739" t="s">
        <v>3</v>
      </c>
      <c r="AD2739">
        <v>41.780625</v>
      </c>
      <c r="AE2739">
        <v>-88.189589</v>
      </c>
      <c r="AF2739" s="5" t="str">
        <f>HYPERLINK("https://www.google.com/maps/search/?api=1&amp;query=41.780625,-88.189589","map")</f>
        <v>map</v>
      </c>
    </row>
    <row r="2740" spans="1:32">
      <c r="A2740" t="s">
        <v>2790</v>
      </c>
      <c r="B2740" t="s">
        <v>10323</v>
      </c>
      <c r="C2740" t="s">
        <v>15478</v>
      </c>
      <c r="D2740" t="s">
        <v>16206</v>
      </c>
      <c r="E2740" t="s">
        <v>16218</v>
      </c>
      <c r="F2740" t="s">
        <v>16220</v>
      </c>
      <c r="G2740" t="s">
        <v>16273</v>
      </c>
      <c r="H2740" t="s">
        <v>16254</v>
      </c>
      <c r="I2740" t="s">
        <v>16351</v>
      </c>
      <c r="J2740" t="s">
        <v>16386</v>
      </c>
      <c r="K2740">
        <v>0.313</v>
      </c>
      <c r="L2740">
        <v>13648</v>
      </c>
      <c r="M2740">
        <v>1814</v>
      </c>
      <c r="N2740" t="s">
        <v>16393</v>
      </c>
      <c r="O2740" s="4">
        <v>52800</v>
      </c>
      <c r="P2740" s="4">
        <v>95969</v>
      </c>
      <c r="Q2740" s="4">
        <v>148769</v>
      </c>
      <c r="R2740" s="4">
        <v>446307</v>
      </c>
      <c r="S2740" t="s">
        <v>19053</v>
      </c>
      <c r="T2740" s="6">
        <v>32021</v>
      </c>
      <c r="U2740" s="4">
        <v>132000</v>
      </c>
      <c r="X2740" t="s">
        <v>3</v>
      </c>
      <c r="AA2740" s="5" t="str">
        <f>HYPERLINK("https://www.zillow.com/homes/2060-MAPLEWOOD-CIR-NAPERVILLE-IL-60563_rb/","check listing")</f>
        <v>check listing</v>
      </c>
      <c r="AB2740" s="5" t="str">
        <f>HYPERLINK("https://propertylookup.dupagecounty.gov/Datalets/Datalet.aspx?UseSearch=no&amp;mode=sales&amp;pin=0709411028","sales record")</f>
        <v>sales record</v>
      </c>
      <c r="AC2740" t="s">
        <v>3</v>
      </c>
      <c r="AD2740">
        <v>41.787197</v>
      </c>
      <c r="AE2740">
        <v>-88.20910600000001</v>
      </c>
      <c r="AF2740" s="5" t="str">
        <f>HYPERLINK("https://www.google.com/maps/search/?api=1&amp;query=41.787197,-88.209106","map")</f>
        <v>map</v>
      </c>
    </row>
    <row r="2741" spans="1:32">
      <c r="A2741" t="s">
        <v>2791</v>
      </c>
      <c r="B2741" t="s">
        <v>10324</v>
      </c>
      <c r="C2741" t="s">
        <v>15475</v>
      </c>
      <c r="D2741" t="s">
        <v>16206</v>
      </c>
      <c r="E2741" t="s">
        <v>16218</v>
      </c>
      <c r="F2741" t="s">
        <v>16220</v>
      </c>
      <c r="G2741" t="s">
        <v>16275</v>
      </c>
      <c r="H2741" t="s">
        <v>16276</v>
      </c>
      <c r="I2741" t="s">
        <v>16352</v>
      </c>
      <c r="J2741" t="s">
        <v>16386</v>
      </c>
      <c r="K2741">
        <v>0.312</v>
      </c>
      <c r="L2741">
        <v>13590</v>
      </c>
      <c r="M2741">
        <v>1634</v>
      </c>
      <c r="N2741" t="s">
        <v>16393</v>
      </c>
      <c r="O2741" s="4">
        <v>51103</v>
      </c>
      <c r="P2741" s="4">
        <v>99521</v>
      </c>
      <c r="Q2741" s="4">
        <v>150624</v>
      </c>
      <c r="R2741" s="4">
        <v>451872</v>
      </c>
      <c r="S2741" t="s">
        <v>19054</v>
      </c>
      <c r="T2741" s="6">
        <v>34578</v>
      </c>
      <c r="U2741" s="4">
        <v>149822</v>
      </c>
      <c r="X2741" t="s">
        <v>3</v>
      </c>
      <c r="AA2741" s="5" t="str">
        <f>HYPERLINK("https://www.zillow.com/homes/2304-JONQUIL-CT-NAPERVILLE-IL-60540_rb/","check listing")</f>
        <v>check listing</v>
      </c>
      <c r="AB2741" s="5" t="str">
        <f>HYPERLINK("https://propertylookup.dupagecounty.gov/Datalets/Datalet.aspx?UseSearch=no&amp;mode=sales&amp;pin=0722407016","sales record")</f>
        <v>sales record</v>
      </c>
      <c r="AC2741" t="s">
        <v>3</v>
      </c>
      <c r="AD2741">
        <v>41.757847</v>
      </c>
      <c r="AE2741">
        <v>-88.193157</v>
      </c>
      <c r="AF2741" s="5" t="str">
        <f>HYPERLINK("https://www.google.com/maps/search/?api=1&amp;query=41.757847,-88.193157","map")</f>
        <v>map</v>
      </c>
    </row>
    <row r="2742" spans="1:32">
      <c r="A2742" t="s">
        <v>2792</v>
      </c>
      <c r="B2742" t="s">
        <v>10325</v>
      </c>
      <c r="C2742" t="s">
        <v>15478</v>
      </c>
      <c r="D2742" t="s">
        <v>16206</v>
      </c>
      <c r="E2742" t="s">
        <v>16218</v>
      </c>
      <c r="F2742" t="s">
        <v>16220</v>
      </c>
      <c r="G2742" t="s">
        <v>16273</v>
      </c>
      <c r="H2742" t="s">
        <v>16254</v>
      </c>
      <c r="I2742" t="s">
        <v>16351</v>
      </c>
      <c r="J2742" t="s">
        <v>16386</v>
      </c>
      <c r="K2742">
        <v>0.312</v>
      </c>
      <c r="L2742">
        <v>13585</v>
      </c>
      <c r="M2742">
        <v>2309</v>
      </c>
      <c r="N2742" t="s">
        <v>16393</v>
      </c>
      <c r="O2742" s="4">
        <v>55472</v>
      </c>
      <c r="P2742" s="4">
        <v>146584</v>
      </c>
      <c r="Q2742" s="4">
        <v>202056</v>
      </c>
      <c r="R2742" s="4">
        <v>606168</v>
      </c>
      <c r="S2742" t="s">
        <v>19055</v>
      </c>
      <c r="T2742" s="6">
        <v>39814</v>
      </c>
      <c r="U2742" s="4">
        <v>358000</v>
      </c>
      <c r="V2742" t="s">
        <v>23739</v>
      </c>
      <c r="W2742" t="s">
        <v>25051</v>
      </c>
      <c r="X2742" t="s">
        <v>3</v>
      </c>
      <c r="AA2742" s="5" t="str">
        <f>HYPERLINK("https://www.zillow.com/homes/1024-PRAIRIE-VIEW-CT-NAPERVILLE-IL-60563_rb/","check listing")</f>
        <v>check listing</v>
      </c>
      <c r="AB2742" s="5" t="str">
        <f>HYPERLINK("https://propertylookup.dupagecounty.gov/Datalets/Datalet.aspx?UseSearch=no&amp;mode=sales&amp;pin=0709410026","sales record")</f>
        <v>sales record</v>
      </c>
      <c r="AC2742" t="s">
        <v>3</v>
      </c>
      <c r="AD2742">
        <v>41.787113</v>
      </c>
      <c r="AE2742">
        <v>-88.213112</v>
      </c>
      <c r="AF2742" s="5" t="str">
        <f>HYPERLINK("https://www.google.com/maps/search/?api=1&amp;query=41.787113,-88.213112","map")</f>
        <v>map</v>
      </c>
    </row>
    <row r="2743" spans="1:32">
      <c r="A2743" t="s">
        <v>2793</v>
      </c>
      <c r="B2743" t="s">
        <v>10326</v>
      </c>
      <c r="C2743" t="s">
        <v>15475</v>
      </c>
      <c r="D2743" t="s">
        <v>16206</v>
      </c>
      <c r="E2743" t="s">
        <v>16218</v>
      </c>
      <c r="F2743" t="s">
        <v>16220</v>
      </c>
      <c r="G2743" t="s">
        <v>16274</v>
      </c>
      <c r="H2743" t="s">
        <v>16269</v>
      </c>
      <c r="I2743" t="s">
        <v>16352</v>
      </c>
      <c r="J2743" t="s">
        <v>16386</v>
      </c>
      <c r="K2743">
        <v>0.312</v>
      </c>
      <c r="L2743">
        <v>13570</v>
      </c>
      <c r="M2743">
        <v>2309</v>
      </c>
      <c r="N2743" t="s">
        <v>16393</v>
      </c>
      <c r="O2743" s="4">
        <v>52128</v>
      </c>
      <c r="P2743" s="4">
        <v>142557</v>
      </c>
      <c r="Q2743" s="4">
        <v>194685</v>
      </c>
      <c r="R2743" s="4">
        <v>584055</v>
      </c>
      <c r="S2743" t="s">
        <v>19056</v>
      </c>
      <c r="T2743" s="6">
        <v>43313</v>
      </c>
      <c r="U2743" s="4">
        <v>392500</v>
      </c>
      <c r="V2743" t="s">
        <v>23739</v>
      </c>
      <c r="W2743" t="s">
        <v>19056</v>
      </c>
      <c r="X2743" t="s">
        <v>3</v>
      </c>
      <c r="AA2743" s="5" t="str">
        <f>HYPERLINK("https://www.zillow.com/homes/944-ELM-ST-NAPERVILLE-IL-60540_rb/","check listing")</f>
        <v>check listing</v>
      </c>
      <c r="AB2743" s="5" t="str">
        <f>HYPERLINK("https://propertylookup.dupagecounty.gov/Datalets/Datalet.aspx?UseSearch=no&amp;mode=sales&amp;pin=0726207012","sales record")</f>
        <v>sales record</v>
      </c>
      <c r="AC2743" t="s">
        <v>3</v>
      </c>
      <c r="AD2743">
        <v>41.752167</v>
      </c>
      <c r="AE2743">
        <v>-88.172352</v>
      </c>
      <c r="AF2743" s="5" t="str">
        <f>HYPERLINK("https://www.google.com/maps/search/?api=1&amp;query=41.752167,-88.172352","map")</f>
        <v>map</v>
      </c>
    </row>
    <row r="2744" spans="1:32">
      <c r="A2744" t="s">
        <v>2794</v>
      </c>
      <c r="B2744" t="s">
        <v>10327</v>
      </c>
      <c r="C2744" t="s">
        <v>15494</v>
      </c>
      <c r="D2744" t="s">
        <v>16206</v>
      </c>
      <c r="E2744" t="s">
        <v>16218</v>
      </c>
      <c r="F2744" t="s">
        <v>16220</v>
      </c>
      <c r="G2744" t="s">
        <v>16274</v>
      </c>
      <c r="H2744" t="s">
        <v>16269</v>
      </c>
      <c r="I2744" t="s">
        <v>16352</v>
      </c>
      <c r="J2744" t="s">
        <v>16386</v>
      </c>
      <c r="K2744">
        <v>0.31</v>
      </c>
      <c r="L2744">
        <v>13500</v>
      </c>
      <c r="M2744">
        <v>2967</v>
      </c>
      <c r="N2744" t="s">
        <v>16393</v>
      </c>
      <c r="O2744" s="4">
        <v>58060</v>
      </c>
      <c r="P2744" s="4">
        <v>171971</v>
      </c>
      <c r="Q2744" s="4">
        <v>230031</v>
      </c>
      <c r="R2744" s="4">
        <v>690093</v>
      </c>
      <c r="S2744" t="s">
        <v>19057</v>
      </c>
      <c r="T2744" s="6">
        <v>43221</v>
      </c>
      <c r="U2744" s="4">
        <v>504000</v>
      </c>
      <c r="V2744" t="s">
        <v>23739</v>
      </c>
      <c r="W2744" t="s">
        <v>25052</v>
      </c>
      <c r="X2744" t="s">
        <v>3</v>
      </c>
      <c r="AA2744" s="5" t="str">
        <f>HYPERLINK("https://www.zillow.com/homes/1401-AMBLESIDE-CIR-NAPERVILLE-IL-605400317_rb/","check listing")</f>
        <v>check listing</v>
      </c>
      <c r="AB2744" s="5" t="str">
        <f>HYPERLINK("https://propertylookup.dupagecounty.gov/Datalets/Datalet.aspx?UseSearch=no&amp;mode=sales&amp;pin=0723302002","sales record")</f>
        <v>sales record</v>
      </c>
      <c r="AC2744" t="s">
        <v>3</v>
      </c>
      <c r="AD2744">
        <v>41.760514</v>
      </c>
      <c r="AE2744">
        <v>-88.180633</v>
      </c>
      <c r="AF2744" s="5" t="str">
        <f>HYPERLINK("https://www.google.com/maps/search/?api=1&amp;query=41.760514,-88.180633","map")</f>
        <v>map</v>
      </c>
    </row>
    <row r="2745" spans="1:32">
      <c r="A2745" t="s">
        <v>2795</v>
      </c>
      <c r="B2745" t="s">
        <v>10328</v>
      </c>
      <c r="C2745" t="s">
        <v>15475</v>
      </c>
      <c r="D2745" t="s">
        <v>16206</v>
      </c>
      <c r="E2745" t="s">
        <v>16218</v>
      </c>
      <c r="F2745" t="s">
        <v>16220</v>
      </c>
      <c r="G2745" t="s">
        <v>16274</v>
      </c>
      <c r="H2745" t="s">
        <v>16269</v>
      </c>
      <c r="I2745" t="s">
        <v>16352</v>
      </c>
      <c r="J2745" t="s">
        <v>16386</v>
      </c>
      <c r="K2745">
        <v>0.31</v>
      </c>
      <c r="L2745">
        <v>13495</v>
      </c>
      <c r="M2745">
        <v>2143</v>
      </c>
      <c r="N2745" t="s">
        <v>16393</v>
      </c>
      <c r="O2745" s="4">
        <v>48674</v>
      </c>
      <c r="P2745" s="4">
        <v>138724</v>
      </c>
      <c r="Q2745" s="4">
        <v>187398</v>
      </c>
      <c r="R2745" s="4">
        <v>562194</v>
      </c>
      <c r="S2745" t="s">
        <v>19058</v>
      </c>
      <c r="T2745" s="6">
        <v>45099</v>
      </c>
      <c r="U2745" s="4">
        <v>570000</v>
      </c>
      <c r="V2745" t="s">
        <v>23739</v>
      </c>
      <c r="W2745" t="s">
        <v>25053</v>
      </c>
      <c r="X2745" t="s">
        <v>3</v>
      </c>
      <c r="AA2745" s="5" t="str">
        <f>HYPERLINK("https://www.zillow.com/homes/596-OAKHURST-DR-NAPERVILLE-IL-60540_rb/","check listing")</f>
        <v>check listing</v>
      </c>
      <c r="AB2745" s="5" t="str">
        <f>HYPERLINK("https://propertylookup.dupagecounty.gov/Datalets/Datalet.aspx?UseSearch=no&amp;mode=sales&amp;pin=0723305029","sales record")</f>
        <v>sales record</v>
      </c>
      <c r="AC2745" t="s">
        <v>3</v>
      </c>
      <c r="AD2745">
        <v>41.761824</v>
      </c>
      <c r="AE2745">
        <v>-88.178055</v>
      </c>
      <c r="AF2745" s="5" t="str">
        <f>HYPERLINK("https://www.google.com/maps/search/?api=1&amp;query=41.761824,-88.178055","map")</f>
        <v>map</v>
      </c>
    </row>
    <row r="2746" spans="1:32">
      <c r="A2746" t="s">
        <v>2796</v>
      </c>
      <c r="B2746" t="s">
        <v>10329</v>
      </c>
      <c r="C2746" t="s">
        <v>15492</v>
      </c>
      <c r="D2746" t="s">
        <v>16206</v>
      </c>
      <c r="E2746" t="s">
        <v>16218</v>
      </c>
      <c r="F2746" t="s">
        <v>16220</v>
      </c>
      <c r="G2746" t="s">
        <v>16273</v>
      </c>
      <c r="H2746" t="s">
        <v>16254</v>
      </c>
      <c r="I2746" t="s">
        <v>16351</v>
      </c>
      <c r="J2746" t="s">
        <v>16386</v>
      </c>
      <c r="K2746">
        <v>0.309</v>
      </c>
      <c r="L2746">
        <v>13470</v>
      </c>
      <c r="M2746">
        <v>1846</v>
      </c>
      <c r="N2746" t="s">
        <v>16393</v>
      </c>
      <c r="O2746" s="4">
        <v>50396</v>
      </c>
      <c r="P2746" s="4">
        <v>116681</v>
      </c>
      <c r="Q2746" s="4">
        <v>167077</v>
      </c>
      <c r="R2746" s="4">
        <v>501231</v>
      </c>
      <c r="S2746" t="s">
        <v>19059</v>
      </c>
      <c r="T2746" s="6">
        <v>44682</v>
      </c>
      <c r="U2746" s="4">
        <v>517500</v>
      </c>
      <c r="V2746" t="s">
        <v>23739</v>
      </c>
      <c r="W2746" t="s">
        <v>25054</v>
      </c>
      <c r="X2746" t="s">
        <v>3</v>
      </c>
      <c r="AA2746" s="5" t="str">
        <f>HYPERLINK("https://www.zillow.com/homes/2036-MAPLEWOOD-CIR-NAPERVILLE-IL-605631981_rb/","check listing")</f>
        <v>check listing</v>
      </c>
      <c r="AB2746" s="5" t="str">
        <f>HYPERLINK("https://propertylookup.dupagecounty.gov/Datalets/Datalet.aspx?UseSearch=no&amp;mode=sales&amp;pin=0709411034","sales record")</f>
        <v>sales record</v>
      </c>
      <c r="AC2746" t="s">
        <v>3</v>
      </c>
      <c r="AD2746">
        <v>41.785921</v>
      </c>
      <c r="AE2746">
        <v>-88.208927</v>
      </c>
      <c r="AF2746" s="5" t="str">
        <f>HYPERLINK("https://www.google.com/maps/search/?api=1&amp;query=41.785921,-88.208927","map")</f>
        <v>map</v>
      </c>
    </row>
    <row r="2747" spans="1:32">
      <c r="A2747" t="s">
        <v>2797</v>
      </c>
      <c r="B2747" t="s">
        <v>10330</v>
      </c>
      <c r="C2747" t="s">
        <v>15495</v>
      </c>
      <c r="D2747" t="s">
        <v>16206</v>
      </c>
      <c r="E2747" t="s">
        <v>16218</v>
      </c>
      <c r="F2747" t="s">
        <v>16220</v>
      </c>
      <c r="G2747" t="s">
        <v>16275</v>
      </c>
      <c r="H2747" t="s">
        <v>16276</v>
      </c>
      <c r="I2747" t="s">
        <v>16352</v>
      </c>
      <c r="J2747" t="s">
        <v>16386</v>
      </c>
      <c r="K2747">
        <v>0.307</v>
      </c>
      <c r="L2747">
        <v>13359</v>
      </c>
      <c r="M2747">
        <v>2308</v>
      </c>
      <c r="N2747" t="s">
        <v>16393</v>
      </c>
      <c r="O2747" s="4">
        <v>52616</v>
      </c>
      <c r="P2747" s="4">
        <v>130352</v>
      </c>
      <c r="Q2747" s="4">
        <v>182968</v>
      </c>
      <c r="R2747" s="4">
        <v>548904</v>
      </c>
      <c r="S2747" t="s">
        <v>19060</v>
      </c>
      <c r="T2747" s="6">
        <v>44317</v>
      </c>
      <c r="U2747" s="4">
        <v>430000</v>
      </c>
      <c r="V2747" t="s">
        <v>23739</v>
      </c>
      <c r="W2747" t="s">
        <v>19060</v>
      </c>
      <c r="X2747" t="s">
        <v>3</v>
      </c>
      <c r="AA2747" s="5" t="str">
        <f>HYPERLINK("https://www.zillow.com/homes/703-WOODEWIND-DR-NAPERVILLE-IL-605634001_rb/","check listing")</f>
        <v>check listing</v>
      </c>
      <c r="AB2747" s="5" t="str">
        <f>HYPERLINK("https://propertylookup.dupagecounty.gov/Datalets/Datalet.aspx?UseSearch=no&amp;mode=sales&amp;pin=0716106015","sales record")</f>
        <v>sales record</v>
      </c>
      <c r="AC2747" t="s">
        <v>3</v>
      </c>
      <c r="AD2747">
        <v>41.782151</v>
      </c>
      <c r="AE2747">
        <v>-88.22107800000001</v>
      </c>
      <c r="AF2747" s="5" t="str">
        <f>HYPERLINK("https://www.google.com/maps/search/?api=1&amp;query=41.782151,-88.221078","map")</f>
        <v>map</v>
      </c>
    </row>
    <row r="2748" spans="1:32">
      <c r="A2748" t="s">
        <v>2798</v>
      </c>
      <c r="B2748" t="s">
        <v>10331</v>
      </c>
      <c r="C2748" t="s">
        <v>15478</v>
      </c>
      <c r="D2748" t="s">
        <v>16206</v>
      </c>
      <c r="E2748" t="s">
        <v>16218</v>
      </c>
      <c r="F2748" t="s">
        <v>16220</v>
      </c>
      <c r="G2748" t="s">
        <v>16273</v>
      </c>
      <c r="H2748" t="s">
        <v>16254</v>
      </c>
      <c r="I2748" t="s">
        <v>16351</v>
      </c>
      <c r="J2748" t="s">
        <v>16386</v>
      </c>
      <c r="K2748">
        <v>0.306</v>
      </c>
      <c r="L2748">
        <v>13330</v>
      </c>
      <c r="M2748">
        <v>2309</v>
      </c>
      <c r="N2748" t="s">
        <v>16393</v>
      </c>
      <c r="O2748" s="4">
        <v>55472</v>
      </c>
      <c r="P2748" s="4">
        <v>123456</v>
      </c>
      <c r="Q2748" s="4">
        <v>178928</v>
      </c>
      <c r="R2748" s="4">
        <v>536784</v>
      </c>
      <c r="S2748" t="s">
        <v>19061</v>
      </c>
      <c r="T2748" s="6">
        <v>32356</v>
      </c>
      <c r="U2748" s="4">
        <v>37500</v>
      </c>
      <c r="X2748" t="s">
        <v>3</v>
      </c>
      <c r="AA2748" s="5" t="str">
        <f>HYPERLINK("https://www.zillow.com/homes/1108-BURKE-CT-NAPERVILLE-IL-60563_rb/","check listing")</f>
        <v>check listing</v>
      </c>
      <c r="AB2748" s="5" t="str">
        <f>HYPERLINK("https://propertylookup.dupagecounty.gov/Datalets/Datalet.aspx?UseSearch=no&amp;mode=sales&amp;pin=0709304018","sales record")</f>
        <v>sales record</v>
      </c>
      <c r="AC2748" t="s">
        <v>3</v>
      </c>
      <c r="AD2748">
        <v>41.787538</v>
      </c>
      <c r="AE2748">
        <v>-88.21576</v>
      </c>
      <c r="AF2748" s="5" t="str">
        <f>HYPERLINK("https://www.google.com/maps/search/?api=1&amp;query=41.787538,-88.21576","map")</f>
        <v>map</v>
      </c>
    </row>
    <row r="2749" spans="1:32">
      <c r="A2749" t="s">
        <v>2799</v>
      </c>
      <c r="B2749" t="s">
        <v>10332</v>
      </c>
      <c r="C2749" t="s">
        <v>15475</v>
      </c>
      <c r="D2749" t="s">
        <v>16206</v>
      </c>
      <c r="E2749" t="s">
        <v>16218</v>
      </c>
      <c r="F2749" t="s">
        <v>16220</v>
      </c>
      <c r="G2749" t="s">
        <v>16275</v>
      </c>
      <c r="H2749" t="s">
        <v>16276</v>
      </c>
      <c r="I2749" t="s">
        <v>16352</v>
      </c>
      <c r="J2749" t="s">
        <v>16386</v>
      </c>
      <c r="K2749">
        <v>0.305</v>
      </c>
      <c r="L2749">
        <v>13286</v>
      </c>
      <c r="M2749">
        <v>2474</v>
      </c>
      <c r="N2749" t="s">
        <v>16393</v>
      </c>
      <c r="O2749" s="4">
        <v>60697</v>
      </c>
      <c r="P2749" s="4">
        <v>143423</v>
      </c>
      <c r="Q2749" s="4">
        <v>204120</v>
      </c>
      <c r="R2749" s="4">
        <v>612360</v>
      </c>
      <c r="S2749" t="s">
        <v>19062</v>
      </c>
      <c r="T2749" s="6">
        <v>34973</v>
      </c>
      <c r="U2749" s="4">
        <v>241785</v>
      </c>
      <c r="X2749" t="s">
        <v>3</v>
      </c>
      <c r="AA2749" s="5" t="str">
        <f>HYPERLINK("https://www.zillow.com/homes/623-WINTERGREEN-CIR-NAPERVILLE-IL-60540_rb/","check listing")</f>
        <v>check listing</v>
      </c>
      <c r="AB2749" s="5" t="str">
        <f>HYPERLINK("https://propertylookup.dupagecounty.gov/Datalets/Datalet.aspx?UseSearch=no&amp;mode=sales&amp;pin=0722404022","sales record")</f>
        <v>sales record</v>
      </c>
      <c r="AC2749" t="s">
        <v>3</v>
      </c>
      <c r="AD2749">
        <v>41.761181</v>
      </c>
      <c r="AE2749">
        <v>-88.192903</v>
      </c>
      <c r="AF2749" s="5" t="str">
        <f>HYPERLINK("https://www.google.com/maps/search/?api=1&amp;query=41.761181,-88.192903","map")</f>
        <v>map</v>
      </c>
    </row>
    <row r="2750" spans="1:32">
      <c r="A2750" t="s">
        <v>2800</v>
      </c>
      <c r="B2750" t="s">
        <v>10333</v>
      </c>
      <c r="C2750" t="s">
        <v>15475</v>
      </c>
      <c r="D2750" t="s">
        <v>16206</v>
      </c>
      <c r="E2750" t="s">
        <v>16218</v>
      </c>
      <c r="F2750" t="s">
        <v>16220</v>
      </c>
      <c r="G2750" t="s">
        <v>16275</v>
      </c>
      <c r="H2750" t="s">
        <v>16276</v>
      </c>
      <c r="I2750" t="s">
        <v>16352</v>
      </c>
      <c r="J2750" t="s">
        <v>16386</v>
      </c>
      <c r="K2750">
        <v>0.304</v>
      </c>
      <c r="L2750">
        <v>13262</v>
      </c>
      <c r="M2750">
        <v>2473</v>
      </c>
      <c r="N2750" t="s">
        <v>16393</v>
      </c>
      <c r="O2750" s="4">
        <v>63894</v>
      </c>
      <c r="P2750" s="4">
        <v>151893</v>
      </c>
      <c r="Q2750" s="4">
        <v>215787</v>
      </c>
      <c r="R2750" s="4">
        <v>647361</v>
      </c>
      <c r="S2750" t="s">
        <v>19063</v>
      </c>
      <c r="T2750" s="6">
        <v>45392</v>
      </c>
      <c r="U2750" s="4">
        <v>615000</v>
      </c>
      <c r="V2750" t="s">
        <v>23739</v>
      </c>
      <c r="W2750" t="s">
        <v>19063</v>
      </c>
      <c r="X2750" t="s">
        <v>3</v>
      </c>
      <c r="AA2750" s="5" t="str">
        <f>HYPERLINK("https://www.zillow.com/homes/604-AZALEA-CT-NAPERVILLE-IL-60540_rb/","check listing")</f>
        <v>check listing</v>
      </c>
      <c r="AB2750" s="5" t="str">
        <f>HYPERLINK("https://propertylookup.dupagecounty.gov/Datalets/Datalet.aspx?UseSearch=no&amp;mode=sales&amp;pin=0722404032","sales record")</f>
        <v>sales record</v>
      </c>
      <c r="AC2750" t="s">
        <v>3</v>
      </c>
      <c r="AD2750">
        <v>41.761337</v>
      </c>
      <c r="AE2750">
        <v>-88.192545</v>
      </c>
      <c r="AF2750" s="5" t="str">
        <f>HYPERLINK("https://www.google.com/maps/search/?api=1&amp;query=41.761337,-88.192545","map")</f>
        <v>map</v>
      </c>
    </row>
    <row r="2751" spans="1:32">
      <c r="A2751" t="s">
        <v>2801</v>
      </c>
      <c r="B2751" t="s">
        <v>10334</v>
      </c>
      <c r="C2751" t="s">
        <v>15496</v>
      </c>
      <c r="D2751" t="s">
        <v>16206</v>
      </c>
      <c r="E2751" t="s">
        <v>16218</v>
      </c>
      <c r="F2751" t="s">
        <v>16220</v>
      </c>
      <c r="G2751" t="s">
        <v>16275</v>
      </c>
      <c r="H2751" t="s">
        <v>16276</v>
      </c>
      <c r="I2751" t="s">
        <v>16352</v>
      </c>
      <c r="J2751" t="s">
        <v>16386</v>
      </c>
      <c r="K2751">
        <v>0.304</v>
      </c>
      <c r="L2751">
        <v>13233</v>
      </c>
      <c r="M2751">
        <v>2143</v>
      </c>
      <c r="N2751" t="s">
        <v>16393</v>
      </c>
      <c r="O2751" s="4">
        <v>58706</v>
      </c>
      <c r="P2751" s="4">
        <v>122332</v>
      </c>
      <c r="Q2751" s="4">
        <v>181038</v>
      </c>
      <c r="R2751" s="4">
        <v>543114</v>
      </c>
      <c r="S2751" t="s">
        <v>19064</v>
      </c>
      <c r="T2751" s="6">
        <v>44105</v>
      </c>
      <c r="U2751" s="4">
        <v>369000</v>
      </c>
      <c r="V2751" t="s">
        <v>23739</v>
      </c>
      <c r="W2751" t="s">
        <v>25055</v>
      </c>
      <c r="X2751" t="s">
        <v>3</v>
      </c>
      <c r="AA2751" s="5" t="str">
        <f>HYPERLINK("https://www.zillow.com/homes/1107-MALLORY-CT-NAPERVILLE-IL-605401908_rb/","check listing")</f>
        <v>check listing</v>
      </c>
      <c r="AB2751" s="5" t="str">
        <f>HYPERLINK("https://propertylookup.dupagecounty.gov/Datalets/Datalet.aspx?UseSearch=no&amp;mode=sales&amp;pin=0727206031","sales record")</f>
        <v>sales record</v>
      </c>
      <c r="AC2751" t="s">
        <v>3</v>
      </c>
      <c r="AD2751">
        <v>41.750004</v>
      </c>
      <c r="AE2751">
        <v>-88.19189799999999</v>
      </c>
      <c r="AF2751" s="5" t="str">
        <f>HYPERLINK("https://www.google.com/maps/search/?api=1&amp;query=41.750004,-88.191898","map")</f>
        <v>map</v>
      </c>
    </row>
    <row r="2752" spans="1:32">
      <c r="A2752" t="s">
        <v>2802</v>
      </c>
      <c r="B2752" t="s">
        <v>10335</v>
      </c>
      <c r="C2752" t="s">
        <v>15475</v>
      </c>
      <c r="D2752" t="s">
        <v>16206</v>
      </c>
      <c r="E2752" t="s">
        <v>16218</v>
      </c>
      <c r="F2752" t="s">
        <v>16220</v>
      </c>
      <c r="G2752" t="s">
        <v>16274</v>
      </c>
      <c r="H2752" t="s">
        <v>16269</v>
      </c>
      <c r="I2752" t="s">
        <v>16352</v>
      </c>
      <c r="J2752" t="s">
        <v>16386</v>
      </c>
      <c r="K2752">
        <v>0.302</v>
      </c>
      <c r="L2752">
        <v>13137</v>
      </c>
      <c r="M2752">
        <v>3461</v>
      </c>
      <c r="N2752" t="s">
        <v>16393</v>
      </c>
      <c r="O2752" s="4">
        <v>58060</v>
      </c>
      <c r="P2752" s="4">
        <v>200641</v>
      </c>
      <c r="Q2752" s="4">
        <v>258701</v>
      </c>
      <c r="R2752" s="4">
        <v>776103</v>
      </c>
      <c r="S2752" t="s">
        <v>19065</v>
      </c>
      <c r="T2752" s="6">
        <v>34304</v>
      </c>
      <c r="U2752" s="4">
        <v>303000</v>
      </c>
      <c r="X2752" t="s">
        <v>3</v>
      </c>
      <c r="AA2752" s="5" t="str">
        <f>HYPERLINK("https://www.zillow.com/homes/1704-CHEPSTOW-CT-NAPERVILLE-IL-60540_rb/","check listing")</f>
        <v>check listing</v>
      </c>
      <c r="AB2752" s="5" t="str">
        <f>HYPERLINK("https://propertylookup.dupagecounty.gov/Datalets/Datalet.aspx?UseSearch=no&amp;mode=sales&amp;pin=0723310008","sales record")</f>
        <v>sales record</v>
      </c>
      <c r="AC2752" t="s">
        <v>3</v>
      </c>
      <c r="AD2752">
        <v>41.756098</v>
      </c>
      <c r="AE2752">
        <v>-88.183857</v>
      </c>
      <c r="AF2752" s="5" t="str">
        <f>HYPERLINK("https://www.google.com/maps/search/?api=1&amp;query=41.756098,-88.183857","map")</f>
        <v>map</v>
      </c>
    </row>
    <row r="2753" spans="1:32">
      <c r="A2753" t="s">
        <v>2803</v>
      </c>
      <c r="B2753" t="s">
        <v>10336</v>
      </c>
      <c r="C2753" t="s">
        <v>15476</v>
      </c>
      <c r="D2753" t="s">
        <v>16206</v>
      </c>
      <c r="E2753" t="s">
        <v>16218</v>
      </c>
      <c r="F2753" t="s">
        <v>16220</v>
      </c>
      <c r="G2753" t="s">
        <v>16269</v>
      </c>
      <c r="H2753" t="s">
        <v>16269</v>
      </c>
      <c r="I2753" t="s">
        <v>16352</v>
      </c>
      <c r="J2753" t="s">
        <v>16386</v>
      </c>
      <c r="K2753">
        <v>0.301</v>
      </c>
      <c r="L2753">
        <v>13127</v>
      </c>
      <c r="M2753">
        <v>1716</v>
      </c>
      <c r="N2753" t="s">
        <v>16393</v>
      </c>
      <c r="O2753" s="4">
        <v>77438</v>
      </c>
      <c r="P2753" s="4">
        <v>98177</v>
      </c>
      <c r="Q2753" s="4">
        <v>175615</v>
      </c>
      <c r="R2753" s="4">
        <v>526845</v>
      </c>
      <c r="S2753" t="s">
        <v>19066</v>
      </c>
      <c r="T2753" s="6">
        <v>35217</v>
      </c>
      <c r="U2753" s="4">
        <v>207250</v>
      </c>
      <c r="X2753" t="s">
        <v>3</v>
      </c>
      <c r="AA2753" s="5" t="str">
        <f>HYPERLINK("https://www.zillow.com/homes/456-BOURBON-LN-NAPERVILLE-IL-60565_rb/","check listing")</f>
        <v>check listing</v>
      </c>
      <c r="AB2753" s="5" t="str">
        <f>HYPERLINK("https://propertylookup.dupagecounty.gov/Datalets/Datalet.aspx?UseSearch=no&amp;mode=sales&amp;pin=0832117014","sales record")</f>
        <v>sales record</v>
      </c>
      <c r="AC2753" t="s">
        <v>3</v>
      </c>
      <c r="AD2753">
        <v>41.734308</v>
      </c>
      <c r="AE2753">
        <v>-88.119845</v>
      </c>
      <c r="AF2753" s="5" t="str">
        <f>HYPERLINK("https://www.google.com/maps/search/?api=1&amp;query=41.734308,-88.119845","map")</f>
        <v>map</v>
      </c>
    </row>
    <row r="2754" spans="1:32">
      <c r="A2754" t="s">
        <v>2804</v>
      </c>
      <c r="B2754" t="s">
        <v>10337</v>
      </c>
      <c r="C2754" t="s">
        <v>15475</v>
      </c>
      <c r="D2754" t="s">
        <v>16206</v>
      </c>
      <c r="E2754" t="s">
        <v>16218</v>
      </c>
      <c r="F2754" t="s">
        <v>16220</v>
      </c>
      <c r="G2754" t="s">
        <v>16274</v>
      </c>
      <c r="H2754" t="s">
        <v>16269</v>
      </c>
      <c r="I2754" t="s">
        <v>16352</v>
      </c>
      <c r="J2754" t="s">
        <v>16386</v>
      </c>
      <c r="K2754">
        <v>0.3</v>
      </c>
      <c r="L2754">
        <v>13078</v>
      </c>
      <c r="M2754">
        <v>2227</v>
      </c>
      <c r="N2754" t="s">
        <v>16393</v>
      </c>
      <c r="O2754" s="4">
        <v>58706</v>
      </c>
      <c r="P2754" s="4">
        <v>117597</v>
      </c>
      <c r="Q2754" s="4">
        <v>176303</v>
      </c>
      <c r="R2754" s="4">
        <v>528909</v>
      </c>
      <c r="S2754" t="s">
        <v>19067</v>
      </c>
      <c r="T2754" s="6">
        <v>40210</v>
      </c>
      <c r="U2754" s="4">
        <v>330000</v>
      </c>
      <c r="V2754" t="s">
        <v>23739</v>
      </c>
      <c r="W2754" t="s">
        <v>25056</v>
      </c>
      <c r="X2754" t="s">
        <v>3</v>
      </c>
      <c r="AA2754" s="5" t="str">
        <f>HYPERLINK("https://www.zillow.com/homes/917-ELM-ST-NAPERVILLE-IL-60540_rb/","check listing")</f>
        <v>check listing</v>
      </c>
      <c r="AB2754" s="5" t="str">
        <f>HYPERLINK("https://propertylookup.dupagecounty.gov/Datalets/Datalet.aspx?UseSearch=no&amp;mode=sales&amp;pin=0726208023","sales record")</f>
        <v>sales record</v>
      </c>
      <c r="AC2754" t="s">
        <v>3</v>
      </c>
      <c r="AD2754">
        <v>41.753424</v>
      </c>
      <c r="AE2754">
        <v>-88.17411300000001</v>
      </c>
      <c r="AF2754" s="5" t="str">
        <f>HYPERLINK("https://www.google.com/maps/search/?api=1&amp;query=41.753424,-88.174113","map")</f>
        <v>map</v>
      </c>
    </row>
    <row r="2755" spans="1:32">
      <c r="A2755" t="s">
        <v>2805</v>
      </c>
      <c r="B2755" t="s">
        <v>10338</v>
      </c>
      <c r="C2755" t="s">
        <v>15478</v>
      </c>
      <c r="D2755" t="s">
        <v>16206</v>
      </c>
      <c r="E2755" t="s">
        <v>16218</v>
      </c>
      <c r="F2755" t="s">
        <v>16220</v>
      </c>
      <c r="G2755" t="s">
        <v>16275</v>
      </c>
      <c r="H2755" t="s">
        <v>16276</v>
      </c>
      <c r="I2755" t="s">
        <v>16352</v>
      </c>
      <c r="J2755" t="s">
        <v>16386</v>
      </c>
      <c r="K2755">
        <v>0.3</v>
      </c>
      <c r="L2755">
        <v>13075</v>
      </c>
      <c r="M2755">
        <v>2572</v>
      </c>
      <c r="N2755" t="s">
        <v>16393</v>
      </c>
      <c r="O2755" s="4">
        <v>54862</v>
      </c>
      <c r="P2755" s="4">
        <v>124236</v>
      </c>
      <c r="Q2755" s="4">
        <v>179098</v>
      </c>
      <c r="R2755" s="4">
        <v>537294</v>
      </c>
      <c r="S2755" t="s">
        <v>19068</v>
      </c>
      <c r="T2755" s="6">
        <v>36831</v>
      </c>
      <c r="U2755" s="4">
        <v>257034</v>
      </c>
      <c r="V2755" t="s">
        <v>23739</v>
      </c>
      <c r="W2755" t="s">
        <v>25057</v>
      </c>
      <c r="X2755" t="s">
        <v>3</v>
      </c>
      <c r="AA2755" s="5" t="str">
        <f>HYPERLINK("https://www.zillow.com/homes/803-WOODEWIND-DR-NAPERVILLE-IL-60563_rb/","check listing")</f>
        <v>check listing</v>
      </c>
      <c r="AB2755" s="5" t="str">
        <f>HYPERLINK("https://propertylookup.dupagecounty.gov/Datalets/Datalet.aspx?UseSearch=no&amp;mode=sales&amp;pin=0709303026","sales record")</f>
        <v>sales record</v>
      </c>
      <c r="AC2755" t="s">
        <v>3</v>
      </c>
      <c r="AD2755">
        <v>41.78381</v>
      </c>
      <c r="AE2755">
        <v>-88.221316</v>
      </c>
      <c r="AF2755" s="5" t="str">
        <f>HYPERLINK("https://www.google.com/maps/search/?api=1&amp;query=41.78381,-88.221316","map")</f>
        <v>map</v>
      </c>
    </row>
    <row r="2756" spans="1:32">
      <c r="A2756" t="s">
        <v>2806</v>
      </c>
      <c r="B2756" t="s">
        <v>10339</v>
      </c>
      <c r="C2756" t="s">
        <v>15475</v>
      </c>
      <c r="D2756" t="s">
        <v>16206</v>
      </c>
      <c r="E2756" t="s">
        <v>16218</v>
      </c>
      <c r="F2756" t="s">
        <v>16220</v>
      </c>
      <c r="G2756" t="s">
        <v>16276</v>
      </c>
      <c r="H2756" t="s">
        <v>16276</v>
      </c>
      <c r="I2756" t="s">
        <v>16352</v>
      </c>
      <c r="J2756" t="s">
        <v>16386</v>
      </c>
      <c r="K2756">
        <v>0.299</v>
      </c>
      <c r="L2756">
        <v>13012</v>
      </c>
      <c r="M2756">
        <v>1633</v>
      </c>
      <c r="N2756" t="s">
        <v>16393</v>
      </c>
      <c r="O2756" s="4">
        <v>61819</v>
      </c>
      <c r="P2756" s="4">
        <v>96556</v>
      </c>
      <c r="Q2756" s="4">
        <v>158375</v>
      </c>
      <c r="R2756" s="4">
        <v>475125</v>
      </c>
      <c r="S2756" t="s">
        <v>19069</v>
      </c>
      <c r="T2756" s="6">
        <v>42430</v>
      </c>
      <c r="U2756" s="4">
        <v>295000</v>
      </c>
      <c r="V2756" t="s">
        <v>23739</v>
      </c>
      <c r="W2756" t="s">
        <v>25058</v>
      </c>
      <c r="X2756" t="s">
        <v>3</v>
      </c>
      <c r="AA2756" s="5" t="str">
        <f>HYPERLINK("https://www.zillow.com/homes/1027-MEAGAN-CT-NAPERVILLE-IL-60540_rb/","check listing")</f>
        <v>check listing</v>
      </c>
      <c r="AB2756" s="5" t="str">
        <f>HYPERLINK("https://propertylookup.dupagecounty.gov/Datalets/Datalet.aspx?UseSearch=no&amp;mode=sales&amp;pin=0727205050","sales record")</f>
        <v>sales record</v>
      </c>
      <c r="AC2756" t="s">
        <v>3</v>
      </c>
      <c r="AD2756">
        <v>41.751181</v>
      </c>
      <c r="AE2756">
        <v>-88.19122</v>
      </c>
      <c r="AF2756" s="5" t="str">
        <f>HYPERLINK("https://www.google.com/maps/search/?api=1&amp;query=41.751181,-88.19122","map")</f>
        <v>map</v>
      </c>
    </row>
    <row r="2757" spans="1:32">
      <c r="A2757" t="s">
        <v>2807</v>
      </c>
      <c r="B2757" t="s">
        <v>10340</v>
      </c>
      <c r="C2757" t="s">
        <v>15475</v>
      </c>
      <c r="D2757" t="s">
        <v>16206</v>
      </c>
      <c r="E2757" t="s">
        <v>16218</v>
      </c>
      <c r="F2757" t="s">
        <v>16220</v>
      </c>
      <c r="G2757" t="s">
        <v>16274</v>
      </c>
      <c r="H2757" t="s">
        <v>16269</v>
      </c>
      <c r="I2757" t="s">
        <v>16352</v>
      </c>
      <c r="J2757" t="s">
        <v>16386</v>
      </c>
      <c r="K2757">
        <v>0.298</v>
      </c>
      <c r="L2757">
        <v>12965</v>
      </c>
      <c r="M2757">
        <v>2473</v>
      </c>
      <c r="N2757" t="s">
        <v>16393</v>
      </c>
      <c r="O2757" s="4">
        <v>58060</v>
      </c>
      <c r="P2757" s="4">
        <v>171312</v>
      </c>
      <c r="Q2757" s="4">
        <v>229372</v>
      </c>
      <c r="R2757" s="4">
        <v>688116</v>
      </c>
      <c r="S2757" t="s">
        <v>19070</v>
      </c>
      <c r="T2757" s="6">
        <v>44831</v>
      </c>
      <c r="U2757" s="4">
        <v>600000</v>
      </c>
      <c r="V2757" t="s">
        <v>23739</v>
      </c>
      <c r="W2757" t="s">
        <v>25059</v>
      </c>
      <c r="X2757" t="s">
        <v>3</v>
      </c>
      <c r="AA2757" s="5" t="str">
        <f>HYPERLINK("https://www.zillow.com/homes/1719-CHADWICKE-CIR-NAPERVILLE-IL-60540_rb/","check listing")</f>
        <v>check listing</v>
      </c>
      <c r="AB2757" s="5" t="str">
        <f>HYPERLINK("https://propertylookup.dupagecounty.gov/Datalets/Datalet.aspx?UseSearch=no&amp;mode=sales&amp;pin=0723311010","sales record")</f>
        <v>sales record</v>
      </c>
      <c r="AC2757" t="s">
        <v>3</v>
      </c>
      <c r="AD2757">
        <v>41.756804</v>
      </c>
      <c r="AE2757">
        <v>-88.185957</v>
      </c>
      <c r="AF2757" s="5" t="str">
        <f>HYPERLINK("https://www.google.com/maps/search/?api=1&amp;query=41.756804,-88.185957","map")</f>
        <v>map</v>
      </c>
    </row>
    <row r="2758" spans="1:32">
      <c r="A2758" t="s">
        <v>2808</v>
      </c>
      <c r="B2758" t="s">
        <v>10341</v>
      </c>
      <c r="C2758" t="s">
        <v>15475</v>
      </c>
      <c r="D2758" t="s">
        <v>16206</v>
      </c>
      <c r="E2758" t="s">
        <v>16218</v>
      </c>
      <c r="F2758" t="s">
        <v>16220</v>
      </c>
      <c r="G2758" t="s">
        <v>16274</v>
      </c>
      <c r="H2758" t="s">
        <v>16269</v>
      </c>
      <c r="I2758" t="s">
        <v>16352</v>
      </c>
      <c r="J2758" t="s">
        <v>16386</v>
      </c>
      <c r="K2758">
        <v>0.297</v>
      </c>
      <c r="L2758">
        <v>12959</v>
      </c>
      <c r="M2758">
        <v>3084</v>
      </c>
      <c r="N2758" t="s">
        <v>16393</v>
      </c>
      <c r="O2758" s="4">
        <v>58060</v>
      </c>
      <c r="P2758" s="4">
        <v>174302</v>
      </c>
      <c r="Q2758" s="4">
        <v>232362</v>
      </c>
      <c r="R2758" s="4">
        <v>697086</v>
      </c>
      <c r="S2758" t="s">
        <v>19071</v>
      </c>
      <c r="T2758" s="6">
        <v>42217</v>
      </c>
      <c r="U2758" s="4">
        <v>501000</v>
      </c>
      <c r="V2758" t="s">
        <v>23739</v>
      </c>
      <c r="W2758" t="s">
        <v>25060</v>
      </c>
      <c r="X2758" t="s">
        <v>3</v>
      </c>
      <c r="AA2758" s="5" t="str">
        <f>HYPERLINK("https://www.zillow.com/homes/653-OAKHURST-DR-NAPERVILLE-IL-60540_rb/","check listing")</f>
        <v>check listing</v>
      </c>
      <c r="AB2758" s="5" t="str">
        <f>HYPERLINK("https://propertylookup.dupagecounty.gov/Datalets/Datalet.aspx?UseSearch=no&amp;mode=sales&amp;pin=0723304006","sales record")</f>
        <v>sales record</v>
      </c>
      <c r="AC2758" t="s">
        <v>3</v>
      </c>
      <c r="AD2758">
        <v>41.759865</v>
      </c>
      <c r="AE2758">
        <v>-88.179481</v>
      </c>
      <c r="AF2758" s="5" t="str">
        <f>HYPERLINK("https://www.google.com/maps/search/?api=1&amp;query=41.759865,-88.179481","map")</f>
        <v>map</v>
      </c>
    </row>
    <row r="2759" spans="1:32">
      <c r="A2759" t="s">
        <v>2809</v>
      </c>
      <c r="B2759" t="s">
        <v>10342</v>
      </c>
      <c r="C2759" t="s">
        <v>15475</v>
      </c>
      <c r="D2759" t="s">
        <v>16206</v>
      </c>
      <c r="E2759" t="s">
        <v>16218</v>
      </c>
      <c r="F2759" t="s">
        <v>16220</v>
      </c>
      <c r="G2759" t="s">
        <v>16274</v>
      </c>
      <c r="H2759" t="s">
        <v>16269</v>
      </c>
      <c r="I2759" t="s">
        <v>16352</v>
      </c>
      <c r="J2759" t="s">
        <v>16386</v>
      </c>
      <c r="K2759">
        <v>0.297</v>
      </c>
      <c r="L2759">
        <v>12948</v>
      </c>
      <c r="M2759">
        <v>2341</v>
      </c>
      <c r="N2759" t="s">
        <v>16393</v>
      </c>
      <c r="O2759" s="4">
        <v>55106</v>
      </c>
      <c r="P2759" s="4">
        <v>141336</v>
      </c>
      <c r="Q2759" s="4">
        <v>196442</v>
      </c>
      <c r="R2759" s="4">
        <v>589326</v>
      </c>
      <c r="S2759" t="s">
        <v>19072</v>
      </c>
      <c r="T2759" s="6">
        <v>37043</v>
      </c>
      <c r="U2759" s="4">
        <v>293500</v>
      </c>
      <c r="V2759" t="s">
        <v>23739</v>
      </c>
      <c r="W2759" t="s">
        <v>25061</v>
      </c>
      <c r="X2759" t="s">
        <v>3</v>
      </c>
      <c r="AA2759" s="5" t="str">
        <f>HYPERLINK("https://www.zillow.com/homes/1238-ARDMORE-DR-NAPERVILLE-IL-60540_rb/","check listing")</f>
        <v>check listing</v>
      </c>
      <c r="AB2759" s="5" t="str">
        <f>HYPERLINK("https://propertylookup.dupagecounty.gov/Datalets/Datalet.aspx?UseSearch=no&amp;mode=sales&amp;pin=0726205006","sales record")</f>
        <v>sales record</v>
      </c>
      <c r="AC2759" t="s">
        <v>3</v>
      </c>
      <c r="AD2759">
        <v>41.753419</v>
      </c>
      <c r="AE2759">
        <v>-88.170731</v>
      </c>
      <c r="AF2759" s="5" t="str">
        <f>HYPERLINK("https://www.google.com/maps/search/?api=1&amp;query=41.753419,-88.170731","map")</f>
        <v>map</v>
      </c>
    </row>
    <row r="2760" spans="1:32">
      <c r="A2760" t="s">
        <v>2810</v>
      </c>
      <c r="B2760" t="s">
        <v>10343</v>
      </c>
      <c r="C2760" t="s">
        <v>15475</v>
      </c>
      <c r="D2760" t="s">
        <v>16206</v>
      </c>
      <c r="E2760" t="s">
        <v>16218</v>
      </c>
      <c r="F2760" t="s">
        <v>16220</v>
      </c>
      <c r="G2760" t="s">
        <v>16274</v>
      </c>
      <c r="H2760" t="s">
        <v>16269</v>
      </c>
      <c r="I2760" t="s">
        <v>16352</v>
      </c>
      <c r="J2760" t="s">
        <v>16386</v>
      </c>
      <c r="K2760">
        <v>0.297</v>
      </c>
      <c r="L2760">
        <v>12945</v>
      </c>
      <c r="M2760">
        <v>2374</v>
      </c>
      <c r="N2760" t="s">
        <v>16393</v>
      </c>
      <c r="O2760" s="4">
        <v>58706</v>
      </c>
      <c r="P2760" s="4">
        <v>131596</v>
      </c>
      <c r="Q2760" s="4">
        <v>190302</v>
      </c>
      <c r="R2760" s="4">
        <v>570906</v>
      </c>
      <c r="S2760" t="s">
        <v>19073</v>
      </c>
      <c r="T2760" s="6">
        <v>33786</v>
      </c>
      <c r="U2760" s="4">
        <v>195000</v>
      </c>
      <c r="X2760" t="s">
        <v>3</v>
      </c>
      <c r="AA2760" s="5" t="str">
        <f>HYPERLINK("https://www.zillow.com/homes/913-ELM-ST-NAPERVILLE-IL-60540_rb/","check listing")</f>
        <v>check listing</v>
      </c>
      <c r="AB2760" s="5" t="str">
        <f>HYPERLINK("https://propertylookup.dupagecounty.gov/Datalets/Datalet.aspx?UseSearch=no&amp;mode=sales&amp;pin=0726208024","sales record")</f>
        <v>sales record</v>
      </c>
      <c r="AC2760" t="s">
        <v>3</v>
      </c>
      <c r="AD2760">
        <v>41.75363</v>
      </c>
      <c r="AE2760">
        <v>-88.174115</v>
      </c>
      <c r="AF2760" s="5" t="str">
        <f>HYPERLINK("https://www.google.com/maps/search/?api=1&amp;query=41.75363,-88.174115","map")</f>
        <v>map</v>
      </c>
    </row>
    <row r="2761" spans="1:32">
      <c r="A2761" t="s">
        <v>2811</v>
      </c>
      <c r="B2761" t="s">
        <v>10344</v>
      </c>
      <c r="C2761" t="s">
        <v>15497</v>
      </c>
      <c r="D2761" t="s">
        <v>16206</v>
      </c>
      <c r="E2761" t="s">
        <v>16218</v>
      </c>
      <c r="F2761" t="s">
        <v>16220</v>
      </c>
      <c r="G2761" t="s">
        <v>16274</v>
      </c>
      <c r="H2761" t="s">
        <v>16269</v>
      </c>
      <c r="I2761" t="s">
        <v>16352</v>
      </c>
      <c r="J2761" t="s">
        <v>16386</v>
      </c>
      <c r="K2761">
        <v>0.297</v>
      </c>
      <c r="L2761">
        <v>12922</v>
      </c>
      <c r="M2761">
        <v>2638</v>
      </c>
      <c r="N2761" t="s">
        <v>16393</v>
      </c>
      <c r="O2761" s="4">
        <v>65322</v>
      </c>
      <c r="P2761" s="4">
        <v>164795</v>
      </c>
      <c r="Q2761" s="4">
        <v>230117</v>
      </c>
      <c r="R2761" s="4">
        <v>690351</v>
      </c>
      <c r="S2761" t="s">
        <v>19074</v>
      </c>
      <c r="T2761" s="6">
        <v>41671</v>
      </c>
      <c r="U2761" s="4">
        <v>386500</v>
      </c>
      <c r="V2761" t="s">
        <v>16232</v>
      </c>
      <c r="W2761" t="s">
        <v>25062</v>
      </c>
      <c r="X2761" t="s">
        <v>3</v>
      </c>
      <c r="AA2761" s="5" t="str">
        <f>HYPERLINK("https://www.zillow.com/homes/670-OAKHURST-CT-NAPERVILLE-IL-605406357_rb/","check listing")</f>
        <v>check listing</v>
      </c>
      <c r="AB2761" s="5" t="str">
        <f>HYPERLINK("https://propertylookup.dupagecounty.gov/Datalets/Datalet.aspx?UseSearch=no&amp;mode=sales&amp;pin=0723303008","sales record")</f>
        <v>sales record</v>
      </c>
      <c r="AC2761" t="s">
        <v>3</v>
      </c>
      <c r="AD2761">
        <v>41.758955</v>
      </c>
      <c r="AE2761">
        <v>-88.180684</v>
      </c>
      <c r="AF2761" s="5" t="str">
        <f>HYPERLINK("https://www.google.com/maps/search/?api=1&amp;query=41.758955,-88.180684","map")</f>
        <v>map</v>
      </c>
    </row>
    <row r="2762" spans="1:32">
      <c r="A2762" t="s">
        <v>2812</v>
      </c>
      <c r="B2762" t="s">
        <v>10345</v>
      </c>
      <c r="C2762" t="s">
        <v>15498</v>
      </c>
      <c r="D2762" t="s">
        <v>16206</v>
      </c>
      <c r="E2762" t="s">
        <v>16218</v>
      </c>
      <c r="F2762" t="s">
        <v>16220</v>
      </c>
      <c r="G2762" t="s">
        <v>16275</v>
      </c>
      <c r="H2762" t="s">
        <v>16276</v>
      </c>
      <c r="I2762" t="s">
        <v>16352</v>
      </c>
      <c r="J2762" t="s">
        <v>16386</v>
      </c>
      <c r="K2762">
        <v>0.297</v>
      </c>
      <c r="L2762">
        <v>12917</v>
      </c>
      <c r="M2762">
        <v>2486</v>
      </c>
      <c r="N2762" t="s">
        <v>16393</v>
      </c>
      <c r="O2762" s="4">
        <v>51103</v>
      </c>
      <c r="P2762" s="4">
        <v>108662</v>
      </c>
      <c r="Q2762" s="4">
        <v>159765</v>
      </c>
      <c r="R2762" s="4">
        <v>479295</v>
      </c>
      <c r="S2762" t="s">
        <v>19075</v>
      </c>
      <c r="T2762" s="6">
        <v>44562</v>
      </c>
      <c r="U2762" s="4">
        <v>385000</v>
      </c>
      <c r="V2762" t="s">
        <v>23739</v>
      </c>
      <c r="W2762" t="s">
        <v>25063</v>
      </c>
      <c r="X2762" t="s">
        <v>3</v>
      </c>
      <c r="AA2762" s="5" t="str">
        <f>HYPERLINK("https://www.zillow.com/homes/2407-ORCHID-CT-NAPERVILLE-IL-605409239_rb/","check listing")</f>
        <v>check listing</v>
      </c>
      <c r="AB2762" s="5" t="str">
        <f>HYPERLINK("https://propertylookup.dupagecounty.gov/Datalets/Datalet.aspx?UseSearch=no&amp;mode=sales&amp;pin=0722407003","sales record")</f>
        <v>sales record</v>
      </c>
      <c r="AC2762" t="s">
        <v>3</v>
      </c>
      <c r="AD2762">
        <v>41.757091</v>
      </c>
      <c r="AE2762">
        <v>-88.195885</v>
      </c>
      <c r="AF2762" s="5" t="str">
        <f>HYPERLINK("https://www.google.com/maps/search/?api=1&amp;query=41.757091,-88.195885","map")</f>
        <v>map</v>
      </c>
    </row>
    <row r="2763" spans="1:32">
      <c r="A2763" t="s">
        <v>2813</v>
      </c>
      <c r="B2763" t="s">
        <v>10346</v>
      </c>
      <c r="C2763" t="s">
        <v>15497</v>
      </c>
      <c r="D2763" t="s">
        <v>16206</v>
      </c>
      <c r="E2763" t="s">
        <v>16218</v>
      </c>
      <c r="F2763" t="s">
        <v>16220</v>
      </c>
      <c r="G2763" t="s">
        <v>16274</v>
      </c>
      <c r="H2763" t="s">
        <v>16269</v>
      </c>
      <c r="I2763" t="s">
        <v>16352</v>
      </c>
      <c r="J2763" t="s">
        <v>16386</v>
      </c>
      <c r="K2763">
        <v>0.296</v>
      </c>
      <c r="L2763">
        <v>12889</v>
      </c>
      <c r="M2763">
        <v>2639</v>
      </c>
      <c r="N2763" t="s">
        <v>16393</v>
      </c>
      <c r="O2763" s="4">
        <v>65322</v>
      </c>
      <c r="P2763" s="4">
        <v>192366</v>
      </c>
      <c r="Q2763" s="4">
        <v>257688</v>
      </c>
      <c r="R2763" s="4">
        <v>773064</v>
      </c>
      <c r="S2763" t="s">
        <v>19076</v>
      </c>
      <c r="T2763" s="6">
        <v>44593</v>
      </c>
      <c r="U2763" s="4">
        <v>566000</v>
      </c>
      <c r="V2763" t="s">
        <v>23739</v>
      </c>
      <c r="W2763" t="s">
        <v>19076</v>
      </c>
      <c r="X2763" t="s">
        <v>3</v>
      </c>
      <c r="AA2763" s="5" t="str">
        <f>HYPERLINK("https://www.zillow.com/homes/671-OAKHURST-CT-NAPERVILLE-IL-605406357_rb/","check listing")</f>
        <v>check listing</v>
      </c>
      <c r="AB2763" s="5" t="str">
        <f>HYPERLINK("https://propertylookup.dupagecounty.gov/Datalets/Datalet.aspx?UseSearch=no&amp;mode=sales&amp;pin=0723303005","sales record")</f>
        <v>sales record</v>
      </c>
      <c r="AC2763" t="s">
        <v>3</v>
      </c>
      <c r="AD2763">
        <v>41.759459</v>
      </c>
      <c r="AE2763">
        <v>-88.181059</v>
      </c>
      <c r="AF2763" s="5" t="str">
        <f>HYPERLINK("https://www.google.com/maps/search/?api=1&amp;query=41.759459,-88.181059","map")</f>
        <v>map</v>
      </c>
    </row>
    <row r="2764" spans="1:32">
      <c r="A2764" t="s">
        <v>2814</v>
      </c>
      <c r="B2764" t="s">
        <v>10347</v>
      </c>
      <c r="C2764" t="s">
        <v>15475</v>
      </c>
      <c r="D2764" t="s">
        <v>16206</v>
      </c>
      <c r="E2764" t="s">
        <v>16218</v>
      </c>
      <c r="F2764" t="s">
        <v>16220</v>
      </c>
      <c r="G2764" t="s">
        <v>16274</v>
      </c>
      <c r="H2764" t="s">
        <v>16269</v>
      </c>
      <c r="I2764" t="s">
        <v>16352</v>
      </c>
      <c r="J2764" t="s">
        <v>16386</v>
      </c>
      <c r="K2764">
        <v>0.296</v>
      </c>
      <c r="L2764">
        <v>12889</v>
      </c>
      <c r="M2764">
        <v>2785</v>
      </c>
      <c r="N2764" t="s">
        <v>16393</v>
      </c>
      <c r="O2764" s="4">
        <v>58646</v>
      </c>
      <c r="P2764" s="4">
        <v>129705</v>
      </c>
      <c r="Q2764" s="4">
        <v>188351</v>
      </c>
      <c r="R2764" s="4">
        <v>565053</v>
      </c>
      <c r="S2764" t="s">
        <v>19077</v>
      </c>
      <c r="T2764" s="6">
        <v>35551</v>
      </c>
      <c r="U2764" s="4">
        <v>213000</v>
      </c>
      <c r="X2764" t="s">
        <v>3</v>
      </c>
      <c r="AA2764" s="5" t="str">
        <f>HYPERLINK("https://www.zillow.com/homes/940-ELM-ST-NAPERVILLE-IL-60540_rb/","check listing")</f>
        <v>check listing</v>
      </c>
      <c r="AB2764" s="5" t="str">
        <f>HYPERLINK("https://propertylookup.dupagecounty.gov/Datalets/Datalet.aspx?UseSearch=no&amp;mode=sales&amp;pin=0726207011","sales record")</f>
        <v>sales record</v>
      </c>
      <c r="AC2764" t="s">
        <v>3</v>
      </c>
      <c r="AD2764">
        <v>41.752482</v>
      </c>
      <c r="AE2764">
        <v>-88.172393</v>
      </c>
      <c r="AF2764" s="5" t="str">
        <f>HYPERLINK("https://www.google.com/maps/search/?api=1&amp;query=41.752482,-88.172393","map")</f>
        <v>map</v>
      </c>
    </row>
    <row r="2765" spans="1:32">
      <c r="A2765" t="s">
        <v>2815</v>
      </c>
      <c r="B2765" t="s">
        <v>10348</v>
      </c>
      <c r="C2765" t="s">
        <v>15475</v>
      </c>
      <c r="D2765" t="s">
        <v>16206</v>
      </c>
      <c r="E2765" t="s">
        <v>16218</v>
      </c>
      <c r="F2765" t="s">
        <v>16220</v>
      </c>
      <c r="G2765" t="s">
        <v>16274</v>
      </c>
      <c r="H2765" t="s">
        <v>16269</v>
      </c>
      <c r="I2765" t="s">
        <v>16352</v>
      </c>
      <c r="J2765" t="s">
        <v>16386</v>
      </c>
      <c r="K2765">
        <v>0.295</v>
      </c>
      <c r="L2765">
        <v>12866</v>
      </c>
      <c r="M2765">
        <v>3166</v>
      </c>
      <c r="N2765" t="s">
        <v>16393</v>
      </c>
      <c r="O2765" s="4">
        <v>65322</v>
      </c>
      <c r="P2765" s="4">
        <v>173619</v>
      </c>
      <c r="Q2765" s="4">
        <v>238941</v>
      </c>
      <c r="R2765" s="4">
        <v>716823</v>
      </c>
      <c r="S2765" t="s">
        <v>19078</v>
      </c>
      <c r="T2765" s="6">
        <v>36130</v>
      </c>
      <c r="U2765" s="4">
        <v>293000</v>
      </c>
      <c r="X2765" t="s">
        <v>3</v>
      </c>
      <c r="AA2765" s="5" t="str">
        <f>HYPERLINK("https://www.zillow.com/homes/1404-GREENLEE-CT-NAPERVILLE-IL-60540_rb/","check listing")</f>
        <v>check listing</v>
      </c>
      <c r="AB2765" s="5" t="str">
        <f>HYPERLINK("https://propertylookup.dupagecounty.gov/Datalets/Datalet.aspx?UseSearch=no&amp;mode=sales&amp;pin=0723305012","sales record")</f>
        <v>sales record</v>
      </c>
      <c r="AC2765" t="s">
        <v>3</v>
      </c>
      <c r="AD2765">
        <v>41.759816</v>
      </c>
      <c r="AE2765">
        <v>-88.177421</v>
      </c>
      <c r="AF2765" s="5" t="str">
        <f>HYPERLINK("https://www.google.com/maps/search/?api=1&amp;query=41.759816,-88.177421","map")</f>
        <v>map</v>
      </c>
    </row>
    <row r="2766" spans="1:32">
      <c r="A2766" t="s">
        <v>2816</v>
      </c>
      <c r="B2766" t="s">
        <v>10349</v>
      </c>
      <c r="C2766" t="s">
        <v>15475</v>
      </c>
      <c r="D2766" t="s">
        <v>16206</v>
      </c>
      <c r="E2766" t="s">
        <v>16218</v>
      </c>
      <c r="F2766" t="s">
        <v>16220</v>
      </c>
      <c r="G2766" t="s">
        <v>16275</v>
      </c>
      <c r="H2766" t="s">
        <v>16276</v>
      </c>
      <c r="I2766" t="s">
        <v>16352</v>
      </c>
      <c r="J2766" t="s">
        <v>16386</v>
      </c>
      <c r="K2766">
        <v>0.295</v>
      </c>
      <c r="L2766">
        <v>12861</v>
      </c>
      <c r="M2766">
        <v>1649</v>
      </c>
      <c r="N2766" t="s">
        <v>16393</v>
      </c>
      <c r="O2766" s="4">
        <v>51995</v>
      </c>
      <c r="P2766" s="4">
        <v>105538</v>
      </c>
      <c r="Q2766" s="4">
        <v>157533</v>
      </c>
      <c r="R2766" s="4">
        <v>472599</v>
      </c>
      <c r="S2766" t="s">
        <v>19079</v>
      </c>
      <c r="T2766" s="6">
        <v>36404</v>
      </c>
      <c r="U2766" s="4">
        <v>204500</v>
      </c>
      <c r="X2766" t="s">
        <v>3</v>
      </c>
      <c r="AA2766" s="5" t="str">
        <f>HYPERLINK("https://www.zillow.com/homes/2303-JONQUIL-CT-NAPERVILLE-IL-60540_rb/","check listing")</f>
        <v>check listing</v>
      </c>
      <c r="AB2766" s="5" t="str">
        <f>HYPERLINK("https://propertylookup.dupagecounty.gov/Datalets/Datalet.aspx?UseSearch=no&amp;mode=sales&amp;pin=0722407017","sales record")</f>
        <v>sales record</v>
      </c>
      <c r="AC2766" t="s">
        <v>3</v>
      </c>
      <c r="AD2766">
        <v>41.757887</v>
      </c>
      <c r="AE2766">
        <v>-88.192893</v>
      </c>
      <c r="AF2766" s="5" t="str">
        <f>HYPERLINK("https://www.google.com/maps/search/?api=1&amp;query=41.757887,-88.192893","map")</f>
        <v>map</v>
      </c>
    </row>
    <row r="2767" spans="1:32">
      <c r="A2767" t="s">
        <v>2817</v>
      </c>
      <c r="B2767" t="s">
        <v>10350</v>
      </c>
      <c r="C2767" t="s">
        <v>15478</v>
      </c>
      <c r="D2767" t="s">
        <v>16206</v>
      </c>
      <c r="E2767" t="s">
        <v>16218</v>
      </c>
      <c r="F2767" t="s">
        <v>16220</v>
      </c>
      <c r="G2767" t="s">
        <v>16273</v>
      </c>
      <c r="H2767" t="s">
        <v>16254</v>
      </c>
      <c r="I2767" t="s">
        <v>16351</v>
      </c>
      <c r="J2767" t="s">
        <v>16386</v>
      </c>
      <c r="K2767">
        <v>0.295</v>
      </c>
      <c r="L2767">
        <v>12847</v>
      </c>
      <c r="M2767">
        <v>2309</v>
      </c>
      <c r="N2767" t="s">
        <v>16393</v>
      </c>
      <c r="O2767" s="4">
        <v>47502</v>
      </c>
      <c r="P2767" s="4">
        <v>147183</v>
      </c>
      <c r="Q2767" s="4">
        <v>194685</v>
      </c>
      <c r="R2767" s="4">
        <v>584055</v>
      </c>
      <c r="S2767" t="s">
        <v>19080</v>
      </c>
      <c r="T2767" s="6">
        <v>45471</v>
      </c>
      <c r="U2767" s="4">
        <v>630000</v>
      </c>
      <c r="V2767" t="s">
        <v>23739</v>
      </c>
      <c r="W2767" t="s">
        <v>25064</v>
      </c>
      <c r="X2767" t="s">
        <v>3</v>
      </c>
      <c r="AA2767" s="5" t="str">
        <f>HYPERLINK("https://www.zillow.com/homes/2018-BUNKER-CIR-NAPERVILLE-IL-60563_rb/","check listing")</f>
        <v>check listing</v>
      </c>
      <c r="AB2767" s="5" t="str">
        <f>HYPERLINK("https://propertylookup.dupagecounty.gov/Datalets/Datalet.aspx?UseSearch=no&amp;mode=sales&amp;pin=0709200027","sales record")</f>
        <v>sales record</v>
      </c>
      <c r="AC2767" t="s">
        <v>3</v>
      </c>
      <c r="AD2767">
        <v>41.795331</v>
      </c>
      <c r="AE2767">
        <v>-88.21013600000001</v>
      </c>
      <c r="AF2767" s="5" t="str">
        <f>HYPERLINK("https://www.google.com/maps/search/?api=1&amp;query=41.795331,-88.210136","map")</f>
        <v>map</v>
      </c>
    </row>
    <row r="2768" spans="1:32">
      <c r="A2768" t="s">
        <v>2818</v>
      </c>
      <c r="B2768" t="s">
        <v>10351</v>
      </c>
      <c r="C2768" t="s">
        <v>15499</v>
      </c>
      <c r="D2768" t="s">
        <v>16206</v>
      </c>
      <c r="E2768" t="s">
        <v>16218</v>
      </c>
      <c r="F2768" t="s">
        <v>16220</v>
      </c>
      <c r="G2768" t="s">
        <v>16274</v>
      </c>
      <c r="H2768" t="s">
        <v>16269</v>
      </c>
      <c r="I2768" t="s">
        <v>16352</v>
      </c>
      <c r="J2768" t="s">
        <v>16386</v>
      </c>
      <c r="K2768">
        <v>0.294</v>
      </c>
      <c r="L2768">
        <v>12827</v>
      </c>
      <c r="M2768">
        <v>2374</v>
      </c>
      <c r="N2768" t="s">
        <v>16393</v>
      </c>
      <c r="O2768" s="4">
        <v>58706</v>
      </c>
      <c r="P2768" s="4">
        <v>132951</v>
      </c>
      <c r="Q2768" s="4">
        <v>191657</v>
      </c>
      <c r="R2768" s="4">
        <v>574971</v>
      </c>
      <c r="S2768" t="s">
        <v>19081</v>
      </c>
      <c r="T2768" s="6">
        <v>45245</v>
      </c>
      <c r="U2768" s="4">
        <v>555000</v>
      </c>
      <c r="V2768" t="s">
        <v>23739</v>
      </c>
      <c r="W2768" t="s">
        <v>25065</v>
      </c>
      <c r="X2768" t="s">
        <v>3</v>
      </c>
      <c r="AA2768" s="5" t="str">
        <f>HYPERLINK("https://www.zillow.com/homes/909-ELM-ST-NAPERVILLE-IL-605400345_rb/","check listing")</f>
        <v>check listing</v>
      </c>
      <c r="AB2768" s="5" t="str">
        <f>HYPERLINK("https://propertylookup.dupagecounty.gov/Datalets/Datalet.aspx?UseSearch=no&amp;mode=sales&amp;pin=0726208025","sales record")</f>
        <v>sales record</v>
      </c>
      <c r="AC2768" t="s">
        <v>3</v>
      </c>
      <c r="AD2768">
        <v>41.753751</v>
      </c>
      <c r="AE2768">
        <v>-88.174116</v>
      </c>
      <c r="AF2768" s="5" t="str">
        <f>HYPERLINK("https://www.google.com/maps/search/?api=1&amp;query=41.753751,-88.174116","map")</f>
        <v>map</v>
      </c>
    </row>
    <row r="2769" spans="1:32">
      <c r="A2769" t="s">
        <v>2819</v>
      </c>
      <c r="B2769" t="s">
        <v>10352</v>
      </c>
      <c r="C2769" t="s">
        <v>15475</v>
      </c>
      <c r="D2769" t="s">
        <v>16206</v>
      </c>
      <c r="E2769" t="s">
        <v>16218</v>
      </c>
      <c r="F2769" t="s">
        <v>16220</v>
      </c>
      <c r="G2769" t="s">
        <v>16274</v>
      </c>
      <c r="H2769" t="s">
        <v>16269</v>
      </c>
      <c r="I2769" t="s">
        <v>16352</v>
      </c>
      <c r="J2769" t="s">
        <v>16386</v>
      </c>
      <c r="K2769">
        <v>0.294</v>
      </c>
      <c r="L2769">
        <v>12814</v>
      </c>
      <c r="M2769">
        <v>3363</v>
      </c>
      <c r="N2769" t="s">
        <v>16393</v>
      </c>
      <c r="O2769" s="4">
        <v>58060</v>
      </c>
      <c r="P2769" s="4">
        <v>215617</v>
      </c>
      <c r="Q2769" s="4">
        <v>273677</v>
      </c>
      <c r="R2769" s="4">
        <v>821031</v>
      </c>
      <c r="S2769" t="s">
        <v>19082</v>
      </c>
      <c r="T2769" s="6">
        <v>39142</v>
      </c>
      <c r="U2769" s="4">
        <v>510000</v>
      </c>
      <c r="V2769" t="s">
        <v>23739</v>
      </c>
      <c r="W2769" t="s">
        <v>25066</v>
      </c>
      <c r="X2769" t="s">
        <v>3</v>
      </c>
      <c r="AA2769" s="5" t="str">
        <f>HYPERLINK("https://www.zillow.com/homes/1608-SEQUOIA-RD-NAPERVILLE-IL-60540_rb/","check listing")</f>
        <v>check listing</v>
      </c>
      <c r="AB2769" s="5" t="str">
        <f>HYPERLINK("https://propertylookup.dupagecounty.gov/Datalets/Datalet.aspx?UseSearch=no&amp;mode=sales&amp;pin=0723306024","sales record")</f>
        <v>sales record</v>
      </c>
      <c r="AC2769" t="s">
        <v>3</v>
      </c>
      <c r="AD2769">
        <v>41.757733</v>
      </c>
      <c r="AE2769">
        <v>-88.184006</v>
      </c>
      <c r="AF2769" s="5" t="str">
        <f>HYPERLINK("https://www.google.com/maps/search/?api=1&amp;query=41.757733,-88.184006","map")</f>
        <v>map</v>
      </c>
    </row>
    <row r="2770" spans="1:32">
      <c r="A2770" t="s">
        <v>2820</v>
      </c>
      <c r="B2770" t="s">
        <v>10353</v>
      </c>
      <c r="C2770" t="s">
        <v>15475</v>
      </c>
      <c r="D2770" t="s">
        <v>16206</v>
      </c>
      <c r="E2770" t="s">
        <v>16218</v>
      </c>
      <c r="F2770" t="s">
        <v>16220</v>
      </c>
      <c r="G2770" t="s">
        <v>16274</v>
      </c>
      <c r="H2770" t="s">
        <v>16269</v>
      </c>
      <c r="I2770" t="s">
        <v>16352</v>
      </c>
      <c r="J2770" t="s">
        <v>16386</v>
      </c>
      <c r="K2770">
        <v>0.294</v>
      </c>
      <c r="L2770">
        <v>12789</v>
      </c>
      <c r="M2770">
        <v>2288</v>
      </c>
      <c r="N2770" t="s">
        <v>16393</v>
      </c>
      <c r="O2770" s="4">
        <v>58060</v>
      </c>
      <c r="P2770" s="4">
        <v>161951</v>
      </c>
      <c r="Q2770" s="4">
        <v>220011</v>
      </c>
      <c r="R2770" s="4">
        <v>660033</v>
      </c>
      <c r="S2770" t="s">
        <v>19083</v>
      </c>
      <c r="T2770" s="6">
        <v>40848</v>
      </c>
      <c r="U2770" s="4">
        <v>380000</v>
      </c>
      <c r="V2770" t="s">
        <v>23739</v>
      </c>
      <c r="W2770" t="s">
        <v>25067</v>
      </c>
      <c r="X2770" t="s">
        <v>3</v>
      </c>
      <c r="AA2770" s="5" t="str">
        <f>HYPERLINK("https://www.zillow.com/homes/1704-CHADWICKE-CIR-NAPERVILLE-IL-60540_rb/","check listing")</f>
        <v>check listing</v>
      </c>
      <c r="AB2770" s="5" t="str">
        <f>HYPERLINK("https://propertylookup.dupagecounty.gov/Datalets/Datalet.aspx?UseSearch=no&amp;mode=sales&amp;pin=0723310001","sales record")</f>
        <v>sales record</v>
      </c>
      <c r="AC2770" t="s">
        <v>3</v>
      </c>
      <c r="AD2770">
        <v>41.756892</v>
      </c>
      <c r="AE2770">
        <v>-88.18449099999999</v>
      </c>
      <c r="AF2770" s="5" t="str">
        <f>HYPERLINK("https://www.google.com/maps/search/?api=1&amp;query=41.756892,-88.184491","map")</f>
        <v>map</v>
      </c>
    </row>
    <row r="2771" spans="1:32">
      <c r="A2771" t="s">
        <v>2821</v>
      </c>
      <c r="B2771" t="s">
        <v>10354</v>
      </c>
      <c r="C2771" t="s">
        <v>15500</v>
      </c>
      <c r="D2771" t="s">
        <v>16206</v>
      </c>
      <c r="E2771" t="s">
        <v>16218</v>
      </c>
      <c r="F2771" t="s">
        <v>16220</v>
      </c>
      <c r="G2771" t="s">
        <v>16275</v>
      </c>
      <c r="H2771" t="s">
        <v>16276</v>
      </c>
      <c r="I2771" t="s">
        <v>16352</v>
      </c>
      <c r="J2771" t="s">
        <v>16386</v>
      </c>
      <c r="K2771">
        <v>0.293</v>
      </c>
      <c r="L2771">
        <v>12775</v>
      </c>
      <c r="M2771">
        <v>2145</v>
      </c>
      <c r="N2771" t="s">
        <v>16393</v>
      </c>
      <c r="O2771" s="4">
        <v>49444</v>
      </c>
      <c r="P2771" s="4">
        <v>103341</v>
      </c>
      <c r="Q2771" s="4">
        <v>152785</v>
      </c>
      <c r="R2771" s="4">
        <v>458355</v>
      </c>
      <c r="S2771" t="s">
        <v>19084</v>
      </c>
      <c r="T2771" s="6">
        <v>44621</v>
      </c>
      <c r="U2771" s="4">
        <v>350000</v>
      </c>
      <c r="V2771" t="s">
        <v>23739</v>
      </c>
      <c r="W2771" t="s">
        <v>25068</v>
      </c>
      <c r="X2771" t="s">
        <v>3</v>
      </c>
      <c r="AA2771" s="5" t="str">
        <f>HYPERLINK("https://www.zillow.com/homes/1219-SAMUEL-CT-NAPERVILLE-IL-605401910_rb/","check listing")</f>
        <v>check listing</v>
      </c>
      <c r="AB2771" s="5" t="str">
        <f>HYPERLINK("https://propertylookup.dupagecounty.gov/Datalets/Datalet.aspx?UseSearch=no&amp;mode=sales&amp;pin=0727201066","sales record")</f>
        <v>sales record</v>
      </c>
      <c r="AC2771" t="s">
        <v>3</v>
      </c>
      <c r="AD2771">
        <v>41.747765</v>
      </c>
      <c r="AE2771">
        <v>-88.19443200000001</v>
      </c>
      <c r="AF2771" s="5" t="str">
        <f>HYPERLINK("https://www.google.com/maps/search/?api=1&amp;query=41.747765,-88.194432","map")</f>
        <v>map</v>
      </c>
    </row>
    <row r="2772" spans="1:32">
      <c r="A2772" t="s">
        <v>2822</v>
      </c>
      <c r="B2772" t="s">
        <v>10355</v>
      </c>
      <c r="C2772" t="s">
        <v>15478</v>
      </c>
      <c r="D2772" t="s">
        <v>16206</v>
      </c>
      <c r="E2772" t="s">
        <v>16218</v>
      </c>
      <c r="F2772" t="s">
        <v>16220</v>
      </c>
      <c r="G2772" t="s">
        <v>16273</v>
      </c>
      <c r="H2772" t="s">
        <v>16254</v>
      </c>
      <c r="I2772" t="s">
        <v>16351</v>
      </c>
      <c r="J2772" t="s">
        <v>16386</v>
      </c>
      <c r="K2772">
        <v>0.293</v>
      </c>
      <c r="L2772">
        <v>12774</v>
      </c>
      <c r="M2772">
        <v>2144</v>
      </c>
      <c r="N2772" t="s">
        <v>16393</v>
      </c>
      <c r="O2772" s="4">
        <v>45366</v>
      </c>
      <c r="P2772" s="4">
        <v>117426</v>
      </c>
      <c r="Q2772" s="4">
        <v>162792</v>
      </c>
      <c r="R2772" s="4">
        <v>488376</v>
      </c>
      <c r="S2772" t="s">
        <v>19085</v>
      </c>
      <c r="T2772" s="6">
        <v>42217</v>
      </c>
      <c r="U2772" s="4">
        <v>320000</v>
      </c>
      <c r="V2772" t="s">
        <v>23739</v>
      </c>
      <c r="W2772" t="s">
        <v>25069</v>
      </c>
      <c r="X2772" t="s">
        <v>3</v>
      </c>
      <c r="AA2772" s="5" t="str">
        <f>HYPERLINK("https://www.zillow.com/homes/1020-BURKE-CT-NAPERVILLE-IL-60563_rb/","check listing")</f>
        <v>check listing</v>
      </c>
      <c r="AB2772" s="5" t="str">
        <f>HYPERLINK("https://propertylookup.dupagecounty.gov/Datalets/Datalet.aspx?UseSearch=no&amp;mode=sales&amp;pin=0709304021","sales record")</f>
        <v>sales record</v>
      </c>
      <c r="AC2772" t="s">
        <v>3</v>
      </c>
      <c r="AD2772">
        <v>41.786873</v>
      </c>
      <c r="AE2772">
        <v>-88.21584300000001</v>
      </c>
      <c r="AF2772" s="5" t="str">
        <f>HYPERLINK("https://www.google.com/maps/search/?api=1&amp;query=41.786873,-88.215843","map")</f>
        <v>map</v>
      </c>
    </row>
    <row r="2773" spans="1:32">
      <c r="A2773" t="s">
        <v>2823</v>
      </c>
      <c r="B2773" t="s">
        <v>10356</v>
      </c>
      <c r="C2773" t="s">
        <v>15478</v>
      </c>
      <c r="D2773" t="s">
        <v>16206</v>
      </c>
      <c r="E2773" t="s">
        <v>16218</v>
      </c>
      <c r="F2773" t="s">
        <v>16220</v>
      </c>
      <c r="G2773" t="s">
        <v>16273</v>
      </c>
      <c r="H2773" t="s">
        <v>16254</v>
      </c>
      <c r="I2773" t="s">
        <v>16351</v>
      </c>
      <c r="J2773" t="s">
        <v>16386</v>
      </c>
      <c r="K2773">
        <v>0.293</v>
      </c>
      <c r="L2773">
        <v>12743</v>
      </c>
      <c r="M2773">
        <v>2227</v>
      </c>
      <c r="N2773" t="s">
        <v>16393</v>
      </c>
      <c r="O2773" s="4">
        <v>46172</v>
      </c>
      <c r="P2773" s="4">
        <v>85643</v>
      </c>
      <c r="Q2773" s="4">
        <v>131815</v>
      </c>
      <c r="R2773" s="4">
        <v>395445</v>
      </c>
      <c r="S2773" t="s">
        <v>19086</v>
      </c>
      <c r="T2773" s="6">
        <v>38991</v>
      </c>
      <c r="U2773" s="4">
        <v>287500</v>
      </c>
      <c r="V2773" t="s">
        <v>23739</v>
      </c>
      <c r="W2773" t="s">
        <v>25070</v>
      </c>
      <c r="X2773" t="s">
        <v>3</v>
      </c>
      <c r="AA2773" s="5" t="str">
        <f>HYPERLINK("https://www.zillow.com/homes/951-CAMPBELL-RD-NAPERVILLE-IL-60563_rb/","check listing")</f>
        <v>check listing</v>
      </c>
      <c r="AB2773" s="5" t="str">
        <f>HYPERLINK("https://propertylookup.dupagecounty.gov/Datalets/Datalet.aspx?UseSearch=no&amp;mode=sales&amp;pin=0709410040","sales record")</f>
        <v>sales record</v>
      </c>
      <c r="AC2773" t="s">
        <v>3</v>
      </c>
      <c r="AD2773">
        <v>41.785769</v>
      </c>
      <c r="AE2773">
        <v>-88.212442</v>
      </c>
      <c r="AF2773" s="5" t="str">
        <f>HYPERLINK("https://www.google.com/maps/search/?api=1&amp;query=41.785769,-88.212442","map")</f>
        <v>map</v>
      </c>
    </row>
    <row r="2774" spans="1:32">
      <c r="A2774" t="s">
        <v>2824</v>
      </c>
      <c r="B2774" t="s">
        <v>10357</v>
      </c>
      <c r="C2774" t="s">
        <v>15475</v>
      </c>
      <c r="D2774" t="s">
        <v>16206</v>
      </c>
      <c r="E2774" t="s">
        <v>16218</v>
      </c>
      <c r="F2774" t="s">
        <v>16220</v>
      </c>
      <c r="G2774" t="s">
        <v>16274</v>
      </c>
      <c r="H2774" t="s">
        <v>16269</v>
      </c>
      <c r="I2774" t="s">
        <v>16352</v>
      </c>
      <c r="J2774" t="s">
        <v>16386</v>
      </c>
      <c r="K2774">
        <v>0.292</v>
      </c>
      <c r="L2774">
        <v>12724</v>
      </c>
      <c r="M2774">
        <v>2309</v>
      </c>
      <c r="N2774" t="s">
        <v>16393</v>
      </c>
      <c r="O2774" s="4">
        <v>65152</v>
      </c>
      <c r="P2774" s="4">
        <v>125176</v>
      </c>
      <c r="Q2774" s="4">
        <v>190328</v>
      </c>
      <c r="R2774" s="4">
        <v>570984</v>
      </c>
      <c r="S2774" t="s">
        <v>19087</v>
      </c>
      <c r="T2774" s="6">
        <v>32813</v>
      </c>
      <c r="U2774" s="4">
        <v>187925</v>
      </c>
      <c r="X2774" t="s">
        <v>3</v>
      </c>
      <c r="AA2774" s="5" t="str">
        <f>HYPERLINK("https://www.zillow.com/homes/973-ELM-CT-NAPERVILLE-IL-60540_rb/","check listing")</f>
        <v>check listing</v>
      </c>
      <c r="AB2774" s="5" t="str">
        <f>HYPERLINK("https://propertylookup.dupagecounty.gov/Datalets/Datalet.aspx?UseSearch=no&amp;mode=sales&amp;pin=0726208009","sales record")</f>
        <v>sales record</v>
      </c>
      <c r="AC2774" t="s">
        <v>3</v>
      </c>
      <c r="AD2774">
        <v>41.750399</v>
      </c>
      <c r="AE2774">
        <v>-88.17345299999999</v>
      </c>
      <c r="AF2774" s="5" t="str">
        <f>HYPERLINK("https://www.google.com/maps/search/?api=1&amp;query=41.750399,-88.173453","map")</f>
        <v>map</v>
      </c>
    </row>
    <row r="2775" spans="1:32">
      <c r="A2775" t="s">
        <v>2825</v>
      </c>
      <c r="B2775" t="s">
        <v>10358</v>
      </c>
      <c r="C2775" t="s">
        <v>15475</v>
      </c>
      <c r="D2775" t="s">
        <v>16206</v>
      </c>
      <c r="E2775" t="s">
        <v>16218</v>
      </c>
      <c r="F2775" t="s">
        <v>16220</v>
      </c>
      <c r="G2775" t="s">
        <v>16274</v>
      </c>
      <c r="H2775" t="s">
        <v>16269</v>
      </c>
      <c r="I2775" t="s">
        <v>16352</v>
      </c>
      <c r="J2775" t="s">
        <v>16386</v>
      </c>
      <c r="K2775">
        <v>0.292</v>
      </c>
      <c r="L2775">
        <v>12709</v>
      </c>
      <c r="M2775">
        <v>2078</v>
      </c>
      <c r="N2775" t="s">
        <v>16393</v>
      </c>
      <c r="O2775" s="4">
        <v>58706</v>
      </c>
      <c r="P2775" s="4">
        <v>118402</v>
      </c>
      <c r="Q2775" s="4">
        <v>177108</v>
      </c>
      <c r="R2775" s="4">
        <v>531324</v>
      </c>
      <c r="S2775" t="s">
        <v>19088</v>
      </c>
      <c r="T2775" s="6">
        <v>38473</v>
      </c>
      <c r="U2775" s="4">
        <v>344000</v>
      </c>
      <c r="V2775" t="s">
        <v>23739</v>
      </c>
      <c r="W2775" t="s">
        <v>25071</v>
      </c>
      <c r="X2775" t="s">
        <v>3</v>
      </c>
      <c r="AA2775" s="5" t="str">
        <f>HYPERLINK("https://www.zillow.com/homes/905-ELM-ST-NAPERVILLE-IL-60540_rb/","check listing")</f>
        <v>check listing</v>
      </c>
      <c r="AB2775" s="5" t="str">
        <f>HYPERLINK("https://propertylookup.dupagecounty.gov/Datalets/Datalet.aspx?UseSearch=no&amp;mode=sales&amp;pin=0726208026","sales record")</f>
        <v>sales record</v>
      </c>
      <c r="AC2775" t="s">
        <v>3</v>
      </c>
      <c r="AD2775">
        <v>41.753971</v>
      </c>
      <c r="AE2775">
        <v>-88.17411800000001</v>
      </c>
      <c r="AF2775" s="5" t="str">
        <f>HYPERLINK("https://www.google.com/maps/search/?api=1&amp;query=41.753971,-88.174118","map")</f>
        <v>map</v>
      </c>
    </row>
    <row r="2776" spans="1:32">
      <c r="A2776" t="s">
        <v>2826</v>
      </c>
      <c r="B2776" t="s">
        <v>10359</v>
      </c>
      <c r="C2776" t="s">
        <v>15501</v>
      </c>
      <c r="D2776" t="s">
        <v>16206</v>
      </c>
      <c r="E2776" t="s">
        <v>16218</v>
      </c>
      <c r="F2776" t="s">
        <v>16220</v>
      </c>
      <c r="G2776" t="s">
        <v>16274</v>
      </c>
      <c r="H2776" t="s">
        <v>16269</v>
      </c>
      <c r="I2776" t="s">
        <v>16352</v>
      </c>
      <c r="J2776" t="s">
        <v>16386</v>
      </c>
      <c r="K2776">
        <v>0.291</v>
      </c>
      <c r="L2776">
        <v>12680</v>
      </c>
      <c r="M2776">
        <v>3166</v>
      </c>
      <c r="N2776" t="s">
        <v>16393</v>
      </c>
      <c r="O2776" s="4">
        <v>84716</v>
      </c>
      <c r="P2776" s="4">
        <v>155769</v>
      </c>
      <c r="Q2776" s="4">
        <v>240485</v>
      </c>
      <c r="R2776" s="4">
        <v>721455</v>
      </c>
      <c r="S2776" t="s">
        <v>19089</v>
      </c>
      <c r="T2776" s="6">
        <v>33420</v>
      </c>
      <c r="U2776" s="4">
        <v>251000</v>
      </c>
      <c r="X2776" t="s">
        <v>3</v>
      </c>
      <c r="AA2776" s="5" t="str">
        <f>HYPERLINK("https://www.zillow.com/homes/1164-DICKENS-AVE-NAPERVILLE-IL-605634301_rb/","check listing")</f>
        <v>check listing</v>
      </c>
      <c r="AB2776" s="5" t="str">
        <f>HYPERLINK("https://propertylookup.dupagecounty.gov/Datalets/Datalet.aspx?UseSearch=no&amp;mode=sales&amp;pin=0808314017","sales record")</f>
        <v>sales record</v>
      </c>
      <c r="AC2776" t="s">
        <v>3</v>
      </c>
      <c r="AD2776">
        <v>41.791237</v>
      </c>
      <c r="AE2776">
        <v>-88.125485</v>
      </c>
      <c r="AF2776" s="5" t="str">
        <f>HYPERLINK("https://www.google.com/maps/search/?api=1&amp;query=41.791237,-88.125485","map")</f>
        <v>map</v>
      </c>
    </row>
    <row r="2777" spans="1:32">
      <c r="A2777" t="s">
        <v>2827</v>
      </c>
      <c r="B2777" t="s">
        <v>10360</v>
      </c>
      <c r="C2777" t="s">
        <v>15475</v>
      </c>
      <c r="D2777" t="s">
        <v>16206</v>
      </c>
      <c r="E2777" t="s">
        <v>16218</v>
      </c>
      <c r="F2777" t="s">
        <v>16220</v>
      </c>
      <c r="G2777" t="s">
        <v>16274</v>
      </c>
      <c r="H2777" t="s">
        <v>16269</v>
      </c>
      <c r="I2777" t="s">
        <v>16352</v>
      </c>
      <c r="J2777" t="s">
        <v>16386</v>
      </c>
      <c r="K2777">
        <v>0.289</v>
      </c>
      <c r="L2777">
        <v>12600</v>
      </c>
      <c r="M2777">
        <v>3578</v>
      </c>
      <c r="N2777" t="s">
        <v>16393</v>
      </c>
      <c r="O2777" s="4">
        <v>48674</v>
      </c>
      <c r="P2777" s="4">
        <v>139785</v>
      </c>
      <c r="Q2777" s="4">
        <v>188459</v>
      </c>
      <c r="R2777" s="4">
        <v>565377</v>
      </c>
      <c r="S2777" t="s">
        <v>19090</v>
      </c>
      <c r="T2777" s="6">
        <v>33482</v>
      </c>
      <c r="U2777" s="4">
        <v>187000</v>
      </c>
      <c r="X2777" t="s">
        <v>3</v>
      </c>
      <c r="AA2777" s="5" t="str">
        <f>HYPERLINK("https://www.zillow.com/homes/597-OAKHURST-DR-NAPERVILLE-IL-60540_rb/","check listing")</f>
        <v>check listing</v>
      </c>
      <c r="AB2777" s="5" t="str">
        <f>HYPERLINK("https://propertylookup.dupagecounty.gov/Datalets/Datalet.aspx?UseSearch=no&amp;mode=sales&amp;pin=0723304029","sales record")</f>
        <v>sales record</v>
      </c>
      <c r="AC2777" t="s">
        <v>3</v>
      </c>
      <c r="AD2777">
        <v>41.761588</v>
      </c>
      <c r="AE2777">
        <v>-88.17863199999999</v>
      </c>
      <c r="AF2777" s="5" t="str">
        <f>HYPERLINK("https://www.google.com/maps/search/?api=1&amp;query=41.761588,-88.178632","map")</f>
        <v>map</v>
      </c>
    </row>
    <row r="2778" spans="1:32">
      <c r="A2778" t="s">
        <v>2828</v>
      </c>
      <c r="B2778" t="s">
        <v>10361</v>
      </c>
      <c r="C2778" t="s">
        <v>15502</v>
      </c>
      <c r="D2778" t="s">
        <v>16206</v>
      </c>
      <c r="E2778" t="s">
        <v>16218</v>
      </c>
      <c r="F2778" t="s">
        <v>16220</v>
      </c>
      <c r="G2778" t="s">
        <v>16274</v>
      </c>
      <c r="H2778" t="s">
        <v>16269</v>
      </c>
      <c r="I2778" t="s">
        <v>16352</v>
      </c>
      <c r="J2778" t="s">
        <v>16386</v>
      </c>
      <c r="K2778">
        <v>0.289</v>
      </c>
      <c r="L2778">
        <v>12600</v>
      </c>
      <c r="M2778">
        <v>2803</v>
      </c>
      <c r="N2778" t="s">
        <v>16393</v>
      </c>
      <c r="O2778" s="4">
        <v>48674</v>
      </c>
      <c r="P2778" s="4">
        <v>149770</v>
      </c>
      <c r="Q2778" s="4">
        <v>198444</v>
      </c>
      <c r="R2778" s="4">
        <v>595332</v>
      </c>
      <c r="S2778" t="s">
        <v>19091</v>
      </c>
      <c r="T2778" s="6">
        <v>44747</v>
      </c>
      <c r="U2778" s="4">
        <v>650000</v>
      </c>
      <c r="V2778" t="s">
        <v>23741</v>
      </c>
      <c r="W2778" t="s">
        <v>25072</v>
      </c>
      <c r="X2778" t="s">
        <v>3</v>
      </c>
      <c r="AA2778" s="5" t="str">
        <f>HYPERLINK("https://www.zillow.com/homes/598-S-WHISPERING-HILLS-NAPERVILLE-IL-605403301_rb/","check listing")</f>
        <v>check listing</v>
      </c>
      <c r="AB2778" s="5" t="str">
        <f>HYPERLINK("https://propertylookup.dupagecounty.gov/Datalets/Datalet.aspx?UseSearch=no&amp;mode=sales&amp;pin=0723304023","sales record")</f>
        <v>sales record</v>
      </c>
      <c r="AC2778" t="s">
        <v>3</v>
      </c>
      <c r="AD2778">
        <v>41.761093</v>
      </c>
      <c r="AE2778">
        <v>-88.180243</v>
      </c>
      <c r="AF2778" s="5" t="str">
        <f>HYPERLINK("https://www.google.com/maps/search/?api=1&amp;query=41.761093,-88.180243","map")</f>
        <v>map</v>
      </c>
    </row>
    <row r="2779" spans="1:32">
      <c r="A2779" t="s">
        <v>2829</v>
      </c>
      <c r="B2779" t="s">
        <v>10362</v>
      </c>
      <c r="C2779" t="s">
        <v>15475</v>
      </c>
      <c r="D2779" t="s">
        <v>16206</v>
      </c>
      <c r="E2779" t="s">
        <v>16218</v>
      </c>
      <c r="F2779" t="s">
        <v>16220</v>
      </c>
      <c r="G2779" t="s">
        <v>16274</v>
      </c>
      <c r="H2779" t="s">
        <v>16269</v>
      </c>
      <c r="I2779" t="s">
        <v>16352</v>
      </c>
      <c r="J2779" t="s">
        <v>16386</v>
      </c>
      <c r="K2779">
        <v>0.288</v>
      </c>
      <c r="L2779">
        <v>12544</v>
      </c>
      <c r="M2779">
        <v>2474</v>
      </c>
      <c r="N2779" t="s">
        <v>16393</v>
      </c>
      <c r="O2779" s="4">
        <v>58060</v>
      </c>
      <c r="P2779" s="4">
        <v>184115</v>
      </c>
      <c r="Q2779" s="4">
        <v>242175</v>
      </c>
      <c r="R2779" s="4">
        <v>726525</v>
      </c>
      <c r="S2779" t="s">
        <v>19092</v>
      </c>
      <c r="T2779" s="6">
        <v>34274</v>
      </c>
      <c r="U2779" s="4">
        <v>289900</v>
      </c>
      <c r="X2779" t="s">
        <v>3</v>
      </c>
      <c r="AA2779" s="5" t="str">
        <f>HYPERLINK("https://www.zillow.com/homes/1707-CHEPSTOW-CT-NAPERVILLE-IL-60540_rb/","check listing")</f>
        <v>check listing</v>
      </c>
      <c r="AB2779" s="5" t="str">
        <f>HYPERLINK("https://propertylookup.dupagecounty.gov/Datalets/Datalet.aspx?UseSearch=no&amp;mode=sales&amp;pin=0723310003","sales record")</f>
        <v>sales record</v>
      </c>
      <c r="AC2779" t="s">
        <v>3</v>
      </c>
      <c r="AD2779">
        <v>41.756454</v>
      </c>
      <c r="AE2779">
        <v>-88.184594</v>
      </c>
      <c r="AF2779" s="5" t="str">
        <f>HYPERLINK("https://www.google.com/maps/search/?api=1&amp;query=41.756454,-88.184594","map")</f>
        <v>map</v>
      </c>
    </row>
    <row r="2780" spans="1:32">
      <c r="A2780" t="s">
        <v>2830</v>
      </c>
      <c r="B2780" t="s">
        <v>10363</v>
      </c>
      <c r="C2780" t="s">
        <v>15475</v>
      </c>
      <c r="D2780" t="s">
        <v>16206</v>
      </c>
      <c r="E2780" t="s">
        <v>16218</v>
      </c>
      <c r="F2780" t="s">
        <v>16220</v>
      </c>
      <c r="G2780" t="s">
        <v>16274</v>
      </c>
      <c r="H2780" t="s">
        <v>16269</v>
      </c>
      <c r="I2780" t="s">
        <v>16352</v>
      </c>
      <c r="J2780" t="s">
        <v>16386</v>
      </c>
      <c r="K2780">
        <v>0.288</v>
      </c>
      <c r="L2780">
        <v>12537</v>
      </c>
      <c r="M2780">
        <v>3033</v>
      </c>
      <c r="N2780" t="s">
        <v>16393</v>
      </c>
      <c r="O2780" s="4">
        <v>53007</v>
      </c>
      <c r="P2780" s="4">
        <v>140701</v>
      </c>
      <c r="Q2780" s="4">
        <v>193708</v>
      </c>
      <c r="R2780" s="4">
        <v>581124</v>
      </c>
      <c r="S2780" t="s">
        <v>19093</v>
      </c>
      <c r="T2780" s="6">
        <v>32417</v>
      </c>
      <c r="U2780" s="4">
        <v>197515</v>
      </c>
      <c r="X2780" t="s">
        <v>3</v>
      </c>
      <c r="AA2780" s="5" t="str">
        <f>HYPERLINK("https://www.zillow.com/homes/1212-ARDMORE-DR-NAPERVILLE-IL-60540_rb/","check listing")</f>
        <v>check listing</v>
      </c>
      <c r="AB2780" s="5" t="str">
        <f>HYPERLINK("https://propertylookup.dupagecounty.gov/Datalets/Datalet.aspx?UseSearch=no&amp;mode=sales&amp;pin=0726206014","sales record")</f>
        <v>sales record</v>
      </c>
      <c r="AC2780" t="s">
        <v>3</v>
      </c>
      <c r="AD2780">
        <v>41.754035</v>
      </c>
      <c r="AE2780">
        <v>-88.16921600000001</v>
      </c>
      <c r="AF2780" s="5" t="str">
        <f>HYPERLINK("https://www.google.com/maps/search/?api=1&amp;query=41.754035,-88.169216","map")</f>
        <v>map</v>
      </c>
    </row>
    <row r="2781" spans="1:32">
      <c r="A2781" t="s">
        <v>2831</v>
      </c>
      <c r="B2781" t="s">
        <v>10364</v>
      </c>
      <c r="C2781" t="s">
        <v>15475</v>
      </c>
      <c r="D2781" t="s">
        <v>16206</v>
      </c>
      <c r="E2781" t="s">
        <v>16218</v>
      </c>
      <c r="F2781" t="s">
        <v>16220</v>
      </c>
      <c r="G2781" t="s">
        <v>16275</v>
      </c>
      <c r="H2781" t="s">
        <v>16276</v>
      </c>
      <c r="I2781" t="s">
        <v>16352</v>
      </c>
      <c r="J2781" t="s">
        <v>16386</v>
      </c>
      <c r="K2781">
        <v>0.286</v>
      </c>
      <c r="L2781">
        <v>12438</v>
      </c>
      <c r="M2781">
        <v>1979</v>
      </c>
      <c r="N2781" t="s">
        <v>16393</v>
      </c>
      <c r="O2781" s="4">
        <v>58706</v>
      </c>
      <c r="P2781" s="4">
        <v>112410</v>
      </c>
      <c r="Q2781" s="4">
        <v>171116</v>
      </c>
      <c r="R2781" s="4">
        <v>513348</v>
      </c>
      <c r="S2781" t="s">
        <v>19094</v>
      </c>
      <c r="T2781" s="6">
        <v>45730</v>
      </c>
      <c r="U2781" s="4">
        <v>558000</v>
      </c>
      <c r="V2781" t="s">
        <v>23739</v>
      </c>
      <c r="W2781" t="s">
        <v>25073</v>
      </c>
      <c r="X2781" t="s">
        <v>3</v>
      </c>
      <c r="AA2781" s="5" t="str">
        <f>HYPERLINK("https://www.zillow.com/homes/1143-LAKEWOOD-CIR-NAPERVILLE-IL-60540_rb/","check listing")</f>
        <v>check listing</v>
      </c>
      <c r="AB2781" s="5" t="str">
        <f>HYPERLINK("https://propertylookup.dupagecounty.gov/Datalets/Datalet.aspx?UseSearch=no&amp;mode=sales&amp;pin=0727205022","sales record")</f>
        <v>sales record</v>
      </c>
      <c r="AC2781" t="s">
        <v>3</v>
      </c>
      <c r="AD2781">
        <v>41.750837</v>
      </c>
      <c r="AE2781">
        <v>-88.19038</v>
      </c>
      <c r="AF2781" s="5" t="str">
        <f>HYPERLINK("https://www.google.com/maps/search/?api=1&amp;query=41.750837,-88.19038","map")</f>
        <v>map</v>
      </c>
    </row>
    <row r="2782" spans="1:32">
      <c r="A2782" t="s">
        <v>2832</v>
      </c>
      <c r="B2782" t="s">
        <v>10365</v>
      </c>
      <c r="C2782" t="s">
        <v>15475</v>
      </c>
      <c r="D2782" t="s">
        <v>16206</v>
      </c>
      <c r="E2782" t="s">
        <v>16218</v>
      </c>
      <c r="F2782" t="s">
        <v>16220</v>
      </c>
      <c r="G2782" t="s">
        <v>16275</v>
      </c>
      <c r="H2782" t="s">
        <v>16276</v>
      </c>
      <c r="I2782" t="s">
        <v>16352</v>
      </c>
      <c r="J2782" t="s">
        <v>16386</v>
      </c>
      <c r="K2782">
        <v>0.285</v>
      </c>
      <c r="L2782">
        <v>12434</v>
      </c>
      <c r="M2782">
        <v>1814</v>
      </c>
      <c r="N2782" t="s">
        <v>16393</v>
      </c>
      <c r="O2782" s="4">
        <v>51103</v>
      </c>
      <c r="P2782" s="4">
        <v>99411</v>
      </c>
      <c r="Q2782" s="4">
        <v>150514</v>
      </c>
      <c r="R2782" s="4">
        <v>451542</v>
      </c>
      <c r="S2782" t="s">
        <v>19095</v>
      </c>
      <c r="T2782" s="6">
        <v>39630</v>
      </c>
      <c r="U2782" s="4">
        <v>290000</v>
      </c>
      <c r="V2782" t="s">
        <v>23739</v>
      </c>
      <c r="W2782" t="s">
        <v>25074</v>
      </c>
      <c r="X2782" t="s">
        <v>3</v>
      </c>
      <c r="AA2782" s="5" t="str">
        <f>HYPERLINK("https://www.zillow.com/homes/2316-PERIWINKLE-CT-NAPERVILLE-IL-60540_rb/","check listing")</f>
        <v>check listing</v>
      </c>
      <c r="AB2782" s="5" t="str">
        <f>HYPERLINK("https://propertylookup.dupagecounty.gov/Datalets/Datalet.aspx?UseSearch=no&amp;mode=sales&amp;pin=0722407033","sales record")</f>
        <v>sales record</v>
      </c>
      <c r="AC2782" t="s">
        <v>3</v>
      </c>
      <c r="AD2782">
        <v>41.758123</v>
      </c>
      <c r="AE2782">
        <v>-88.192318</v>
      </c>
      <c r="AF2782" s="5" t="str">
        <f>HYPERLINK("https://www.google.com/maps/search/?api=1&amp;query=41.758123,-88.192318","map")</f>
        <v>map</v>
      </c>
    </row>
    <row r="2783" spans="1:32">
      <c r="A2783" t="s">
        <v>2833</v>
      </c>
      <c r="B2783" t="s">
        <v>10366</v>
      </c>
      <c r="C2783" t="s">
        <v>15476</v>
      </c>
      <c r="D2783" t="s">
        <v>16206</v>
      </c>
      <c r="E2783" t="s">
        <v>16218</v>
      </c>
      <c r="F2783" t="s">
        <v>16220</v>
      </c>
      <c r="G2783" t="s">
        <v>16269</v>
      </c>
      <c r="H2783" t="s">
        <v>16269</v>
      </c>
      <c r="I2783" t="s">
        <v>16352</v>
      </c>
      <c r="J2783" t="s">
        <v>16386</v>
      </c>
      <c r="K2783">
        <v>0.285</v>
      </c>
      <c r="L2783">
        <v>12403</v>
      </c>
      <c r="M2783">
        <v>2472</v>
      </c>
      <c r="N2783" t="s">
        <v>16393</v>
      </c>
      <c r="O2783" s="4">
        <v>77141</v>
      </c>
      <c r="P2783" s="4">
        <v>114944</v>
      </c>
      <c r="Q2783" s="4">
        <v>192085</v>
      </c>
      <c r="R2783" s="4">
        <v>576255</v>
      </c>
      <c r="S2783" t="s">
        <v>19096</v>
      </c>
      <c r="T2783" s="6">
        <v>36770</v>
      </c>
      <c r="U2783" s="4">
        <v>269000</v>
      </c>
      <c r="V2783" t="s">
        <v>23739</v>
      </c>
      <c r="W2783" t="s">
        <v>25075</v>
      </c>
      <c r="X2783" t="s">
        <v>3</v>
      </c>
      <c r="AA2783" s="5" t="str">
        <f>HYPERLINK("https://www.zillow.com/homes/1736-NAPOLEON-DR-NAPERVILLE-IL-60565_rb/","check listing")</f>
        <v>check listing</v>
      </c>
      <c r="AB2783" s="5" t="str">
        <f>HYPERLINK("https://propertylookup.dupagecounty.gov/Datalets/Datalet.aspx?UseSearch=no&amp;mode=sales&amp;pin=0832115028","sales record")</f>
        <v>sales record</v>
      </c>
      <c r="AC2783" t="s">
        <v>3</v>
      </c>
      <c r="AD2783">
        <v>41.735848</v>
      </c>
      <c r="AE2783">
        <v>-88.120155</v>
      </c>
      <c r="AF2783" s="5" t="str">
        <f>HYPERLINK("https://www.google.com/maps/search/?api=1&amp;query=41.735848,-88.120155","map")</f>
        <v>map</v>
      </c>
    </row>
    <row r="2784" spans="1:32">
      <c r="A2784" t="s">
        <v>2834</v>
      </c>
      <c r="B2784" t="s">
        <v>10367</v>
      </c>
      <c r="C2784" t="s">
        <v>15475</v>
      </c>
      <c r="D2784" t="s">
        <v>16206</v>
      </c>
      <c r="E2784" t="s">
        <v>16218</v>
      </c>
      <c r="F2784" t="s">
        <v>16220</v>
      </c>
      <c r="G2784" t="s">
        <v>16274</v>
      </c>
      <c r="H2784" t="s">
        <v>16269</v>
      </c>
      <c r="I2784" t="s">
        <v>16352</v>
      </c>
      <c r="J2784" t="s">
        <v>16386</v>
      </c>
      <c r="K2784">
        <v>0.284</v>
      </c>
      <c r="L2784">
        <v>12384</v>
      </c>
      <c r="M2784">
        <v>2771</v>
      </c>
      <c r="N2784" t="s">
        <v>16393</v>
      </c>
      <c r="O2784" s="4">
        <v>58060</v>
      </c>
      <c r="P2784" s="4">
        <v>177305</v>
      </c>
      <c r="Q2784" s="4">
        <v>235365</v>
      </c>
      <c r="R2784" s="4">
        <v>706095</v>
      </c>
      <c r="S2784" t="s">
        <v>19097</v>
      </c>
      <c r="T2784" s="6">
        <v>37561</v>
      </c>
      <c r="U2784" s="4">
        <v>380000</v>
      </c>
      <c r="V2784" t="s">
        <v>23739</v>
      </c>
      <c r="W2784" t="s">
        <v>25076</v>
      </c>
      <c r="X2784" t="s">
        <v>3</v>
      </c>
      <c r="AA2784" s="5" t="str">
        <f>HYPERLINK("https://www.zillow.com/homes/1743-CHADWICKE-CIR-NAPERVILLE-IL-60540_rb/","check listing")</f>
        <v>check listing</v>
      </c>
      <c r="AB2784" s="5" t="str">
        <f>HYPERLINK("https://propertylookup.dupagecounty.gov/Datalets/Datalet.aspx?UseSearch=no&amp;mode=sales&amp;pin=0723311016","sales record")</f>
        <v>sales record</v>
      </c>
      <c r="AC2784" t="s">
        <v>3</v>
      </c>
      <c r="AD2784">
        <v>41.75556</v>
      </c>
      <c r="AE2784">
        <v>-88.186008</v>
      </c>
      <c r="AF2784" s="5" t="str">
        <f>HYPERLINK("https://www.google.com/maps/search/?api=1&amp;query=41.75556,-88.186008","map")</f>
        <v>map</v>
      </c>
    </row>
    <row r="2785" spans="1:32">
      <c r="A2785" t="s">
        <v>2835</v>
      </c>
      <c r="B2785" t="s">
        <v>10368</v>
      </c>
      <c r="C2785" t="s">
        <v>15503</v>
      </c>
      <c r="D2785" t="s">
        <v>16206</v>
      </c>
      <c r="E2785" t="s">
        <v>16218</v>
      </c>
      <c r="F2785" t="s">
        <v>16220</v>
      </c>
      <c r="G2785" t="s">
        <v>16274</v>
      </c>
      <c r="H2785" t="s">
        <v>16269</v>
      </c>
      <c r="I2785" t="s">
        <v>16352</v>
      </c>
      <c r="J2785" t="s">
        <v>16386</v>
      </c>
      <c r="K2785">
        <v>0.284</v>
      </c>
      <c r="L2785">
        <v>12379</v>
      </c>
      <c r="M2785">
        <v>3005</v>
      </c>
      <c r="N2785" t="s">
        <v>16393</v>
      </c>
      <c r="O2785" s="4">
        <v>58060</v>
      </c>
      <c r="P2785" s="4">
        <v>187765</v>
      </c>
      <c r="Q2785" s="4">
        <v>245825</v>
      </c>
      <c r="R2785" s="4">
        <v>737475</v>
      </c>
      <c r="S2785" t="s">
        <v>19098</v>
      </c>
      <c r="T2785" s="6">
        <v>34121</v>
      </c>
      <c r="U2785" s="4">
        <v>289600</v>
      </c>
      <c r="X2785" t="s">
        <v>3</v>
      </c>
      <c r="AA2785" s="5" t="str">
        <f>HYPERLINK("https://www.zillow.com/homes/1763-CHADWICKE-CIR-NAPERVILLE-IL-605400398_rb/","check listing")</f>
        <v>check listing</v>
      </c>
      <c r="AB2785" s="5" t="str">
        <f>HYPERLINK("https://propertylookup.dupagecounty.gov/Datalets/Datalet.aspx?UseSearch=no&amp;mode=sales&amp;pin=0723311021","sales record")</f>
        <v>sales record</v>
      </c>
      <c r="AC2785" t="s">
        <v>3</v>
      </c>
      <c r="AD2785">
        <v>41.754922</v>
      </c>
      <c r="AE2785">
        <v>-88.185163</v>
      </c>
      <c r="AF2785" s="5" t="str">
        <f>HYPERLINK("https://www.google.com/maps/search/?api=1&amp;query=41.754922,-88.185163","map")</f>
        <v>map</v>
      </c>
    </row>
    <row r="2786" spans="1:32">
      <c r="A2786" t="s">
        <v>2836</v>
      </c>
      <c r="B2786" t="s">
        <v>10369</v>
      </c>
      <c r="C2786" t="s">
        <v>15475</v>
      </c>
      <c r="D2786" t="s">
        <v>16206</v>
      </c>
      <c r="E2786" t="s">
        <v>16218</v>
      </c>
      <c r="F2786" t="s">
        <v>16220</v>
      </c>
      <c r="G2786" t="s">
        <v>16276</v>
      </c>
      <c r="H2786" t="s">
        <v>16276</v>
      </c>
      <c r="I2786" t="s">
        <v>16352</v>
      </c>
      <c r="J2786" t="s">
        <v>16386</v>
      </c>
      <c r="K2786">
        <v>0.283</v>
      </c>
      <c r="L2786">
        <v>12322</v>
      </c>
      <c r="M2786">
        <v>1973</v>
      </c>
      <c r="N2786" t="s">
        <v>16393</v>
      </c>
      <c r="O2786" s="4">
        <v>61819</v>
      </c>
      <c r="P2786" s="4">
        <v>113447</v>
      </c>
      <c r="Q2786" s="4">
        <v>175266</v>
      </c>
      <c r="R2786" s="4">
        <v>525798</v>
      </c>
      <c r="S2786" t="s">
        <v>19099</v>
      </c>
      <c r="T2786" s="6">
        <v>37681</v>
      </c>
      <c r="U2786" s="4">
        <v>265000</v>
      </c>
      <c r="V2786" t="s">
        <v>23739</v>
      </c>
      <c r="W2786" t="s">
        <v>25077</v>
      </c>
      <c r="X2786" t="s">
        <v>3</v>
      </c>
      <c r="AA2786" s="5" t="str">
        <f>HYPERLINK("https://www.zillow.com/homes/908-MATTHEW-CT-NAPERVILLE-IL-60540_rb/","check listing")</f>
        <v>check listing</v>
      </c>
      <c r="AB2786" s="5" t="str">
        <f>HYPERLINK("https://propertylookup.dupagecounty.gov/Datalets/Datalet.aspx?UseSearch=no&amp;mode=sales&amp;pin=0727209011","sales record")</f>
        <v>sales record</v>
      </c>
      <c r="AC2786" t="s">
        <v>3</v>
      </c>
      <c r="AD2786">
        <v>41.75392</v>
      </c>
      <c r="AE2786">
        <v>-88.190303</v>
      </c>
      <c r="AF2786" s="5" t="str">
        <f>HYPERLINK("https://www.google.com/maps/search/?api=1&amp;query=41.75392,-88.190303","map")</f>
        <v>map</v>
      </c>
    </row>
    <row r="2787" spans="1:32">
      <c r="A2787" t="s">
        <v>2837</v>
      </c>
      <c r="B2787" t="s">
        <v>10370</v>
      </c>
      <c r="C2787" t="s">
        <v>15478</v>
      </c>
      <c r="D2787" t="s">
        <v>16206</v>
      </c>
      <c r="E2787" t="s">
        <v>16218</v>
      </c>
      <c r="F2787" t="s">
        <v>16220</v>
      </c>
      <c r="G2787" t="s">
        <v>16273</v>
      </c>
      <c r="H2787" t="s">
        <v>16254</v>
      </c>
      <c r="I2787" t="s">
        <v>16351</v>
      </c>
      <c r="J2787" t="s">
        <v>16386</v>
      </c>
      <c r="K2787">
        <v>0.282</v>
      </c>
      <c r="L2787">
        <v>12297</v>
      </c>
      <c r="M2787">
        <v>2144</v>
      </c>
      <c r="N2787" t="s">
        <v>16393</v>
      </c>
      <c r="O2787" s="4">
        <v>56241</v>
      </c>
      <c r="P2787" s="4">
        <v>132646</v>
      </c>
      <c r="Q2787" s="4">
        <v>188887</v>
      </c>
      <c r="R2787" s="4">
        <v>566661</v>
      </c>
      <c r="S2787" t="s">
        <v>19100</v>
      </c>
      <c r="T2787" s="6">
        <v>36251</v>
      </c>
      <c r="U2787" s="4">
        <v>220000</v>
      </c>
      <c r="X2787" t="s">
        <v>3</v>
      </c>
      <c r="AA2787" s="5" t="str">
        <f>HYPERLINK("https://www.zillow.com/homes/1020-PRAIRIE-VIEW-CT-NAPERVILLE-IL-60563_rb/","check listing")</f>
        <v>check listing</v>
      </c>
      <c r="AB2787" s="5" t="str">
        <f>HYPERLINK("https://propertylookup.dupagecounty.gov/Datalets/Datalet.aspx?UseSearch=no&amp;mode=sales&amp;pin=0709410027","sales record")</f>
        <v>sales record</v>
      </c>
      <c r="AC2787" t="s">
        <v>3</v>
      </c>
      <c r="AD2787">
        <v>41.787084</v>
      </c>
      <c r="AE2787">
        <v>-88.21284199999999</v>
      </c>
      <c r="AF2787" s="5" t="str">
        <f>HYPERLINK("https://www.google.com/maps/search/?api=1&amp;query=41.787084,-88.212842","map")</f>
        <v>map</v>
      </c>
    </row>
    <row r="2788" spans="1:32">
      <c r="A2788" t="s">
        <v>2838</v>
      </c>
      <c r="B2788" t="s">
        <v>10371</v>
      </c>
      <c r="C2788" t="s">
        <v>15478</v>
      </c>
      <c r="D2788" t="s">
        <v>16206</v>
      </c>
      <c r="E2788" t="s">
        <v>16218</v>
      </c>
      <c r="F2788" t="s">
        <v>16220</v>
      </c>
      <c r="G2788" t="s">
        <v>16274</v>
      </c>
      <c r="H2788" t="s">
        <v>16269</v>
      </c>
      <c r="I2788" t="s">
        <v>16352</v>
      </c>
      <c r="J2788" t="s">
        <v>16386</v>
      </c>
      <c r="K2788">
        <v>0.282</v>
      </c>
      <c r="L2788">
        <v>12293</v>
      </c>
      <c r="M2788">
        <v>1979</v>
      </c>
      <c r="N2788" t="s">
        <v>16393</v>
      </c>
      <c r="O2788" s="4">
        <v>60269</v>
      </c>
      <c r="P2788" s="4">
        <v>125262</v>
      </c>
      <c r="Q2788" s="4">
        <v>185531</v>
      </c>
      <c r="R2788" s="4">
        <v>556593</v>
      </c>
      <c r="S2788" t="s">
        <v>19101</v>
      </c>
      <c r="T2788" s="6">
        <v>39203</v>
      </c>
      <c r="U2788" s="4">
        <v>359000</v>
      </c>
      <c r="V2788" t="s">
        <v>23739</v>
      </c>
      <c r="W2788" t="s">
        <v>25078</v>
      </c>
      <c r="X2788" t="s">
        <v>3</v>
      </c>
      <c r="AA2788" s="5" t="str">
        <f>HYPERLINK("https://www.zillow.com/homes/809-ANTHONY-CT-NAPERVILLE-IL-60563_rb/","check listing")</f>
        <v>check listing</v>
      </c>
      <c r="AB2788" s="5" t="str">
        <f>HYPERLINK("https://propertylookup.dupagecounty.gov/Datalets/Datalet.aspx?UseSearch=no&amp;mode=sales&amp;pin=0715203013","sales record")</f>
        <v>sales record</v>
      </c>
      <c r="AC2788" t="s">
        <v>3</v>
      </c>
      <c r="AD2788">
        <v>41.782605</v>
      </c>
      <c r="AE2788">
        <v>-88.193077</v>
      </c>
      <c r="AF2788" s="5" t="str">
        <f>HYPERLINK("https://www.google.com/maps/search/?api=1&amp;query=41.782605,-88.193077","map")</f>
        <v>map</v>
      </c>
    </row>
    <row r="2789" spans="1:32">
      <c r="A2789" t="s">
        <v>2839</v>
      </c>
      <c r="B2789" t="s">
        <v>10372</v>
      </c>
      <c r="C2789" t="s">
        <v>15504</v>
      </c>
      <c r="D2789" t="s">
        <v>16206</v>
      </c>
      <c r="E2789" t="s">
        <v>16218</v>
      </c>
      <c r="F2789" t="s">
        <v>16220</v>
      </c>
      <c r="G2789" t="s">
        <v>16274</v>
      </c>
      <c r="H2789" t="s">
        <v>16269</v>
      </c>
      <c r="I2789" t="s">
        <v>16352</v>
      </c>
      <c r="J2789" t="s">
        <v>16386</v>
      </c>
      <c r="K2789">
        <v>0.282</v>
      </c>
      <c r="L2789">
        <v>12264</v>
      </c>
      <c r="M2789">
        <v>2771</v>
      </c>
      <c r="N2789" t="s">
        <v>16393</v>
      </c>
      <c r="O2789" s="4">
        <v>49492</v>
      </c>
      <c r="P2789" s="4">
        <v>139847</v>
      </c>
      <c r="Q2789" s="4">
        <v>189339</v>
      </c>
      <c r="R2789" s="4">
        <v>568017</v>
      </c>
      <c r="S2789" t="s">
        <v>19102</v>
      </c>
      <c r="T2789" s="6">
        <v>44593</v>
      </c>
      <c r="U2789" s="4">
        <v>445000</v>
      </c>
      <c r="V2789" t="s">
        <v>23739</v>
      </c>
      <c r="W2789" t="s">
        <v>25079</v>
      </c>
      <c r="X2789" t="s">
        <v>3</v>
      </c>
      <c r="AA2789" s="5" t="str">
        <f>HYPERLINK("https://www.zillow.com/homes/1258-ARDMORE-DR-NAPERVILLE-IL-605400306_rb/","check listing")</f>
        <v>check listing</v>
      </c>
      <c r="AB2789" s="5" t="str">
        <f>HYPERLINK("https://propertylookup.dupagecounty.gov/Datalets/Datalet.aspx?UseSearch=no&amp;mode=sales&amp;pin=0726205001","sales record")</f>
        <v>sales record</v>
      </c>
      <c r="AC2789" t="s">
        <v>3</v>
      </c>
      <c r="AD2789">
        <v>41.753294</v>
      </c>
      <c r="AE2789">
        <v>-88.172183</v>
      </c>
      <c r="AF2789" s="5" t="str">
        <f>HYPERLINK("https://www.google.com/maps/search/?api=1&amp;query=41.753294,-88.172183","map")</f>
        <v>map</v>
      </c>
    </row>
    <row r="2790" spans="1:32">
      <c r="A2790" t="s">
        <v>2840</v>
      </c>
      <c r="B2790" t="s">
        <v>10373</v>
      </c>
      <c r="C2790" t="s">
        <v>15475</v>
      </c>
      <c r="D2790" t="s">
        <v>16206</v>
      </c>
      <c r="E2790" t="s">
        <v>16218</v>
      </c>
      <c r="F2790" t="s">
        <v>16220</v>
      </c>
      <c r="G2790" t="s">
        <v>16274</v>
      </c>
      <c r="H2790" t="s">
        <v>16269</v>
      </c>
      <c r="I2790" t="s">
        <v>16352</v>
      </c>
      <c r="J2790" t="s">
        <v>16386</v>
      </c>
      <c r="K2790">
        <v>0.281</v>
      </c>
      <c r="L2790">
        <v>12260</v>
      </c>
      <c r="M2790">
        <v>3133</v>
      </c>
      <c r="N2790" t="s">
        <v>16393</v>
      </c>
      <c r="O2790" s="4">
        <v>58060</v>
      </c>
      <c r="P2790" s="4">
        <v>181198</v>
      </c>
      <c r="Q2790" s="4">
        <v>239258</v>
      </c>
      <c r="R2790" s="4">
        <v>717774</v>
      </c>
      <c r="S2790" t="s">
        <v>19103</v>
      </c>
      <c r="T2790" s="6">
        <v>34973</v>
      </c>
      <c r="U2790" s="4">
        <v>295000</v>
      </c>
      <c r="X2790" t="s">
        <v>3</v>
      </c>
      <c r="AA2790" s="5" t="str">
        <f>HYPERLINK("https://www.zillow.com/homes/815-SANCTUARY-LN-NAPERVILLE-IL-60540_rb/","check listing")</f>
        <v>check listing</v>
      </c>
      <c r="AB2790" s="5" t="str">
        <f>HYPERLINK("https://propertylookup.dupagecounty.gov/Datalets/Datalet.aspx?UseSearch=no&amp;mode=sales&amp;pin=0723310009","sales record")</f>
        <v>sales record</v>
      </c>
      <c r="AC2790" t="s">
        <v>3</v>
      </c>
      <c r="AD2790">
        <v>41.755832</v>
      </c>
      <c r="AE2790">
        <v>-88.183656</v>
      </c>
      <c r="AF2790" s="5" t="str">
        <f>HYPERLINK("https://www.google.com/maps/search/?api=1&amp;query=41.755832,-88.183656","map")</f>
        <v>map</v>
      </c>
    </row>
    <row r="2791" spans="1:32">
      <c r="A2791" t="s">
        <v>2841</v>
      </c>
      <c r="B2791" t="s">
        <v>10374</v>
      </c>
      <c r="C2791" t="s">
        <v>15476</v>
      </c>
      <c r="D2791" t="s">
        <v>16206</v>
      </c>
      <c r="E2791" t="s">
        <v>16218</v>
      </c>
      <c r="F2791" t="s">
        <v>16220</v>
      </c>
      <c r="G2791" t="s">
        <v>16269</v>
      </c>
      <c r="H2791" t="s">
        <v>16269</v>
      </c>
      <c r="I2791" t="s">
        <v>16352</v>
      </c>
      <c r="J2791" t="s">
        <v>16386</v>
      </c>
      <c r="K2791">
        <v>0.281</v>
      </c>
      <c r="L2791">
        <v>12237</v>
      </c>
      <c r="M2791">
        <v>2719</v>
      </c>
      <c r="N2791" t="s">
        <v>16393</v>
      </c>
      <c r="O2791" s="4">
        <v>77438</v>
      </c>
      <c r="P2791" s="4">
        <v>121533</v>
      </c>
      <c r="Q2791" s="4">
        <v>198971</v>
      </c>
      <c r="R2791" s="4">
        <v>596913</v>
      </c>
      <c r="S2791" t="s">
        <v>19104</v>
      </c>
      <c r="T2791" s="6">
        <v>33420</v>
      </c>
      <c r="U2791" s="4">
        <v>204580</v>
      </c>
      <c r="X2791" t="s">
        <v>3</v>
      </c>
      <c r="AA2791" s="5" t="str">
        <f>HYPERLINK("https://www.zillow.com/homes/1707-CHALMETTE-CT-NAPERVILLE-IL-60565_rb/","check listing")</f>
        <v>check listing</v>
      </c>
      <c r="AB2791" s="5" t="str">
        <f>HYPERLINK("https://propertylookup.dupagecounty.gov/Datalets/Datalet.aspx?UseSearch=no&amp;mode=sales&amp;pin=0832114068","sales record")</f>
        <v>sales record</v>
      </c>
      <c r="AC2791" t="s">
        <v>3</v>
      </c>
      <c r="AD2791">
        <v>41.735973</v>
      </c>
      <c r="AE2791">
        <v>-88.12232</v>
      </c>
      <c r="AF2791" s="5" t="str">
        <f>HYPERLINK("https://www.google.com/maps/search/?api=1&amp;query=41.735973,-88.12232","map")</f>
        <v>map</v>
      </c>
    </row>
    <row r="2792" spans="1:32">
      <c r="A2792" t="s">
        <v>2842</v>
      </c>
      <c r="B2792" t="s">
        <v>10375</v>
      </c>
      <c r="C2792" t="s">
        <v>15475</v>
      </c>
      <c r="D2792" t="s">
        <v>16206</v>
      </c>
      <c r="E2792" t="s">
        <v>16218</v>
      </c>
      <c r="F2792" t="s">
        <v>16220</v>
      </c>
      <c r="G2792" t="s">
        <v>16275</v>
      </c>
      <c r="H2792" t="s">
        <v>16276</v>
      </c>
      <c r="I2792" t="s">
        <v>16352</v>
      </c>
      <c r="J2792" t="s">
        <v>16386</v>
      </c>
      <c r="K2792">
        <v>0.281</v>
      </c>
      <c r="L2792">
        <v>12223</v>
      </c>
      <c r="M2792">
        <v>2473</v>
      </c>
      <c r="N2792" t="s">
        <v>16393</v>
      </c>
      <c r="O2792" s="4">
        <v>47905</v>
      </c>
      <c r="P2792" s="4">
        <v>135941</v>
      </c>
      <c r="Q2792" s="4">
        <v>183846</v>
      </c>
      <c r="R2792" s="4">
        <v>551538</v>
      </c>
      <c r="S2792" t="s">
        <v>19105</v>
      </c>
      <c r="T2792" s="6">
        <v>34639</v>
      </c>
      <c r="U2792" s="4">
        <v>205459</v>
      </c>
      <c r="X2792" t="s">
        <v>3</v>
      </c>
      <c r="AA2792" s="5" t="str">
        <f>HYPERLINK("https://www.zillow.com/homes/607-WILDFLOWER-CT-NAPERVILLE-IL-60540_rb/","check listing")</f>
        <v>check listing</v>
      </c>
      <c r="AB2792" s="5" t="str">
        <f>HYPERLINK("https://propertylookup.dupagecounty.gov/Datalets/Datalet.aspx?UseSearch=no&amp;mode=sales&amp;pin=0722304002","sales record")</f>
        <v>sales record</v>
      </c>
      <c r="AC2792" t="s">
        <v>3</v>
      </c>
      <c r="AD2792">
        <v>41.759577</v>
      </c>
      <c r="AE2792">
        <v>-88.19616000000001</v>
      </c>
      <c r="AF2792" s="5" t="str">
        <f>HYPERLINK("https://www.google.com/maps/search/?api=1&amp;query=41.759577,-88.19616","map")</f>
        <v>map</v>
      </c>
    </row>
    <row r="2793" spans="1:32">
      <c r="A2793" t="s">
        <v>2843</v>
      </c>
      <c r="B2793" t="s">
        <v>10376</v>
      </c>
      <c r="C2793" t="s">
        <v>15475</v>
      </c>
      <c r="D2793" t="s">
        <v>16206</v>
      </c>
      <c r="E2793" t="s">
        <v>16218</v>
      </c>
      <c r="F2793" t="s">
        <v>16220</v>
      </c>
      <c r="G2793" t="s">
        <v>16274</v>
      </c>
      <c r="H2793" t="s">
        <v>16269</v>
      </c>
      <c r="I2793" t="s">
        <v>16352</v>
      </c>
      <c r="J2793" t="s">
        <v>16386</v>
      </c>
      <c r="K2793">
        <v>0.279</v>
      </c>
      <c r="L2793">
        <v>12173</v>
      </c>
      <c r="M2793">
        <v>2472</v>
      </c>
      <c r="N2793" t="s">
        <v>16393</v>
      </c>
      <c r="O2793" s="4">
        <v>58060</v>
      </c>
      <c r="P2793" s="4">
        <v>176120</v>
      </c>
      <c r="Q2793" s="4">
        <v>234180</v>
      </c>
      <c r="R2793" s="4">
        <v>702540</v>
      </c>
      <c r="S2793" t="s">
        <v>19106</v>
      </c>
      <c r="T2793" s="6">
        <v>36008</v>
      </c>
      <c r="U2793" s="4">
        <v>322000</v>
      </c>
      <c r="X2793" t="s">
        <v>3</v>
      </c>
      <c r="AA2793" s="5" t="str">
        <f>HYPERLINK("https://www.zillow.com/homes/1708-CHEPSTOW-CT-NAPERVILLE-IL-60540_rb/","check listing")</f>
        <v>check listing</v>
      </c>
      <c r="AB2793" s="5" t="str">
        <f>HYPERLINK("https://propertylookup.dupagecounty.gov/Datalets/Datalet.aspx?UseSearch=no&amp;mode=sales&amp;pin=0723310007","sales record")</f>
        <v>sales record</v>
      </c>
      <c r="AC2793" t="s">
        <v>3</v>
      </c>
      <c r="AD2793">
        <v>41.755941</v>
      </c>
      <c r="AE2793">
        <v>-88.184088</v>
      </c>
      <c r="AF2793" s="5" t="str">
        <f>HYPERLINK("https://www.google.com/maps/search/?api=1&amp;query=41.755941,-88.184088","map")</f>
        <v>map</v>
      </c>
    </row>
    <row r="2794" spans="1:32">
      <c r="A2794" t="s">
        <v>2844</v>
      </c>
      <c r="B2794" t="s">
        <v>10377</v>
      </c>
      <c r="C2794" t="s">
        <v>15505</v>
      </c>
      <c r="D2794" t="s">
        <v>16206</v>
      </c>
      <c r="E2794" t="s">
        <v>16218</v>
      </c>
      <c r="F2794" t="s">
        <v>16220</v>
      </c>
      <c r="G2794" t="s">
        <v>16273</v>
      </c>
      <c r="H2794" t="s">
        <v>16254</v>
      </c>
      <c r="I2794" t="s">
        <v>16351</v>
      </c>
      <c r="J2794" t="s">
        <v>16386</v>
      </c>
      <c r="K2794">
        <v>0.279</v>
      </c>
      <c r="L2794">
        <v>12165</v>
      </c>
      <c r="M2794">
        <v>1979</v>
      </c>
      <c r="N2794" t="s">
        <v>16393</v>
      </c>
      <c r="O2794" s="4">
        <v>50396</v>
      </c>
      <c r="P2794" s="4">
        <v>116157</v>
      </c>
      <c r="Q2794" s="4">
        <v>166553</v>
      </c>
      <c r="R2794" s="4">
        <v>499659</v>
      </c>
      <c r="S2794" t="s">
        <v>19107</v>
      </c>
      <c r="T2794" s="6">
        <v>39114</v>
      </c>
      <c r="U2794" s="4">
        <v>333000</v>
      </c>
      <c r="V2794" t="s">
        <v>23739</v>
      </c>
      <c r="W2794" t="s">
        <v>25080</v>
      </c>
      <c r="X2794" t="s">
        <v>3</v>
      </c>
      <c r="AA2794" s="5" t="str">
        <f>HYPERLINK("https://www.zillow.com/homes/1020-CAMPBELL-DR-NAPERVILLE-IL-60535_rb/","check listing")</f>
        <v>check listing</v>
      </c>
      <c r="AB2794" s="5" t="str">
        <f>HYPERLINK("https://propertylookup.dupagecounty.gov/Datalets/Datalet.aspx?UseSearch=no&amp;mode=sales&amp;pin=0709411020","sales record")</f>
        <v>sales record</v>
      </c>
      <c r="AC2794" t="s">
        <v>3</v>
      </c>
      <c r="AD2794">
        <v>41.78716</v>
      </c>
      <c r="AE2794">
        <v>-88.21129999999999</v>
      </c>
      <c r="AF2794" s="5" t="str">
        <f>HYPERLINK("https://www.google.com/maps/search/?api=1&amp;query=41.78716,-88.2113","map")</f>
        <v>map</v>
      </c>
    </row>
    <row r="2795" spans="1:32">
      <c r="A2795" t="s">
        <v>2845</v>
      </c>
      <c r="B2795" t="s">
        <v>10378</v>
      </c>
      <c r="C2795" t="s">
        <v>15483</v>
      </c>
      <c r="D2795" t="s">
        <v>16206</v>
      </c>
      <c r="E2795" t="s">
        <v>16218</v>
      </c>
      <c r="F2795" t="s">
        <v>16220</v>
      </c>
      <c r="G2795" t="s">
        <v>16273</v>
      </c>
      <c r="H2795" t="s">
        <v>16254</v>
      </c>
      <c r="I2795" t="s">
        <v>16351</v>
      </c>
      <c r="J2795" t="s">
        <v>16386</v>
      </c>
      <c r="K2795">
        <v>0.279</v>
      </c>
      <c r="L2795">
        <v>12152</v>
      </c>
      <c r="M2795">
        <v>2358</v>
      </c>
      <c r="N2795" t="s">
        <v>16393</v>
      </c>
      <c r="O2795" s="4">
        <v>45366</v>
      </c>
      <c r="P2795" s="4">
        <v>123418</v>
      </c>
      <c r="Q2795" s="4">
        <v>168784</v>
      </c>
      <c r="R2795" s="4">
        <v>506352</v>
      </c>
      <c r="S2795" t="s">
        <v>19108</v>
      </c>
      <c r="T2795" s="6">
        <v>44501</v>
      </c>
      <c r="U2795" s="4">
        <v>417500</v>
      </c>
      <c r="V2795" t="s">
        <v>23739</v>
      </c>
      <c r="W2795" t="s">
        <v>25081</v>
      </c>
      <c r="X2795" t="s">
        <v>3</v>
      </c>
      <c r="AA2795" s="5" t="str">
        <f>HYPERLINK("https://www.zillow.com/homes/1001-PRAIRIE-VIEW-CT-NAPERVILLE-IL-605631983_rb/","check listing")</f>
        <v>check listing</v>
      </c>
      <c r="AB2795" s="5" t="str">
        <f>HYPERLINK("https://propertylookup.dupagecounty.gov/Datalets/Datalet.aspx?UseSearch=no&amp;mode=sales&amp;pin=0709410020","sales record")</f>
        <v>sales record</v>
      </c>
      <c r="AC2795" t="s">
        <v>3</v>
      </c>
      <c r="AD2795">
        <v>41.786273</v>
      </c>
      <c r="AE2795">
        <v>-88.214107</v>
      </c>
      <c r="AF2795" s="5" t="str">
        <f>HYPERLINK("https://www.google.com/maps/search/?api=1&amp;query=41.786273,-88.214107","map")</f>
        <v>map</v>
      </c>
    </row>
    <row r="2796" spans="1:32">
      <c r="A2796" t="s">
        <v>2846</v>
      </c>
      <c r="B2796" t="s">
        <v>10379</v>
      </c>
      <c r="C2796" t="s">
        <v>15475</v>
      </c>
      <c r="D2796" t="s">
        <v>16206</v>
      </c>
      <c r="E2796" t="s">
        <v>16218</v>
      </c>
      <c r="F2796" t="s">
        <v>16220</v>
      </c>
      <c r="G2796" t="s">
        <v>16274</v>
      </c>
      <c r="H2796" t="s">
        <v>16269</v>
      </c>
      <c r="I2796" t="s">
        <v>16352</v>
      </c>
      <c r="J2796" t="s">
        <v>16386</v>
      </c>
      <c r="K2796">
        <v>0.279</v>
      </c>
      <c r="L2796">
        <v>12151</v>
      </c>
      <c r="M2796">
        <v>2177</v>
      </c>
      <c r="N2796" t="s">
        <v>16393</v>
      </c>
      <c r="O2796" s="4">
        <v>58060</v>
      </c>
      <c r="P2796" s="4">
        <v>150600</v>
      </c>
      <c r="Q2796" s="4">
        <v>208660</v>
      </c>
      <c r="R2796" s="4">
        <v>625980</v>
      </c>
      <c r="S2796" t="s">
        <v>19109</v>
      </c>
      <c r="T2796" s="6">
        <v>35947</v>
      </c>
      <c r="U2796" s="4">
        <v>252000</v>
      </c>
      <c r="X2796" t="s">
        <v>3</v>
      </c>
      <c r="AA2796" s="5" t="str">
        <f>HYPERLINK("https://www.zillow.com/homes/654-OAKHURST-DR-NAPERVILLE-IL-60540_rb/","check listing")</f>
        <v>check listing</v>
      </c>
      <c r="AB2796" s="5" t="str">
        <f>HYPERLINK("https://propertylookup.dupagecounty.gov/Datalets/Datalet.aspx?UseSearch=no&amp;mode=sales&amp;pin=0723305019","sales record")</f>
        <v>sales record</v>
      </c>
      <c r="AC2796" t="s">
        <v>3</v>
      </c>
      <c r="AD2796">
        <v>41.75938</v>
      </c>
      <c r="AE2796">
        <v>-88.179305</v>
      </c>
      <c r="AF2796" s="5" t="str">
        <f>HYPERLINK("https://www.google.com/maps/search/?api=1&amp;query=41.75938,-88.179305","map")</f>
        <v>map</v>
      </c>
    </row>
    <row r="2797" spans="1:32">
      <c r="A2797" t="s">
        <v>2847</v>
      </c>
      <c r="B2797" t="s">
        <v>10380</v>
      </c>
      <c r="C2797" t="s">
        <v>15475</v>
      </c>
      <c r="D2797" t="s">
        <v>16206</v>
      </c>
      <c r="E2797" t="s">
        <v>16218</v>
      </c>
      <c r="F2797" t="s">
        <v>16220</v>
      </c>
      <c r="G2797" t="s">
        <v>16274</v>
      </c>
      <c r="H2797" t="s">
        <v>16269</v>
      </c>
      <c r="I2797" t="s">
        <v>16352</v>
      </c>
      <c r="J2797" t="s">
        <v>16386</v>
      </c>
      <c r="K2797">
        <v>0.279</v>
      </c>
      <c r="L2797">
        <v>12151</v>
      </c>
      <c r="M2797">
        <v>2803</v>
      </c>
      <c r="N2797" t="s">
        <v>16393</v>
      </c>
      <c r="O2797" s="4">
        <v>58060</v>
      </c>
      <c r="P2797" s="4">
        <v>180417</v>
      </c>
      <c r="Q2797" s="4">
        <v>238477</v>
      </c>
      <c r="R2797" s="4">
        <v>715431</v>
      </c>
      <c r="S2797" t="s">
        <v>19110</v>
      </c>
      <c r="T2797" s="6">
        <v>41000</v>
      </c>
      <c r="U2797" s="4">
        <v>388000</v>
      </c>
      <c r="V2797" t="s">
        <v>23739</v>
      </c>
      <c r="W2797" t="s">
        <v>25082</v>
      </c>
      <c r="X2797" t="s">
        <v>3</v>
      </c>
      <c r="AA2797" s="5" t="str">
        <f>HYPERLINK("https://www.zillow.com/homes/615-S-WHISPERING-HILLS-NAPERVILLE-IL-60540_rb/","check listing")</f>
        <v>check listing</v>
      </c>
      <c r="AB2797" s="5" t="str">
        <f>HYPERLINK("https://propertylookup.dupagecounty.gov/Datalets/Datalet.aspx?UseSearch=no&amp;mode=sales&amp;pin=0723303001","sales record")</f>
        <v>sales record</v>
      </c>
      <c r="AC2797" t="s">
        <v>3</v>
      </c>
      <c r="AD2797">
        <v>41.760071</v>
      </c>
      <c r="AE2797">
        <v>-88.180301</v>
      </c>
      <c r="AF2797" s="5" t="str">
        <f>HYPERLINK("https://www.google.com/maps/search/?api=1&amp;query=41.760071,-88.180301","map")</f>
        <v>map</v>
      </c>
    </row>
    <row r="2798" spans="1:32">
      <c r="A2798" t="s">
        <v>2848</v>
      </c>
      <c r="B2798" t="s">
        <v>10381</v>
      </c>
      <c r="C2798" t="s">
        <v>15506</v>
      </c>
      <c r="D2798" t="s">
        <v>16206</v>
      </c>
      <c r="E2798" t="s">
        <v>16218</v>
      </c>
      <c r="F2798" t="s">
        <v>16220</v>
      </c>
      <c r="G2798" t="s">
        <v>16274</v>
      </c>
      <c r="H2798" t="s">
        <v>16269</v>
      </c>
      <c r="I2798" t="s">
        <v>16352</v>
      </c>
      <c r="J2798" t="s">
        <v>16386</v>
      </c>
      <c r="K2798">
        <v>0.279</v>
      </c>
      <c r="L2798">
        <v>12150</v>
      </c>
      <c r="M2798">
        <v>2902</v>
      </c>
      <c r="N2798" t="s">
        <v>16393</v>
      </c>
      <c r="O2798" s="4">
        <v>58060</v>
      </c>
      <c r="P2798" s="4">
        <v>173460</v>
      </c>
      <c r="Q2798" s="4">
        <v>231520</v>
      </c>
      <c r="R2798" s="4">
        <v>694560</v>
      </c>
      <c r="S2798" t="s">
        <v>19111</v>
      </c>
      <c r="T2798" s="6">
        <v>38353</v>
      </c>
      <c r="U2798" s="4">
        <v>385000</v>
      </c>
      <c r="V2798" t="s">
        <v>23739</v>
      </c>
      <c r="W2798" t="s">
        <v>25083</v>
      </c>
      <c r="X2798" t="s">
        <v>3</v>
      </c>
      <c r="AA2798" s="5" t="str">
        <f>HYPERLINK("https://www.zillow.com/homes/601-OAKHURST-DR-NAPERVILLE-IL-605406361_rb/","check listing")</f>
        <v>check listing</v>
      </c>
      <c r="AB2798" s="5" t="str">
        <f>HYPERLINK("https://propertylookup.dupagecounty.gov/Datalets/Datalet.aspx?UseSearch=no&amp;mode=sales&amp;pin=0723304021","sales record")</f>
        <v>sales record</v>
      </c>
      <c r="AC2798" t="s">
        <v>3</v>
      </c>
      <c r="AD2798">
        <v>41.761239</v>
      </c>
      <c r="AE2798">
        <v>-88.17844100000001</v>
      </c>
      <c r="AF2798" s="5" t="str">
        <f>HYPERLINK("https://www.google.com/maps/search/?api=1&amp;query=41.761239,-88.178441","map")</f>
        <v>map</v>
      </c>
    </row>
    <row r="2799" spans="1:32">
      <c r="A2799" t="s">
        <v>2849</v>
      </c>
      <c r="B2799" t="s">
        <v>10382</v>
      </c>
      <c r="C2799" t="s">
        <v>15475</v>
      </c>
      <c r="D2799" t="s">
        <v>16206</v>
      </c>
      <c r="E2799" t="s">
        <v>16218</v>
      </c>
      <c r="F2799" t="s">
        <v>16220</v>
      </c>
      <c r="G2799" t="s">
        <v>16274</v>
      </c>
      <c r="H2799" t="s">
        <v>16269</v>
      </c>
      <c r="I2799" t="s">
        <v>16352</v>
      </c>
      <c r="J2799" t="s">
        <v>16386</v>
      </c>
      <c r="K2799">
        <v>0.279</v>
      </c>
      <c r="L2799">
        <v>12150</v>
      </c>
      <c r="M2799">
        <v>3025</v>
      </c>
      <c r="N2799" t="s">
        <v>16393</v>
      </c>
      <c r="O2799" s="4">
        <v>58060</v>
      </c>
      <c r="P2799" s="4">
        <v>149342</v>
      </c>
      <c r="Q2799" s="4">
        <v>207402</v>
      </c>
      <c r="R2799" s="4">
        <v>622206</v>
      </c>
      <c r="S2799" t="s">
        <v>19112</v>
      </c>
      <c r="T2799" s="6">
        <v>41852</v>
      </c>
      <c r="U2799" s="4">
        <v>25000</v>
      </c>
      <c r="V2799" t="s">
        <v>23742</v>
      </c>
      <c r="W2799" t="s">
        <v>19112</v>
      </c>
      <c r="X2799" t="s">
        <v>3</v>
      </c>
      <c r="AA2799" s="5" t="str">
        <f>HYPERLINK("https://www.zillow.com/homes/621-S-WHISPERING-HILLS-NAPERVILLE-IL-60540_rb/","check listing")</f>
        <v>check listing</v>
      </c>
      <c r="AB2799" s="5" t="str">
        <f>HYPERLINK("https://propertylookup.dupagecounty.gov/Datalets/Datalet.aspx?UseSearch=no&amp;mode=sales&amp;pin=0723303002","sales record")</f>
        <v>sales record</v>
      </c>
      <c r="AC2799" t="s">
        <v>3</v>
      </c>
      <c r="AD2799">
        <v>41.759728</v>
      </c>
      <c r="AE2799">
        <v>-88.18011300000001</v>
      </c>
      <c r="AF2799" s="5" t="str">
        <f>HYPERLINK("https://www.google.com/maps/search/?api=1&amp;query=41.759728,-88.180113","map")</f>
        <v>map</v>
      </c>
    </row>
    <row r="2800" spans="1:32">
      <c r="A2800" t="s">
        <v>2850</v>
      </c>
      <c r="B2800" t="s">
        <v>10383</v>
      </c>
      <c r="C2800" t="s">
        <v>15475</v>
      </c>
      <c r="D2800" t="s">
        <v>16206</v>
      </c>
      <c r="E2800" t="s">
        <v>16218</v>
      </c>
      <c r="F2800" t="s">
        <v>16220</v>
      </c>
      <c r="G2800" t="s">
        <v>16274</v>
      </c>
      <c r="H2800" t="s">
        <v>16269</v>
      </c>
      <c r="I2800" t="s">
        <v>16352</v>
      </c>
      <c r="J2800" t="s">
        <v>16386</v>
      </c>
      <c r="K2800">
        <v>0.279</v>
      </c>
      <c r="L2800">
        <v>12150</v>
      </c>
      <c r="M2800">
        <v>2638</v>
      </c>
      <c r="N2800" t="s">
        <v>16393</v>
      </c>
      <c r="O2800" s="4">
        <v>58060</v>
      </c>
      <c r="P2800" s="4">
        <v>189815</v>
      </c>
      <c r="Q2800" s="4">
        <v>247875</v>
      </c>
      <c r="R2800" s="4">
        <v>743625</v>
      </c>
      <c r="S2800" t="s">
        <v>19113</v>
      </c>
      <c r="T2800" s="6">
        <v>45847</v>
      </c>
      <c r="U2800" s="4">
        <v>830000</v>
      </c>
      <c r="V2800" t="s">
        <v>23739</v>
      </c>
      <c r="W2800" t="s">
        <v>25084</v>
      </c>
      <c r="X2800" t="s">
        <v>3</v>
      </c>
      <c r="AA2800" s="5" t="str">
        <f>HYPERLINK("https://www.zillow.com/homes/631-S-WHISPERING-HILLS-DR-NAPERVILLE-IL-60540_rb/","check listing")</f>
        <v>check listing</v>
      </c>
      <c r="AB2800" s="5" t="str">
        <f>HYPERLINK("https://propertylookup.dupagecounty.gov/Datalets/Datalet.aspx?UseSearch=no&amp;mode=sales&amp;pin=0723303011","sales record")</f>
        <v>sales record</v>
      </c>
      <c r="AC2800" t="s">
        <v>3</v>
      </c>
      <c r="AD2800">
        <v>41.759218</v>
      </c>
      <c r="AE2800">
        <v>-88.179834</v>
      </c>
      <c r="AF2800" s="5" t="str">
        <f>HYPERLINK("https://www.google.com/maps/search/?api=1&amp;query=41.759218,-88.179834","map")</f>
        <v>map</v>
      </c>
    </row>
    <row r="2801" spans="1:32">
      <c r="A2801" t="s">
        <v>2851</v>
      </c>
      <c r="B2801" t="s">
        <v>10384</v>
      </c>
      <c r="C2801" t="s">
        <v>15485</v>
      </c>
      <c r="D2801" t="s">
        <v>16206</v>
      </c>
      <c r="E2801" t="s">
        <v>16218</v>
      </c>
      <c r="F2801" t="s">
        <v>16220</v>
      </c>
      <c r="G2801" t="s">
        <v>16274</v>
      </c>
      <c r="H2801" t="s">
        <v>16269</v>
      </c>
      <c r="I2801" t="s">
        <v>16352</v>
      </c>
      <c r="J2801" t="s">
        <v>16386</v>
      </c>
      <c r="K2801">
        <v>0.279</v>
      </c>
      <c r="L2801">
        <v>12147</v>
      </c>
      <c r="M2801">
        <v>2787</v>
      </c>
      <c r="N2801" t="s">
        <v>16393</v>
      </c>
      <c r="O2801" s="4">
        <v>58060</v>
      </c>
      <c r="P2801" s="4">
        <v>156043</v>
      </c>
      <c r="Q2801" s="4">
        <v>214103</v>
      </c>
      <c r="R2801" s="4">
        <v>642309</v>
      </c>
      <c r="S2801" t="s">
        <v>19114</v>
      </c>
      <c r="T2801" s="6">
        <v>41426</v>
      </c>
      <c r="U2801" s="4">
        <v>370000</v>
      </c>
      <c r="V2801" t="s">
        <v>23738</v>
      </c>
      <c r="W2801" t="s">
        <v>25085</v>
      </c>
      <c r="X2801" t="s">
        <v>3</v>
      </c>
      <c r="AA2801" s="5" t="str">
        <f>HYPERLINK("https://www.zillow.com/homes/1400-ROLLING-GROVE-CT-NAPERVILLE-IL-605406355_rb/","check listing")</f>
        <v>check listing</v>
      </c>
      <c r="AB2801" s="5" t="str">
        <f>HYPERLINK("https://propertylookup.dupagecounty.gov/Datalets/Datalet.aspx?UseSearch=no&amp;mode=sales&amp;pin=0723304012","sales record")</f>
        <v>sales record</v>
      </c>
      <c r="AC2801" t="s">
        <v>3</v>
      </c>
      <c r="AD2801">
        <v>41.760728</v>
      </c>
      <c r="AE2801">
        <v>-88.178161</v>
      </c>
      <c r="AF2801" s="5" t="str">
        <f>HYPERLINK("https://www.google.com/maps/search/?api=1&amp;query=41.760728,-88.178161","map")</f>
        <v>map</v>
      </c>
    </row>
    <row r="2802" spans="1:32">
      <c r="A2802" t="s">
        <v>2852</v>
      </c>
      <c r="B2802" t="s">
        <v>10385</v>
      </c>
      <c r="C2802" t="s">
        <v>15475</v>
      </c>
      <c r="D2802" t="s">
        <v>16206</v>
      </c>
      <c r="E2802" t="s">
        <v>16218</v>
      </c>
      <c r="F2802" t="s">
        <v>16220</v>
      </c>
      <c r="G2802" t="s">
        <v>16276</v>
      </c>
      <c r="H2802" t="s">
        <v>16276</v>
      </c>
      <c r="I2802" t="s">
        <v>16352</v>
      </c>
      <c r="J2802" t="s">
        <v>16386</v>
      </c>
      <c r="K2802">
        <v>0.278</v>
      </c>
      <c r="L2802">
        <v>12103</v>
      </c>
      <c r="M2802">
        <v>1978</v>
      </c>
      <c r="N2802" t="s">
        <v>16393</v>
      </c>
      <c r="O2802" s="4">
        <v>67983</v>
      </c>
      <c r="P2802" s="4">
        <v>108480</v>
      </c>
      <c r="Q2802" s="4">
        <v>176463</v>
      </c>
      <c r="R2802" s="4">
        <v>529389</v>
      </c>
      <c r="S2802" t="s">
        <v>19115</v>
      </c>
      <c r="T2802" s="6">
        <v>35034</v>
      </c>
      <c r="U2802" s="4">
        <v>176870</v>
      </c>
      <c r="X2802" t="s">
        <v>3</v>
      </c>
      <c r="AA2802" s="5" t="str">
        <f>HYPERLINK("https://www.zillow.com/homes/907-MATTHEW-CT-NAPERVILLE-IL-60540_rb/","check listing")</f>
        <v>check listing</v>
      </c>
      <c r="AB2802" s="5" t="str">
        <f>HYPERLINK("https://propertylookup.dupagecounty.gov/Datalets/Datalet.aspx?UseSearch=no&amp;mode=sales&amp;pin=0727209008","sales record")</f>
        <v>sales record</v>
      </c>
      <c r="AC2802" t="s">
        <v>3</v>
      </c>
      <c r="AD2802">
        <v>41.753973</v>
      </c>
      <c r="AE2802">
        <v>-88.191233</v>
      </c>
      <c r="AF2802" s="5" t="str">
        <f>HYPERLINK("https://www.google.com/maps/search/?api=1&amp;query=41.753973,-88.191233","map")</f>
        <v>map</v>
      </c>
    </row>
    <row r="2803" spans="1:32">
      <c r="A2803" t="s">
        <v>2853</v>
      </c>
      <c r="B2803" t="s">
        <v>10386</v>
      </c>
      <c r="C2803" t="s">
        <v>15475</v>
      </c>
      <c r="D2803" t="s">
        <v>16206</v>
      </c>
      <c r="E2803" t="s">
        <v>16218</v>
      </c>
      <c r="F2803" t="s">
        <v>16220</v>
      </c>
      <c r="G2803" t="s">
        <v>16276</v>
      </c>
      <c r="H2803" t="s">
        <v>16276</v>
      </c>
      <c r="I2803" t="s">
        <v>16352</v>
      </c>
      <c r="J2803" t="s">
        <v>16386</v>
      </c>
      <c r="K2803">
        <v>0.276</v>
      </c>
      <c r="L2803">
        <v>12040</v>
      </c>
      <c r="M2803">
        <v>2310</v>
      </c>
      <c r="N2803" t="s">
        <v>16393</v>
      </c>
      <c r="O2803" s="4">
        <v>52555</v>
      </c>
      <c r="P2803" s="4">
        <v>135087</v>
      </c>
      <c r="Q2803" s="4">
        <v>187642</v>
      </c>
      <c r="R2803" s="4">
        <v>562926</v>
      </c>
      <c r="S2803" t="s">
        <v>19116</v>
      </c>
      <c r="T2803" s="6">
        <v>37012</v>
      </c>
      <c r="U2803" s="4">
        <v>258500</v>
      </c>
      <c r="V2803" t="s">
        <v>23739</v>
      </c>
      <c r="W2803" t="s">
        <v>25086</v>
      </c>
      <c r="X2803" t="s">
        <v>3</v>
      </c>
      <c r="AA2803" s="5" t="str">
        <f>HYPERLINK("https://www.zillow.com/homes/2043-SCHUMACHER-DR-NAPERVILLE-IL-60540_rb/","check listing")</f>
        <v>check listing</v>
      </c>
      <c r="AB2803" s="5" t="str">
        <f>HYPERLINK("https://propertylookup.dupagecounty.gov/Datalets/Datalet.aspx?UseSearch=no&amp;mode=sales&amp;pin=0727210014","sales record")</f>
        <v>sales record</v>
      </c>
      <c r="AC2803" t="s">
        <v>3</v>
      </c>
      <c r="AD2803">
        <v>41.754134</v>
      </c>
      <c r="AE2803">
        <v>-88.187629</v>
      </c>
      <c r="AF2803" s="5" t="str">
        <f>HYPERLINK("https://www.google.com/maps/search/?api=1&amp;query=41.754134,-88.187629","map")</f>
        <v>map</v>
      </c>
    </row>
    <row r="2804" spans="1:32">
      <c r="A2804" t="s">
        <v>2854</v>
      </c>
      <c r="B2804" t="s">
        <v>10387</v>
      </c>
      <c r="C2804" t="s">
        <v>15507</v>
      </c>
      <c r="D2804" t="s">
        <v>16206</v>
      </c>
      <c r="E2804" t="s">
        <v>16218</v>
      </c>
      <c r="F2804" t="s">
        <v>16220</v>
      </c>
      <c r="G2804" t="s">
        <v>16269</v>
      </c>
      <c r="H2804" t="s">
        <v>16269</v>
      </c>
      <c r="I2804" t="s">
        <v>16352</v>
      </c>
      <c r="J2804" t="s">
        <v>16386</v>
      </c>
      <c r="K2804">
        <v>0.276</v>
      </c>
      <c r="L2804">
        <v>12037</v>
      </c>
      <c r="M2804">
        <v>2077</v>
      </c>
      <c r="N2804" t="s">
        <v>16393</v>
      </c>
      <c r="O2804" s="4">
        <v>77724</v>
      </c>
      <c r="P2804" s="4">
        <v>122460</v>
      </c>
      <c r="Q2804" s="4">
        <v>200184</v>
      </c>
      <c r="R2804" s="4">
        <v>600552</v>
      </c>
      <c r="S2804" t="s">
        <v>19117</v>
      </c>
      <c r="T2804" s="6">
        <v>44682</v>
      </c>
      <c r="U2804" s="4">
        <v>515000</v>
      </c>
      <c r="V2804" t="s">
        <v>23739</v>
      </c>
      <c r="W2804" t="s">
        <v>25087</v>
      </c>
      <c r="X2804" t="s">
        <v>3</v>
      </c>
      <c r="AA2804" s="5" t="str">
        <f>HYPERLINK("https://www.zillow.com/homes/1712-CHALMETTE-CT-NAPERVILLE-IL-605654403_rb/","check listing")</f>
        <v>check listing</v>
      </c>
      <c r="AB2804" s="5" t="str">
        <f>HYPERLINK("https://propertylookup.dupagecounty.gov/Datalets/Datalet.aspx?UseSearch=no&amp;mode=sales&amp;pin=0832114072","sales record")</f>
        <v>sales record</v>
      </c>
      <c r="AC2804" t="s">
        <v>3</v>
      </c>
      <c r="AD2804">
        <v>41.735876</v>
      </c>
      <c r="AE2804">
        <v>-88.121303</v>
      </c>
      <c r="AF2804" s="5" t="str">
        <f>HYPERLINK("https://www.google.com/maps/search/?api=1&amp;query=41.735876,-88.121303","map")</f>
        <v>map</v>
      </c>
    </row>
    <row r="2805" spans="1:32">
      <c r="A2805" t="s">
        <v>2855</v>
      </c>
      <c r="B2805" t="s">
        <v>10388</v>
      </c>
      <c r="C2805" t="s">
        <v>15478</v>
      </c>
      <c r="D2805" t="s">
        <v>16206</v>
      </c>
      <c r="E2805" t="s">
        <v>16218</v>
      </c>
      <c r="F2805" t="s">
        <v>16220</v>
      </c>
      <c r="G2805" t="s">
        <v>16275</v>
      </c>
      <c r="H2805" t="s">
        <v>16276</v>
      </c>
      <c r="I2805" t="s">
        <v>16352</v>
      </c>
      <c r="J2805" t="s">
        <v>16386</v>
      </c>
      <c r="K2805">
        <v>0.276</v>
      </c>
      <c r="L2805">
        <v>12031</v>
      </c>
      <c r="M2805">
        <v>2144</v>
      </c>
      <c r="N2805" t="s">
        <v>16393</v>
      </c>
      <c r="O2805" s="4">
        <v>52616</v>
      </c>
      <c r="P2805" s="4">
        <v>123541</v>
      </c>
      <c r="Q2805" s="4">
        <v>176157</v>
      </c>
      <c r="R2805" s="4">
        <v>528471</v>
      </c>
      <c r="S2805" t="s">
        <v>19118</v>
      </c>
      <c r="T2805" s="6">
        <v>37043</v>
      </c>
      <c r="U2805" s="4">
        <v>265229</v>
      </c>
      <c r="V2805" t="s">
        <v>23739</v>
      </c>
      <c r="W2805" t="s">
        <v>25088</v>
      </c>
      <c r="X2805" t="s">
        <v>3</v>
      </c>
      <c r="AA2805" s="5" t="str">
        <f>HYPERLINK("https://www.zillow.com/homes/811-WOODEWIND-DR-NAPERVILLE-IL-60563_rb/","check listing")</f>
        <v>check listing</v>
      </c>
      <c r="AB2805" s="5" t="str">
        <f>HYPERLINK("https://propertylookup.dupagecounty.gov/Datalets/Datalet.aspx?UseSearch=no&amp;mode=sales&amp;pin=0709303024","sales record")</f>
        <v>sales record</v>
      </c>
      <c r="AC2805" t="s">
        <v>3</v>
      </c>
      <c r="AD2805">
        <v>41.7842</v>
      </c>
      <c r="AE2805">
        <v>-88.22138</v>
      </c>
      <c r="AF2805" s="5" t="str">
        <f>HYPERLINK("https://www.google.com/maps/search/?api=1&amp;query=41.7842,-88.22138","map")</f>
        <v>map</v>
      </c>
    </row>
    <row r="2806" spans="1:32">
      <c r="A2806" t="s">
        <v>2856</v>
      </c>
      <c r="B2806" t="s">
        <v>10389</v>
      </c>
      <c r="C2806" t="s">
        <v>15478</v>
      </c>
      <c r="D2806" t="s">
        <v>16206</v>
      </c>
      <c r="E2806" t="s">
        <v>16218</v>
      </c>
      <c r="F2806" t="s">
        <v>16220</v>
      </c>
      <c r="G2806" t="s">
        <v>16273</v>
      </c>
      <c r="H2806" t="s">
        <v>16254</v>
      </c>
      <c r="I2806" t="s">
        <v>16351</v>
      </c>
      <c r="J2806" t="s">
        <v>16386</v>
      </c>
      <c r="K2806">
        <v>0.276</v>
      </c>
      <c r="L2806">
        <v>12017</v>
      </c>
      <c r="M2806">
        <v>2572</v>
      </c>
      <c r="N2806" t="s">
        <v>16393</v>
      </c>
      <c r="O2806" s="4">
        <v>54265</v>
      </c>
      <c r="P2806" s="4">
        <v>157301</v>
      </c>
      <c r="Q2806" s="4">
        <v>211566</v>
      </c>
      <c r="R2806" s="4">
        <v>634698</v>
      </c>
      <c r="S2806" t="s">
        <v>19119</v>
      </c>
      <c r="T2806" s="6">
        <v>38139</v>
      </c>
      <c r="U2806" s="4">
        <v>423000</v>
      </c>
      <c r="V2806" t="s">
        <v>23739</v>
      </c>
      <c r="W2806" t="s">
        <v>19119</v>
      </c>
      <c r="X2806" t="s">
        <v>3</v>
      </c>
      <c r="AA2806" s="5" t="str">
        <f>HYPERLINK("https://www.zillow.com/homes/2074-BUNKER-CIR-NAPERVILLE-IL-60563_rb/","check listing")</f>
        <v>check listing</v>
      </c>
      <c r="AB2806" s="5" t="str">
        <f>HYPERLINK("https://propertylookup.dupagecounty.gov/Datalets/Datalet.aspx?UseSearch=no&amp;mode=sales&amp;pin=0709200013","sales record")</f>
        <v>sales record</v>
      </c>
      <c r="AC2806" t="s">
        <v>3</v>
      </c>
      <c r="AD2806">
        <v>41.795382</v>
      </c>
      <c r="AE2806">
        <v>-88.21372100000001</v>
      </c>
      <c r="AF2806" s="5" t="str">
        <f>HYPERLINK("https://www.google.com/maps/search/?api=1&amp;query=41.795382,-88.213721","map")</f>
        <v>map</v>
      </c>
    </row>
    <row r="2807" spans="1:32">
      <c r="A2807" t="s">
        <v>2857</v>
      </c>
      <c r="B2807" t="s">
        <v>10390</v>
      </c>
      <c r="C2807" t="s">
        <v>15478</v>
      </c>
      <c r="D2807" t="s">
        <v>16206</v>
      </c>
      <c r="E2807" t="s">
        <v>16218</v>
      </c>
      <c r="F2807" t="s">
        <v>16220</v>
      </c>
      <c r="G2807" t="s">
        <v>16275</v>
      </c>
      <c r="H2807" t="s">
        <v>16276</v>
      </c>
      <c r="I2807" t="s">
        <v>16352</v>
      </c>
      <c r="J2807" t="s">
        <v>16386</v>
      </c>
      <c r="K2807">
        <v>0.275</v>
      </c>
      <c r="L2807">
        <v>11984</v>
      </c>
      <c r="M2807">
        <v>2144</v>
      </c>
      <c r="N2807" t="s">
        <v>16393</v>
      </c>
      <c r="O2807" s="4">
        <v>48857</v>
      </c>
      <c r="P2807" s="4">
        <v>121918</v>
      </c>
      <c r="Q2807" s="4">
        <v>170775</v>
      </c>
      <c r="R2807" s="4">
        <v>512325</v>
      </c>
      <c r="S2807" t="s">
        <v>19120</v>
      </c>
      <c r="T2807" s="6">
        <v>38139</v>
      </c>
      <c r="U2807" s="4">
        <v>337500</v>
      </c>
      <c r="V2807" t="s">
        <v>23739</v>
      </c>
      <c r="W2807" t="s">
        <v>25089</v>
      </c>
      <c r="X2807" t="s">
        <v>3</v>
      </c>
      <c r="AA2807" s="5" t="str">
        <f>HYPERLINK("https://www.zillow.com/homes/607-GENESEE-DR-NAPERVILLE-IL-60563_rb/","check listing")</f>
        <v>check listing</v>
      </c>
      <c r="AB2807" s="5" t="str">
        <f>HYPERLINK("https://propertylookup.dupagecounty.gov/Datalets/Datalet.aspx?UseSearch=no&amp;mode=sales&amp;pin=0716106016","sales record")</f>
        <v>sales record</v>
      </c>
      <c r="AC2807" t="s">
        <v>3</v>
      </c>
      <c r="AD2807">
        <v>41.781942</v>
      </c>
      <c r="AE2807">
        <v>-88.22105500000001</v>
      </c>
      <c r="AF2807" s="5" t="str">
        <f>HYPERLINK("https://www.google.com/maps/search/?api=1&amp;query=41.781942,-88.221055","map")</f>
        <v>map</v>
      </c>
    </row>
    <row r="2808" spans="1:32">
      <c r="A2808" t="s">
        <v>2858</v>
      </c>
      <c r="B2808" t="s">
        <v>10391</v>
      </c>
      <c r="C2808" t="s">
        <v>15475</v>
      </c>
      <c r="D2808" t="s">
        <v>16206</v>
      </c>
      <c r="E2808" t="s">
        <v>16218</v>
      </c>
      <c r="F2808" t="s">
        <v>16220</v>
      </c>
      <c r="G2808" t="s">
        <v>16275</v>
      </c>
      <c r="H2808" t="s">
        <v>16276</v>
      </c>
      <c r="I2808" t="s">
        <v>16352</v>
      </c>
      <c r="J2808" t="s">
        <v>16386</v>
      </c>
      <c r="K2808">
        <v>0.275</v>
      </c>
      <c r="L2808">
        <v>11970</v>
      </c>
      <c r="M2808">
        <v>2268</v>
      </c>
      <c r="N2808" t="s">
        <v>16393</v>
      </c>
      <c r="O2808" s="4">
        <v>61819</v>
      </c>
      <c r="P2808" s="4">
        <v>117914</v>
      </c>
      <c r="Q2808" s="4">
        <v>179733</v>
      </c>
      <c r="R2808" s="4">
        <v>539199</v>
      </c>
      <c r="S2808" t="s">
        <v>19121</v>
      </c>
      <c r="T2808" s="6">
        <v>45533</v>
      </c>
      <c r="U2808" s="4">
        <v>590000</v>
      </c>
      <c r="V2808" t="s">
        <v>23739</v>
      </c>
      <c r="W2808" t="s">
        <v>25090</v>
      </c>
      <c r="X2808" t="s">
        <v>3</v>
      </c>
      <c r="AA2808" s="5" t="str">
        <f>HYPERLINK("https://www.zillow.com/homes/1124-HANNAH-CT-NAPERVILLE-IL-60540_rb/","check listing")</f>
        <v>check listing</v>
      </c>
      <c r="AB2808" s="5" t="str">
        <f>HYPERLINK("https://propertylookup.dupagecounty.gov/Datalets/Datalet.aspx?UseSearch=no&amp;mode=sales&amp;pin=0727204016","sales record")</f>
        <v>sales record</v>
      </c>
      <c r="AC2808" t="s">
        <v>3</v>
      </c>
      <c r="AD2808">
        <v>41.75006</v>
      </c>
      <c r="AE2808">
        <v>-88.18785800000001</v>
      </c>
      <c r="AF2808" s="5" t="str">
        <f>HYPERLINK("https://www.google.com/maps/search/?api=1&amp;query=41.75006,-88.187858","map")</f>
        <v>map</v>
      </c>
    </row>
    <row r="2809" spans="1:32">
      <c r="A2809" t="s">
        <v>2859</v>
      </c>
      <c r="B2809" t="s">
        <v>10392</v>
      </c>
      <c r="C2809" t="s">
        <v>15475</v>
      </c>
      <c r="D2809" t="s">
        <v>16206</v>
      </c>
      <c r="E2809" t="s">
        <v>16218</v>
      </c>
      <c r="F2809" t="s">
        <v>16220</v>
      </c>
      <c r="G2809" t="s">
        <v>16274</v>
      </c>
      <c r="H2809" t="s">
        <v>16269</v>
      </c>
      <c r="I2809" t="s">
        <v>16352</v>
      </c>
      <c r="J2809" t="s">
        <v>16386</v>
      </c>
      <c r="K2809">
        <v>0.274</v>
      </c>
      <c r="L2809">
        <v>11936</v>
      </c>
      <c r="M2809">
        <v>2308</v>
      </c>
      <c r="N2809" t="s">
        <v>16393</v>
      </c>
      <c r="O2809" s="4">
        <v>49492</v>
      </c>
      <c r="P2809" s="4">
        <v>122101</v>
      </c>
      <c r="Q2809" s="4">
        <v>171593</v>
      </c>
      <c r="R2809" s="4">
        <v>514779</v>
      </c>
      <c r="S2809" t="s">
        <v>19122</v>
      </c>
      <c r="T2809" s="6">
        <v>39600</v>
      </c>
      <c r="U2809" s="4">
        <v>320000</v>
      </c>
      <c r="V2809" t="s">
        <v>23739</v>
      </c>
      <c r="W2809" t="s">
        <v>25091</v>
      </c>
      <c r="X2809" t="s">
        <v>3</v>
      </c>
      <c r="AA2809" s="5" t="str">
        <f>HYPERLINK("https://www.zillow.com/homes/940-RIVER-RD-NAPERVILLE-IL-60540_rb/","check listing")</f>
        <v>check listing</v>
      </c>
      <c r="AB2809" s="5" t="str">
        <f>HYPERLINK("https://propertylookup.dupagecounty.gov/Datalets/Datalet.aspx?UseSearch=no&amp;mode=sales&amp;pin=0726206001","sales record")</f>
        <v>sales record</v>
      </c>
      <c r="AC2809" t="s">
        <v>3</v>
      </c>
      <c r="AD2809">
        <v>41.752399</v>
      </c>
      <c r="AE2809">
        <v>-88.17174900000001</v>
      </c>
      <c r="AF2809" s="5" t="str">
        <f>HYPERLINK("https://www.google.com/maps/search/?api=1&amp;query=41.752399,-88.171749","map")</f>
        <v>map</v>
      </c>
    </row>
    <row r="2810" spans="1:32">
      <c r="A2810" t="s">
        <v>2860</v>
      </c>
      <c r="B2810" t="s">
        <v>10393</v>
      </c>
      <c r="C2810" t="s">
        <v>15475</v>
      </c>
      <c r="D2810" t="s">
        <v>16206</v>
      </c>
      <c r="E2810" t="s">
        <v>16218</v>
      </c>
      <c r="F2810" t="s">
        <v>16220</v>
      </c>
      <c r="G2810" t="s">
        <v>16274</v>
      </c>
      <c r="H2810" t="s">
        <v>16269</v>
      </c>
      <c r="I2810" t="s">
        <v>16352</v>
      </c>
      <c r="J2810" t="s">
        <v>16386</v>
      </c>
      <c r="K2810">
        <v>0.274</v>
      </c>
      <c r="L2810">
        <v>11916</v>
      </c>
      <c r="M2810">
        <v>2274</v>
      </c>
      <c r="N2810" t="s">
        <v>16393</v>
      </c>
      <c r="O2810" s="4">
        <v>58060</v>
      </c>
      <c r="P2810" s="4">
        <v>176133</v>
      </c>
      <c r="Q2810" s="4">
        <v>234193</v>
      </c>
      <c r="R2810" s="4">
        <v>702579</v>
      </c>
      <c r="S2810" t="s">
        <v>19123</v>
      </c>
      <c r="T2810" s="6">
        <v>34121</v>
      </c>
      <c r="U2810" s="4">
        <v>224071</v>
      </c>
      <c r="X2810" t="s">
        <v>3</v>
      </c>
      <c r="AA2810" s="5" t="str">
        <f>HYPERLINK("https://www.zillow.com/homes/703-SANCTUARY-LN-NAPERVILLE-IL-60540_rb/","check listing")</f>
        <v>check listing</v>
      </c>
      <c r="AB2810" s="5" t="str">
        <f>HYPERLINK("https://propertylookup.dupagecounty.gov/Datalets/Datalet.aspx?UseSearch=no&amp;mode=sales&amp;pin=0723311001","sales record")</f>
        <v>sales record</v>
      </c>
      <c r="AC2810" t="s">
        <v>3</v>
      </c>
      <c r="AD2810">
        <v>41.757735</v>
      </c>
      <c r="AE2810">
        <v>-88.184743</v>
      </c>
      <c r="AF2810" s="5" t="str">
        <f>HYPERLINK("https://www.google.com/maps/search/?api=1&amp;query=41.757735,-88.184743","map")</f>
        <v>map</v>
      </c>
    </row>
    <row r="2811" spans="1:32">
      <c r="A2811" t="s">
        <v>2861</v>
      </c>
      <c r="B2811" t="s">
        <v>10394</v>
      </c>
      <c r="C2811" t="s">
        <v>15508</v>
      </c>
      <c r="D2811" t="s">
        <v>16206</v>
      </c>
      <c r="E2811" t="s">
        <v>16218</v>
      </c>
      <c r="F2811" t="s">
        <v>16220</v>
      </c>
      <c r="G2811" t="s">
        <v>16273</v>
      </c>
      <c r="H2811" t="s">
        <v>16254</v>
      </c>
      <c r="I2811" t="s">
        <v>16351</v>
      </c>
      <c r="J2811" t="s">
        <v>16386</v>
      </c>
      <c r="K2811">
        <v>0.273</v>
      </c>
      <c r="L2811">
        <v>11913</v>
      </c>
      <c r="M2811">
        <v>1780</v>
      </c>
      <c r="N2811" t="s">
        <v>16393</v>
      </c>
      <c r="O2811" s="4">
        <v>44109</v>
      </c>
      <c r="P2811" s="4">
        <v>82238</v>
      </c>
      <c r="Q2811" s="4">
        <v>126347</v>
      </c>
      <c r="R2811" s="4">
        <v>379041</v>
      </c>
      <c r="S2811" t="s">
        <v>19124</v>
      </c>
      <c r="T2811" s="6">
        <v>42887</v>
      </c>
      <c r="U2811" s="4">
        <v>275000</v>
      </c>
      <c r="V2811" t="s">
        <v>23739</v>
      </c>
      <c r="W2811" t="s">
        <v>25092</v>
      </c>
      <c r="X2811" t="s">
        <v>3</v>
      </c>
      <c r="AA2811" s="5" t="str">
        <f>HYPERLINK("https://www.zillow.com/homes/2079-BUNKER-CIR-NAPERVILLE-IL-605631893_rb/","check listing")</f>
        <v>check listing</v>
      </c>
      <c r="AB2811" s="5" t="str">
        <f>HYPERLINK("https://propertylookup.dupagecounty.gov/Datalets/Datalet.aspx?UseSearch=no&amp;mode=sales&amp;pin=0709221019","sales record")</f>
        <v>sales record</v>
      </c>
      <c r="AC2811" t="s">
        <v>3</v>
      </c>
      <c r="AD2811">
        <v>41.794765</v>
      </c>
      <c r="AE2811">
        <v>-88.21327700000001</v>
      </c>
      <c r="AF2811" s="5" t="str">
        <f>HYPERLINK("https://www.google.com/maps/search/?api=1&amp;query=41.794765,-88.213277","map")</f>
        <v>map</v>
      </c>
    </row>
    <row r="2812" spans="1:32">
      <c r="A2812" t="s">
        <v>2862</v>
      </c>
      <c r="B2812" t="s">
        <v>10395</v>
      </c>
      <c r="C2812" t="s">
        <v>15478</v>
      </c>
      <c r="D2812" t="s">
        <v>16206</v>
      </c>
      <c r="E2812" t="s">
        <v>16218</v>
      </c>
      <c r="F2812" t="s">
        <v>16220</v>
      </c>
      <c r="G2812" t="s">
        <v>16273</v>
      </c>
      <c r="H2812" t="s">
        <v>16254</v>
      </c>
      <c r="I2812" t="s">
        <v>16351</v>
      </c>
      <c r="J2812" t="s">
        <v>16386</v>
      </c>
      <c r="K2812">
        <v>0.273</v>
      </c>
      <c r="L2812">
        <v>11906</v>
      </c>
      <c r="M2812">
        <v>2573</v>
      </c>
      <c r="N2812" t="s">
        <v>16393</v>
      </c>
      <c r="O2812" s="4">
        <v>44109</v>
      </c>
      <c r="P2812" s="4">
        <v>115571</v>
      </c>
      <c r="Q2812" s="4">
        <v>159680</v>
      </c>
      <c r="R2812" s="4">
        <v>479040</v>
      </c>
      <c r="S2812" t="s">
        <v>19125</v>
      </c>
      <c r="T2812" s="6">
        <v>39052</v>
      </c>
      <c r="U2812" s="4">
        <v>355000</v>
      </c>
      <c r="V2812" t="s">
        <v>23739</v>
      </c>
      <c r="W2812" t="s">
        <v>25093</v>
      </c>
      <c r="X2812" t="s">
        <v>3</v>
      </c>
      <c r="AA2812" s="5" t="str">
        <f>HYPERLINK("https://www.zillow.com/homes/2014-BUNKER-CIR-NAPERVILLE-IL-60563_rb/","check listing")</f>
        <v>check listing</v>
      </c>
      <c r="AB2812" s="5" t="str">
        <f>HYPERLINK("https://propertylookup.dupagecounty.gov/Datalets/Datalet.aspx?UseSearch=no&amp;mode=sales&amp;pin=0709200028","sales record")</f>
        <v>sales record</v>
      </c>
      <c r="AC2812" t="s">
        <v>3</v>
      </c>
      <c r="AD2812">
        <v>41.795055</v>
      </c>
      <c r="AE2812">
        <v>-88.210155</v>
      </c>
      <c r="AF2812" s="5" t="str">
        <f>HYPERLINK("https://www.google.com/maps/search/?api=1&amp;query=41.795055,-88.210155","map")</f>
        <v>map</v>
      </c>
    </row>
    <row r="2813" spans="1:32">
      <c r="A2813" t="s">
        <v>2863</v>
      </c>
      <c r="B2813" t="s">
        <v>10396</v>
      </c>
      <c r="C2813" t="s">
        <v>15475</v>
      </c>
      <c r="D2813" t="s">
        <v>16206</v>
      </c>
      <c r="E2813" t="s">
        <v>16218</v>
      </c>
      <c r="F2813" t="s">
        <v>16220</v>
      </c>
      <c r="G2813" t="s">
        <v>16274</v>
      </c>
      <c r="H2813" t="s">
        <v>16269</v>
      </c>
      <c r="I2813" t="s">
        <v>16352</v>
      </c>
      <c r="J2813" t="s">
        <v>16386</v>
      </c>
      <c r="K2813">
        <v>0.273</v>
      </c>
      <c r="L2813">
        <v>11905</v>
      </c>
      <c r="M2813">
        <v>2803</v>
      </c>
      <c r="N2813" t="s">
        <v>16393</v>
      </c>
      <c r="O2813" s="4">
        <v>65322</v>
      </c>
      <c r="P2813" s="4">
        <v>171373</v>
      </c>
      <c r="Q2813" s="4">
        <v>236695</v>
      </c>
      <c r="R2813" s="4">
        <v>710085</v>
      </c>
      <c r="S2813" t="s">
        <v>19126</v>
      </c>
      <c r="T2813" s="6">
        <v>37073</v>
      </c>
      <c r="U2813" s="4">
        <v>330000</v>
      </c>
      <c r="V2813" t="s">
        <v>23739</v>
      </c>
      <c r="W2813" t="s">
        <v>19126</v>
      </c>
      <c r="X2813" t="s">
        <v>3</v>
      </c>
      <c r="AA2813" s="5" t="str">
        <f>HYPERLINK("https://www.zillow.com/homes/1412-ROLLING-GROVE-CT-NAPERVILLE-IL-60540_rb/","check listing")</f>
        <v>check listing</v>
      </c>
      <c r="AB2813" s="5" t="str">
        <f>HYPERLINK("https://propertylookup.dupagecounty.gov/Datalets/Datalet.aspx?UseSearch=no&amp;mode=sales&amp;pin=0723304015","sales record")</f>
        <v>sales record</v>
      </c>
      <c r="AC2813" t="s">
        <v>3</v>
      </c>
      <c r="AD2813">
        <v>41.760461</v>
      </c>
      <c r="AE2813">
        <v>-88.179024</v>
      </c>
      <c r="AF2813" s="5" t="str">
        <f>HYPERLINK("https://www.google.com/maps/search/?api=1&amp;query=41.760461,-88.179024","map")</f>
        <v>map</v>
      </c>
    </row>
    <row r="2814" spans="1:32">
      <c r="A2814" t="s">
        <v>2864</v>
      </c>
      <c r="B2814" t="s">
        <v>10397</v>
      </c>
      <c r="C2814" t="s">
        <v>15475</v>
      </c>
      <c r="D2814" t="s">
        <v>16206</v>
      </c>
      <c r="E2814" t="s">
        <v>16218</v>
      </c>
      <c r="F2814" t="s">
        <v>16220</v>
      </c>
      <c r="G2814" t="s">
        <v>16275</v>
      </c>
      <c r="H2814" t="s">
        <v>16276</v>
      </c>
      <c r="I2814" t="s">
        <v>16352</v>
      </c>
      <c r="J2814" t="s">
        <v>16386</v>
      </c>
      <c r="K2814">
        <v>0.273</v>
      </c>
      <c r="L2814">
        <v>11872</v>
      </c>
      <c r="M2814">
        <v>2375</v>
      </c>
      <c r="N2814" t="s">
        <v>16393</v>
      </c>
      <c r="O2814" s="4">
        <v>52616</v>
      </c>
      <c r="P2814" s="4">
        <v>135734</v>
      </c>
      <c r="Q2814" s="4">
        <v>188350</v>
      </c>
      <c r="R2814" s="4">
        <v>565050</v>
      </c>
      <c r="S2814" t="s">
        <v>19127</v>
      </c>
      <c r="T2814" s="6">
        <v>38047</v>
      </c>
      <c r="U2814" s="4">
        <v>350000</v>
      </c>
      <c r="V2814" t="s">
        <v>23739</v>
      </c>
      <c r="W2814" t="s">
        <v>25094</v>
      </c>
      <c r="X2814" t="s">
        <v>3</v>
      </c>
      <c r="AA2814" s="5" t="str">
        <f>HYPERLINK("https://www.zillow.com/homes/707-WOODEWIND-DR-NAPERVILLE-IL-60540_rb/","check listing")</f>
        <v>check listing</v>
      </c>
      <c r="AB2814" s="5" t="str">
        <f>HYPERLINK("https://propertylookup.dupagecounty.gov/Datalets/Datalet.aspx?UseSearch=no&amp;mode=sales&amp;pin=0716106014","sales record")</f>
        <v>sales record</v>
      </c>
      <c r="AC2814" t="s">
        <v>3</v>
      </c>
      <c r="AD2814">
        <v>41.782347</v>
      </c>
      <c r="AE2814">
        <v>-88.22120700000001</v>
      </c>
      <c r="AF2814" s="5" t="str">
        <f>HYPERLINK("https://www.google.com/maps/search/?api=1&amp;query=41.782347,-88.221207","map")</f>
        <v>map</v>
      </c>
    </row>
    <row r="2815" spans="1:32">
      <c r="A2815" t="s">
        <v>2865</v>
      </c>
      <c r="B2815" t="s">
        <v>10398</v>
      </c>
      <c r="C2815" t="s">
        <v>15478</v>
      </c>
      <c r="D2815" t="s">
        <v>16206</v>
      </c>
      <c r="E2815" t="s">
        <v>16218</v>
      </c>
      <c r="F2815" t="s">
        <v>16220</v>
      </c>
      <c r="G2815" t="s">
        <v>16274</v>
      </c>
      <c r="H2815" t="s">
        <v>16269</v>
      </c>
      <c r="I2815" t="s">
        <v>16352</v>
      </c>
      <c r="J2815" t="s">
        <v>16386</v>
      </c>
      <c r="K2815">
        <v>0.272</v>
      </c>
      <c r="L2815">
        <v>11841</v>
      </c>
      <c r="M2815">
        <v>2803</v>
      </c>
      <c r="N2815" t="s">
        <v>16393</v>
      </c>
      <c r="O2815" s="4">
        <v>84716</v>
      </c>
      <c r="P2815" s="4">
        <v>122841</v>
      </c>
      <c r="Q2815" s="4">
        <v>207557</v>
      </c>
      <c r="R2815" s="4">
        <v>622671</v>
      </c>
      <c r="S2815" t="s">
        <v>19128</v>
      </c>
      <c r="T2815" s="6">
        <v>42156</v>
      </c>
      <c r="U2815" s="4">
        <v>478500</v>
      </c>
      <c r="V2815" t="s">
        <v>23739</v>
      </c>
      <c r="W2815" t="s">
        <v>25095</v>
      </c>
      <c r="X2815" t="s">
        <v>3</v>
      </c>
      <c r="AA2815" s="5" t="str">
        <f>HYPERLINK("https://www.zillow.com/homes/1308-MURDSTONE-DR-NAPERVILLE-IL-60563_rb/","check listing")</f>
        <v>check listing</v>
      </c>
      <c r="AB2815" s="5" t="str">
        <f>HYPERLINK("https://propertylookup.dupagecounty.gov/Datalets/Datalet.aspx?UseSearch=no&amp;mode=sales&amp;pin=0808315001","sales record")</f>
        <v>sales record</v>
      </c>
      <c r="AC2815" t="s">
        <v>3</v>
      </c>
      <c r="AD2815">
        <v>41.791091</v>
      </c>
      <c r="AE2815">
        <v>-88.12699000000001</v>
      </c>
      <c r="AF2815" s="5" t="str">
        <f>HYPERLINK("https://www.google.com/maps/search/?api=1&amp;query=41.791091,-88.12699","map")</f>
        <v>map</v>
      </c>
    </row>
    <row r="2816" spans="1:32">
      <c r="A2816" t="s">
        <v>2866</v>
      </c>
      <c r="B2816" t="s">
        <v>10399</v>
      </c>
      <c r="C2816" t="s">
        <v>15478</v>
      </c>
      <c r="D2816" t="s">
        <v>16206</v>
      </c>
      <c r="E2816" t="s">
        <v>16218</v>
      </c>
      <c r="F2816" t="s">
        <v>16220</v>
      </c>
      <c r="G2816" t="s">
        <v>16273</v>
      </c>
      <c r="H2816" t="s">
        <v>16254</v>
      </c>
      <c r="I2816" t="s">
        <v>16351</v>
      </c>
      <c r="J2816" t="s">
        <v>16386</v>
      </c>
      <c r="K2816">
        <v>0.27</v>
      </c>
      <c r="L2816">
        <v>11750</v>
      </c>
      <c r="M2816">
        <v>2358</v>
      </c>
      <c r="N2816" t="s">
        <v>16393</v>
      </c>
      <c r="O2816" s="4">
        <v>52262</v>
      </c>
      <c r="P2816" s="4">
        <v>152369</v>
      </c>
      <c r="Q2816" s="4">
        <v>204631</v>
      </c>
      <c r="R2816" s="4">
        <v>613893</v>
      </c>
      <c r="S2816" t="s">
        <v>19129</v>
      </c>
      <c r="T2816" s="6">
        <v>41456</v>
      </c>
      <c r="U2816" s="4">
        <v>405000</v>
      </c>
      <c r="V2816" t="s">
        <v>23739</v>
      </c>
      <c r="W2816" t="s">
        <v>25096</v>
      </c>
      <c r="X2816" t="s">
        <v>3</v>
      </c>
      <c r="AA2816" s="5" t="str">
        <f>HYPERLINK("https://www.zillow.com/homes/2031-BUNKER-CIR-NAPERVILLE-IL-60563_rb/","check listing")</f>
        <v>check listing</v>
      </c>
      <c r="AB2816" s="5" t="str">
        <f>HYPERLINK("https://propertylookup.dupagecounty.gov/Datalets/Datalet.aspx?UseSearch=no&amp;mode=sales&amp;pin=0709221009","sales record")</f>
        <v>sales record</v>
      </c>
      <c r="AC2816" t="s">
        <v>3</v>
      </c>
      <c r="AD2816">
        <v>41.795087</v>
      </c>
      <c r="AE2816">
        <v>-88.211124</v>
      </c>
      <c r="AF2816" s="5" t="str">
        <f>HYPERLINK("https://www.google.com/maps/search/?api=1&amp;query=41.795087,-88.211124","map")</f>
        <v>map</v>
      </c>
    </row>
    <row r="2817" spans="1:32">
      <c r="A2817" t="s">
        <v>2867</v>
      </c>
      <c r="B2817" t="s">
        <v>10400</v>
      </c>
      <c r="C2817" t="s">
        <v>15475</v>
      </c>
      <c r="D2817" t="s">
        <v>16206</v>
      </c>
      <c r="E2817" t="s">
        <v>16218</v>
      </c>
      <c r="F2817" t="s">
        <v>16220</v>
      </c>
      <c r="G2817" t="s">
        <v>16274</v>
      </c>
      <c r="H2817" t="s">
        <v>16269</v>
      </c>
      <c r="I2817" t="s">
        <v>16352</v>
      </c>
      <c r="J2817" t="s">
        <v>16386</v>
      </c>
      <c r="K2817">
        <v>0.269</v>
      </c>
      <c r="L2817">
        <v>11724</v>
      </c>
      <c r="M2817">
        <v>2474</v>
      </c>
      <c r="N2817" t="s">
        <v>16393</v>
      </c>
      <c r="O2817" s="4">
        <v>65322</v>
      </c>
      <c r="P2817" s="4">
        <v>167712</v>
      </c>
      <c r="Q2817" s="4">
        <v>233034</v>
      </c>
      <c r="R2817" s="4">
        <v>699102</v>
      </c>
      <c r="S2817" t="s">
        <v>19130</v>
      </c>
      <c r="T2817" s="6">
        <v>39508</v>
      </c>
      <c r="U2817" s="4">
        <v>420000</v>
      </c>
      <c r="V2817" t="s">
        <v>23739</v>
      </c>
      <c r="W2817" t="s">
        <v>25097</v>
      </c>
      <c r="X2817" t="s">
        <v>3</v>
      </c>
      <c r="AA2817" s="5" t="str">
        <f>HYPERLINK("https://www.zillow.com/homes/1408-ROLLING-GROVE-CT-NAPERVILLE-IL-60540_rb/","check listing")</f>
        <v>check listing</v>
      </c>
      <c r="AB2817" s="5" t="str">
        <f>HYPERLINK("https://propertylookup.dupagecounty.gov/Datalets/Datalet.aspx?UseSearch=no&amp;mode=sales&amp;pin=0723304014","sales record")</f>
        <v>sales record</v>
      </c>
      <c r="AC2817" t="s">
        <v>3</v>
      </c>
      <c r="AD2817">
        <v>41.760516</v>
      </c>
      <c r="AE2817">
        <v>-88.178709</v>
      </c>
      <c r="AF2817" s="5" t="str">
        <f>HYPERLINK("https://www.google.com/maps/search/?api=1&amp;query=41.760516,-88.178709","map")</f>
        <v>map</v>
      </c>
    </row>
    <row r="2818" spans="1:32">
      <c r="A2818" t="s">
        <v>2868</v>
      </c>
      <c r="B2818" t="s">
        <v>10401</v>
      </c>
      <c r="C2818" t="s">
        <v>15478</v>
      </c>
      <c r="D2818" t="s">
        <v>16206</v>
      </c>
      <c r="E2818" t="s">
        <v>16218</v>
      </c>
      <c r="F2818" t="s">
        <v>16220</v>
      </c>
      <c r="G2818" t="s">
        <v>16273</v>
      </c>
      <c r="H2818" t="s">
        <v>16254</v>
      </c>
      <c r="I2818" t="s">
        <v>16351</v>
      </c>
      <c r="J2818" t="s">
        <v>16386</v>
      </c>
      <c r="K2818">
        <v>0.269</v>
      </c>
      <c r="L2818">
        <v>11713</v>
      </c>
      <c r="M2818">
        <v>2770</v>
      </c>
      <c r="N2818" t="s">
        <v>16393</v>
      </c>
      <c r="O2818" s="4">
        <v>40728</v>
      </c>
      <c r="P2818" s="4">
        <v>175230</v>
      </c>
      <c r="Q2818" s="4">
        <v>215958</v>
      </c>
      <c r="R2818" s="4">
        <v>647874</v>
      </c>
      <c r="S2818" t="s">
        <v>19131</v>
      </c>
      <c r="T2818" s="6">
        <v>36861</v>
      </c>
      <c r="U2818" s="4">
        <v>335913</v>
      </c>
      <c r="V2818" t="s">
        <v>23739</v>
      </c>
      <c r="W2818" t="s">
        <v>25098</v>
      </c>
      <c r="X2818" t="s">
        <v>3</v>
      </c>
      <c r="AA2818" s="5" t="str">
        <f>HYPERLINK("https://www.zillow.com/homes/2156-COUNTRY-LAKES-DR-NAPERVILLE-IL-60563_rb/","check listing")</f>
        <v>check listing</v>
      </c>
      <c r="AB2818" s="5" t="str">
        <f>HYPERLINK("https://propertylookup.dupagecounty.gov/Datalets/Datalet.aspx?UseSearch=no&amp;mode=sales&amp;pin=0709200008","sales record")</f>
        <v>sales record</v>
      </c>
      <c r="AC2818" t="s">
        <v>3</v>
      </c>
      <c r="AD2818">
        <v>41.794917</v>
      </c>
      <c r="AE2818">
        <v>-88.214552</v>
      </c>
      <c r="AF2818" s="5" t="str">
        <f>HYPERLINK("https://www.google.com/maps/search/?api=1&amp;query=41.794917,-88.214552","map")</f>
        <v>map</v>
      </c>
    </row>
    <row r="2819" spans="1:32">
      <c r="A2819" t="s">
        <v>2869</v>
      </c>
      <c r="B2819" t="s">
        <v>10402</v>
      </c>
      <c r="C2819" t="s">
        <v>15504</v>
      </c>
      <c r="D2819" t="s">
        <v>16206</v>
      </c>
      <c r="E2819" t="s">
        <v>16218</v>
      </c>
      <c r="F2819" t="s">
        <v>16220</v>
      </c>
      <c r="G2819" t="s">
        <v>16274</v>
      </c>
      <c r="H2819" t="s">
        <v>16269</v>
      </c>
      <c r="I2819" t="s">
        <v>16352</v>
      </c>
      <c r="J2819" t="s">
        <v>16386</v>
      </c>
      <c r="K2819">
        <v>0.269</v>
      </c>
      <c r="L2819">
        <v>11702</v>
      </c>
      <c r="M2819">
        <v>2472</v>
      </c>
      <c r="N2819" t="s">
        <v>16393</v>
      </c>
      <c r="O2819" s="4">
        <v>55106</v>
      </c>
      <c r="P2819" s="4">
        <v>154786</v>
      </c>
      <c r="Q2819" s="4">
        <v>209892</v>
      </c>
      <c r="R2819" s="4">
        <v>629676</v>
      </c>
      <c r="S2819" t="s">
        <v>19132</v>
      </c>
      <c r="T2819" s="6">
        <v>45368</v>
      </c>
      <c r="U2819" s="4">
        <v>639000</v>
      </c>
      <c r="V2819" t="s">
        <v>23739</v>
      </c>
      <c r="W2819" t="s">
        <v>25099</v>
      </c>
      <c r="X2819" t="s">
        <v>3</v>
      </c>
      <c r="AA2819" s="5" t="str">
        <f>HYPERLINK("https://www.zillow.com/homes/1242-ARDMORE-DR-NAPERVILLE-IL-605400306_rb/","check listing")</f>
        <v>check listing</v>
      </c>
      <c r="AB2819" s="5" t="str">
        <f>HYPERLINK("https://propertylookup.dupagecounty.gov/Datalets/Datalet.aspx?UseSearch=no&amp;mode=sales&amp;pin=0726205005","sales record")</f>
        <v>sales record</v>
      </c>
      <c r="AC2819" t="s">
        <v>3</v>
      </c>
      <c r="AD2819">
        <v>41.753355</v>
      </c>
      <c r="AE2819">
        <v>-88.171025</v>
      </c>
      <c r="AF2819" s="5" t="str">
        <f>HYPERLINK("https://www.google.com/maps/search/?api=1&amp;query=41.753355,-88.171025","map")</f>
        <v>map</v>
      </c>
    </row>
    <row r="2820" spans="1:32">
      <c r="A2820" t="s">
        <v>2870</v>
      </c>
      <c r="B2820" t="s">
        <v>10403</v>
      </c>
      <c r="C2820" t="s">
        <v>15500</v>
      </c>
      <c r="D2820" t="s">
        <v>16206</v>
      </c>
      <c r="E2820" t="s">
        <v>16218</v>
      </c>
      <c r="F2820" t="s">
        <v>16220</v>
      </c>
      <c r="G2820" t="s">
        <v>16275</v>
      </c>
      <c r="H2820" t="s">
        <v>16276</v>
      </c>
      <c r="I2820" t="s">
        <v>16352</v>
      </c>
      <c r="J2820" t="s">
        <v>16386</v>
      </c>
      <c r="K2820">
        <v>0.268</v>
      </c>
      <c r="L2820">
        <v>11673</v>
      </c>
      <c r="M2820">
        <v>2225</v>
      </c>
      <c r="N2820" t="s">
        <v>16393</v>
      </c>
      <c r="O2820" s="4">
        <v>52555</v>
      </c>
      <c r="P2820" s="4">
        <v>113704</v>
      </c>
      <c r="Q2820" s="4">
        <v>166259</v>
      </c>
      <c r="R2820" s="4">
        <v>498777</v>
      </c>
      <c r="S2820" t="s">
        <v>19133</v>
      </c>
      <c r="T2820" s="6">
        <v>44652</v>
      </c>
      <c r="U2820" s="4">
        <v>480000</v>
      </c>
      <c r="V2820" t="s">
        <v>23739</v>
      </c>
      <c r="W2820" t="s">
        <v>25100</v>
      </c>
      <c r="X2820" t="s">
        <v>3</v>
      </c>
      <c r="AA2820" s="5" t="str">
        <f>HYPERLINK("https://www.zillow.com/homes/1215-SAMUEL-CT-NAPERVILLE-IL-605401910_rb/","check listing")</f>
        <v>check listing</v>
      </c>
      <c r="AB2820" s="5" t="str">
        <f>HYPERLINK("https://propertylookup.dupagecounty.gov/Datalets/Datalet.aspx?UseSearch=no&amp;mode=sales&amp;pin=0727201067","sales record")</f>
        <v>sales record</v>
      </c>
      <c r="AC2820" t="s">
        <v>3</v>
      </c>
      <c r="AD2820">
        <v>41.747784</v>
      </c>
      <c r="AE2820">
        <v>-88.194714</v>
      </c>
      <c r="AF2820" s="5" t="str">
        <f>HYPERLINK("https://www.google.com/maps/search/?api=1&amp;query=41.747784,-88.194714","map")</f>
        <v>map</v>
      </c>
    </row>
    <row r="2821" spans="1:32">
      <c r="A2821" t="s">
        <v>2871</v>
      </c>
      <c r="B2821" t="s">
        <v>10404</v>
      </c>
      <c r="C2821" t="s">
        <v>15475</v>
      </c>
      <c r="D2821" t="s">
        <v>16206</v>
      </c>
      <c r="E2821" t="s">
        <v>16218</v>
      </c>
      <c r="F2821" t="s">
        <v>16220</v>
      </c>
      <c r="G2821" t="s">
        <v>16275</v>
      </c>
      <c r="H2821" t="s">
        <v>16276</v>
      </c>
      <c r="I2821" t="s">
        <v>16352</v>
      </c>
      <c r="J2821" t="s">
        <v>16386</v>
      </c>
      <c r="K2821">
        <v>0.267</v>
      </c>
      <c r="L2821">
        <v>11634</v>
      </c>
      <c r="M2821">
        <v>1814</v>
      </c>
      <c r="N2821" t="s">
        <v>16393</v>
      </c>
      <c r="O2821" s="4">
        <v>51103</v>
      </c>
      <c r="P2821" s="4">
        <v>109968</v>
      </c>
      <c r="Q2821" s="4">
        <v>161071</v>
      </c>
      <c r="R2821" s="4">
        <v>483213</v>
      </c>
      <c r="S2821" t="s">
        <v>19134</v>
      </c>
      <c r="T2821" s="6">
        <v>34881</v>
      </c>
      <c r="U2821" s="4">
        <v>177198</v>
      </c>
      <c r="X2821" t="s">
        <v>3</v>
      </c>
      <c r="AA2821" s="5" t="str">
        <f>HYPERLINK("https://www.zillow.com/homes/2312-PERIWINKLE-CT-NAPERVILLE-IL-60540_rb/","check listing")</f>
        <v>check listing</v>
      </c>
      <c r="AB2821" s="5" t="str">
        <f>HYPERLINK("https://propertylookup.dupagecounty.gov/Datalets/Datalet.aspx?UseSearch=no&amp;mode=sales&amp;pin=0722407034","sales record")</f>
        <v>sales record</v>
      </c>
      <c r="AC2821" t="s">
        <v>3</v>
      </c>
      <c r="AD2821">
        <v>41.758124</v>
      </c>
      <c r="AE2821">
        <v>-88.191973</v>
      </c>
      <c r="AF2821" s="5" t="str">
        <f>HYPERLINK("https://www.google.com/maps/search/?api=1&amp;query=41.758124,-88.191973","map")</f>
        <v>map</v>
      </c>
    </row>
    <row r="2822" spans="1:32">
      <c r="A2822" t="s">
        <v>2872</v>
      </c>
      <c r="B2822" t="s">
        <v>10405</v>
      </c>
      <c r="C2822" t="s">
        <v>15503</v>
      </c>
      <c r="D2822" t="s">
        <v>16206</v>
      </c>
      <c r="E2822" t="s">
        <v>16218</v>
      </c>
      <c r="F2822" t="s">
        <v>16220</v>
      </c>
      <c r="G2822" t="s">
        <v>16274</v>
      </c>
      <c r="H2822" t="s">
        <v>16269</v>
      </c>
      <c r="I2822" t="s">
        <v>16352</v>
      </c>
      <c r="J2822" t="s">
        <v>16386</v>
      </c>
      <c r="K2822">
        <v>0.266</v>
      </c>
      <c r="L2822">
        <v>11591</v>
      </c>
      <c r="M2822">
        <v>3166</v>
      </c>
      <c r="N2822" t="s">
        <v>16393</v>
      </c>
      <c r="O2822" s="4">
        <v>58060</v>
      </c>
      <c r="P2822" s="4">
        <v>185531</v>
      </c>
      <c r="Q2822" s="4">
        <v>243591</v>
      </c>
      <c r="R2822" s="4">
        <v>730773</v>
      </c>
      <c r="S2822" t="s">
        <v>19135</v>
      </c>
      <c r="T2822" s="6">
        <v>42826</v>
      </c>
      <c r="U2822" s="4">
        <v>455000</v>
      </c>
      <c r="V2822" t="s">
        <v>16232</v>
      </c>
      <c r="W2822" t="s">
        <v>25101</v>
      </c>
      <c r="X2822" t="s">
        <v>3</v>
      </c>
      <c r="AA2822" s="5" t="str">
        <f>HYPERLINK("https://www.zillow.com/homes/1747-CHADWICKE-CIR-NAPERVILLE-IL-605400398_rb/","check listing")</f>
        <v>check listing</v>
      </c>
      <c r="AB2822" s="5" t="str">
        <f>HYPERLINK("https://propertylookup.dupagecounty.gov/Datalets/Datalet.aspx?UseSearch=no&amp;mode=sales&amp;pin=0723311017","sales record")</f>
        <v>sales record</v>
      </c>
      <c r="AC2822" t="s">
        <v>3</v>
      </c>
      <c r="AD2822">
        <v>41.755359</v>
      </c>
      <c r="AE2822">
        <v>-88.186037</v>
      </c>
      <c r="AF2822" s="5" t="str">
        <f>HYPERLINK("https://www.google.com/maps/search/?api=1&amp;query=41.755359,-88.186037","map")</f>
        <v>map</v>
      </c>
    </row>
    <row r="2823" spans="1:32">
      <c r="A2823" t="s">
        <v>2873</v>
      </c>
      <c r="B2823" t="s">
        <v>10406</v>
      </c>
      <c r="C2823" t="s">
        <v>15476</v>
      </c>
      <c r="D2823" t="s">
        <v>16206</v>
      </c>
      <c r="E2823" t="s">
        <v>16218</v>
      </c>
      <c r="F2823" t="s">
        <v>16220</v>
      </c>
      <c r="G2823" t="s">
        <v>16269</v>
      </c>
      <c r="H2823" t="s">
        <v>16269</v>
      </c>
      <c r="I2823" t="s">
        <v>16352</v>
      </c>
      <c r="J2823" t="s">
        <v>16386</v>
      </c>
      <c r="K2823">
        <v>0.266</v>
      </c>
      <c r="L2823">
        <v>11573</v>
      </c>
      <c r="M2823">
        <v>1552</v>
      </c>
      <c r="N2823" t="s">
        <v>16393</v>
      </c>
      <c r="O2823" s="4">
        <v>76630</v>
      </c>
      <c r="P2823" s="4">
        <v>99664</v>
      </c>
      <c r="Q2823" s="4">
        <v>176294</v>
      </c>
      <c r="R2823" s="4">
        <v>528882</v>
      </c>
      <c r="S2823" t="s">
        <v>19136</v>
      </c>
      <c r="T2823" s="6">
        <v>35065</v>
      </c>
      <c r="U2823" s="4">
        <v>203500</v>
      </c>
      <c r="X2823" t="s">
        <v>3</v>
      </c>
      <c r="AA2823" s="5" t="str">
        <f>HYPERLINK("https://www.zillow.com/homes/1815-RAMPART-CT-NAPERVILLE-IL-60565_rb/","check listing")</f>
        <v>check listing</v>
      </c>
      <c r="AB2823" s="5" t="str">
        <f>HYPERLINK("https://propertylookup.dupagecounty.gov/Datalets/Datalet.aspx?UseSearch=no&amp;mode=sales&amp;pin=0832117022","sales record")</f>
        <v>sales record</v>
      </c>
      <c r="AC2823" t="s">
        <v>3</v>
      </c>
      <c r="AD2823">
        <v>41.734279</v>
      </c>
      <c r="AE2823">
        <v>-88.119315</v>
      </c>
      <c r="AF2823" s="5" t="str">
        <f>HYPERLINK("https://www.google.com/maps/search/?api=1&amp;query=41.734279,-88.119315","map")</f>
        <v>map</v>
      </c>
    </row>
    <row r="2824" spans="1:32">
      <c r="A2824" t="s">
        <v>2874</v>
      </c>
      <c r="B2824" t="s">
        <v>10407</v>
      </c>
      <c r="C2824" t="s">
        <v>15478</v>
      </c>
      <c r="D2824" t="s">
        <v>16206</v>
      </c>
      <c r="E2824" t="s">
        <v>16218</v>
      </c>
      <c r="F2824" t="s">
        <v>16220</v>
      </c>
      <c r="G2824" t="s">
        <v>16275</v>
      </c>
      <c r="H2824" t="s">
        <v>16276</v>
      </c>
      <c r="I2824" t="s">
        <v>16352</v>
      </c>
      <c r="J2824" t="s">
        <v>16386</v>
      </c>
      <c r="K2824">
        <v>0.266</v>
      </c>
      <c r="L2824">
        <v>11572</v>
      </c>
      <c r="M2824">
        <v>2308</v>
      </c>
      <c r="N2824" t="s">
        <v>16393</v>
      </c>
      <c r="O2824" s="4">
        <v>54862</v>
      </c>
      <c r="P2824" s="4">
        <v>116596</v>
      </c>
      <c r="Q2824" s="4">
        <v>171458</v>
      </c>
      <c r="R2824" s="4">
        <v>514374</v>
      </c>
      <c r="S2824" t="s">
        <v>19137</v>
      </c>
      <c r="T2824" s="6">
        <v>38047</v>
      </c>
      <c r="U2824" s="4">
        <v>331500</v>
      </c>
      <c r="V2824" t="s">
        <v>23739</v>
      </c>
      <c r="W2824" t="s">
        <v>25102</v>
      </c>
      <c r="X2824" t="s">
        <v>3</v>
      </c>
      <c r="AA2824" s="5" t="str">
        <f>HYPERLINK("https://www.zillow.com/homes/731-WOODEWIND-DR-NAPERVILLE-IL-60563_rb/","check listing")</f>
        <v>check listing</v>
      </c>
      <c r="AB2824" s="5" t="str">
        <f>HYPERLINK("https://propertylookup.dupagecounty.gov/Datalets/Datalet.aspx?UseSearch=no&amp;mode=sales&amp;pin=0709307001","sales record")</f>
        <v>sales record</v>
      </c>
      <c r="AC2824" t="s">
        <v>3</v>
      </c>
      <c r="AD2824">
        <v>41.783549</v>
      </c>
      <c r="AE2824">
        <v>-88.221272</v>
      </c>
      <c r="AF2824" s="5" t="str">
        <f>HYPERLINK("https://www.google.com/maps/search/?api=1&amp;query=41.783549,-88.221272","map")</f>
        <v>map</v>
      </c>
    </row>
    <row r="2825" spans="1:32">
      <c r="A2825" t="s">
        <v>2875</v>
      </c>
      <c r="B2825" t="s">
        <v>10408</v>
      </c>
      <c r="C2825" t="s">
        <v>15478</v>
      </c>
      <c r="D2825" t="s">
        <v>16206</v>
      </c>
      <c r="E2825" t="s">
        <v>16218</v>
      </c>
      <c r="F2825" t="s">
        <v>16220</v>
      </c>
      <c r="G2825" t="s">
        <v>16273</v>
      </c>
      <c r="H2825" t="s">
        <v>16254</v>
      </c>
      <c r="I2825" t="s">
        <v>16351</v>
      </c>
      <c r="J2825" t="s">
        <v>16386</v>
      </c>
      <c r="K2825">
        <v>0.265</v>
      </c>
      <c r="L2825">
        <v>11564</v>
      </c>
      <c r="M2825">
        <v>2921</v>
      </c>
      <c r="N2825" t="s">
        <v>16393</v>
      </c>
      <c r="O2825" s="4">
        <v>54265</v>
      </c>
      <c r="P2825" s="4">
        <v>134062</v>
      </c>
      <c r="Q2825" s="4">
        <v>188327</v>
      </c>
      <c r="R2825" s="4">
        <v>564981</v>
      </c>
      <c r="S2825" t="s">
        <v>19138</v>
      </c>
      <c r="T2825" s="6">
        <v>42644</v>
      </c>
      <c r="U2825" s="4">
        <v>317500</v>
      </c>
      <c r="V2825" t="s">
        <v>23740</v>
      </c>
      <c r="W2825" t="s">
        <v>25103</v>
      </c>
      <c r="X2825" t="s">
        <v>3</v>
      </c>
      <c r="AA2825" s="5" t="str">
        <f>HYPERLINK("https://www.zillow.com/homes/2046-BUNKER-CIR-NAPERVILLE-IL-60563_rb/","check listing")</f>
        <v>check listing</v>
      </c>
      <c r="AB2825" s="5" t="str">
        <f>HYPERLINK("https://propertylookup.dupagecounty.gov/Datalets/Datalet.aspx?UseSearch=no&amp;mode=sales&amp;pin=0709200020","sales record")</f>
        <v>sales record</v>
      </c>
      <c r="AC2825" t="s">
        <v>3</v>
      </c>
      <c r="AD2825">
        <v>41.795801</v>
      </c>
      <c r="AE2825">
        <v>-88.21192600000001</v>
      </c>
      <c r="AF2825" s="5" t="str">
        <f>HYPERLINK("https://www.google.com/maps/search/?api=1&amp;query=41.795801,-88.211926","map")</f>
        <v>map</v>
      </c>
    </row>
    <row r="2826" spans="1:32">
      <c r="A2826" t="s">
        <v>2876</v>
      </c>
      <c r="B2826" t="s">
        <v>10409</v>
      </c>
      <c r="C2826" t="s">
        <v>15509</v>
      </c>
      <c r="D2826" t="s">
        <v>16206</v>
      </c>
      <c r="E2826" t="s">
        <v>16218</v>
      </c>
      <c r="F2826" t="s">
        <v>16220</v>
      </c>
      <c r="G2826" t="s">
        <v>16275</v>
      </c>
      <c r="H2826" t="s">
        <v>16276</v>
      </c>
      <c r="I2826" t="s">
        <v>16352</v>
      </c>
      <c r="J2826" t="s">
        <v>16386</v>
      </c>
      <c r="K2826">
        <v>0.265</v>
      </c>
      <c r="L2826">
        <v>11546</v>
      </c>
      <c r="M2826">
        <v>2143</v>
      </c>
      <c r="N2826" t="s">
        <v>16393</v>
      </c>
      <c r="O2826" s="4">
        <v>41339</v>
      </c>
      <c r="P2826" s="4">
        <v>100083</v>
      </c>
      <c r="Q2826" s="4">
        <v>141422</v>
      </c>
      <c r="R2826" s="4">
        <v>424266</v>
      </c>
      <c r="S2826" t="s">
        <v>19139</v>
      </c>
      <c r="T2826" s="6">
        <v>45342</v>
      </c>
      <c r="U2826" s="4">
        <v>545000</v>
      </c>
      <c r="V2826" t="s">
        <v>23739</v>
      </c>
      <c r="W2826" t="s">
        <v>25104</v>
      </c>
      <c r="X2826" t="s">
        <v>3</v>
      </c>
      <c r="AA2826" s="5" t="str">
        <f>HYPERLINK("https://www.zillow.com/homes/603-GENESEE-DR-NAPERVILLE-IL-605633952_rb/","check listing")</f>
        <v>check listing</v>
      </c>
      <c r="AB2826" s="5" t="str">
        <f>HYPERLINK("https://propertylookup.dupagecounty.gov/Datalets/Datalet.aspx?UseSearch=no&amp;mode=sales&amp;pin=0716106017","sales record")</f>
        <v>sales record</v>
      </c>
      <c r="AC2826" t="s">
        <v>3</v>
      </c>
      <c r="AD2826">
        <v>41.781699</v>
      </c>
      <c r="AE2826">
        <v>-88.22111</v>
      </c>
      <c r="AF2826" s="5" t="str">
        <f>HYPERLINK("https://www.google.com/maps/search/?api=1&amp;query=41.781699,-88.22111","map")</f>
        <v>map</v>
      </c>
    </row>
    <row r="2827" spans="1:32">
      <c r="A2827" t="s">
        <v>2877</v>
      </c>
      <c r="B2827" t="s">
        <v>10410</v>
      </c>
      <c r="C2827" t="s">
        <v>15487</v>
      </c>
      <c r="D2827" t="s">
        <v>16206</v>
      </c>
      <c r="E2827" t="s">
        <v>16218</v>
      </c>
      <c r="F2827" t="s">
        <v>16220</v>
      </c>
      <c r="G2827" t="s">
        <v>16274</v>
      </c>
      <c r="H2827" t="s">
        <v>16269</v>
      </c>
      <c r="I2827" t="s">
        <v>16352</v>
      </c>
      <c r="J2827" t="s">
        <v>16386</v>
      </c>
      <c r="K2827">
        <v>0.265</v>
      </c>
      <c r="L2827">
        <v>11541</v>
      </c>
      <c r="M2827">
        <v>2803</v>
      </c>
      <c r="N2827" t="s">
        <v>16393</v>
      </c>
      <c r="O2827" s="4">
        <v>65322</v>
      </c>
      <c r="P2827" s="4">
        <v>188936</v>
      </c>
      <c r="Q2827" s="4">
        <v>254258</v>
      </c>
      <c r="R2827" s="4">
        <v>762774</v>
      </c>
      <c r="S2827" t="s">
        <v>19140</v>
      </c>
      <c r="T2827" s="6">
        <v>43678</v>
      </c>
      <c r="U2827" s="4">
        <v>480000</v>
      </c>
      <c r="V2827" t="s">
        <v>23739</v>
      </c>
      <c r="W2827" t="s">
        <v>25105</v>
      </c>
      <c r="X2827" t="s">
        <v>3</v>
      </c>
      <c r="AA2827" s="5" t="str">
        <f>HYPERLINK("https://www.zillow.com/homes/704-HAYLE-CT-NAPERVILLE-IL-605400396_rb/","check listing")</f>
        <v>check listing</v>
      </c>
      <c r="AB2827" s="5" t="str">
        <f>HYPERLINK("https://propertylookup.dupagecounty.gov/Datalets/Datalet.aspx?UseSearch=no&amp;mode=sales&amp;pin=0723311005","sales record")</f>
        <v>sales record</v>
      </c>
      <c r="AC2827" t="s">
        <v>3</v>
      </c>
      <c r="AD2827">
        <v>41.757695</v>
      </c>
      <c r="AE2827">
        <v>-88.18558</v>
      </c>
      <c r="AF2827" s="5" t="str">
        <f>HYPERLINK("https://www.google.com/maps/search/?api=1&amp;query=41.757695,-88.18558","map")</f>
        <v>map</v>
      </c>
    </row>
    <row r="2828" spans="1:32">
      <c r="A2828" t="s">
        <v>2878</v>
      </c>
      <c r="B2828" t="s">
        <v>10411</v>
      </c>
      <c r="C2828" t="s">
        <v>15478</v>
      </c>
      <c r="D2828" t="s">
        <v>16206</v>
      </c>
      <c r="E2828" t="s">
        <v>16218</v>
      </c>
      <c r="F2828" t="s">
        <v>16220</v>
      </c>
      <c r="G2828" t="s">
        <v>16273</v>
      </c>
      <c r="H2828" t="s">
        <v>16254</v>
      </c>
      <c r="I2828" t="s">
        <v>16351</v>
      </c>
      <c r="J2828" t="s">
        <v>16386</v>
      </c>
      <c r="K2828">
        <v>0.265</v>
      </c>
      <c r="L2828">
        <v>11539</v>
      </c>
      <c r="M2828">
        <v>2357</v>
      </c>
      <c r="N2828" t="s">
        <v>16393</v>
      </c>
      <c r="O2828" s="4">
        <v>57963</v>
      </c>
      <c r="P2828" s="4">
        <v>125029</v>
      </c>
      <c r="Q2828" s="4">
        <v>182992</v>
      </c>
      <c r="R2828" s="4">
        <v>548976</v>
      </c>
      <c r="S2828" t="s">
        <v>19141</v>
      </c>
      <c r="T2828" s="6">
        <v>42217</v>
      </c>
      <c r="U2828" s="4">
        <v>349000</v>
      </c>
      <c r="V2828" t="s">
        <v>23739</v>
      </c>
      <c r="W2828" t="s">
        <v>25106</v>
      </c>
      <c r="X2828" t="s">
        <v>3</v>
      </c>
      <c r="AA2828" s="5" t="str">
        <f>HYPERLINK("https://www.zillow.com/homes/1113-BURKE-CT-NAPERVILLE-IL-60563_rb/","check listing")</f>
        <v>check listing</v>
      </c>
      <c r="AB2828" s="5" t="str">
        <f>HYPERLINK("https://propertylookup.dupagecounty.gov/Datalets/Datalet.aspx?UseSearch=no&amp;mode=sales&amp;pin=0709304010","sales record")</f>
        <v>sales record</v>
      </c>
      <c r="AC2828" t="s">
        <v>3</v>
      </c>
      <c r="AD2828">
        <v>41.787984</v>
      </c>
      <c r="AE2828">
        <v>-88.216623</v>
      </c>
      <c r="AF2828" s="5" t="str">
        <f>HYPERLINK("https://www.google.com/maps/search/?api=1&amp;query=41.787984,-88.216623","map")</f>
        <v>map</v>
      </c>
    </row>
    <row r="2829" spans="1:32">
      <c r="A2829" t="s">
        <v>2879</v>
      </c>
      <c r="B2829" t="s">
        <v>10412</v>
      </c>
      <c r="C2829" t="s">
        <v>15478</v>
      </c>
      <c r="D2829" t="s">
        <v>16206</v>
      </c>
      <c r="E2829" t="s">
        <v>16218</v>
      </c>
      <c r="F2829" t="s">
        <v>16220</v>
      </c>
      <c r="G2829" t="s">
        <v>16274</v>
      </c>
      <c r="H2829" t="s">
        <v>16269</v>
      </c>
      <c r="I2829" t="s">
        <v>16352</v>
      </c>
      <c r="J2829" t="s">
        <v>16386</v>
      </c>
      <c r="K2829">
        <v>0.264</v>
      </c>
      <c r="L2829">
        <v>11499</v>
      </c>
      <c r="M2829">
        <v>2143</v>
      </c>
      <c r="N2829" t="s">
        <v>16393</v>
      </c>
      <c r="O2829" s="4">
        <v>84716</v>
      </c>
      <c r="P2829" s="4">
        <v>107797</v>
      </c>
      <c r="Q2829" s="4">
        <v>192513</v>
      </c>
      <c r="R2829" s="4">
        <v>577539</v>
      </c>
      <c r="S2829" t="s">
        <v>19142</v>
      </c>
      <c r="T2829" s="6">
        <v>38534</v>
      </c>
      <c r="U2829" s="4">
        <v>394350</v>
      </c>
      <c r="V2829" t="s">
        <v>23739</v>
      </c>
      <c r="W2829" t="s">
        <v>25107</v>
      </c>
      <c r="X2829" t="s">
        <v>3</v>
      </c>
      <c r="AA2829" s="5" t="str">
        <f>HYPERLINK("https://www.zillow.com/homes/1104-DICKENS-AVE-NAPERVILLE-IL-60563_rb/","check listing")</f>
        <v>check listing</v>
      </c>
      <c r="AB2829" s="5" t="str">
        <f>HYPERLINK("https://propertylookup.dupagecounty.gov/Datalets/Datalet.aspx?UseSearch=no&amp;mode=sales&amp;pin=0808314002","sales record")</f>
        <v>sales record</v>
      </c>
      <c r="AC2829" t="s">
        <v>3</v>
      </c>
      <c r="AD2829">
        <v>41.789503</v>
      </c>
      <c r="AE2829">
        <v>-88.12860499999999</v>
      </c>
      <c r="AF2829" s="5" t="str">
        <f>HYPERLINK("https://www.google.com/maps/search/?api=1&amp;query=41.789503,-88.128605","map")</f>
        <v>map</v>
      </c>
    </row>
    <row r="2830" spans="1:32">
      <c r="A2830" t="s">
        <v>2880</v>
      </c>
      <c r="B2830" t="s">
        <v>10413</v>
      </c>
      <c r="C2830" t="s">
        <v>15478</v>
      </c>
      <c r="D2830" t="s">
        <v>16206</v>
      </c>
      <c r="E2830" t="s">
        <v>16218</v>
      </c>
      <c r="F2830" t="s">
        <v>16220</v>
      </c>
      <c r="G2830" t="s">
        <v>16273</v>
      </c>
      <c r="H2830" t="s">
        <v>16254</v>
      </c>
      <c r="I2830" t="s">
        <v>16351</v>
      </c>
      <c r="J2830" t="s">
        <v>16386</v>
      </c>
      <c r="K2830">
        <v>0.264</v>
      </c>
      <c r="L2830">
        <v>11497</v>
      </c>
      <c r="M2830">
        <v>2772</v>
      </c>
      <c r="N2830" t="s">
        <v>16393</v>
      </c>
      <c r="O2830" s="4">
        <v>50896</v>
      </c>
      <c r="P2830" s="4">
        <v>166406</v>
      </c>
      <c r="Q2830" s="4">
        <v>217302</v>
      </c>
      <c r="R2830" s="4">
        <v>651906</v>
      </c>
      <c r="S2830" t="s">
        <v>19143</v>
      </c>
      <c r="T2830" s="6">
        <v>36251</v>
      </c>
      <c r="U2830" s="4">
        <v>270000</v>
      </c>
      <c r="X2830" t="s">
        <v>3</v>
      </c>
      <c r="AA2830" s="5" t="str">
        <f>HYPERLINK("https://www.zillow.com/homes/2043-BUNKER-CIR-NAPERVILLE-IL-60563_rb/","check listing")</f>
        <v>check listing</v>
      </c>
      <c r="AB2830" s="5" t="str">
        <f>HYPERLINK("https://propertylookup.dupagecounty.gov/Datalets/Datalet.aspx?UseSearch=no&amp;mode=sales&amp;pin=0709221007","sales record")</f>
        <v>sales record</v>
      </c>
      <c r="AC2830" t="s">
        <v>3</v>
      </c>
      <c r="AD2830">
        <v>41.795216</v>
      </c>
      <c r="AE2830">
        <v>-88.21157599999999</v>
      </c>
      <c r="AF2830" s="5" t="str">
        <f>HYPERLINK("https://www.google.com/maps/search/?api=1&amp;query=41.795216,-88.211576","map")</f>
        <v>map</v>
      </c>
    </row>
    <row r="2831" spans="1:32">
      <c r="A2831" t="s">
        <v>2881</v>
      </c>
      <c r="B2831" t="s">
        <v>10414</v>
      </c>
      <c r="C2831" t="s">
        <v>15475</v>
      </c>
      <c r="D2831" t="s">
        <v>16206</v>
      </c>
      <c r="E2831" t="s">
        <v>16218</v>
      </c>
      <c r="F2831" t="s">
        <v>16220</v>
      </c>
      <c r="G2831" t="s">
        <v>16274</v>
      </c>
      <c r="H2831" t="s">
        <v>16269</v>
      </c>
      <c r="I2831" t="s">
        <v>16352</v>
      </c>
      <c r="J2831" t="s">
        <v>16386</v>
      </c>
      <c r="K2831">
        <v>0.264</v>
      </c>
      <c r="L2831">
        <v>11486</v>
      </c>
      <c r="M2831">
        <v>2474</v>
      </c>
      <c r="N2831" t="s">
        <v>16393</v>
      </c>
      <c r="O2831" s="4">
        <v>65322</v>
      </c>
      <c r="P2831" s="4">
        <v>157923</v>
      </c>
      <c r="Q2831" s="4">
        <v>223245</v>
      </c>
      <c r="R2831" s="4">
        <v>669735</v>
      </c>
      <c r="S2831" t="s">
        <v>19144</v>
      </c>
      <c r="T2831" s="6">
        <v>31625</v>
      </c>
      <c r="U2831" s="4">
        <v>164000</v>
      </c>
      <c r="X2831" t="s">
        <v>3</v>
      </c>
      <c r="AA2831" s="5" t="str">
        <f>HYPERLINK("https://www.zillow.com/homes/612-OAKHURST-DR-NAPERVILLE-IL-60540_rb/","check listing")</f>
        <v>check listing</v>
      </c>
      <c r="AB2831" s="5" t="str">
        <f>HYPERLINK("https://propertylookup.dupagecounty.gov/Datalets/Datalet.aspx?UseSearch=no&amp;mode=sales&amp;pin=0723305006","sales record")</f>
        <v>sales record</v>
      </c>
      <c r="AC2831" t="s">
        <v>3</v>
      </c>
      <c r="AD2831">
        <v>41.760993</v>
      </c>
      <c r="AE2831">
        <v>-88.177599</v>
      </c>
      <c r="AF2831" s="5" t="str">
        <f>HYPERLINK("https://www.google.com/maps/search/?api=1&amp;query=41.760993,-88.177599","map")</f>
        <v>map</v>
      </c>
    </row>
    <row r="2832" spans="1:32">
      <c r="A2832" t="s">
        <v>2882</v>
      </c>
      <c r="B2832" t="s">
        <v>10415</v>
      </c>
      <c r="C2832" t="s">
        <v>15475</v>
      </c>
      <c r="D2832" t="s">
        <v>16206</v>
      </c>
      <c r="E2832" t="s">
        <v>16218</v>
      </c>
      <c r="F2832" t="s">
        <v>16220</v>
      </c>
      <c r="G2832" t="s">
        <v>16274</v>
      </c>
      <c r="H2832" t="s">
        <v>16269</v>
      </c>
      <c r="I2832" t="s">
        <v>16352</v>
      </c>
      <c r="J2832" t="s">
        <v>16386</v>
      </c>
      <c r="K2832">
        <v>0.264</v>
      </c>
      <c r="L2832">
        <v>11485</v>
      </c>
      <c r="M2832">
        <v>2968</v>
      </c>
      <c r="N2832" t="s">
        <v>16393</v>
      </c>
      <c r="O2832" s="4">
        <v>65322</v>
      </c>
      <c r="P2832" s="4">
        <v>181833</v>
      </c>
      <c r="Q2832" s="4">
        <v>247155</v>
      </c>
      <c r="R2832" s="4">
        <v>741465</v>
      </c>
      <c r="S2832" t="s">
        <v>19145</v>
      </c>
      <c r="T2832" s="6">
        <v>41061</v>
      </c>
      <c r="U2832" s="4">
        <v>443000</v>
      </c>
      <c r="V2832" t="s">
        <v>23739</v>
      </c>
      <c r="W2832" t="s">
        <v>25108</v>
      </c>
      <c r="X2832" t="s">
        <v>3</v>
      </c>
      <c r="AA2832" s="5" t="str">
        <f>HYPERLINK("https://www.zillow.com/homes/608-OAKHURST-DR-NAPERVILLE-IL-60540_rb/","check listing")</f>
        <v>check listing</v>
      </c>
      <c r="AB2832" s="5" t="str">
        <f>HYPERLINK("https://propertylookup.dupagecounty.gov/Datalets/Datalet.aspx?UseSearch=no&amp;mode=sales&amp;pin=0723305005","sales record")</f>
        <v>sales record</v>
      </c>
      <c r="AC2832" t="s">
        <v>3</v>
      </c>
      <c r="AD2832">
        <v>41.761209</v>
      </c>
      <c r="AE2832">
        <v>-88.177717</v>
      </c>
      <c r="AF2832" s="5" t="str">
        <f>HYPERLINK("https://www.google.com/maps/search/?api=1&amp;query=41.761209,-88.177717","map")</f>
        <v>map</v>
      </c>
    </row>
    <row r="2833" spans="1:32">
      <c r="A2833" t="s">
        <v>2883</v>
      </c>
      <c r="B2833" t="s">
        <v>10416</v>
      </c>
      <c r="C2833" t="s">
        <v>15475</v>
      </c>
      <c r="D2833" t="s">
        <v>16206</v>
      </c>
      <c r="E2833" t="s">
        <v>16218</v>
      </c>
      <c r="F2833" t="s">
        <v>16220</v>
      </c>
      <c r="G2833" t="s">
        <v>16274</v>
      </c>
      <c r="H2833" t="s">
        <v>16269</v>
      </c>
      <c r="I2833" t="s">
        <v>16352</v>
      </c>
      <c r="J2833" t="s">
        <v>16386</v>
      </c>
      <c r="K2833">
        <v>0.263</v>
      </c>
      <c r="L2833">
        <v>11472</v>
      </c>
      <c r="M2833">
        <v>2107</v>
      </c>
      <c r="N2833" t="s">
        <v>16393</v>
      </c>
      <c r="O2833" s="4">
        <v>58060</v>
      </c>
      <c r="P2833" s="4">
        <v>172435</v>
      </c>
      <c r="Q2833" s="4">
        <v>230495</v>
      </c>
      <c r="R2833" s="4">
        <v>691485</v>
      </c>
      <c r="S2833" t="s">
        <v>19146</v>
      </c>
      <c r="T2833" s="6">
        <v>34090</v>
      </c>
      <c r="U2833" s="4">
        <v>253286</v>
      </c>
      <c r="X2833" t="s">
        <v>3</v>
      </c>
      <c r="AA2833" s="5" t="str">
        <f>HYPERLINK("https://www.zillow.com/homes/1759-CHADWICKE-CIR-NAPERVILLE-IL-60540_rb/","check listing")</f>
        <v>check listing</v>
      </c>
      <c r="AB2833" s="5" t="str">
        <f>HYPERLINK("https://propertylookup.dupagecounty.gov/Datalets/Datalet.aspx?UseSearch=no&amp;mode=sales&amp;pin=0723311020","sales record")</f>
        <v>sales record</v>
      </c>
      <c r="AC2833" t="s">
        <v>3</v>
      </c>
      <c r="AD2833">
        <v>41.754897</v>
      </c>
      <c r="AE2833">
        <v>-88.185439</v>
      </c>
      <c r="AF2833" s="5" t="str">
        <f>HYPERLINK("https://www.google.com/maps/search/?api=1&amp;query=41.754897,-88.185439","map")</f>
        <v>map</v>
      </c>
    </row>
    <row r="2834" spans="1:32">
      <c r="A2834" t="s">
        <v>2884</v>
      </c>
      <c r="B2834" t="s">
        <v>10417</v>
      </c>
      <c r="C2834" t="s">
        <v>15478</v>
      </c>
      <c r="D2834" t="s">
        <v>16206</v>
      </c>
      <c r="E2834" t="s">
        <v>16218</v>
      </c>
      <c r="F2834" t="s">
        <v>16220</v>
      </c>
      <c r="G2834" t="s">
        <v>16273</v>
      </c>
      <c r="H2834" t="s">
        <v>16254</v>
      </c>
      <c r="I2834" t="s">
        <v>16351</v>
      </c>
      <c r="J2834" t="s">
        <v>16386</v>
      </c>
      <c r="K2834">
        <v>0.263</v>
      </c>
      <c r="L2834">
        <v>11460</v>
      </c>
      <c r="M2834">
        <v>2375</v>
      </c>
      <c r="N2834" t="s">
        <v>16393</v>
      </c>
      <c r="O2834" s="4">
        <v>45366</v>
      </c>
      <c r="P2834" s="4">
        <v>140860</v>
      </c>
      <c r="Q2834" s="4">
        <v>186226</v>
      </c>
      <c r="R2834" s="4">
        <v>558678</v>
      </c>
      <c r="S2834" t="s">
        <v>19147</v>
      </c>
      <c r="T2834" s="6">
        <v>44868</v>
      </c>
      <c r="U2834" s="4">
        <v>480000</v>
      </c>
      <c r="V2834" t="s">
        <v>23739</v>
      </c>
      <c r="W2834" t="s">
        <v>25109</v>
      </c>
      <c r="X2834" t="s">
        <v>3</v>
      </c>
      <c r="AA2834" s="5" t="str">
        <f>HYPERLINK("https://www.zillow.com/homes/950-CAMPBELL-DR-NAPERVILLE-IL-60563_rb/","check listing")</f>
        <v>check listing</v>
      </c>
      <c r="AB2834" s="5" t="str">
        <f>HYPERLINK("https://propertylookup.dupagecounty.gov/Datalets/Datalet.aspx?UseSearch=no&amp;mode=sales&amp;pin=0709411046","sales record")</f>
        <v>sales record</v>
      </c>
      <c r="AC2834" t="s">
        <v>3</v>
      </c>
      <c r="AD2834">
        <v>41.785308</v>
      </c>
      <c r="AE2834">
        <v>-88.211899</v>
      </c>
      <c r="AF2834" s="5" t="str">
        <f>HYPERLINK("https://www.google.com/maps/search/?api=1&amp;query=41.785308,-88.211899","map")</f>
        <v>map</v>
      </c>
    </row>
    <row r="2835" spans="1:32">
      <c r="A2835" t="s">
        <v>2885</v>
      </c>
      <c r="B2835" t="s">
        <v>10418</v>
      </c>
      <c r="C2835" t="s">
        <v>15475</v>
      </c>
      <c r="D2835" t="s">
        <v>16206</v>
      </c>
      <c r="E2835" t="s">
        <v>16218</v>
      </c>
      <c r="F2835" t="s">
        <v>16220</v>
      </c>
      <c r="G2835" t="s">
        <v>16275</v>
      </c>
      <c r="H2835" t="s">
        <v>16276</v>
      </c>
      <c r="I2835" t="s">
        <v>16352</v>
      </c>
      <c r="J2835" t="s">
        <v>16386</v>
      </c>
      <c r="K2835">
        <v>0.263</v>
      </c>
      <c r="L2835">
        <v>11450</v>
      </c>
      <c r="M2835">
        <v>1614</v>
      </c>
      <c r="N2835" t="s">
        <v>16393</v>
      </c>
      <c r="O2835" s="4">
        <v>49504</v>
      </c>
      <c r="P2835" s="4">
        <v>89989</v>
      </c>
      <c r="Q2835" s="4">
        <v>139493</v>
      </c>
      <c r="R2835" s="4">
        <v>418479</v>
      </c>
      <c r="S2835" t="s">
        <v>19148</v>
      </c>
      <c r="T2835" s="6">
        <v>44105</v>
      </c>
      <c r="U2835" s="4">
        <v>305000</v>
      </c>
      <c r="V2835" t="s">
        <v>23739</v>
      </c>
      <c r="W2835" t="s">
        <v>25110</v>
      </c>
      <c r="X2835" t="s">
        <v>3</v>
      </c>
      <c r="AA2835" s="5" t="str">
        <f>HYPERLINK("https://www.zillow.com/homes/839-VIOLET-CIR-NAPERVILLE-IL-60540_rb/","check listing")</f>
        <v>check listing</v>
      </c>
      <c r="AB2835" s="5" t="str">
        <f>HYPERLINK("https://propertylookup.dupagecounty.gov/Datalets/Datalet.aspx?UseSearch=no&amp;mode=sales&amp;pin=0722407037","sales record")</f>
        <v>sales record</v>
      </c>
      <c r="AC2835" t="s">
        <v>3</v>
      </c>
      <c r="AD2835">
        <v>41.758273</v>
      </c>
      <c r="AE2835">
        <v>-88.19161800000001</v>
      </c>
      <c r="AF2835" s="5" t="str">
        <f>HYPERLINK("https://www.google.com/maps/search/?api=1&amp;query=41.758273,-88.191618","map")</f>
        <v>map</v>
      </c>
    </row>
    <row r="2836" spans="1:32">
      <c r="A2836" t="s">
        <v>2886</v>
      </c>
      <c r="B2836" t="s">
        <v>10419</v>
      </c>
      <c r="C2836" t="s">
        <v>15475</v>
      </c>
      <c r="D2836" t="s">
        <v>16206</v>
      </c>
      <c r="E2836" t="s">
        <v>16218</v>
      </c>
      <c r="F2836" t="s">
        <v>16220</v>
      </c>
      <c r="G2836" t="s">
        <v>16274</v>
      </c>
      <c r="H2836" t="s">
        <v>16269</v>
      </c>
      <c r="I2836" t="s">
        <v>16352</v>
      </c>
      <c r="J2836" t="s">
        <v>16386</v>
      </c>
      <c r="K2836">
        <v>0.262</v>
      </c>
      <c r="L2836">
        <v>11426</v>
      </c>
      <c r="M2836">
        <v>2639</v>
      </c>
      <c r="N2836" t="s">
        <v>16393</v>
      </c>
      <c r="O2836" s="4">
        <v>65322</v>
      </c>
      <c r="P2836" s="4">
        <v>174266</v>
      </c>
      <c r="Q2836" s="4">
        <v>239588</v>
      </c>
      <c r="R2836" s="4">
        <v>718764</v>
      </c>
      <c r="S2836" t="s">
        <v>19149</v>
      </c>
      <c r="T2836" s="6">
        <v>40513</v>
      </c>
      <c r="U2836" s="4">
        <v>425000</v>
      </c>
      <c r="V2836" t="s">
        <v>23739</v>
      </c>
      <c r="W2836" t="s">
        <v>25111</v>
      </c>
      <c r="X2836" t="s">
        <v>3</v>
      </c>
      <c r="AA2836" s="5" t="str">
        <f>HYPERLINK("https://www.zillow.com/homes/1752-CHADWICKE-CIR-NAPERVILLE-IL-60540_rb/","check listing")</f>
        <v>check listing</v>
      </c>
      <c r="AB2836" s="5" t="str">
        <f>HYPERLINK("https://propertylookup.dupagecounty.gov/Datalets/Datalet.aspx?UseSearch=no&amp;mode=sales&amp;pin=0723310016","sales record")</f>
        <v>sales record</v>
      </c>
      <c r="AC2836" t="s">
        <v>3</v>
      </c>
      <c r="AD2836">
        <v>41.75566</v>
      </c>
      <c r="AE2836">
        <v>-88.185096</v>
      </c>
      <c r="AF2836" s="5" t="str">
        <f>HYPERLINK("https://www.google.com/maps/search/?api=1&amp;query=41.75566,-88.185096","map")</f>
        <v>map</v>
      </c>
    </row>
    <row r="2837" spans="1:32">
      <c r="A2837" t="s">
        <v>2887</v>
      </c>
      <c r="B2837" t="s">
        <v>10420</v>
      </c>
      <c r="C2837" t="s">
        <v>15478</v>
      </c>
      <c r="D2837" t="s">
        <v>16206</v>
      </c>
      <c r="E2837" t="s">
        <v>16218</v>
      </c>
      <c r="F2837" t="s">
        <v>16220</v>
      </c>
      <c r="G2837" t="s">
        <v>16273</v>
      </c>
      <c r="H2837" t="s">
        <v>16254</v>
      </c>
      <c r="I2837" t="s">
        <v>16351</v>
      </c>
      <c r="J2837" t="s">
        <v>16386</v>
      </c>
      <c r="K2837">
        <v>0.262</v>
      </c>
      <c r="L2837">
        <v>11423</v>
      </c>
      <c r="M2837">
        <v>1979</v>
      </c>
      <c r="N2837" t="s">
        <v>16393</v>
      </c>
      <c r="O2837" s="4">
        <v>55472</v>
      </c>
      <c r="P2837" s="4">
        <v>100497</v>
      </c>
      <c r="Q2837" s="4">
        <v>155969</v>
      </c>
      <c r="R2837" s="4">
        <v>467907</v>
      </c>
      <c r="S2837" t="s">
        <v>19150</v>
      </c>
      <c r="T2837" s="6">
        <v>34639</v>
      </c>
      <c r="U2837" s="4">
        <v>180000</v>
      </c>
      <c r="X2837" t="s">
        <v>3</v>
      </c>
      <c r="AA2837" s="5" t="str">
        <f>HYPERLINK("https://www.zillow.com/homes/1112-BURKE-CT-NAPERVILLE-IL-60563_rb/","check listing")</f>
        <v>check listing</v>
      </c>
      <c r="AB2837" s="5" t="str">
        <f>HYPERLINK("https://propertylookup.dupagecounty.gov/Datalets/Datalet.aspx?UseSearch=no&amp;mode=sales&amp;pin=0709304017","sales record")</f>
        <v>sales record</v>
      </c>
      <c r="AC2837" t="s">
        <v>3</v>
      </c>
      <c r="AD2837">
        <v>41.78775</v>
      </c>
      <c r="AE2837">
        <v>-88.215824</v>
      </c>
      <c r="AF2837" s="5" t="str">
        <f>HYPERLINK("https://www.google.com/maps/search/?api=1&amp;query=41.78775,-88.215824","map")</f>
        <v>map</v>
      </c>
    </row>
    <row r="2838" spans="1:32">
      <c r="A2838" t="s">
        <v>2888</v>
      </c>
      <c r="B2838" t="s">
        <v>10421</v>
      </c>
      <c r="C2838" t="s">
        <v>15510</v>
      </c>
      <c r="D2838" t="s">
        <v>16206</v>
      </c>
      <c r="E2838" t="s">
        <v>16218</v>
      </c>
      <c r="F2838" t="s">
        <v>16220</v>
      </c>
      <c r="G2838" t="s">
        <v>16273</v>
      </c>
      <c r="H2838" t="s">
        <v>16254</v>
      </c>
      <c r="I2838" t="s">
        <v>16351</v>
      </c>
      <c r="J2838" t="s">
        <v>16386</v>
      </c>
      <c r="K2838">
        <v>0.26</v>
      </c>
      <c r="L2838">
        <v>11341</v>
      </c>
      <c r="M2838">
        <v>2359</v>
      </c>
      <c r="N2838" t="s">
        <v>16393</v>
      </c>
      <c r="O2838" s="4">
        <v>50396</v>
      </c>
      <c r="P2838" s="4">
        <v>143240</v>
      </c>
      <c r="Q2838" s="4">
        <v>193636</v>
      </c>
      <c r="R2838" s="4">
        <v>580908</v>
      </c>
      <c r="S2838" t="s">
        <v>19151</v>
      </c>
      <c r="T2838" s="6">
        <v>45126</v>
      </c>
      <c r="U2838" s="4">
        <v>540000</v>
      </c>
      <c r="V2838" t="s">
        <v>23739</v>
      </c>
      <c r="W2838" t="s">
        <v>25112</v>
      </c>
      <c r="X2838" t="s">
        <v>3</v>
      </c>
      <c r="AA2838" s="5" t="str">
        <f>HYPERLINK("https://www.zillow.com/homes/2003-MAPLEWOOD-CIR-NAPERVILLE-IL-605631982_rb/","check listing")</f>
        <v>check listing</v>
      </c>
      <c r="AB2838" s="5" t="str">
        <f>HYPERLINK("https://propertylookup.dupagecounty.gov/Datalets/Datalet.aspx?UseSearch=no&amp;mode=sales&amp;pin=0709413015","sales record")</f>
        <v>sales record</v>
      </c>
      <c r="AC2838" t="s">
        <v>3</v>
      </c>
      <c r="AD2838">
        <v>41.786248</v>
      </c>
      <c r="AE2838">
        <v>-88.211254</v>
      </c>
      <c r="AF2838" s="5" t="str">
        <f>HYPERLINK("https://www.google.com/maps/search/?api=1&amp;query=41.786248,-88.211254","map")</f>
        <v>map</v>
      </c>
    </row>
    <row r="2839" spans="1:32">
      <c r="A2839" t="s">
        <v>2889</v>
      </c>
      <c r="B2839" t="s">
        <v>10422</v>
      </c>
      <c r="C2839" t="s">
        <v>15478</v>
      </c>
      <c r="D2839" t="s">
        <v>16206</v>
      </c>
      <c r="E2839" t="s">
        <v>16218</v>
      </c>
      <c r="F2839" t="s">
        <v>16220</v>
      </c>
      <c r="G2839" t="s">
        <v>16274</v>
      </c>
      <c r="H2839" t="s">
        <v>16269</v>
      </c>
      <c r="I2839" t="s">
        <v>16352</v>
      </c>
      <c r="J2839" t="s">
        <v>16386</v>
      </c>
      <c r="K2839">
        <v>0.26</v>
      </c>
      <c r="L2839">
        <v>11334</v>
      </c>
      <c r="M2839">
        <v>2177</v>
      </c>
      <c r="N2839" t="s">
        <v>16393</v>
      </c>
      <c r="O2839" s="4">
        <v>60269</v>
      </c>
      <c r="P2839" s="4">
        <v>127129</v>
      </c>
      <c r="Q2839" s="4">
        <v>187398</v>
      </c>
      <c r="R2839" s="4">
        <v>562194</v>
      </c>
      <c r="S2839" t="s">
        <v>19152</v>
      </c>
      <c r="T2839" s="6">
        <v>41030</v>
      </c>
      <c r="U2839" s="4">
        <v>325000</v>
      </c>
      <c r="V2839" t="s">
        <v>23739</v>
      </c>
      <c r="W2839" t="s">
        <v>25113</v>
      </c>
      <c r="X2839" t="s">
        <v>3</v>
      </c>
      <c r="AA2839" s="5" t="str">
        <f>HYPERLINK("https://www.zillow.com/homes/1690-LISA-CT-NAPERVILLE-IL-60563_rb/","check listing")</f>
        <v>check listing</v>
      </c>
      <c r="AB2839" s="5" t="str">
        <f>HYPERLINK("https://propertylookup.dupagecounty.gov/Datalets/Datalet.aspx?UseSearch=no&amp;mode=sales&amp;pin=0715206044","sales record")</f>
        <v>sales record</v>
      </c>
      <c r="AC2839" t="s">
        <v>3</v>
      </c>
      <c r="AD2839">
        <v>41.780801</v>
      </c>
      <c r="AE2839">
        <v>-88.193685</v>
      </c>
      <c r="AF2839" s="5" t="str">
        <f>HYPERLINK("https://www.google.com/maps/search/?api=1&amp;query=41.780801,-88.193685","map")</f>
        <v>map</v>
      </c>
    </row>
    <row r="2840" spans="1:32">
      <c r="A2840" t="s">
        <v>2890</v>
      </c>
      <c r="B2840" t="s">
        <v>10423</v>
      </c>
      <c r="C2840" t="s">
        <v>15475</v>
      </c>
      <c r="D2840" t="s">
        <v>16206</v>
      </c>
      <c r="E2840" t="s">
        <v>16218</v>
      </c>
      <c r="F2840" t="s">
        <v>16220</v>
      </c>
      <c r="G2840" t="s">
        <v>16274</v>
      </c>
      <c r="H2840" t="s">
        <v>16269</v>
      </c>
      <c r="I2840" t="s">
        <v>16352</v>
      </c>
      <c r="J2840" t="s">
        <v>16386</v>
      </c>
      <c r="K2840">
        <v>0.26</v>
      </c>
      <c r="L2840">
        <v>11331</v>
      </c>
      <c r="M2840">
        <v>3168</v>
      </c>
      <c r="N2840" t="s">
        <v>16393</v>
      </c>
      <c r="O2840" s="4">
        <v>65322</v>
      </c>
      <c r="P2840" s="4">
        <v>202191</v>
      </c>
      <c r="Q2840" s="4">
        <v>267513</v>
      </c>
      <c r="R2840" s="4">
        <v>802539</v>
      </c>
      <c r="S2840" t="s">
        <v>19153</v>
      </c>
      <c r="T2840" s="6">
        <v>42186</v>
      </c>
      <c r="U2840" s="4">
        <v>488500</v>
      </c>
      <c r="V2840" t="s">
        <v>23739</v>
      </c>
      <c r="W2840" t="s">
        <v>19153</v>
      </c>
      <c r="X2840" t="s">
        <v>3</v>
      </c>
      <c r="AA2840" s="5" t="str">
        <f>HYPERLINK("https://www.zillow.com/homes/1720-CHADWICKE-CIR-NAPERVILLE-IL-60540_rb/","check listing")</f>
        <v>check listing</v>
      </c>
      <c r="AB2840" s="5" t="str">
        <f>HYPERLINK("https://propertylookup.dupagecounty.gov/Datalets/Datalet.aspx?UseSearch=no&amp;mode=sales&amp;pin=0723310021","sales record")</f>
        <v>sales record</v>
      </c>
      <c r="AC2840" t="s">
        <v>3</v>
      </c>
      <c r="AD2840">
        <v>41.756592</v>
      </c>
      <c r="AE2840">
        <v>-88.185237</v>
      </c>
      <c r="AF2840" s="5" t="str">
        <f>HYPERLINK("https://www.google.com/maps/search/?api=1&amp;query=41.756592,-88.185237","map")</f>
        <v>map</v>
      </c>
    </row>
    <row r="2841" spans="1:32">
      <c r="A2841" t="s">
        <v>2891</v>
      </c>
      <c r="B2841" t="s">
        <v>10424</v>
      </c>
      <c r="C2841" t="s">
        <v>15493</v>
      </c>
      <c r="D2841" t="s">
        <v>16206</v>
      </c>
      <c r="E2841" t="s">
        <v>16218</v>
      </c>
      <c r="F2841" t="s">
        <v>16220</v>
      </c>
      <c r="G2841" t="s">
        <v>16274</v>
      </c>
      <c r="H2841" t="s">
        <v>16269</v>
      </c>
      <c r="I2841" t="s">
        <v>16352</v>
      </c>
      <c r="J2841" t="s">
        <v>16386</v>
      </c>
      <c r="K2841">
        <v>0.26</v>
      </c>
      <c r="L2841">
        <v>11317</v>
      </c>
      <c r="M2841">
        <v>3563</v>
      </c>
      <c r="N2841" t="s">
        <v>16393</v>
      </c>
      <c r="O2841" s="4">
        <v>65322</v>
      </c>
      <c r="P2841" s="4">
        <v>192220</v>
      </c>
      <c r="Q2841" s="4">
        <v>257542</v>
      </c>
      <c r="R2841" s="4">
        <v>772626</v>
      </c>
      <c r="S2841" t="s">
        <v>19154</v>
      </c>
      <c r="T2841" s="6">
        <v>35186</v>
      </c>
      <c r="U2841" s="4">
        <v>321500</v>
      </c>
      <c r="X2841" t="s">
        <v>3</v>
      </c>
      <c r="AA2841" s="5" t="str">
        <f>HYPERLINK("https://www.zillow.com/homes/1712-CHADWICKE-CIR-NAPERVILLE-IL-605400399_rb/","check listing")</f>
        <v>check listing</v>
      </c>
      <c r="AB2841" s="5" t="str">
        <f>HYPERLINK("https://propertylookup.dupagecounty.gov/Datalets/Datalet.aspx?UseSearch=no&amp;mode=sales&amp;pin=0723310022","sales record")</f>
        <v>sales record</v>
      </c>
      <c r="AC2841" t="s">
        <v>3</v>
      </c>
      <c r="AD2841">
        <v>41.756737</v>
      </c>
      <c r="AE2841">
        <v>-88.185042</v>
      </c>
      <c r="AF2841" s="5" t="str">
        <f>HYPERLINK("https://www.google.com/maps/search/?api=1&amp;query=41.756737,-88.185042","map")</f>
        <v>map</v>
      </c>
    </row>
    <row r="2842" spans="1:32">
      <c r="A2842" t="s">
        <v>2892</v>
      </c>
      <c r="B2842" t="s">
        <v>10425</v>
      </c>
      <c r="C2842" t="s">
        <v>15475</v>
      </c>
      <c r="D2842" t="s">
        <v>16206</v>
      </c>
      <c r="E2842" t="s">
        <v>16218</v>
      </c>
      <c r="F2842" t="s">
        <v>16220</v>
      </c>
      <c r="G2842" t="s">
        <v>16276</v>
      </c>
      <c r="H2842" t="s">
        <v>16276</v>
      </c>
      <c r="I2842" t="s">
        <v>16352</v>
      </c>
      <c r="J2842" t="s">
        <v>16386</v>
      </c>
      <c r="K2842">
        <v>0.259</v>
      </c>
      <c r="L2842">
        <v>11273</v>
      </c>
      <c r="M2842">
        <v>1979</v>
      </c>
      <c r="N2842" t="s">
        <v>16393</v>
      </c>
      <c r="O2842" s="4">
        <v>61819</v>
      </c>
      <c r="P2842" s="4">
        <v>116731</v>
      </c>
      <c r="Q2842" s="4">
        <v>178550</v>
      </c>
      <c r="R2842" s="4">
        <v>535650</v>
      </c>
      <c r="S2842" t="s">
        <v>19155</v>
      </c>
      <c r="T2842" s="6">
        <v>38292</v>
      </c>
      <c r="U2842" s="4">
        <v>310000</v>
      </c>
      <c r="V2842" t="s">
        <v>23739</v>
      </c>
      <c r="W2842" t="s">
        <v>25114</v>
      </c>
      <c r="X2842" t="s">
        <v>3</v>
      </c>
      <c r="AA2842" s="5" t="str">
        <f>HYPERLINK("https://www.zillow.com/homes/903-JOAN-CT-NAPERVILLE-IL-60540_rb/","check listing")</f>
        <v>check listing</v>
      </c>
      <c r="AB2842" s="5" t="str">
        <f>HYPERLINK("https://propertylookup.dupagecounty.gov/Datalets/Datalet.aspx?UseSearch=no&amp;mode=sales&amp;pin=0727210022","sales record")</f>
        <v>sales record</v>
      </c>
      <c r="AC2842" t="s">
        <v>3</v>
      </c>
      <c r="AD2842">
        <v>41.753903</v>
      </c>
      <c r="AE2842">
        <v>-88.188806</v>
      </c>
      <c r="AF2842" s="5" t="str">
        <f>HYPERLINK("https://www.google.com/maps/search/?api=1&amp;query=41.753903,-88.188806","map")</f>
        <v>map</v>
      </c>
    </row>
    <row r="2843" spans="1:32">
      <c r="A2843" t="s">
        <v>2893</v>
      </c>
      <c r="B2843" t="s">
        <v>10426</v>
      </c>
      <c r="C2843" t="s">
        <v>15475</v>
      </c>
      <c r="D2843" t="s">
        <v>16206</v>
      </c>
      <c r="E2843" t="s">
        <v>16218</v>
      </c>
      <c r="F2843" t="s">
        <v>16220</v>
      </c>
      <c r="G2843" t="s">
        <v>16274</v>
      </c>
      <c r="H2843" t="s">
        <v>16269</v>
      </c>
      <c r="I2843" t="s">
        <v>16352</v>
      </c>
      <c r="J2843" t="s">
        <v>16386</v>
      </c>
      <c r="K2843">
        <v>0.258</v>
      </c>
      <c r="L2843">
        <v>11252</v>
      </c>
      <c r="M2843">
        <v>2541</v>
      </c>
      <c r="N2843" t="s">
        <v>16393</v>
      </c>
      <c r="O2843" s="4">
        <v>55106</v>
      </c>
      <c r="P2843" s="4">
        <v>132389</v>
      </c>
      <c r="Q2843" s="4">
        <v>187495</v>
      </c>
      <c r="R2843" s="4">
        <v>562485</v>
      </c>
      <c r="S2843" t="s">
        <v>19156</v>
      </c>
      <c r="T2843" s="6">
        <v>42461</v>
      </c>
      <c r="U2843" s="4">
        <v>369250</v>
      </c>
      <c r="V2843" t="s">
        <v>23739</v>
      </c>
      <c r="W2843" t="s">
        <v>25115</v>
      </c>
      <c r="X2843" t="s">
        <v>3</v>
      </c>
      <c r="AA2843" s="5" t="str">
        <f>HYPERLINK("https://www.zillow.com/homes/1251-ASHTON-LN-NAPERVILLE-IL-60540_rb/","check listing")</f>
        <v>check listing</v>
      </c>
      <c r="AB2843" s="5" t="str">
        <f>HYPERLINK("https://propertylookup.dupagecounty.gov/Datalets/Datalet.aspx?UseSearch=no&amp;mode=sales&amp;pin=0726205014","sales record")</f>
        <v>sales record</v>
      </c>
      <c r="AC2843" t="s">
        <v>3</v>
      </c>
      <c r="AD2843">
        <v>41.753107</v>
      </c>
      <c r="AE2843">
        <v>-88.17043700000001</v>
      </c>
      <c r="AF2843" s="5" t="str">
        <f>HYPERLINK("https://www.google.com/maps/search/?api=1&amp;query=41.753107,-88.170437","map")</f>
        <v>map</v>
      </c>
    </row>
    <row r="2844" spans="1:32">
      <c r="A2844" t="s">
        <v>2894</v>
      </c>
      <c r="B2844" t="s">
        <v>10427</v>
      </c>
      <c r="C2844" t="s">
        <v>15475</v>
      </c>
      <c r="D2844" t="s">
        <v>16206</v>
      </c>
      <c r="E2844" t="s">
        <v>16218</v>
      </c>
      <c r="F2844" t="s">
        <v>16220</v>
      </c>
      <c r="G2844" t="s">
        <v>16274</v>
      </c>
      <c r="H2844" t="s">
        <v>16269</v>
      </c>
      <c r="I2844" t="s">
        <v>16352</v>
      </c>
      <c r="J2844" t="s">
        <v>16386</v>
      </c>
      <c r="K2844">
        <v>0.258</v>
      </c>
      <c r="L2844">
        <v>11249</v>
      </c>
      <c r="M2844">
        <v>3430</v>
      </c>
      <c r="N2844" t="s">
        <v>16393</v>
      </c>
      <c r="O2844" s="4">
        <v>65322</v>
      </c>
      <c r="P2844" s="4">
        <v>215262</v>
      </c>
      <c r="Q2844" s="4">
        <v>280584</v>
      </c>
      <c r="R2844" s="4">
        <v>841752</v>
      </c>
      <c r="S2844" t="s">
        <v>19157</v>
      </c>
      <c r="T2844" s="6">
        <v>42522</v>
      </c>
      <c r="U2844" s="4">
        <v>665000</v>
      </c>
      <c r="V2844" t="s">
        <v>23739</v>
      </c>
      <c r="W2844" t="s">
        <v>25116</v>
      </c>
      <c r="X2844" t="s">
        <v>3</v>
      </c>
      <c r="AA2844" s="5" t="str">
        <f>HYPERLINK("https://www.zillow.com/homes/1724-CHADWICKE-CIR-NAPERVILLE-IL-60540_rb/","check listing")</f>
        <v>check listing</v>
      </c>
      <c r="AB2844" s="5" t="str">
        <f>HYPERLINK("https://propertylookup.dupagecounty.gov/Datalets/Datalet.aspx?UseSearch=no&amp;mode=sales&amp;pin=0723310020","sales record")</f>
        <v>sales record</v>
      </c>
      <c r="AC2844" t="s">
        <v>3</v>
      </c>
      <c r="AD2844">
        <v>41.75641</v>
      </c>
      <c r="AE2844">
        <v>-88.185294</v>
      </c>
      <c r="AF2844" s="5" t="str">
        <f>HYPERLINK("https://www.google.com/maps/search/?api=1&amp;query=41.75641,-88.185294","map")</f>
        <v>map</v>
      </c>
    </row>
    <row r="2845" spans="1:32">
      <c r="A2845" t="s">
        <v>2895</v>
      </c>
      <c r="B2845" t="s">
        <v>10428</v>
      </c>
      <c r="C2845" t="s">
        <v>15478</v>
      </c>
      <c r="D2845" t="s">
        <v>16206</v>
      </c>
      <c r="E2845" t="s">
        <v>16218</v>
      </c>
      <c r="F2845" t="s">
        <v>16220</v>
      </c>
      <c r="G2845" t="s">
        <v>16273</v>
      </c>
      <c r="H2845" t="s">
        <v>16254</v>
      </c>
      <c r="I2845" t="s">
        <v>16351</v>
      </c>
      <c r="J2845" t="s">
        <v>16386</v>
      </c>
      <c r="K2845">
        <v>0.258</v>
      </c>
      <c r="L2845">
        <v>11238</v>
      </c>
      <c r="M2845">
        <v>2573</v>
      </c>
      <c r="N2845" t="s">
        <v>16393</v>
      </c>
      <c r="O2845" s="4">
        <v>57963</v>
      </c>
      <c r="P2845" s="4">
        <v>125847</v>
      </c>
      <c r="Q2845" s="4">
        <v>183810</v>
      </c>
      <c r="R2845" s="4">
        <v>551430</v>
      </c>
      <c r="S2845" t="s">
        <v>19158</v>
      </c>
      <c r="T2845" s="6">
        <v>36039</v>
      </c>
      <c r="U2845" s="4">
        <v>225000</v>
      </c>
      <c r="X2845" t="s">
        <v>3</v>
      </c>
      <c r="AA2845" s="5" t="str">
        <f>HYPERLINK("https://www.zillow.com/homes/1109-BURKE-CT-NAPERVILLE-IL-60563_rb/","check listing")</f>
        <v>check listing</v>
      </c>
      <c r="AB2845" s="5" t="str">
        <f>HYPERLINK("https://propertylookup.dupagecounty.gov/Datalets/Datalet.aspx?UseSearch=no&amp;mode=sales&amp;pin=0709304009","sales record")</f>
        <v>sales record</v>
      </c>
      <c r="AC2845" t="s">
        <v>3</v>
      </c>
      <c r="AD2845">
        <v>41.787943</v>
      </c>
      <c r="AE2845">
        <v>-88.21692400000001</v>
      </c>
      <c r="AF2845" s="5" t="str">
        <f>HYPERLINK("https://www.google.com/maps/search/?api=1&amp;query=41.787943,-88.216924","map")</f>
        <v>map</v>
      </c>
    </row>
    <row r="2846" spans="1:32">
      <c r="A2846" t="s">
        <v>2896</v>
      </c>
      <c r="B2846" t="s">
        <v>10429</v>
      </c>
      <c r="C2846" t="s">
        <v>15475</v>
      </c>
      <c r="D2846" t="s">
        <v>16206</v>
      </c>
      <c r="E2846" t="s">
        <v>16218</v>
      </c>
      <c r="F2846" t="s">
        <v>16220</v>
      </c>
      <c r="G2846" t="s">
        <v>16274</v>
      </c>
      <c r="H2846" t="s">
        <v>16269</v>
      </c>
      <c r="I2846" t="s">
        <v>16352</v>
      </c>
      <c r="J2846" t="s">
        <v>16386</v>
      </c>
      <c r="K2846">
        <v>0.257</v>
      </c>
      <c r="L2846">
        <v>11201</v>
      </c>
      <c r="M2846">
        <v>2638</v>
      </c>
      <c r="N2846" t="s">
        <v>16393</v>
      </c>
      <c r="O2846" s="4">
        <v>48674</v>
      </c>
      <c r="P2846" s="4">
        <v>148903</v>
      </c>
      <c r="Q2846" s="4">
        <v>197577</v>
      </c>
      <c r="R2846" s="4">
        <v>592731</v>
      </c>
      <c r="S2846" t="s">
        <v>19159</v>
      </c>
      <c r="T2846" s="6">
        <v>37530</v>
      </c>
      <c r="U2846" s="4">
        <v>369000</v>
      </c>
      <c r="V2846" t="s">
        <v>23739</v>
      </c>
      <c r="W2846" t="s">
        <v>19159</v>
      </c>
      <c r="X2846" t="s">
        <v>3</v>
      </c>
      <c r="AA2846" s="5" t="str">
        <f>HYPERLINK("https://www.zillow.com/homes/1420-OSWEGO-RD-NAPERVILLE-IL-60540_rb/","check listing")</f>
        <v>check listing</v>
      </c>
      <c r="AB2846" s="5" t="str">
        <f>HYPERLINK("https://propertylookup.dupagecounty.gov/Datalets/Datalet.aspx?UseSearch=no&amp;mode=sales&amp;pin=0723304025","sales record")</f>
        <v>sales record</v>
      </c>
      <c r="AC2846" t="s">
        <v>3</v>
      </c>
      <c r="AD2846">
        <v>41.76126</v>
      </c>
      <c r="AE2846">
        <v>-88.1797</v>
      </c>
      <c r="AF2846" s="5" t="str">
        <f>HYPERLINK("https://www.google.com/maps/search/?api=1&amp;query=41.76126,-88.1797","map")</f>
        <v>map</v>
      </c>
    </row>
    <row r="2847" spans="1:32">
      <c r="A2847" t="s">
        <v>2897</v>
      </c>
      <c r="B2847" t="s">
        <v>10430</v>
      </c>
      <c r="C2847" t="s">
        <v>15475</v>
      </c>
      <c r="D2847" t="s">
        <v>16206</v>
      </c>
      <c r="E2847" t="s">
        <v>16218</v>
      </c>
      <c r="F2847" t="s">
        <v>16220</v>
      </c>
      <c r="G2847" t="s">
        <v>16274</v>
      </c>
      <c r="H2847" t="s">
        <v>16269</v>
      </c>
      <c r="I2847" t="s">
        <v>16352</v>
      </c>
      <c r="J2847" t="s">
        <v>16386</v>
      </c>
      <c r="K2847">
        <v>0.257</v>
      </c>
      <c r="L2847">
        <v>11201</v>
      </c>
      <c r="M2847">
        <v>2473</v>
      </c>
      <c r="N2847" t="s">
        <v>16393</v>
      </c>
      <c r="O2847" s="4">
        <v>48674</v>
      </c>
      <c r="P2847" s="4">
        <v>147048</v>
      </c>
      <c r="Q2847" s="4">
        <v>195722</v>
      </c>
      <c r="R2847" s="4">
        <v>587166</v>
      </c>
      <c r="S2847" t="s">
        <v>19160</v>
      </c>
      <c r="T2847" s="6">
        <v>42948</v>
      </c>
      <c r="U2847" s="4">
        <v>427000</v>
      </c>
      <c r="V2847" t="s">
        <v>23739</v>
      </c>
      <c r="W2847" t="s">
        <v>25117</v>
      </c>
      <c r="X2847" t="s">
        <v>3</v>
      </c>
      <c r="AA2847" s="5" t="str">
        <f>HYPERLINK("https://www.zillow.com/homes/1412-OSWEGO-RD-NAPERVILLE-IL-60540_rb/","check listing")</f>
        <v>check listing</v>
      </c>
      <c r="AB2847" s="5" t="str">
        <f>HYPERLINK("https://propertylookup.dupagecounty.gov/Datalets/Datalet.aspx?UseSearch=no&amp;mode=sales&amp;pin=0723304027","sales record")</f>
        <v>sales record</v>
      </c>
      <c r="AC2847" t="s">
        <v>3</v>
      </c>
      <c r="AD2847">
        <v>41.761421</v>
      </c>
      <c r="AE2847">
        <v>-88.179175</v>
      </c>
      <c r="AF2847" s="5" t="str">
        <f>HYPERLINK("https://www.google.com/maps/search/?api=1&amp;query=41.761421,-88.179175","map")</f>
        <v>map</v>
      </c>
    </row>
    <row r="2848" spans="1:32">
      <c r="A2848" t="s">
        <v>2898</v>
      </c>
      <c r="B2848" t="s">
        <v>10431</v>
      </c>
      <c r="C2848" t="s">
        <v>15475</v>
      </c>
      <c r="D2848" t="s">
        <v>16206</v>
      </c>
      <c r="E2848" t="s">
        <v>16218</v>
      </c>
      <c r="F2848" t="s">
        <v>16220</v>
      </c>
      <c r="G2848" t="s">
        <v>16275</v>
      </c>
      <c r="H2848" t="s">
        <v>16276</v>
      </c>
      <c r="I2848" t="s">
        <v>16352</v>
      </c>
      <c r="J2848" t="s">
        <v>16386</v>
      </c>
      <c r="K2848">
        <v>0.257</v>
      </c>
      <c r="L2848">
        <v>11198</v>
      </c>
      <c r="M2848">
        <v>2573</v>
      </c>
      <c r="N2848" t="s">
        <v>16393</v>
      </c>
      <c r="O2848" s="4">
        <v>59073</v>
      </c>
      <c r="P2848" s="4">
        <v>146048</v>
      </c>
      <c r="Q2848" s="4">
        <v>205121</v>
      </c>
      <c r="R2848" s="4">
        <v>615363</v>
      </c>
      <c r="S2848" t="s">
        <v>19161</v>
      </c>
      <c r="T2848" s="6">
        <v>34608</v>
      </c>
      <c r="U2848" s="4">
        <v>213188</v>
      </c>
      <c r="X2848" t="s">
        <v>3</v>
      </c>
      <c r="AA2848" s="5" t="str">
        <f>HYPERLINK("https://www.zillow.com/homes/604-WILDFLOWER-CT-NAPERVILLE-IL-60540_rb/","check listing")</f>
        <v>check listing</v>
      </c>
      <c r="AB2848" s="5" t="str">
        <f>HYPERLINK("https://propertylookup.dupagecounty.gov/Datalets/Datalet.aspx?UseSearch=no&amp;mode=sales&amp;pin=0722404002","sales record")</f>
        <v>sales record</v>
      </c>
      <c r="AC2848" t="s">
        <v>3</v>
      </c>
      <c r="AD2848">
        <v>41.759545</v>
      </c>
      <c r="AE2848">
        <v>-88.195531</v>
      </c>
      <c r="AF2848" s="5" t="str">
        <f>HYPERLINK("https://www.google.com/maps/search/?api=1&amp;query=41.759545,-88.195531","map")</f>
        <v>map</v>
      </c>
    </row>
    <row r="2849" spans="1:32">
      <c r="A2849" t="s">
        <v>2899</v>
      </c>
      <c r="B2849" t="s">
        <v>10432</v>
      </c>
      <c r="C2849" t="s">
        <v>15511</v>
      </c>
      <c r="D2849" t="s">
        <v>16206</v>
      </c>
      <c r="E2849" t="s">
        <v>16218</v>
      </c>
      <c r="F2849" t="s">
        <v>16220</v>
      </c>
      <c r="G2849" t="s">
        <v>16274</v>
      </c>
      <c r="H2849" t="s">
        <v>16269</v>
      </c>
      <c r="I2849" t="s">
        <v>16352</v>
      </c>
      <c r="J2849" t="s">
        <v>16386</v>
      </c>
      <c r="K2849">
        <v>0.257</v>
      </c>
      <c r="L2849">
        <v>11190</v>
      </c>
      <c r="M2849">
        <v>1782</v>
      </c>
      <c r="N2849" t="s">
        <v>16393</v>
      </c>
      <c r="O2849" s="4">
        <v>54801</v>
      </c>
      <c r="P2849" s="4">
        <v>125469</v>
      </c>
      <c r="Q2849" s="4">
        <v>180270</v>
      </c>
      <c r="R2849" s="4">
        <v>540810</v>
      </c>
      <c r="S2849" t="s">
        <v>19162</v>
      </c>
      <c r="T2849" s="6">
        <v>34243</v>
      </c>
      <c r="U2849" s="4">
        <v>186250</v>
      </c>
      <c r="X2849" t="s">
        <v>3</v>
      </c>
      <c r="AA2849" s="5" t="str">
        <f>HYPERLINK("https://www.zillow.com/homes/972-ELM-ST-NAPERVILLE-IL-605402700_rb/","check listing")</f>
        <v>check listing</v>
      </c>
      <c r="AB2849" s="5" t="str">
        <f>HYPERLINK("https://propertylookup.dupagecounty.gov/Datalets/Datalet.aspx?UseSearch=no&amp;mode=sales&amp;pin=0726208006","sales record")</f>
        <v>sales record</v>
      </c>
      <c r="AC2849" t="s">
        <v>3</v>
      </c>
      <c r="AD2849">
        <v>41.750467</v>
      </c>
      <c r="AE2849">
        <v>-88.172506</v>
      </c>
      <c r="AF2849" s="5" t="str">
        <f>HYPERLINK("https://www.google.com/maps/search/?api=1&amp;query=41.750467,-88.172506","map")</f>
        <v>map</v>
      </c>
    </row>
    <row r="2850" spans="1:32">
      <c r="A2850" t="s">
        <v>2900</v>
      </c>
      <c r="B2850" t="s">
        <v>10433</v>
      </c>
      <c r="C2850" t="s">
        <v>15493</v>
      </c>
      <c r="D2850" t="s">
        <v>16206</v>
      </c>
      <c r="E2850" t="s">
        <v>16218</v>
      </c>
      <c r="F2850" t="s">
        <v>16220</v>
      </c>
      <c r="G2850" t="s">
        <v>16274</v>
      </c>
      <c r="H2850" t="s">
        <v>16269</v>
      </c>
      <c r="I2850" t="s">
        <v>16352</v>
      </c>
      <c r="J2850" t="s">
        <v>16386</v>
      </c>
      <c r="K2850">
        <v>0.257</v>
      </c>
      <c r="L2850">
        <v>11188</v>
      </c>
      <c r="M2850">
        <v>3041</v>
      </c>
      <c r="N2850" t="s">
        <v>16393</v>
      </c>
      <c r="O2850" s="4">
        <v>65322</v>
      </c>
      <c r="P2850" s="4">
        <v>220499</v>
      </c>
      <c r="Q2850" s="4">
        <v>285821</v>
      </c>
      <c r="R2850" s="4">
        <v>857463</v>
      </c>
      <c r="S2850" t="s">
        <v>19163</v>
      </c>
      <c r="T2850" s="6">
        <v>44348</v>
      </c>
      <c r="U2850" s="4">
        <v>680000</v>
      </c>
      <c r="V2850" t="s">
        <v>23739</v>
      </c>
      <c r="W2850" t="s">
        <v>25118</v>
      </c>
      <c r="X2850" t="s">
        <v>3</v>
      </c>
      <c r="AA2850" s="5" t="str">
        <f>HYPERLINK("https://www.zillow.com/homes/1764-CHADWICKE-CIR-NAPERVILLE-IL-605400399_rb/","check listing")</f>
        <v>check listing</v>
      </c>
      <c r="AB2850" s="5" t="str">
        <f>HYPERLINK("https://propertylookup.dupagecounty.gov/Datalets/Datalet.aspx?UseSearch=no&amp;mode=sales&amp;pin=0723310015","sales record")</f>
        <v>sales record</v>
      </c>
      <c r="AC2850" t="s">
        <v>3</v>
      </c>
      <c r="AD2850">
        <v>41.755518</v>
      </c>
      <c r="AE2850">
        <v>-88.184904</v>
      </c>
      <c r="AF2850" s="5" t="str">
        <f>HYPERLINK("https://www.google.com/maps/search/?api=1&amp;query=41.755518,-88.184904","map")</f>
        <v>map</v>
      </c>
    </row>
    <row r="2851" spans="1:32">
      <c r="A2851" t="s">
        <v>2901</v>
      </c>
      <c r="B2851" t="s">
        <v>10434</v>
      </c>
      <c r="C2851" t="s">
        <v>15475</v>
      </c>
      <c r="D2851" t="s">
        <v>16206</v>
      </c>
      <c r="E2851" t="s">
        <v>16218</v>
      </c>
      <c r="F2851" t="s">
        <v>16220</v>
      </c>
      <c r="G2851" t="s">
        <v>16274</v>
      </c>
      <c r="H2851" t="s">
        <v>16269</v>
      </c>
      <c r="I2851" t="s">
        <v>16352</v>
      </c>
      <c r="J2851" t="s">
        <v>16386</v>
      </c>
      <c r="K2851">
        <v>0.256</v>
      </c>
      <c r="L2851">
        <v>11169</v>
      </c>
      <c r="M2851">
        <v>2359</v>
      </c>
      <c r="N2851" t="s">
        <v>16393</v>
      </c>
      <c r="O2851" s="4">
        <v>53007</v>
      </c>
      <c r="P2851" s="4">
        <v>143007</v>
      </c>
      <c r="Q2851" s="4">
        <v>196014</v>
      </c>
      <c r="R2851" s="4">
        <v>588042</v>
      </c>
      <c r="S2851" t="s">
        <v>19164</v>
      </c>
      <c r="T2851" s="6">
        <v>32843</v>
      </c>
      <c r="U2851" s="4">
        <v>199400</v>
      </c>
      <c r="X2851" t="s">
        <v>3</v>
      </c>
      <c r="AA2851" s="5" t="str">
        <f>HYPERLINK("https://www.zillow.com/homes/1224-ASHTON-LN-NAPERVILLE-IL-60540_rb/","check listing")</f>
        <v>check listing</v>
      </c>
      <c r="AB2851" s="5" t="str">
        <f>HYPERLINK("https://propertylookup.dupagecounty.gov/Datalets/Datalet.aspx?UseSearch=no&amp;mode=sales&amp;pin=0726206013","sales record")</f>
        <v>sales record</v>
      </c>
      <c r="AC2851" t="s">
        <v>3</v>
      </c>
      <c r="AD2851">
        <v>41.7538</v>
      </c>
      <c r="AE2851">
        <v>-88.169051</v>
      </c>
      <c r="AF2851" s="5" t="str">
        <f>HYPERLINK("https://www.google.com/maps/search/?api=1&amp;query=41.7538,-88.169051","map")</f>
        <v>map</v>
      </c>
    </row>
    <row r="2852" spans="1:32">
      <c r="A2852" t="s">
        <v>2902</v>
      </c>
      <c r="B2852" t="s">
        <v>10435</v>
      </c>
      <c r="C2852" t="s">
        <v>15512</v>
      </c>
      <c r="D2852" t="s">
        <v>16206</v>
      </c>
      <c r="E2852" t="s">
        <v>16218</v>
      </c>
      <c r="F2852" t="s">
        <v>16220</v>
      </c>
      <c r="G2852" t="s">
        <v>16275</v>
      </c>
      <c r="H2852" t="s">
        <v>16276</v>
      </c>
      <c r="I2852" t="s">
        <v>16352</v>
      </c>
      <c r="J2852" t="s">
        <v>16386</v>
      </c>
      <c r="K2852">
        <v>0.256</v>
      </c>
      <c r="L2852">
        <v>11157</v>
      </c>
      <c r="M2852">
        <v>1649</v>
      </c>
      <c r="N2852" t="s">
        <v>16393</v>
      </c>
      <c r="O2852" s="4">
        <v>51103</v>
      </c>
      <c r="P2852" s="4">
        <v>99411</v>
      </c>
      <c r="Q2852" s="4">
        <v>150514</v>
      </c>
      <c r="R2852" s="4">
        <v>451542</v>
      </c>
      <c r="S2852" t="s">
        <v>19165</v>
      </c>
      <c r="T2852" s="6">
        <v>38443</v>
      </c>
      <c r="U2852" s="4">
        <v>270000</v>
      </c>
      <c r="V2852" t="s">
        <v>23739</v>
      </c>
      <c r="W2852" t="s">
        <v>25119</v>
      </c>
      <c r="X2852" t="s">
        <v>3</v>
      </c>
      <c r="AA2852" s="5" t="str">
        <f>HYPERLINK("https://www.zillow.com/homes/767-VIOLET-CIR-NAPERVILLE-IL-605409225_rb/","check listing")</f>
        <v>check listing</v>
      </c>
      <c r="AB2852" s="5" t="str">
        <f>HYPERLINK("https://propertylookup.dupagecounty.gov/Datalets/Datalet.aspx?UseSearch=no&amp;mode=sales&amp;pin=0722407050","sales record")</f>
        <v>sales record</v>
      </c>
      <c r="AC2852" t="s">
        <v>3</v>
      </c>
      <c r="AD2852">
        <v>41.759145</v>
      </c>
      <c r="AE2852">
        <v>-88.189043</v>
      </c>
      <c r="AF2852" s="5" t="str">
        <f>HYPERLINK("https://www.google.com/maps/search/?api=1&amp;query=41.759145,-88.189043","map")</f>
        <v>map</v>
      </c>
    </row>
    <row r="2853" spans="1:32">
      <c r="A2853" t="s">
        <v>2903</v>
      </c>
      <c r="B2853" t="s">
        <v>10436</v>
      </c>
      <c r="C2853" t="s">
        <v>15513</v>
      </c>
      <c r="D2853" t="s">
        <v>16206</v>
      </c>
      <c r="E2853" t="s">
        <v>16218</v>
      </c>
      <c r="F2853" t="s">
        <v>16220</v>
      </c>
      <c r="G2853" t="s">
        <v>16269</v>
      </c>
      <c r="H2853" t="s">
        <v>16269</v>
      </c>
      <c r="I2853" t="s">
        <v>16352</v>
      </c>
      <c r="J2853" t="s">
        <v>16386</v>
      </c>
      <c r="K2853">
        <v>0.256</v>
      </c>
      <c r="L2853">
        <v>11139</v>
      </c>
      <c r="M2853">
        <v>2638</v>
      </c>
      <c r="N2853" t="s">
        <v>16393</v>
      </c>
      <c r="O2853" s="4">
        <v>96810</v>
      </c>
      <c r="P2853" s="4">
        <v>30894</v>
      </c>
      <c r="Q2853" s="4">
        <v>127704</v>
      </c>
      <c r="R2853" s="4">
        <v>383112</v>
      </c>
      <c r="S2853" t="s">
        <v>19166</v>
      </c>
      <c r="T2853" s="6">
        <v>42795</v>
      </c>
      <c r="U2853" s="4">
        <v>170000</v>
      </c>
      <c r="V2853" t="s">
        <v>16232</v>
      </c>
      <c r="W2853" t="s">
        <v>25120</v>
      </c>
      <c r="X2853" t="s">
        <v>3</v>
      </c>
      <c r="AA2853" s="5" t="str">
        <f>HYPERLINK("https://www.zillow.com/homes/614-E-5TH-AVE-NAPERVILLE-IL-605633203_rb/","check listing")</f>
        <v>check listing</v>
      </c>
      <c r="AB2853" s="5" t="str">
        <f>HYPERLINK("https://propertylookup.dupagecounty.gov/Datalets/Datalet.aspx?UseSearch=no&amp;mode=sales&amp;pin=0818202008","sales record")</f>
        <v>sales record</v>
      </c>
      <c r="AC2853" t="s">
        <v>3</v>
      </c>
      <c r="AD2853">
        <v>41.780417</v>
      </c>
      <c r="AE2853">
        <v>-88.13882099999999</v>
      </c>
      <c r="AF2853" s="5" t="str">
        <f>HYPERLINK("https://www.google.com/maps/search/?api=1&amp;query=41.780417,-88.138821","map")</f>
        <v>map</v>
      </c>
    </row>
    <row r="2854" spans="1:32">
      <c r="A2854" t="s">
        <v>2904</v>
      </c>
      <c r="B2854" t="s">
        <v>10437</v>
      </c>
      <c r="C2854" t="s">
        <v>15478</v>
      </c>
      <c r="D2854" t="s">
        <v>16206</v>
      </c>
      <c r="E2854" t="s">
        <v>16218</v>
      </c>
      <c r="F2854" t="s">
        <v>16220</v>
      </c>
      <c r="G2854" t="s">
        <v>16273</v>
      </c>
      <c r="H2854" t="s">
        <v>16254</v>
      </c>
      <c r="I2854" t="s">
        <v>16351</v>
      </c>
      <c r="J2854" t="s">
        <v>16386</v>
      </c>
      <c r="K2854">
        <v>0.255</v>
      </c>
      <c r="L2854">
        <v>11122</v>
      </c>
      <c r="M2854">
        <v>2177</v>
      </c>
      <c r="N2854" t="s">
        <v>16393</v>
      </c>
      <c r="O2854" s="4">
        <v>47502</v>
      </c>
      <c r="P2854" s="4">
        <v>140311</v>
      </c>
      <c r="Q2854" s="4">
        <v>187813</v>
      </c>
      <c r="R2854" s="4">
        <v>563439</v>
      </c>
      <c r="S2854" t="s">
        <v>19167</v>
      </c>
      <c r="T2854" s="6">
        <v>43952</v>
      </c>
      <c r="U2854" s="4">
        <v>405000</v>
      </c>
      <c r="V2854" t="s">
        <v>23739</v>
      </c>
      <c r="W2854" t="s">
        <v>25121</v>
      </c>
      <c r="X2854" t="s">
        <v>3</v>
      </c>
      <c r="AA2854" s="5" t="str">
        <f>HYPERLINK("https://www.zillow.com/homes/2026-BUNKER-CIR-NAPERVILLE-IL-60563_rb/","check listing")</f>
        <v>check listing</v>
      </c>
      <c r="AB2854" s="5" t="str">
        <f>HYPERLINK("https://propertylookup.dupagecounty.gov/Datalets/Datalet.aspx?UseSearch=no&amp;mode=sales&amp;pin=0709200025","sales record")</f>
        <v>sales record</v>
      </c>
      <c r="AC2854" t="s">
        <v>3</v>
      </c>
      <c r="AD2854">
        <v>41.795559</v>
      </c>
      <c r="AE2854">
        <v>-88.210579</v>
      </c>
      <c r="AF2854" s="5" t="str">
        <f>HYPERLINK("https://www.google.com/maps/search/?api=1&amp;query=41.795559,-88.210579","map")</f>
        <v>map</v>
      </c>
    </row>
    <row r="2855" spans="1:32">
      <c r="A2855" t="s">
        <v>2905</v>
      </c>
      <c r="B2855" t="s">
        <v>10438</v>
      </c>
      <c r="C2855" t="s">
        <v>15497</v>
      </c>
      <c r="D2855" t="s">
        <v>16206</v>
      </c>
      <c r="E2855" t="s">
        <v>16218</v>
      </c>
      <c r="F2855" t="s">
        <v>16220</v>
      </c>
      <c r="G2855" t="s">
        <v>16274</v>
      </c>
      <c r="H2855" t="s">
        <v>16269</v>
      </c>
      <c r="I2855" t="s">
        <v>16352</v>
      </c>
      <c r="J2855" t="s">
        <v>16386</v>
      </c>
      <c r="K2855">
        <v>0.255</v>
      </c>
      <c r="L2855">
        <v>11106</v>
      </c>
      <c r="M2855">
        <v>2572</v>
      </c>
      <c r="N2855" t="s">
        <v>16393</v>
      </c>
      <c r="O2855" s="4">
        <v>65322</v>
      </c>
      <c r="P2855" s="4">
        <v>148244</v>
      </c>
      <c r="Q2855" s="4">
        <v>213566</v>
      </c>
      <c r="R2855" s="4">
        <v>640698</v>
      </c>
      <c r="S2855" t="s">
        <v>19168</v>
      </c>
      <c r="T2855" s="6">
        <v>38322</v>
      </c>
      <c r="U2855" s="4">
        <v>346500</v>
      </c>
      <c r="V2855" t="s">
        <v>23739</v>
      </c>
      <c r="W2855" t="s">
        <v>25122</v>
      </c>
      <c r="X2855" t="s">
        <v>3</v>
      </c>
      <c r="AA2855" s="5" t="str">
        <f>HYPERLINK("https://www.zillow.com/homes/668-OAKHURST-CT-NAPERVILLE-IL-605406357_rb/","check listing")</f>
        <v>check listing</v>
      </c>
      <c r="AB2855" s="5" t="str">
        <f>HYPERLINK("https://propertylookup.dupagecounty.gov/Datalets/Datalet.aspx?UseSearch=no&amp;mode=sales&amp;pin=0723303009","sales record")</f>
        <v>sales record</v>
      </c>
      <c r="AC2855" t="s">
        <v>3</v>
      </c>
      <c r="AD2855">
        <v>41.759007</v>
      </c>
      <c r="AE2855">
        <v>-88.18037099999999</v>
      </c>
      <c r="AF2855" s="5" t="str">
        <f>HYPERLINK("https://www.google.com/maps/search/?api=1&amp;query=41.759007,-88.180371","map")</f>
        <v>map</v>
      </c>
    </row>
    <row r="2856" spans="1:32">
      <c r="A2856" t="s">
        <v>2906</v>
      </c>
      <c r="B2856" t="s">
        <v>10439</v>
      </c>
      <c r="C2856" t="s">
        <v>15475</v>
      </c>
      <c r="D2856" t="s">
        <v>16206</v>
      </c>
      <c r="E2856" t="s">
        <v>16218</v>
      </c>
      <c r="F2856" t="s">
        <v>16220</v>
      </c>
      <c r="G2856" t="s">
        <v>16274</v>
      </c>
      <c r="H2856" t="s">
        <v>16269</v>
      </c>
      <c r="I2856" t="s">
        <v>16352</v>
      </c>
      <c r="J2856" t="s">
        <v>16386</v>
      </c>
      <c r="K2856">
        <v>0.255</v>
      </c>
      <c r="L2856">
        <v>11102</v>
      </c>
      <c r="M2856">
        <v>2111</v>
      </c>
      <c r="N2856" t="s">
        <v>16393</v>
      </c>
      <c r="O2856" s="4">
        <v>58060</v>
      </c>
      <c r="P2856" s="4">
        <v>179611</v>
      </c>
      <c r="Q2856" s="4">
        <v>237671</v>
      </c>
      <c r="R2856" s="4">
        <v>713013</v>
      </c>
      <c r="S2856" t="s">
        <v>19169</v>
      </c>
      <c r="T2856" s="6">
        <v>37408</v>
      </c>
      <c r="U2856" s="4">
        <v>407000</v>
      </c>
      <c r="V2856" t="s">
        <v>23739</v>
      </c>
      <c r="W2856" t="s">
        <v>25123</v>
      </c>
      <c r="X2856" t="s">
        <v>3</v>
      </c>
      <c r="AA2856" s="5" t="str">
        <f>HYPERLINK("https://www.zillow.com/homes/1708-CHADWICKE-CIR-NAPERVILLE-IL-60540_rb/","check listing")</f>
        <v>check listing</v>
      </c>
      <c r="AB2856" s="5" t="str">
        <f>HYPERLINK("https://propertylookup.dupagecounty.gov/Datalets/Datalet.aspx?UseSearch=no&amp;mode=sales&amp;pin=0723310023","sales record")</f>
        <v>sales record</v>
      </c>
      <c r="AC2856" t="s">
        <v>3</v>
      </c>
      <c r="AD2856">
        <v>41.756861</v>
      </c>
      <c r="AE2856">
        <v>-88.184816</v>
      </c>
      <c r="AF2856" s="5" t="str">
        <f>HYPERLINK("https://www.google.com/maps/search/?api=1&amp;query=41.756861,-88.184816","map")</f>
        <v>map</v>
      </c>
    </row>
    <row r="2857" spans="1:32">
      <c r="A2857" t="s">
        <v>2907</v>
      </c>
      <c r="B2857" t="s">
        <v>10440</v>
      </c>
      <c r="C2857" t="s">
        <v>15478</v>
      </c>
      <c r="D2857" t="s">
        <v>16206</v>
      </c>
      <c r="E2857" t="s">
        <v>16218</v>
      </c>
      <c r="F2857" t="s">
        <v>16220</v>
      </c>
      <c r="G2857" t="s">
        <v>16273</v>
      </c>
      <c r="H2857" t="s">
        <v>16254</v>
      </c>
      <c r="I2857" t="s">
        <v>16351</v>
      </c>
      <c r="J2857" t="s">
        <v>16386</v>
      </c>
      <c r="K2857">
        <v>0.255</v>
      </c>
      <c r="L2857">
        <v>11102</v>
      </c>
      <c r="M2857">
        <v>2178</v>
      </c>
      <c r="N2857" t="s">
        <v>16393</v>
      </c>
      <c r="O2857" s="4">
        <v>50396</v>
      </c>
      <c r="P2857" s="4">
        <v>130083</v>
      </c>
      <c r="Q2857" s="4">
        <v>180479</v>
      </c>
      <c r="R2857" s="4">
        <v>541437</v>
      </c>
      <c r="S2857" t="s">
        <v>19170</v>
      </c>
      <c r="T2857" s="6">
        <v>36678</v>
      </c>
      <c r="U2857" s="4">
        <v>279374</v>
      </c>
      <c r="V2857" t="s">
        <v>23739</v>
      </c>
      <c r="W2857" t="s">
        <v>25124</v>
      </c>
      <c r="X2857" t="s">
        <v>3</v>
      </c>
      <c r="AA2857" s="5" t="str">
        <f>HYPERLINK("https://www.zillow.com/homes/2091-MAPLEWOOD-CIR-NAPERVILLE-IL-60563_rb/","check listing")</f>
        <v>check listing</v>
      </c>
      <c r="AB2857" s="5" t="str">
        <f>HYPERLINK("https://propertylookup.dupagecounty.gov/Datalets/Datalet.aspx?UseSearch=no&amp;mode=sales&amp;pin=0709413001","sales record")</f>
        <v>sales record</v>
      </c>
      <c r="AC2857" t="s">
        <v>3</v>
      </c>
      <c r="AD2857">
        <v>41.786637</v>
      </c>
      <c r="AE2857">
        <v>-88.21123900000001</v>
      </c>
      <c r="AF2857" s="5" t="str">
        <f>HYPERLINK("https://www.google.com/maps/search/?api=1&amp;query=41.786637,-88.211239","map")</f>
        <v>map</v>
      </c>
    </row>
    <row r="2858" spans="1:32">
      <c r="A2858" t="s">
        <v>2908</v>
      </c>
      <c r="B2858" t="s">
        <v>10441</v>
      </c>
      <c r="C2858" t="s">
        <v>15478</v>
      </c>
      <c r="D2858" t="s">
        <v>16206</v>
      </c>
      <c r="E2858" t="s">
        <v>16218</v>
      </c>
      <c r="F2858" t="s">
        <v>16220</v>
      </c>
      <c r="G2858" t="s">
        <v>16273</v>
      </c>
      <c r="H2858" t="s">
        <v>16254</v>
      </c>
      <c r="I2858" t="s">
        <v>16351</v>
      </c>
      <c r="J2858" t="s">
        <v>16386</v>
      </c>
      <c r="K2858">
        <v>0.255</v>
      </c>
      <c r="L2858">
        <v>11089</v>
      </c>
      <c r="M2858">
        <v>2158</v>
      </c>
      <c r="N2858" t="s">
        <v>16393</v>
      </c>
      <c r="O2858" s="4">
        <v>44109</v>
      </c>
      <c r="P2858" s="4">
        <v>80066</v>
      </c>
      <c r="Q2858" s="4">
        <v>124175</v>
      </c>
      <c r="R2858" s="4">
        <v>372525</v>
      </c>
      <c r="S2858" t="s">
        <v>19171</v>
      </c>
      <c r="T2858" s="6">
        <v>35521</v>
      </c>
      <c r="U2858" s="4">
        <v>167000</v>
      </c>
      <c r="X2858" t="s">
        <v>3</v>
      </c>
      <c r="AA2858" s="5" t="str">
        <f>HYPERLINK("https://www.zillow.com/homes/2023-BUNKER-CIR-NAPERVILLE-IL-60563_rb/","check listing")</f>
        <v>check listing</v>
      </c>
      <c r="AB2858" s="5" t="str">
        <f>HYPERLINK("https://propertylookup.dupagecounty.gov/Datalets/Datalet.aspx?UseSearch=no&amp;mode=sales&amp;pin=0709221011","sales record")</f>
        <v>sales record</v>
      </c>
      <c r="AC2858" t="s">
        <v>3</v>
      </c>
      <c r="AD2858">
        <v>41.794785</v>
      </c>
      <c r="AE2858">
        <v>-88.210908</v>
      </c>
      <c r="AF2858" s="5" t="str">
        <f>HYPERLINK("https://www.google.com/maps/search/?api=1&amp;query=41.794785,-88.210908","map")</f>
        <v>map</v>
      </c>
    </row>
    <row r="2859" spans="1:32">
      <c r="A2859" t="s">
        <v>2909</v>
      </c>
      <c r="B2859" t="s">
        <v>10442</v>
      </c>
      <c r="C2859" t="s">
        <v>15475</v>
      </c>
      <c r="D2859" t="s">
        <v>16206</v>
      </c>
      <c r="E2859" t="s">
        <v>16218</v>
      </c>
      <c r="F2859" t="s">
        <v>16220</v>
      </c>
      <c r="G2859" t="s">
        <v>16274</v>
      </c>
      <c r="H2859" t="s">
        <v>16269</v>
      </c>
      <c r="I2859" t="s">
        <v>16352</v>
      </c>
      <c r="J2859" t="s">
        <v>16386</v>
      </c>
      <c r="K2859">
        <v>0.254</v>
      </c>
      <c r="L2859">
        <v>11082</v>
      </c>
      <c r="M2859">
        <v>2308</v>
      </c>
      <c r="N2859" t="s">
        <v>16393</v>
      </c>
      <c r="O2859" s="4">
        <v>52128</v>
      </c>
      <c r="P2859" s="4">
        <v>138090</v>
      </c>
      <c r="Q2859" s="4">
        <v>190218</v>
      </c>
      <c r="R2859" s="4">
        <v>570654</v>
      </c>
      <c r="S2859" t="s">
        <v>19172</v>
      </c>
      <c r="T2859" s="6">
        <v>41395</v>
      </c>
      <c r="U2859" s="4">
        <v>393000</v>
      </c>
      <c r="V2859" t="s">
        <v>23739</v>
      </c>
      <c r="W2859" t="s">
        <v>19172</v>
      </c>
      <c r="X2859" t="s">
        <v>3</v>
      </c>
      <c r="AA2859" s="5" t="str">
        <f>HYPERLINK("https://www.zillow.com/homes/1180-OAKTON-LN-NAPERVILLE-IL-60540_rb/","check listing")</f>
        <v>check listing</v>
      </c>
      <c r="AB2859" s="5" t="str">
        <f>HYPERLINK("https://propertylookup.dupagecounty.gov/Datalets/Datalet.aspx?UseSearch=no&amp;mode=sales&amp;pin=0723413006","sales record")</f>
        <v>sales record</v>
      </c>
      <c r="AC2859" t="s">
        <v>3</v>
      </c>
      <c r="AD2859">
        <v>41.755423</v>
      </c>
      <c r="AE2859">
        <v>-88.16801700000001</v>
      </c>
      <c r="AF2859" s="5" t="str">
        <f>HYPERLINK("https://www.google.com/maps/search/?api=1&amp;query=41.755423,-88.168017","map")</f>
        <v>map</v>
      </c>
    </row>
    <row r="2860" spans="1:32">
      <c r="A2860" t="s">
        <v>2910</v>
      </c>
      <c r="B2860" t="s">
        <v>10443</v>
      </c>
      <c r="C2860" t="s">
        <v>15514</v>
      </c>
      <c r="D2860" t="s">
        <v>16206</v>
      </c>
      <c r="E2860" t="s">
        <v>16218</v>
      </c>
      <c r="F2860" t="s">
        <v>16220</v>
      </c>
      <c r="G2860" t="s">
        <v>16275</v>
      </c>
      <c r="H2860" t="s">
        <v>16276</v>
      </c>
      <c r="I2860" t="s">
        <v>16352</v>
      </c>
      <c r="J2860" t="s">
        <v>16386</v>
      </c>
      <c r="K2860">
        <v>0.254</v>
      </c>
      <c r="L2860">
        <v>11075</v>
      </c>
      <c r="M2860">
        <v>1714</v>
      </c>
      <c r="N2860" t="s">
        <v>16393</v>
      </c>
      <c r="O2860" s="4">
        <v>54289</v>
      </c>
      <c r="P2860" s="4">
        <v>120624</v>
      </c>
      <c r="Q2860" s="4">
        <v>174913</v>
      </c>
      <c r="R2860" s="4">
        <v>524739</v>
      </c>
      <c r="S2860" t="s">
        <v>19173</v>
      </c>
      <c r="T2860" s="6">
        <v>34912</v>
      </c>
      <c r="U2860" s="4">
        <v>187356</v>
      </c>
      <c r="X2860" t="s">
        <v>3</v>
      </c>
      <c r="AA2860" s="5" t="str">
        <f>HYPERLINK("https://www.zillow.com/homes/707-MARIGOLD-CT-NAPERVILLE-IL-605409219_rb/","check listing")</f>
        <v>check listing</v>
      </c>
      <c r="AB2860" s="5" t="str">
        <f>HYPERLINK("https://propertylookup.dupagecounty.gov/Datalets/Datalet.aspx?UseSearch=no&amp;mode=sales&amp;pin=0722410005","sales record")</f>
        <v>sales record</v>
      </c>
      <c r="AC2860" t="s">
        <v>3</v>
      </c>
      <c r="AD2860">
        <v>41.75956</v>
      </c>
      <c r="AE2860">
        <v>-88.19071700000001</v>
      </c>
      <c r="AF2860" s="5" t="str">
        <f>HYPERLINK("https://www.google.com/maps/search/?api=1&amp;query=41.75956,-88.190717","map")</f>
        <v>map</v>
      </c>
    </row>
    <row r="2861" spans="1:32">
      <c r="A2861" t="s">
        <v>2911</v>
      </c>
      <c r="B2861" t="s">
        <v>10444</v>
      </c>
      <c r="C2861" t="s">
        <v>15478</v>
      </c>
      <c r="D2861" t="s">
        <v>16206</v>
      </c>
      <c r="E2861" t="s">
        <v>16218</v>
      </c>
      <c r="F2861" t="s">
        <v>16220</v>
      </c>
      <c r="G2861" t="s">
        <v>16274</v>
      </c>
      <c r="H2861" t="s">
        <v>16269</v>
      </c>
      <c r="I2861" t="s">
        <v>16352</v>
      </c>
      <c r="J2861" t="s">
        <v>16386</v>
      </c>
      <c r="K2861">
        <v>0.254</v>
      </c>
      <c r="L2861">
        <v>11049</v>
      </c>
      <c r="M2861">
        <v>1978</v>
      </c>
      <c r="N2861" t="s">
        <v>16393</v>
      </c>
      <c r="O2861" s="4">
        <v>60269</v>
      </c>
      <c r="P2861" s="4">
        <v>115950</v>
      </c>
      <c r="Q2861" s="4">
        <v>176219</v>
      </c>
      <c r="R2861" s="4">
        <v>528657</v>
      </c>
      <c r="S2861" t="s">
        <v>19174</v>
      </c>
      <c r="T2861" s="6">
        <v>37288</v>
      </c>
      <c r="U2861" s="4">
        <v>274500</v>
      </c>
      <c r="V2861" t="s">
        <v>16232</v>
      </c>
      <c r="W2861" t="s">
        <v>25125</v>
      </c>
      <c r="X2861" t="s">
        <v>3</v>
      </c>
      <c r="AA2861" s="5" t="str">
        <f>HYPERLINK("https://www.zillow.com/homes/1694-LISA-CT-NAPERVILLE-IL-60563_rb/","check listing")</f>
        <v>check listing</v>
      </c>
      <c r="AB2861" s="5" t="str">
        <f>HYPERLINK("https://propertylookup.dupagecounty.gov/Datalets/Datalet.aspx?UseSearch=no&amp;mode=sales&amp;pin=0715206045","sales record")</f>
        <v>sales record</v>
      </c>
      <c r="AC2861" t="s">
        <v>3</v>
      </c>
      <c r="AD2861">
        <v>41.780844</v>
      </c>
      <c r="AE2861">
        <v>-88.193991</v>
      </c>
      <c r="AF2861" s="5" t="str">
        <f>HYPERLINK("https://www.google.com/maps/search/?api=1&amp;query=41.780844,-88.193991","map")</f>
        <v>map</v>
      </c>
    </row>
    <row r="2862" spans="1:32">
      <c r="A2862" t="s">
        <v>2912</v>
      </c>
      <c r="B2862" t="s">
        <v>10445</v>
      </c>
      <c r="C2862" t="s">
        <v>15478</v>
      </c>
      <c r="D2862" t="s">
        <v>16206</v>
      </c>
      <c r="E2862" t="s">
        <v>16218</v>
      </c>
      <c r="F2862" t="s">
        <v>16220</v>
      </c>
      <c r="G2862" t="s">
        <v>16273</v>
      </c>
      <c r="H2862" t="s">
        <v>16254</v>
      </c>
      <c r="I2862" t="s">
        <v>16351</v>
      </c>
      <c r="J2862" t="s">
        <v>16386</v>
      </c>
      <c r="K2862">
        <v>0.254</v>
      </c>
      <c r="L2862">
        <v>11048</v>
      </c>
      <c r="M2862">
        <v>2968</v>
      </c>
      <c r="N2862" t="s">
        <v>16393</v>
      </c>
      <c r="O2862" s="4">
        <v>46172</v>
      </c>
      <c r="P2862" s="4">
        <v>125579</v>
      </c>
      <c r="Q2862" s="4">
        <v>171751</v>
      </c>
      <c r="R2862" s="4">
        <v>515253</v>
      </c>
      <c r="S2862" t="s">
        <v>19175</v>
      </c>
      <c r="T2862" s="6">
        <v>36770</v>
      </c>
      <c r="U2862" s="4">
        <v>265728</v>
      </c>
      <c r="V2862" t="s">
        <v>23739</v>
      </c>
      <c r="W2862" t="s">
        <v>25126</v>
      </c>
      <c r="X2862" t="s">
        <v>3</v>
      </c>
      <c r="AA2862" s="5" t="str">
        <f>HYPERLINK("https://www.zillow.com/homes/1000-PRAIRIE-VIEW-CT-NAPERVILLE-IL-60563_rb/","check listing")</f>
        <v>check listing</v>
      </c>
      <c r="AB2862" s="5" t="str">
        <f>HYPERLINK("https://propertylookup.dupagecounty.gov/Datalets/Datalet.aspx?UseSearch=no&amp;mode=sales&amp;pin=0709410032","sales record")</f>
        <v>sales record</v>
      </c>
      <c r="AC2862" t="s">
        <v>3</v>
      </c>
      <c r="AD2862">
        <v>41.786038</v>
      </c>
      <c r="AE2862">
        <v>-88.21344999999999</v>
      </c>
      <c r="AF2862" s="5" t="str">
        <f>HYPERLINK("https://www.google.com/maps/search/?api=1&amp;query=41.786038,-88.21345","map")</f>
        <v>map</v>
      </c>
    </row>
    <row r="2863" spans="1:32">
      <c r="A2863" t="s">
        <v>2913</v>
      </c>
      <c r="B2863" t="s">
        <v>10446</v>
      </c>
      <c r="C2863" t="s">
        <v>15475</v>
      </c>
      <c r="D2863" t="s">
        <v>16206</v>
      </c>
      <c r="E2863" t="s">
        <v>16218</v>
      </c>
      <c r="F2863" t="s">
        <v>16220</v>
      </c>
      <c r="G2863" t="s">
        <v>16274</v>
      </c>
      <c r="H2863" t="s">
        <v>16269</v>
      </c>
      <c r="I2863" t="s">
        <v>16352</v>
      </c>
      <c r="J2863" t="s">
        <v>16386</v>
      </c>
      <c r="K2863">
        <v>0.253</v>
      </c>
      <c r="L2863">
        <v>11025</v>
      </c>
      <c r="M2863">
        <v>2640</v>
      </c>
      <c r="N2863" t="s">
        <v>16393</v>
      </c>
      <c r="O2863" s="4">
        <v>65322</v>
      </c>
      <c r="P2863" s="4">
        <v>168652</v>
      </c>
      <c r="Q2863" s="4">
        <v>233974</v>
      </c>
      <c r="R2863" s="4">
        <v>701922</v>
      </c>
      <c r="S2863" t="s">
        <v>19176</v>
      </c>
      <c r="T2863" s="6">
        <v>31594</v>
      </c>
      <c r="U2863" s="4">
        <v>170500</v>
      </c>
      <c r="X2863" t="s">
        <v>3</v>
      </c>
      <c r="AA2863" s="5" t="str">
        <f>HYPERLINK("https://www.zillow.com/homes/665-OAKHURST-CT-NAPERVILLE-IL-60540_rb/","check listing")</f>
        <v>check listing</v>
      </c>
      <c r="AB2863" s="5" t="str">
        <f>HYPERLINK("https://propertylookup.dupagecounty.gov/Datalets/Datalet.aspx?UseSearch=no&amp;mode=sales&amp;pin=0723303004","sales record")</f>
        <v>sales record</v>
      </c>
      <c r="AC2863" t="s">
        <v>3</v>
      </c>
      <c r="AD2863">
        <v>41.759564</v>
      </c>
      <c r="AE2863">
        <v>-88.180666</v>
      </c>
      <c r="AF2863" s="5" t="str">
        <f>HYPERLINK("https://www.google.com/maps/search/?api=1&amp;query=41.759564,-88.180666","map")</f>
        <v>map</v>
      </c>
    </row>
    <row r="2864" spans="1:32">
      <c r="A2864" t="s">
        <v>2914</v>
      </c>
      <c r="B2864" t="s">
        <v>10447</v>
      </c>
      <c r="C2864" t="s">
        <v>15475</v>
      </c>
      <c r="D2864" t="s">
        <v>16206</v>
      </c>
      <c r="E2864" t="s">
        <v>16218</v>
      </c>
      <c r="F2864" t="s">
        <v>16220</v>
      </c>
      <c r="G2864" t="s">
        <v>16274</v>
      </c>
      <c r="H2864" t="s">
        <v>16269</v>
      </c>
      <c r="I2864" t="s">
        <v>16352</v>
      </c>
      <c r="J2864" t="s">
        <v>16386</v>
      </c>
      <c r="K2864">
        <v>0.253</v>
      </c>
      <c r="L2864">
        <v>11016</v>
      </c>
      <c r="M2864">
        <v>2771</v>
      </c>
      <c r="N2864" t="s">
        <v>16393</v>
      </c>
      <c r="O2864" s="4">
        <v>49492</v>
      </c>
      <c r="P2864" s="4">
        <v>145180</v>
      </c>
      <c r="Q2864" s="4">
        <v>194672</v>
      </c>
      <c r="R2864" s="4">
        <v>584016</v>
      </c>
      <c r="S2864" t="s">
        <v>19177</v>
      </c>
      <c r="T2864" s="6">
        <v>42339</v>
      </c>
      <c r="U2864" s="4">
        <v>353000</v>
      </c>
      <c r="V2864" t="s">
        <v>23739</v>
      </c>
      <c r="W2864" t="s">
        <v>25127</v>
      </c>
      <c r="X2864" t="s">
        <v>3</v>
      </c>
      <c r="AA2864" s="5" t="str">
        <f>HYPERLINK("https://www.zillow.com/homes/873-PLNFLDNAPER-RD-NAPERVILLE-IL-60540_rb/","check listing")</f>
        <v>check listing</v>
      </c>
      <c r="AB2864" s="5" t="str">
        <f>HYPERLINK("https://propertylookup.dupagecounty.gov/Datalets/Datalet.aspx?UseSearch=no&amp;mode=sales&amp;pin=0726206023","sales record")</f>
        <v>sales record</v>
      </c>
      <c r="AC2864" t="s">
        <v>3</v>
      </c>
      <c r="AD2864">
        <v>41.755</v>
      </c>
      <c r="AE2864">
        <v>-88.166844</v>
      </c>
      <c r="AF2864" s="5" t="str">
        <f>HYPERLINK("https://www.google.com/maps/search/?api=1&amp;query=41.755,-88.166844","map")</f>
        <v>map</v>
      </c>
    </row>
    <row r="2865" spans="1:32">
      <c r="A2865" t="s">
        <v>2915</v>
      </c>
      <c r="B2865" t="s">
        <v>10448</v>
      </c>
      <c r="C2865" t="s">
        <v>15475</v>
      </c>
      <c r="D2865" t="s">
        <v>16206</v>
      </c>
      <c r="E2865" t="s">
        <v>16218</v>
      </c>
      <c r="F2865" t="s">
        <v>16220</v>
      </c>
      <c r="G2865" t="s">
        <v>16274</v>
      </c>
      <c r="H2865" t="s">
        <v>16269</v>
      </c>
      <c r="I2865" t="s">
        <v>16352</v>
      </c>
      <c r="J2865" t="s">
        <v>16386</v>
      </c>
      <c r="K2865">
        <v>0.253</v>
      </c>
      <c r="L2865">
        <v>11009</v>
      </c>
      <c r="M2865">
        <v>2901</v>
      </c>
      <c r="N2865" t="s">
        <v>16393</v>
      </c>
      <c r="O2865" s="4">
        <v>58060</v>
      </c>
      <c r="P2865" s="4">
        <v>196223</v>
      </c>
      <c r="Q2865" s="4">
        <v>254283</v>
      </c>
      <c r="R2865" s="4">
        <v>762849</v>
      </c>
      <c r="S2865" t="s">
        <v>19178</v>
      </c>
      <c r="T2865" s="6">
        <v>34243</v>
      </c>
      <c r="U2865" s="4">
        <v>283900</v>
      </c>
      <c r="X2865" t="s">
        <v>3</v>
      </c>
      <c r="AA2865" s="5" t="str">
        <f>HYPERLINK("https://www.zillow.com/homes/816-SANCTUARY-LN-NAPERVILLE-IL-60540_rb/","check listing")</f>
        <v>check listing</v>
      </c>
      <c r="AB2865" s="5" t="str">
        <f>HYPERLINK("https://propertylookup.dupagecounty.gov/Datalets/Datalet.aspx?UseSearch=no&amp;mode=sales&amp;pin=0723306033","sales record")</f>
        <v>sales record</v>
      </c>
      <c r="AC2865" t="s">
        <v>3</v>
      </c>
      <c r="AD2865">
        <v>41.756068</v>
      </c>
      <c r="AE2865">
        <v>-88.182951</v>
      </c>
      <c r="AF2865" s="5" t="str">
        <f>HYPERLINK("https://www.google.com/maps/search/?api=1&amp;query=41.756068,-88.182951","map")</f>
        <v>map</v>
      </c>
    </row>
    <row r="2866" spans="1:32">
      <c r="A2866" t="s">
        <v>2916</v>
      </c>
      <c r="B2866" t="s">
        <v>10449</v>
      </c>
      <c r="C2866" t="s">
        <v>15515</v>
      </c>
      <c r="D2866" t="s">
        <v>16206</v>
      </c>
      <c r="E2866" t="s">
        <v>16218</v>
      </c>
      <c r="F2866" t="s">
        <v>16220</v>
      </c>
      <c r="G2866" t="s">
        <v>16276</v>
      </c>
      <c r="H2866" t="s">
        <v>16276</v>
      </c>
      <c r="I2866" t="s">
        <v>16352</v>
      </c>
      <c r="J2866" t="s">
        <v>16386</v>
      </c>
      <c r="K2866">
        <v>0.253</v>
      </c>
      <c r="L2866">
        <v>11005</v>
      </c>
      <c r="M2866">
        <v>2144</v>
      </c>
      <c r="N2866" t="s">
        <v>16393</v>
      </c>
      <c r="O2866" s="4">
        <v>61819</v>
      </c>
      <c r="P2866" s="4">
        <v>148683</v>
      </c>
      <c r="Q2866" s="4">
        <v>210502</v>
      </c>
      <c r="R2866" s="4">
        <v>631506</v>
      </c>
      <c r="S2866" t="s">
        <v>19179</v>
      </c>
      <c r="T2866" s="6">
        <v>44593</v>
      </c>
      <c r="U2866" s="4">
        <v>505000</v>
      </c>
      <c r="V2866" t="s">
        <v>23739</v>
      </c>
      <c r="W2866" t="s">
        <v>25128</v>
      </c>
      <c r="X2866" t="s">
        <v>3</v>
      </c>
      <c r="AA2866" s="5" t="str">
        <f>HYPERLINK("https://www.zillow.com/homes/908-JOAN-CT-NAPERVILLE-IL-605401931_rb/","check listing")</f>
        <v>check listing</v>
      </c>
      <c r="AB2866" s="5" t="str">
        <f>HYPERLINK("https://propertylookup.dupagecounty.gov/Datalets/Datalet.aspx?UseSearch=no&amp;mode=sales&amp;pin=0727210020","sales record")</f>
        <v>sales record</v>
      </c>
      <c r="AC2866" t="s">
        <v>3</v>
      </c>
      <c r="AD2866">
        <v>41.753831</v>
      </c>
      <c r="AE2866">
        <v>-88.18816700000001</v>
      </c>
      <c r="AF2866" s="5" t="str">
        <f>HYPERLINK("https://www.google.com/maps/search/?api=1&amp;query=41.753831,-88.188167","map")</f>
        <v>map</v>
      </c>
    </row>
    <row r="2867" spans="1:32">
      <c r="A2867" t="s">
        <v>2917</v>
      </c>
      <c r="B2867" t="s">
        <v>10450</v>
      </c>
      <c r="C2867" t="s">
        <v>15476</v>
      </c>
      <c r="D2867" t="s">
        <v>16206</v>
      </c>
      <c r="E2867" t="s">
        <v>16218</v>
      </c>
      <c r="F2867" t="s">
        <v>16220</v>
      </c>
      <c r="G2867" t="s">
        <v>16269</v>
      </c>
      <c r="H2867" t="s">
        <v>16269</v>
      </c>
      <c r="I2867" t="s">
        <v>16352</v>
      </c>
      <c r="J2867" t="s">
        <v>16386</v>
      </c>
      <c r="K2867">
        <v>0.252</v>
      </c>
      <c r="L2867">
        <v>10992</v>
      </c>
      <c r="M2867">
        <v>2783</v>
      </c>
      <c r="N2867" t="s">
        <v>16393</v>
      </c>
      <c r="O2867" s="4">
        <v>75821</v>
      </c>
      <c r="P2867" s="4">
        <v>178410</v>
      </c>
      <c r="Q2867" s="4">
        <v>254231</v>
      </c>
      <c r="R2867" s="4">
        <v>762693</v>
      </c>
      <c r="S2867" t="s">
        <v>19180</v>
      </c>
      <c r="T2867" s="6">
        <v>37469</v>
      </c>
      <c r="U2867" s="4">
        <v>322000</v>
      </c>
      <c r="V2867" t="s">
        <v>23739</v>
      </c>
      <c r="W2867" t="s">
        <v>25129</v>
      </c>
      <c r="X2867" t="s">
        <v>3</v>
      </c>
      <c r="AA2867" s="5" t="str">
        <f>HYPERLINK("https://www.zillow.com/homes/519-BOURBON-LN-NAPERVILLE-IL-60565_rb/","check listing")</f>
        <v>check listing</v>
      </c>
      <c r="AB2867" s="5" t="str">
        <f>HYPERLINK("https://propertylookup.dupagecounty.gov/Datalets/Datalet.aspx?UseSearch=no&amp;mode=sales&amp;pin=0832115044","sales record")</f>
        <v>sales record</v>
      </c>
      <c r="AC2867" t="s">
        <v>3</v>
      </c>
      <c r="AD2867">
        <v>41.736033</v>
      </c>
      <c r="AE2867">
        <v>-88.11964500000001</v>
      </c>
      <c r="AF2867" s="5" t="str">
        <f>HYPERLINK("https://www.google.com/maps/search/?api=1&amp;query=41.736033,-88.119645","map")</f>
        <v>map</v>
      </c>
    </row>
    <row r="2868" spans="1:32">
      <c r="A2868" t="s">
        <v>2918</v>
      </c>
      <c r="B2868" t="s">
        <v>10451</v>
      </c>
      <c r="C2868" t="s">
        <v>15475</v>
      </c>
      <c r="D2868" t="s">
        <v>16206</v>
      </c>
      <c r="E2868" t="s">
        <v>16218</v>
      </c>
      <c r="F2868" t="s">
        <v>16220</v>
      </c>
      <c r="G2868" t="s">
        <v>16276</v>
      </c>
      <c r="H2868" t="s">
        <v>16276</v>
      </c>
      <c r="I2868" t="s">
        <v>16352</v>
      </c>
      <c r="J2868" t="s">
        <v>16386</v>
      </c>
      <c r="K2868">
        <v>0.252</v>
      </c>
      <c r="L2868">
        <v>10991</v>
      </c>
      <c r="M2868">
        <v>1995</v>
      </c>
      <c r="N2868" t="s">
        <v>16393</v>
      </c>
      <c r="O2868" s="4">
        <v>55655</v>
      </c>
      <c r="P2868" s="4">
        <v>121417</v>
      </c>
      <c r="Q2868" s="4">
        <v>177072</v>
      </c>
      <c r="R2868" s="4">
        <v>531216</v>
      </c>
      <c r="S2868" t="s">
        <v>19181</v>
      </c>
      <c r="T2868" s="6">
        <v>45910</v>
      </c>
      <c r="U2868" s="4">
        <v>580000</v>
      </c>
      <c r="V2868" t="s">
        <v>23739</v>
      </c>
      <c r="W2868" t="s">
        <v>25130</v>
      </c>
      <c r="X2868" t="s">
        <v>3</v>
      </c>
      <c r="AA2868" s="5" t="str">
        <f>HYPERLINK("https://www.zillow.com/homes/1028-MEAGAN-CT-NAPERVILLE-IL-60540_rb/","check listing")</f>
        <v>check listing</v>
      </c>
      <c r="AB2868" s="5" t="str">
        <f>HYPERLINK("https://propertylookup.dupagecounty.gov/Datalets/Datalet.aspx?UseSearch=no&amp;mode=sales&amp;pin=0727205047","sales record")</f>
        <v>sales record</v>
      </c>
      <c r="AC2868" t="s">
        <v>3</v>
      </c>
      <c r="AD2868">
        <v>41.751256</v>
      </c>
      <c r="AE2868">
        <v>-88.190341</v>
      </c>
      <c r="AF2868" s="5" t="str">
        <f>HYPERLINK("https://www.google.com/maps/search/?api=1&amp;query=41.751256,-88.190341","map")</f>
        <v>map</v>
      </c>
    </row>
    <row r="2869" spans="1:32">
      <c r="A2869" t="s">
        <v>2919</v>
      </c>
      <c r="B2869" t="s">
        <v>10452</v>
      </c>
      <c r="C2869" t="s">
        <v>15493</v>
      </c>
      <c r="D2869" t="s">
        <v>16206</v>
      </c>
      <c r="E2869" t="s">
        <v>16218</v>
      </c>
      <c r="F2869" t="s">
        <v>16220</v>
      </c>
      <c r="G2869" t="s">
        <v>16274</v>
      </c>
      <c r="H2869" t="s">
        <v>16269</v>
      </c>
      <c r="I2869" t="s">
        <v>16352</v>
      </c>
      <c r="J2869" t="s">
        <v>16386</v>
      </c>
      <c r="K2869">
        <v>0.252</v>
      </c>
      <c r="L2869">
        <v>10981</v>
      </c>
      <c r="M2869">
        <v>2639</v>
      </c>
      <c r="N2869" t="s">
        <v>16393</v>
      </c>
      <c r="O2869" s="4">
        <v>65322</v>
      </c>
      <c r="P2869" s="4">
        <v>193843</v>
      </c>
      <c r="Q2869" s="4">
        <v>259165</v>
      </c>
      <c r="R2869" s="4">
        <v>777495</v>
      </c>
      <c r="S2869" t="s">
        <v>19182</v>
      </c>
      <c r="T2869" s="6">
        <v>43556</v>
      </c>
      <c r="U2869" s="4">
        <v>480000</v>
      </c>
      <c r="V2869" t="s">
        <v>23739</v>
      </c>
      <c r="W2869" t="s">
        <v>19182</v>
      </c>
      <c r="X2869" t="s">
        <v>3</v>
      </c>
      <c r="AA2869" s="5" t="str">
        <f>HYPERLINK("https://www.zillow.com/homes/1740-CHADWICKE-CIR-NAPERVILLE-IL-605400399_rb/","check listing")</f>
        <v>check listing</v>
      </c>
      <c r="AB2869" s="5" t="str">
        <f>HYPERLINK("https://propertylookup.dupagecounty.gov/Datalets/Datalet.aspx?UseSearch=no&amp;mode=sales&amp;pin=0723310017","sales record")</f>
        <v>sales record</v>
      </c>
      <c r="AC2869" t="s">
        <v>3</v>
      </c>
      <c r="AD2869">
        <v>41.755712</v>
      </c>
      <c r="AE2869">
        <v>-88.18534</v>
      </c>
      <c r="AF2869" s="5" t="str">
        <f>HYPERLINK("https://www.google.com/maps/search/?api=1&amp;query=41.755712,-88.18534","map")</f>
        <v>map</v>
      </c>
    </row>
    <row r="2870" spans="1:32">
      <c r="A2870" t="s">
        <v>2920</v>
      </c>
      <c r="B2870" t="s">
        <v>10453</v>
      </c>
      <c r="C2870" t="s">
        <v>15475</v>
      </c>
      <c r="D2870" t="s">
        <v>16206</v>
      </c>
      <c r="E2870" t="s">
        <v>16218</v>
      </c>
      <c r="F2870" t="s">
        <v>16220</v>
      </c>
      <c r="G2870" t="s">
        <v>16274</v>
      </c>
      <c r="H2870" t="s">
        <v>16269</v>
      </c>
      <c r="I2870" t="s">
        <v>16352</v>
      </c>
      <c r="J2870" t="s">
        <v>16386</v>
      </c>
      <c r="K2870">
        <v>0.252</v>
      </c>
      <c r="L2870">
        <v>10970</v>
      </c>
      <c r="M2870">
        <v>2374</v>
      </c>
      <c r="N2870" t="s">
        <v>16393</v>
      </c>
      <c r="O2870" s="4">
        <v>53007</v>
      </c>
      <c r="P2870" s="4">
        <v>145082</v>
      </c>
      <c r="Q2870" s="4">
        <v>198089</v>
      </c>
      <c r="R2870" s="4">
        <v>594267</v>
      </c>
      <c r="S2870" t="s">
        <v>19183</v>
      </c>
      <c r="T2870" s="6">
        <v>41426</v>
      </c>
      <c r="U2870" s="4">
        <v>392000</v>
      </c>
      <c r="V2870" t="s">
        <v>23739</v>
      </c>
      <c r="W2870" t="s">
        <v>25131</v>
      </c>
      <c r="X2870" t="s">
        <v>3</v>
      </c>
      <c r="AA2870" s="5" t="str">
        <f>HYPERLINK("https://www.zillow.com/homes/1232-ASHTON-LN-NAPERVILLE-IL-60540_rb/","check listing")</f>
        <v>check listing</v>
      </c>
      <c r="AB2870" s="5" t="str">
        <f>HYPERLINK("https://propertylookup.dupagecounty.gov/Datalets/Datalet.aspx?UseSearch=no&amp;mode=sales&amp;pin=0726206011","sales record")</f>
        <v>sales record</v>
      </c>
      <c r="AC2870" t="s">
        <v>3</v>
      </c>
      <c r="AD2870">
        <v>41.753172</v>
      </c>
      <c r="AE2870">
        <v>-88.169048</v>
      </c>
      <c r="AF2870" s="5" t="str">
        <f>HYPERLINK("https://www.google.com/maps/search/?api=1&amp;query=41.753172,-88.169048","map")</f>
        <v>map</v>
      </c>
    </row>
    <row r="2871" spans="1:32">
      <c r="A2871" t="s">
        <v>2921</v>
      </c>
      <c r="B2871" t="s">
        <v>10454</v>
      </c>
      <c r="C2871" t="s">
        <v>15516</v>
      </c>
      <c r="D2871" t="s">
        <v>16206</v>
      </c>
      <c r="E2871" t="s">
        <v>16218</v>
      </c>
      <c r="F2871" t="s">
        <v>16220</v>
      </c>
      <c r="G2871" t="s">
        <v>16274</v>
      </c>
      <c r="H2871" t="s">
        <v>16269</v>
      </c>
      <c r="I2871" t="s">
        <v>16352</v>
      </c>
      <c r="J2871" t="s">
        <v>16386</v>
      </c>
      <c r="K2871">
        <v>0.252</v>
      </c>
      <c r="L2871">
        <v>10964</v>
      </c>
      <c r="M2871">
        <v>2638</v>
      </c>
      <c r="N2871" t="s">
        <v>16393</v>
      </c>
      <c r="O2871" s="4">
        <v>58060</v>
      </c>
      <c r="P2871" s="4">
        <v>162427</v>
      </c>
      <c r="Q2871" s="4">
        <v>220487</v>
      </c>
      <c r="R2871" s="4">
        <v>661461</v>
      </c>
      <c r="S2871" t="s">
        <v>19184</v>
      </c>
      <c r="T2871" s="6">
        <v>44440</v>
      </c>
      <c r="U2871" s="4">
        <v>542000</v>
      </c>
      <c r="V2871" t="s">
        <v>23739</v>
      </c>
      <c r="W2871" t="s">
        <v>25132</v>
      </c>
      <c r="X2871" t="s">
        <v>3</v>
      </c>
      <c r="AA2871" s="5" t="str">
        <f>HYPERLINK("https://www.zillow.com/homes/820-SANCTUARY-LN-NAPERVILLE-IL-605406364_rb/","check listing")</f>
        <v>check listing</v>
      </c>
      <c r="AB2871" s="5" t="str">
        <f>HYPERLINK("https://propertylookup.dupagecounty.gov/Datalets/Datalet.aspx?UseSearch=no&amp;mode=sales&amp;pin=0723306034","sales record")</f>
        <v>sales record</v>
      </c>
      <c r="AC2871" t="s">
        <v>3</v>
      </c>
      <c r="AD2871">
        <v>41.755809</v>
      </c>
      <c r="AE2871">
        <v>-88.18291000000001</v>
      </c>
      <c r="AF2871" s="5" t="str">
        <f>HYPERLINK("https://www.google.com/maps/search/?api=1&amp;query=41.755809,-88.18291","map")</f>
        <v>map</v>
      </c>
    </row>
    <row r="2872" spans="1:32">
      <c r="A2872" t="s">
        <v>2922</v>
      </c>
      <c r="B2872" t="s">
        <v>10455</v>
      </c>
      <c r="C2872" t="s">
        <v>15475</v>
      </c>
      <c r="D2872" t="s">
        <v>16206</v>
      </c>
      <c r="E2872" t="s">
        <v>16218</v>
      </c>
      <c r="F2872" t="s">
        <v>16220</v>
      </c>
      <c r="G2872" t="s">
        <v>16274</v>
      </c>
      <c r="H2872" t="s">
        <v>16269</v>
      </c>
      <c r="I2872" t="s">
        <v>16352</v>
      </c>
      <c r="J2872" t="s">
        <v>16386</v>
      </c>
      <c r="K2872">
        <v>0.251</v>
      </c>
      <c r="L2872">
        <v>10951</v>
      </c>
      <c r="M2872">
        <v>2601</v>
      </c>
      <c r="N2872" t="s">
        <v>16393</v>
      </c>
      <c r="O2872" s="4">
        <v>55106</v>
      </c>
      <c r="P2872" s="4">
        <v>149587</v>
      </c>
      <c r="Q2872" s="4">
        <v>204693</v>
      </c>
      <c r="R2872" s="4">
        <v>614079</v>
      </c>
      <c r="S2872" t="s">
        <v>19185</v>
      </c>
      <c r="T2872" s="6">
        <v>34516</v>
      </c>
      <c r="U2872" s="4">
        <v>230000</v>
      </c>
      <c r="X2872" t="s">
        <v>3</v>
      </c>
      <c r="AA2872" s="5" t="str">
        <f>HYPERLINK("https://www.zillow.com/homes/1234-ARDMORE-DR-NAPERVILLE-IL-60540_rb/","check listing")</f>
        <v>check listing</v>
      </c>
      <c r="AB2872" s="5" t="str">
        <f>HYPERLINK("https://propertylookup.dupagecounty.gov/Datalets/Datalet.aspx?UseSearch=no&amp;mode=sales&amp;pin=0726205007","sales record")</f>
        <v>sales record</v>
      </c>
      <c r="AC2872" t="s">
        <v>3</v>
      </c>
      <c r="AD2872">
        <v>41.75352</v>
      </c>
      <c r="AE2872">
        <v>-88.17048200000001</v>
      </c>
      <c r="AF2872" s="5" t="str">
        <f>HYPERLINK("https://www.google.com/maps/search/?api=1&amp;query=41.75352,-88.170482","map")</f>
        <v>map</v>
      </c>
    </row>
    <row r="2873" spans="1:32">
      <c r="A2873" t="s">
        <v>2923</v>
      </c>
      <c r="B2873" t="s">
        <v>10456</v>
      </c>
      <c r="C2873" t="s">
        <v>15475</v>
      </c>
      <c r="D2873" t="s">
        <v>16206</v>
      </c>
      <c r="E2873" t="s">
        <v>16218</v>
      </c>
      <c r="F2873" t="s">
        <v>16220</v>
      </c>
      <c r="G2873" t="s">
        <v>16275</v>
      </c>
      <c r="H2873" t="s">
        <v>16276</v>
      </c>
      <c r="I2873" t="s">
        <v>16352</v>
      </c>
      <c r="J2873" t="s">
        <v>16386</v>
      </c>
      <c r="K2873">
        <v>0.251</v>
      </c>
      <c r="L2873">
        <v>10931</v>
      </c>
      <c r="M2873">
        <v>1979</v>
      </c>
      <c r="N2873" t="s">
        <v>16393</v>
      </c>
      <c r="O2873" s="4">
        <v>54862</v>
      </c>
      <c r="P2873" s="4">
        <v>123309</v>
      </c>
      <c r="Q2873" s="4">
        <v>178171</v>
      </c>
      <c r="R2873" s="4">
        <v>534513</v>
      </c>
      <c r="S2873" t="s">
        <v>19186</v>
      </c>
      <c r="T2873" s="6">
        <v>38443</v>
      </c>
      <c r="U2873" s="4">
        <v>357500</v>
      </c>
      <c r="V2873" t="s">
        <v>23739</v>
      </c>
      <c r="W2873" t="s">
        <v>22604</v>
      </c>
      <c r="X2873" t="s">
        <v>3</v>
      </c>
      <c r="AA2873" s="5" t="str">
        <f>HYPERLINK("https://www.zillow.com/homes/807-WOODEWIND-DR-NAPERVILLE-IL-60540_rb/","check listing")</f>
        <v>check listing</v>
      </c>
      <c r="AB2873" s="5" t="str">
        <f>HYPERLINK("https://propertylookup.dupagecounty.gov/Datalets/Datalet.aspx?UseSearch=no&amp;mode=sales&amp;pin=0709303025","sales record")</f>
        <v>sales record</v>
      </c>
      <c r="AC2873" t="s">
        <v>3</v>
      </c>
      <c r="AD2873">
        <v>41.784008</v>
      </c>
      <c r="AE2873">
        <v>-88.221279</v>
      </c>
      <c r="AF2873" s="5" t="str">
        <f>HYPERLINK("https://www.google.com/maps/search/?api=1&amp;query=41.784008,-88.221279","map")</f>
        <v>map</v>
      </c>
    </row>
    <row r="2874" spans="1:32">
      <c r="A2874" t="s">
        <v>2924</v>
      </c>
      <c r="B2874" t="s">
        <v>10457</v>
      </c>
      <c r="C2874" t="s">
        <v>15475</v>
      </c>
      <c r="D2874" t="s">
        <v>16206</v>
      </c>
      <c r="E2874" t="s">
        <v>16218</v>
      </c>
      <c r="F2874" t="s">
        <v>16220</v>
      </c>
      <c r="G2874" t="s">
        <v>16274</v>
      </c>
      <c r="H2874" t="s">
        <v>16269</v>
      </c>
      <c r="I2874" t="s">
        <v>16352</v>
      </c>
      <c r="J2874" t="s">
        <v>16386</v>
      </c>
      <c r="K2874">
        <v>0.249</v>
      </c>
      <c r="L2874">
        <v>10840</v>
      </c>
      <c r="M2874">
        <v>2226</v>
      </c>
      <c r="N2874" t="s">
        <v>16393</v>
      </c>
      <c r="O2874" s="4">
        <v>62185</v>
      </c>
      <c r="P2874" s="4">
        <v>119037</v>
      </c>
      <c r="Q2874" s="4">
        <v>181222</v>
      </c>
      <c r="R2874" s="4">
        <v>543666</v>
      </c>
      <c r="S2874" t="s">
        <v>19187</v>
      </c>
      <c r="T2874" s="6">
        <v>37135</v>
      </c>
      <c r="U2874" s="4">
        <v>269500</v>
      </c>
      <c r="V2874" t="s">
        <v>23739</v>
      </c>
      <c r="W2874" t="s">
        <v>25133</v>
      </c>
      <c r="X2874" t="s">
        <v>3</v>
      </c>
      <c r="AA2874" s="5" t="str">
        <f>HYPERLINK("https://www.zillow.com/homes/921-ELM-ST-NAPERVILLE-IL-60540_rb/","check listing")</f>
        <v>check listing</v>
      </c>
      <c r="AB2874" s="5" t="str">
        <f>HYPERLINK("https://propertylookup.dupagecounty.gov/Datalets/Datalet.aspx?UseSearch=no&amp;mode=sales&amp;pin=0726208022","sales record")</f>
        <v>sales record</v>
      </c>
      <c r="AC2874" t="s">
        <v>3</v>
      </c>
      <c r="AD2874">
        <v>41.753135</v>
      </c>
      <c r="AE2874">
        <v>-88.173968</v>
      </c>
      <c r="AF2874" s="5" t="str">
        <f>HYPERLINK("https://www.google.com/maps/search/?api=1&amp;query=41.753135,-88.173968","map")</f>
        <v>map</v>
      </c>
    </row>
    <row r="2875" spans="1:32">
      <c r="A2875" t="s">
        <v>2925</v>
      </c>
      <c r="B2875" t="s">
        <v>10458</v>
      </c>
      <c r="C2875" t="s">
        <v>15475</v>
      </c>
      <c r="D2875" t="s">
        <v>16206</v>
      </c>
      <c r="E2875" t="s">
        <v>16218</v>
      </c>
      <c r="F2875" t="s">
        <v>16220</v>
      </c>
      <c r="G2875" t="s">
        <v>16274</v>
      </c>
      <c r="H2875" t="s">
        <v>16269</v>
      </c>
      <c r="I2875" t="s">
        <v>16352</v>
      </c>
      <c r="J2875" t="s">
        <v>16386</v>
      </c>
      <c r="K2875">
        <v>0.249</v>
      </c>
      <c r="L2875">
        <v>10827</v>
      </c>
      <c r="M2875">
        <v>3157</v>
      </c>
      <c r="N2875" t="s">
        <v>16393</v>
      </c>
      <c r="O2875" s="4">
        <v>58060</v>
      </c>
      <c r="P2875" s="4">
        <v>194392</v>
      </c>
      <c r="Q2875" s="4">
        <v>252452</v>
      </c>
      <c r="R2875" s="4">
        <v>757356</v>
      </c>
      <c r="S2875" t="s">
        <v>19188</v>
      </c>
      <c r="T2875" s="6">
        <v>34090</v>
      </c>
      <c r="U2875" s="4">
        <v>280000</v>
      </c>
      <c r="X2875" t="s">
        <v>3</v>
      </c>
      <c r="AA2875" s="5" t="str">
        <f>HYPERLINK("https://www.zillow.com/homes/812-SANCTUARY-LN-NAPERVILLE-IL-60540_rb/","check listing")</f>
        <v>check listing</v>
      </c>
      <c r="AB2875" s="5" t="str">
        <f>HYPERLINK("https://propertylookup.dupagecounty.gov/Datalets/Datalet.aspx?UseSearch=no&amp;mode=sales&amp;pin=0723306032","sales record")</f>
        <v>sales record</v>
      </c>
      <c r="AC2875" t="s">
        <v>3</v>
      </c>
      <c r="AD2875">
        <v>41.756238</v>
      </c>
      <c r="AE2875">
        <v>-88.18309000000001</v>
      </c>
      <c r="AF2875" s="5" t="str">
        <f>HYPERLINK("https://www.google.com/maps/search/?api=1&amp;query=41.756238,-88.18309","map")</f>
        <v>map</v>
      </c>
    </row>
    <row r="2876" spans="1:32">
      <c r="A2876" t="s">
        <v>2926</v>
      </c>
      <c r="B2876" t="s">
        <v>10459</v>
      </c>
      <c r="C2876" t="s">
        <v>15478</v>
      </c>
      <c r="D2876" t="s">
        <v>16206</v>
      </c>
      <c r="E2876" t="s">
        <v>16218</v>
      </c>
      <c r="F2876" t="s">
        <v>16220</v>
      </c>
      <c r="G2876" t="s">
        <v>16273</v>
      </c>
      <c r="H2876" t="s">
        <v>16254</v>
      </c>
      <c r="I2876" t="s">
        <v>16351</v>
      </c>
      <c r="J2876" t="s">
        <v>16386</v>
      </c>
      <c r="K2876">
        <v>0.248</v>
      </c>
      <c r="L2876">
        <v>10824</v>
      </c>
      <c r="M2876">
        <v>1979</v>
      </c>
      <c r="N2876" t="s">
        <v>16393</v>
      </c>
      <c r="O2876" s="4">
        <v>40728</v>
      </c>
      <c r="P2876" s="4">
        <v>149220</v>
      </c>
      <c r="Q2876" s="4">
        <v>189948</v>
      </c>
      <c r="R2876" s="4">
        <v>569844</v>
      </c>
      <c r="S2876" t="s">
        <v>19189</v>
      </c>
      <c r="T2876" s="6">
        <v>37803</v>
      </c>
      <c r="U2876" s="4">
        <v>353000</v>
      </c>
      <c r="V2876" t="s">
        <v>23739</v>
      </c>
      <c r="W2876" t="s">
        <v>25134</v>
      </c>
      <c r="X2876" t="s">
        <v>3</v>
      </c>
      <c r="AA2876" s="5" t="str">
        <f>HYPERLINK("https://www.zillow.com/homes/2071-BUNKER-CIR-NAPERVILLE-IL-60563_rb/","check listing")</f>
        <v>check listing</v>
      </c>
      <c r="AB2876" s="5" t="str">
        <f>HYPERLINK("https://propertylookup.dupagecounty.gov/Datalets/Datalet.aspx?UseSearch=no&amp;mode=sales&amp;pin=0709221001","sales record")</f>
        <v>sales record</v>
      </c>
      <c r="AC2876" t="s">
        <v>3</v>
      </c>
      <c r="AD2876">
        <v>41.795056</v>
      </c>
      <c r="AE2876">
        <v>-88.21324199999999</v>
      </c>
      <c r="AF2876" s="5" t="str">
        <f>HYPERLINK("https://www.google.com/maps/search/?api=1&amp;query=41.795056,-88.213242","map")</f>
        <v>map</v>
      </c>
    </row>
    <row r="2877" spans="1:32">
      <c r="A2877" t="s">
        <v>2927</v>
      </c>
      <c r="B2877" t="s">
        <v>10460</v>
      </c>
      <c r="C2877" t="s">
        <v>15478</v>
      </c>
      <c r="D2877" t="s">
        <v>16206</v>
      </c>
      <c r="E2877" t="s">
        <v>16218</v>
      </c>
      <c r="F2877" t="s">
        <v>16220</v>
      </c>
      <c r="G2877" t="s">
        <v>16273</v>
      </c>
      <c r="H2877" t="s">
        <v>16254</v>
      </c>
      <c r="I2877" t="s">
        <v>16351</v>
      </c>
      <c r="J2877" t="s">
        <v>16386</v>
      </c>
      <c r="K2877">
        <v>0.248</v>
      </c>
      <c r="L2877">
        <v>10820</v>
      </c>
      <c r="M2877">
        <v>2473</v>
      </c>
      <c r="N2877" t="s">
        <v>16393</v>
      </c>
      <c r="O2877" s="4">
        <v>52800</v>
      </c>
      <c r="P2877" s="4">
        <v>122357</v>
      </c>
      <c r="Q2877" s="4">
        <v>175157</v>
      </c>
      <c r="R2877" s="4">
        <v>525471</v>
      </c>
      <c r="S2877" t="s">
        <v>19190</v>
      </c>
      <c r="T2877" s="6">
        <v>41456</v>
      </c>
      <c r="U2877" s="4">
        <v>285000</v>
      </c>
      <c r="V2877" t="s">
        <v>23739</v>
      </c>
      <c r="W2877" t="s">
        <v>25135</v>
      </c>
      <c r="X2877" t="s">
        <v>3</v>
      </c>
      <c r="AA2877" s="5" t="str">
        <f>HYPERLINK("https://www.zillow.com/homes/1021-PRAIRIE-VIEW-CT-NAPERVILLE-IL-60563_rb/","check listing")</f>
        <v>check listing</v>
      </c>
      <c r="AB2877" s="5" t="str">
        <f>HYPERLINK("https://propertylookup.dupagecounty.gov/Datalets/Datalet.aspx?UseSearch=no&amp;mode=sales&amp;pin=0709410025","sales record")</f>
        <v>sales record</v>
      </c>
      <c r="AC2877" t="s">
        <v>3</v>
      </c>
      <c r="AD2877">
        <v>41.787158</v>
      </c>
      <c r="AE2877">
        <v>-88.21346699999999</v>
      </c>
      <c r="AF2877" s="5" t="str">
        <f>HYPERLINK("https://www.google.com/maps/search/?api=1&amp;query=41.787158,-88.213467","map")</f>
        <v>map</v>
      </c>
    </row>
    <row r="2878" spans="1:32">
      <c r="A2878" t="s">
        <v>2928</v>
      </c>
      <c r="B2878" t="s">
        <v>10461</v>
      </c>
      <c r="C2878" t="s">
        <v>15478</v>
      </c>
      <c r="D2878" t="s">
        <v>16206</v>
      </c>
      <c r="E2878" t="s">
        <v>16218</v>
      </c>
      <c r="F2878" t="s">
        <v>16220</v>
      </c>
      <c r="G2878" t="s">
        <v>16273</v>
      </c>
      <c r="H2878" t="s">
        <v>16254</v>
      </c>
      <c r="I2878" t="s">
        <v>16351</v>
      </c>
      <c r="J2878" t="s">
        <v>16386</v>
      </c>
      <c r="K2878">
        <v>0.248</v>
      </c>
      <c r="L2878">
        <v>10795</v>
      </c>
      <c r="M2878">
        <v>3165</v>
      </c>
      <c r="N2878" t="s">
        <v>16393</v>
      </c>
      <c r="O2878" s="4">
        <v>47502</v>
      </c>
      <c r="P2878" s="4">
        <v>137162</v>
      </c>
      <c r="Q2878" s="4">
        <v>184664</v>
      </c>
      <c r="R2878" s="4">
        <v>553992</v>
      </c>
      <c r="S2878" t="s">
        <v>19191</v>
      </c>
      <c r="T2878" s="6">
        <v>36770</v>
      </c>
      <c r="U2878" s="4">
        <v>282712</v>
      </c>
      <c r="V2878" t="s">
        <v>23739</v>
      </c>
      <c r="W2878" t="s">
        <v>25136</v>
      </c>
      <c r="X2878" t="s">
        <v>3</v>
      </c>
      <c r="AA2878" s="5" t="str">
        <f>HYPERLINK("https://www.zillow.com/homes/2022-BUNKER-CIR-NAPERVILLE-IL-60563_rb/","check listing")</f>
        <v>check listing</v>
      </c>
      <c r="AB2878" s="5" t="str">
        <f>HYPERLINK("https://propertylookup.dupagecounty.gov/Datalets/Datalet.aspx?UseSearch=no&amp;mode=sales&amp;pin=0709200026","sales record")</f>
        <v>sales record</v>
      </c>
      <c r="AC2878" t="s">
        <v>3</v>
      </c>
      <c r="AD2878">
        <v>41.795525</v>
      </c>
      <c r="AE2878">
        <v>-88.21031000000001</v>
      </c>
      <c r="AF2878" s="5" t="str">
        <f>HYPERLINK("https://www.google.com/maps/search/?api=1&amp;query=41.795525,-88.21031","map")</f>
        <v>map</v>
      </c>
    </row>
    <row r="2879" spans="1:32">
      <c r="A2879" t="s">
        <v>2929</v>
      </c>
      <c r="B2879" t="s">
        <v>10462</v>
      </c>
      <c r="C2879" t="s">
        <v>15475</v>
      </c>
      <c r="D2879" t="s">
        <v>16206</v>
      </c>
      <c r="E2879" t="s">
        <v>16218</v>
      </c>
      <c r="F2879" t="s">
        <v>16220</v>
      </c>
      <c r="G2879" t="s">
        <v>16274</v>
      </c>
      <c r="H2879" t="s">
        <v>16269</v>
      </c>
      <c r="I2879" t="s">
        <v>16352</v>
      </c>
      <c r="J2879" t="s">
        <v>16386</v>
      </c>
      <c r="K2879">
        <v>0.247</v>
      </c>
      <c r="L2879">
        <v>10779</v>
      </c>
      <c r="M2879">
        <v>2770</v>
      </c>
      <c r="N2879" t="s">
        <v>16393</v>
      </c>
      <c r="O2879" s="4">
        <v>58060</v>
      </c>
      <c r="P2879" s="4">
        <v>185592</v>
      </c>
      <c r="Q2879" s="4">
        <v>243652</v>
      </c>
      <c r="R2879" s="4">
        <v>730956</v>
      </c>
      <c r="S2879" t="s">
        <v>19192</v>
      </c>
      <c r="T2879" s="6">
        <v>43191</v>
      </c>
      <c r="U2879" s="4">
        <v>500000</v>
      </c>
      <c r="V2879" t="s">
        <v>23740</v>
      </c>
      <c r="W2879" t="s">
        <v>19192</v>
      </c>
      <c r="X2879" t="s">
        <v>3</v>
      </c>
      <c r="AA2879" s="5" t="str">
        <f>HYPERLINK("https://www.zillow.com/homes/1723-CHADWICKE-CIR-NAPERVILLE-IL-60540_rb/","check listing")</f>
        <v>check listing</v>
      </c>
      <c r="AB2879" s="5" t="str">
        <f>HYPERLINK("https://propertylookup.dupagecounty.gov/Datalets/Datalet.aspx?UseSearch=no&amp;mode=sales&amp;pin=0723311011","sales record")</f>
        <v>sales record</v>
      </c>
      <c r="AC2879" t="s">
        <v>3</v>
      </c>
      <c r="AD2879">
        <v>41.756597</v>
      </c>
      <c r="AE2879">
        <v>-88.186019</v>
      </c>
      <c r="AF2879" s="5" t="str">
        <f>HYPERLINK("https://www.google.com/maps/search/?api=1&amp;query=41.756597,-88.186019","map")</f>
        <v>map</v>
      </c>
    </row>
    <row r="2880" spans="1:32">
      <c r="A2880" t="s">
        <v>2930</v>
      </c>
      <c r="B2880" t="s">
        <v>10463</v>
      </c>
      <c r="C2880" t="s">
        <v>15478</v>
      </c>
      <c r="D2880" t="s">
        <v>16206</v>
      </c>
      <c r="E2880" t="s">
        <v>16218</v>
      </c>
      <c r="F2880" t="s">
        <v>16220</v>
      </c>
      <c r="G2880" t="s">
        <v>16274</v>
      </c>
      <c r="H2880" t="s">
        <v>16269</v>
      </c>
      <c r="I2880" t="s">
        <v>16352</v>
      </c>
      <c r="J2880" t="s">
        <v>16386</v>
      </c>
      <c r="K2880">
        <v>0.247</v>
      </c>
      <c r="L2880">
        <v>10769</v>
      </c>
      <c r="M2880">
        <v>1979</v>
      </c>
      <c r="N2880" t="s">
        <v>16393</v>
      </c>
      <c r="O2880" s="4">
        <v>62356</v>
      </c>
      <c r="P2880" s="4">
        <v>113471</v>
      </c>
      <c r="Q2880" s="4">
        <v>175827</v>
      </c>
      <c r="R2880" s="4">
        <v>527481</v>
      </c>
      <c r="S2880" t="s">
        <v>19193</v>
      </c>
      <c r="T2880" s="6">
        <v>33573</v>
      </c>
      <c r="U2880" s="4">
        <v>174410</v>
      </c>
      <c r="X2880" t="s">
        <v>3</v>
      </c>
      <c r="AA2880" s="5" t="str">
        <f>HYPERLINK("https://www.zillow.com/homes/724-SMALL-CT-NAPERVILLE-IL-60563_rb/","check listing")</f>
        <v>check listing</v>
      </c>
      <c r="AB2880" s="5" t="str">
        <f>HYPERLINK("https://propertylookup.dupagecounty.gov/Datalets/Datalet.aspx?UseSearch=no&amp;mode=sales&amp;pin=0715206010","sales record")</f>
        <v>sales record</v>
      </c>
      <c r="AC2880" t="s">
        <v>3</v>
      </c>
      <c r="AD2880">
        <v>41.780587</v>
      </c>
      <c r="AE2880">
        <v>-88.18888699999999</v>
      </c>
      <c r="AF2880" s="5" t="str">
        <f>HYPERLINK("https://www.google.com/maps/search/?api=1&amp;query=41.780587,-88.188887","map")</f>
        <v>map</v>
      </c>
    </row>
    <row r="2881" spans="1:32">
      <c r="A2881" t="s">
        <v>2931</v>
      </c>
      <c r="B2881" t="s">
        <v>10464</v>
      </c>
      <c r="C2881" t="s">
        <v>15475</v>
      </c>
      <c r="D2881" t="s">
        <v>16206</v>
      </c>
      <c r="E2881" t="s">
        <v>16218</v>
      </c>
      <c r="F2881" t="s">
        <v>16220</v>
      </c>
      <c r="G2881" t="s">
        <v>16269</v>
      </c>
      <c r="H2881" t="s">
        <v>16269</v>
      </c>
      <c r="I2881" t="s">
        <v>16352</v>
      </c>
      <c r="J2881" t="s">
        <v>16386</v>
      </c>
      <c r="K2881">
        <v>0.247</v>
      </c>
      <c r="L2881">
        <v>10763</v>
      </c>
      <c r="M2881">
        <v>1781</v>
      </c>
      <c r="N2881" t="s">
        <v>16393</v>
      </c>
      <c r="O2881" s="4">
        <v>77438</v>
      </c>
      <c r="P2881" s="4">
        <v>93622</v>
      </c>
      <c r="Q2881" s="4">
        <v>171060</v>
      </c>
      <c r="R2881" s="4">
        <v>513180</v>
      </c>
      <c r="S2881" t="s">
        <v>19194</v>
      </c>
      <c r="T2881" s="6">
        <v>38139</v>
      </c>
      <c r="U2881" s="4">
        <v>285000</v>
      </c>
      <c r="V2881" t="s">
        <v>23739</v>
      </c>
      <c r="W2881" t="s">
        <v>25137</v>
      </c>
      <c r="X2881" t="s">
        <v>3</v>
      </c>
      <c r="AA2881" s="5" t="str">
        <f>HYPERLINK("https://www.zillow.com/homes/1708-CHALMETTE-CT-NAPERVILLE-IL-60540_rb/","check listing")</f>
        <v>check listing</v>
      </c>
      <c r="AB2881" s="5" t="str">
        <f>HYPERLINK("https://propertylookup.dupagecounty.gov/Datalets/Datalet.aspx?UseSearch=no&amp;mode=sales&amp;pin=0832114071","sales record")</f>
        <v>sales record</v>
      </c>
      <c r="AC2881" t="s">
        <v>3</v>
      </c>
      <c r="AD2881">
        <v>41.73595</v>
      </c>
      <c r="AE2881">
        <v>-88.121532</v>
      </c>
      <c r="AF2881" s="5" t="str">
        <f>HYPERLINK("https://www.google.com/maps/search/?api=1&amp;query=41.73595,-88.121532","map")</f>
        <v>map</v>
      </c>
    </row>
    <row r="2882" spans="1:32">
      <c r="A2882" t="s">
        <v>2932</v>
      </c>
      <c r="B2882" t="s">
        <v>10465</v>
      </c>
      <c r="C2882" t="s">
        <v>15478</v>
      </c>
      <c r="D2882" t="s">
        <v>16206</v>
      </c>
      <c r="E2882" t="s">
        <v>16218</v>
      </c>
      <c r="F2882" t="s">
        <v>16220</v>
      </c>
      <c r="G2882" t="s">
        <v>16274</v>
      </c>
      <c r="H2882" t="s">
        <v>16269</v>
      </c>
      <c r="I2882" t="s">
        <v>16352</v>
      </c>
      <c r="J2882" t="s">
        <v>16386</v>
      </c>
      <c r="K2882">
        <v>0.247</v>
      </c>
      <c r="L2882">
        <v>10758</v>
      </c>
      <c r="M2882">
        <v>1979</v>
      </c>
      <c r="N2882" t="s">
        <v>16393</v>
      </c>
      <c r="O2882" s="4">
        <v>55448</v>
      </c>
      <c r="P2882" s="4">
        <v>126104</v>
      </c>
      <c r="Q2882" s="4">
        <v>181552</v>
      </c>
      <c r="R2882" s="4">
        <v>544656</v>
      </c>
      <c r="S2882" t="s">
        <v>19195</v>
      </c>
      <c r="T2882" s="6">
        <v>39083</v>
      </c>
      <c r="U2882" s="4">
        <v>347500</v>
      </c>
      <c r="V2882" t="s">
        <v>23739</v>
      </c>
      <c r="W2882" t="s">
        <v>25138</v>
      </c>
      <c r="X2882" t="s">
        <v>3</v>
      </c>
      <c r="AA2882" s="5" t="str">
        <f>HYPERLINK("https://www.zillow.com/homes/708-MIKE-CT-NAPERVILLE-IL-60563_rb/","check listing")</f>
        <v>check listing</v>
      </c>
      <c r="AB2882" s="5" t="str">
        <f>HYPERLINK("https://propertylookup.dupagecounty.gov/Datalets/Datalet.aspx?UseSearch=no&amp;mode=sales&amp;pin=0715206028","sales record")</f>
        <v>sales record</v>
      </c>
      <c r="AC2882" t="s">
        <v>3</v>
      </c>
      <c r="AD2882">
        <v>41.780653</v>
      </c>
      <c r="AE2882">
        <v>-88.19261299999999</v>
      </c>
      <c r="AF2882" s="5" t="str">
        <f>HYPERLINK("https://www.google.com/maps/search/?api=1&amp;query=41.780653,-88.192613","map")</f>
        <v>map</v>
      </c>
    </row>
    <row r="2883" spans="1:32">
      <c r="A2883" t="s">
        <v>2933</v>
      </c>
      <c r="B2883" t="s">
        <v>10466</v>
      </c>
      <c r="C2883" t="s">
        <v>15492</v>
      </c>
      <c r="D2883" t="s">
        <v>16206</v>
      </c>
      <c r="E2883" t="s">
        <v>16218</v>
      </c>
      <c r="F2883" t="s">
        <v>16220</v>
      </c>
      <c r="G2883" t="s">
        <v>16273</v>
      </c>
      <c r="H2883" t="s">
        <v>16254</v>
      </c>
      <c r="I2883" t="s">
        <v>16351</v>
      </c>
      <c r="J2883" t="s">
        <v>16386</v>
      </c>
      <c r="K2883">
        <v>0.246</v>
      </c>
      <c r="L2883">
        <v>10723</v>
      </c>
      <c r="M2883">
        <v>2144</v>
      </c>
      <c r="N2883" t="s">
        <v>16393</v>
      </c>
      <c r="O2883" s="4">
        <v>50396</v>
      </c>
      <c r="P2883" s="4">
        <v>132475</v>
      </c>
      <c r="Q2883" s="4">
        <v>182871</v>
      </c>
      <c r="R2883" s="4">
        <v>548613</v>
      </c>
      <c r="S2883" t="s">
        <v>19196</v>
      </c>
      <c r="T2883" s="6">
        <v>43252</v>
      </c>
      <c r="U2883" s="4">
        <v>340000</v>
      </c>
      <c r="V2883" t="s">
        <v>23739</v>
      </c>
      <c r="W2883" t="s">
        <v>25139</v>
      </c>
      <c r="X2883" t="s">
        <v>3</v>
      </c>
      <c r="AA2883" s="5" t="str">
        <f>HYPERLINK("https://www.zillow.com/homes/2040-MAPLEWOOD-CIR-NAPERVILLE-IL-605631981_rb/","check listing")</f>
        <v>check listing</v>
      </c>
      <c r="AB2883" s="5" t="str">
        <f>HYPERLINK("https://propertylookup.dupagecounty.gov/Datalets/Datalet.aspx?UseSearch=no&amp;mode=sales&amp;pin=0709411033","sales record")</f>
        <v>sales record</v>
      </c>
      <c r="AC2883" t="s">
        <v>3</v>
      </c>
      <c r="AD2883">
        <v>41.786158</v>
      </c>
      <c r="AE2883">
        <v>-88.208927</v>
      </c>
      <c r="AF2883" s="5" t="str">
        <f>HYPERLINK("https://www.google.com/maps/search/?api=1&amp;query=41.786158,-88.208927","map")</f>
        <v>map</v>
      </c>
    </row>
    <row r="2884" spans="1:32">
      <c r="A2884" t="s">
        <v>2934</v>
      </c>
      <c r="B2884" t="s">
        <v>10467</v>
      </c>
      <c r="C2884" t="s">
        <v>15475</v>
      </c>
      <c r="D2884" t="s">
        <v>16206</v>
      </c>
      <c r="E2884" t="s">
        <v>16218</v>
      </c>
      <c r="F2884" t="s">
        <v>16220</v>
      </c>
      <c r="G2884" t="s">
        <v>16275</v>
      </c>
      <c r="H2884" t="s">
        <v>16276</v>
      </c>
      <c r="I2884" t="s">
        <v>16352</v>
      </c>
      <c r="J2884" t="s">
        <v>16386</v>
      </c>
      <c r="K2884">
        <v>0.246</v>
      </c>
      <c r="L2884">
        <v>10716</v>
      </c>
      <c r="M2884">
        <v>2416</v>
      </c>
      <c r="N2884" t="s">
        <v>16393</v>
      </c>
      <c r="O2884" s="4">
        <v>54289</v>
      </c>
      <c r="P2884" s="4">
        <v>113337</v>
      </c>
      <c r="Q2884" s="4">
        <v>167626</v>
      </c>
      <c r="R2884" s="4">
        <v>502878</v>
      </c>
      <c r="S2884" t="s">
        <v>19197</v>
      </c>
      <c r="T2884" s="6">
        <v>38838</v>
      </c>
      <c r="U2884" s="4">
        <v>324000</v>
      </c>
      <c r="V2884" t="s">
        <v>23739</v>
      </c>
      <c r="W2884" t="s">
        <v>25140</v>
      </c>
      <c r="X2884" t="s">
        <v>3</v>
      </c>
      <c r="AA2884" s="5" t="str">
        <f>HYPERLINK("https://www.zillow.com/homes/708-MARIGOLD-CT-NAPERVILLE-IL-60540_rb/","check listing")</f>
        <v>check listing</v>
      </c>
      <c r="AB2884" s="5" t="str">
        <f>HYPERLINK("https://propertylookup.dupagecounty.gov/Datalets/Datalet.aspx?UseSearch=no&amp;mode=sales&amp;pin=0722410009","sales record")</f>
        <v>sales record</v>
      </c>
      <c r="AC2884" t="s">
        <v>3</v>
      </c>
      <c r="AD2884">
        <v>41.760133</v>
      </c>
      <c r="AE2884">
        <v>-88.19022699999999</v>
      </c>
      <c r="AF2884" s="5" t="str">
        <f>HYPERLINK("https://www.google.com/maps/search/?api=1&amp;query=41.760133,-88.190227","map")</f>
        <v>map</v>
      </c>
    </row>
    <row r="2885" spans="1:32">
      <c r="A2885" t="s">
        <v>2935</v>
      </c>
      <c r="B2885" t="s">
        <v>10468</v>
      </c>
      <c r="C2885" t="s">
        <v>15485</v>
      </c>
      <c r="D2885" t="s">
        <v>16206</v>
      </c>
      <c r="E2885" t="s">
        <v>16218</v>
      </c>
      <c r="F2885" t="s">
        <v>16220</v>
      </c>
      <c r="G2885" t="s">
        <v>16274</v>
      </c>
      <c r="H2885" t="s">
        <v>16269</v>
      </c>
      <c r="I2885" t="s">
        <v>16352</v>
      </c>
      <c r="J2885" t="s">
        <v>16386</v>
      </c>
      <c r="K2885">
        <v>0.246</v>
      </c>
      <c r="L2885">
        <v>10709</v>
      </c>
      <c r="M2885">
        <v>2637</v>
      </c>
      <c r="N2885" t="s">
        <v>16393</v>
      </c>
      <c r="O2885" s="4">
        <v>65322</v>
      </c>
      <c r="P2885" s="4">
        <v>171117</v>
      </c>
      <c r="Q2885" s="4">
        <v>236439</v>
      </c>
      <c r="R2885" s="4">
        <v>709317</v>
      </c>
      <c r="S2885" t="s">
        <v>19198</v>
      </c>
      <c r="T2885" s="6">
        <v>42887</v>
      </c>
      <c r="U2885" s="4">
        <v>451000</v>
      </c>
      <c r="V2885" t="s">
        <v>23739</v>
      </c>
      <c r="W2885" t="s">
        <v>25141</v>
      </c>
      <c r="X2885" t="s">
        <v>3</v>
      </c>
      <c r="AA2885" s="5" t="str">
        <f>HYPERLINK("https://www.zillow.com/homes/1413-ROLLING-GROVE-CT-NAPERVILLE-IL-605406355_rb/","check listing")</f>
        <v>check listing</v>
      </c>
      <c r="AB2885" s="5" t="str">
        <f>HYPERLINK("https://propertylookup.dupagecounty.gov/Datalets/Datalet.aspx?UseSearch=no&amp;mode=sales&amp;pin=0723304018","sales record")</f>
        <v>sales record</v>
      </c>
      <c r="AC2885" t="s">
        <v>3</v>
      </c>
      <c r="AD2885">
        <v>41.760992</v>
      </c>
      <c r="AE2885">
        <v>-88.17932</v>
      </c>
      <c r="AF2885" s="5" t="str">
        <f>HYPERLINK("https://www.google.com/maps/search/?api=1&amp;query=41.760992,-88.17932","map")</f>
        <v>map</v>
      </c>
    </row>
    <row r="2886" spans="1:32">
      <c r="A2886" t="s">
        <v>2936</v>
      </c>
      <c r="B2886" t="s">
        <v>10469</v>
      </c>
      <c r="C2886" t="s">
        <v>15475</v>
      </c>
      <c r="D2886" t="s">
        <v>16206</v>
      </c>
      <c r="E2886" t="s">
        <v>16218</v>
      </c>
      <c r="F2886" t="s">
        <v>16220</v>
      </c>
      <c r="G2886" t="s">
        <v>16275</v>
      </c>
      <c r="H2886" t="s">
        <v>16276</v>
      </c>
      <c r="I2886" t="s">
        <v>16352</v>
      </c>
      <c r="J2886" t="s">
        <v>16386</v>
      </c>
      <c r="K2886">
        <v>0.245</v>
      </c>
      <c r="L2886">
        <v>10686</v>
      </c>
      <c r="M2886">
        <v>2539</v>
      </c>
      <c r="N2886" t="s">
        <v>16393</v>
      </c>
      <c r="O2886" s="4">
        <v>49444</v>
      </c>
      <c r="P2886" s="4">
        <v>113301</v>
      </c>
      <c r="Q2886" s="4">
        <v>162745</v>
      </c>
      <c r="R2886" s="4">
        <v>488235</v>
      </c>
      <c r="S2886" t="s">
        <v>19199</v>
      </c>
      <c r="T2886" s="6">
        <v>45873</v>
      </c>
      <c r="U2886" s="4">
        <v>519900</v>
      </c>
      <c r="V2886" t="s">
        <v>23739</v>
      </c>
      <c r="W2886" t="s">
        <v>25142</v>
      </c>
      <c r="X2886" t="s">
        <v>3</v>
      </c>
      <c r="AA2886" s="5" t="str">
        <f>HYPERLINK("https://www.zillow.com/homes/1008-LAKEWOOD-CIR-NAPERVILLE-IL-60540_rb/","check listing")</f>
        <v>check listing</v>
      </c>
      <c r="AB2886" s="5" t="str">
        <f>HYPERLINK("https://propertylookup.dupagecounty.gov/Datalets/Datalet.aspx?UseSearch=no&amp;mode=sales&amp;pin=0727206001","sales record")</f>
        <v>sales record</v>
      </c>
      <c r="AC2886" t="s">
        <v>3</v>
      </c>
      <c r="AD2886">
        <v>41.749073</v>
      </c>
      <c r="AE2886">
        <v>-88.19367200000001</v>
      </c>
      <c r="AF2886" s="5" t="str">
        <f>HYPERLINK("https://www.google.com/maps/search/?api=1&amp;query=41.749073,-88.193672","map")</f>
        <v>map</v>
      </c>
    </row>
    <row r="2887" spans="1:32">
      <c r="A2887" t="s">
        <v>2937</v>
      </c>
      <c r="B2887" t="s">
        <v>10470</v>
      </c>
      <c r="C2887" t="s">
        <v>15496</v>
      </c>
      <c r="D2887" t="s">
        <v>16206</v>
      </c>
      <c r="E2887" t="s">
        <v>16218</v>
      </c>
      <c r="F2887" t="s">
        <v>16220</v>
      </c>
      <c r="G2887" t="s">
        <v>16275</v>
      </c>
      <c r="H2887" t="s">
        <v>16276</v>
      </c>
      <c r="I2887" t="s">
        <v>16352</v>
      </c>
      <c r="J2887" t="s">
        <v>16386</v>
      </c>
      <c r="K2887">
        <v>0.245</v>
      </c>
      <c r="L2887">
        <v>10673</v>
      </c>
      <c r="M2887">
        <v>1930</v>
      </c>
      <c r="N2887" t="s">
        <v>16393</v>
      </c>
      <c r="O2887" s="4">
        <v>58706</v>
      </c>
      <c r="P2887" s="4">
        <v>120758</v>
      </c>
      <c r="Q2887" s="4">
        <v>179464</v>
      </c>
      <c r="R2887" s="4">
        <v>538392</v>
      </c>
      <c r="S2887" t="s">
        <v>19200</v>
      </c>
      <c r="T2887" s="6">
        <v>44531</v>
      </c>
      <c r="U2887" s="4">
        <v>415000</v>
      </c>
      <c r="V2887" t="s">
        <v>23739</v>
      </c>
      <c r="W2887" t="s">
        <v>19200</v>
      </c>
      <c r="X2887" t="s">
        <v>3</v>
      </c>
      <c r="AA2887" s="5" t="str">
        <f>HYPERLINK("https://www.zillow.com/homes/1108-MALLORY-CT-NAPERVILLE-IL-605401908_rb/","check listing")</f>
        <v>check listing</v>
      </c>
      <c r="AB2887" s="5" t="str">
        <f>HYPERLINK("https://propertylookup.dupagecounty.gov/Datalets/Datalet.aspx?UseSearch=no&amp;mode=sales&amp;pin=0727206029","sales record")</f>
        <v>sales record</v>
      </c>
      <c r="AC2887" t="s">
        <v>3</v>
      </c>
      <c r="AD2887">
        <v>41.750081</v>
      </c>
      <c r="AE2887">
        <v>-88.191264</v>
      </c>
      <c r="AF2887" s="5" t="str">
        <f>HYPERLINK("https://www.google.com/maps/search/?api=1&amp;query=41.750081,-88.191264","map")</f>
        <v>map</v>
      </c>
    </row>
    <row r="2888" spans="1:32">
      <c r="A2888" t="s">
        <v>2938</v>
      </c>
      <c r="B2888" t="s">
        <v>10471</v>
      </c>
      <c r="C2888" t="s">
        <v>15475</v>
      </c>
      <c r="D2888" t="s">
        <v>16206</v>
      </c>
      <c r="E2888" t="s">
        <v>16218</v>
      </c>
      <c r="F2888" t="s">
        <v>16220</v>
      </c>
      <c r="G2888" t="s">
        <v>16275</v>
      </c>
      <c r="H2888" t="s">
        <v>16276</v>
      </c>
      <c r="I2888" t="s">
        <v>16352</v>
      </c>
      <c r="J2888" t="s">
        <v>16386</v>
      </c>
      <c r="K2888">
        <v>0.245</v>
      </c>
      <c r="L2888">
        <v>10669</v>
      </c>
      <c r="M2888">
        <v>1815</v>
      </c>
      <c r="N2888" t="s">
        <v>16393</v>
      </c>
      <c r="O2888" s="4">
        <v>49444</v>
      </c>
      <c r="P2888" s="4">
        <v>87682</v>
      </c>
      <c r="Q2888" s="4">
        <v>137126</v>
      </c>
      <c r="R2888" s="4">
        <v>411378</v>
      </c>
      <c r="S2888" t="s">
        <v>19201</v>
      </c>
      <c r="T2888" s="6">
        <v>45013</v>
      </c>
      <c r="U2888" s="4">
        <v>335000</v>
      </c>
      <c r="V2888" t="s">
        <v>23739</v>
      </c>
      <c r="W2888" t="s">
        <v>25143</v>
      </c>
      <c r="X2888" t="s">
        <v>3</v>
      </c>
      <c r="AA2888" s="5" t="str">
        <f>HYPERLINK("https://www.zillow.com/homes/2108-JESSICA-CT-NAPERVILLE-IL-60540_rb/","check listing")</f>
        <v>check listing</v>
      </c>
      <c r="AB2888" s="5" t="str">
        <f>HYPERLINK("https://propertylookup.dupagecounty.gov/Datalets/Datalet.aspx?UseSearch=no&amp;mode=sales&amp;pin=0727201040","sales record")</f>
        <v>sales record</v>
      </c>
      <c r="AC2888" t="s">
        <v>3</v>
      </c>
      <c r="AD2888">
        <v>41.747807</v>
      </c>
      <c r="AE2888">
        <v>-88.19011500000001</v>
      </c>
      <c r="AF2888" s="5" t="str">
        <f>HYPERLINK("https://www.google.com/maps/search/?api=1&amp;query=41.747807,-88.190115","map")</f>
        <v>map</v>
      </c>
    </row>
    <row r="2889" spans="1:32">
      <c r="A2889" t="s">
        <v>2939</v>
      </c>
      <c r="B2889" t="s">
        <v>10472</v>
      </c>
      <c r="C2889" t="s">
        <v>15475</v>
      </c>
      <c r="D2889" t="s">
        <v>16206</v>
      </c>
      <c r="E2889" t="s">
        <v>16218</v>
      </c>
      <c r="F2889" t="s">
        <v>16220</v>
      </c>
      <c r="G2889" t="s">
        <v>16274</v>
      </c>
      <c r="H2889" t="s">
        <v>16269</v>
      </c>
      <c r="I2889" t="s">
        <v>16352</v>
      </c>
      <c r="J2889" t="s">
        <v>16386</v>
      </c>
      <c r="K2889">
        <v>0.245</v>
      </c>
      <c r="L2889">
        <v>10665</v>
      </c>
      <c r="M2889">
        <v>3255</v>
      </c>
      <c r="N2889" t="s">
        <v>16393</v>
      </c>
      <c r="O2889" s="4">
        <v>65322</v>
      </c>
      <c r="P2889" s="4">
        <v>168260</v>
      </c>
      <c r="Q2889" s="4">
        <v>233582</v>
      </c>
      <c r="R2889" s="4">
        <v>700746</v>
      </c>
      <c r="S2889" t="s">
        <v>19202</v>
      </c>
      <c r="T2889" s="6">
        <v>36251</v>
      </c>
      <c r="U2889" s="4">
        <v>320000</v>
      </c>
      <c r="X2889" t="s">
        <v>3</v>
      </c>
      <c r="AA2889" s="5" t="str">
        <f>HYPERLINK("https://www.zillow.com/homes/1405-GREENLEE-CT-NAPERVILLE-IL-60540_rb/","check listing")</f>
        <v>check listing</v>
      </c>
      <c r="AB2889" s="5" t="str">
        <f>HYPERLINK("https://propertylookup.dupagecounty.gov/Datalets/Datalet.aspx?UseSearch=no&amp;mode=sales&amp;pin=0723305009","sales record")</f>
        <v>sales record</v>
      </c>
      <c r="AC2889" t="s">
        <v>3</v>
      </c>
      <c r="AD2889">
        <v>41.760465</v>
      </c>
      <c r="AE2889">
        <v>-88.177044</v>
      </c>
      <c r="AF2889" s="5" t="str">
        <f>HYPERLINK("https://www.google.com/maps/search/?api=1&amp;query=41.760465,-88.177044","map")</f>
        <v>map</v>
      </c>
    </row>
    <row r="2890" spans="1:32">
      <c r="A2890" t="s">
        <v>2940</v>
      </c>
      <c r="B2890" t="s">
        <v>10473</v>
      </c>
      <c r="C2890" t="s">
        <v>15517</v>
      </c>
      <c r="D2890" t="s">
        <v>16206</v>
      </c>
      <c r="E2890" t="s">
        <v>16218</v>
      </c>
      <c r="F2890" t="s">
        <v>16220</v>
      </c>
      <c r="G2890" t="s">
        <v>16276</v>
      </c>
      <c r="H2890" t="s">
        <v>16276</v>
      </c>
      <c r="I2890" t="s">
        <v>16352</v>
      </c>
      <c r="J2890" t="s">
        <v>16386</v>
      </c>
      <c r="K2890">
        <v>0.245</v>
      </c>
      <c r="L2890">
        <v>10660</v>
      </c>
      <c r="M2890">
        <v>1978</v>
      </c>
      <c r="N2890" t="s">
        <v>16393</v>
      </c>
      <c r="O2890" s="4">
        <v>47905</v>
      </c>
      <c r="P2890" s="4">
        <v>101865</v>
      </c>
      <c r="Q2890" s="4">
        <v>149770</v>
      </c>
      <c r="R2890" s="4">
        <v>449310</v>
      </c>
      <c r="S2890" t="s">
        <v>19203</v>
      </c>
      <c r="T2890" s="6">
        <v>44722</v>
      </c>
      <c r="U2890" s="4">
        <v>450000</v>
      </c>
      <c r="V2890" t="s">
        <v>23739</v>
      </c>
      <c r="W2890" t="s">
        <v>25144</v>
      </c>
      <c r="X2890" t="s">
        <v>3</v>
      </c>
      <c r="AA2890" s="5" t="str">
        <f>HYPERLINK("https://www.zillow.com/homes/2048-SCHUMACHER-DR-NAPERVILLE-IL-605401929_rb/","check listing")</f>
        <v>check listing</v>
      </c>
      <c r="AB2890" s="5" t="str">
        <f>HYPERLINK("https://propertylookup.dupagecounty.gov/Datalets/Datalet.aspx?UseSearch=no&amp;mode=sales&amp;pin=0727211012","sales record")</f>
        <v>sales record</v>
      </c>
      <c r="AC2890" t="s">
        <v>3</v>
      </c>
      <c r="AD2890">
        <v>41.754535</v>
      </c>
      <c r="AE2890">
        <v>-88.18680999999999</v>
      </c>
      <c r="AF2890" s="5" t="str">
        <f>HYPERLINK("https://www.google.com/maps/search/?api=1&amp;query=41.754535,-88.18681","map")</f>
        <v>map</v>
      </c>
    </row>
    <row r="2891" spans="1:32">
      <c r="A2891" t="s">
        <v>2941</v>
      </c>
      <c r="B2891" t="s">
        <v>10474</v>
      </c>
      <c r="C2891" t="s">
        <v>15475</v>
      </c>
      <c r="D2891" t="s">
        <v>16206</v>
      </c>
      <c r="E2891" t="s">
        <v>16218</v>
      </c>
      <c r="F2891" t="s">
        <v>16220</v>
      </c>
      <c r="G2891" t="s">
        <v>16273</v>
      </c>
      <c r="H2891" t="s">
        <v>16254</v>
      </c>
      <c r="I2891" t="s">
        <v>16351</v>
      </c>
      <c r="J2891" t="s">
        <v>16386</v>
      </c>
      <c r="K2891">
        <v>0.245</v>
      </c>
      <c r="L2891">
        <v>10651</v>
      </c>
      <c r="M2891">
        <v>3166</v>
      </c>
      <c r="N2891" t="s">
        <v>16393</v>
      </c>
      <c r="O2891" s="4">
        <v>47502</v>
      </c>
      <c r="P2891" s="4">
        <v>175865</v>
      </c>
      <c r="Q2891" s="4">
        <v>223367</v>
      </c>
      <c r="R2891" s="4">
        <v>670101</v>
      </c>
      <c r="S2891" t="s">
        <v>19204</v>
      </c>
      <c r="T2891" s="6">
        <v>41760</v>
      </c>
      <c r="U2891" s="4">
        <v>440000</v>
      </c>
      <c r="V2891" t="s">
        <v>23739</v>
      </c>
      <c r="W2891" t="s">
        <v>25145</v>
      </c>
      <c r="X2891" t="s">
        <v>3</v>
      </c>
      <c r="AA2891" s="5" t="str">
        <f>HYPERLINK("https://www.zillow.com/homes/2030-BUNKER-CIR-NAPERVILLE-IL-60540_rb/","check listing")</f>
        <v>check listing</v>
      </c>
      <c r="AB2891" s="5" t="str">
        <f>HYPERLINK("https://propertylookup.dupagecounty.gov/Datalets/Datalet.aspx?UseSearch=no&amp;mode=sales&amp;pin=0709200024","sales record")</f>
        <v>sales record</v>
      </c>
      <c r="AC2891" t="s">
        <v>3</v>
      </c>
      <c r="AD2891">
        <v>41.795693</v>
      </c>
      <c r="AE2891">
        <v>-88.210812</v>
      </c>
      <c r="AF2891" s="5" t="str">
        <f>HYPERLINK("https://www.google.com/maps/search/?api=1&amp;query=41.795693,-88.210812","map")</f>
        <v>map</v>
      </c>
    </row>
    <row r="2892" spans="1:32">
      <c r="A2892" t="s">
        <v>2942</v>
      </c>
      <c r="B2892" t="s">
        <v>10475</v>
      </c>
      <c r="C2892" t="s">
        <v>15518</v>
      </c>
      <c r="D2892" t="s">
        <v>16206</v>
      </c>
      <c r="E2892" t="s">
        <v>16218</v>
      </c>
      <c r="F2892" t="s">
        <v>16220</v>
      </c>
      <c r="G2892" t="s">
        <v>16275</v>
      </c>
      <c r="H2892" t="s">
        <v>16276</v>
      </c>
      <c r="I2892" t="s">
        <v>16352</v>
      </c>
      <c r="J2892" t="s">
        <v>16386</v>
      </c>
      <c r="K2892">
        <v>0.244</v>
      </c>
      <c r="L2892">
        <v>10645</v>
      </c>
      <c r="M2892">
        <v>2484</v>
      </c>
      <c r="N2892" t="s">
        <v>16393</v>
      </c>
      <c r="O2892" s="4">
        <v>54289</v>
      </c>
      <c r="P2892" s="4">
        <v>135917</v>
      </c>
      <c r="Q2892" s="4">
        <v>190206</v>
      </c>
      <c r="R2892" s="4">
        <v>570618</v>
      </c>
      <c r="S2892" t="s">
        <v>19205</v>
      </c>
      <c r="T2892" s="6">
        <v>34639</v>
      </c>
      <c r="U2892" s="4">
        <v>202776</v>
      </c>
      <c r="X2892" t="s">
        <v>3</v>
      </c>
      <c r="AA2892" s="5" t="str">
        <f>HYPERLINK("https://www.zillow.com/homes/715-BONESET-CT-NAPERVILLE-IL-605406286_rb/","check listing")</f>
        <v>check listing</v>
      </c>
      <c r="AB2892" s="5" t="str">
        <f>HYPERLINK("https://propertylookup.dupagecounty.gov/Datalets/Datalet.aspx?UseSearch=no&amp;mode=sales&amp;pin=0722406025","sales record")</f>
        <v>sales record</v>
      </c>
      <c r="AC2892" t="s">
        <v>3</v>
      </c>
      <c r="AD2892">
        <v>41.758291</v>
      </c>
      <c r="AE2892">
        <v>-88.195043</v>
      </c>
      <c r="AF2892" s="5" t="str">
        <f>HYPERLINK("https://www.google.com/maps/search/?api=1&amp;query=41.758291,-88.195043","map")</f>
        <v>map</v>
      </c>
    </row>
    <row r="2893" spans="1:32">
      <c r="A2893" t="s">
        <v>2943</v>
      </c>
      <c r="B2893" t="s">
        <v>10476</v>
      </c>
      <c r="C2893" t="s">
        <v>15475</v>
      </c>
      <c r="D2893" t="s">
        <v>16206</v>
      </c>
      <c r="E2893" t="s">
        <v>16218</v>
      </c>
      <c r="F2893" t="s">
        <v>16220</v>
      </c>
      <c r="G2893" t="s">
        <v>16274</v>
      </c>
      <c r="H2893" t="s">
        <v>16269</v>
      </c>
      <c r="I2893" t="s">
        <v>16352</v>
      </c>
      <c r="J2893" t="s">
        <v>16386</v>
      </c>
      <c r="K2893">
        <v>0.244</v>
      </c>
      <c r="L2893">
        <v>10642</v>
      </c>
      <c r="M2893">
        <v>2771</v>
      </c>
      <c r="N2893" t="s">
        <v>16393</v>
      </c>
      <c r="O2893" s="4">
        <v>58060</v>
      </c>
      <c r="P2893" s="4">
        <v>192854</v>
      </c>
      <c r="Q2893" s="4">
        <v>250914</v>
      </c>
      <c r="R2893" s="4">
        <v>752742</v>
      </c>
      <c r="S2893" t="s">
        <v>19206</v>
      </c>
      <c r="T2893" s="6">
        <v>35309</v>
      </c>
      <c r="U2893" s="4">
        <v>306000</v>
      </c>
      <c r="X2893" t="s">
        <v>3</v>
      </c>
      <c r="AA2893" s="5" t="str">
        <f>HYPERLINK("https://www.zillow.com/homes/712-SANCTUARY-LN-NAPERVILLE-IL-60540_rb/","check listing")</f>
        <v>check listing</v>
      </c>
      <c r="AB2893" s="5" t="str">
        <f>HYPERLINK("https://propertylookup.dupagecounty.gov/Datalets/Datalet.aspx?UseSearch=no&amp;mode=sales&amp;pin=0723306026","sales record")</f>
        <v>sales record</v>
      </c>
      <c r="AC2893" t="s">
        <v>3</v>
      </c>
      <c r="AD2893">
        <v>41.75725</v>
      </c>
      <c r="AE2893">
        <v>-88.18393399999999</v>
      </c>
      <c r="AF2893" s="5" t="str">
        <f>HYPERLINK("https://www.google.com/maps/search/?api=1&amp;query=41.75725,-88.183934","map")</f>
        <v>map</v>
      </c>
    </row>
    <row r="2894" spans="1:32">
      <c r="A2894" t="s">
        <v>2944</v>
      </c>
      <c r="B2894" t="s">
        <v>10477</v>
      </c>
      <c r="C2894" t="s">
        <v>15504</v>
      </c>
      <c r="D2894" t="s">
        <v>16206</v>
      </c>
      <c r="E2894" t="s">
        <v>16218</v>
      </c>
      <c r="F2894" t="s">
        <v>16220</v>
      </c>
      <c r="G2894" t="s">
        <v>16274</v>
      </c>
      <c r="H2894" t="s">
        <v>16269</v>
      </c>
      <c r="I2894" t="s">
        <v>16352</v>
      </c>
      <c r="J2894" t="s">
        <v>16386</v>
      </c>
      <c r="K2894">
        <v>0.244</v>
      </c>
      <c r="L2894">
        <v>10639</v>
      </c>
      <c r="M2894">
        <v>2638</v>
      </c>
      <c r="N2894" t="s">
        <v>16393</v>
      </c>
      <c r="O2894" s="4">
        <v>55106</v>
      </c>
      <c r="P2894" s="4">
        <v>121514</v>
      </c>
      <c r="Q2894" s="4">
        <v>176620</v>
      </c>
      <c r="R2894" s="4">
        <v>529860</v>
      </c>
      <c r="S2894" t="s">
        <v>19207</v>
      </c>
      <c r="T2894" s="6">
        <v>35339</v>
      </c>
      <c r="U2894" s="4">
        <v>213900</v>
      </c>
      <c r="X2894" t="s">
        <v>3</v>
      </c>
      <c r="AA2894" s="5" t="str">
        <f>HYPERLINK("https://www.zillow.com/homes/1246-ARDMORE-DR-NAPERVILLE-IL-605400306_rb/","check listing")</f>
        <v>check listing</v>
      </c>
      <c r="AB2894" s="5" t="str">
        <f>HYPERLINK("https://propertylookup.dupagecounty.gov/Datalets/Datalet.aspx?UseSearch=no&amp;mode=sales&amp;pin=0726205004","sales record")</f>
        <v>sales record</v>
      </c>
      <c r="AC2894" t="s">
        <v>3</v>
      </c>
      <c r="AD2894">
        <v>41.753342</v>
      </c>
      <c r="AE2894">
        <v>-88.171324</v>
      </c>
      <c r="AF2894" s="5" t="str">
        <f>HYPERLINK("https://www.google.com/maps/search/?api=1&amp;query=41.753342,-88.171324","map")</f>
        <v>map</v>
      </c>
    </row>
    <row r="2895" spans="1:32">
      <c r="A2895" t="s">
        <v>2945</v>
      </c>
      <c r="B2895" t="s">
        <v>10478</v>
      </c>
      <c r="C2895" t="s">
        <v>15475</v>
      </c>
      <c r="D2895" t="s">
        <v>16206</v>
      </c>
      <c r="E2895" t="s">
        <v>16218</v>
      </c>
      <c r="F2895" t="s">
        <v>16220</v>
      </c>
      <c r="G2895" t="s">
        <v>16274</v>
      </c>
      <c r="H2895" t="s">
        <v>16269</v>
      </c>
      <c r="I2895" t="s">
        <v>16352</v>
      </c>
      <c r="J2895" t="s">
        <v>16386</v>
      </c>
      <c r="K2895">
        <v>0.244</v>
      </c>
      <c r="L2895">
        <v>10630</v>
      </c>
      <c r="M2895">
        <v>2639</v>
      </c>
      <c r="N2895" t="s">
        <v>16393</v>
      </c>
      <c r="O2895" s="4">
        <v>65322</v>
      </c>
      <c r="P2895" s="4">
        <v>197125</v>
      </c>
      <c r="Q2895" s="4">
        <v>262447</v>
      </c>
      <c r="R2895" s="4">
        <v>787341</v>
      </c>
      <c r="S2895" t="s">
        <v>19208</v>
      </c>
      <c r="T2895" s="6">
        <v>36008</v>
      </c>
      <c r="U2895" s="4">
        <v>305000</v>
      </c>
      <c r="X2895" t="s">
        <v>3</v>
      </c>
      <c r="AA2895" s="5" t="str">
        <f>HYPERLINK("https://www.zillow.com/homes/1409-GREENLEE-CT-NAPERVILLE-IL-60540_rb/","check listing")</f>
        <v>check listing</v>
      </c>
      <c r="AB2895" s="5" t="str">
        <f>HYPERLINK("https://propertylookup.dupagecounty.gov/Datalets/Datalet.aspx?UseSearch=no&amp;mode=sales&amp;pin=0723305010","sales record")</f>
        <v>sales record</v>
      </c>
      <c r="AC2895" t="s">
        <v>3</v>
      </c>
      <c r="AD2895">
        <v>41.760117</v>
      </c>
      <c r="AE2895">
        <v>-88.176968</v>
      </c>
      <c r="AF2895" s="5" t="str">
        <f>HYPERLINK("https://www.google.com/maps/search/?api=1&amp;query=41.760117,-88.176968","map")</f>
        <v>map</v>
      </c>
    </row>
    <row r="2896" spans="1:32">
      <c r="A2896" t="s">
        <v>2946</v>
      </c>
      <c r="B2896" t="s">
        <v>10479</v>
      </c>
      <c r="C2896" t="s">
        <v>15478</v>
      </c>
      <c r="D2896" t="s">
        <v>16206</v>
      </c>
      <c r="E2896" t="s">
        <v>16218</v>
      </c>
      <c r="F2896" t="s">
        <v>16220</v>
      </c>
      <c r="G2896" t="s">
        <v>16273</v>
      </c>
      <c r="H2896" t="s">
        <v>16254</v>
      </c>
      <c r="I2896" t="s">
        <v>16351</v>
      </c>
      <c r="J2896" t="s">
        <v>16386</v>
      </c>
      <c r="K2896">
        <v>0.244</v>
      </c>
      <c r="L2896">
        <v>10616</v>
      </c>
      <c r="M2896">
        <v>2309</v>
      </c>
      <c r="N2896" t="s">
        <v>16393</v>
      </c>
      <c r="O2896" s="4">
        <v>52800</v>
      </c>
      <c r="P2896" s="4">
        <v>104354</v>
      </c>
      <c r="Q2896" s="4">
        <v>157154</v>
      </c>
      <c r="R2896" s="4">
        <v>471462</v>
      </c>
      <c r="S2896" t="s">
        <v>19209</v>
      </c>
      <c r="T2896" s="6">
        <v>32509</v>
      </c>
      <c r="U2896" s="4">
        <v>143400</v>
      </c>
      <c r="X2896" t="s">
        <v>3</v>
      </c>
      <c r="AA2896" s="5" t="str">
        <f>HYPERLINK("https://www.zillow.com/homes/1116-BURKE-CT-NAPERVILLE-IL-60563_rb/","check listing")</f>
        <v>check listing</v>
      </c>
      <c r="AB2896" s="5" t="str">
        <f>HYPERLINK("https://propertylookup.dupagecounty.gov/Datalets/Datalet.aspx?UseSearch=no&amp;mode=sales&amp;pin=0709304016","sales record")</f>
        <v>sales record</v>
      </c>
      <c r="AC2896" t="s">
        <v>3</v>
      </c>
      <c r="AD2896">
        <v>41.78786</v>
      </c>
      <c r="AE2896">
        <v>-88.215726</v>
      </c>
      <c r="AF2896" s="5" t="str">
        <f>HYPERLINK("https://www.google.com/maps/search/?api=1&amp;query=41.78786,-88.215726","map")</f>
        <v>map</v>
      </c>
    </row>
    <row r="2897" spans="1:32">
      <c r="A2897" t="s">
        <v>2947</v>
      </c>
      <c r="B2897" t="s">
        <v>10480</v>
      </c>
      <c r="C2897" t="s">
        <v>15475</v>
      </c>
      <c r="D2897" t="s">
        <v>16206</v>
      </c>
      <c r="E2897" t="s">
        <v>16218</v>
      </c>
      <c r="F2897" t="s">
        <v>16220</v>
      </c>
      <c r="G2897" t="s">
        <v>16274</v>
      </c>
      <c r="H2897" t="s">
        <v>16269</v>
      </c>
      <c r="I2897" t="s">
        <v>16352</v>
      </c>
      <c r="J2897" t="s">
        <v>16386</v>
      </c>
      <c r="K2897">
        <v>0.243</v>
      </c>
      <c r="L2897">
        <v>10575</v>
      </c>
      <c r="M2897">
        <v>2573</v>
      </c>
      <c r="N2897" t="s">
        <v>16393</v>
      </c>
      <c r="O2897" s="4">
        <v>55106</v>
      </c>
      <c r="P2897" s="4">
        <v>139042</v>
      </c>
      <c r="Q2897" s="4">
        <v>194148</v>
      </c>
      <c r="R2897" s="4">
        <v>582444</v>
      </c>
      <c r="S2897" t="s">
        <v>19210</v>
      </c>
      <c r="T2897" s="6">
        <v>34912</v>
      </c>
      <c r="U2897" s="4">
        <v>213000</v>
      </c>
      <c r="X2897" t="s">
        <v>3</v>
      </c>
      <c r="AA2897" s="5" t="str">
        <f>HYPERLINK("https://www.zillow.com/homes/1245-ARDMORE-DR-NAPERVILLE-IL-60540_rb/","check listing")</f>
        <v>check listing</v>
      </c>
      <c r="AB2897" s="5" t="str">
        <f>HYPERLINK("https://propertylookup.dupagecounty.gov/Datalets/Datalet.aspx?UseSearch=no&amp;mode=sales&amp;pin=0726204023","sales record")</f>
        <v>sales record</v>
      </c>
      <c r="AC2897" t="s">
        <v>3</v>
      </c>
      <c r="AD2897">
        <v>41.753883</v>
      </c>
      <c r="AE2897">
        <v>-88.1713</v>
      </c>
      <c r="AF2897" s="5" t="str">
        <f>HYPERLINK("https://www.google.com/maps/search/?api=1&amp;query=41.753883,-88.1713","map")</f>
        <v>map</v>
      </c>
    </row>
    <row r="2898" spans="1:32">
      <c r="A2898" t="s">
        <v>2948</v>
      </c>
      <c r="B2898" t="s">
        <v>10481</v>
      </c>
      <c r="C2898" t="s">
        <v>15478</v>
      </c>
      <c r="D2898" t="s">
        <v>16206</v>
      </c>
      <c r="E2898" t="s">
        <v>16218</v>
      </c>
      <c r="F2898" t="s">
        <v>16220</v>
      </c>
      <c r="G2898" t="s">
        <v>16274</v>
      </c>
      <c r="H2898" t="s">
        <v>16269</v>
      </c>
      <c r="I2898" t="s">
        <v>16352</v>
      </c>
      <c r="J2898" t="s">
        <v>16386</v>
      </c>
      <c r="K2898">
        <v>0.243</v>
      </c>
      <c r="L2898">
        <v>10568</v>
      </c>
      <c r="M2898">
        <v>1932</v>
      </c>
      <c r="N2898" t="s">
        <v>16393</v>
      </c>
      <c r="O2898" s="4">
        <v>48576</v>
      </c>
      <c r="P2898" s="4">
        <v>83361</v>
      </c>
      <c r="Q2898" s="4">
        <v>131937</v>
      </c>
      <c r="R2898" s="4">
        <v>395811</v>
      </c>
      <c r="S2898" t="s">
        <v>19211</v>
      </c>
      <c r="T2898" s="6">
        <v>33451</v>
      </c>
      <c r="U2898" s="4">
        <v>135065</v>
      </c>
      <c r="X2898" t="s">
        <v>3</v>
      </c>
      <c r="AA2898" s="5" t="str">
        <f>HYPERLINK("https://www.zillow.com/homes/712-SMALL-CT-NAPERVILLE-IL-60563_rb/","check listing")</f>
        <v>check listing</v>
      </c>
      <c r="AB2898" s="5" t="str">
        <f>HYPERLINK("https://propertylookup.dupagecounty.gov/Datalets/Datalet.aspx?UseSearch=no&amp;mode=sales&amp;pin=0715206012","sales record")</f>
        <v>sales record</v>
      </c>
      <c r="AC2898" t="s">
        <v>3</v>
      </c>
      <c r="AD2898">
        <v>41.781007</v>
      </c>
      <c r="AE2898">
        <v>-88.189032</v>
      </c>
      <c r="AF2898" s="5" t="str">
        <f>HYPERLINK("https://www.google.com/maps/search/?api=1&amp;query=41.781007,-88.189032","map")</f>
        <v>map</v>
      </c>
    </row>
    <row r="2899" spans="1:32">
      <c r="A2899" t="s">
        <v>2949</v>
      </c>
      <c r="B2899" t="s">
        <v>10482</v>
      </c>
      <c r="C2899" t="s">
        <v>15475</v>
      </c>
      <c r="D2899" t="s">
        <v>16206</v>
      </c>
      <c r="E2899" t="s">
        <v>16218</v>
      </c>
      <c r="F2899" t="s">
        <v>16220</v>
      </c>
      <c r="G2899" t="s">
        <v>16275</v>
      </c>
      <c r="H2899" t="s">
        <v>16276</v>
      </c>
      <c r="I2899" t="s">
        <v>16352</v>
      </c>
      <c r="J2899" t="s">
        <v>16386</v>
      </c>
      <c r="K2899">
        <v>0.243</v>
      </c>
      <c r="L2899">
        <v>10564</v>
      </c>
      <c r="M2899">
        <v>2226</v>
      </c>
      <c r="N2899" t="s">
        <v>16393</v>
      </c>
      <c r="O2899" s="4">
        <v>58706</v>
      </c>
      <c r="P2899" s="4">
        <v>111897</v>
      </c>
      <c r="Q2899" s="4">
        <v>170603</v>
      </c>
      <c r="R2899" s="4">
        <v>511809</v>
      </c>
      <c r="S2899" t="s">
        <v>19212</v>
      </c>
      <c r="T2899" s="6">
        <v>37377</v>
      </c>
      <c r="U2899" s="4">
        <v>260000</v>
      </c>
      <c r="V2899" t="s">
        <v>23739</v>
      </c>
      <c r="W2899" t="s">
        <v>19212</v>
      </c>
      <c r="X2899" t="s">
        <v>3</v>
      </c>
      <c r="AA2899" s="5" t="str">
        <f>HYPERLINK("https://www.zillow.com/homes/1119-HANNAH-CT-NAPERVILLE-IL-60540_rb/","check listing")</f>
        <v>check listing</v>
      </c>
      <c r="AB2899" s="5" t="str">
        <f>HYPERLINK("https://propertylookup.dupagecounty.gov/Datalets/Datalet.aspx?UseSearch=no&amp;mode=sales&amp;pin=0727204019","sales record")</f>
        <v>sales record</v>
      </c>
      <c r="AC2899" t="s">
        <v>3</v>
      </c>
      <c r="AD2899">
        <v>41.749999</v>
      </c>
      <c r="AE2899">
        <v>-88.188715</v>
      </c>
      <c r="AF2899" s="5" t="str">
        <f>HYPERLINK("https://www.google.com/maps/search/?api=1&amp;query=41.749999,-88.188715","map")</f>
        <v>map</v>
      </c>
    </row>
    <row r="2900" spans="1:32">
      <c r="A2900" t="s">
        <v>2950</v>
      </c>
      <c r="B2900" t="s">
        <v>10483</v>
      </c>
      <c r="C2900" t="s">
        <v>15504</v>
      </c>
      <c r="D2900" t="s">
        <v>16206</v>
      </c>
      <c r="E2900" t="s">
        <v>16218</v>
      </c>
      <c r="F2900" t="s">
        <v>16220</v>
      </c>
      <c r="G2900" t="s">
        <v>16274</v>
      </c>
      <c r="H2900" t="s">
        <v>16269</v>
      </c>
      <c r="I2900" t="s">
        <v>16352</v>
      </c>
      <c r="J2900" t="s">
        <v>16386</v>
      </c>
      <c r="K2900">
        <v>0.242</v>
      </c>
      <c r="L2900">
        <v>10563</v>
      </c>
      <c r="M2900">
        <v>1979</v>
      </c>
      <c r="N2900" t="s">
        <v>16393</v>
      </c>
      <c r="O2900" s="4">
        <v>52128</v>
      </c>
      <c r="P2900" s="4">
        <v>149049</v>
      </c>
      <c r="Q2900" s="4">
        <v>201177</v>
      </c>
      <c r="R2900" s="4">
        <v>603531</v>
      </c>
      <c r="S2900" t="s">
        <v>19213</v>
      </c>
      <c r="T2900" s="6">
        <v>44784</v>
      </c>
      <c r="U2900" s="4">
        <v>525000</v>
      </c>
      <c r="V2900" t="s">
        <v>23739</v>
      </c>
      <c r="W2900" t="s">
        <v>25146</v>
      </c>
      <c r="X2900" t="s">
        <v>3</v>
      </c>
      <c r="AA2900" s="5" t="str">
        <f>HYPERLINK("https://www.zillow.com/homes/1222-ARDMORE-DR-NAPERVILLE-IL-605400306_rb/","check listing")</f>
        <v>check listing</v>
      </c>
      <c r="AB2900" s="5" t="str">
        <f>HYPERLINK("https://propertylookup.dupagecounty.gov/Datalets/Datalet.aspx?UseSearch=no&amp;mode=sales&amp;pin=0726205010","sales record")</f>
        <v>sales record</v>
      </c>
      <c r="AC2900" t="s">
        <v>3</v>
      </c>
      <c r="AD2900">
        <v>41.753833</v>
      </c>
      <c r="AE2900">
        <v>-88.16974399999999</v>
      </c>
      <c r="AF2900" s="5" t="str">
        <f>HYPERLINK("https://www.google.com/maps/search/?api=1&amp;query=41.753833,-88.169744","map")</f>
        <v>map</v>
      </c>
    </row>
    <row r="2901" spans="1:32">
      <c r="A2901" t="s">
        <v>2951</v>
      </c>
      <c r="B2901" t="s">
        <v>10484</v>
      </c>
      <c r="C2901" t="s">
        <v>15503</v>
      </c>
      <c r="D2901" t="s">
        <v>16206</v>
      </c>
      <c r="E2901" t="s">
        <v>16218</v>
      </c>
      <c r="F2901" t="s">
        <v>16220</v>
      </c>
      <c r="G2901" t="s">
        <v>16274</v>
      </c>
      <c r="H2901" t="s">
        <v>16269</v>
      </c>
      <c r="I2901" t="s">
        <v>16352</v>
      </c>
      <c r="J2901" t="s">
        <v>16386</v>
      </c>
      <c r="K2901">
        <v>0.242</v>
      </c>
      <c r="L2901">
        <v>10558</v>
      </c>
      <c r="M2901">
        <v>2721</v>
      </c>
      <c r="N2901" t="s">
        <v>16393</v>
      </c>
      <c r="O2901" s="4">
        <v>58060</v>
      </c>
      <c r="P2901" s="4">
        <v>161584</v>
      </c>
      <c r="Q2901" s="4">
        <v>219644</v>
      </c>
      <c r="R2901" s="4">
        <v>658932</v>
      </c>
      <c r="S2901" t="s">
        <v>19214</v>
      </c>
      <c r="T2901" s="6">
        <v>44348</v>
      </c>
      <c r="U2901" s="4">
        <v>565000</v>
      </c>
      <c r="V2901" t="s">
        <v>23739</v>
      </c>
      <c r="W2901" t="s">
        <v>25147</v>
      </c>
      <c r="X2901" t="s">
        <v>3</v>
      </c>
      <c r="AA2901" s="5" t="str">
        <f>HYPERLINK("https://www.zillow.com/homes/1739-CHADWICKE-CIR-NAPERVILLE-IL-605400398_rb/","check listing")</f>
        <v>check listing</v>
      </c>
      <c r="AB2901" s="5" t="str">
        <f>HYPERLINK("https://propertylookup.dupagecounty.gov/Datalets/Datalet.aspx?UseSearch=no&amp;mode=sales&amp;pin=0723311015","sales record")</f>
        <v>sales record</v>
      </c>
      <c r="AC2901" t="s">
        <v>3</v>
      </c>
      <c r="AD2901">
        <v>41.755768</v>
      </c>
      <c r="AE2901">
        <v>-88.186052</v>
      </c>
      <c r="AF2901" s="5" t="str">
        <f>HYPERLINK("https://www.google.com/maps/search/?api=1&amp;query=41.755768,-88.186052","map")</f>
        <v>map</v>
      </c>
    </row>
    <row r="2902" spans="1:32">
      <c r="A2902" t="s">
        <v>2952</v>
      </c>
      <c r="B2902" t="s">
        <v>10485</v>
      </c>
      <c r="C2902" t="s">
        <v>15475</v>
      </c>
      <c r="D2902" t="s">
        <v>16206</v>
      </c>
      <c r="E2902" t="s">
        <v>16218</v>
      </c>
      <c r="F2902" t="s">
        <v>16220</v>
      </c>
      <c r="G2902" t="s">
        <v>16274</v>
      </c>
      <c r="H2902" t="s">
        <v>16269</v>
      </c>
      <c r="I2902" t="s">
        <v>16352</v>
      </c>
      <c r="J2902" t="s">
        <v>16386</v>
      </c>
      <c r="K2902">
        <v>0.242</v>
      </c>
      <c r="L2902">
        <v>10551</v>
      </c>
      <c r="M2902">
        <v>3625</v>
      </c>
      <c r="N2902" t="s">
        <v>16393</v>
      </c>
      <c r="O2902" s="4">
        <v>58060</v>
      </c>
      <c r="P2902" s="4">
        <v>178110</v>
      </c>
      <c r="Q2902" s="4">
        <v>236170</v>
      </c>
      <c r="R2902" s="4">
        <v>708510</v>
      </c>
      <c r="S2902" t="s">
        <v>19215</v>
      </c>
      <c r="T2902" s="6">
        <v>41456</v>
      </c>
      <c r="U2902" s="4">
        <v>488000</v>
      </c>
      <c r="V2902" t="s">
        <v>23739</v>
      </c>
      <c r="W2902" t="s">
        <v>19215</v>
      </c>
      <c r="X2902" t="s">
        <v>3</v>
      </c>
      <c r="AA2902" s="5" t="str">
        <f>HYPERLINK("https://www.zillow.com/homes/1768-CHADWICKE-CIR-NAPERVILLE-IL-60540_rb/","check listing")</f>
        <v>check listing</v>
      </c>
      <c r="AB2902" s="5" t="str">
        <f>HYPERLINK("https://propertylookup.dupagecounty.gov/Datalets/Datalet.aspx?UseSearch=no&amp;mode=sales&amp;pin=0723310014","sales record")</f>
        <v>sales record</v>
      </c>
      <c r="AC2902" t="s">
        <v>3</v>
      </c>
      <c r="AD2902">
        <v>41.755459</v>
      </c>
      <c r="AE2902">
        <v>-88.18463300000001</v>
      </c>
      <c r="AF2902" s="5" t="str">
        <f>HYPERLINK("https://www.google.com/maps/search/?api=1&amp;query=41.755459,-88.184633","map")</f>
        <v>map</v>
      </c>
    </row>
    <row r="2903" spans="1:32">
      <c r="A2903" t="s">
        <v>2953</v>
      </c>
      <c r="B2903" t="s">
        <v>10486</v>
      </c>
      <c r="C2903" t="s">
        <v>15475</v>
      </c>
      <c r="D2903" t="s">
        <v>16206</v>
      </c>
      <c r="E2903" t="s">
        <v>16218</v>
      </c>
      <c r="F2903" t="s">
        <v>16220</v>
      </c>
      <c r="G2903" t="s">
        <v>16274</v>
      </c>
      <c r="H2903" t="s">
        <v>16269</v>
      </c>
      <c r="I2903" t="s">
        <v>16352</v>
      </c>
      <c r="J2903" t="s">
        <v>16386</v>
      </c>
      <c r="K2903">
        <v>0.242</v>
      </c>
      <c r="L2903">
        <v>10544</v>
      </c>
      <c r="M2903">
        <v>2359</v>
      </c>
      <c r="N2903" t="s">
        <v>16393</v>
      </c>
      <c r="O2903" s="4">
        <v>55106</v>
      </c>
      <c r="P2903" s="4">
        <v>138370</v>
      </c>
      <c r="Q2903" s="4">
        <v>193476</v>
      </c>
      <c r="R2903" s="4">
        <v>580428</v>
      </c>
      <c r="S2903" t="s">
        <v>19216</v>
      </c>
      <c r="T2903" s="6">
        <v>35096</v>
      </c>
      <c r="U2903" s="4">
        <v>212500</v>
      </c>
      <c r="X2903" t="s">
        <v>3</v>
      </c>
      <c r="AA2903" s="5" t="str">
        <f>HYPERLINK("https://www.zillow.com/homes/1175-OAKTON-LN-NAPERVILLE-IL-60540_rb/","check listing")</f>
        <v>check listing</v>
      </c>
      <c r="AB2903" s="5" t="str">
        <f>HYPERLINK("https://propertylookup.dupagecounty.gov/Datalets/Datalet.aspx?UseSearch=no&amp;mode=sales&amp;pin=0723410087","sales record")</f>
        <v>sales record</v>
      </c>
      <c r="AC2903" t="s">
        <v>3</v>
      </c>
      <c r="AD2903">
        <v>41.756021</v>
      </c>
      <c r="AE2903">
        <v>-88.167962</v>
      </c>
      <c r="AF2903" s="5" t="str">
        <f>HYPERLINK("https://www.google.com/maps/search/?api=1&amp;query=41.756021,-88.167962","map")</f>
        <v>map</v>
      </c>
    </row>
    <row r="2904" spans="1:32">
      <c r="A2904" t="s">
        <v>2954</v>
      </c>
      <c r="B2904" t="s">
        <v>10487</v>
      </c>
      <c r="C2904" t="s">
        <v>15519</v>
      </c>
      <c r="D2904" t="s">
        <v>16206</v>
      </c>
      <c r="E2904" t="s">
        <v>16218</v>
      </c>
      <c r="F2904" t="s">
        <v>16220</v>
      </c>
      <c r="G2904" t="s">
        <v>16274</v>
      </c>
      <c r="H2904" t="s">
        <v>16269</v>
      </c>
      <c r="I2904" t="s">
        <v>16352</v>
      </c>
      <c r="J2904" t="s">
        <v>16386</v>
      </c>
      <c r="K2904">
        <v>0.242</v>
      </c>
      <c r="L2904">
        <v>10539</v>
      </c>
      <c r="M2904">
        <v>2612</v>
      </c>
      <c r="N2904" t="s">
        <v>16393</v>
      </c>
      <c r="O2904" s="4">
        <v>60269</v>
      </c>
      <c r="P2904" s="4">
        <v>131937</v>
      </c>
      <c r="Q2904" s="4">
        <v>192206</v>
      </c>
      <c r="R2904" s="4">
        <v>576618</v>
      </c>
      <c r="S2904" t="s">
        <v>19217</v>
      </c>
      <c r="T2904" s="6">
        <v>43647</v>
      </c>
      <c r="U2904" s="4">
        <v>415000</v>
      </c>
      <c r="V2904" t="s">
        <v>23739</v>
      </c>
      <c r="W2904" t="s">
        <v>25148</v>
      </c>
      <c r="X2904" t="s">
        <v>3</v>
      </c>
      <c r="AA2904" s="5" t="str">
        <f>HYPERLINK("https://www.zillow.com/homes/809-BRUNO-CT-NAPERVILLE-IL-605630447_rb/","check listing")</f>
        <v>check listing</v>
      </c>
      <c r="AB2904" s="5" t="str">
        <f>HYPERLINK("https://propertylookup.dupagecounty.gov/Datalets/Datalet.aspx?UseSearch=no&amp;mode=sales&amp;pin=0715203005","sales record")</f>
        <v>sales record</v>
      </c>
      <c r="AC2904" t="s">
        <v>3</v>
      </c>
      <c r="AD2904">
        <v>41.782427</v>
      </c>
      <c r="AE2904">
        <v>-88.193681</v>
      </c>
      <c r="AF2904" s="5" t="str">
        <f>HYPERLINK("https://www.google.com/maps/search/?api=1&amp;query=41.782427,-88.193681","map")</f>
        <v>map</v>
      </c>
    </row>
    <row r="2905" spans="1:32">
      <c r="A2905" t="s">
        <v>2955</v>
      </c>
      <c r="B2905" t="s">
        <v>10488</v>
      </c>
      <c r="C2905" t="s">
        <v>15478</v>
      </c>
      <c r="D2905" t="s">
        <v>16206</v>
      </c>
      <c r="E2905" t="s">
        <v>16218</v>
      </c>
      <c r="F2905" t="s">
        <v>16220</v>
      </c>
      <c r="G2905" t="s">
        <v>16274</v>
      </c>
      <c r="H2905" t="s">
        <v>16269</v>
      </c>
      <c r="I2905" t="s">
        <v>16352</v>
      </c>
      <c r="J2905" t="s">
        <v>16386</v>
      </c>
      <c r="K2905">
        <v>0.242</v>
      </c>
      <c r="L2905">
        <v>10530</v>
      </c>
      <c r="M2905">
        <v>1979</v>
      </c>
      <c r="N2905" t="s">
        <v>16393</v>
      </c>
      <c r="O2905" s="4">
        <v>60269</v>
      </c>
      <c r="P2905" s="4">
        <v>138883</v>
      </c>
      <c r="Q2905" s="4">
        <v>199152</v>
      </c>
      <c r="R2905" s="4">
        <v>597456</v>
      </c>
      <c r="S2905" t="s">
        <v>19218</v>
      </c>
      <c r="T2905" s="6">
        <v>43344</v>
      </c>
      <c r="U2905" s="4">
        <v>399900</v>
      </c>
      <c r="V2905" t="s">
        <v>23739</v>
      </c>
      <c r="W2905" t="s">
        <v>25149</v>
      </c>
      <c r="X2905" t="s">
        <v>3</v>
      </c>
      <c r="AA2905" s="5" t="str">
        <f>HYPERLINK("https://www.zillow.com/homes/701-MIKE-CT-NAPERVILLE-IL-60563_rb/","check listing")</f>
        <v>check listing</v>
      </c>
      <c r="AB2905" s="5" t="str">
        <f>HYPERLINK("https://propertylookup.dupagecounty.gov/Datalets/Datalet.aspx?UseSearch=no&amp;mode=sales&amp;pin=0715206031","sales record")</f>
        <v>sales record</v>
      </c>
      <c r="AC2905" t="s">
        <v>3</v>
      </c>
      <c r="AD2905">
        <v>41.780748</v>
      </c>
      <c r="AE2905">
        <v>-88.193465</v>
      </c>
      <c r="AF2905" s="5" t="str">
        <f>HYPERLINK("https://www.google.com/maps/search/?api=1&amp;query=41.780748,-88.193465","map")</f>
        <v>map</v>
      </c>
    </row>
    <row r="2906" spans="1:32">
      <c r="A2906" t="s">
        <v>2956</v>
      </c>
      <c r="B2906" t="s">
        <v>10489</v>
      </c>
      <c r="C2906" t="s">
        <v>15478</v>
      </c>
      <c r="D2906" t="s">
        <v>16206</v>
      </c>
      <c r="E2906" t="s">
        <v>16218</v>
      </c>
      <c r="F2906" t="s">
        <v>16220</v>
      </c>
      <c r="G2906" t="s">
        <v>16273</v>
      </c>
      <c r="H2906" t="s">
        <v>16254</v>
      </c>
      <c r="I2906" t="s">
        <v>16351</v>
      </c>
      <c r="J2906" t="s">
        <v>16386</v>
      </c>
      <c r="K2906">
        <v>0.241</v>
      </c>
      <c r="L2906">
        <v>10516</v>
      </c>
      <c r="M2906">
        <v>2308</v>
      </c>
      <c r="N2906" t="s">
        <v>16393</v>
      </c>
      <c r="O2906" s="4">
        <v>50396</v>
      </c>
      <c r="P2906" s="4">
        <v>111970</v>
      </c>
      <c r="Q2906" s="4">
        <v>162366</v>
      </c>
      <c r="R2906" s="4">
        <v>487098</v>
      </c>
      <c r="S2906" t="s">
        <v>19219</v>
      </c>
      <c r="T2906" s="6">
        <v>34029</v>
      </c>
      <c r="U2906" s="4">
        <v>189000</v>
      </c>
      <c r="X2906" t="s">
        <v>3</v>
      </c>
      <c r="AA2906" s="5" t="str">
        <f>HYPERLINK("https://www.zillow.com/homes/2028-MAPLEWOOD-CIR-NAPERVILLE-IL-60563_rb/","check listing")</f>
        <v>check listing</v>
      </c>
      <c r="AB2906" s="5" t="str">
        <f>HYPERLINK("https://propertylookup.dupagecounty.gov/Datalets/Datalet.aspx?UseSearch=no&amp;mode=sales&amp;pin=0709411036","sales record")</f>
        <v>sales record</v>
      </c>
      <c r="AC2906" t="s">
        <v>3</v>
      </c>
      <c r="AD2906">
        <v>41.785734</v>
      </c>
      <c r="AE2906">
        <v>-88.209508</v>
      </c>
      <c r="AF2906" s="5" t="str">
        <f>HYPERLINK("https://www.google.com/maps/search/?api=1&amp;query=41.785734,-88.209508","map")</f>
        <v>map</v>
      </c>
    </row>
    <row r="2907" spans="1:32">
      <c r="A2907" t="s">
        <v>2957</v>
      </c>
      <c r="B2907" t="s">
        <v>10490</v>
      </c>
      <c r="C2907" t="s">
        <v>15475</v>
      </c>
      <c r="D2907" t="s">
        <v>16206</v>
      </c>
      <c r="E2907" t="s">
        <v>16218</v>
      </c>
      <c r="F2907" t="s">
        <v>16220</v>
      </c>
      <c r="G2907" t="s">
        <v>16275</v>
      </c>
      <c r="H2907" t="s">
        <v>16276</v>
      </c>
      <c r="I2907" t="s">
        <v>16352</v>
      </c>
      <c r="J2907" t="s">
        <v>16386</v>
      </c>
      <c r="K2907">
        <v>0.241</v>
      </c>
      <c r="L2907">
        <v>10510</v>
      </c>
      <c r="M2907">
        <v>1929</v>
      </c>
      <c r="N2907" t="s">
        <v>16393</v>
      </c>
      <c r="O2907" s="4">
        <v>49444</v>
      </c>
      <c r="P2907" s="4">
        <v>127178</v>
      </c>
      <c r="Q2907" s="4">
        <v>176622</v>
      </c>
      <c r="R2907" s="4">
        <v>529866</v>
      </c>
      <c r="S2907" t="s">
        <v>19220</v>
      </c>
      <c r="T2907" s="6">
        <v>43617</v>
      </c>
      <c r="U2907" s="4">
        <v>315000</v>
      </c>
      <c r="V2907" t="s">
        <v>23739</v>
      </c>
      <c r="W2907" t="s">
        <v>25150</v>
      </c>
      <c r="X2907" t="s">
        <v>3</v>
      </c>
      <c r="AA2907" s="5" t="str">
        <f>HYPERLINK("https://www.zillow.com/homes/1224-SAMUEL-CT-NAPERVILLE-IL-60540_rb/","check listing")</f>
        <v>check listing</v>
      </c>
      <c r="AB2907" s="5" t="str">
        <f>HYPERLINK("https://propertylookup.dupagecounty.gov/Datalets/Datalet.aspx?UseSearch=no&amp;mode=sales&amp;pin=0727201065","sales record")</f>
        <v>sales record</v>
      </c>
      <c r="AC2907" t="s">
        <v>3</v>
      </c>
      <c r="AD2907">
        <v>41.747767</v>
      </c>
      <c r="AE2907">
        <v>-88.194087</v>
      </c>
      <c r="AF2907" s="5" t="str">
        <f>HYPERLINK("https://www.google.com/maps/search/?api=1&amp;query=41.747767,-88.194087","map")</f>
        <v>map</v>
      </c>
    </row>
    <row r="2908" spans="1:32">
      <c r="A2908" t="s">
        <v>2958</v>
      </c>
      <c r="B2908" t="s">
        <v>10491</v>
      </c>
      <c r="C2908" t="s">
        <v>15478</v>
      </c>
      <c r="D2908" t="s">
        <v>16206</v>
      </c>
      <c r="E2908" t="s">
        <v>16218</v>
      </c>
      <c r="F2908" t="s">
        <v>16220</v>
      </c>
      <c r="G2908" t="s">
        <v>16274</v>
      </c>
      <c r="H2908" t="s">
        <v>16269</v>
      </c>
      <c r="I2908" t="s">
        <v>16352</v>
      </c>
      <c r="J2908" t="s">
        <v>16386</v>
      </c>
      <c r="K2908">
        <v>0.241</v>
      </c>
      <c r="L2908">
        <v>10509</v>
      </c>
      <c r="M2908">
        <v>2771</v>
      </c>
      <c r="N2908" t="s">
        <v>16393</v>
      </c>
      <c r="O2908" s="4">
        <v>60269</v>
      </c>
      <c r="P2908" s="4">
        <v>137260</v>
      </c>
      <c r="Q2908" s="4">
        <v>197529</v>
      </c>
      <c r="R2908" s="4">
        <v>592587</v>
      </c>
      <c r="S2908" t="s">
        <v>19221</v>
      </c>
      <c r="T2908" s="6">
        <v>37043</v>
      </c>
      <c r="U2908" s="4">
        <v>289899</v>
      </c>
      <c r="V2908" t="s">
        <v>23739</v>
      </c>
      <c r="W2908" t="s">
        <v>19221</v>
      </c>
      <c r="X2908" t="s">
        <v>3</v>
      </c>
      <c r="AA2908" s="5" t="str">
        <f>HYPERLINK("https://www.zillow.com/homes/808-BRUNO-CT-NAPERVILLE-IL-60563_rb/","check listing")</f>
        <v>check listing</v>
      </c>
      <c r="AB2908" s="5" t="str">
        <f>HYPERLINK("https://propertylookup.dupagecounty.gov/Datalets/Datalet.aspx?UseSearch=no&amp;mode=sales&amp;pin=0715203006","sales record")</f>
        <v>sales record</v>
      </c>
      <c r="AC2908" t="s">
        <v>3</v>
      </c>
      <c r="AD2908">
        <v>41.782402</v>
      </c>
      <c r="AE2908">
        <v>-88.193388</v>
      </c>
      <c r="AF2908" s="5" t="str">
        <f>HYPERLINK("https://www.google.com/maps/search/?api=1&amp;query=41.782402,-88.193388","map")</f>
        <v>map</v>
      </c>
    </row>
    <row r="2909" spans="1:32">
      <c r="A2909" t="s">
        <v>2959</v>
      </c>
      <c r="B2909" t="s">
        <v>10492</v>
      </c>
      <c r="C2909" t="s">
        <v>15475</v>
      </c>
      <c r="D2909" t="s">
        <v>16206</v>
      </c>
      <c r="E2909" t="s">
        <v>16218</v>
      </c>
      <c r="F2909" t="s">
        <v>16220</v>
      </c>
      <c r="G2909" t="s">
        <v>16274</v>
      </c>
      <c r="H2909" t="s">
        <v>16269</v>
      </c>
      <c r="I2909" t="s">
        <v>16352</v>
      </c>
      <c r="J2909" t="s">
        <v>16386</v>
      </c>
      <c r="K2909">
        <v>0.241</v>
      </c>
      <c r="L2909">
        <v>10503</v>
      </c>
      <c r="M2909">
        <v>2308</v>
      </c>
      <c r="N2909" t="s">
        <v>16393</v>
      </c>
      <c r="O2909" s="4">
        <v>48674</v>
      </c>
      <c r="P2909" s="4">
        <v>146877</v>
      </c>
      <c r="Q2909" s="4">
        <v>195551</v>
      </c>
      <c r="R2909" s="4">
        <v>586653</v>
      </c>
      <c r="S2909" t="s">
        <v>19222</v>
      </c>
      <c r="T2909" s="6">
        <v>39479</v>
      </c>
      <c r="U2909" s="4">
        <v>392000</v>
      </c>
      <c r="V2909" t="s">
        <v>23739</v>
      </c>
      <c r="W2909" t="s">
        <v>25151</v>
      </c>
      <c r="X2909" t="s">
        <v>3</v>
      </c>
      <c r="AA2909" s="5" t="str">
        <f>HYPERLINK("https://www.zillow.com/homes/1416-OSWEGO-RD-NAPERVILLE-IL-60540_rb/","check listing")</f>
        <v>check listing</v>
      </c>
      <c r="AB2909" s="5" t="str">
        <f>HYPERLINK("https://propertylookup.dupagecounty.gov/Datalets/Datalet.aspx?UseSearch=no&amp;mode=sales&amp;pin=0723304026","sales record")</f>
        <v>sales record</v>
      </c>
      <c r="AC2909" t="s">
        <v>3</v>
      </c>
      <c r="AD2909">
        <v>41.76134</v>
      </c>
      <c r="AE2909">
        <v>-88.179438</v>
      </c>
      <c r="AF2909" s="5" t="str">
        <f>HYPERLINK("https://www.google.com/maps/search/?api=1&amp;query=41.76134,-88.179438","map")</f>
        <v>map</v>
      </c>
    </row>
    <row r="2910" spans="1:32">
      <c r="A2910" t="s">
        <v>2960</v>
      </c>
      <c r="B2910" t="s">
        <v>10493</v>
      </c>
      <c r="C2910" t="s">
        <v>15475</v>
      </c>
      <c r="D2910" t="s">
        <v>16206</v>
      </c>
      <c r="E2910" t="s">
        <v>16218</v>
      </c>
      <c r="F2910" t="s">
        <v>16220</v>
      </c>
      <c r="G2910" t="s">
        <v>16274</v>
      </c>
      <c r="H2910" t="s">
        <v>16269</v>
      </c>
      <c r="I2910" t="s">
        <v>16352</v>
      </c>
      <c r="J2910" t="s">
        <v>16386</v>
      </c>
      <c r="K2910">
        <v>0.241</v>
      </c>
      <c r="L2910">
        <v>10499</v>
      </c>
      <c r="M2910">
        <v>2638</v>
      </c>
      <c r="N2910" t="s">
        <v>16393</v>
      </c>
      <c r="O2910" s="4">
        <v>48674</v>
      </c>
      <c r="P2910" s="4">
        <v>130961</v>
      </c>
      <c r="Q2910" s="4">
        <v>179635</v>
      </c>
      <c r="R2910" s="4">
        <v>538905</v>
      </c>
      <c r="S2910" t="s">
        <v>19223</v>
      </c>
      <c r="T2910" s="6">
        <v>34304</v>
      </c>
      <c r="U2910" s="4">
        <v>238000</v>
      </c>
      <c r="X2910" t="s">
        <v>3</v>
      </c>
      <c r="AA2910" s="5" t="str">
        <f>HYPERLINK("https://www.zillow.com/homes/1424-OSWEGO-RD-NAPERVILLE-IL-60540_rb/","check listing")</f>
        <v>check listing</v>
      </c>
      <c r="AB2910" s="5" t="str">
        <f>HYPERLINK("https://propertylookup.dupagecounty.gov/Datalets/Datalet.aspx?UseSearch=no&amp;mode=sales&amp;pin=0723304024","sales record")</f>
        <v>sales record</v>
      </c>
      <c r="AC2910" t="s">
        <v>3</v>
      </c>
      <c r="AD2910">
        <v>41.761179</v>
      </c>
      <c r="AE2910">
        <v>-88.179963</v>
      </c>
      <c r="AF2910" s="5" t="str">
        <f>HYPERLINK("https://www.google.com/maps/search/?api=1&amp;query=41.761179,-88.179963","map")</f>
        <v>map</v>
      </c>
    </row>
    <row r="2911" spans="1:32">
      <c r="A2911" t="s">
        <v>2961</v>
      </c>
      <c r="B2911" t="s">
        <v>10494</v>
      </c>
      <c r="C2911" t="s">
        <v>15475</v>
      </c>
      <c r="D2911" t="s">
        <v>16206</v>
      </c>
      <c r="E2911" t="s">
        <v>16218</v>
      </c>
      <c r="F2911" t="s">
        <v>16220</v>
      </c>
      <c r="G2911" t="s">
        <v>16274</v>
      </c>
      <c r="H2911" t="s">
        <v>16269</v>
      </c>
      <c r="I2911" t="s">
        <v>16352</v>
      </c>
      <c r="J2911" t="s">
        <v>16386</v>
      </c>
      <c r="K2911">
        <v>0.241</v>
      </c>
      <c r="L2911">
        <v>10499</v>
      </c>
      <c r="M2911">
        <v>4206</v>
      </c>
      <c r="N2911" t="s">
        <v>16393</v>
      </c>
      <c r="O2911" s="4">
        <v>48674</v>
      </c>
      <c r="P2911" s="4">
        <v>150490</v>
      </c>
      <c r="Q2911" s="4">
        <v>199164</v>
      </c>
      <c r="R2911" s="4">
        <v>597492</v>
      </c>
      <c r="S2911" t="s">
        <v>19224</v>
      </c>
      <c r="T2911" s="6">
        <v>35490</v>
      </c>
      <c r="U2911" s="4">
        <v>221000</v>
      </c>
      <c r="X2911" t="s">
        <v>3</v>
      </c>
      <c r="AA2911" s="5" t="str">
        <f>HYPERLINK("https://www.zillow.com/homes/1408-OSWEGO-RD-NAPERVILLE-IL-60540_rb/","check listing")</f>
        <v>check listing</v>
      </c>
      <c r="AB2911" s="5" t="str">
        <f>HYPERLINK("https://propertylookup.dupagecounty.gov/Datalets/Datalet.aspx?UseSearch=no&amp;mode=sales&amp;pin=0723304028","sales record")</f>
        <v>sales record</v>
      </c>
      <c r="AC2911" t="s">
        <v>3</v>
      </c>
      <c r="AD2911">
        <v>41.761502</v>
      </c>
      <c r="AE2911">
        <v>-88.178912</v>
      </c>
      <c r="AF2911" s="5" t="str">
        <f>HYPERLINK("https://www.google.com/maps/search/?api=1&amp;query=41.761502,-88.178912","map")</f>
        <v>map</v>
      </c>
    </row>
    <row r="2912" spans="1:32">
      <c r="A2912" t="s">
        <v>2962</v>
      </c>
      <c r="B2912" t="s">
        <v>10495</v>
      </c>
      <c r="C2912" t="s">
        <v>15511</v>
      </c>
      <c r="D2912" t="s">
        <v>16206</v>
      </c>
      <c r="E2912" t="s">
        <v>16218</v>
      </c>
      <c r="F2912" t="s">
        <v>16220</v>
      </c>
      <c r="G2912" t="s">
        <v>16274</v>
      </c>
      <c r="H2912" t="s">
        <v>16269</v>
      </c>
      <c r="I2912" t="s">
        <v>16352</v>
      </c>
      <c r="J2912" t="s">
        <v>16386</v>
      </c>
      <c r="K2912">
        <v>0.241</v>
      </c>
      <c r="L2912">
        <v>10481</v>
      </c>
      <c r="M2912">
        <v>2968</v>
      </c>
      <c r="N2912" t="s">
        <v>16393</v>
      </c>
      <c r="O2912" s="4">
        <v>52128</v>
      </c>
      <c r="P2912" s="4">
        <v>142959</v>
      </c>
      <c r="Q2912" s="4">
        <v>195087</v>
      </c>
      <c r="R2912" s="4">
        <v>585261</v>
      </c>
      <c r="S2912" t="s">
        <v>19225</v>
      </c>
      <c r="T2912" s="6">
        <v>33298</v>
      </c>
      <c r="U2912" s="4">
        <v>195095</v>
      </c>
      <c r="X2912" t="s">
        <v>3</v>
      </c>
      <c r="AA2912" s="5" t="str">
        <f>HYPERLINK("https://www.zillow.com/homes/952-ELM-ST-NAPERVILLE-IL-605402700_rb/","check listing")</f>
        <v>check listing</v>
      </c>
      <c r="AB2912" s="5" t="str">
        <f>HYPERLINK("https://propertylookup.dupagecounty.gov/Datalets/Datalet.aspx?UseSearch=no&amp;mode=sales&amp;pin=0726208001","sales record")</f>
        <v>sales record</v>
      </c>
      <c r="AC2912" t="s">
        <v>3</v>
      </c>
      <c r="AD2912">
        <v>41.75165</v>
      </c>
      <c r="AE2912">
        <v>-88.17236</v>
      </c>
      <c r="AF2912" s="5" t="str">
        <f>HYPERLINK("https://www.google.com/maps/search/?api=1&amp;query=41.75165,-88.17236","map")</f>
        <v>map</v>
      </c>
    </row>
    <row r="2913" spans="1:32">
      <c r="A2913" t="s">
        <v>2963</v>
      </c>
      <c r="B2913" t="s">
        <v>10496</v>
      </c>
      <c r="C2913" t="s">
        <v>15475</v>
      </c>
      <c r="D2913" t="s">
        <v>16206</v>
      </c>
      <c r="E2913" t="s">
        <v>16218</v>
      </c>
      <c r="F2913" t="s">
        <v>16220</v>
      </c>
      <c r="G2913" t="s">
        <v>16274</v>
      </c>
      <c r="H2913" t="s">
        <v>16269</v>
      </c>
      <c r="I2913" t="s">
        <v>16352</v>
      </c>
      <c r="J2913" t="s">
        <v>16386</v>
      </c>
      <c r="K2913">
        <v>0.24</v>
      </c>
      <c r="L2913">
        <v>10475</v>
      </c>
      <c r="M2913">
        <v>2308</v>
      </c>
      <c r="N2913" t="s">
        <v>16393</v>
      </c>
      <c r="O2913" s="4">
        <v>53007</v>
      </c>
      <c r="P2913" s="4">
        <v>123748</v>
      </c>
      <c r="Q2913" s="4">
        <v>176755</v>
      </c>
      <c r="R2913" s="4">
        <v>530265</v>
      </c>
      <c r="S2913" t="s">
        <v>19226</v>
      </c>
      <c r="T2913" s="6">
        <v>37926</v>
      </c>
      <c r="U2913" s="4">
        <v>288000</v>
      </c>
      <c r="V2913" t="s">
        <v>23739</v>
      </c>
      <c r="W2913" t="s">
        <v>19226</v>
      </c>
      <c r="X2913" t="s">
        <v>3</v>
      </c>
      <c r="AA2913" s="5" t="str">
        <f>HYPERLINK("https://www.zillow.com/homes/1236-ASHTON-LN-NAPERVILLE-IL-60540_rb/","check listing")</f>
        <v>check listing</v>
      </c>
      <c r="AB2913" s="5" t="str">
        <f>HYPERLINK("https://propertylookup.dupagecounty.gov/Datalets/Datalet.aspx?UseSearch=no&amp;mode=sales&amp;pin=0726206010","sales record")</f>
        <v>sales record</v>
      </c>
      <c r="AC2913" t="s">
        <v>3</v>
      </c>
      <c r="AD2913">
        <v>41.753108</v>
      </c>
      <c r="AE2913">
        <v>-88.169282</v>
      </c>
      <c r="AF2913" s="5" t="str">
        <f>HYPERLINK("https://www.google.com/maps/search/?api=1&amp;query=41.753108,-88.169282","map")</f>
        <v>map</v>
      </c>
    </row>
    <row r="2914" spans="1:32">
      <c r="A2914" t="s">
        <v>2964</v>
      </c>
      <c r="B2914" t="s">
        <v>10497</v>
      </c>
      <c r="C2914" t="s">
        <v>15501</v>
      </c>
      <c r="D2914" t="s">
        <v>16206</v>
      </c>
      <c r="E2914" t="s">
        <v>16218</v>
      </c>
      <c r="F2914" t="s">
        <v>16220</v>
      </c>
      <c r="G2914" t="s">
        <v>16274</v>
      </c>
      <c r="H2914" t="s">
        <v>16269</v>
      </c>
      <c r="I2914" t="s">
        <v>16352</v>
      </c>
      <c r="J2914" t="s">
        <v>16386</v>
      </c>
      <c r="K2914">
        <v>0.24</v>
      </c>
      <c r="L2914">
        <v>10467</v>
      </c>
      <c r="M2914">
        <v>3711</v>
      </c>
      <c r="N2914" t="s">
        <v>16393</v>
      </c>
      <c r="O2914" s="4">
        <v>84716</v>
      </c>
      <c r="P2914" s="4">
        <v>143651</v>
      </c>
      <c r="Q2914" s="4">
        <v>228367</v>
      </c>
      <c r="R2914" s="4">
        <v>685101</v>
      </c>
      <c r="S2914" t="s">
        <v>19227</v>
      </c>
      <c r="T2914" s="6">
        <v>43282</v>
      </c>
      <c r="U2914" s="4">
        <v>509000</v>
      </c>
      <c r="V2914" t="s">
        <v>23739</v>
      </c>
      <c r="W2914" t="s">
        <v>19227</v>
      </c>
      <c r="X2914" t="s">
        <v>3</v>
      </c>
      <c r="AA2914" s="5" t="str">
        <f>HYPERLINK("https://www.zillow.com/homes/1160-DICKENS-AVE-NAPERVILLE-IL-605634301_rb/","check listing")</f>
        <v>check listing</v>
      </c>
      <c r="AB2914" s="5" t="str">
        <f>HYPERLINK("https://propertylookup.dupagecounty.gov/Datalets/Datalet.aspx?UseSearch=no&amp;mode=sales&amp;pin=0808314016","sales record")</f>
        <v>sales record</v>
      </c>
      <c r="AC2914" t="s">
        <v>3</v>
      </c>
      <c r="AD2914">
        <v>41.790911</v>
      </c>
      <c r="AE2914">
        <v>-88.125558</v>
      </c>
      <c r="AF2914" s="5" t="str">
        <f>HYPERLINK("https://www.google.com/maps/search/?api=1&amp;query=41.790911,-88.125558","map")</f>
        <v>map</v>
      </c>
    </row>
    <row r="2915" spans="1:32">
      <c r="A2915" t="s">
        <v>2965</v>
      </c>
      <c r="B2915" t="s">
        <v>10498</v>
      </c>
      <c r="C2915" t="s">
        <v>15475</v>
      </c>
      <c r="D2915" t="s">
        <v>16206</v>
      </c>
      <c r="E2915" t="s">
        <v>16218</v>
      </c>
      <c r="F2915" t="s">
        <v>16220</v>
      </c>
      <c r="G2915" t="s">
        <v>16274</v>
      </c>
      <c r="H2915" t="s">
        <v>16269</v>
      </c>
      <c r="I2915" t="s">
        <v>16352</v>
      </c>
      <c r="J2915" t="s">
        <v>16386</v>
      </c>
      <c r="K2915">
        <v>0.24</v>
      </c>
      <c r="L2915">
        <v>10464</v>
      </c>
      <c r="M2915">
        <v>2474</v>
      </c>
      <c r="N2915" t="s">
        <v>16393</v>
      </c>
      <c r="O2915" s="4">
        <v>55106</v>
      </c>
      <c r="P2915" s="4">
        <v>141275</v>
      </c>
      <c r="Q2915" s="4">
        <v>196381</v>
      </c>
      <c r="R2915" s="4">
        <v>589143</v>
      </c>
      <c r="S2915" t="s">
        <v>19228</v>
      </c>
      <c r="T2915" s="6">
        <v>35186</v>
      </c>
      <c r="U2915" s="4">
        <v>228750</v>
      </c>
      <c r="X2915" t="s">
        <v>3</v>
      </c>
      <c r="AA2915" s="5" t="str">
        <f>HYPERLINK("https://www.zillow.com/homes/1250-ARDMORE-DR-NAPERVILLE-IL-60540_rb/","check listing")</f>
        <v>check listing</v>
      </c>
      <c r="AB2915" s="5" t="str">
        <f>HYPERLINK("https://propertylookup.dupagecounty.gov/Datalets/Datalet.aspx?UseSearch=no&amp;mode=sales&amp;pin=0726205003","sales record")</f>
        <v>sales record</v>
      </c>
      <c r="AC2915" t="s">
        <v>3</v>
      </c>
      <c r="AD2915">
        <v>41.753332</v>
      </c>
      <c r="AE2915">
        <v>-88.171605</v>
      </c>
      <c r="AF2915" s="5" t="str">
        <f>HYPERLINK("https://www.google.com/maps/search/?api=1&amp;query=41.753332,-88.171605","map")</f>
        <v>map</v>
      </c>
    </row>
    <row r="2916" spans="1:32">
      <c r="A2916" t="s">
        <v>2966</v>
      </c>
      <c r="B2916" t="s">
        <v>10499</v>
      </c>
      <c r="C2916" t="s">
        <v>15475</v>
      </c>
      <c r="D2916" t="s">
        <v>16206</v>
      </c>
      <c r="E2916" t="s">
        <v>16218</v>
      </c>
      <c r="F2916" t="s">
        <v>16220</v>
      </c>
      <c r="G2916" t="s">
        <v>16274</v>
      </c>
      <c r="H2916" t="s">
        <v>16269</v>
      </c>
      <c r="I2916" t="s">
        <v>16352</v>
      </c>
      <c r="J2916" t="s">
        <v>16386</v>
      </c>
      <c r="K2916">
        <v>0.24</v>
      </c>
      <c r="L2916">
        <v>10463</v>
      </c>
      <c r="M2916">
        <v>2770</v>
      </c>
      <c r="N2916" t="s">
        <v>16393</v>
      </c>
      <c r="O2916" s="4">
        <v>52128</v>
      </c>
      <c r="P2916" s="4">
        <v>143301</v>
      </c>
      <c r="Q2916" s="4">
        <v>195429</v>
      </c>
      <c r="R2916" s="4">
        <v>586287</v>
      </c>
      <c r="S2916" t="s">
        <v>19229</v>
      </c>
      <c r="T2916" s="6">
        <v>40575</v>
      </c>
      <c r="U2916" s="4">
        <v>325000</v>
      </c>
      <c r="V2916" t="s">
        <v>23739</v>
      </c>
      <c r="W2916" t="s">
        <v>25152</v>
      </c>
      <c r="X2916" t="s">
        <v>3</v>
      </c>
      <c r="AA2916" s="5" t="str">
        <f>HYPERLINK("https://www.zillow.com/homes/1301-OAKTON-LN-NAPERVILLE-IL-60540_rb/","check listing")</f>
        <v>check listing</v>
      </c>
      <c r="AB2916" s="5" t="str">
        <f>HYPERLINK("https://propertylookup.dupagecounty.gov/Datalets/Datalet.aspx?UseSearch=no&amp;mode=sales&amp;pin=0726209001","sales record")</f>
        <v>sales record</v>
      </c>
      <c r="AC2916" t="s">
        <v>3</v>
      </c>
      <c r="AD2916">
        <v>41.754691</v>
      </c>
      <c r="AE2916">
        <v>-88.172859</v>
      </c>
      <c r="AF2916" s="5" t="str">
        <f>HYPERLINK("https://www.google.com/maps/search/?api=1&amp;query=41.754691,-88.172859","map")</f>
        <v>map</v>
      </c>
    </row>
    <row r="2917" spans="1:32">
      <c r="A2917" t="s">
        <v>2967</v>
      </c>
      <c r="B2917" t="s">
        <v>10500</v>
      </c>
      <c r="C2917" t="s">
        <v>15499</v>
      </c>
      <c r="D2917" t="s">
        <v>16206</v>
      </c>
      <c r="E2917" t="s">
        <v>16218</v>
      </c>
      <c r="F2917" t="s">
        <v>16220</v>
      </c>
      <c r="G2917" t="s">
        <v>16274</v>
      </c>
      <c r="H2917" t="s">
        <v>16269</v>
      </c>
      <c r="I2917" t="s">
        <v>16352</v>
      </c>
      <c r="J2917" t="s">
        <v>16386</v>
      </c>
      <c r="K2917">
        <v>0.24</v>
      </c>
      <c r="L2917">
        <v>10461</v>
      </c>
      <c r="M2917">
        <v>2358</v>
      </c>
      <c r="N2917" t="s">
        <v>16393</v>
      </c>
      <c r="O2917" s="4">
        <v>62185</v>
      </c>
      <c r="P2917" s="4">
        <v>144704</v>
      </c>
      <c r="Q2917" s="4">
        <v>206889</v>
      </c>
      <c r="R2917" s="4">
        <v>620667</v>
      </c>
      <c r="S2917" t="s">
        <v>19230</v>
      </c>
      <c r="T2917" s="6">
        <v>38169</v>
      </c>
      <c r="U2917" s="4">
        <v>350500</v>
      </c>
      <c r="V2917" t="s">
        <v>23739</v>
      </c>
      <c r="W2917" t="s">
        <v>25153</v>
      </c>
      <c r="X2917" t="s">
        <v>3</v>
      </c>
      <c r="AA2917" s="5" t="str">
        <f>HYPERLINK("https://www.zillow.com/homes/969-ELM-ST-NAPERVILLE-IL-605400345_rb/","check listing")</f>
        <v>check listing</v>
      </c>
      <c r="AB2917" s="5" t="str">
        <f>HYPERLINK("https://propertylookup.dupagecounty.gov/Datalets/Datalet.aspx?UseSearch=no&amp;mode=sales&amp;pin=0726208010","sales record")</f>
        <v>sales record</v>
      </c>
      <c r="AC2917" t="s">
        <v>3</v>
      </c>
      <c r="AD2917">
        <v>41.750834</v>
      </c>
      <c r="AE2917">
        <v>-88.17334700000001</v>
      </c>
      <c r="AF2917" s="5" t="str">
        <f>HYPERLINK("https://www.google.com/maps/search/?api=1&amp;query=41.750834,-88.173347","map")</f>
        <v>map</v>
      </c>
    </row>
    <row r="2918" spans="1:32">
      <c r="A2918" t="s">
        <v>2968</v>
      </c>
      <c r="B2918" t="s">
        <v>10501</v>
      </c>
      <c r="C2918" t="s">
        <v>15475</v>
      </c>
      <c r="D2918" t="s">
        <v>16206</v>
      </c>
      <c r="E2918" t="s">
        <v>16218</v>
      </c>
      <c r="F2918" t="s">
        <v>16220</v>
      </c>
      <c r="G2918" t="s">
        <v>16274</v>
      </c>
      <c r="H2918" t="s">
        <v>16269</v>
      </c>
      <c r="I2918" t="s">
        <v>16352</v>
      </c>
      <c r="J2918" t="s">
        <v>16386</v>
      </c>
      <c r="K2918">
        <v>0.24</v>
      </c>
      <c r="L2918">
        <v>10455</v>
      </c>
      <c r="M2918">
        <v>2078</v>
      </c>
      <c r="N2918" t="s">
        <v>16393</v>
      </c>
      <c r="O2918" s="4">
        <v>53007</v>
      </c>
      <c r="P2918" s="4">
        <v>124053</v>
      </c>
      <c r="Q2918" s="4">
        <v>177060</v>
      </c>
      <c r="R2918" s="4">
        <v>531180</v>
      </c>
      <c r="S2918" t="s">
        <v>19231</v>
      </c>
      <c r="T2918" s="6">
        <v>41791</v>
      </c>
      <c r="U2918" s="4">
        <v>356000</v>
      </c>
      <c r="V2918" t="s">
        <v>23739</v>
      </c>
      <c r="W2918" t="s">
        <v>25154</v>
      </c>
      <c r="X2918" t="s">
        <v>3</v>
      </c>
      <c r="AA2918" s="5" t="str">
        <f>HYPERLINK("https://www.zillow.com/homes/1228-ASHTON-LN-NAPERVILLE-IL-60540_rb/","check listing")</f>
        <v>check listing</v>
      </c>
      <c r="AB2918" s="5" t="str">
        <f>HYPERLINK("https://propertylookup.dupagecounty.gov/Datalets/Datalet.aspx?UseSearch=no&amp;mode=sales&amp;pin=0726206012","sales record")</f>
        <v>sales record</v>
      </c>
      <c r="AC2918" t="s">
        <v>3</v>
      </c>
      <c r="AD2918">
        <v>41.753514</v>
      </c>
      <c r="AE2918">
        <v>-88.16901</v>
      </c>
      <c r="AF2918" s="5" t="str">
        <f>HYPERLINK("https://www.google.com/maps/search/?api=1&amp;query=41.753514,-88.16901","map")</f>
        <v>map</v>
      </c>
    </row>
    <row r="2919" spans="1:32">
      <c r="A2919" t="s">
        <v>2969</v>
      </c>
      <c r="B2919" t="s">
        <v>10502</v>
      </c>
      <c r="C2919" t="s">
        <v>15475</v>
      </c>
      <c r="D2919" t="s">
        <v>16206</v>
      </c>
      <c r="E2919" t="s">
        <v>16218</v>
      </c>
      <c r="F2919" t="s">
        <v>16220</v>
      </c>
      <c r="G2919" t="s">
        <v>16274</v>
      </c>
      <c r="H2919" t="s">
        <v>16269</v>
      </c>
      <c r="I2919" t="s">
        <v>16352</v>
      </c>
      <c r="J2919" t="s">
        <v>16386</v>
      </c>
      <c r="K2919">
        <v>0.24</v>
      </c>
      <c r="L2919">
        <v>10450</v>
      </c>
      <c r="M2919">
        <v>2572</v>
      </c>
      <c r="N2919" t="s">
        <v>16393</v>
      </c>
      <c r="O2919" s="4">
        <v>52128</v>
      </c>
      <c r="P2919" s="4">
        <v>142288</v>
      </c>
      <c r="Q2919" s="4">
        <v>194416</v>
      </c>
      <c r="R2919" s="4">
        <v>583248</v>
      </c>
      <c r="S2919" t="s">
        <v>19232</v>
      </c>
      <c r="T2919" s="6">
        <v>40087</v>
      </c>
      <c r="U2919" s="4">
        <v>295000</v>
      </c>
      <c r="V2919" t="s">
        <v>23739</v>
      </c>
      <c r="W2919" t="s">
        <v>19232</v>
      </c>
      <c r="X2919" t="s">
        <v>3</v>
      </c>
      <c r="AA2919" s="5" t="str">
        <f>HYPERLINK("https://www.zillow.com/homes/921-S-RIVER-RD-NAPERVILLE-IL-60540_rb/","check listing")</f>
        <v>check listing</v>
      </c>
      <c r="AB2919" s="5" t="str">
        <f>HYPERLINK("https://propertylookup.dupagecounty.gov/Datalets/Datalet.aspx?UseSearch=no&amp;mode=sales&amp;pin=0726207006","sales record")</f>
        <v>sales record</v>
      </c>
      <c r="AC2919" t="s">
        <v>3</v>
      </c>
      <c r="AD2919">
        <v>41.753375</v>
      </c>
      <c r="AE2919">
        <v>-88.172873</v>
      </c>
      <c r="AF2919" s="5" t="str">
        <f>HYPERLINK("https://www.google.com/maps/search/?api=1&amp;query=41.753375,-88.172873","map")</f>
        <v>map</v>
      </c>
    </row>
    <row r="2920" spans="1:32">
      <c r="A2920" t="s">
        <v>2970</v>
      </c>
      <c r="B2920" t="s">
        <v>10503</v>
      </c>
      <c r="C2920" t="s">
        <v>15520</v>
      </c>
      <c r="D2920" t="s">
        <v>16206</v>
      </c>
      <c r="E2920" t="s">
        <v>16218</v>
      </c>
      <c r="F2920" t="s">
        <v>16220</v>
      </c>
      <c r="G2920" t="s">
        <v>16276</v>
      </c>
      <c r="H2920" t="s">
        <v>16276</v>
      </c>
      <c r="I2920" t="s">
        <v>16352</v>
      </c>
      <c r="J2920" t="s">
        <v>16386</v>
      </c>
      <c r="K2920">
        <v>0.24</v>
      </c>
      <c r="L2920">
        <v>10440</v>
      </c>
      <c r="M2920">
        <v>2176</v>
      </c>
      <c r="N2920" t="s">
        <v>16393</v>
      </c>
      <c r="O2920" s="4">
        <v>67983</v>
      </c>
      <c r="P2920" s="4">
        <v>115082</v>
      </c>
      <c r="Q2920" s="4">
        <v>183065</v>
      </c>
      <c r="R2920" s="4">
        <v>549195</v>
      </c>
      <c r="S2920" t="s">
        <v>19233</v>
      </c>
      <c r="T2920" s="6">
        <v>42826</v>
      </c>
      <c r="U2920" s="4">
        <v>351500</v>
      </c>
      <c r="V2920" t="s">
        <v>23739</v>
      </c>
      <c r="W2920" t="s">
        <v>25155</v>
      </c>
      <c r="X2920" t="s">
        <v>3</v>
      </c>
      <c r="AA2920" s="5" t="str">
        <f>HYPERLINK("https://www.zillow.com/homes/903-MATTHEW-CT-NAPERVILLE-IL-605401958_rb/","check listing")</f>
        <v>check listing</v>
      </c>
      <c r="AB2920" s="5" t="str">
        <f>HYPERLINK("https://propertylookup.dupagecounty.gov/Datalets/Datalet.aspx?UseSearch=no&amp;mode=sales&amp;pin=0727209009","sales record")</f>
        <v>sales record</v>
      </c>
      <c r="AC2920" t="s">
        <v>3</v>
      </c>
      <c r="AD2920">
        <v>41.753994</v>
      </c>
      <c r="AE2920">
        <v>-88.190949</v>
      </c>
      <c r="AF2920" s="5" t="str">
        <f>HYPERLINK("https://www.google.com/maps/search/?api=1&amp;query=41.753994,-88.190949","map")</f>
        <v>map</v>
      </c>
    </row>
    <row r="2921" spans="1:32">
      <c r="A2921" t="s">
        <v>2971</v>
      </c>
      <c r="B2921" t="s">
        <v>10504</v>
      </c>
      <c r="C2921" t="s">
        <v>15508</v>
      </c>
      <c r="D2921" t="s">
        <v>16206</v>
      </c>
      <c r="E2921" t="s">
        <v>16218</v>
      </c>
      <c r="F2921" t="s">
        <v>16220</v>
      </c>
      <c r="G2921" t="s">
        <v>16273</v>
      </c>
      <c r="H2921" t="s">
        <v>16254</v>
      </c>
      <c r="I2921" t="s">
        <v>16351</v>
      </c>
      <c r="J2921" t="s">
        <v>16386</v>
      </c>
      <c r="K2921">
        <v>0.24</v>
      </c>
      <c r="L2921">
        <v>10437</v>
      </c>
      <c r="M2921">
        <v>1829</v>
      </c>
      <c r="N2921" t="s">
        <v>16393</v>
      </c>
      <c r="O2921" s="4">
        <v>50896</v>
      </c>
      <c r="P2921" s="4">
        <v>82385</v>
      </c>
      <c r="Q2921" s="4">
        <v>133281</v>
      </c>
      <c r="R2921" s="4">
        <v>399843</v>
      </c>
      <c r="S2921" t="s">
        <v>19234</v>
      </c>
      <c r="T2921" s="6">
        <v>35339</v>
      </c>
      <c r="U2921" s="4">
        <v>175900</v>
      </c>
      <c r="X2921" t="s">
        <v>3</v>
      </c>
      <c r="AA2921" s="5" t="str">
        <f>HYPERLINK("https://www.zillow.com/homes/2049-BUNKER-CIR-NAPERVILLE-IL-605631893_rb/","check listing")</f>
        <v>check listing</v>
      </c>
      <c r="AB2921" s="5" t="str">
        <f>HYPERLINK("https://propertylookup.dupagecounty.gov/Datalets/Datalet.aspx?UseSearch=no&amp;mode=sales&amp;pin=0709221006","sales record")</f>
        <v>sales record</v>
      </c>
      <c r="AC2921" t="s">
        <v>3</v>
      </c>
      <c r="AD2921">
        <v>41.795214</v>
      </c>
      <c r="AE2921">
        <v>-88.211826</v>
      </c>
      <c r="AF2921" s="5" t="str">
        <f>HYPERLINK("https://www.google.com/maps/search/?api=1&amp;query=41.795214,-88.211826","map")</f>
        <v>map</v>
      </c>
    </row>
    <row r="2922" spans="1:32">
      <c r="A2922" t="s">
        <v>2972</v>
      </c>
      <c r="B2922" t="s">
        <v>10505</v>
      </c>
      <c r="C2922" t="s">
        <v>15521</v>
      </c>
      <c r="D2922" t="s">
        <v>16206</v>
      </c>
      <c r="E2922" t="s">
        <v>16218</v>
      </c>
      <c r="F2922" t="s">
        <v>16220</v>
      </c>
      <c r="G2922" t="s">
        <v>16274</v>
      </c>
      <c r="H2922" t="s">
        <v>16269</v>
      </c>
      <c r="I2922" t="s">
        <v>16352</v>
      </c>
      <c r="J2922" t="s">
        <v>16386</v>
      </c>
      <c r="K2922">
        <v>0.239</v>
      </c>
      <c r="L2922">
        <v>10414</v>
      </c>
      <c r="M2922">
        <v>2471</v>
      </c>
      <c r="N2922" t="s">
        <v>16393</v>
      </c>
      <c r="O2922" s="4">
        <v>55106</v>
      </c>
      <c r="P2922" s="4">
        <v>124334</v>
      </c>
      <c r="Q2922" s="4">
        <v>179440</v>
      </c>
      <c r="R2922" s="4">
        <v>538320</v>
      </c>
      <c r="S2922" t="s">
        <v>19235</v>
      </c>
      <c r="T2922" s="6">
        <v>43221</v>
      </c>
      <c r="U2922" s="4">
        <v>405000</v>
      </c>
      <c r="V2922" t="s">
        <v>23739</v>
      </c>
      <c r="W2922" t="s">
        <v>25156</v>
      </c>
      <c r="X2922" t="s">
        <v>3</v>
      </c>
      <c r="AA2922" s="5" t="str">
        <f>HYPERLINK("https://www.zillow.com/homes/1269-ASHTON-LN-NAPERVILLE-IL-605400307_rb/","check listing")</f>
        <v>check listing</v>
      </c>
      <c r="AB2922" s="5" t="str">
        <f>HYPERLINK("https://propertylookup.dupagecounty.gov/Datalets/Datalet.aspx?UseSearch=no&amp;mode=sales&amp;pin=0726205018","sales record")</f>
        <v>sales record</v>
      </c>
      <c r="AC2922" t="s">
        <v>3</v>
      </c>
      <c r="AD2922">
        <v>41.752897</v>
      </c>
      <c r="AE2922">
        <v>-88.171584</v>
      </c>
      <c r="AF2922" s="5" t="str">
        <f>HYPERLINK("https://www.google.com/maps/search/?api=1&amp;query=41.752897,-88.171584","map")</f>
        <v>map</v>
      </c>
    </row>
    <row r="2923" spans="1:32">
      <c r="A2923" t="s">
        <v>2973</v>
      </c>
      <c r="B2923" t="s">
        <v>10506</v>
      </c>
      <c r="C2923" t="s">
        <v>15522</v>
      </c>
      <c r="D2923" t="s">
        <v>16206</v>
      </c>
      <c r="E2923" t="s">
        <v>16218</v>
      </c>
      <c r="F2923" t="s">
        <v>16220</v>
      </c>
      <c r="G2923" t="s">
        <v>16275</v>
      </c>
      <c r="H2923" t="s">
        <v>16276</v>
      </c>
      <c r="I2923" t="s">
        <v>16352</v>
      </c>
      <c r="J2923" t="s">
        <v>16386</v>
      </c>
      <c r="K2923">
        <v>0.239</v>
      </c>
      <c r="L2923">
        <v>10396</v>
      </c>
      <c r="M2923">
        <v>2144</v>
      </c>
      <c r="N2923" t="s">
        <v>16393</v>
      </c>
      <c r="O2923" s="4">
        <v>48857</v>
      </c>
      <c r="P2923" s="4">
        <v>129338</v>
      </c>
      <c r="Q2923" s="4">
        <v>178195</v>
      </c>
      <c r="R2923" s="4">
        <v>534585</v>
      </c>
      <c r="S2923" t="s">
        <v>19236</v>
      </c>
      <c r="T2923" s="6">
        <v>44378</v>
      </c>
      <c r="U2923" s="4">
        <v>430000</v>
      </c>
      <c r="V2923" t="s">
        <v>23739</v>
      </c>
      <c r="W2923" t="s">
        <v>25157</v>
      </c>
      <c r="X2923" t="s">
        <v>3</v>
      </c>
      <c r="AA2923" s="5" t="str">
        <f>HYPERLINK("https://www.zillow.com/homes/855-WOODEWIND-DR-NAPERVILLE-IL-605634047_rb/","check listing")</f>
        <v>check listing</v>
      </c>
      <c r="AB2923" s="5" t="str">
        <f>HYPERLINK("https://propertylookup.dupagecounty.gov/Datalets/Datalet.aspx?UseSearch=no&amp;mode=sales&amp;pin=0709303023","sales record")</f>
        <v>sales record</v>
      </c>
      <c r="AC2923" t="s">
        <v>3</v>
      </c>
      <c r="AD2923">
        <v>41.784417</v>
      </c>
      <c r="AE2923">
        <v>-88.221188</v>
      </c>
      <c r="AF2923" s="5" t="str">
        <f>HYPERLINK("https://www.google.com/maps/search/?api=1&amp;query=41.784417,-88.221188","map")</f>
        <v>map</v>
      </c>
    </row>
    <row r="2924" spans="1:32">
      <c r="A2924" t="s">
        <v>2974</v>
      </c>
      <c r="B2924" t="s">
        <v>10507</v>
      </c>
      <c r="C2924" t="s">
        <v>15523</v>
      </c>
      <c r="D2924" t="s">
        <v>16206</v>
      </c>
      <c r="E2924" t="s">
        <v>16218</v>
      </c>
      <c r="F2924" t="s">
        <v>16220</v>
      </c>
      <c r="G2924" t="s">
        <v>16274</v>
      </c>
      <c r="H2924" t="s">
        <v>16269</v>
      </c>
      <c r="I2924" t="s">
        <v>16352</v>
      </c>
      <c r="J2924" t="s">
        <v>16386</v>
      </c>
      <c r="K2924">
        <v>0.238</v>
      </c>
      <c r="L2924">
        <v>10382</v>
      </c>
      <c r="M2924">
        <v>2640</v>
      </c>
      <c r="N2924" t="s">
        <v>16393</v>
      </c>
      <c r="O2924" s="4">
        <v>58060</v>
      </c>
      <c r="P2924" s="4">
        <v>200653</v>
      </c>
      <c r="Q2924" s="4">
        <v>258713</v>
      </c>
      <c r="R2924" s="4">
        <v>776139</v>
      </c>
      <c r="S2924" t="s">
        <v>19237</v>
      </c>
      <c r="T2924" s="6">
        <v>34516</v>
      </c>
      <c r="U2924" s="4">
        <v>301900</v>
      </c>
      <c r="X2924" t="s">
        <v>3</v>
      </c>
      <c r="AA2924" s="5" t="str">
        <f>HYPERLINK("https://www.zillow.com/homes/716-SANCTUARY-LN-NAPERVILLE-IL-605406352_rb/","check listing")</f>
        <v>check listing</v>
      </c>
      <c r="AB2924" s="5" t="str">
        <f>HYPERLINK("https://propertylookup.dupagecounty.gov/Datalets/Datalet.aspx?UseSearch=no&amp;mode=sales&amp;pin=0723306027","sales record")</f>
        <v>sales record</v>
      </c>
      <c r="AC2924" t="s">
        <v>3</v>
      </c>
      <c r="AD2924">
        <v>41.757085</v>
      </c>
      <c r="AE2924">
        <v>-88.183879</v>
      </c>
      <c r="AF2924" s="5" t="str">
        <f>HYPERLINK("https://www.google.com/maps/search/?api=1&amp;query=41.757085,-88.183879","map")</f>
        <v>map</v>
      </c>
    </row>
    <row r="2925" spans="1:32">
      <c r="A2925" t="s">
        <v>2975</v>
      </c>
      <c r="B2925" t="s">
        <v>10508</v>
      </c>
      <c r="C2925" t="s">
        <v>15475</v>
      </c>
      <c r="D2925" t="s">
        <v>16206</v>
      </c>
      <c r="E2925" t="s">
        <v>16218</v>
      </c>
      <c r="F2925" t="s">
        <v>16220</v>
      </c>
      <c r="G2925" t="s">
        <v>16274</v>
      </c>
      <c r="H2925" t="s">
        <v>16269</v>
      </c>
      <c r="I2925" t="s">
        <v>16352</v>
      </c>
      <c r="J2925" t="s">
        <v>16386</v>
      </c>
      <c r="K2925">
        <v>0.238</v>
      </c>
      <c r="L2925">
        <v>10362</v>
      </c>
      <c r="M2925">
        <v>2770</v>
      </c>
      <c r="N2925" t="s">
        <v>16393</v>
      </c>
      <c r="O2925" s="4">
        <v>49492</v>
      </c>
      <c r="P2925" s="4">
        <v>142654</v>
      </c>
      <c r="Q2925" s="4">
        <v>192146</v>
      </c>
      <c r="R2925" s="4">
        <v>576438</v>
      </c>
      <c r="S2925" t="s">
        <v>19238</v>
      </c>
      <c r="T2925" s="6">
        <v>41760</v>
      </c>
      <c r="U2925" s="4">
        <v>397500</v>
      </c>
      <c r="V2925" t="s">
        <v>23739</v>
      </c>
      <c r="W2925" t="s">
        <v>19238</v>
      </c>
      <c r="X2925" t="s">
        <v>3</v>
      </c>
      <c r="AA2925" s="5" t="str">
        <f>HYPERLINK("https://www.zillow.com/homes/1255-OAKTON-LN-NAPERVILLE-IL-60540_rb/","check listing")</f>
        <v>check listing</v>
      </c>
      <c r="AB2925" s="5" t="str">
        <f>HYPERLINK("https://propertylookup.dupagecounty.gov/Datalets/Datalet.aspx?UseSearch=no&amp;mode=sales&amp;pin=0726203001","sales record")</f>
        <v>sales record</v>
      </c>
      <c r="AC2925" t="s">
        <v>3</v>
      </c>
      <c r="AD2925">
        <v>41.754695</v>
      </c>
      <c r="AE2925">
        <v>-88.17230499999999</v>
      </c>
      <c r="AF2925" s="5" t="str">
        <f>HYPERLINK("https://www.google.com/maps/search/?api=1&amp;query=41.754695,-88.172305","map")</f>
        <v>map</v>
      </c>
    </row>
    <row r="2926" spans="1:32">
      <c r="A2926" t="s">
        <v>2976</v>
      </c>
      <c r="B2926" t="s">
        <v>10509</v>
      </c>
      <c r="C2926" t="s">
        <v>15475</v>
      </c>
      <c r="D2926" t="s">
        <v>16206</v>
      </c>
      <c r="E2926" t="s">
        <v>16218</v>
      </c>
      <c r="F2926" t="s">
        <v>16220</v>
      </c>
      <c r="G2926" t="s">
        <v>16274</v>
      </c>
      <c r="H2926" t="s">
        <v>16269</v>
      </c>
      <c r="I2926" t="s">
        <v>16352</v>
      </c>
      <c r="J2926" t="s">
        <v>16386</v>
      </c>
      <c r="K2926">
        <v>0.238</v>
      </c>
      <c r="L2926">
        <v>10357</v>
      </c>
      <c r="M2926">
        <v>2309</v>
      </c>
      <c r="N2926" t="s">
        <v>16393</v>
      </c>
      <c r="O2926" s="4">
        <v>52126</v>
      </c>
      <c r="P2926" s="4">
        <v>149953</v>
      </c>
      <c r="Q2926" s="4">
        <v>202079</v>
      </c>
      <c r="R2926" s="4">
        <v>606237</v>
      </c>
      <c r="S2926" t="s">
        <v>19239</v>
      </c>
      <c r="T2926" s="6">
        <v>45520</v>
      </c>
      <c r="U2926" s="4">
        <v>755000</v>
      </c>
      <c r="V2926" t="s">
        <v>23739</v>
      </c>
      <c r="W2926" t="s">
        <v>25158</v>
      </c>
      <c r="X2926" t="s">
        <v>3</v>
      </c>
      <c r="AA2926" s="5" t="str">
        <f>HYPERLINK("https://www.zillow.com/homes/851-PLNFLDNAPER-RD-NAPERVILLE-IL-60540_rb/","check listing")</f>
        <v>check listing</v>
      </c>
      <c r="AB2926" s="5" t="str">
        <f>HYPERLINK("https://propertylookup.dupagecounty.gov/Datalets/Datalet.aspx?UseSearch=no&amp;mode=sales&amp;pin=0723410096","sales record")</f>
        <v>sales record</v>
      </c>
      <c r="AC2926" t="s">
        <v>3</v>
      </c>
      <c r="AD2926">
        <v>41.756256</v>
      </c>
      <c r="AE2926">
        <v>-88.166906</v>
      </c>
      <c r="AF2926" s="5" t="str">
        <f>HYPERLINK("https://www.google.com/maps/search/?api=1&amp;query=41.756256,-88.166906","map")</f>
        <v>map</v>
      </c>
    </row>
    <row r="2927" spans="1:32">
      <c r="A2927" t="s">
        <v>2977</v>
      </c>
      <c r="B2927" t="s">
        <v>10510</v>
      </c>
      <c r="C2927" t="s">
        <v>15475</v>
      </c>
      <c r="D2927" t="s">
        <v>16206</v>
      </c>
      <c r="E2927" t="s">
        <v>16218</v>
      </c>
      <c r="F2927" t="s">
        <v>16220</v>
      </c>
      <c r="G2927" t="s">
        <v>16274</v>
      </c>
      <c r="H2927" t="s">
        <v>16269</v>
      </c>
      <c r="I2927" t="s">
        <v>16352</v>
      </c>
      <c r="J2927" t="s">
        <v>16386</v>
      </c>
      <c r="K2927">
        <v>0.238</v>
      </c>
      <c r="L2927">
        <v>10354</v>
      </c>
      <c r="M2927">
        <v>3167</v>
      </c>
      <c r="N2927" t="s">
        <v>16393</v>
      </c>
      <c r="O2927" s="4">
        <v>58060</v>
      </c>
      <c r="P2927" s="4">
        <v>179123</v>
      </c>
      <c r="Q2927" s="4">
        <v>237183</v>
      </c>
      <c r="R2927" s="4">
        <v>711549</v>
      </c>
      <c r="S2927" t="s">
        <v>19240</v>
      </c>
      <c r="T2927" s="6">
        <v>35521</v>
      </c>
      <c r="U2927" s="4">
        <v>283000</v>
      </c>
      <c r="X2927" t="s">
        <v>3</v>
      </c>
      <c r="AA2927" s="5" t="str">
        <f>HYPERLINK("https://www.zillow.com/homes/708-SANCTUARY-LN-NAPERVILLE-IL-60540_rb/","check listing")</f>
        <v>check listing</v>
      </c>
      <c r="AB2927" s="5" t="str">
        <f>HYPERLINK("https://propertylookup.dupagecounty.gov/Datalets/Datalet.aspx?UseSearch=no&amp;mode=sales&amp;pin=0723306025","sales record")</f>
        <v>sales record</v>
      </c>
      <c r="AC2927" t="s">
        <v>3</v>
      </c>
      <c r="AD2927">
        <v>41.75746</v>
      </c>
      <c r="AE2927">
        <v>-88.183989</v>
      </c>
      <c r="AF2927" s="5" t="str">
        <f>HYPERLINK("https://www.google.com/maps/search/?api=1&amp;query=41.75746,-88.183989","map")</f>
        <v>map</v>
      </c>
    </row>
    <row r="2928" spans="1:32">
      <c r="A2928" t="s">
        <v>2978</v>
      </c>
      <c r="B2928" t="s">
        <v>10511</v>
      </c>
      <c r="C2928" t="s">
        <v>15524</v>
      </c>
      <c r="D2928" t="s">
        <v>16206</v>
      </c>
      <c r="E2928" t="s">
        <v>16218</v>
      </c>
      <c r="F2928" t="s">
        <v>16220</v>
      </c>
      <c r="G2928" t="s">
        <v>16274</v>
      </c>
      <c r="H2928" t="s">
        <v>16269</v>
      </c>
      <c r="I2928" t="s">
        <v>16352</v>
      </c>
      <c r="J2928" t="s">
        <v>16386</v>
      </c>
      <c r="K2928">
        <v>0.237</v>
      </c>
      <c r="L2928">
        <v>10335</v>
      </c>
      <c r="M2928">
        <v>2309</v>
      </c>
      <c r="N2928" t="s">
        <v>16393</v>
      </c>
      <c r="O2928" s="4">
        <v>48576</v>
      </c>
      <c r="P2928" s="4">
        <v>104488</v>
      </c>
      <c r="Q2928" s="4">
        <v>153064</v>
      </c>
      <c r="R2928" s="4">
        <v>459192</v>
      </c>
      <c r="S2928" t="s">
        <v>19241</v>
      </c>
      <c r="T2928" s="6">
        <v>33512</v>
      </c>
      <c r="U2928" s="4">
        <v>131105</v>
      </c>
      <c r="X2928" t="s">
        <v>3</v>
      </c>
      <c r="AA2928" s="5" t="str">
        <f>HYPERLINK("https://www.zillow.com/homes/700-SMALL-CT-NAPERVILLE-IL-605630451_rb/","check listing")</f>
        <v>check listing</v>
      </c>
      <c r="AB2928" s="5" t="str">
        <f>HYPERLINK("https://propertylookup.dupagecounty.gov/Datalets/Datalet.aspx?UseSearch=no&amp;mode=sales&amp;pin=0715206013","sales record")</f>
        <v>sales record</v>
      </c>
      <c r="AC2928" t="s">
        <v>3</v>
      </c>
      <c r="AD2928">
        <v>41.780996</v>
      </c>
      <c r="AE2928">
        <v>-88.18938199999999</v>
      </c>
      <c r="AF2928" s="5" t="str">
        <f>HYPERLINK("https://www.google.com/maps/search/?api=1&amp;query=41.780996,-88.189382","map")</f>
        <v>map</v>
      </c>
    </row>
    <row r="2929" spans="1:32">
      <c r="A2929" t="s">
        <v>2979</v>
      </c>
      <c r="B2929" t="s">
        <v>10512</v>
      </c>
      <c r="C2929" t="s">
        <v>15478</v>
      </c>
      <c r="D2929" t="s">
        <v>16206</v>
      </c>
      <c r="E2929" t="s">
        <v>16218</v>
      </c>
      <c r="F2929" t="s">
        <v>16220</v>
      </c>
      <c r="G2929" t="s">
        <v>16274</v>
      </c>
      <c r="H2929" t="s">
        <v>16269</v>
      </c>
      <c r="I2929" t="s">
        <v>16352</v>
      </c>
      <c r="J2929" t="s">
        <v>16386</v>
      </c>
      <c r="K2929">
        <v>0.237</v>
      </c>
      <c r="L2929">
        <v>10328</v>
      </c>
      <c r="M2929">
        <v>2485</v>
      </c>
      <c r="N2929" t="s">
        <v>16393</v>
      </c>
      <c r="O2929" s="4">
        <v>48576</v>
      </c>
      <c r="P2929" s="4">
        <v>95140</v>
      </c>
      <c r="Q2929" s="4">
        <v>143716</v>
      </c>
      <c r="R2929" s="4">
        <v>431148</v>
      </c>
      <c r="S2929" t="s">
        <v>19242</v>
      </c>
      <c r="T2929" s="6">
        <v>41456</v>
      </c>
      <c r="U2929" s="4">
        <v>302000</v>
      </c>
      <c r="V2929" t="s">
        <v>23739</v>
      </c>
      <c r="W2929" t="s">
        <v>25159</v>
      </c>
      <c r="X2929" t="s">
        <v>3</v>
      </c>
      <c r="AA2929" s="5" t="str">
        <f>HYPERLINK("https://www.zillow.com/homes/713-SMALL-CT-NAPERVILLE-IL-60563_rb/","check listing")</f>
        <v>check listing</v>
      </c>
      <c r="AB2929" s="5" t="str">
        <f>HYPERLINK("https://propertylookup.dupagecounty.gov/Datalets/Datalet.aspx?UseSearch=no&amp;mode=sales&amp;pin=0715206004","sales record")</f>
        <v>sales record</v>
      </c>
      <c r="AC2929" t="s">
        <v>3</v>
      </c>
      <c r="AD2929">
        <v>41.781381</v>
      </c>
      <c r="AE2929">
        <v>-88.188602</v>
      </c>
      <c r="AF2929" s="5" t="str">
        <f>HYPERLINK("https://www.google.com/maps/search/?api=1&amp;query=41.781381,-88.188602","map")</f>
        <v>map</v>
      </c>
    </row>
    <row r="2930" spans="1:32">
      <c r="A2930" t="s">
        <v>2980</v>
      </c>
      <c r="B2930" t="s">
        <v>10513</v>
      </c>
      <c r="C2930" t="s">
        <v>15475</v>
      </c>
      <c r="D2930" t="s">
        <v>16206</v>
      </c>
      <c r="E2930" t="s">
        <v>16218</v>
      </c>
      <c r="F2930" t="s">
        <v>16220</v>
      </c>
      <c r="G2930" t="s">
        <v>16275</v>
      </c>
      <c r="H2930" t="s">
        <v>16276</v>
      </c>
      <c r="I2930" t="s">
        <v>16352</v>
      </c>
      <c r="J2930" t="s">
        <v>16386</v>
      </c>
      <c r="K2930">
        <v>0.237</v>
      </c>
      <c r="L2930">
        <v>10317</v>
      </c>
      <c r="M2930">
        <v>2357</v>
      </c>
      <c r="N2930" t="s">
        <v>16393</v>
      </c>
      <c r="O2930" s="4">
        <v>55655</v>
      </c>
      <c r="P2930" s="4">
        <v>101278</v>
      </c>
      <c r="Q2930" s="4">
        <v>156933</v>
      </c>
      <c r="R2930" s="4">
        <v>470799</v>
      </c>
      <c r="S2930" t="s">
        <v>19243</v>
      </c>
      <c r="T2930" s="6">
        <v>34274</v>
      </c>
      <c r="U2930" s="4">
        <v>164940</v>
      </c>
      <c r="X2930" t="s">
        <v>3</v>
      </c>
      <c r="AA2930" s="5" t="str">
        <f>HYPERLINK("https://www.zillow.com/homes/2104-JESSICA-CT-NAPERVILLE-IL-60540_rb/","check listing")</f>
        <v>check listing</v>
      </c>
      <c r="AB2930" s="5" t="str">
        <f>HYPERLINK("https://propertylookup.dupagecounty.gov/Datalets/Datalet.aspx?UseSearch=no&amp;mode=sales&amp;pin=0727201039","sales record")</f>
        <v>sales record</v>
      </c>
      <c r="AC2930" t="s">
        <v>3</v>
      </c>
      <c r="AD2930">
        <v>41.747797</v>
      </c>
      <c r="AE2930">
        <v>-88.189829</v>
      </c>
      <c r="AF2930" s="5" t="str">
        <f>HYPERLINK("https://www.google.com/maps/search/?api=1&amp;query=41.747797,-88.189829","map")</f>
        <v>map</v>
      </c>
    </row>
    <row r="2931" spans="1:32">
      <c r="A2931" t="s">
        <v>2981</v>
      </c>
      <c r="B2931" t="s">
        <v>10514</v>
      </c>
      <c r="C2931" t="s">
        <v>15525</v>
      </c>
      <c r="D2931" t="s">
        <v>16206</v>
      </c>
      <c r="E2931" t="s">
        <v>16218</v>
      </c>
      <c r="F2931" t="s">
        <v>16220</v>
      </c>
      <c r="G2931" t="s">
        <v>16275</v>
      </c>
      <c r="H2931" t="s">
        <v>16276</v>
      </c>
      <c r="I2931" t="s">
        <v>16352</v>
      </c>
      <c r="J2931" t="s">
        <v>16386</v>
      </c>
      <c r="K2931">
        <v>0.237</v>
      </c>
      <c r="L2931">
        <v>10309</v>
      </c>
      <c r="M2931">
        <v>1979</v>
      </c>
      <c r="N2931" t="s">
        <v>16393</v>
      </c>
      <c r="O2931" s="4">
        <v>46367</v>
      </c>
      <c r="P2931" s="4">
        <v>90196</v>
      </c>
      <c r="Q2931" s="4">
        <v>136563</v>
      </c>
      <c r="R2931" s="4">
        <v>409689</v>
      </c>
      <c r="S2931" t="s">
        <v>19244</v>
      </c>
      <c r="T2931" s="6">
        <v>42278</v>
      </c>
      <c r="U2931" s="4">
        <v>237900</v>
      </c>
      <c r="V2931" t="s">
        <v>23739</v>
      </c>
      <c r="W2931" t="s">
        <v>25160</v>
      </c>
      <c r="X2931" t="s">
        <v>3</v>
      </c>
      <c r="AA2931" s="5" t="str">
        <f>HYPERLINK("https://www.zillow.com/homes/1259-LAKEWOOD-CIR-NAPERVILLE-IL-605400997_rb/","check listing")</f>
        <v>check listing</v>
      </c>
      <c r="AB2931" s="5" t="str">
        <f>HYPERLINK("https://propertylookup.dupagecounty.gov/Datalets/Datalet.aspx?UseSearch=no&amp;mode=sales&amp;pin=0727201053","sales record")</f>
        <v>sales record</v>
      </c>
      <c r="AC2931" t="s">
        <v>3</v>
      </c>
      <c r="AD2931">
        <v>41.747778</v>
      </c>
      <c r="AE2931">
        <v>-88.193031</v>
      </c>
      <c r="AF2931" s="5" t="str">
        <f>HYPERLINK("https://www.google.com/maps/search/?api=1&amp;query=41.747778,-88.193031","map")</f>
        <v>map</v>
      </c>
    </row>
    <row r="2932" spans="1:32">
      <c r="A2932" t="s">
        <v>2982</v>
      </c>
      <c r="B2932" t="s">
        <v>10515</v>
      </c>
      <c r="C2932" t="s">
        <v>15476</v>
      </c>
      <c r="D2932" t="s">
        <v>16206</v>
      </c>
      <c r="E2932" t="s">
        <v>16218</v>
      </c>
      <c r="F2932" t="s">
        <v>16220</v>
      </c>
      <c r="G2932" t="s">
        <v>16269</v>
      </c>
      <c r="H2932" t="s">
        <v>16269</v>
      </c>
      <c r="I2932" t="s">
        <v>16352</v>
      </c>
      <c r="J2932" t="s">
        <v>16386</v>
      </c>
      <c r="K2932">
        <v>0.236</v>
      </c>
      <c r="L2932">
        <v>10301</v>
      </c>
      <c r="M2932">
        <v>2144</v>
      </c>
      <c r="N2932" t="s">
        <v>16393</v>
      </c>
      <c r="O2932" s="4">
        <v>71707</v>
      </c>
      <c r="P2932" s="4">
        <v>108582</v>
      </c>
      <c r="Q2932" s="4">
        <v>180289</v>
      </c>
      <c r="R2932" s="4">
        <v>540867</v>
      </c>
      <c r="S2932" t="s">
        <v>19245</v>
      </c>
      <c r="T2932" s="6">
        <v>33604</v>
      </c>
      <c r="U2932" s="4">
        <v>216960</v>
      </c>
      <c r="X2932" t="s">
        <v>3</v>
      </c>
      <c r="AA2932" s="5" t="str">
        <f>HYPERLINK("https://www.zillow.com/homes/1803-RAMPART-CT-NAPERVILLE-IL-60565_rb/","check listing")</f>
        <v>check listing</v>
      </c>
      <c r="AB2932" s="5" t="str">
        <f>HYPERLINK("https://propertylookup.dupagecounty.gov/Datalets/Datalet.aspx?UseSearch=no&amp;mode=sales&amp;pin=0832117019","sales record")</f>
        <v>sales record</v>
      </c>
      <c r="AC2932" t="s">
        <v>3</v>
      </c>
      <c r="AD2932">
        <v>41.734908</v>
      </c>
      <c r="AE2932">
        <v>-88.119145</v>
      </c>
      <c r="AF2932" s="5" t="str">
        <f>HYPERLINK("https://www.google.com/maps/search/?api=1&amp;query=41.734908,-88.119145","map")</f>
        <v>map</v>
      </c>
    </row>
    <row r="2933" spans="1:32">
      <c r="A2933" t="s">
        <v>2983</v>
      </c>
      <c r="B2933" t="s">
        <v>10516</v>
      </c>
      <c r="C2933" t="s">
        <v>15478</v>
      </c>
      <c r="D2933" t="s">
        <v>16206</v>
      </c>
      <c r="E2933" t="s">
        <v>16218</v>
      </c>
      <c r="F2933" t="s">
        <v>16220</v>
      </c>
      <c r="G2933" t="s">
        <v>16273</v>
      </c>
      <c r="H2933" t="s">
        <v>16254</v>
      </c>
      <c r="I2933" t="s">
        <v>16351</v>
      </c>
      <c r="J2933" t="s">
        <v>16386</v>
      </c>
      <c r="K2933">
        <v>0.236</v>
      </c>
      <c r="L2933">
        <v>10291</v>
      </c>
      <c r="M2933">
        <v>1815</v>
      </c>
      <c r="N2933" t="s">
        <v>16393</v>
      </c>
      <c r="O2933" s="4">
        <v>45366</v>
      </c>
      <c r="P2933" s="4">
        <v>145034</v>
      </c>
      <c r="Q2933" s="4">
        <v>190400</v>
      </c>
      <c r="R2933" s="4">
        <v>571200</v>
      </c>
      <c r="S2933" t="s">
        <v>19246</v>
      </c>
      <c r="T2933" s="6">
        <v>40118</v>
      </c>
      <c r="U2933" s="4">
        <v>399900</v>
      </c>
      <c r="V2933" t="s">
        <v>23739</v>
      </c>
      <c r="W2933" t="s">
        <v>19246</v>
      </c>
      <c r="X2933" t="s">
        <v>3</v>
      </c>
      <c r="AA2933" s="5" t="str">
        <f>HYPERLINK("https://www.zillow.com/homes/1023-BURKE-CT-NAPERVILLE-IL-60563_rb/","check listing")</f>
        <v>check listing</v>
      </c>
      <c r="AB2933" s="5" t="str">
        <f>HYPERLINK("https://propertylookup.dupagecounty.gov/Datalets/Datalet.aspx?UseSearch=no&amp;mode=sales&amp;pin=0709304005","sales record")</f>
        <v>sales record</v>
      </c>
      <c r="AC2933" t="s">
        <v>3</v>
      </c>
      <c r="AD2933">
        <v>41.787097</v>
      </c>
      <c r="AE2933">
        <v>-88.216544</v>
      </c>
      <c r="AF2933" s="5" t="str">
        <f>HYPERLINK("https://www.google.com/maps/search/?api=1&amp;query=41.787097,-88.216544","map")</f>
        <v>map</v>
      </c>
    </row>
    <row r="2934" spans="1:32">
      <c r="A2934" t="s">
        <v>2984</v>
      </c>
      <c r="B2934" t="s">
        <v>10517</v>
      </c>
      <c r="C2934" t="s">
        <v>15526</v>
      </c>
      <c r="D2934" t="s">
        <v>16206</v>
      </c>
      <c r="E2934" t="s">
        <v>16218</v>
      </c>
      <c r="F2934" t="s">
        <v>16220</v>
      </c>
      <c r="G2934" t="s">
        <v>16269</v>
      </c>
      <c r="H2934" t="s">
        <v>16269</v>
      </c>
      <c r="I2934" t="s">
        <v>16352</v>
      </c>
      <c r="J2934" t="s">
        <v>16386</v>
      </c>
      <c r="K2934">
        <v>0.236</v>
      </c>
      <c r="L2934">
        <v>10272</v>
      </c>
      <c r="N2934" t="s">
        <v>16393</v>
      </c>
      <c r="O2934" s="4">
        <v>28041</v>
      </c>
      <c r="P2934" s="4">
        <v>179635</v>
      </c>
      <c r="Q2934" s="4">
        <v>207676</v>
      </c>
      <c r="R2934" s="4">
        <v>623028</v>
      </c>
      <c r="S2934" t="s">
        <v>19247</v>
      </c>
      <c r="T2934" s="6">
        <v>45107</v>
      </c>
      <c r="U2934" s="4">
        <v>587500</v>
      </c>
      <c r="V2934" t="s">
        <v>23739</v>
      </c>
      <c r="W2934" t="s">
        <v>25161</v>
      </c>
      <c r="X2934" t="s">
        <v>3</v>
      </c>
      <c r="AA2934" s="5" t="str">
        <f>HYPERLINK("https://www.zillow.com/homes/645-BOURBON-CT-NAPERVILLE-IL-605652402_rb/","check listing")</f>
        <v>check listing</v>
      </c>
      <c r="AB2934" s="5" t="str">
        <f>HYPERLINK("https://propertylookup.dupagecounty.gov/Datalets/Datalet.aspx?UseSearch=no&amp;mode=sales&amp;pin=0832104066","sales record")</f>
        <v>sales record</v>
      </c>
      <c r="AC2934" t="s">
        <v>3</v>
      </c>
      <c r="AD2934">
        <v>41.737167</v>
      </c>
      <c r="AE2934">
        <v>-88.118084</v>
      </c>
      <c r="AF2934" s="5" t="str">
        <f>HYPERLINK("https://www.google.com/maps/search/?api=1&amp;query=41.737167,-88.118084","map")</f>
        <v>map</v>
      </c>
    </row>
    <row r="2935" spans="1:32">
      <c r="A2935" t="s">
        <v>2985</v>
      </c>
      <c r="B2935" t="s">
        <v>10518</v>
      </c>
      <c r="C2935" t="s">
        <v>15478</v>
      </c>
      <c r="D2935" t="s">
        <v>16206</v>
      </c>
      <c r="E2935" t="s">
        <v>16218</v>
      </c>
      <c r="F2935" t="s">
        <v>16220</v>
      </c>
      <c r="G2935" t="s">
        <v>16273</v>
      </c>
      <c r="H2935" t="s">
        <v>16254</v>
      </c>
      <c r="I2935" t="s">
        <v>16351</v>
      </c>
      <c r="J2935" t="s">
        <v>16386</v>
      </c>
      <c r="K2935">
        <v>0.236</v>
      </c>
      <c r="L2935">
        <v>10267</v>
      </c>
      <c r="M2935">
        <v>1973</v>
      </c>
      <c r="N2935" t="s">
        <v>16393</v>
      </c>
      <c r="O2935" s="4">
        <v>50896</v>
      </c>
      <c r="P2935" s="4">
        <v>91466</v>
      </c>
      <c r="Q2935" s="4">
        <v>142362</v>
      </c>
      <c r="R2935" s="4">
        <v>427086</v>
      </c>
      <c r="S2935" t="s">
        <v>19248</v>
      </c>
      <c r="T2935" s="6">
        <v>42186</v>
      </c>
      <c r="U2935" s="4">
        <v>290000</v>
      </c>
      <c r="V2935" t="s">
        <v>23739</v>
      </c>
      <c r="W2935" t="s">
        <v>19248</v>
      </c>
      <c r="X2935" t="s">
        <v>3</v>
      </c>
      <c r="AA2935" s="5" t="str">
        <f>HYPERLINK("https://www.zillow.com/homes/2053-BUNKER-CIR-NAPERVILLE-IL-60563_rb/","check listing")</f>
        <v>check listing</v>
      </c>
      <c r="AB2935" s="5" t="str">
        <f>HYPERLINK("https://propertylookup.dupagecounty.gov/Datalets/Datalet.aspx?UseSearch=no&amp;mode=sales&amp;pin=0709221005","sales record")</f>
        <v>sales record</v>
      </c>
      <c r="AC2935" t="s">
        <v>3</v>
      </c>
      <c r="AD2935">
        <v>41.795196</v>
      </c>
      <c r="AE2935">
        <v>-88.212063</v>
      </c>
      <c r="AF2935" s="5" t="str">
        <f>HYPERLINK("https://www.google.com/maps/search/?api=1&amp;query=41.795196,-88.212063","map")</f>
        <v>map</v>
      </c>
    </row>
    <row r="2936" spans="1:32">
      <c r="A2936" t="s">
        <v>2986</v>
      </c>
      <c r="B2936" t="s">
        <v>10519</v>
      </c>
      <c r="C2936" t="s">
        <v>15478</v>
      </c>
      <c r="D2936" t="s">
        <v>16206</v>
      </c>
      <c r="E2936" t="s">
        <v>16218</v>
      </c>
      <c r="F2936" t="s">
        <v>16220</v>
      </c>
      <c r="G2936" t="s">
        <v>16275</v>
      </c>
      <c r="H2936" t="s">
        <v>16276</v>
      </c>
      <c r="I2936" t="s">
        <v>16352</v>
      </c>
      <c r="J2936" t="s">
        <v>16386</v>
      </c>
      <c r="K2936">
        <v>0.236</v>
      </c>
      <c r="L2936">
        <v>10262</v>
      </c>
      <c r="M2936">
        <v>2572</v>
      </c>
      <c r="N2936" t="s">
        <v>16393</v>
      </c>
      <c r="O2936" s="4">
        <v>52616</v>
      </c>
      <c r="P2936" s="4">
        <v>126946</v>
      </c>
      <c r="Q2936" s="4">
        <v>179562</v>
      </c>
      <c r="R2936" s="4">
        <v>538686</v>
      </c>
      <c r="S2936" t="s">
        <v>19249</v>
      </c>
      <c r="T2936" s="6">
        <v>40664</v>
      </c>
      <c r="U2936" s="4">
        <v>357500</v>
      </c>
      <c r="V2936" t="s">
        <v>23739</v>
      </c>
      <c r="W2936" t="s">
        <v>19249</v>
      </c>
      <c r="X2936" t="s">
        <v>3</v>
      </c>
      <c r="AA2936" s="5" t="str">
        <f>HYPERLINK("https://www.zillow.com/homes/711-WOODEWIND-DR-NAPERVILLE-IL-60563_rb/","check listing")</f>
        <v>check listing</v>
      </c>
      <c r="AB2936" s="5" t="str">
        <f>HYPERLINK("https://propertylookup.dupagecounty.gov/Datalets/Datalet.aspx?UseSearch=no&amp;mode=sales&amp;pin=0716106013","sales record")</f>
        <v>sales record</v>
      </c>
      <c r="AC2936" t="s">
        <v>3</v>
      </c>
      <c r="AD2936">
        <v>41.782554</v>
      </c>
      <c r="AE2936">
        <v>-88.221245</v>
      </c>
      <c r="AF2936" s="5" t="str">
        <f>HYPERLINK("https://www.google.com/maps/search/?api=1&amp;query=41.782554,-88.221245","map")</f>
        <v>map</v>
      </c>
    </row>
    <row r="2937" spans="1:32">
      <c r="A2937" t="s">
        <v>2987</v>
      </c>
      <c r="B2937" t="s">
        <v>10520</v>
      </c>
      <c r="C2937" t="s">
        <v>15475</v>
      </c>
      <c r="D2937" t="s">
        <v>16206</v>
      </c>
      <c r="E2937" t="s">
        <v>16218</v>
      </c>
      <c r="F2937" t="s">
        <v>16220</v>
      </c>
      <c r="G2937" t="s">
        <v>16274</v>
      </c>
      <c r="H2937" t="s">
        <v>16269</v>
      </c>
      <c r="I2937" t="s">
        <v>16352</v>
      </c>
      <c r="J2937" t="s">
        <v>16386</v>
      </c>
      <c r="K2937">
        <v>0.235</v>
      </c>
      <c r="L2937">
        <v>10224</v>
      </c>
      <c r="M2937">
        <v>2474</v>
      </c>
      <c r="N2937" t="s">
        <v>16393</v>
      </c>
      <c r="O2937" s="4">
        <v>65322</v>
      </c>
      <c r="P2937" s="4">
        <v>168029</v>
      </c>
      <c r="Q2937" s="4">
        <v>233351</v>
      </c>
      <c r="R2937" s="4">
        <v>700053</v>
      </c>
      <c r="S2937" t="s">
        <v>19250</v>
      </c>
      <c r="T2937" s="6">
        <v>39387</v>
      </c>
      <c r="U2937" s="4">
        <v>481500</v>
      </c>
      <c r="V2937" t="s">
        <v>23739</v>
      </c>
      <c r="W2937" t="s">
        <v>25162</v>
      </c>
      <c r="X2937" t="s">
        <v>3</v>
      </c>
      <c r="AA2937" s="5" t="str">
        <f>HYPERLINK("https://www.zillow.com/homes/711-HAYLE-CT-NAPERVILLE-IL-60540_rb/","check listing")</f>
        <v>check listing</v>
      </c>
      <c r="AB2937" s="5" t="str">
        <f>HYPERLINK("https://propertylookup.dupagecounty.gov/Datalets/Datalet.aspx?UseSearch=no&amp;mode=sales&amp;pin=0723311008","sales record")</f>
        <v>sales record</v>
      </c>
      <c r="AC2937" t="s">
        <v>3</v>
      </c>
      <c r="AD2937">
        <v>41.757179</v>
      </c>
      <c r="AE2937">
        <v>-88.18600499999999</v>
      </c>
      <c r="AF2937" s="5" t="str">
        <f>HYPERLINK("https://www.google.com/maps/search/?api=1&amp;query=41.757179,-88.186005","map")</f>
        <v>map</v>
      </c>
    </row>
    <row r="2938" spans="1:32">
      <c r="A2938" t="s">
        <v>2988</v>
      </c>
      <c r="B2938" t="s">
        <v>10521</v>
      </c>
      <c r="C2938" t="s">
        <v>15475</v>
      </c>
      <c r="D2938" t="s">
        <v>16206</v>
      </c>
      <c r="E2938" t="s">
        <v>16218</v>
      </c>
      <c r="F2938" t="s">
        <v>16220</v>
      </c>
      <c r="G2938" t="s">
        <v>16274</v>
      </c>
      <c r="H2938" t="s">
        <v>16269</v>
      </c>
      <c r="I2938" t="s">
        <v>16352</v>
      </c>
      <c r="J2938" t="s">
        <v>16386</v>
      </c>
      <c r="K2938">
        <v>0.234</v>
      </c>
      <c r="L2938">
        <v>10202</v>
      </c>
      <c r="M2938">
        <v>1978</v>
      </c>
      <c r="N2938" t="s">
        <v>16393</v>
      </c>
      <c r="O2938" s="4">
        <v>49492</v>
      </c>
      <c r="P2938" s="4">
        <v>142153</v>
      </c>
      <c r="Q2938" s="4">
        <v>191645</v>
      </c>
      <c r="R2938" s="4">
        <v>574935</v>
      </c>
      <c r="S2938" t="s">
        <v>19251</v>
      </c>
      <c r="T2938" s="6">
        <v>38899</v>
      </c>
      <c r="U2938" s="4">
        <v>410000</v>
      </c>
      <c r="V2938" t="s">
        <v>23739</v>
      </c>
      <c r="W2938" t="s">
        <v>25163</v>
      </c>
      <c r="X2938" t="s">
        <v>3</v>
      </c>
      <c r="AA2938" s="5" t="str">
        <f>HYPERLINK("https://www.zillow.com/homes/908-S-RIVER-RD-NAPERVILLE-IL-60540_rb/","check listing")</f>
        <v>check listing</v>
      </c>
      <c r="AB2938" s="5" t="str">
        <f>HYPERLINK("https://propertylookup.dupagecounty.gov/Datalets/Datalet.aspx?UseSearch=no&amp;mode=sales&amp;pin=0726204026","sales record")</f>
        <v>sales record</v>
      </c>
      <c r="AC2938" t="s">
        <v>3</v>
      </c>
      <c r="AD2938">
        <v>41.753811</v>
      </c>
      <c r="AE2938">
        <v>-88.17222</v>
      </c>
      <c r="AF2938" s="5" t="str">
        <f>HYPERLINK("https://www.google.com/maps/search/?api=1&amp;query=41.753811,-88.17222","map")</f>
        <v>map</v>
      </c>
    </row>
    <row r="2939" spans="1:32">
      <c r="A2939" t="s">
        <v>2989</v>
      </c>
      <c r="B2939" t="s">
        <v>10522</v>
      </c>
      <c r="C2939" t="s">
        <v>15490</v>
      </c>
      <c r="D2939" t="s">
        <v>16206</v>
      </c>
      <c r="E2939" t="s">
        <v>16218</v>
      </c>
      <c r="F2939" t="s">
        <v>16220</v>
      </c>
      <c r="G2939" t="s">
        <v>16274</v>
      </c>
      <c r="H2939" t="s">
        <v>16269</v>
      </c>
      <c r="I2939" t="s">
        <v>16352</v>
      </c>
      <c r="J2939" t="s">
        <v>16386</v>
      </c>
      <c r="K2939">
        <v>0.234</v>
      </c>
      <c r="L2939">
        <v>10199</v>
      </c>
      <c r="M2939">
        <v>2376</v>
      </c>
      <c r="N2939" t="s">
        <v>16393</v>
      </c>
      <c r="O2939" s="4">
        <v>52128</v>
      </c>
      <c r="P2939" s="4">
        <v>151014</v>
      </c>
      <c r="Q2939" s="4">
        <v>203142</v>
      </c>
      <c r="R2939" s="4">
        <v>609426</v>
      </c>
      <c r="S2939" t="s">
        <v>19252</v>
      </c>
      <c r="T2939" s="6">
        <v>34912</v>
      </c>
      <c r="U2939" s="4">
        <v>226900</v>
      </c>
      <c r="X2939" t="s">
        <v>3</v>
      </c>
      <c r="AA2939" s="5" t="str">
        <f>HYPERLINK("https://www.zillow.com/homes/900-ELM-ST-NAPERVILLE-IL-605400346_rb/","check listing")</f>
        <v>check listing</v>
      </c>
      <c r="AB2939" s="5" t="str">
        <f>HYPERLINK("https://propertylookup.dupagecounty.gov/Datalets/Datalet.aspx?UseSearch=no&amp;mode=sales&amp;pin=0726207020","sales record")</f>
        <v>sales record</v>
      </c>
      <c r="AC2939" t="s">
        <v>3</v>
      </c>
      <c r="AD2939">
        <v>41.754235</v>
      </c>
      <c r="AE2939">
        <v>-88.173351</v>
      </c>
      <c r="AF2939" s="5" t="str">
        <f>HYPERLINK("https://www.google.com/maps/search/?api=1&amp;query=41.754235,-88.173351","map")</f>
        <v>map</v>
      </c>
    </row>
    <row r="2940" spans="1:32">
      <c r="A2940" t="s">
        <v>2990</v>
      </c>
      <c r="B2940" t="s">
        <v>10523</v>
      </c>
      <c r="C2940" t="s">
        <v>15475</v>
      </c>
      <c r="D2940" t="s">
        <v>16206</v>
      </c>
      <c r="E2940" t="s">
        <v>16218</v>
      </c>
      <c r="F2940" t="s">
        <v>16220</v>
      </c>
      <c r="G2940" t="s">
        <v>16274</v>
      </c>
      <c r="H2940" t="s">
        <v>16269</v>
      </c>
      <c r="I2940" t="s">
        <v>16352</v>
      </c>
      <c r="J2940" t="s">
        <v>16386</v>
      </c>
      <c r="K2940">
        <v>0.234</v>
      </c>
      <c r="L2940">
        <v>10198</v>
      </c>
      <c r="M2940">
        <v>2375</v>
      </c>
      <c r="N2940" t="s">
        <v>16393</v>
      </c>
      <c r="O2940" s="4">
        <v>49492</v>
      </c>
      <c r="P2940" s="4">
        <v>143240</v>
      </c>
      <c r="Q2940" s="4">
        <v>192732</v>
      </c>
      <c r="R2940" s="4">
        <v>578196</v>
      </c>
      <c r="S2940" t="s">
        <v>19253</v>
      </c>
      <c r="T2940" s="6">
        <v>37681</v>
      </c>
      <c r="U2940" s="4">
        <v>286000</v>
      </c>
      <c r="V2940" t="s">
        <v>23739</v>
      </c>
      <c r="W2940" t="s">
        <v>19253</v>
      </c>
      <c r="X2940" t="s">
        <v>3</v>
      </c>
      <c r="AA2940" s="5" t="str">
        <f>HYPERLINK("https://www.zillow.com/homes/905-S-RIVER-RD-NAPERVILLE-IL-60540_rb/","check listing")</f>
        <v>check listing</v>
      </c>
      <c r="AB2940" s="5" t="str">
        <f>HYPERLINK("https://propertylookup.dupagecounty.gov/Datalets/Datalet.aspx?UseSearch=no&amp;mode=sales&amp;pin=0726207002","sales record")</f>
        <v>sales record</v>
      </c>
      <c r="AC2940" t="s">
        <v>3</v>
      </c>
      <c r="AD2940">
        <v>41.754241</v>
      </c>
      <c r="AE2940">
        <v>-88.172912</v>
      </c>
      <c r="AF2940" s="5" t="str">
        <f>HYPERLINK("https://www.google.com/maps/search/?api=1&amp;query=41.754241,-88.172912","map")</f>
        <v>map</v>
      </c>
    </row>
    <row r="2941" spans="1:32">
      <c r="A2941" t="s">
        <v>2991</v>
      </c>
      <c r="B2941" t="s">
        <v>10524</v>
      </c>
      <c r="C2941" t="s">
        <v>15475</v>
      </c>
      <c r="D2941" t="s">
        <v>16206</v>
      </c>
      <c r="E2941" t="s">
        <v>16218</v>
      </c>
      <c r="F2941" t="s">
        <v>16220</v>
      </c>
      <c r="G2941" t="s">
        <v>16274</v>
      </c>
      <c r="H2941" t="s">
        <v>16269</v>
      </c>
      <c r="I2941" t="s">
        <v>16352</v>
      </c>
      <c r="J2941" t="s">
        <v>16386</v>
      </c>
      <c r="K2941">
        <v>0.234</v>
      </c>
      <c r="L2941">
        <v>10198</v>
      </c>
      <c r="M2941">
        <v>1979</v>
      </c>
      <c r="N2941" t="s">
        <v>16393</v>
      </c>
      <c r="O2941" s="4">
        <v>49492</v>
      </c>
      <c r="P2941" s="4">
        <v>141384</v>
      </c>
      <c r="Q2941" s="4">
        <v>190876</v>
      </c>
      <c r="R2941" s="4">
        <v>572628</v>
      </c>
      <c r="S2941" t="s">
        <v>19254</v>
      </c>
      <c r="T2941" s="6">
        <v>41214</v>
      </c>
      <c r="U2941" s="4">
        <v>297000</v>
      </c>
      <c r="V2941" t="s">
        <v>16232</v>
      </c>
      <c r="W2941" t="s">
        <v>25164</v>
      </c>
      <c r="X2941" t="s">
        <v>3</v>
      </c>
      <c r="AA2941" s="5" t="str">
        <f>HYPERLINK("https://www.zillow.com/homes/900-S-RIVER-RD-NAPERVILLE-IL-60540_rb/","check listing")</f>
        <v>check listing</v>
      </c>
      <c r="AB2941" s="5" t="str">
        <f>HYPERLINK("https://propertylookup.dupagecounty.gov/Datalets/Datalet.aspx?UseSearch=no&amp;mode=sales&amp;pin=0726204001","sales record")</f>
        <v>sales record</v>
      </c>
      <c r="AC2941" t="s">
        <v>3</v>
      </c>
      <c r="AD2941">
        <v>41.75425</v>
      </c>
      <c r="AE2941">
        <v>-88.17223</v>
      </c>
      <c r="AF2941" s="5" t="str">
        <f>HYPERLINK("https://www.google.com/maps/search/?api=1&amp;query=41.75425,-88.17223","map")</f>
        <v>map</v>
      </c>
    </row>
    <row r="2942" spans="1:32">
      <c r="A2942" t="s">
        <v>2992</v>
      </c>
      <c r="B2942" t="s">
        <v>10525</v>
      </c>
      <c r="C2942" t="s">
        <v>15475</v>
      </c>
      <c r="D2942" t="s">
        <v>16206</v>
      </c>
      <c r="E2942" t="s">
        <v>16218</v>
      </c>
      <c r="F2942" t="s">
        <v>16220</v>
      </c>
      <c r="G2942" t="s">
        <v>16274</v>
      </c>
      <c r="H2942" t="s">
        <v>16269</v>
      </c>
      <c r="I2942" t="s">
        <v>16352</v>
      </c>
      <c r="J2942" t="s">
        <v>16386</v>
      </c>
      <c r="K2942">
        <v>0.234</v>
      </c>
      <c r="L2942">
        <v>10195</v>
      </c>
      <c r="M2942">
        <v>3001</v>
      </c>
      <c r="N2942" t="s">
        <v>16393</v>
      </c>
      <c r="O2942" s="4">
        <v>52128</v>
      </c>
      <c r="P2942" s="4">
        <v>142923</v>
      </c>
      <c r="Q2942" s="4">
        <v>195051</v>
      </c>
      <c r="R2942" s="4">
        <v>585153</v>
      </c>
      <c r="S2942" t="s">
        <v>19255</v>
      </c>
      <c r="T2942" s="6">
        <v>36770</v>
      </c>
      <c r="U2942" s="4">
        <v>287500</v>
      </c>
      <c r="V2942" t="s">
        <v>23739</v>
      </c>
      <c r="W2942" t="s">
        <v>25165</v>
      </c>
      <c r="X2942" t="s">
        <v>3</v>
      </c>
      <c r="AA2942" s="5" t="str">
        <f>HYPERLINK("https://www.zillow.com/homes/1157-ARDMORE-DR-NAPERVILLE-IL-60540_rb/","check listing")</f>
        <v>check listing</v>
      </c>
      <c r="AB2942" s="5" t="str">
        <f>HYPERLINK("https://propertylookup.dupagecounty.gov/Datalets/Datalet.aspx?UseSearch=no&amp;mode=sales&amp;pin=0723413007","sales record")</f>
        <v>sales record</v>
      </c>
      <c r="AC2942" t="s">
        <v>3</v>
      </c>
      <c r="AD2942">
        <v>41.75515</v>
      </c>
      <c r="AE2942">
        <v>-88.16780199999999</v>
      </c>
      <c r="AF2942" s="5" t="str">
        <f>HYPERLINK("https://www.google.com/maps/search/?api=1&amp;query=41.75515,-88.167802","map")</f>
        <v>map</v>
      </c>
    </row>
    <row r="2943" spans="1:32">
      <c r="A2943" t="s">
        <v>2993</v>
      </c>
      <c r="B2943" t="s">
        <v>10526</v>
      </c>
      <c r="C2943" t="s">
        <v>15475</v>
      </c>
      <c r="D2943" t="s">
        <v>16206</v>
      </c>
      <c r="E2943" t="s">
        <v>16218</v>
      </c>
      <c r="F2943" t="s">
        <v>16220</v>
      </c>
      <c r="G2943" t="s">
        <v>16274</v>
      </c>
      <c r="H2943" t="s">
        <v>16269</v>
      </c>
      <c r="I2943" t="s">
        <v>16352</v>
      </c>
      <c r="J2943" t="s">
        <v>16386</v>
      </c>
      <c r="K2943">
        <v>0.234</v>
      </c>
      <c r="L2943">
        <v>10176</v>
      </c>
      <c r="M2943">
        <v>2309</v>
      </c>
      <c r="N2943" t="s">
        <v>16393</v>
      </c>
      <c r="O2943" s="4">
        <v>62185</v>
      </c>
      <c r="P2943" s="4">
        <v>123980</v>
      </c>
      <c r="Q2943" s="4">
        <v>186165</v>
      </c>
      <c r="R2943" s="4">
        <v>558495</v>
      </c>
      <c r="S2943" t="s">
        <v>19256</v>
      </c>
      <c r="T2943" s="6">
        <v>41518</v>
      </c>
      <c r="U2943" s="4">
        <v>356000</v>
      </c>
      <c r="V2943" t="s">
        <v>23739</v>
      </c>
      <c r="W2943" t="s">
        <v>25166</v>
      </c>
      <c r="X2943" t="s">
        <v>3</v>
      </c>
      <c r="AA2943" s="5" t="str">
        <f>HYPERLINK("https://www.zillow.com/homes/965-ELM-CT-NAPERVILLE-IL-60540_rb/","check listing")</f>
        <v>check listing</v>
      </c>
      <c r="AB2943" s="5" t="str">
        <f>HYPERLINK("https://propertylookup.dupagecounty.gov/Datalets/Datalet.aspx?UseSearch=no&amp;mode=sales&amp;pin=0726208011","sales record")</f>
        <v>sales record</v>
      </c>
      <c r="AC2943" t="s">
        <v>3</v>
      </c>
      <c r="AD2943">
        <v>41.751023</v>
      </c>
      <c r="AE2943">
        <v>-88.173222</v>
      </c>
      <c r="AF2943" s="5" t="str">
        <f>HYPERLINK("https://www.google.com/maps/search/?api=1&amp;query=41.751023,-88.173222","map")</f>
        <v>map</v>
      </c>
    </row>
    <row r="2944" spans="1:32">
      <c r="A2944" t="s">
        <v>2994</v>
      </c>
      <c r="B2944" t="s">
        <v>10527</v>
      </c>
      <c r="C2944" t="s">
        <v>15527</v>
      </c>
      <c r="D2944" t="s">
        <v>16206</v>
      </c>
      <c r="E2944" t="s">
        <v>16218</v>
      </c>
      <c r="F2944" t="s">
        <v>16220</v>
      </c>
      <c r="G2944" t="s">
        <v>16276</v>
      </c>
      <c r="H2944" t="s">
        <v>16276</v>
      </c>
      <c r="I2944" t="s">
        <v>16352</v>
      </c>
      <c r="J2944" t="s">
        <v>16386</v>
      </c>
      <c r="K2944">
        <v>0.233</v>
      </c>
      <c r="L2944">
        <v>10166</v>
      </c>
      <c r="M2944">
        <v>1995</v>
      </c>
      <c r="N2944" t="s">
        <v>16393</v>
      </c>
      <c r="O2944" s="4">
        <v>46367</v>
      </c>
      <c r="P2944" s="4">
        <v>116340</v>
      </c>
      <c r="Q2944" s="4">
        <v>162707</v>
      </c>
      <c r="R2944" s="4">
        <v>488121</v>
      </c>
      <c r="S2944" t="s">
        <v>19257</v>
      </c>
      <c r="T2944" s="6">
        <v>43952</v>
      </c>
      <c r="U2944" s="4">
        <v>323000</v>
      </c>
      <c r="V2944" t="s">
        <v>23739</v>
      </c>
      <c r="W2944" t="s">
        <v>25167</v>
      </c>
      <c r="X2944" t="s">
        <v>3</v>
      </c>
      <c r="AA2944" s="5" t="str">
        <f>HYPERLINK("https://www.zillow.com/homes/2112-SCHUMACHER-DR-NAPERVILLE-IL-605400966_rb/","check listing")</f>
        <v>check listing</v>
      </c>
      <c r="AB2944" s="5" t="str">
        <f>HYPERLINK("https://propertylookup.dupagecounty.gov/Datalets/Datalet.aspx?UseSearch=no&amp;mode=sales&amp;pin=0727203043","sales record")</f>
        <v>sales record</v>
      </c>
      <c r="AC2944" t="s">
        <v>3</v>
      </c>
      <c r="AD2944">
        <v>41.752684</v>
      </c>
      <c r="AE2944">
        <v>-88.18688</v>
      </c>
      <c r="AF2944" s="5" t="str">
        <f>HYPERLINK("https://www.google.com/maps/search/?api=1&amp;query=41.752684,-88.18688","map")</f>
        <v>map</v>
      </c>
    </row>
    <row r="2945" spans="1:32">
      <c r="A2945" t="s">
        <v>2995</v>
      </c>
      <c r="B2945" t="s">
        <v>10528</v>
      </c>
      <c r="C2945" t="s">
        <v>15528</v>
      </c>
      <c r="D2945" t="s">
        <v>16206</v>
      </c>
      <c r="E2945" t="s">
        <v>16218</v>
      </c>
      <c r="F2945" t="s">
        <v>16220</v>
      </c>
      <c r="G2945" t="s">
        <v>16274</v>
      </c>
      <c r="H2945" t="s">
        <v>16269</v>
      </c>
      <c r="I2945" t="s">
        <v>16352</v>
      </c>
      <c r="J2945" t="s">
        <v>16386</v>
      </c>
      <c r="K2945">
        <v>0.233</v>
      </c>
      <c r="L2945">
        <v>10166</v>
      </c>
      <c r="M2945">
        <v>2308</v>
      </c>
      <c r="N2945" t="s">
        <v>16393</v>
      </c>
      <c r="O2945" s="4">
        <v>55106</v>
      </c>
      <c r="P2945" s="4">
        <v>142837</v>
      </c>
      <c r="Q2945" s="4">
        <v>197943</v>
      </c>
      <c r="R2945" s="4">
        <v>593829</v>
      </c>
      <c r="S2945" t="s">
        <v>19258</v>
      </c>
      <c r="T2945" s="6">
        <v>43252</v>
      </c>
      <c r="U2945" s="4">
        <v>428000</v>
      </c>
      <c r="V2945" t="s">
        <v>23739</v>
      </c>
      <c r="W2945" t="s">
        <v>25168</v>
      </c>
      <c r="X2945" t="s">
        <v>3</v>
      </c>
      <c r="AA2945" s="5" t="str">
        <f>HYPERLINK("https://www.zillow.com/homes/1239-ARDMORE-DR-NAPERVILLE-IL-605400303_rb/","check listing")</f>
        <v>check listing</v>
      </c>
      <c r="AB2945" s="5" t="str">
        <f>HYPERLINK("https://propertylookup.dupagecounty.gov/Datalets/Datalet.aspx?UseSearch=no&amp;mode=sales&amp;pin=0726204022","sales record")</f>
        <v>sales record</v>
      </c>
      <c r="AC2945" t="s">
        <v>3</v>
      </c>
      <c r="AD2945">
        <v>41.753953</v>
      </c>
      <c r="AE2945">
        <v>-88.17101700000001</v>
      </c>
      <c r="AF2945" s="5" t="str">
        <f>HYPERLINK("https://www.google.com/maps/search/?api=1&amp;query=41.753953,-88.171017","map")</f>
        <v>map</v>
      </c>
    </row>
    <row r="2946" spans="1:32">
      <c r="A2946" t="s">
        <v>2996</v>
      </c>
      <c r="B2946" t="s">
        <v>10529</v>
      </c>
      <c r="C2946" t="s">
        <v>15529</v>
      </c>
      <c r="D2946" t="s">
        <v>16206</v>
      </c>
      <c r="E2946" t="s">
        <v>16218</v>
      </c>
      <c r="F2946" t="s">
        <v>16220</v>
      </c>
      <c r="G2946" t="s">
        <v>16273</v>
      </c>
      <c r="H2946" t="s">
        <v>16254</v>
      </c>
      <c r="I2946" t="s">
        <v>16351</v>
      </c>
      <c r="J2946" t="s">
        <v>16386</v>
      </c>
      <c r="K2946">
        <v>0.233</v>
      </c>
      <c r="L2946">
        <v>10165</v>
      </c>
      <c r="M2946">
        <v>3178</v>
      </c>
      <c r="N2946" t="s">
        <v>16393</v>
      </c>
      <c r="O2946" s="4">
        <v>52909</v>
      </c>
      <c r="P2946" s="4">
        <v>178416</v>
      </c>
      <c r="Q2946" s="4">
        <v>231325</v>
      </c>
      <c r="R2946" s="4">
        <v>693975</v>
      </c>
      <c r="S2946" t="s">
        <v>19259</v>
      </c>
      <c r="T2946" s="6">
        <v>44440</v>
      </c>
      <c r="U2946" s="4">
        <v>505000</v>
      </c>
      <c r="V2946" t="s">
        <v>23739</v>
      </c>
      <c r="W2946" t="s">
        <v>25169</v>
      </c>
      <c r="X2946" t="s">
        <v>3</v>
      </c>
      <c r="AA2946" s="5" t="str">
        <f>HYPERLINK("https://www.zillow.com/homes/2050-BUNKER-CIR-NAPERVILLE-IL-605631892_rb/","check listing")</f>
        <v>check listing</v>
      </c>
      <c r="AB2946" s="5" t="str">
        <f>HYPERLINK("https://propertylookup.dupagecounty.gov/Datalets/Datalet.aspx?UseSearch=no&amp;mode=sales&amp;pin=0709200019","sales record")</f>
        <v>sales record</v>
      </c>
      <c r="AC2946" t="s">
        <v>3</v>
      </c>
      <c r="AD2946">
        <v>41.795771</v>
      </c>
      <c r="AE2946">
        <v>-88.21219000000001</v>
      </c>
      <c r="AF2946" s="5" t="str">
        <f>HYPERLINK("https://www.google.com/maps/search/?api=1&amp;query=41.795771,-88.21219","map")</f>
        <v>map</v>
      </c>
    </row>
    <row r="2947" spans="1:32">
      <c r="A2947" t="s">
        <v>2997</v>
      </c>
      <c r="B2947" t="s">
        <v>10530</v>
      </c>
      <c r="C2947" t="s">
        <v>15475</v>
      </c>
      <c r="D2947" t="s">
        <v>16206</v>
      </c>
      <c r="E2947" t="s">
        <v>16218</v>
      </c>
      <c r="F2947" t="s">
        <v>16220</v>
      </c>
      <c r="G2947" t="s">
        <v>16276</v>
      </c>
      <c r="H2947" t="s">
        <v>16276</v>
      </c>
      <c r="I2947" t="s">
        <v>16352</v>
      </c>
      <c r="J2947" t="s">
        <v>16386</v>
      </c>
      <c r="K2947">
        <v>0.233</v>
      </c>
      <c r="L2947">
        <v>10160</v>
      </c>
      <c r="M2947">
        <v>2145</v>
      </c>
      <c r="N2947" t="s">
        <v>16393</v>
      </c>
      <c r="O2947" s="4">
        <v>61819</v>
      </c>
      <c r="P2947" s="4">
        <v>117475</v>
      </c>
      <c r="Q2947" s="4">
        <v>179294</v>
      </c>
      <c r="R2947" s="4">
        <v>537882</v>
      </c>
      <c r="S2947" t="s">
        <v>19260</v>
      </c>
      <c r="T2947" s="6">
        <v>45825</v>
      </c>
      <c r="U2947" s="4">
        <v>550000</v>
      </c>
      <c r="V2947" t="s">
        <v>23739</v>
      </c>
      <c r="W2947" t="s">
        <v>25170</v>
      </c>
      <c r="X2947" t="s">
        <v>3</v>
      </c>
      <c r="AA2947" s="5" t="str">
        <f>HYPERLINK("https://www.zillow.com/homes/2008-CHANG-CT-NAPERVILLE-IL-60540_rb/","check listing")</f>
        <v>check listing</v>
      </c>
      <c r="AB2947" s="5" t="str">
        <f>HYPERLINK("https://propertylookup.dupagecounty.gov/Datalets/Datalet.aspx?UseSearch=no&amp;mode=sales&amp;pin=0727203030","sales record")</f>
        <v>sales record</v>
      </c>
      <c r="AC2947" t="s">
        <v>3</v>
      </c>
      <c r="AD2947">
        <v>41.75126</v>
      </c>
      <c r="AE2947">
        <v>-88.1878</v>
      </c>
      <c r="AF2947" s="5" t="str">
        <f>HYPERLINK("https://www.google.com/maps/search/?api=1&amp;query=41.75126,-88.1878","map")</f>
        <v>map</v>
      </c>
    </row>
    <row r="2948" spans="1:32">
      <c r="A2948" t="s">
        <v>2998</v>
      </c>
      <c r="B2948" t="s">
        <v>10531</v>
      </c>
      <c r="C2948" t="s">
        <v>15475</v>
      </c>
      <c r="D2948" t="s">
        <v>16206</v>
      </c>
      <c r="E2948" t="s">
        <v>16218</v>
      </c>
      <c r="F2948" t="s">
        <v>16220</v>
      </c>
      <c r="G2948" t="s">
        <v>16275</v>
      </c>
      <c r="H2948" t="s">
        <v>16276</v>
      </c>
      <c r="I2948" t="s">
        <v>16352</v>
      </c>
      <c r="J2948" t="s">
        <v>16386</v>
      </c>
      <c r="K2948">
        <v>0.233</v>
      </c>
      <c r="L2948">
        <v>10158</v>
      </c>
      <c r="M2948">
        <v>2722</v>
      </c>
      <c r="N2948" t="s">
        <v>16393</v>
      </c>
      <c r="O2948" s="4">
        <v>60697</v>
      </c>
      <c r="P2948" s="4">
        <v>135135</v>
      </c>
      <c r="Q2948" s="4">
        <v>195832</v>
      </c>
      <c r="R2948" s="4">
        <v>587496</v>
      </c>
      <c r="S2948" t="s">
        <v>19261</v>
      </c>
      <c r="T2948" s="6">
        <v>34943</v>
      </c>
      <c r="U2948" s="4">
        <v>248188</v>
      </c>
      <c r="X2948" t="s">
        <v>3</v>
      </c>
      <c r="AA2948" s="5" t="str">
        <f>HYPERLINK("https://www.zillow.com/homes/627-WINTERGREEN-CIR-NAPERVILLE-IL-60540_rb/","check listing")</f>
        <v>check listing</v>
      </c>
      <c r="AB2948" s="5" t="str">
        <f>HYPERLINK("https://propertylookup.dupagecounty.gov/Datalets/Datalet.aspx?UseSearch=no&amp;mode=sales&amp;pin=0722404021","sales record")</f>
        <v>sales record</v>
      </c>
      <c r="AC2948" t="s">
        <v>3</v>
      </c>
      <c r="AD2948">
        <v>41.761086</v>
      </c>
      <c r="AE2948">
        <v>-88.19323799999999</v>
      </c>
      <c r="AF2948" s="5" t="str">
        <f>HYPERLINK("https://www.google.com/maps/search/?api=1&amp;query=41.761086,-88.193238","map")</f>
        <v>map</v>
      </c>
    </row>
    <row r="2949" spans="1:32">
      <c r="A2949" t="s">
        <v>2999</v>
      </c>
      <c r="B2949" t="s">
        <v>10532</v>
      </c>
      <c r="C2949" t="s">
        <v>15475</v>
      </c>
      <c r="D2949" t="s">
        <v>16206</v>
      </c>
      <c r="E2949" t="s">
        <v>16218</v>
      </c>
      <c r="F2949" t="s">
        <v>16220</v>
      </c>
      <c r="G2949" t="s">
        <v>16274</v>
      </c>
      <c r="H2949" t="s">
        <v>16269</v>
      </c>
      <c r="I2949" t="s">
        <v>16352</v>
      </c>
      <c r="J2949" t="s">
        <v>16386</v>
      </c>
      <c r="K2949">
        <v>0.233</v>
      </c>
      <c r="L2949">
        <v>10143</v>
      </c>
      <c r="M2949">
        <v>2226</v>
      </c>
      <c r="N2949" t="s">
        <v>16393</v>
      </c>
      <c r="O2949" s="4">
        <v>65322</v>
      </c>
      <c r="P2949" s="4">
        <v>161682</v>
      </c>
      <c r="Q2949" s="4">
        <v>227004</v>
      </c>
      <c r="R2949" s="4">
        <v>681012</v>
      </c>
      <c r="S2949" t="s">
        <v>19262</v>
      </c>
      <c r="T2949" s="6">
        <v>37530</v>
      </c>
      <c r="U2949" s="4">
        <v>360000</v>
      </c>
      <c r="V2949" t="s">
        <v>23739</v>
      </c>
      <c r="W2949" t="s">
        <v>19262</v>
      </c>
      <c r="X2949" t="s">
        <v>3</v>
      </c>
      <c r="AA2949" s="5" t="str">
        <f>HYPERLINK("https://www.zillow.com/homes/616-OAKHURST-DR-NAPERVILLE-IL-60540_rb/","check listing")</f>
        <v>check listing</v>
      </c>
      <c r="AB2949" s="5" t="str">
        <f>HYPERLINK("https://propertylookup.dupagecounty.gov/Datalets/Datalet.aspx?UseSearch=no&amp;mode=sales&amp;pin=0723305007","sales record")</f>
        <v>sales record</v>
      </c>
      <c r="AC2949" t="s">
        <v>3</v>
      </c>
      <c r="AD2949">
        <v>41.76079</v>
      </c>
      <c r="AE2949">
        <v>-88.177488</v>
      </c>
      <c r="AF2949" s="5" t="str">
        <f>HYPERLINK("https://www.google.com/maps/search/?api=1&amp;query=41.76079,-88.177488","map")</f>
        <v>map</v>
      </c>
    </row>
    <row r="2950" spans="1:32">
      <c r="A2950" t="s">
        <v>3000</v>
      </c>
      <c r="B2950" t="s">
        <v>10533</v>
      </c>
      <c r="C2950" t="s">
        <v>15475</v>
      </c>
      <c r="D2950" t="s">
        <v>16206</v>
      </c>
      <c r="E2950" t="s">
        <v>16218</v>
      </c>
      <c r="F2950" t="s">
        <v>16220</v>
      </c>
      <c r="G2950" t="s">
        <v>16274</v>
      </c>
      <c r="H2950" t="s">
        <v>16269</v>
      </c>
      <c r="I2950" t="s">
        <v>16352</v>
      </c>
      <c r="J2950" t="s">
        <v>16386</v>
      </c>
      <c r="K2950">
        <v>0.233</v>
      </c>
      <c r="L2950">
        <v>10142</v>
      </c>
      <c r="M2950">
        <v>2802</v>
      </c>
      <c r="N2950" t="s">
        <v>16393</v>
      </c>
      <c r="O2950" s="4">
        <v>58060</v>
      </c>
      <c r="P2950" s="4">
        <v>157276</v>
      </c>
      <c r="Q2950" s="4">
        <v>215336</v>
      </c>
      <c r="R2950" s="4">
        <v>646008</v>
      </c>
      <c r="S2950" t="s">
        <v>19263</v>
      </c>
      <c r="T2950" s="6">
        <v>44991</v>
      </c>
      <c r="U2950" s="4">
        <v>650000</v>
      </c>
      <c r="V2950" t="s">
        <v>23739</v>
      </c>
      <c r="W2950" t="s">
        <v>25171</v>
      </c>
      <c r="X2950" t="s">
        <v>3</v>
      </c>
      <c r="AA2950" s="5" t="str">
        <f>HYPERLINK("https://www.zillow.com/homes/634-OAKHURST-DR-NAPERVILLE-IL-60540_rb/","check listing")</f>
        <v>check listing</v>
      </c>
      <c r="AB2950" s="5" t="str">
        <f>HYPERLINK("https://propertylookup.dupagecounty.gov/Datalets/Datalet.aspx?UseSearch=no&amp;mode=sales&amp;pin=0723305014","sales record")</f>
        <v>sales record</v>
      </c>
      <c r="AC2950" t="s">
        <v>3</v>
      </c>
      <c r="AD2950">
        <v>41.759779</v>
      </c>
      <c r="AE2950">
        <v>-88.17800800000001</v>
      </c>
      <c r="AF2950" s="5" t="str">
        <f>HYPERLINK("https://www.google.com/maps/search/?api=1&amp;query=41.759779,-88.178008","map")</f>
        <v>map</v>
      </c>
    </row>
    <row r="2951" spans="1:32">
      <c r="A2951" t="s">
        <v>3001</v>
      </c>
      <c r="B2951" t="s">
        <v>10534</v>
      </c>
      <c r="C2951" t="s">
        <v>15478</v>
      </c>
      <c r="D2951" t="s">
        <v>16206</v>
      </c>
      <c r="E2951" t="s">
        <v>16218</v>
      </c>
      <c r="F2951" t="s">
        <v>16220</v>
      </c>
      <c r="G2951" t="s">
        <v>16274</v>
      </c>
      <c r="H2951" t="s">
        <v>16269</v>
      </c>
      <c r="I2951" t="s">
        <v>16352</v>
      </c>
      <c r="J2951" t="s">
        <v>16386</v>
      </c>
      <c r="K2951">
        <v>0.233</v>
      </c>
      <c r="L2951">
        <v>10137</v>
      </c>
      <c r="M2951">
        <v>2639</v>
      </c>
      <c r="N2951" t="s">
        <v>16393</v>
      </c>
      <c r="O2951" s="4">
        <v>52055</v>
      </c>
      <c r="P2951" s="4">
        <v>164526</v>
      </c>
      <c r="Q2951" s="4">
        <v>216581</v>
      </c>
      <c r="R2951" s="4">
        <v>649743</v>
      </c>
      <c r="S2951" t="s">
        <v>19264</v>
      </c>
      <c r="T2951" s="6">
        <v>38626</v>
      </c>
      <c r="U2951" s="4">
        <v>470000</v>
      </c>
      <c r="V2951" t="s">
        <v>23739</v>
      </c>
      <c r="W2951" t="s">
        <v>25172</v>
      </c>
      <c r="X2951" t="s">
        <v>3</v>
      </c>
      <c r="AA2951" s="5" t="str">
        <f>HYPERLINK("https://www.zillow.com/homes/1195-REDFIELD-RD-NAPERVILLE-IL-60563_rb/","check listing")</f>
        <v>check listing</v>
      </c>
      <c r="AB2951" s="5" t="str">
        <f>HYPERLINK("https://propertylookup.dupagecounty.gov/Datalets/Datalet.aspx?UseSearch=no&amp;mode=sales&amp;pin=0710412005","sales record")</f>
        <v>sales record</v>
      </c>
      <c r="AC2951" t="s">
        <v>3</v>
      </c>
      <c r="AD2951">
        <v>41.790749</v>
      </c>
      <c r="AE2951">
        <v>-88.188819</v>
      </c>
      <c r="AF2951" s="5" t="str">
        <f>HYPERLINK("https://www.google.com/maps/search/?api=1&amp;query=41.790749,-88.188819","map")</f>
        <v>map</v>
      </c>
    </row>
    <row r="2952" spans="1:32">
      <c r="A2952" t="s">
        <v>3002</v>
      </c>
      <c r="B2952" t="s">
        <v>10535</v>
      </c>
      <c r="C2952" t="s">
        <v>15475</v>
      </c>
      <c r="D2952" t="s">
        <v>16206</v>
      </c>
      <c r="E2952" t="s">
        <v>16218</v>
      </c>
      <c r="F2952" t="s">
        <v>16220</v>
      </c>
      <c r="G2952" t="s">
        <v>16274</v>
      </c>
      <c r="H2952" t="s">
        <v>16269</v>
      </c>
      <c r="I2952" t="s">
        <v>16352</v>
      </c>
      <c r="J2952" t="s">
        <v>16386</v>
      </c>
      <c r="K2952">
        <v>0.233</v>
      </c>
      <c r="L2952">
        <v>10132</v>
      </c>
      <c r="M2952">
        <v>3001</v>
      </c>
      <c r="N2952" t="s">
        <v>16393</v>
      </c>
      <c r="O2952" s="4">
        <v>65322</v>
      </c>
      <c r="P2952" s="4">
        <v>187313</v>
      </c>
      <c r="Q2952" s="4">
        <v>252635</v>
      </c>
      <c r="R2952" s="4">
        <v>757905</v>
      </c>
      <c r="S2952" t="s">
        <v>19265</v>
      </c>
      <c r="T2952" s="6">
        <v>42767</v>
      </c>
      <c r="U2952" s="4">
        <v>500000</v>
      </c>
      <c r="V2952" t="s">
        <v>23739</v>
      </c>
      <c r="W2952" t="s">
        <v>25173</v>
      </c>
      <c r="X2952" t="s">
        <v>3</v>
      </c>
      <c r="AA2952" s="5" t="str">
        <f>HYPERLINK("https://www.zillow.com/homes/604-OAKHURST-DR-NAPERVILLE-IL-60540_rb/","check listing")</f>
        <v>check listing</v>
      </c>
      <c r="AB2952" s="5" t="str">
        <f>HYPERLINK("https://propertylookup.dupagecounty.gov/Datalets/Datalet.aspx?UseSearch=no&amp;mode=sales&amp;pin=0723305004","sales record")</f>
        <v>sales record</v>
      </c>
      <c r="AC2952" t="s">
        <v>3</v>
      </c>
      <c r="AD2952">
        <v>41.761412</v>
      </c>
      <c r="AE2952">
        <v>-88.177829</v>
      </c>
      <c r="AF2952" s="5" t="str">
        <f>HYPERLINK("https://www.google.com/maps/search/?api=1&amp;query=41.761412,-88.177829","map")</f>
        <v>map</v>
      </c>
    </row>
    <row r="2953" spans="1:32">
      <c r="A2953" t="s">
        <v>3003</v>
      </c>
      <c r="B2953" t="s">
        <v>10536</v>
      </c>
      <c r="C2953" t="s">
        <v>15475</v>
      </c>
      <c r="D2953" t="s">
        <v>16206</v>
      </c>
      <c r="E2953" t="s">
        <v>16218</v>
      </c>
      <c r="F2953" t="s">
        <v>16220</v>
      </c>
      <c r="G2953" t="s">
        <v>16274</v>
      </c>
      <c r="H2953" t="s">
        <v>16269</v>
      </c>
      <c r="I2953" t="s">
        <v>16352</v>
      </c>
      <c r="J2953" t="s">
        <v>16386</v>
      </c>
      <c r="K2953">
        <v>0.232</v>
      </c>
      <c r="L2953">
        <v>10127</v>
      </c>
      <c r="M2953">
        <v>2637</v>
      </c>
      <c r="N2953" t="s">
        <v>16393</v>
      </c>
      <c r="O2953" s="4">
        <v>58060</v>
      </c>
      <c r="P2953" s="4">
        <v>178892</v>
      </c>
      <c r="Q2953" s="4">
        <v>236952</v>
      </c>
      <c r="R2953" s="4">
        <v>710856</v>
      </c>
      <c r="S2953" t="s">
        <v>19266</v>
      </c>
      <c r="T2953" s="6">
        <v>39203</v>
      </c>
      <c r="U2953" s="4">
        <v>528500</v>
      </c>
      <c r="V2953" t="s">
        <v>23739</v>
      </c>
      <c r="W2953" t="s">
        <v>25174</v>
      </c>
      <c r="X2953" t="s">
        <v>3</v>
      </c>
      <c r="AA2953" s="5" t="str">
        <f>HYPERLINK("https://www.zillow.com/homes/639-OAKHURST-DR-NAPERVILLE-IL-60540_rb/","check listing")</f>
        <v>check listing</v>
      </c>
      <c r="AB2953" s="5" t="str">
        <f>HYPERLINK("https://propertylookup.dupagecounty.gov/Datalets/Datalet.aspx?UseSearch=no&amp;mode=sales&amp;pin=0723304009","sales record")</f>
        <v>sales record</v>
      </c>
      <c r="AC2953" t="s">
        <v>3</v>
      </c>
      <c r="AD2953">
        <v>41.76018</v>
      </c>
      <c r="AE2953">
        <v>-88.17864299999999</v>
      </c>
      <c r="AF2953" s="5" t="str">
        <f>HYPERLINK("https://www.google.com/maps/search/?api=1&amp;query=41.76018,-88.178643","map")</f>
        <v>map</v>
      </c>
    </row>
    <row r="2954" spans="1:32">
      <c r="A2954" t="s">
        <v>3004</v>
      </c>
      <c r="B2954" t="s">
        <v>10537</v>
      </c>
      <c r="C2954" t="s">
        <v>15475</v>
      </c>
      <c r="D2954" t="s">
        <v>16206</v>
      </c>
      <c r="E2954" t="s">
        <v>16218</v>
      </c>
      <c r="F2954" t="s">
        <v>16220</v>
      </c>
      <c r="G2954" t="s">
        <v>16274</v>
      </c>
      <c r="H2954" t="s">
        <v>16269</v>
      </c>
      <c r="I2954" t="s">
        <v>16352</v>
      </c>
      <c r="J2954" t="s">
        <v>16386</v>
      </c>
      <c r="K2954">
        <v>0.232</v>
      </c>
      <c r="L2954">
        <v>10127</v>
      </c>
      <c r="M2954">
        <v>2631</v>
      </c>
      <c r="N2954" t="s">
        <v>16393</v>
      </c>
      <c r="O2954" s="4">
        <v>65322</v>
      </c>
      <c r="P2954" s="4">
        <v>190669</v>
      </c>
      <c r="Q2954" s="4">
        <v>255991</v>
      </c>
      <c r="R2954" s="4">
        <v>767973</v>
      </c>
      <c r="S2954" t="s">
        <v>19267</v>
      </c>
      <c r="T2954" s="6">
        <v>41183</v>
      </c>
      <c r="U2954" s="4">
        <v>440000</v>
      </c>
      <c r="V2954" t="s">
        <v>23739</v>
      </c>
      <c r="W2954" t="s">
        <v>25175</v>
      </c>
      <c r="X2954" t="s">
        <v>3</v>
      </c>
      <c r="AA2954" s="5" t="str">
        <f>HYPERLINK("https://www.zillow.com/homes/600-OAKHURST-DR-NAPERVILLE-IL-60540_rb/","check listing")</f>
        <v>check listing</v>
      </c>
      <c r="AB2954" s="5" t="str">
        <f>HYPERLINK("https://propertylookup.dupagecounty.gov/Datalets/Datalet.aspx?UseSearch=no&amp;mode=sales&amp;pin=0723305003","sales record")</f>
        <v>sales record</v>
      </c>
      <c r="AC2954" t="s">
        <v>3</v>
      </c>
      <c r="AD2954">
        <v>41.761602</v>
      </c>
      <c r="AE2954">
        <v>-88.177933</v>
      </c>
      <c r="AF2954" s="5" t="str">
        <f>HYPERLINK("https://www.google.com/maps/search/?api=1&amp;query=41.761602,-88.177933","map")</f>
        <v>map</v>
      </c>
    </row>
    <row r="2955" spans="1:32">
      <c r="A2955" t="s">
        <v>3005</v>
      </c>
      <c r="B2955" t="s">
        <v>10538</v>
      </c>
      <c r="C2955" t="s">
        <v>15475</v>
      </c>
      <c r="D2955" t="s">
        <v>16206</v>
      </c>
      <c r="E2955" t="s">
        <v>16218</v>
      </c>
      <c r="F2955" t="s">
        <v>16220</v>
      </c>
      <c r="G2955" t="s">
        <v>16274</v>
      </c>
      <c r="H2955" t="s">
        <v>16269</v>
      </c>
      <c r="I2955" t="s">
        <v>16352</v>
      </c>
      <c r="J2955" t="s">
        <v>16386</v>
      </c>
      <c r="K2955">
        <v>0.232</v>
      </c>
      <c r="L2955">
        <v>10126</v>
      </c>
      <c r="M2955">
        <v>2574</v>
      </c>
      <c r="N2955" t="s">
        <v>16393</v>
      </c>
      <c r="O2955" s="4">
        <v>58060</v>
      </c>
      <c r="P2955" s="4">
        <v>179623</v>
      </c>
      <c r="Q2955" s="4">
        <v>237683</v>
      </c>
      <c r="R2955" s="4">
        <v>713049</v>
      </c>
      <c r="S2955" t="s">
        <v>19268</v>
      </c>
      <c r="T2955" s="6">
        <v>40238</v>
      </c>
      <c r="U2955" s="4">
        <v>506500</v>
      </c>
      <c r="V2955" t="s">
        <v>23739</v>
      </c>
      <c r="W2955" t="s">
        <v>25176</v>
      </c>
      <c r="X2955" t="s">
        <v>3</v>
      </c>
      <c r="AA2955" s="5" t="str">
        <f>HYPERLINK("https://www.zillow.com/homes/638-OAKHURST-DR-NAPERVILLE-IL-60540_rb/","check listing")</f>
        <v>check listing</v>
      </c>
      <c r="AB2955" s="5" t="str">
        <f>HYPERLINK("https://propertylookup.dupagecounty.gov/Datalets/Datalet.aspx?UseSearch=no&amp;mode=sales&amp;pin=0723305015","sales record")</f>
        <v>sales record</v>
      </c>
      <c r="AC2955" t="s">
        <v>3</v>
      </c>
      <c r="AD2955">
        <v>41.759701</v>
      </c>
      <c r="AE2955">
        <v>-88.178262</v>
      </c>
      <c r="AF2955" s="5" t="str">
        <f>HYPERLINK("https://www.google.com/maps/search/?api=1&amp;query=41.759701,-88.178262","map")</f>
        <v>map</v>
      </c>
    </row>
    <row r="2956" spans="1:32">
      <c r="A2956" t="s">
        <v>3006</v>
      </c>
      <c r="B2956" t="s">
        <v>10539</v>
      </c>
      <c r="C2956" t="s">
        <v>15475</v>
      </c>
      <c r="D2956" t="s">
        <v>16206</v>
      </c>
      <c r="E2956" t="s">
        <v>16218</v>
      </c>
      <c r="F2956" t="s">
        <v>16220</v>
      </c>
      <c r="G2956" t="s">
        <v>16274</v>
      </c>
      <c r="H2956" t="s">
        <v>16269</v>
      </c>
      <c r="I2956" t="s">
        <v>16352</v>
      </c>
      <c r="J2956" t="s">
        <v>16386</v>
      </c>
      <c r="K2956">
        <v>0.232</v>
      </c>
      <c r="L2956">
        <v>10126</v>
      </c>
      <c r="M2956">
        <v>2473</v>
      </c>
      <c r="N2956" t="s">
        <v>16393</v>
      </c>
      <c r="O2956" s="4">
        <v>58060</v>
      </c>
      <c r="P2956" s="4">
        <v>158130</v>
      </c>
      <c r="Q2956" s="4">
        <v>216190</v>
      </c>
      <c r="R2956" s="4">
        <v>648570</v>
      </c>
      <c r="S2956" t="s">
        <v>19269</v>
      </c>
      <c r="T2956" s="6">
        <v>31260</v>
      </c>
      <c r="U2956" s="4">
        <v>167000</v>
      </c>
      <c r="X2956" t="s">
        <v>3</v>
      </c>
      <c r="AA2956" s="5" t="str">
        <f>HYPERLINK("https://www.zillow.com/homes/643-OAKHURST-CT-NAPERVILLE-IL-60540_rb/","check listing")</f>
        <v>check listing</v>
      </c>
      <c r="AB2956" s="5" t="str">
        <f>HYPERLINK("https://propertylookup.dupagecounty.gov/Datalets/Datalet.aspx?UseSearch=no&amp;mode=sales&amp;pin=0723304008","sales record")</f>
        <v>sales record</v>
      </c>
      <c r="AC2956" t="s">
        <v>3</v>
      </c>
      <c r="AD2956">
        <v>41.760102</v>
      </c>
      <c r="AE2956">
        <v>-88.178898</v>
      </c>
      <c r="AF2956" s="5" t="str">
        <f>HYPERLINK("https://www.google.com/maps/search/?api=1&amp;query=41.760102,-88.178898","map")</f>
        <v>map</v>
      </c>
    </row>
    <row r="2957" spans="1:32">
      <c r="A2957" t="s">
        <v>3007</v>
      </c>
      <c r="B2957" t="s">
        <v>10540</v>
      </c>
      <c r="C2957" t="s">
        <v>15475</v>
      </c>
      <c r="D2957" t="s">
        <v>16206</v>
      </c>
      <c r="E2957" t="s">
        <v>16218</v>
      </c>
      <c r="F2957" t="s">
        <v>16220</v>
      </c>
      <c r="G2957" t="s">
        <v>16274</v>
      </c>
      <c r="H2957" t="s">
        <v>16269</v>
      </c>
      <c r="I2957" t="s">
        <v>16352</v>
      </c>
      <c r="J2957" t="s">
        <v>16386</v>
      </c>
      <c r="K2957">
        <v>0.232</v>
      </c>
      <c r="L2957">
        <v>10126</v>
      </c>
      <c r="M2957">
        <v>2639</v>
      </c>
      <c r="N2957" t="s">
        <v>16393</v>
      </c>
      <c r="O2957" s="4">
        <v>58060</v>
      </c>
      <c r="P2957" s="4">
        <v>171165</v>
      </c>
      <c r="Q2957" s="4">
        <v>229225</v>
      </c>
      <c r="R2957" s="4">
        <v>687675</v>
      </c>
      <c r="S2957" t="s">
        <v>19270</v>
      </c>
      <c r="T2957" s="6">
        <v>40238</v>
      </c>
      <c r="U2957" s="4">
        <v>438500</v>
      </c>
      <c r="V2957" t="s">
        <v>23739</v>
      </c>
      <c r="W2957" t="s">
        <v>25177</v>
      </c>
      <c r="X2957" t="s">
        <v>3</v>
      </c>
      <c r="AA2957" s="5" t="str">
        <f>HYPERLINK("https://www.zillow.com/homes/618-WHISPERING-HILLS-NAPERVILLE-IL-60540_rb/","check listing")</f>
        <v>check listing</v>
      </c>
      <c r="AB2957" s="5" t="str">
        <f>HYPERLINK("https://propertylookup.dupagecounty.gov/Datalets/Datalet.aspx?UseSearch=no&amp;mode=sales&amp;pin=0723304005","sales record")</f>
        <v>sales record</v>
      </c>
      <c r="AC2957" t="s">
        <v>3</v>
      </c>
      <c r="AD2957">
        <v>41.760082</v>
      </c>
      <c r="AE2957">
        <v>-88.17959999999999</v>
      </c>
      <c r="AF2957" s="5" t="str">
        <f>HYPERLINK("https://www.google.com/maps/search/?api=1&amp;query=41.760082,-88.1796","map")</f>
        <v>map</v>
      </c>
    </row>
    <row r="2958" spans="1:32">
      <c r="A2958" t="s">
        <v>3008</v>
      </c>
      <c r="B2958" t="s">
        <v>10541</v>
      </c>
      <c r="C2958" t="s">
        <v>15475</v>
      </c>
      <c r="D2958" t="s">
        <v>16206</v>
      </c>
      <c r="E2958" t="s">
        <v>16218</v>
      </c>
      <c r="F2958" t="s">
        <v>16220</v>
      </c>
      <c r="G2958" t="s">
        <v>16274</v>
      </c>
      <c r="H2958" t="s">
        <v>16269</v>
      </c>
      <c r="I2958" t="s">
        <v>16352</v>
      </c>
      <c r="J2958" t="s">
        <v>16386</v>
      </c>
      <c r="K2958">
        <v>0.232</v>
      </c>
      <c r="L2958">
        <v>10126</v>
      </c>
      <c r="M2958">
        <v>2636</v>
      </c>
      <c r="N2958" t="s">
        <v>16393</v>
      </c>
      <c r="O2958" s="4">
        <v>58060</v>
      </c>
      <c r="P2958" s="4">
        <v>154481</v>
      </c>
      <c r="Q2958" s="4">
        <v>212541</v>
      </c>
      <c r="R2958" s="4">
        <v>637623</v>
      </c>
      <c r="S2958" t="s">
        <v>19271</v>
      </c>
      <c r="T2958" s="6">
        <v>34912</v>
      </c>
      <c r="U2958" s="4">
        <v>229000</v>
      </c>
      <c r="X2958" t="s">
        <v>3</v>
      </c>
      <c r="AA2958" s="5" t="str">
        <f>HYPERLINK("https://www.zillow.com/homes/1405-ROLLING-GROVE-CT-NAPERVILLE-IL-60540_rb/","check listing")</f>
        <v>check listing</v>
      </c>
      <c r="AB2958" s="5" t="str">
        <f>HYPERLINK("https://propertylookup.dupagecounty.gov/Datalets/Datalet.aspx?UseSearch=no&amp;mode=sales&amp;pin=0723304020","sales record")</f>
        <v>sales record</v>
      </c>
      <c r="AC2958" t="s">
        <v>3</v>
      </c>
      <c r="AD2958">
        <v>41.761153</v>
      </c>
      <c r="AE2958">
        <v>-88.178721</v>
      </c>
      <c r="AF2958" s="5" t="str">
        <f>HYPERLINK("https://www.google.com/maps/search/?api=1&amp;query=41.761153,-88.178721","map")</f>
        <v>map</v>
      </c>
    </row>
    <row r="2959" spans="1:32">
      <c r="A2959" t="s">
        <v>3009</v>
      </c>
      <c r="B2959" t="s">
        <v>10542</v>
      </c>
      <c r="C2959" t="s">
        <v>15475</v>
      </c>
      <c r="D2959" t="s">
        <v>16206</v>
      </c>
      <c r="E2959" t="s">
        <v>16218</v>
      </c>
      <c r="F2959" t="s">
        <v>16220</v>
      </c>
      <c r="G2959" t="s">
        <v>16274</v>
      </c>
      <c r="H2959" t="s">
        <v>16269</v>
      </c>
      <c r="I2959" t="s">
        <v>16352</v>
      </c>
      <c r="J2959" t="s">
        <v>16386</v>
      </c>
      <c r="K2959">
        <v>0.232</v>
      </c>
      <c r="L2959">
        <v>10126</v>
      </c>
      <c r="M2959">
        <v>2474</v>
      </c>
      <c r="N2959" t="s">
        <v>16393</v>
      </c>
      <c r="O2959" s="4">
        <v>58060</v>
      </c>
      <c r="P2959" s="4">
        <v>144778</v>
      </c>
      <c r="Q2959" s="4">
        <v>202838</v>
      </c>
      <c r="R2959" s="4">
        <v>608514</v>
      </c>
      <c r="S2959" t="s">
        <v>19272</v>
      </c>
      <c r="T2959" s="6">
        <v>32782</v>
      </c>
      <c r="U2959" s="4">
        <v>192500</v>
      </c>
      <c r="X2959" t="s">
        <v>3</v>
      </c>
      <c r="AA2959" s="5" t="str">
        <f>HYPERLINK("https://www.zillow.com/homes/647-OAKHURST-DR-NAPERVILLE-IL-60540_rb/","check listing")</f>
        <v>check listing</v>
      </c>
      <c r="AB2959" s="5" t="str">
        <f>HYPERLINK("https://propertylookup.dupagecounty.gov/Datalets/Datalet.aspx?UseSearch=no&amp;mode=sales&amp;pin=0723304007","sales record")</f>
        <v>sales record</v>
      </c>
      <c r="AC2959" t="s">
        <v>3</v>
      </c>
      <c r="AD2959">
        <v>41.759974</v>
      </c>
      <c r="AE2959">
        <v>-88.179125</v>
      </c>
      <c r="AF2959" s="5" t="str">
        <f>HYPERLINK("https://www.google.com/maps/search/?api=1&amp;query=41.759974,-88.179125","map")</f>
        <v>map</v>
      </c>
    </row>
    <row r="2960" spans="1:32">
      <c r="A2960" t="s">
        <v>3010</v>
      </c>
      <c r="B2960" t="s">
        <v>10543</v>
      </c>
      <c r="C2960" t="s">
        <v>15475</v>
      </c>
      <c r="D2960" t="s">
        <v>16206</v>
      </c>
      <c r="E2960" t="s">
        <v>16218</v>
      </c>
      <c r="F2960" t="s">
        <v>16220</v>
      </c>
      <c r="G2960" t="s">
        <v>16274</v>
      </c>
      <c r="H2960" t="s">
        <v>16269</v>
      </c>
      <c r="I2960" t="s">
        <v>16352</v>
      </c>
      <c r="J2960" t="s">
        <v>16386</v>
      </c>
      <c r="K2960">
        <v>0.232</v>
      </c>
      <c r="L2960">
        <v>10126</v>
      </c>
      <c r="M2960">
        <v>2639</v>
      </c>
      <c r="N2960" t="s">
        <v>16393</v>
      </c>
      <c r="O2960" s="4">
        <v>58060</v>
      </c>
      <c r="P2960" s="4">
        <v>198248</v>
      </c>
      <c r="Q2960" s="4">
        <v>256308</v>
      </c>
      <c r="R2960" s="4">
        <v>768924</v>
      </c>
      <c r="S2960" t="s">
        <v>19273</v>
      </c>
      <c r="T2960" s="6">
        <v>32629</v>
      </c>
      <c r="U2960" s="4">
        <v>204900</v>
      </c>
      <c r="X2960" t="s">
        <v>3</v>
      </c>
      <c r="AA2960" s="5" t="str">
        <f>HYPERLINK("https://www.zillow.com/homes/650-OAKHURST-DR-NAPERVILLE-IL-60540_rb/","check listing")</f>
        <v>check listing</v>
      </c>
      <c r="AB2960" s="5" t="str">
        <f>HYPERLINK("https://propertylookup.dupagecounty.gov/Datalets/Datalet.aspx?UseSearch=no&amp;mode=sales&amp;pin=0723305018","sales record")</f>
        <v>sales record</v>
      </c>
      <c r="AC2960" t="s">
        <v>3</v>
      </c>
      <c r="AD2960">
        <v>41.759466</v>
      </c>
      <c r="AE2960">
        <v>-88.179025</v>
      </c>
      <c r="AF2960" s="5" t="str">
        <f>HYPERLINK("https://www.google.com/maps/search/?api=1&amp;query=41.759466,-88.179025","map")</f>
        <v>map</v>
      </c>
    </row>
    <row r="2961" spans="1:32">
      <c r="A2961" t="s">
        <v>3011</v>
      </c>
      <c r="B2961" t="s">
        <v>10544</v>
      </c>
      <c r="C2961" t="s">
        <v>15497</v>
      </c>
      <c r="D2961" t="s">
        <v>16206</v>
      </c>
      <c r="E2961" t="s">
        <v>16218</v>
      </c>
      <c r="F2961" t="s">
        <v>16220</v>
      </c>
      <c r="G2961" t="s">
        <v>16274</v>
      </c>
      <c r="H2961" t="s">
        <v>16269</v>
      </c>
      <c r="I2961" t="s">
        <v>16352</v>
      </c>
      <c r="J2961" t="s">
        <v>16386</v>
      </c>
      <c r="K2961">
        <v>0.232</v>
      </c>
      <c r="L2961">
        <v>10126</v>
      </c>
      <c r="M2961">
        <v>2771</v>
      </c>
      <c r="N2961" t="s">
        <v>16393</v>
      </c>
      <c r="O2961" s="4">
        <v>58060</v>
      </c>
      <c r="P2961" s="4">
        <v>180636</v>
      </c>
      <c r="Q2961" s="4">
        <v>238696</v>
      </c>
      <c r="R2961" s="4">
        <v>716088</v>
      </c>
      <c r="S2961" t="s">
        <v>19274</v>
      </c>
      <c r="T2961" s="6">
        <v>31594</v>
      </c>
      <c r="U2961" s="4">
        <v>197000</v>
      </c>
      <c r="X2961" t="s">
        <v>3</v>
      </c>
      <c r="AA2961" s="5" t="str">
        <f>HYPERLINK("https://www.zillow.com/homes/661-OAKHURST-CT-NAPERVILLE-IL-605406357_rb/","check listing")</f>
        <v>check listing</v>
      </c>
      <c r="AB2961" s="5" t="str">
        <f>HYPERLINK("https://propertylookup.dupagecounty.gov/Datalets/Datalet.aspx?UseSearch=no&amp;mode=sales&amp;pin=0723303003","sales record")</f>
        <v>sales record</v>
      </c>
      <c r="AC2961" t="s">
        <v>3</v>
      </c>
      <c r="AD2961">
        <v>41.759642</v>
      </c>
      <c r="AE2961">
        <v>-88.180393</v>
      </c>
      <c r="AF2961" s="5" t="str">
        <f>HYPERLINK("https://www.google.com/maps/search/?api=1&amp;query=41.759642,-88.180393","map")</f>
        <v>map</v>
      </c>
    </row>
    <row r="2962" spans="1:32">
      <c r="A2962" t="s">
        <v>3012</v>
      </c>
      <c r="B2962" t="s">
        <v>10545</v>
      </c>
      <c r="C2962" t="s">
        <v>15530</v>
      </c>
      <c r="D2962" t="s">
        <v>16206</v>
      </c>
      <c r="E2962" t="s">
        <v>16218</v>
      </c>
      <c r="F2962" t="s">
        <v>16220</v>
      </c>
      <c r="G2962" t="s">
        <v>16274</v>
      </c>
      <c r="H2962" t="s">
        <v>16269</v>
      </c>
      <c r="I2962" t="s">
        <v>16352</v>
      </c>
      <c r="J2962" t="s">
        <v>16386</v>
      </c>
      <c r="K2962">
        <v>0.232</v>
      </c>
      <c r="L2962">
        <v>10126</v>
      </c>
      <c r="M2962">
        <v>2475</v>
      </c>
      <c r="N2962" t="s">
        <v>16393</v>
      </c>
      <c r="O2962" s="4">
        <v>58060</v>
      </c>
      <c r="P2962" s="4">
        <v>147024</v>
      </c>
      <c r="Q2962" s="4">
        <v>205084</v>
      </c>
      <c r="R2962" s="4">
        <v>615252</v>
      </c>
      <c r="S2962" t="s">
        <v>19275</v>
      </c>
      <c r="T2962" s="6">
        <v>42309</v>
      </c>
      <c r="U2962" s="4">
        <v>432000</v>
      </c>
      <c r="V2962" t="s">
        <v>23739</v>
      </c>
      <c r="W2962" t="s">
        <v>25178</v>
      </c>
      <c r="X2962" t="s">
        <v>3</v>
      </c>
      <c r="AA2962" s="5" t="str">
        <f>HYPERLINK("https://www.zillow.com/homes/646-OAKHURST-DR-NAPERVILLE-IL-605406360_rb/","check listing")</f>
        <v>check listing</v>
      </c>
      <c r="AB2962" s="5" t="str">
        <f>HYPERLINK("https://propertylookup.dupagecounty.gov/Datalets/Datalet.aspx?UseSearch=no&amp;mode=sales&amp;pin=0723305017","sales record")</f>
        <v>sales record</v>
      </c>
      <c r="AC2962" t="s">
        <v>3</v>
      </c>
      <c r="AD2962">
        <v>41.759544</v>
      </c>
      <c r="AE2962">
        <v>-88.178771</v>
      </c>
      <c r="AF2962" s="5" t="str">
        <f>HYPERLINK("https://www.google.com/maps/search/?api=1&amp;query=41.759544,-88.178771","map")</f>
        <v>map</v>
      </c>
    </row>
    <row r="2963" spans="1:32">
      <c r="A2963" t="s">
        <v>3013</v>
      </c>
      <c r="B2963" t="s">
        <v>10546</v>
      </c>
      <c r="C2963" t="s">
        <v>15475</v>
      </c>
      <c r="D2963" t="s">
        <v>16206</v>
      </c>
      <c r="E2963" t="s">
        <v>16218</v>
      </c>
      <c r="F2963" t="s">
        <v>16220</v>
      </c>
      <c r="G2963" t="s">
        <v>16274</v>
      </c>
      <c r="H2963" t="s">
        <v>16269</v>
      </c>
      <c r="I2963" t="s">
        <v>16352</v>
      </c>
      <c r="J2963" t="s">
        <v>16386</v>
      </c>
      <c r="K2963">
        <v>0.232</v>
      </c>
      <c r="L2963">
        <v>10125</v>
      </c>
      <c r="M2963">
        <v>2802</v>
      </c>
      <c r="N2963" t="s">
        <v>16393</v>
      </c>
      <c r="O2963" s="4">
        <v>58060</v>
      </c>
      <c r="P2963" s="4">
        <v>155238</v>
      </c>
      <c r="Q2963" s="4">
        <v>213298</v>
      </c>
      <c r="R2963" s="4">
        <v>639894</v>
      </c>
      <c r="S2963" t="s">
        <v>19276</v>
      </c>
      <c r="T2963" s="6">
        <v>41730</v>
      </c>
      <c r="U2963" s="4">
        <v>425000</v>
      </c>
      <c r="V2963" t="s">
        <v>23739</v>
      </c>
      <c r="W2963" t="s">
        <v>25179</v>
      </c>
      <c r="X2963" t="s">
        <v>3</v>
      </c>
      <c r="AA2963" s="5" t="str">
        <f>HYPERLINK("https://www.zillow.com/homes/635-OAKHURST-DR-NAPERVILLE-IL-60540_rb/","check listing")</f>
        <v>check listing</v>
      </c>
      <c r="AB2963" s="5" t="str">
        <f>HYPERLINK("https://propertylookup.dupagecounty.gov/Datalets/Datalet.aspx?UseSearch=no&amp;mode=sales&amp;pin=0723304010","sales record")</f>
        <v>sales record</v>
      </c>
      <c r="AC2963" t="s">
        <v>3</v>
      </c>
      <c r="AD2963">
        <v>41.760258</v>
      </c>
      <c r="AE2963">
        <v>-88.178389</v>
      </c>
      <c r="AF2963" s="5" t="str">
        <f>HYPERLINK("https://www.google.com/maps/search/?api=1&amp;query=41.760258,-88.178389","map")</f>
        <v>map</v>
      </c>
    </row>
    <row r="2964" spans="1:32">
      <c r="A2964" t="s">
        <v>3014</v>
      </c>
      <c r="B2964" t="s">
        <v>10547</v>
      </c>
      <c r="C2964" t="s">
        <v>15493</v>
      </c>
      <c r="D2964" t="s">
        <v>16206</v>
      </c>
      <c r="E2964" t="s">
        <v>16218</v>
      </c>
      <c r="F2964" t="s">
        <v>16220</v>
      </c>
      <c r="G2964" t="s">
        <v>16274</v>
      </c>
      <c r="H2964" t="s">
        <v>16269</v>
      </c>
      <c r="I2964" t="s">
        <v>16352</v>
      </c>
      <c r="J2964" t="s">
        <v>16386</v>
      </c>
      <c r="K2964">
        <v>0.232</v>
      </c>
      <c r="L2964">
        <v>10125</v>
      </c>
      <c r="M2964">
        <v>2309</v>
      </c>
      <c r="N2964" t="s">
        <v>16393</v>
      </c>
      <c r="O2964" s="4">
        <v>58060</v>
      </c>
      <c r="P2964" s="4">
        <v>180198</v>
      </c>
      <c r="Q2964" s="4">
        <v>238258</v>
      </c>
      <c r="R2964" s="4">
        <v>714774</v>
      </c>
      <c r="S2964" t="s">
        <v>19277</v>
      </c>
      <c r="T2964" s="6">
        <v>44136</v>
      </c>
      <c r="U2964" s="4">
        <v>575000</v>
      </c>
      <c r="V2964" t="s">
        <v>23739</v>
      </c>
      <c r="W2964" t="s">
        <v>25180</v>
      </c>
      <c r="X2964" t="s">
        <v>3</v>
      </c>
      <c r="AA2964" s="5" t="str">
        <f>HYPERLINK("https://www.zillow.com/homes/1780-CHADWICKE-CIR-NAPERVILLE-IL-605400399_rb/","check listing")</f>
        <v>check listing</v>
      </c>
      <c r="AB2964" s="5" t="str">
        <f>HYPERLINK("https://propertylookup.dupagecounty.gov/Datalets/Datalet.aspx?UseSearch=no&amp;mode=sales&amp;pin=0723310012","sales record")</f>
        <v>sales record</v>
      </c>
      <c r="AC2964" t="s">
        <v>3</v>
      </c>
      <c r="AD2964">
        <v>41.755464</v>
      </c>
      <c r="AE2964">
        <v>-88.184082</v>
      </c>
      <c r="AF2964" s="5" t="str">
        <f>HYPERLINK("https://www.google.com/maps/search/?api=1&amp;query=41.755464,-88.184082","map")</f>
        <v>map</v>
      </c>
    </row>
    <row r="2965" spans="1:32">
      <c r="A2965" t="s">
        <v>3015</v>
      </c>
      <c r="B2965" t="s">
        <v>10548</v>
      </c>
      <c r="C2965" t="s">
        <v>15475</v>
      </c>
      <c r="D2965" t="s">
        <v>16206</v>
      </c>
      <c r="E2965" t="s">
        <v>16218</v>
      </c>
      <c r="F2965" t="s">
        <v>16220</v>
      </c>
      <c r="G2965" t="s">
        <v>16274</v>
      </c>
      <c r="H2965" t="s">
        <v>16269</v>
      </c>
      <c r="I2965" t="s">
        <v>16352</v>
      </c>
      <c r="J2965" t="s">
        <v>16386</v>
      </c>
      <c r="K2965">
        <v>0.232</v>
      </c>
      <c r="L2965">
        <v>10125</v>
      </c>
      <c r="M2965">
        <v>2638</v>
      </c>
      <c r="N2965" t="s">
        <v>16393</v>
      </c>
      <c r="O2965" s="4">
        <v>58060</v>
      </c>
      <c r="P2965" s="4">
        <v>155031</v>
      </c>
      <c r="Q2965" s="4">
        <v>213091</v>
      </c>
      <c r="R2965" s="4">
        <v>639273</v>
      </c>
      <c r="S2965" t="s">
        <v>19278</v>
      </c>
      <c r="T2965" s="6">
        <v>33756</v>
      </c>
      <c r="U2965" s="4">
        <v>208000</v>
      </c>
      <c r="X2965" t="s">
        <v>3</v>
      </c>
      <c r="AA2965" s="5" t="str">
        <f>HYPERLINK("https://www.zillow.com/homes/606-S-WHISPERING-HILLS-DR-NAPERVILLE-IL-60540_rb/","check listing")</f>
        <v>check listing</v>
      </c>
      <c r="AB2965" s="5" t="str">
        <f>HYPERLINK("https://propertylookup.dupagecounty.gov/Datalets/Datalet.aspx?UseSearch=no&amp;mode=sales&amp;pin=0723304002","sales record")</f>
        <v>sales record</v>
      </c>
      <c r="AC2965" t="s">
        <v>3</v>
      </c>
      <c r="AD2965">
        <v>41.760653</v>
      </c>
      <c r="AE2965">
        <v>-88.179913</v>
      </c>
      <c r="AF2965" s="5" t="str">
        <f>HYPERLINK("https://www.google.com/maps/search/?api=1&amp;query=41.760653,-88.179913","map")</f>
        <v>map</v>
      </c>
    </row>
    <row r="2966" spans="1:32">
      <c r="A2966" t="s">
        <v>3016</v>
      </c>
      <c r="B2966" t="s">
        <v>10549</v>
      </c>
      <c r="C2966" t="s">
        <v>15475</v>
      </c>
      <c r="D2966" t="s">
        <v>16206</v>
      </c>
      <c r="E2966" t="s">
        <v>16218</v>
      </c>
      <c r="F2966" t="s">
        <v>16220</v>
      </c>
      <c r="G2966" t="s">
        <v>16274</v>
      </c>
      <c r="H2966" t="s">
        <v>16269</v>
      </c>
      <c r="I2966" t="s">
        <v>16352</v>
      </c>
      <c r="J2966" t="s">
        <v>16386</v>
      </c>
      <c r="K2966">
        <v>0.232</v>
      </c>
      <c r="L2966">
        <v>10125</v>
      </c>
      <c r="M2966">
        <v>2886</v>
      </c>
      <c r="N2966" t="s">
        <v>16393</v>
      </c>
      <c r="O2966" s="4">
        <v>58060</v>
      </c>
      <c r="P2966" s="4">
        <v>177426</v>
      </c>
      <c r="Q2966" s="4">
        <v>235486</v>
      </c>
      <c r="R2966" s="4">
        <v>706458</v>
      </c>
      <c r="S2966" t="s">
        <v>19279</v>
      </c>
      <c r="T2966" s="6">
        <v>45379</v>
      </c>
      <c r="U2966" s="4">
        <v>760000</v>
      </c>
      <c r="V2966" t="s">
        <v>23739</v>
      </c>
      <c r="W2966" t="s">
        <v>25181</v>
      </c>
      <c r="X2966" t="s">
        <v>3</v>
      </c>
      <c r="AA2966" s="5" t="str">
        <f>HYPERLINK("https://www.zillow.com/homes/1776-CHADWICKE-CIR-NAPERVILLE-IL-60540_rb/","check listing")</f>
        <v>check listing</v>
      </c>
      <c r="AB2966" s="5" t="str">
        <f>HYPERLINK("https://propertylookup.dupagecounty.gov/Datalets/Datalet.aspx?UseSearch=no&amp;mode=sales&amp;pin=0723310013","sales record")</f>
        <v>sales record</v>
      </c>
      <c r="AC2966" t="s">
        <v>3</v>
      </c>
      <c r="AD2966">
        <v>41.755461</v>
      </c>
      <c r="AE2966">
        <v>-88.18435700000001</v>
      </c>
      <c r="AF2966" s="5" t="str">
        <f>HYPERLINK("https://www.google.com/maps/search/?api=1&amp;query=41.755461,-88.184357","map")</f>
        <v>map</v>
      </c>
    </row>
    <row r="2967" spans="1:32">
      <c r="A2967" t="s">
        <v>3017</v>
      </c>
      <c r="B2967" t="s">
        <v>10550</v>
      </c>
      <c r="C2967" t="s">
        <v>15475</v>
      </c>
      <c r="D2967" t="s">
        <v>16206</v>
      </c>
      <c r="E2967" t="s">
        <v>16218</v>
      </c>
      <c r="F2967" t="s">
        <v>16220</v>
      </c>
      <c r="G2967" t="s">
        <v>16274</v>
      </c>
      <c r="H2967" t="s">
        <v>16269</v>
      </c>
      <c r="I2967" t="s">
        <v>16352</v>
      </c>
      <c r="J2967" t="s">
        <v>16386</v>
      </c>
      <c r="K2967">
        <v>0.232</v>
      </c>
      <c r="L2967">
        <v>10125</v>
      </c>
      <c r="M2967">
        <v>2982</v>
      </c>
      <c r="N2967" t="s">
        <v>16393</v>
      </c>
      <c r="O2967" s="4">
        <v>58060</v>
      </c>
      <c r="P2967" s="4">
        <v>188777</v>
      </c>
      <c r="Q2967" s="4">
        <v>246837</v>
      </c>
      <c r="R2967" s="4">
        <v>740511</v>
      </c>
      <c r="S2967" t="s">
        <v>19280</v>
      </c>
      <c r="T2967" s="6">
        <v>44702</v>
      </c>
      <c r="U2967" s="4">
        <v>715000</v>
      </c>
      <c r="V2967" t="s">
        <v>23739</v>
      </c>
      <c r="W2967" t="s">
        <v>25182</v>
      </c>
      <c r="X2967" t="s">
        <v>3</v>
      </c>
      <c r="AA2967" s="5" t="str">
        <f>HYPERLINK("https://www.zillow.com/homes/1784-CHADWICKE-CIR-NAPERVILLE-IL-60540_rb/","check listing")</f>
        <v>check listing</v>
      </c>
      <c r="AB2967" s="5" t="str">
        <f>HYPERLINK("https://propertylookup.dupagecounty.gov/Datalets/Datalet.aspx?UseSearch=no&amp;mode=sales&amp;pin=0723310011","sales record")</f>
        <v>sales record</v>
      </c>
      <c r="AC2967" t="s">
        <v>3</v>
      </c>
      <c r="AD2967">
        <v>41.755468</v>
      </c>
      <c r="AE2967">
        <v>-88.183807</v>
      </c>
      <c r="AF2967" s="5" t="str">
        <f>HYPERLINK("https://www.google.com/maps/search/?api=1&amp;query=41.755468,-88.183807","map")</f>
        <v>map</v>
      </c>
    </row>
    <row r="2968" spans="1:32">
      <c r="A2968" t="s">
        <v>3018</v>
      </c>
      <c r="B2968" t="s">
        <v>10551</v>
      </c>
      <c r="C2968" t="s">
        <v>15475</v>
      </c>
      <c r="D2968" t="s">
        <v>16206</v>
      </c>
      <c r="E2968" t="s">
        <v>16218</v>
      </c>
      <c r="F2968" t="s">
        <v>16220</v>
      </c>
      <c r="G2968" t="s">
        <v>16274</v>
      </c>
      <c r="H2968" t="s">
        <v>16269</v>
      </c>
      <c r="I2968" t="s">
        <v>16352</v>
      </c>
      <c r="J2968" t="s">
        <v>16386</v>
      </c>
      <c r="K2968">
        <v>0.232</v>
      </c>
      <c r="L2968">
        <v>10124</v>
      </c>
      <c r="M2968">
        <v>1978</v>
      </c>
      <c r="N2968" t="s">
        <v>16393</v>
      </c>
      <c r="O2968" s="4">
        <v>58060</v>
      </c>
      <c r="P2968" s="4">
        <v>145974</v>
      </c>
      <c r="Q2968" s="4">
        <v>204034</v>
      </c>
      <c r="R2968" s="4">
        <v>612102</v>
      </c>
      <c r="S2968" t="s">
        <v>19281</v>
      </c>
      <c r="T2968" s="6">
        <v>37043</v>
      </c>
      <c r="U2968" s="4">
        <v>332500</v>
      </c>
      <c r="V2968" t="s">
        <v>23739</v>
      </c>
      <c r="W2968" t="s">
        <v>25183</v>
      </c>
      <c r="X2968" t="s">
        <v>3</v>
      </c>
      <c r="AA2968" s="5" t="str">
        <f>HYPERLINK("https://www.zillow.com/homes/1404-ROLLING-GROVE-CT-NAPERVILLE-IL-60540_rb/","check listing")</f>
        <v>check listing</v>
      </c>
      <c r="AB2968" s="5" t="str">
        <f>HYPERLINK("https://propertylookup.dupagecounty.gov/Datalets/Datalet.aspx?UseSearch=no&amp;mode=sales&amp;pin=0723304013","sales record")</f>
        <v>sales record</v>
      </c>
      <c r="AC2968" t="s">
        <v>3</v>
      </c>
      <c r="AD2968">
        <v>41.760642</v>
      </c>
      <c r="AE2968">
        <v>-88.17844100000001</v>
      </c>
      <c r="AF2968" s="5" t="str">
        <f>HYPERLINK("https://www.google.com/maps/search/?api=1&amp;query=41.760642,-88.178441","map")</f>
        <v>map</v>
      </c>
    </row>
    <row r="2969" spans="1:32">
      <c r="A2969" t="s">
        <v>3019</v>
      </c>
      <c r="B2969" t="s">
        <v>10552</v>
      </c>
      <c r="C2969" t="s">
        <v>15531</v>
      </c>
      <c r="D2969" t="s">
        <v>16206</v>
      </c>
      <c r="E2969" t="s">
        <v>16218</v>
      </c>
      <c r="F2969" t="s">
        <v>16220</v>
      </c>
      <c r="G2969" t="s">
        <v>16274</v>
      </c>
      <c r="H2969" t="s">
        <v>16269</v>
      </c>
      <c r="I2969" t="s">
        <v>16352</v>
      </c>
      <c r="J2969" t="s">
        <v>16386</v>
      </c>
      <c r="K2969">
        <v>0.232</v>
      </c>
      <c r="L2969">
        <v>10124</v>
      </c>
      <c r="M2969">
        <v>2474</v>
      </c>
      <c r="N2969" t="s">
        <v>16393</v>
      </c>
      <c r="O2969" s="4">
        <v>58060</v>
      </c>
      <c r="P2969" s="4">
        <v>161999</v>
      </c>
      <c r="Q2969" s="4">
        <v>220059</v>
      </c>
      <c r="R2969" s="4">
        <v>660177</v>
      </c>
      <c r="S2969" t="s">
        <v>19282</v>
      </c>
      <c r="T2969" s="6">
        <v>44652</v>
      </c>
      <c r="U2969" s="4">
        <v>650000</v>
      </c>
      <c r="V2969" t="s">
        <v>23739</v>
      </c>
      <c r="W2969" t="s">
        <v>25184</v>
      </c>
      <c r="X2969" t="s">
        <v>3</v>
      </c>
      <c r="AA2969" s="5" t="str">
        <f>HYPERLINK("https://www.zillow.com/homes/602-S-WHISPERING-HILLS-NAPERVILLE-IL-605406363_rb/","check listing")</f>
        <v>check listing</v>
      </c>
      <c r="AB2969" s="5" t="str">
        <f>HYPERLINK("https://propertylookup.dupagecounty.gov/Datalets/Datalet.aspx?UseSearch=no&amp;mode=sales&amp;pin=0723304001","sales record")</f>
        <v>sales record</v>
      </c>
      <c r="AC2969" t="s">
        <v>3</v>
      </c>
      <c r="AD2969">
        <v>41.760844</v>
      </c>
      <c r="AE2969">
        <v>-88.18001700000001</v>
      </c>
      <c r="AF2969" s="5" t="str">
        <f>HYPERLINK("https://www.google.com/maps/search/?api=1&amp;query=41.760844,-88.180017","map")</f>
        <v>map</v>
      </c>
    </row>
    <row r="2970" spans="1:32">
      <c r="A2970" t="s">
        <v>3020</v>
      </c>
      <c r="B2970" t="s">
        <v>10553</v>
      </c>
      <c r="C2970" t="s">
        <v>15475</v>
      </c>
      <c r="D2970" t="s">
        <v>16206</v>
      </c>
      <c r="E2970" t="s">
        <v>16218</v>
      </c>
      <c r="F2970" t="s">
        <v>16220</v>
      </c>
      <c r="G2970" t="s">
        <v>16274</v>
      </c>
      <c r="H2970" t="s">
        <v>16269</v>
      </c>
      <c r="I2970" t="s">
        <v>16352</v>
      </c>
      <c r="J2970" t="s">
        <v>16386</v>
      </c>
      <c r="K2970">
        <v>0.232</v>
      </c>
      <c r="L2970">
        <v>10124</v>
      </c>
      <c r="M2970">
        <v>2573</v>
      </c>
      <c r="N2970" t="s">
        <v>16393</v>
      </c>
      <c r="O2970" s="4">
        <v>58060</v>
      </c>
      <c r="P2970" s="4">
        <v>150551</v>
      </c>
      <c r="Q2970" s="4">
        <v>208611</v>
      </c>
      <c r="R2970" s="4">
        <v>625833</v>
      </c>
      <c r="S2970" t="s">
        <v>19283</v>
      </c>
      <c r="T2970" s="6">
        <v>31229</v>
      </c>
      <c r="U2970" s="4">
        <v>159940</v>
      </c>
      <c r="X2970" t="s">
        <v>3</v>
      </c>
      <c r="AA2970" s="5" t="str">
        <f>HYPERLINK("https://www.zillow.com/homes/642-OAKHURST-DR-NAPERVILLE-IL-60540_rb/","check listing")</f>
        <v>check listing</v>
      </c>
      <c r="AB2970" s="5" t="str">
        <f>HYPERLINK("https://propertylookup.dupagecounty.gov/Datalets/Datalet.aspx?UseSearch=no&amp;mode=sales&amp;pin=0723305016","sales record")</f>
        <v>sales record</v>
      </c>
      <c r="AC2970" t="s">
        <v>3</v>
      </c>
      <c r="AD2970">
        <v>41.759623</v>
      </c>
      <c r="AE2970">
        <v>-88.178516</v>
      </c>
      <c r="AF2970" s="5" t="str">
        <f>HYPERLINK("https://www.google.com/maps/search/?api=1&amp;query=41.759623,-88.178516","map")</f>
        <v>map</v>
      </c>
    </row>
    <row r="2971" spans="1:32">
      <c r="A2971" t="s">
        <v>3021</v>
      </c>
      <c r="B2971" t="s">
        <v>10554</v>
      </c>
      <c r="C2971" t="s">
        <v>15475</v>
      </c>
      <c r="D2971" t="s">
        <v>16206</v>
      </c>
      <c r="E2971" t="s">
        <v>16218</v>
      </c>
      <c r="F2971" t="s">
        <v>16220</v>
      </c>
      <c r="G2971" t="s">
        <v>16274</v>
      </c>
      <c r="H2971" t="s">
        <v>16269</v>
      </c>
      <c r="I2971" t="s">
        <v>16352</v>
      </c>
      <c r="J2971" t="s">
        <v>16386</v>
      </c>
      <c r="K2971">
        <v>0.232</v>
      </c>
      <c r="L2971">
        <v>10123</v>
      </c>
      <c r="M2971">
        <v>1583</v>
      </c>
      <c r="N2971" t="s">
        <v>16393</v>
      </c>
      <c r="O2971" s="4">
        <v>58060</v>
      </c>
      <c r="P2971" s="4">
        <v>172154</v>
      </c>
      <c r="Q2971" s="4">
        <v>230214</v>
      </c>
      <c r="R2971" s="4">
        <v>690642</v>
      </c>
      <c r="S2971" t="s">
        <v>19284</v>
      </c>
      <c r="T2971" s="6">
        <v>38078</v>
      </c>
      <c r="U2971" s="4">
        <v>387500</v>
      </c>
      <c r="V2971" t="s">
        <v>23739</v>
      </c>
      <c r="W2971" t="s">
        <v>25185</v>
      </c>
      <c r="X2971" t="s">
        <v>3</v>
      </c>
      <c r="AA2971" s="5" t="str">
        <f>HYPERLINK("https://www.zillow.com/homes/601-S-WHISPERING-HILLS-NAPERVILLE-IL-60540_rb/","check listing")</f>
        <v>check listing</v>
      </c>
      <c r="AB2971" s="5" t="str">
        <f>HYPERLINK("https://propertylookup.dupagecounty.gov/Datalets/Datalet.aspx?UseSearch=no&amp;mode=sales&amp;pin=0723302001","sales record")</f>
        <v>sales record</v>
      </c>
      <c r="AC2971" t="s">
        <v>3</v>
      </c>
      <c r="AD2971">
        <v>41.760736</v>
      </c>
      <c r="AE2971">
        <v>-88.18075399999999</v>
      </c>
      <c r="AF2971" s="5" t="str">
        <f>HYPERLINK("https://www.google.com/maps/search/?api=1&amp;query=41.760736,-88.180754","map")</f>
        <v>map</v>
      </c>
    </row>
    <row r="2972" spans="1:32">
      <c r="A2972" t="s">
        <v>3022</v>
      </c>
      <c r="B2972" t="s">
        <v>10555</v>
      </c>
      <c r="C2972" t="s">
        <v>15516</v>
      </c>
      <c r="D2972" t="s">
        <v>16206</v>
      </c>
      <c r="E2972" t="s">
        <v>16218</v>
      </c>
      <c r="F2972" t="s">
        <v>16220</v>
      </c>
      <c r="G2972" t="s">
        <v>16274</v>
      </c>
      <c r="H2972" t="s">
        <v>16269</v>
      </c>
      <c r="I2972" t="s">
        <v>16352</v>
      </c>
      <c r="J2972" t="s">
        <v>16386</v>
      </c>
      <c r="K2972">
        <v>0.232</v>
      </c>
      <c r="L2972">
        <v>10122</v>
      </c>
      <c r="M2972">
        <v>2639</v>
      </c>
      <c r="N2972" t="s">
        <v>16393</v>
      </c>
      <c r="O2972" s="4">
        <v>58060</v>
      </c>
      <c r="P2972" s="4">
        <v>201398</v>
      </c>
      <c r="Q2972" s="4">
        <v>259458</v>
      </c>
      <c r="R2972" s="4">
        <v>778374</v>
      </c>
      <c r="S2972" t="s">
        <v>19285</v>
      </c>
      <c r="T2972" s="6">
        <v>45847</v>
      </c>
      <c r="U2972" s="4">
        <v>865000</v>
      </c>
      <c r="V2972" t="s">
        <v>23741</v>
      </c>
      <c r="W2972" t="s">
        <v>25186</v>
      </c>
      <c r="X2972" t="s">
        <v>3</v>
      </c>
      <c r="AA2972" s="5" t="str">
        <f>HYPERLINK("https://www.zillow.com/homes/828-SANCTUARY-LN-NAPERVILLE-IL-605406364_rb/","check listing")</f>
        <v>check listing</v>
      </c>
      <c r="AB2972" s="5" t="str">
        <f>HYPERLINK("https://propertylookup.dupagecounty.gov/Datalets/Datalet.aspx?UseSearch=no&amp;mode=sales&amp;pin=0723306036","sales record")</f>
        <v>sales record</v>
      </c>
      <c r="AC2972" t="s">
        <v>3</v>
      </c>
      <c r="AD2972">
        <v>41.755325</v>
      </c>
      <c r="AE2972">
        <v>-88.182827</v>
      </c>
      <c r="AF2972" s="5" t="str">
        <f>HYPERLINK("https://www.google.com/maps/search/?api=1&amp;query=41.755325,-88.182827","map")</f>
        <v>map</v>
      </c>
    </row>
    <row r="2973" spans="1:32">
      <c r="A2973" t="s">
        <v>3023</v>
      </c>
      <c r="B2973" t="s">
        <v>10556</v>
      </c>
      <c r="C2973" t="s">
        <v>15497</v>
      </c>
      <c r="D2973" t="s">
        <v>16206</v>
      </c>
      <c r="E2973" t="s">
        <v>16218</v>
      </c>
      <c r="F2973" t="s">
        <v>16220</v>
      </c>
      <c r="G2973" t="s">
        <v>16274</v>
      </c>
      <c r="H2973" t="s">
        <v>16269</v>
      </c>
      <c r="I2973" t="s">
        <v>16352</v>
      </c>
      <c r="J2973" t="s">
        <v>16386</v>
      </c>
      <c r="K2973">
        <v>0.232</v>
      </c>
      <c r="L2973">
        <v>10122</v>
      </c>
      <c r="M2973">
        <v>2640</v>
      </c>
      <c r="N2973" t="s">
        <v>16393</v>
      </c>
      <c r="O2973" s="4">
        <v>58060</v>
      </c>
      <c r="P2973" s="4">
        <v>166539</v>
      </c>
      <c r="Q2973" s="4">
        <v>224599</v>
      </c>
      <c r="R2973" s="4">
        <v>673797</v>
      </c>
      <c r="S2973" t="s">
        <v>19286</v>
      </c>
      <c r="T2973" s="6">
        <v>41334</v>
      </c>
      <c r="U2973" s="4">
        <v>467000</v>
      </c>
      <c r="V2973" t="s">
        <v>23739</v>
      </c>
      <c r="W2973" t="s">
        <v>25187</v>
      </c>
      <c r="X2973" t="s">
        <v>3</v>
      </c>
      <c r="AA2973" s="5" t="str">
        <f>HYPERLINK("https://www.zillow.com/homes/662-OAKHURST-CT-NAPERVILLE-IL-605406357_rb/","check listing")</f>
        <v>check listing</v>
      </c>
      <c r="AB2973" s="5" t="str">
        <f>HYPERLINK("https://propertylookup.dupagecounty.gov/Datalets/Datalet.aspx?UseSearch=no&amp;mode=sales&amp;pin=0723303010","sales record")</f>
        <v>sales record</v>
      </c>
      <c r="AC2973" t="s">
        <v>3</v>
      </c>
      <c r="AD2973">
        <v>41.759132</v>
      </c>
      <c r="AE2973">
        <v>-88.180114</v>
      </c>
      <c r="AF2973" s="5" t="str">
        <f>HYPERLINK("https://www.google.com/maps/search/?api=1&amp;query=41.759132,-88.180114","map")</f>
        <v>map</v>
      </c>
    </row>
    <row r="2974" spans="1:32">
      <c r="A2974" t="s">
        <v>3024</v>
      </c>
      <c r="B2974" t="s">
        <v>10557</v>
      </c>
      <c r="C2974" t="s">
        <v>15475</v>
      </c>
      <c r="D2974" t="s">
        <v>16206</v>
      </c>
      <c r="E2974" t="s">
        <v>16218</v>
      </c>
      <c r="F2974" t="s">
        <v>16220</v>
      </c>
      <c r="G2974" t="s">
        <v>16276</v>
      </c>
      <c r="H2974" t="s">
        <v>16276</v>
      </c>
      <c r="I2974" t="s">
        <v>16352</v>
      </c>
      <c r="J2974" t="s">
        <v>16386</v>
      </c>
      <c r="K2974">
        <v>0.232</v>
      </c>
      <c r="L2974">
        <v>10120</v>
      </c>
      <c r="M2974">
        <v>1979</v>
      </c>
      <c r="N2974" t="s">
        <v>16393</v>
      </c>
      <c r="O2974" s="4">
        <v>43255</v>
      </c>
      <c r="P2974" s="4">
        <v>94102</v>
      </c>
      <c r="Q2974" s="4">
        <v>137357</v>
      </c>
      <c r="R2974" s="4">
        <v>412071</v>
      </c>
      <c r="S2974" t="s">
        <v>19287</v>
      </c>
      <c r="T2974" s="6">
        <v>45532</v>
      </c>
      <c r="U2974" s="4">
        <v>466000</v>
      </c>
      <c r="V2974" t="s">
        <v>23739</v>
      </c>
      <c r="W2974" t="s">
        <v>25188</v>
      </c>
      <c r="X2974" t="s">
        <v>3</v>
      </c>
      <c r="AA2974" s="5" t="str">
        <f>HYPERLINK("https://www.zillow.com/homes/2052-SCHUMACHER-LN-NAPERVILLE-IL-60540_rb/","check listing")</f>
        <v>check listing</v>
      </c>
      <c r="AB2974" s="5" t="str">
        <f>HYPERLINK("https://propertylookup.dupagecounty.gov/Datalets/Datalet.aspx?UseSearch=no&amp;mode=sales&amp;pin=0727211013","sales record")</f>
        <v>sales record</v>
      </c>
      <c r="AC2974" t="s">
        <v>3</v>
      </c>
      <c r="AD2974">
        <v>41.754203</v>
      </c>
      <c r="AE2974">
        <v>-88.186925</v>
      </c>
      <c r="AF2974" s="5" t="str">
        <f>HYPERLINK("https://www.google.com/maps/search/?api=1&amp;query=41.754203,-88.186925","map")</f>
        <v>map</v>
      </c>
    </row>
    <row r="2975" spans="1:32">
      <c r="A2975" t="s">
        <v>3025</v>
      </c>
      <c r="B2975" t="s">
        <v>10558</v>
      </c>
      <c r="C2975" t="s">
        <v>15478</v>
      </c>
      <c r="D2975" t="s">
        <v>16206</v>
      </c>
      <c r="E2975" t="s">
        <v>16218</v>
      </c>
      <c r="F2975" t="s">
        <v>16220</v>
      </c>
      <c r="G2975" t="s">
        <v>16273</v>
      </c>
      <c r="H2975" t="s">
        <v>16254</v>
      </c>
      <c r="I2975" t="s">
        <v>16351</v>
      </c>
      <c r="J2975" t="s">
        <v>16386</v>
      </c>
      <c r="K2975">
        <v>0.232</v>
      </c>
      <c r="L2975">
        <v>10107</v>
      </c>
      <c r="M2975">
        <v>1979</v>
      </c>
      <c r="N2975" t="s">
        <v>16393</v>
      </c>
      <c r="O2975" s="4">
        <v>47502</v>
      </c>
      <c r="P2975" s="4">
        <v>107272</v>
      </c>
      <c r="Q2975" s="4">
        <v>154774</v>
      </c>
      <c r="R2975" s="4">
        <v>464322</v>
      </c>
      <c r="S2975" t="s">
        <v>19288</v>
      </c>
      <c r="T2975" s="6">
        <v>33909</v>
      </c>
      <c r="U2975" s="4">
        <v>175750</v>
      </c>
      <c r="X2975" t="s">
        <v>3</v>
      </c>
      <c r="AA2975" s="5" t="str">
        <f>HYPERLINK("https://www.zillow.com/homes/2065-BUNKER-CIR-NAPERVILLE-IL-60563_rb/","check listing")</f>
        <v>check listing</v>
      </c>
      <c r="AB2975" s="5" t="str">
        <f>HYPERLINK("https://propertylookup.dupagecounty.gov/Datalets/Datalet.aspx?UseSearch=no&amp;mode=sales&amp;pin=0709221002","sales record")</f>
        <v>sales record</v>
      </c>
      <c r="AC2975" t="s">
        <v>3</v>
      </c>
      <c r="AD2975">
        <v>41.795079</v>
      </c>
      <c r="AE2975">
        <v>-88.212857</v>
      </c>
      <c r="AF2975" s="5" t="str">
        <f>HYPERLINK("https://www.google.com/maps/search/?api=1&amp;query=41.795079,-88.212857","map")</f>
        <v>map</v>
      </c>
    </row>
    <row r="2976" spans="1:32">
      <c r="A2976" t="s">
        <v>3026</v>
      </c>
      <c r="B2976" t="s">
        <v>10559</v>
      </c>
      <c r="C2976" t="s">
        <v>15475</v>
      </c>
      <c r="D2976" t="s">
        <v>16206</v>
      </c>
      <c r="E2976" t="s">
        <v>16218</v>
      </c>
      <c r="F2976" t="s">
        <v>16220</v>
      </c>
      <c r="G2976" t="s">
        <v>16273</v>
      </c>
      <c r="H2976" t="s">
        <v>16254</v>
      </c>
      <c r="I2976" t="s">
        <v>16351</v>
      </c>
      <c r="J2976" t="s">
        <v>16386</v>
      </c>
      <c r="K2976">
        <v>0.232</v>
      </c>
      <c r="L2976">
        <v>10104</v>
      </c>
      <c r="M2976">
        <v>2771</v>
      </c>
      <c r="N2976" t="s">
        <v>16393</v>
      </c>
      <c r="O2976" s="4">
        <v>50396</v>
      </c>
      <c r="P2976" s="4">
        <v>140408</v>
      </c>
      <c r="Q2976" s="4">
        <v>190804</v>
      </c>
      <c r="R2976" s="4">
        <v>572412</v>
      </c>
      <c r="S2976" t="s">
        <v>19289</v>
      </c>
      <c r="T2976" s="6">
        <v>36831</v>
      </c>
      <c r="U2976" s="4">
        <v>302900</v>
      </c>
      <c r="V2976" t="s">
        <v>23739</v>
      </c>
      <c r="W2976" t="s">
        <v>25189</v>
      </c>
      <c r="X2976" t="s">
        <v>3</v>
      </c>
      <c r="AA2976" s="5" t="str">
        <f>HYPERLINK("https://www.zillow.com/homes/958-CAMPBELL-DR-NAPERVILLE-IL-60540_rb/","check listing")</f>
        <v>check listing</v>
      </c>
      <c r="AB2976" s="5" t="str">
        <f>HYPERLINK("https://propertylookup.dupagecounty.gov/Datalets/Datalet.aspx?UseSearch=no&amp;mode=sales&amp;pin=0709411044","sales record")</f>
        <v>sales record</v>
      </c>
      <c r="AC2976" t="s">
        <v>3</v>
      </c>
      <c r="AD2976">
        <v>41.785606</v>
      </c>
      <c r="AE2976">
        <v>-88.21148100000001</v>
      </c>
      <c r="AF2976" s="5" t="str">
        <f>HYPERLINK("https://www.google.com/maps/search/?api=1&amp;query=41.785606,-88.211481","map")</f>
        <v>map</v>
      </c>
    </row>
    <row r="2977" spans="1:32">
      <c r="A2977" t="s">
        <v>3027</v>
      </c>
      <c r="B2977" t="s">
        <v>10560</v>
      </c>
      <c r="C2977" t="s">
        <v>15475</v>
      </c>
      <c r="D2977" t="s">
        <v>16206</v>
      </c>
      <c r="E2977" t="s">
        <v>16218</v>
      </c>
      <c r="F2977" t="s">
        <v>16220</v>
      </c>
      <c r="G2977" t="s">
        <v>16275</v>
      </c>
      <c r="H2977" t="s">
        <v>16276</v>
      </c>
      <c r="I2977" t="s">
        <v>16352</v>
      </c>
      <c r="J2977" t="s">
        <v>16386</v>
      </c>
      <c r="K2977">
        <v>0.232</v>
      </c>
      <c r="L2977">
        <v>10104</v>
      </c>
      <c r="M2977">
        <v>1583</v>
      </c>
      <c r="N2977" t="s">
        <v>16393</v>
      </c>
      <c r="O2977" s="4">
        <v>49444</v>
      </c>
      <c r="P2977" s="4">
        <v>107137</v>
      </c>
      <c r="Q2977" s="4">
        <v>156581</v>
      </c>
      <c r="R2977" s="4">
        <v>469743</v>
      </c>
      <c r="S2977" t="s">
        <v>19290</v>
      </c>
      <c r="T2977" s="6">
        <v>34213</v>
      </c>
      <c r="U2977" s="4">
        <v>174860</v>
      </c>
      <c r="X2977" t="s">
        <v>3</v>
      </c>
      <c r="AA2977" s="5" t="str">
        <f>HYPERLINK("https://www.zillow.com/homes/1204-ANDRIA-CT-NAPERVILLE-IL-60540_rb/","check listing")</f>
        <v>check listing</v>
      </c>
      <c r="AB2977" s="5" t="str">
        <f>HYPERLINK("https://propertylookup.dupagecounty.gov/Datalets/Datalet.aspx?UseSearch=no&amp;mode=sales&amp;pin=0727201020","sales record")</f>
        <v>sales record</v>
      </c>
      <c r="AC2977" t="s">
        <v>3</v>
      </c>
      <c r="AD2977">
        <v>41.748986</v>
      </c>
      <c r="AE2977">
        <v>-88.188458</v>
      </c>
      <c r="AF2977" s="5" t="str">
        <f>HYPERLINK("https://www.google.com/maps/search/?api=1&amp;query=41.748986,-88.188458","map")</f>
        <v>map</v>
      </c>
    </row>
    <row r="2978" spans="1:32">
      <c r="A2978" t="s">
        <v>3028</v>
      </c>
      <c r="B2978" t="s">
        <v>10561</v>
      </c>
      <c r="C2978" t="s">
        <v>15478</v>
      </c>
      <c r="D2978" t="s">
        <v>16206</v>
      </c>
      <c r="E2978" t="s">
        <v>16218</v>
      </c>
      <c r="F2978" t="s">
        <v>16220</v>
      </c>
      <c r="G2978" t="s">
        <v>16274</v>
      </c>
      <c r="H2978" t="s">
        <v>16269</v>
      </c>
      <c r="I2978" t="s">
        <v>16352</v>
      </c>
      <c r="J2978" t="s">
        <v>16386</v>
      </c>
      <c r="K2978">
        <v>0.232</v>
      </c>
      <c r="L2978">
        <v>10102</v>
      </c>
      <c r="M2978">
        <v>2359</v>
      </c>
      <c r="N2978" t="s">
        <v>16393</v>
      </c>
      <c r="O2978" s="4">
        <v>60269</v>
      </c>
      <c r="P2978" s="4">
        <v>126031</v>
      </c>
      <c r="Q2978" s="4">
        <v>186300</v>
      </c>
      <c r="R2978" s="4">
        <v>558900</v>
      </c>
      <c r="S2978" t="s">
        <v>19291</v>
      </c>
      <c r="T2978" s="6">
        <v>32782</v>
      </c>
      <c r="U2978" s="4">
        <v>201990</v>
      </c>
      <c r="X2978" t="s">
        <v>3</v>
      </c>
      <c r="AA2978" s="5" t="str">
        <f>HYPERLINK("https://www.zillow.com/homes/804-ANTHONY-CT-NAPERVILLE-IL-60563_rb/","check listing")</f>
        <v>check listing</v>
      </c>
      <c r="AB2978" s="5" t="str">
        <f>HYPERLINK("https://propertylookup.dupagecounty.gov/Datalets/Datalet.aspx?UseSearch=no&amp;mode=sales&amp;pin=0715203015","sales record")</f>
        <v>sales record</v>
      </c>
      <c r="AC2978" t="s">
        <v>3</v>
      </c>
      <c r="AD2978">
        <v>41.782685</v>
      </c>
      <c r="AE2978">
        <v>-88.192475</v>
      </c>
      <c r="AF2978" s="5" t="str">
        <f>HYPERLINK("https://www.google.com/maps/search/?api=1&amp;query=41.782685,-88.192475","map")</f>
        <v>map</v>
      </c>
    </row>
    <row r="2979" spans="1:32">
      <c r="A2979" t="s">
        <v>3029</v>
      </c>
      <c r="B2979" t="s">
        <v>10562</v>
      </c>
      <c r="C2979" t="s">
        <v>15527</v>
      </c>
      <c r="D2979" t="s">
        <v>16206</v>
      </c>
      <c r="E2979" t="s">
        <v>16218</v>
      </c>
      <c r="F2979" t="s">
        <v>16220</v>
      </c>
      <c r="G2979" t="s">
        <v>16276</v>
      </c>
      <c r="H2979" t="s">
        <v>16276</v>
      </c>
      <c r="I2979" t="s">
        <v>16352</v>
      </c>
      <c r="J2979" t="s">
        <v>16386</v>
      </c>
      <c r="K2979">
        <v>0.232</v>
      </c>
      <c r="L2979">
        <v>10102</v>
      </c>
      <c r="M2979">
        <v>2227</v>
      </c>
      <c r="N2979" t="s">
        <v>16393</v>
      </c>
      <c r="O2979" s="4">
        <v>43255</v>
      </c>
      <c r="P2979" s="4">
        <v>114156</v>
      </c>
      <c r="Q2979" s="4">
        <v>157411</v>
      </c>
      <c r="R2979" s="4">
        <v>472233</v>
      </c>
      <c r="S2979" t="s">
        <v>19292</v>
      </c>
      <c r="T2979" s="6">
        <v>36192</v>
      </c>
      <c r="U2979" s="4">
        <v>185000</v>
      </c>
      <c r="X2979" t="s">
        <v>3</v>
      </c>
      <c r="AA2979" s="5" t="str">
        <f>HYPERLINK("https://www.zillow.com/homes/2108-SCHUMACHER-DR-NAPERVILLE-IL-605400966_rb/","check listing")</f>
        <v>check listing</v>
      </c>
      <c r="AB2979" s="5" t="str">
        <f>HYPERLINK("https://propertylookup.dupagecounty.gov/Datalets/Datalet.aspx?UseSearch=no&amp;mode=sales&amp;pin=0727203044","sales record")</f>
        <v>sales record</v>
      </c>
      <c r="AC2979" t="s">
        <v>3</v>
      </c>
      <c r="AD2979">
        <v>41.752908</v>
      </c>
      <c r="AE2979">
        <v>-88.186937</v>
      </c>
      <c r="AF2979" s="5" t="str">
        <f>HYPERLINK("https://www.google.com/maps/search/?api=1&amp;query=41.752908,-88.186937","map")</f>
        <v>map</v>
      </c>
    </row>
    <row r="2980" spans="1:32">
      <c r="A2980" t="s">
        <v>3030</v>
      </c>
      <c r="B2980" t="s">
        <v>10563</v>
      </c>
      <c r="C2980" t="s">
        <v>15503</v>
      </c>
      <c r="D2980" t="s">
        <v>16206</v>
      </c>
      <c r="E2980" t="s">
        <v>16218</v>
      </c>
      <c r="F2980" t="s">
        <v>16220</v>
      </c>
      <c r="G2980" t="s">
        <v>16274</v>
      </c>
      <c r="H2980" t="s">
        <v>16269</v>
      </c>
      <c r="I2980" t="s">
        <v>16352</v>
      </c>
      <c r="J2980" t="s">
        <v>16386</v>
      </c>
      <c r="K2980">
        <v>0.232</v>
      </c>
      <c r="L2980">
        <v>10100</v>
      </c>
      <c r="M2980">
        <v>2538</v>
      </c>
      <c r="N2980" t="s">
        <v>16393</v>
      </c>
      <c r="O2980" s="4">
        <v>58060</v>
      </c>
      <c r="P2980" s="4">
        <v>186690</v>
      </c>
      <c r="Q2980" s="4">
        <v>244750</v>
      </c>
      <c r="R2980" s="4">
        <v>734250</v>
      </c>
      <c r="S2980" t="s">
        <v>19293</v>
      </c>
      <c r="T2980" s="6">
        <v>43556</v>
      </c>
      <c r="U2980" s="4">
        <v>480000</v>
      </c>
      <c r="V2980" t="s">
        <v>23739</v>
      </c>
      <c r="W2980" t="s">
        <v>25190</v>
      </c>
      <c r="X2980" t="s">
        <v>3</v>
      </c>
      <c r="AA2980" s="5" t="str">
        <f>HYPERLINK("https://www.zillow.com/homes/1735-CHADWICKE-CIR-NAPERVILLE-IL-605400398_rb/","check listing")</f>
        <v>check listing</v>
      </c>
      <c r="AB2980" s="5" t="str">
        <f>HYPERLINK("https://propertylookup.dupagecounty.gov/Datalets/Datalet.aspx?UseSearch=no&amp;mode=sales&amp;pin=0723311014","sales record")</f>
        <v>sales record</v>
      </c>
      <c r="AC2980" t="s">
        <v>3</v>
      </c>
      <c r="AD2980">
        <v>41.75602</v>
      </c>
      <c r="AE2980">
        <v>-88.18606</v>
      </c>
      <c r="AF2980" s="5" t="str">
        <f>HYPERLINK("https://www.google.com/maps/search/?api=1&amp;query=41.75602,-88.18606","map")</f>
        <v>map</v>
      </c>
    </row>
    <row r="2981" spans="1:32">
      <c r="A2981" t="s">
        <v>3031</v>
      </c>
      <c r="B2981" t="s">
        <v>10564</v>
      </c>
      <c r="C2981" t="s">
        <v>15478</v>
      </c>
      <c r="D2981" t="s">
        <v>16206</v>
      </c>
      <c r="E2981" t="s">
        <v>16218</v>
      </c>
      <c r="F2981" t="s">
        <v>16220</v>
      </c>
      <c r="G2981" t="s">
        <v>16273</v>
      </c>
      <c r="H2981" t="s">
        <v>16254</v>
      </c>
      <c r="I2981" t="s">
        <v>16351</v>
      </c>
      <c r="J2981" t="s">
        <v>16386</v>
      </c>
      <c r="K2981">
        <v>0.232</v>
      </c>
      <c r="L2981">
        <v>10098</v>
      </c>
      <c r="M2981">
        <v>2474</v>
      </c>
      <c r="N2981" t="s">
        <v>16393</v>
      </c>
      <c r="O2981" s="4">
        <v>52800</v>
      </c>
      <c r="P2981" s="4">
        <v>131194</v>
      </c>
      <c r="Q2981" s="4">
        <v>183994</v>
      </c>
      <c r="R2981" s="4">
        <v>551982</v>
      </c>
      <c r="S2981" t="s">
        <v>19294</v>
      </c>
      <c r="T2981" s="6">
        <v>45813</v>
      </c>
      <c r="U2981" s="4">
        <v>625000</v>
      </c>
      <c r="V2981" t="s">
        <v>23739</v>
      </c>
      <c r="W2981" t="s">
        <v>25191</v>
      </c>
      <c r="X2981" t="s">
        <v>3</v>
      </c>
      <c r="AA2981" s="5" t="str">
        <f>HYPERLINK("https://www.zillow.com/homes/1017-MANDALAY-CT-NAPERVILLE-IL-60563_rb/","check listing")</f>
        <v>check listing</v>
      </c>
      <c r="AB2981" s="5" t="str">
        <f>HYPERLINK("https://propertylookup.dupagecounty.gov/Datalets/Datalet.aspx?UseSearch=no&amp;mode=sales&amp;pin=0709410015","sales record")</f>
        <v>sales record</v>
      </c>
      <c r="AC2981" t="s">
        <v>3</v>
      </c>
      <c r="AD2981">
        <v>41.787148</v>
      </c>
      <c r="AE2981">
        <v>-88.214804</v>
      </c>
      <c r="AF2981" s="5" t="str">
        <f>HYPERLINK("https://www.google.com/maps/search/?api=1&amp;query=41.787148,-88.214804","map")</f>
        <v>map</v>
      </c>
    </row>
    <row r="2982" spans="1:32">
      <c r="A2982" t="s">
        <v>3032</v>
      </c>
      <c r="B2982" t="s">
        <v>10565</v>
      </c>
      <c r="C2982" t="s">
        <v>15475</v>
      </c>
      <c r="D2982" t="s">
        <v>16206</v>
      </c>
      <c r="E2982" t="s">
        <v>16218</v>
      </c>
      <c r="F2982" t="s">
        <v>16220</v>
      </c>
      <c r="G2982" t="s">
        <v>16275</v>
      </c>
      <c r="H2982" t="s">
        <v>16276</v>
      </c>
      <c r="I2982" t="s">
        <v>16352</v>
      </c>
      <c r="J2982" t="s">
        <v>16386</v>
      </c>
      <c r="K2982">
        <v>0.232</v>
      </c>
      <c r="L2982">
        <v>10097</v>
      </c>
      <c r="M2982">
        <v>2293</v>
      </c>
      <c r="N2982" t="s">
        <v>16393</v>
      </c>
      <c r="O2982" s="4">
        <v>57193</v>
      </c>
      <c r="P2982" s="4">
        <v>140482</v>
      </c>
      <c r="Q2982" s="4">
        <v>197675</v>
      </c>
      <c r="R2982" s="4">
        <v>593025</v>
      </c>
      <c r="S2982" t="s">
        <v>19295</v>
      </c>
      <c r="T2982" s="6">
        <v>38534</v>
      </c>
      <c r="U2982" s="4">
        <v>353000</v>
      </c>
      <c r="V2982" t="s">
        <v>23739</v>
      </c>
      <c r="W2982" t="s">
        <v>19295</v>
      </c>
      <c r="X2982" t="s">
        <v>3</v>
      </c>
      <c r="AA2982" s="5" t="str">
        <f>HYPERLINK("https://www.zillow.com/homes/2111-FELDOTT-LN-NAPERVILLE-IL-60540_rb/","check listing")</f>
        <v>check listing</v>
      </c>
      <c r="AB2982" s="5" t="str">
        <f>HYPERLINK("https://propertylookup.dupagecounty.gov/Datalets/Datalet.aspx?UseSearch=no&amp;mode=sales&amp;pin=0722404046","sales record")</f>
        <v>sales record</v>
      </c>
      <c r="AC2982" t="s">
        <v>3</v>
      </c>
      <c r="AD2982">
        <v>41.762216</v>
      </c>
      <c r="AE2982">
        <v>-88.189463</v>
      </c>
      <c r="AF2982" s="5" t="str">
        <f>HYPERLINK("https://www.google.com/maps/search/?api=1&amp;query=41.762216,-88.189463","map")</f>
        <v>map</v>
      </c>
    </row>
    <row r="2983" spans="1:32">
      <c r="A2983" t="s">
        <v>3033</v>
      </c>
      <c r="B2983" t="s">
        <v>10566</v>
      </c>
      <c r="C2983" t="s">
        <v>15475</v>
      </c>
      <c r="D2983" t="s">
        <v>16206</v>
      </c>
      <c r="E2983" t="s">
        <v>16218</v>
      </c>
      <c r="F2983" t="s">
        <v>16220</v>
      </c>
      <c r="G2983" t="s">
        <v>16274</v>
      </c>
      <c r="H2983" t="s">
        <v>16269</v>
      </c>
      <c r="I2983" t="s">
        <v>16352</v>
      </c>
      <c r="J2983" t="s">
        <v>16386</v>
      </c>
      <c r="K2983">
        <v>0.232</v>
      </c>
      <c r="L2983">
        <v>10097</v>
      </c>
      <c r="M2983">
        <v>2722</v>
      </c>
      <c r="N2983" t="s">
        <v>16393</v>
      </c>
      <c r="O2983" s="4">
        <v>58060</v>
      </c>
      <c r="P2983" s="4">
        <v>192487</v>
      </c>
      <c r="Q2983" s="4">
        <v>250547</v>
      </c>
      <c r="R2983" s="4">
        <v>751641</v>
      </c>
      <c r="S2983" t="s">
        <v>19296</v>
      </c>
      <c r="T2983" s="6">
        <v>38292</v>
      </c>
      <c r="U2983" s="4">
        <v>425000</v>
      </c>
      <c r="V2983" t="s">
        <v>23739</v>
      </c>
      <c r="W2983" t="s">
        <v>25192</v>
      </c>
      <c r="X2983" t="s">
        <v>3</v>
      </c>
      <c r="AA2983" s="5" t="str">
        <f>HYPERLINK("https://www.zillow.com/homes/720-SANCTUARY-LN-NAPERVILLE-IL-60540_rb/","check listing")</f>
        <v>check listing</v>
      </c>
      <c r="AB2983" s="5" t="str">
        <f>HYPERLINK("https://propertylookup.dupagecounty.gov/Datalets/Datalet.aspx?UseSearch=no&amp;mode=sales&amp;pin=0723306028","sales record")</f>
        <v>sales record</v>
      </c>
      <c r="AC2983" t="s">
        <v>3</v>
      </c>
      <c r="AD2983">
        <v>41.756861</v>
      </c>
      <c r="AE2983">
        <v>-88.183786</v>
      </c>
      <c r="AF2983" s="5" t="str">
        <f>HYPERLINK("https://www.google.com/maps/search/?api=1&amp;query=41.756861,-88.183786","map")</f>
        <v>map</v>
      </c>
    </row>
    <row r="2984" spans="1:32">
      <c r="A2984" t="s">
        <v>3034</v>
      </c>
      <c r="B2984" t="s">
        <v>10567</v>
      </c>
      <c r="C2984" t="s">
        <v>15532</v>
      </c>
      <c r="D2984" t="s">
        <v>16206</v>
      </c>
      <c r="E2984" t="s">
        <v>16218</v>
      </c>
      <c r="F2984" t="s">
        <v>16220</v>
      </c>
      <c r="G2984" t="s">
        <v>16273</v>
      </c>
      <c r="H2984" t="s">
        <v>16254</v>
      </c>
      <c r="I2984" t="s">
        <v>16351</v>
      </c>
      <c r="J2984" t="s">
        <v>16386</v>
      </c>
      <c r="K2984">
        <v>0.232</v>
      </c>
      <c r="L2984">
        <v>10095</v>
      </c>
      <c r="M2984">
        <v>2770</v>
      </c>
      <c r="N2984" t="s">
        <v>16393</v>
      </c>
      <c r="O2984" s="4">
        <v>50396</v>
      </c>
      <c r="P2984" s="4">
        <v>134647</v>
      </c>
      <c r="Q2984" s="4">
        <v>185043</v>
      </c>
      <c r="R2984" s="4">
        <v>555129</v>
      </c>
      <c r="S2984" t="s">
        <v>19297</v>
      </c>
      <c r="T2984" s="6">
        <v>39630</v>
      </c>
      <c r="U2984" s="4">
        <v>383000</v>
      </c>
      <c r="V2984" t="s">
        <v>23739</v>
      </c>
      <c r="W2984" t="s">
        <v>19297</v>
      </c>
      <c r="X2984" t="s">
        <v>3</v>
      </c>
      <c r="AA2984" s="5" t="str">
        <f>HYPERLINK("https://www.zillow.com/homes/954-CAMPBELL-DR-NAPERVILLE-IL-605632345_rb/","check listing")</f>
        <v>check listing</v>
      </c>
      <c r="AB2984" s="5" t="str">
        <f>HYPERLINK("https://propertylookup.dupagecounty.gov/Datalets/Datalet.aspx?UseSearch=no&amp;mode=sales&amp;pin=0709411045","sales record")</f>
        <v>sales record</v>
      </c>
      <c r="AC2984" t="s">
        <v>3</v>
      </c>
      <c r="AD2984">
        <v>41.785478</v>
      </c>
      <c r="AE2984">
        <v>-88.21169</v>
      </c>
      <c r="AF2984" s="5" t="str">
        <f>HYPERLINK("https://www.google.com/maps/search/?api=1&amp;query=41.785478,-88.21169","map")</f>
        <v>map</v>
      </c>
    </row>
    <row r="2985" spans="1:32">
      <c r="A2985" t="s">
        <v>3035</v>
      </c>
      <c r="B2985" t="s">
        <v>10568</v>
      </c>
      <c r="C2985" t="s">
        <v>15499</v>
      </c>
      <c r="D2985" t="s">
        <v>16206</v>
      </c>
      <c r="E2985" t="s">
        <v>16218</v>
      </c>
      <c r="F2985" t="s">
        <v>16220</v>
      </c>
      <c r="G2985" t="s">
        <v>16274</v>
      </c>
      <c r="H2985" t="s">
        <v>16269</v>
      </c>
      <c r="I2985" t="s">
        <v>16352</v>
      </c>
      <c r="J2985" t="s">
        <v>16386</v>
      </c>
      <c r="K2985">
        <v>0.232</v>
      </c>
      <c r="L2985">
        <v>10094</v>
      </c>
      <c r="M2985">
        <v>2637</v>
      </c>
      <c r="N2985" t="s">
        <v>16393</v>
      </c>
      <c r="O2985" s="4">
        <v>62185</v>
      </c>
      <c r="P2985" s="4">
        <v>136832</v>
      </c>
      <c r="Q2985" s="4">
        <v>199017</v>
      </c>
      <c r="R2985" s="4">
        <v>597051</v>
      </c>
      <c r="S2985" t="s">
        <v>19298</v>
      </c>
      <c r="T2985" s="6">
        <v>43800</v>
      </c>
      <c r="U2985" s="4">
        <v>382000</v>
      </c>
      <c r="V2985" t="s">
        <v>23739</v>
      </c>
      <c r="W2985" t="s">
        <v>25193</v>
      </c>
      <c r="X2985" t="s">
        <v>3</v>
      </c>
      <c r="AA2985" s="5" t="str">
        <f>HYPERLINK("https://www.zillow.com/homes/937-ELM-ST-NAPERVILLE-IL-605400345_rb/","check listing")</f>
        <v>check listing</v>
      </c>
      <c r="AB2985" s="5" t="str">
        <f>HYPERLINK("https://propertylookup.dupagecounty.gov/Datalets/Datalet.aspx?UseSearch=no&amp;mode=sales&amp;pin=0726208018","sales record")</f>
        <v>sales record</v>
      </c>
      <c r="AC2985" t="s">
        <v>3</v>
      </c>
      <c r="AD2985">
        <v>41.75234</v>
      </c>
      <c r="AE2985">
        <v>-88.17357199999999</v>
      </c>
      <c r="AF2985" s="5" t="str">
        <f>HYPERLINK("https://www.google.com/maps/search/?api=1&amp;query=41.75234,-88.173572","map")</f>
        <v>map</v>
      </c>
    </row>
    <row r="2986" spans="1:32">
      <c r="A2986" t="s">
        <v>3036</v>
      </c>
      <c r="B2986" t="s">
        <v>10569</v>
      </c>
      <c r="C2986" t="s">
        <v>15523</v>
      </c>
      <c r="D2986" t="s">
        <v>16206</v>
      </c>
      <c r="E2986" t="s">
        <v>16218</v>
      </c>
      <c r="F2986" t="s">
        <v>16220</v>
      </c>
      <c r="G2986" t="s">
        <v>16274</v>
      </c>
      <c r="H2986" t="s">
        <v>16269</v>
      </c>
      <c r="I2986" t="s">
        <v>16352</v>
      </c>
      <c r="J2986" t="s">
        <v>16386</v>
      </c>
      <c r="K2986">
        <v>0.231</v>
      </c>
      <c r="L2986">
        <v>10083</v>
      </c>
      <c r="M2986">
        <v>2968</v>
      </c>
      <c r="N2986" t="s">
        <v>16393</v>
      </c>
      <c r="O2986" s="4">
        <v>58060</v>
      </c>
      <c r="P2986" s="4">
        <v>194709</v>
      </c>
      <c r="Q2986" s="4">
        <v>252769</v>
      </c>
      <c r="R2986" s="4">
        <v>758307</v>
      </c>
      <c r="S2986" t="s">
        <v>19299</v>
      </c>
      <c r="T2986" s="6">
        <v>37834</v>
      </c>
      <c r="U2986" s="4">
        <v>448000</v>
      </c>
      <c r="V2986" t="s">
        <v>23739</v>
      </c>
      <c r="W2986" t="s">
        <v>19552</v>
      </c>
      <c r="X2986" t="s">
        <v>3</v>
      </c>
      <c r="AA2986" s="5" t="str">
        <f>HYPERLINK("https://www.zillow.com/homes/724-SANCTUARY-LN-NAPERVILLE-IL-605406352_rb/","check listing")</f>
        <v>check listing</v>
      </c>
      <c r="AB2986" s="5" t="str">
        <f>HYPERLINK("https://propertylookup.dupagecounty.gov/Datalets/Datalet.aspx?UseSearch=no&amp;mode=sales&amp;pin=0723306029","sales record")</f>
        <v>sales record</v>
      </c>
      <c r="AC2986" t="s">
        <v>3</v>
      </c>
      <c r="AD2986">
        <v>41.75671</v>
      </c>
      <c r="AE2986">
        <v>-88.18361899999999</v>
      </c>
      <c r="AF2986" s="5" t="str">
        <f>HYPERLINK("https://www.google.com/maps/search/?api=1&amp;query=41.75671,-88.183619","map")</f>
        <v>map</v>
      </c>
    </row>
    <row r="2987" spans="1:32">
      <c r="A2987" t="s">
        <v>3037</v>
      </c>
      <c r="B2987" t="s">
        <v>10570</v>
      </c>
      <c r="C2987" t="s">
        <v>15475</v>
      </c>
      <c r="D2987" t="s">
        <v>16206</v>
      </c>
      <c r="E2987" t="s">
        <v>16218</v>
      </c>
      <c r="F2987" t="s">
        <v>16220</v>
      </c>
      <c r="G2987" t="s">
        <v>16274</v>
      </c>
      <c r="H2987" t="s">
        <v>16269</v>
      </c>
      <c r="I2987" t="s">
        <v>16352</v>
      </c>
      <c r="J2987" t="s">
        <v>16386</v>
      </c>
      <c r="K2987">
        <v>0.231</v>
      </c>
      <c r="L2987">
        <v>10080</v>
      </c>
      <c r="M2987">
        <v>2720</v>
      </c>
      <c r="N2987" t="s">
        <v>16393</v>
      </c>
      <c r="O2987" s="4">
        <v>65322</v>
      </c>
      <c r="P2987" s="4">
        <v>192585</v>
      </c>
      <c r="Q2987" s="4">
        <v>257907</v>
      </c>
      <c r="R2987" s="4">
        <v>773721</v>
      </c>
      <c r="S2987" t="s">
        <v>19300</v>
      </c>
      <c r="T2987" s="6">
        <v>38534</v>
      </c>
      <c r="U2987" s="4">
        <v>467500</v>
      </c>
      <c r="V2987" t="s">
        <v>23739</v>
      </c>
      <c r="W2987" t="s">
        <v>25194</v>
      </c>
      <c r="X2987" t="s">
        <v>3</v>
      </c>
      <c r="AA2987" s="5" t="str">
        <f>HYPERLINK("https://www.zillow.com/homes/1409-ROLLING-GROVE-CT-NAPERVILLE-IL-60540_rb/","check listing")</f>
        <v>check listing</v>
      </c>
      <c r="AB2987" s="5" t="str">
        <f>HYPERLINK("https://propertylookup.dupagecounty.gov/Datalets/Datalet.aspx?UseSearch=no&amp;mode=sales&amp;pin=0723304019","sales record")</f>
        <v>sales record</v>
      </c>
      <c r="AC2987" t="s">
        <v>3</v>
      </c>
      <c r="AD2987">
        <v>41.761077</v>
      </c>
      <c r="AE2987">
        <v>-88.178983</v>
      </c>
      <c r="AF2987" s="5" t="str">
        <f>HYPERLINK("https://www.google.com/maps/search/?api=1&amp;query=41.761077,-88.178983","map")</f>
        <v>map</v>
      </c>
    </row>
    <row r="2988" spans="1:32">
      <c r="A2988" t="s">
        <v>3038</v>
      </c>
      <c r="B2988" t="s">
        <v>10571</v>
      </c>
      <c r="C2988" t="s">
        <v>15475</v>
      </c>
      <c r="D2988" t="s">
        <v>16206</v>
      </c>
      <c r="E2988" t="s">
        <v>16218</v>
      </c>
      <c r="F2988" t="s">
        <v>16220</v>
      </c>
      <c r="G2988" t="s">
        <v>16274</v>
      </c>
      <c r="H2988" t="s">
        <v>16269</v>
      </c>
      <c r="I2988" t="s">
        <v>16352</v>
      </c>
      <c r="J2988" t="s">
        <v>16386</v>
      </c>
      <c r="K2988">
        <v>0.231</v>
      </c>
      <c r="L2988">
        <v>10075</v>
      </c>
      <c r="M2988">
        <v>2178</v>
      </c>
      <c r="N2988" t="s">
        <v>16393</v>
      </c>
      <c r="O2988" s="4">
        <v>55106</v>
      </c>
      <c r="P2988" s="4">
        <v>141189</v>
      </c>
      <c r="Q2988" s="4">
        <v>196295</v>
      </c>
      <c r="R2988" s="4">
        <v>588885</v>
      </c>
      <c r="S2988" t="s">
        <v>19301</v>
      </c>
      <c r="T2988" s="6">
        <v>34304</v>
      </c>
      <c r="U2988" s="4">
        <v>212500</v>
      </c>
      <c r="X2988" t="s">
        <v>3</v>
      </c>
      <c r="AA2988" s="5" t="str">
        <f>HYPERLINK("https://www.zillow.com/homes/1254-ARDMORE-DR-NAPERVILLE-IL-60540_rb/","check listing")</f>
        <v>check listing</v>
      </c>
      <c r="AB2988" s="5" t="str">
        <f>HYPERLINK("https://propertylookup.dupagecounty.gov/Datalets/Datalet.aspx?UseSearch=no&amp;mode=sales&amp;pin=0726205002","sales record")</f>
        <v>sales record</v>
      </c>
      <c r="AC2988" t="s">
        <v>3</v>
      </c>
      <c r="AD2988">
        <v>41.753352</v>
      </c>
      <c r="AE2988">
        <v>-88.171881</v>
      </c>
      <c r="AF2988" s="5" t="str">
        <f>HYPERLINK("https://www.google.com/maps/search/?api=1&amp;query=41.753352,-88.171881","map")</f>
        <v>map</v>
      </c>
    </row>
    <row r="2989" spans="1:32">
      <c r="A2989" t="s">
        <v>3039</v>
      </c>
      <c r="B2989" t="s">
        <v>10572</v>
      </c>
      <c r="C2989" t="s">
        <v>15475</v>
      </c>
      <c r="D2989" t="s">
        <v>16206</v>
      </c>
      <c r="E2989" t="s">
        <v>16218</v>
      </c>
      <c r="F2989" t="s">
        <v>16220</v>
      </c>
      <c r="G2989" t="s">
        <v>16274</v>
      </c>
      <c r="H2989" t="s">
        <v>16269</v>
      </c>
      <c r="I2989" t="s">
        <v>16352</v>
      </c>
      <c r="J2989" t="s">
        <v>16386</v>
      </c>
      <c r="K2989">
        <v>0.231</v>
      </c>
      <c r="L2989">
        <v>10075</v>
      </c>
      <c r="M2989">
        <v>2476</v>
      </c>
      <c r="N2989" t="s">
        <v>16393</v>
      </c>
      <c r="O2989" s="4">
        <v>48674</v>
      </c>
      <c r="P2989" s="4">
        <v>140860</v>
      </c>
      <c r="Q2989" s="4">
        <v>189534</v>
      </c>
      <c r="R2989" s="4">
        <v>568602</v>
      </c>
      <c r="S2989" t="s">
        <v>19302</v>
      </c>
      <c r="T2989" s="6">
        <v>41456</v>
      </c>
      <c r="U2989" s="4">
        <v>350000</v>
      </c>
      <c r="V2989" t="s">
        <v>23739</v>
      </c>
      <c r="W2989" t="s">
        <v>19302</v>
      </c>
      <c r="X2989" t="s">
        <v>3</v>
      </c>
      <c r="AA2989" s="5" t="str">
        <f>HYPERLINK("https://www.zillow.com/homes/1544-OSWEGO-RD-NAPERVILLE-IL-60540_rb/","check listing")</f>
        <v>check listing</v>
      </c>
      <c r="AB2989" s="5" t="str">
        <f>HYPERLINK("https://propertylookup.dupagecounty.gov/Datalets/Datalet.aspx?UseSearch=no&amp;mode=sales&amp;pin=0723302022","sales record")</f>
        <v>sales record</v>
      </c>
      <c r="AC2989" t="s">
        <v>3</v>
      </c>
      <c r="AD2989">
        <v>41.760179</v>
      </c>
      <c r="AE2989">
        <v>-88.18324200000001</v>
      </c>
      <c r="AF2989" s="5" t="str">
        <f>HYPERLINK("https://www.google.com/maps/search/?api=1&amp;query=41.760179,-88.183242","map")</f>
        <v>map</v>
      </c>
    </row>
    <row r="2990" spans="1:32">
      <c r="A2990" t="s">
        <v>3040</v>
      </c>
      <c r="B2990" t="s">
        <v>10573</v>
      </c>
      <c r="C2990" t="s">
        <v>15533</v>
      </c>
      <c r="D2990" t="s">
        <v>16206</v>
      </c>
      <c r="E2990" t="s">
        <v>16218</v>
      </c>
      <c r="F2990" t="s">
        <v>16220</v>
      </c>
      <c r="G2990" t="s">
        <v>16274</v>
      </c>
      <c r="H2990" t="s">
        <v>16269</v>
      </c>
      <c r="I2990" t="s">
        <v>16352</v>
      </c>
      <c r="J2990" t="s">
        <v>16386</v>
      </c>
      <c r="K2990">
        <v>0.231</v>
      </c>
      <c r="L2990">
        <v>10073</v>
      </c>
      <c r="M2990">
        <v>2639</v>
      </c>
      <c r="N2990" t="s">
        <v>16393</v>
      </c>
      <c r="O2990" s="4">
        <v>48674</v>
      </c>
      <c r="P2990" s="4">
        <v>155189</v>
      </c>
      <c r="Q2990" s="4">
        <v>203863</v>
      </c>
      <c r="R2990" s="4">
        <v>611589</v>
      </c>
      <c r="S2990" t="s">
        <v>19303</v>
      </c>
      <c r="T2990" s="6">
        <v>42948</v>
      </c>
      <c r="U2990" s="4">
        <v>430000</v>
      </c>
      <c r="V2990" t="s">
        <v>23739</v>
      </c>
      <c r="W2990" t="s">
        <v>25195</v>
      </c>
      <c r="X2990" t="s">
        <v>3</v>
      </c>
      <c r="AA2990" s="5" t="str">
        <f>HYPERLINK("https://www.zillow.com/homes/1540-OSWEGO-RD-NAPERVILLE-IL-605406226_rb/","check listing")</f>
        <v>check listing</v>
      </c>
      <c r="AB2990" s="5" t="str">
        <f>HYPERLINK("https://propertylookup.dupagecounty.gov/Datalets/Datalet.aspx?UseSearch=no&amp;mode=sales&amp;pin=0723302023","sales record")</f>
        <v>sales record</v>
      </c>
      <c r="AC2990" t="s">
        <v>3</v>
      </c>
      <c r="AD2990">
        <v>41.760257</v>
      </c>
      <c r="AE2990">
        <v>-88.18298799999999</v>
      </c>
      <c r="AF2990" s="5" t="str">
        <f>HYPERLINK("https://www.google.com/maps/search/?api=1&amp;query=41.760257,-88.182988","map")</f>
        <v>map</v>
      </c>
    </row>
    <row r="2991" spans="1:32">
      <c r="A2991" t="s">
        <v>3041</v>
      </c>
      <c r="B2991" t="s">
        <v>10574</v>
      </c>
      <c r="C2991" t="s">
        <v>15475</v>
      </c>
      <c r="D2991" t="s">
        <v>16206</v>
      </c>
      <c r="E2991" t="s">
        <v>16218</v>
      </c>
      <c r="F2991" t="s">
        <v>16220</v>
      </c>
      <c r="G2991" t="s">
        <v>16274</v>
      </c>
      <c r="H2991" t="s">
        <v>16269</v>
      </c>
      <c r="I2991" t="s">
        <v>16352</v>
      </c>
      <c r="J2991" t="s">
        <v>16386</v>
      </c>
      <c r="K2991">
        <v>0.231</v>
      </c>
      <c r="L2991">
        <v>10067</v>
      </c>
      <c r="M2991">
        <v>3425</v>
      </c>
      <c r="N2991" t="s">
        <v>16393</v>
      </c>
      <c r="O2991" s="4">
        <v>58060</v>
      </c>
      <c r="P2991" s="4">
        <v>191939</v>
      </c>
      <c r="Q2991" s="4">
        <v>249999</v>
      </c>
      <c r="R2991" s="4">
        <v>749997</v>
      </c>
      <c r="S2991" t="s">
        <v>19304</v>
      </c>
      <c r="T2991" s="6">
        <v>36404</v>
      </c>
      <c r="U2991" s="4">
        <v>355000</v>
      </c>
      <c r="X2991" t="s">
        <v>3</v>
      </c>
      <c r="AA2991" s="5" t="str">
        <f>HYPERLINK("https://www.zillow.com/homes/808-SANCTUARY-LN-NAPERVILLE-IL-60540_rb/","check listing")</f>
        <v>check listing</v>
      </c>
      <c r="AB2991" s="5" t="str">
        <f>HYPERLINK("https://propertylookup.dupagecounty.gov/Datalets/Datalet.aspx?UseSearch=no&amp;mode=sales&amp;pin=0723306031","sales record")</f>
        <v>sales record</v>
      </c>
      <c r="AC2991" t="s">
        <v>3</v>
      </c>
      <c r="AD2991">
        <v>41.756366</v>
      </c>
      <c r="AE2991">
        <v>-88.183297</v>
      </c>
      <c r="AF2991" s="5" t="str">
        <f>HYPERLINK("https://www.google.com/maps/search/?api=1&amp;query=41.756366,-88.183297","map")</f>
        <v>map</v>
      </c>
    </row>
    <row r="2992" spans="1:32">
      <c r="A2992" t="s">
        <v>3042</v>
      </c>
      <c r="B2992" t="s">
        <v>10575</v>
      </c>
      <c r="C2992" t="s">
        <v>15533</v>
      </c>
      <c r="D2992" t="s">
        <v>16206</v>
      </c>
      <c r="E2992" t="s">
        <v>16218</v>
      </c>
      <c r="F2992" t="s">
        <v>16220</v>
      </c>
      <c r="G2992" t="s">
        <v>16274</v>
      </c>
      <c r="H2992" t="s">
        <v>16269</v>
      </c>
      <c r="I2992" t="s">
        <v>16352</v>
      </c>
      <c r="J2992" t="s">
        <v>16386</v>
      </c>
      <c r="K2992">
        <v>0.231</v>
      </c>
      <c r="L2992">
        <v>10066</v>
      </c>
      <c r="M2992">
        <v>3017</v>
      </c>
      <c r="N2992" t="s">
        <v>16393</v>
      </c>
      <c r="O2992" s="4">
        <v>48674</v>
      </c>
      <c r="P2992" s="4">
        <v>157385</v>
      </c>
      <c r="Q2992" s="4">
        <v>206059</v>
      </c>
      <c r="R2992" s="4">
        <v>618177</v>
      </c>
      <c r="S2992" t="s">
        <v>19305</v>
      </c>
      <c r="T2992" s="6">
        <v>43617</v>
      </c>
      <c r="U2992" s="4">
        <v>450000</v>
      </c>
      <c r="V2992" t="s">
        <v>23739</v>
      </c>
      <c r="W2992" t="s">
        <v>25196</v>
      </c>
      <c r="X2992" t="s">
        <v>3</v>
      </c>
      <c r="AA2992" s="5" t="str">
        <f>HYPERLINK("https://www.zillow.com/homes/1536-OSWEGO-RD-NAPERVILLE-IL-605406226_rb/","check listing")</f>
        <v>check listing</v>
      </c>
      <c r="AB2992" s="5" t="str">
        <f>HYPERLINK("https://propertylookup.dupagecounty.gov/Datalets/Datalet.aspx?UseSearch=no&amp;mode=sales&amp;pin=0723302024","sales record")</f>
        <v>sales record</v>
      </c>
      <c r="AC2992" t="s">
        <v>3</v>
      </c>
      <c r="AD2992">
        <v>41.760335</v>
      </c>
      <c r="AE2992">
        <v>-88.182733</v>
      </c>
      <c r="AF2992" s="5" t="str">
        <f>HYPERLINK("https://www.google.com/maps/search/?api=1&amp;query=41.760335,-88.182733","map")</f>
        <v>map</v>
      </c>
    </row>
    <row r="2993" spans="1:32">
      <c r="A2993" t="s">
        <v>3043</v>
      </c>
      <c r="B2993" t="s">
        <v>10576</v>
      </c>
      <c r="C2993" t="s">
        <v>15475</v>
      </c>
      <c r="D2993" t="s">
        <v>16206</v>
      </c>
      <c r="E2993" t="s">
        <v>16218</v>
      </c>
      <c r="F2993" t="s">
        <v>16220</v>
      </c>
      <c r="G2993" t="s">
        <v>16274</v>
      </c>
      <c r="H2993" t="s">
        <v>16269</v>
      </c>
      <c r="I2993" t="s">
        <v>16352</v>
      </c>
      <c r="J2993" t="s">
        <v>16386</v>
      </c>
      <c r="K2993">
        <v>0.231</v>
      </c>
      <c r="L2993">
        <v>10062</v>
      </c>
      <c r="M2993">
        <v>2473</v>
      </c>
      <c r="N2993" t="s">
        <v>16393</v>
      </c>
      <c r="O2993" s="4">
        <v>48674</v>
      </c>
      <c r="P2993" s="4">
        <v>142007</v>
      </c>
      <c r="Q2993" s="4">
        <v>190681</v>
      </c>
      <c r="R2993" s="4">
        <v>572043</v>
      </c>
      <c r="S2993" t="s">
        <v>19306</v>
      </c>
      <c r="T2993" s="6">
        <v>45142</v>
      </c>
      <c r="U2993" s="4">
        <v>615000</v>
      </c>
      <c r="V2993" t="s">
        <v>16232</v>
      </c>
      <c r="W2993" t="s">
        <v>25197</v>
      </c>
      <c r="X2993" t="s">
        <v>3</v>
      </c>
      <c r="AA2993" s="5" t="str">
        <f>HYPERLINK("https://www.zillow.com/homes/1532-OSWEGO-RD-NAPERVILLE-IL-60540_rb/","check listing")</f>
        <v>check listing</v>
      </c>
      <c r="AB2993" s="5" t="str">
        <f>HYPERLINK("https://propertylookup.dupagecounty.gov/Datalets/Datalet.aspx?UseSearch=no&amp;mode=sales&amp;pin=0723302025","sales record")</f>
        <v>sales record</v>
      </c>
      <c r="AC2993" t="s">
        <v>3</v>
      </c>
      <c r="AD2993">
        <v>41.760413</v>
      </c>
      <c r="AE2993">
        <v>-88.182479</v>
      </c>
      <c r="AF2993" s="5" t="str">
        <f>HYPERLINK("https://www.google.com/maps/search/?api=1&amp;query=41.760413,-88.182479","map")</f>
        <v>map</v>
      </c>
    </row>
    <row r="2994" spans="1:32">
      <c r="A2994" t="s">
        <v>3044</v>
      </c>
      <c r="B2994" t="s">
        <v>10577</v>
      </c>
      <c r="C2994" t="s">
        <v>15482</v>
      </c>
      <c r="D2994" t="s">
        <v>16206</v>
      </c>
      <c r="E2994" t="s">
        <v>16218</v>
      </c>
      <c r="F2994" t="s">
        <v>16220</v>
      </c>
      <c r="G2994" t="s">
        <v>16273</v>
      </c>
      <c r="H2994" t="s">
        <v>16254</v>
      </c>
      <c r="I2994" t="s">
        <v>16351</v>
      </c>
      <c r="J2994" t="s">
        <v>16386</v>
      </c>
      <c r="K2994">
        <v>0.231</v>
      </c>
      <c r="L2994">
        <v>10061</v>
      </c>
      <c r="M2994">
        <v>1155</v>
      </c>
      <c r="N2994" t="s">
        <v>16393</v>
      </c>
      <c r="O2994" s="4">
        <v>57963</v>
      </c>
      <c r="P2994" s="4">
        <v>108565</v>
      </c>
      <c r="Q2994" s="4">
        <v>166528</v>
      </c>
      <c r="R2994" s="4">
        <v>499584</v>
      </c>
      <c r="S2994" t="s">
        <v>19307</v>
      </c>
      <c r="T2994" s="6">
        <v>42979</v>
      </c>
      <c r="U2994" s="4">
        <v>360500</v>
      </c>
      <c r="V2994" t="s">
        <v>23739</v>
      </c>
      <c r="W2994" t="s">
        <v>25198</v>
      </c>
      <c r="X2994" t="s">
        <v>3</v>
      </c>
      <c r="AA2994" s="5" t="str">
        <f>HYPERLINK("https://www.zillow.com/homes/1117-BURKE-CT-NAPERVILLE-IL-605631792_rb/","check listing")</f>
        <v>check listing</v>
      </c>
      <c r="AB2994" s="5" t="str">
        <f>HYPERLINK("https://propertylookup.dupagecounty.gov/Datalets/Datalet.aspx?UseSearch=no&amp;mode=sales&amp;pin=0709304011","sales record")</f>
        <v>sales record</v>
      </c>
      <c r="AC2994" t="s">
        <v>3</v>
      </c>
      <c r="AD2994">
        <v>41.788101</v>
      </c>
      <c r="AE2994">
        <v>-88.216421</v>
      </c>
      <c r="AF2994" s="5" t="str">
        <f>HYPERLINK("https://www.google.com/maps/search/?api=1&amp;query=41.788101,-88.216421","map")</f>
        <v>map</v>
      </c>
    </row>
    <row r="2995" spans="1:32">
      <c r="A2995" t="s">
        <v>3045</v>
      </c>
      <c r="B2995" t="s">
        <v>10578</v>
      </c>
      <c r="C2995" t="s">
        <v>15475</v>
      </c>
      <c r="D2995" t="s">
        <v>16206</v>
      </c>
      <c r="E2995" t="s">
        <v>16218</v>
      </c>
      <c r="F2995" t="s">
        <v>16220</v>
      </c>
      <c r="G2995" t="s">
        <v>16274</v>
      </c>
      <c r="H2995" t="s">
        <v>16269</v>
      </c>
      <c r="I2995" t="s">
        <v>16352</v>
      </c>
      <c r="J2995" t="s">
        <v>16386</v>
      </c>
      <c r="K2995">
        <v>0.231</v>
      </c>
      <c r="L2995">
        <v>10061</v>
      </c>
      <c r="M2995">
        <v>3231</v>
      </c>
      <c r="N2995" t="s">
        <v>16393</v>
      </c>
      <c r="O2995" s="4">
        <v>48674</v>
      </c>
      <c r="P2995" s="4">
        <v>173485</v>
      </c>
      <c r="Q2995" s="4">
        <v>222159</v>
      </c>
      <c r="R2995" s="4">
        <v>666477</v>
      </c>
      <c r="S2995" t="s">
        <v>19308</v>
      </c>
      <c r="T2995" s="6">
        <v>34455</v>
      </c>
      <c r="U2995" s="4">
        <v>246592</v>
      </c>
      <c r="X2995" t="s">
        <v>3</v>
      </c>
      <c r="AA2995" s="5" t="str">
        <f>HYPERLINK("https://www.zillow.com/homes/1528-OSWEGO-RD-NAPERVILLE-IL-60540_rb/","check listing")</f>
        <v>check listing</v>
      </c>
      <c r="AB2995" s="5" t="str">
        <f>HYPERLINK("https://propertylookup.dupagecounty.gov/Datalets/Datalet.aspx?UseSearch=no&amp;mode=sales&amp;pin=0723302026","sales record")</f>
        <v>sales record</v>
      </c>
      <c r="AC2995" t="s">
        <v>3</v>
      </c>
      <c r="AD2995">
        <v>41.760491</v>
      </c>
      <c r="AE2995">
        <v>-88.182225</v>
      </c>
      <c r="AF2995" s="5" t="str">
        <f>HYPERLINK("https://www.google.com/maps/search/?api=1&amp;query=41.760491,-88.182225","map")</f>
        <v>map</v>
      </c>
    </row>
    <row r="2996" spans="1:32">
      <c r="A2996" t="s">
        <v>3046</v>
      </c>
      <c r="B2996" t="s">
        <v>10579</v>
      </c>
      <c r="C2996" t="s">
        <v>15475</v>
      </c>
      <c r="D2996" t="s">
        <v>16206</v>
      </c>
      <c r="E2996" t="s">
        <v>16218</v>
      </c>
      <c r="F2996" t="s">
        <v>16220</v>
      </c>
      <c r="G2996" t="s">
        <v>16274</v>
      </c>
      <c r="H2996" t="s">
        <v>16269</v>
      </c>
      <c r="I2996" t="s">
        <v>16352</v>
      </c>
      <c r="J2996" t="s">
        <v>16386</v>
      </c>
      <c r="K2996">
        <v>0.231</v>
      </c>
      <c r="L2996">
        <v>10059</v>
      </c>
      <c r="M2996">
        <v>2780</v>
      </c>
      <c r="N2996" t="s">
        <v>16393</v>
      </c>
      <c r="O2996" s="4">
        <v>58060</v>
      </c>
      <c r="P2996" s="4">
        <v>196015</v>
      </c>
      <c r="Q2996" s="4">
        <v>254075</v>
      </c>
      <c r="R2996" s="4">
        <v>762225</v>
      </c>
      <c r="S2996" t="s">
        <v>19309</v>
      </c>
      <c r="T2996" s="6">
        <v>39326</v>
      </c>
      <c r="U2996" s="4">
        <v>555000</v>
      </c>
      <c r="V2996" t="s">
        <v>23739</v>
      </c>
      <c r="W2996" t="s">
        <v>25199</v>
      </c>
      <c r="X2996" t="s">
        <v>3</v>
      </c>
      <c r="AA2996" s="5" t="str">
        <f>HYPERLINK("https://www.zillow.com/homes/804-SANCTUARY-LN-NAPERVILLE-IL-60540_rb/","check listing")</f>
        <v>check listing</v>
      </c>
      <c r="AB2996" s="5" t="str">
        <f>HYPERLINK("https://propertylookup.dupagecounty.gov/Datalets/Datalet.aspx?UseSearch=no&amp;mode=sales&amp;pin=0723306030","sales record")</f>
        <v>sales record</v>
      </c>
      <c r="AC2996" t="s">
        <v>3</v>
      </c>
      <c r="AD2996">
        <v>41.756534</v>
      </c>
      <c r="AE2996">
        <v>-88.18346</v>
      </c>
      <c r="AF2996" s="5" t="str">
        <f>HYPERLINK("https://www.google.com/maps/search/?api=1&amp;query=41.756534,-88.18346","map")</f>
        <v>map</v>
      </c>
    </row>
    <row r="2997" spans="1:32">
      <c r="A2997" t="s">
        <v>3047</v>
      </c>
      <c r="B2997" t="s">
        <v>10580</v>
      </c>
      <c r="C2997" t="s">
        <v>15534</v>
      </c>
      <c r="D2997" t="s">
        <v>16206</v>
      </c>
      <c r="E2997" t="s">
        <v>16218</v>
      </c>
      <c r="F2997" t="s">
        <v>16220</v>
      </c>
      <c r="G2997" t="s">
        <v>16274</v>
      </c>
      <c r="H2997" t="s">
        <v>16269</v>
      </c>
      <c r="I2997" t="s">
        <v>16352</v>
      </c>
      <c r="J2997" t="s">
        <v>16386</v>
      </c>
      <c r="K2997">
        <v>0.231</v>
      </c>
      <c r="L2997">
        <v>10057</v>
      </c>
      <c r="M2997">
        <v>2637</v>
      </c>
      <c r="N2997" t="s">
        <v>16393</v>
      </c>
      <c r="O2997" s="4">
        <v>52055</v>
      </c>
      <c r="P2997" s="4">
        <v>153175</v>
      </c>
      <c r="Q2997" s="4">
        <v>205230</v>
      </c>
      <c r="R2997" s="4">
        <v>615690</v>
      </c>
      <c r="S2997" t="s">
        <v>19310</v>
      </c>
      <c r="T2997" s="6">
        <v>43891</v>
      </c>
      <c r="U2997" s="4">
        <v>515000</v>
      </c>
      <c r="V2997" t="s">
        <v>23739</v>
      </c>
      <c r="W2997" t="s">
        <v>25200</v>
      </c>
      <c r="X2997" t="s">
        <v>3</v>
      </c>
      <c r="AA2997" s="5" t="str">
        <f>HYPERLINK("https://www.zillow.com/homes/1187-REDFIELD-RD-NAPERVILLE-IL-605632117_rb/","check listing")</f>
        <v>check listing</v>
      </c>
      <c r="AB2997" s="5" t="str">
        <f>HYPERLINK("https://propertylookup.dupagecounty.gov/Datalets/Datalet.aspx?UseSearch=no&amp;mode=sales&amp;pin=0710412007","sales record")</f>
        <v>sales record</v>
      </c>
      <c r="AC2997" t="s">
        <v>3</v>
      </c>
      <c r="AD2997">
        <v>41.790494</v>
      </c>
      <c r="AE2997">
        <v>-88.188407</v>
      </c>
      <c r="AF2997" s="5" t="str">
        <f>HYPERLINK("https://www.google.com/maps/search/?api=1&amp;query=41.790494,-88.188407","map")</f>
        <v>map</v>
      </c>
    </row>
    <row r="2998" spans="1:32">
      <c r="A2998" t="s">
        <v>3048</v>
      </c>
      <c r="B2998" t="s">
        <v>10581</v>
      </c>
      <c r="C2998" t="s">
        <v>15533</v>
      </c>
      <c r="D2998" t="s">
        <v>16206</v>
      </c>
      <c r="E2998" t="s">
        <v>16218</v>
      </c>
      <c r="F2998" t="s">
        <v>16220</v>
      </c>
      <c r="G2998" t="s">
        <v>16274</v>
      </c>
      <c r="H2998" t="s">
        <v>16269</v>
      </c>
      <c r="I2998" t="s">
        <v>16352</v>
      </c>
      <c r="J2998" t="s">
        <v>16386</v>
      </c>
      <c r="K2998">
        <v>0.231</v>
      </c>
      <c r="L2998">
        <v>10055</v>
      </c>
      <c r="M2998">
        <v>2472</v>
      </c>
      <c r="N2998" t="s">
        <v>16393</v>
      </c>
      <c r="O2998" s="4">
        <v>48674</v>
      </c>
      <c r="P2998" s="4">
        <v>154384</v>
      </c>
      <c r="Q2998" s="4">
        <v>203058</v>
      </c>
      <c r="R2998" s="4">
        <v>609174</v>
      </c>
      <c r="S2998" t="s">
        <v>19311</v>
      </c>
      <c r="T2998" s="6">
        <v>45317</v>
      </c>
      <c r="U2998" s="4">
        <v>605000</v>
      </c>
      <c r="V2998" t="s">
        <v>23739</v>
      </c>
      <c r="W2998" t="s">
        <v>25201</v>
      </c>
      <c r="X2998" t="s">
        <v>3</v>
      </c>
      <c r="AA2998" s="5" t="str">
        <f>HYPERLINK("https://www.zillow.com/homes/1524-OSWEGO-RD-NAPERVILLE-IL-605406226_rb/","check listing")</f>
        <v>check listing</v>
      </c>
      <c r="AB2998" s="5" t="str">
        <f>HYPERLINK("https://propertylookup.dupagecounty.gov/Datalets/Datalet.aspx?UseSearch=no&amp;mode=sales&amp;pin=0723302027","sales record")</f>
        <v>sales record</v>
      </c>
      <c r="AC2998" t="s">
        <v>3</v>
      </c>
      <c r="AD2998">
        <v>41.760569</v>
      </c>
      <c r="AE2998">
        <v>-88.18197000000001</v>
      </c>
      <c r="AF2998" s="5" t="str">
        <f>HYPERLINK("https://www.google.com/maps/search/?api=1&amp;query=41.760569,-88.18197","map")</f>
        <v>map</v>
      </c>
    </row>
    <row r="2999" spans="1:32">
      <c r="A2999" t="s">
        <v>3049</v>
      </c>
      <c r="B2999" t="s">
        <v>10582</v>
      </c>
      <c r="C2999" t="s">
        <v>15478</v>
      </c>
      <c r="D2999" t="s">
        <v>16206</v>
      </c>
      <c r="E2999" t="s">
        <v>16218</v>
      </c>
      <c r="F2999" t="s">
        <v>16220</v>
      </c>
      <c r="G2999" t="s">
        <v>16274</v>
      </c>
      <c r="H2999" t="s">
        <v>16269</v>
      </c>
      <c r="I2999" t="s">
        <v>16352</v>
      </c>
      <c r="J2999" t="s">
        <v>16386</v>
      </c>
      <c r="K2999">
        <v>0.231</v>
      </c>
      <c r="L2999">
        <v>10052</v>
      </c>
      <c r="M2999">
        <v>2518</v>
      </c>
      <c r="N2999" t="s">
        <v>16393</v>
      </c>
      <c r="O2999" s="4">
        <v>52055</v>
      </c>
      <c r="P2999" s="4">
        <v>150282</v>
      </c>
      <c r="Q2999" s="4">
        <v>202337</v>
      </c>
      <c r="R2999" s="4">
        <v>607011</v>
      </c>
      <c r="S2999" t="s">
        <v>19312</v>
      </c>
      <c r="T2999" s="6">
        <v>36312</v>
      </c>
      <c r="U2999" s="4">
        <v>260000</v>
      </c>
      <c r="X2999" t="s">
        <v>3</v>
      </c>
      <c r="AA2999" s="5" t="str">
        <f>HYPERLINK("https://www.zillow.com/homes/1191-REDFIELD-RD-NAPERVILLE-IL-60563_rb/","check listing")</f>
        <v>check listing</v>
      </c>
      <c r="AB2999" s="5" t="str">
        <f>HYPERLINK("https://propertylookup.dupagecounty.gov/Datalets/Datalet.aspx?UseSearch=no&amp;mode=sales&amp;pin=0710412006","sales record")</f>
        <v>sales record</v>
      </c>
      <c r="AC2999" t="s">
        <v>3</v>
      </c>
      <c r="AD2999">
        <v>41.790615</v>
      </c>
      <c r="AE2999">
        <v>-88.18862</v>
      </c>
      <c r="AF2999" s="5" t="str">
        <f>HYPERLINK("https://www.google.com/maps/search/?api=1&amp;query=41.790615,-88.18862","map")</f>
        <v>map</v>
      </c>
    </row>
    <row r="3000" spans="1:32">
      <c r="A3000" t="s">
        <v>3050</v>
      </c>
      <c r="B3000" t="s">
        <v>10583</v>
      </c>
      <c r="C3000" t="s">
        <v>15487</v>
      </c>
      <c r="D3000" t="s">
        <v>16206</v>
      </c>
      <c r="E3000" t="s">
        <v>16218</v>
      </c>
      <c r="F3000" t="s">
        <v>16220</v>
      </c>
      <c r="G3000" t="s">
        <v>16274</v>
      </c>
      <c r="H3000" t="s">
        <v>16269</v>
      </c>
      <c r="I3000" t="s">
        <v>16352</v>
      </c>
      <c r="J3000" t="s">
        <v>16386</v>
      </c>
      <c r="K3000">
        <v>0.231</v>
      </c>
      <c r="L3000">
        <v>10051</v>
      </c>
      <c r="M3000">
        <v>2540</v>
      </c>
      <c r="N3000" t="s">
        <v>16393</v>
      </c>
      <c r="O3000" s="4">
        <v>65322</v>
      </c>
      <c r="P3000" s="4">
        <v>161059</v>
      </c>
      <c r="Q3000" s="4">
        <v>226381</v>
      </c>
      <c r="R3000" s="4">
        <v>679143</v>
      </c>
      <c r="S3000" t="s">
        <v>19313</v>
      </c>
      <c r="T3000" s="6">
        <v>44197</v>
      </c>
      <c r="U3000" s="4">
        <v>460000</v>
      </c>
      <c r="V3000" t="s">
        <v>23739</v>
      </c>
      <c r="W3000" t="s">
        <v>25202</v>
      </c>
      <c r="X3000" t="s">
        <v>3</v>
      </c>
      <c r="AA3000" s="5" t="str">
        <f>HYPERLINK("https://www.zillow.com/homes/707-HAYLE-CT-NAPERVILLE-IL-605400396_rb/","check listing")</f>
        <v>check listing</v>
      </c>
      <c r="AB3000" s="5" t="str">
        <f>HYPERLINK("https://propertylookup.dupagecounty.gov/Datalets/Datalet.aspx?UseSearch=no&amp;mode=sales&amp;pin=0723311007","sales record")</f>
        <v>sales record</v>
      </c>
      <c r="AC3000" t="s">
        <v>3</v>
      </c>
      <c r="AD3000">
        <v>41.757558</v>
      </c>
      <c r="AE3000">
        <v>-88.18619099999999</v>
      </c>
      <c r="AF3000" s="5" t="str">
        <f>HYPERLINK("https://www.google.com/maps/search/?api=1&amp;query=41.757558,-88.186191","map")</f>
        <v>map</v>
      </c>
    </row>
    <row r="3001" spans="1:32">
      <c r="A3001" t="s">
        <v>3051</v>
      </c>
      <c r="B3001" t="s">
        <v>10584</v>
      </c>
      <c r="C3001" t="s">
        <v>15475</v>
      </c>
      <c r="D3001" t="s">
        <v>16206</v>
      </c>
      <c r="E3001" t="s">
        <v>16218</v>
      </c>
      <c r="F3001" t="s">
        <v>16220</v>
      </c>
      <c r="G3001" t="s">
        <v>16274</v>
      </c>
      <c r="H3001" t="s">
        <v>16269</v>
      </c>
      <c r="I3001" t="s">
        <v>16352</v>
      </c>
      <c r="J3001" t="s">
        <v>16386</v>
      </c>
      <c r="K3001">
        <v>0.231</v>
      </c>
      <c r="L3001">
        <v>10050</v>
      </c>
      <c r="M3001">
        <v>3028</v>
      </c>
      <c r="N3001" t="s">
        <v>16393</v>
      </c>
      <c r="O3001" s="4">
        <v>48674</v>
      </c>
      <c r="P3001" s="4">
        <v>164990</v>
      </c>
      <c r="Q3001" s="4">
        <v>213664</v>
      </c>
      <c r="R3001" s="4">
        <v>640992</v>
      </c>
      <c r="S3001" t="s">
        <v>19314</v>
      </c>
      <c r="T3001" s="6">
        <v>38504</v>
      </c>
      <c r="U3001" s="4">
        <v>455000</v>
      </c>
      <c r="V3001" t="s">
        <v>23739</v>
      </c>
      <c r="W3001" t="s">
        <v>25203</v>
      </c>
      <c r="X3001" t="s">
        <v>3</v>
      </c>
      <c r="AA3001" s="5" t="str">
        <f>HYPERLINK("https://www.zillow.com/homes/1520-OSWEGO-RD-NAPERVILLE-IL-60540_rb/","check listing")</f>
        <v>check listing</v>
      </c>
      <c r="AB3001" s="5" t="str">
        <f>HYPERLINK("https://propertylookup.dupagecounty.gov/Datalets/Datalet.aspx?UseSearch=no&amp;mode=sales&amp;pin=0723302028","sales record")</f>
        <v>sales record</v>
      </c>
      <c r="AC3001" t="s">
        <v>3</v>
      </c>
      <c r="AD3001">
        <v>41.760647</v>
      </c>
      <c r="AE3001">
        <v>-88.18171599999999</v>
      </c>
      <c r="AF3001" s="5" t="str">
        <f>HYPERLINK("https://www.google.com/maps/search/?api=1&amp;query=41.760647,-88.181716","map")</f>
        <v>map</v>
      </c>
    </row>
    <row r="3002" spans="1:32">
      <c r="A3002" t="s">
        <v>3052</v>
      </c>
      <c r="B3002" t="s">
        <v>10585</v>
      </c>
      <c r="C3002" t="s">
        <v>15475</v>
      </c>
      <c r="D3002" t="s">
        <v>16206</v>
      </c>
      <c r="E3002" t="s">
        <v>16218</v>
      </c>
      <c r="F3002" t="s">
        <v>16220</v>
      </c>
      <c r="G3002" t="s">
        <v>16274</v>
      </c>
      <c r="H3002" t="s">
        <v>16269</v>
      </c>
      <c r="I3002" t="s">
        <v>16352</v>
      </c>
      <c r="J3002" t="s">
        <v>16386</v>
      </c>
      <c r="K3002">
        <v>0.231</v>
      </c>
      <c r="L3002">
        <v>10048</v>
      </c>
      <c r="M3002">
        <v>2638</v>
      </c>
      <c r="N3002" t="s">
        <v>16393</v>
      </c>
      <c r="O3002" s="4">
        <v>48674</v>
      </c>
      <c r="P3002" s="4">
        <v>151686</v>
      </c>
      <c r="Q3002" s="4">
        <v>200360</v>
      </c>
      <c r="R3002" s="4">
        <v>601080</v>
      </c>
      <c r="S3002" t="s">
        <v>19315</v>
      </c>
      <c r="T3002" s="6">
        <v>36739</v>
      </c>
      <c r="U3002" s="4">
        <v>342000</v>
      </c>
      <c r="V3002" t="s">
        <v>23739</v>
      </c>
      <c r="W3002" t="s">
        <v>25204</v>
      </c>
      <c r="X3002" t="s">
        <v>3</v>
      </c>
      <c r="AA3002" s="5" t="str">
        <f>HYPERLINK("https://www.zillow.com/homes/1516-OSWEGO-RD-NAPERVILLE-IL-60540_rb/","check listing")</f>
        <v>check listing</v>
      </c>
      <c r="AB3002" s="5" t="str">
        <f>HYPERLINK("https://propertylookup.dupagecounty.gov/Datalets/Datalet.aspx?UseSearch=no&amp;mode=sales&amp;pin=0723302029","sales record")</f>
        <v>sales record</v>
      </c>
      <c r="AC3002" t="s">
        <v>3</v>
      </c>
      <c r="AD3002">
        <v>41.760725</v>
      </c>
      <c r="AE3002">
        <v>-88.181461</v>
      </c>
      <c r="AF3002" s="5" t="str">
        <f>HYPERLINK("https://www.google.com/maps/search/?api=1&amp;query=41.760725,-88.181461","map")</f>
        <v>map</v>
      </c>
    </row>
    <row r="3003" spans="1:32">
      <c r="A3003" t="s">
        <v>3053</v>
      </c>
      <c r="B3003" t="s">
        <v>10586</v>
      </c>
      <c r="C3003" t="s">
        <v>15475</v>
      </c>
      <c r="D3003" t="s">
        <v>16206</v>
      </c>
      <c r="E3003" t="s">
        <v>16218</v>
      </c>
      <c r="F3003" t="s">
        <v>16220</v>
      </c>
      <c r="G3003" t="s">
        <v>16274</v>
      </c>
      <c r="H3003" t="s">
        <v>16269</v>
      </c>
      <c r="I3003" t="s">
        <v>16352</v>
      </c>
      <c r="J3003" t="s">
        <v>16386</v>
      </c>
      <c r="K3003">
        <v>0.231</v>
      </c>
      <c r="L3003">
        <v>10046</v>
      </c>
      <c r="M3003">
        <v>2142</v>
      </c>
      <c r="N3003" t="s">
        <v>16393</v>
      </c>
      <c r="O3003" s="4">
        <v>53007</v>
      </c>
      <c r="P3003" s="4">
        <v>141886</v>
      </c>
      <c r="Q3003" s="4">
        <v>194893</v>
      </c>
      <c r="R3003" s="4">
        <v>584679</v>
      </c>
      <c r="S3003" t="s">
        <v>19316</v>
      </c>
      <c r="T3003" s="6">
        <v>37773</v>
      </c>
      <c r="U3003" s="4">
        <v>305000</v>
      </c>
      <c r="V3003" t="s">
        <v>23739</v>
      </c>
      <c r="W3003" t="s">
        <v>25205</v>
      </c>
      <c r="X3003" t="s">
        <v>3</v>
      </c>
      <c r="AA3003" s="5" t="str">
        <f>HYPERLINK("https://www.zillow.com/homes/1256-ASHTON-LN-NAPERVILLE-IL-60540_rb/","check listing")</f>
        <v>check listing</v>
      </c>
      <c r="AB3003" s="5" t="str">
        <f>HYPERLINK("https://propertylookup.dupagecounty.gov/Datalets/Datalet.aspx?UseSearch=no&amp;mode=sales&amp;pin=0726206005","sales record")</f>
        <v>sales record</v>
      </c>
      <c r="AC3003" t="s">
        <v>3</v>
      </c>
      <c r="AD3003">
        <v>41.75253</v>
      </c>
      <c r="AE3003">
        <v>-88.170524</v>
      </c>
      <c r="AF3003" s="5" t="str">
        <f>HYPERLINK("https://www.google.com/maps/search/?api=1&amp;query=41.75253,-88.170524","map")</f>
        <v>map</v>
      </c>
    </row>
    <row r="3004" spans="1:32">
      <c r="A3004" t="s">
        <v>3054</v>
      </c>
      <c r="B3004" t="s">
        <v>10587</v>
      </c>
      <c r="C3004" t="s">
        <v>15535</v>
      </c>
      <c r="D3004" t="s">
        <v>16206</v>
      </c>
      <c r="E3004" t="s">
        <v>16218</v>
      </c>
      <c r="F3004" t="s">
        <v>16220</v>
      </c>
      <c r="G3004" t="s">
        <v>16275</v>
      </c>
      <c r="H3004" t="s">
        <v>16276</v>
      </c>
      <c r="I3004" t="s">
        <v>16352</v>
      </c>
      <c r="J3004" t="s">
        <v>16386</v>
      </c>
      <c r="K3004">
        <v>0.231</v>
      </c>
      <c r="L3004">
        <v>10046</v>
      </c>
      <c r="M3004">
        <v>2585</v>
      </c>
      <c r="N3004" t="s">
        <v>16393</v>
      </c>
      <c r="O3004" s="4">
        <v>57169</v>
      </c>
      <c r="P3004" s="4">
        <v>118317</v>
      </c>
      <c r="Q3004" s="4">
        <v>175486</v>
      </c>
      <c r="R3004" s="4">
        <v>526458</v>
      </c>
      <c r="S3004" t="s">
        <v>19317</v>
      </c>
      <c r="T3004" s="6">
        <v>44075</v>
      </c>
      <c r="U3004" s="4">
        <v>395000</v>
      </c>
      <c r="V3004" t="s">
        <v>23739</v>
      </c>
      <c r="W3004" t="s">
        <v>25206</v>
      </c>
      <c r="X3004" t="s">
        <v>3</v>
      </c>
      <c r="AA3004" s="5" t="str">
        <f>HYPERLINK("https://www.zillow.com/homes/1116-HANNAH-CT-NAPERVILLE-IL-605400978_rb/","check listing")</f>
        <v>check listing</v>
      </c>
      <c r="AB3004" s="5" t="str">
        <f>HYPERLINK("https://propertylookup.dupagecounty.gov/Datalets/Datalet.aspx?UseSearch=no&amp;mode=sales&amp;pin=0727204018","sales record")</f>
        <v>sales record</v>
      </c>
      <c r="AC3004" t="s">
        <v>3</v>
      </c>
      <c r="AD3004">
        <v>41.750109</v>
      </c>
      <c r="AE3004">
        <v>-88.18852</v>
      </c>
      <c r="AF3004" s="5" t="str">
        <f>HYPERLINK("https://www.google.com/maps/search/?api=1&amp;query=41.750109,-88.18852","map")</f>
        <v>map</v>
      </c>
    </row>
    <row r="3005" spans="1:32">
      <c r="A3005" t="s">
        <v>3055</v>
      </c>
      <c r="B3005" t="s">
        <v>10588</v>
      </c>
      <c r="C3005" t="s">
        <v>15476</v>
      </c>
      <c r="D3005" t="s">
        <v>16206</v>
      </c>
      <c r="E3005" t="s">
        <v>16218</v>
      </c>
      <c r="F3005" t="s">
        <v>16220</v>
      </c>
      <c r="G3005" t="s">
        <v>16269</v>
      </c>
      <c r="H3005" t="s">
        <v>16269</v>
      </c>
      <c r="I3005" t="s">
        <v>16352</v>
      </c>
      <c r="J3005" t="s">
        <v>16386</v>
      </c>
      <c r="K3005">
        <v>0.231</v>
      </c>
      <c r="L3005">
        <v>10045</v>
      </c>
      <c r="M3005">
        <v>2375</v>
      </c>
      <c r="N3005" t="s">
        <v>16393</v>
      </c>
      <c r="O3005" s="4">
        <v>76630</v>
      </c>
      <c r="P3005" s="4">
        <v>115265</v>
      </c>
      <c r="Q3005" s="4">
        <v>191895</v>
      </c>
      <c r="R3005" s="4">
        <v>575685</v>
      </c>
      <c r="S3005" t="s">
        <v>19318</v>
      </c>
      <c r="T3005" s="6">
        <v>36708</v>
      </c>
      <c r="U3005" s="4">
        <v>275000</v>
      </c>
      <c r="V3005" t="s">
        <v>23739</v>
      </c>
      <c r="W3005" t="s">
        <v>25207</v>
      </c>
      <c r="X3005" t="s">
        <v>3</v>
      </c>
      <c r="AA3005" s="5" t="str">
        <f>HYPERLINK("https://www.zillow.com/homes/1764-NAPOLEON-DR-NAPERVILLE-IL-60565_rb/","check listing")</f>
        <v>check listing</v>
      </c>
      <c r="AB3005" s="5" t="str">
        <f>HYPERLINK("https://propertylookup.dupagecounty.gov/Datalets/Datalet.aspx?UseSearch=no&amp;mode=sales&amp;pin=0832115035","sales record")</f>
        <v>sales record</v>
      </c>
      <c r="AC3005" t="s">
        <v>3</v>
      </c>
      <c r="AD3005">
        <v>41.734708</v>
      </c>
      <c r="AE3005">
        <v>-88.120677</v>
      </c>
      <c r="AF3005" s="5" t="str">
        <f>HYPERLINK("https://www.google.com/maps/search/?api=1&amp;query=41.734708,-88.120677","map")</f>
        <v>map</v>
      </c>
    </row>
    <row r="3006" spans="1:32">
      <c r="A3006" t="s">
        <v>3056</v>
      </c>
      <c r="B3006" t="s">
        <v>10589</v>
      </c>
      <c r="C3006" t="s">
        <v>15536</v>
      </c>
      <c r="D3006" t="s">
        <v>16206</v>
      </c>
      <c r="E3006" t="s">
        <v>16218</v>
      </c>
      <c r="F3006" t="s">
        <v>16220</v>
      </c>
      <c r="G3006" t="s">
        <v>16275</v>
      </c>
      <c r="H3006" t="s">
        <v>16276</v>
      </c>
      <c r="I3006" t="s">
        <v>16352</v>
      </c>
      <c r="J3006" t="s">
        <v>16386</v>
      </c>
      <c r="K3006">
        <v>0.231</v>
      </c>
      <c r="L3006">
        <v>10043</v>
      </c>
      <c r="M3006">
        <v>2803</v>
      </c>
      <c r="N3006" t="s">
        <v>16393</v>
      </c>
      <c r="O3006" s="4">
        <v>38312</v>
      </c>
      <c r="P3006" s="4">
        <v>148330</v>
      </c>
      <c r="Q3006" s="4">
        <v>186642</v>
      </c>
      <c r="R3006" s="4">
        <v>559926</v>
      </c>
      <c r="S3006" t="s">
        <v>19319</v>
      </c>
      <c r="T3006" s="6">
        <v>42948</v>
      </c>
      <c r="U3006" s="4">
        <v>372000</v>
      </c>
      <c r="V3006" t="s">
        <v>23740</v>
      </c>
      <c r="W3006" t="s">
        <v>25208</v>
      </c>
      <c r="X3006" t="s">
        <v>3</v>
      </c>
      <c r="AA3006" s="5" t="str">
        <f>HYPERLINK("https://www.zillow.com/homes/611-WILDFLOWER-CT-NAPERVILLE-IL-605409203_rb/","check listing")</f>
        <v>check listing</v>
      </c>
      <c r="AB3006" s="5" t="str">
        <f>HYPERLINK("https://propertylookup.dupagecounty.gov/Datalets/Datalet.aspx?UseSearch=no&amp;mode=sales&amp;pin=0722304001","sales record")</f>
        <v>sales record</v>
      </c>
      <c r="AC3006" t="s">
        <v>3</v>
      </c>
      <c r="AD3006">
        <v>41.7594</v>
      </c>
      <c r="AE3006">
        <v>-88.19625000000001</v>
      </c>
      <c r="AF3006" s="5" t="str">
        <f>HYPERLINK("https://www.google.com/maps/search/?api=1&amp;query=41.7594,-88.19625","map")</f>
        <v>map</v>
      </c>
    </row>
    <row r="3007" spans="1:32">
      <c r="A3007" t="s">
        <v>3057</v>
      </c>
      <c r="B3007" t="s">
        <v>10590</v>
      </c>
      <c r="C3007" t="s">
        <v>15475</v>
      </c>
      <c r="D3007" t="s">
        <v>16206</v>
      </c>
      <c r="E3007" t="s">
        <v>16218</v>
      </c>
      <c r="F3007" t="s">
        <v>16220</v>
      </c>
      <c r="G3007" t="s">
        <v>16274</v>
      </c>
      <c r="H3007" t="s">
        <v>16269</v>
      </c>
      <c r="I3007" t="s">
        <v>16352</v>
      </c>
      <c r="J3007" t="s">
        <v>16386</v>
      </c>
      <c r="K3007">
        <v>0.231</v>
      </c>
      <c r="L3007">
        <v>10041</v>
      </c>
      <c r="M3007">
        <v>2473</v>
      </c>
      <c r="N3007" t="s">
        <v>16393</v>
      </c>
      <c r="O3007" s="4">
        <v>48674</v>
      </c>
      <c r="P3007" s="4">
        <v>156507</v>
      </c>
      <c r="Q3007" s="4">
        <v>205181</v>
      </c>
      <c r="R3007" s="4">
        <v>615543</v>
      </c>
      <c r="S3007" t="s">
        <v>19320</v>
      </c>
      <c r="T3007" s="6">
        <v>34121</v>
      </c>
      <c r="U3007" s="4">
        <v>229900</v>
      </c>
      <c r="X3007" t="s">
        <v>3</v>
      </c>
      <c r="AA3007" s="5" t="str">
        <f>HYPERLINK("https://www.zillow.com/homes/1512-OSWEGO-RD-NAPERVILLE-IL-60540_rb/","check listing")</f>
        <v>check listing</v>
      </c>
      <c r="AB3007" s="5" t="str">
        <f>HYPERLINK("https://propertylookup.dupagecounty.gov/Datalets/Datalet.aspx?UseSearch=no&amp;mode=sales&amp;pin=0723302030","sales record")</f>
        <v>sales record</v>
      </c>
      <c r="AC3007" t="s">
        <v>3</v>
      </c>
      <c r="AD3007">
        <v>41.760847</v>
      </c>
      <c r="AE3007">
        <v>-88.181231</v>
      </c>
      <c r="AF3007" s="5" t="str">
        <f>HYPERLINK("https://www.google.com/maps/search/?api=1&amp;query=41.760847,-88.181231","map")</f>
        <v>map</v>
      </c>
    </row>
    <row r="3008" spans="1:32">
      <c r="A3008" t="s">
        <v>3058</v>
      </c>
      <c r="B3008" t="s">
        <v>10591</v>
      </c>
      <c r="C3008" t="s">
        <v>15491</v>
      </c>
      <c r="D3008" t="s">
        <v>16206</v>
      </c>
      <c r="E3008" t="s">
        <v>16218</v>
      </c>
      <c r="F3008" t="s">
        <v>16220</v>
      </c>
      <c r="G3008" t="s">
        <v>16273</v>
      </c>
      <c r="H3008" t="s">
        <v>16254</v>
      </c>
      <c r="I3008" t="s">
        <v>16351</v>
      </c>
      <c r="J3008" t="s">
        <v>16386</v>
      </c>
      <c r="K3008">
        <v>0.23</v>
      </c>
      <c r="L3008">
        <v>10037</v>
      </c>
      <c r="M3008">
        <v>1050</v>
      </c>
      <c r="N3008" t="s">
        <v>16393</v>
      </c>
      <c r="O3008" s="4">
        <v>52800</v>
      </c>
      <c r="P3008" s="4">
        <v>119879</v>
      </c>
      <c r="Q3008" s="4">
        <v>172679</v>
      </c>
      <c r="R3008" s="4">
        <v>518037</v>
      </c>
      <c r="S3008" t="s">
        <v>19321</v>
      </c>
      <c r="T3008" s="6">
        <v>37408</v>
      </c>
      <c r="U3008" s="4">
        <v>285000</v>
      </c>
      <c r="V3008" t="s">
        <v>23739</v>
      </c>
      <c r="W3008" t="s">
        <v>19321</v>
      </c>
      <c r="X3008" t="s">
        <v>3</v>
      </c>
      <c r="AA3008" s="5" t="str">
        <f>HYPERLINK("https://www.zillow.com/homes/1008-MANDALAY-CT-NAPERVILLE-IL-605631980_rb/","check listing")</f>
        <v>check listing</v>
      </c>
      <c r="AB3008" s="5" t="str">
        <f>HYPERLINK("https://propertylookup.dupagecounty.gov/Datalets/Datalet.aspx?UseSearch=no&amp;mode=sales&amp;pin=0709410018","sales record")</f>
        <v>sales record</v>
      </c>
      <c r="AC3008" t="s">
        <v>3</v>
      </c>
      <c r="AD3008">
        <v>41.78655</v>
      </c>
      <c r="AE3008">
        <v>-88.21436799999999</v>
      </c>
      <c r="AF3008" s="5" t="str">
        <f>HYPERLINK("https://www.google.com/maps/search/?api=1&amp;query=41.78655,-88.214368","map")</f>
        <v>map</v>
      </c>
    </row>
    <row r="3009" spans="1:32">
      <c r="A3009" t="s">
        <v>3059</v>
      </c>
      <c r="B3009" t="s">
        <v>10592</v>
      </c>
      <c r="C3009" t="s">
        <v>15537</v>
      </c>
      <c r="D3009" t="s">
        <v>16206</v>
      </c>
      <c r="E3009" t="s">
        <v>16218</v>
      </c>
      <c r="F3009" t="s">
        <v>16220</v>
      </c>
      <c r="G3009" t="s">
        <v>16274</v>
      </c>
      <c r="H3009" t="s">
        <v>16269</v>
      </c>
      <c r="I3009" t="s">
        <v>16352</v>
      </c>
      <c r="J3009" t="s">
        <v>16386</v>
      </c>
      <c r="K3009">
        <v>0.23</v>
      </c>
      <c r="L3009">
        <v>10027</v>
      </c>
      <c r="M3009">
        <v>2666</v>
      </c>
      <c r="N3009" t="s">
        <v>16393</v>
      </c>
      <c r="O3009" s="4">
        <v>84716</v>
      </c>
      <c r="P3009" s="4">
        <v>128971</v>
      </c>
      <c r="Q3009" s="4">
        <v>213687</v>
      </c>
      <c r="R3009" s="4">
        <v>641061</v>
      </c>
      <c r="S3009" t="s">
        <v>19322</v>
      </c>
      <c r="T3009" s="6">
        <v>44348</v>
      </c>
      <c r="U3009" s="4">
        <v>510000</v>
      </c>
      <c r="V3009" t="s">
        <v>23739</v>
      </c>
      <c r="W3009" t="s">
        <v>25209</v>
      </c>
      <c r="X3009" t="s">
        <v>3</v>
      </c>
      <c r="AA3009" s="5" t="str">
        <f>HYPERLINK("https://www.zillow.com/homes/1304-MURDSTONE-DR-NAPERVILLE-IL-605634300_rb/","check listing")</f>
        <v>check listing</v>
      </c>
      <c r="AB3009" s="5" t="str">
        <f>HYPERLINK("https://propertylookup.dupagecounty.gov/Datalets/Datalet.aspx?UseSearch=no&amp;mode=sales&amp;pin=0808315002","sales record")</f>
        <v>sales record</v>
      </c>
      <c r="AC3009" t="s">
        <v>3</v>
      </c>
      <c r="AD3009">
        <v>41.790943</v>
      </c>
      <c r="AE3009">
        <v>-88.12678699999999</v>
      </c>
      <c r="AF3009" s="5" t="str">
        <f>HYPERLINK("https://www.google.com/maps/search/?api=1&amp;query=41.790943,-88.126787","map")</f>
        <v>map</v>
      </c>
    </row>
    <row r="3010" spans="1:32">
      <c r="A3010" t="s">
        <v>3060</v>
      </c>
      <c r="B3010" t="s">
        <v>10593</v>
      </c>
      <c r="C3010" t="s">
        <v>15538</v>
      </c>
      <c r="D3010" t="s">
        <v>16206</v>
      </c>
      <c r="E3010" t="s">
        <v>16218</v>
      </c>
      <c r="F3010" t="s">
        <v>16220</v>
      </c>
      <c r="G3010" t="s">
        <v>16274</v>
      </c>
      <c r="H3010" t="s">
        <v>16269</v>
      </c>
      <c r="I3010" t="s">
        <v>16352</v>
      </c>
      <c r="J3010" t="s">
        <v>16386</v>
      </c>
      <c r="K3010">
        <v>0.23</v>
      </c>
      <c r="L3010">
        <v>10022</v>
      </c>
      <c r="M3010">
        <v>2473</v>
      </c>
      <c r="N3010" t="s">
        <v>16393</v>
      </c>
      <c r="O3010" s="4">
        <v>53007</v>
      </c>
      <c r="P3010" s="4">
        <v>145755</v>
      </c>
      <c r="Q3010" s="4">
        <v>198762</v>
      </c>
      <c r="R3010" s="4">
        <v>596286</v>
      </c>
      <c r="S3010" t="s">
        <v>19323</v>
      </c>
      <c r="T3010" s="6">
        <v>44621</v>
      </c>
      <c r="U3010" s="4">
        <v>495000</v>
      </c>
      <c r="V3010" t="s">
        <v>23739</v>
      </c>
      <c r="W3010" t="s">
        <v>25210</v>
      </c>
      <c r="X3010" t="s">
        <v>3</v>
      </c>
      <c r="AA3010" s="5" t="str">
        <f>HYPERLINK("https://www.zillow.com/homes/1154-ARDMORE-DR-NAPERVILLE-IL-605400304_rb/","check listing")</f>
        <v>check listing</v>
      </c>
      <c r="AB3010" s="5" t="str">
        <f>HYPERLINK("https://propertylookup.dupagecounty.gov/Datalets/Datalet.aspx?UseSearch=no&amp;mode=sales&amp;pin=0726206022","sales record")</f>
        <v>sales record</v>
      </c>
      <c r="AC3010" t="s">
        <v>3</v>
      </c>
      <c r="AD3010">
        <v>41.754759</v>
      </c>
      <c r="AE3010">
        <v>-88.167196</v>
      </c>
      <c r="AF3010" s="5" t="str">
        <f>HYPERLINK("https://www.google.com/maps/search/?api=1&amp;query=41.754759,-88.167196","map")</f>
        <v>map</v>
      </c>
    </row>
    <row r="3011" spans="1:32">
      <c r="A3011" t="s">
        <v>3061</v>
      </c>
      <c r="B3011" t="s">
        <v>10594</v>
      </c>
      <c r="C3011" t="s">
        <v>15475</v>
      </c>
      <c r="D3011" t="s">
        <v>16206</v>
      </c>
      <c r="E3011" t="s">
        <v>16218</v>
      </c>
      <c r="F3011" t="s">
        <v>16220</v>
      </c>
      <c r="G3011" t="s">
        <v>16274</v>
      </c>
      <c r="H3011" t="s">
        <v>16269</v>
      </c>
      <c r="I3011" t="s">
        <v>16352</v>
      </c>
      <c r="J3011" t="s">
        <v>16386</v>
      </c>
      <c r="K3011">
        <v>0.23</v>
      </c>
      <c r="L3011">
        <v>10021</v>
      </c>
      <c r="M3011">
        <v>2968</v>
      </c>
      <c r="N3011" t="s">
        <v>16393</v>
      </c>
      <c r="O3011" s="4">
        <v>58060</v>
      </c>
      <c r="P3011" s="4">
        <v>160888</v>
      </c>
      <c r="Q3011" s="4">
        <v>218948</v>
      </c>
      <c r="R3011" s="4">
        <v>656844</v>
      </c>
      <c r="S3011" t="s">
        <v>19324</v>
      </c>
      <c r="T3011" s="6">
        <v>38504</v>
      </c>
      <c r="U3011" s="4">
        <v>393000</v>
      </c>
      <c r="V3011" t="s">
        <v>23739</v>
      </c>
      <c r="W3011" t="s">
        <v>25211</v>
      </c>
      <c r="X3011" t="s">
        <v>3</v>
      </c>
      <c r="AA3011" s="5" t="str">
        <f>HYPERLINK("https://www.zillow.com/homes/1731-CHADWICKE-CIR-NAPERVILLE-IL-60540_rb/","check listing")</f>
        <v>check listing</v>
      </c>
      <c r="AB3011" s="5" t="str">
        <f>HYPERLINK("https://propertylookup.dupagecounty.gov/Datalets/Datalet.aspx?UseSearch=no&amp;mode=sales&amp;pin=0723311013","sales record")</f>
        <v>sales record</v>
      </c>
      <c r="AC3011" t="s">
        <v>3</v>
      </c>
      <c r="AD3011">
        <v>41.756184</v>
      </c>
      <c r="AE3011">
        <v>-88.18605599999999</v>
      </c>
      <c r="AF3011" s="5" t="str">
        <f>HYPERLINK("https://www.google.com/maps/search/?api=1&amp;query=41.756184,-88.186056","map")</f>
        <v>map</v>
      </c>
    </row>
    <row r="3012" spans="1:32">
      <c r="A3012" t="s">
        <v>3062</v>
      </c>
      <c r="B3012" t="s">
        <v>10595</v>
      </c>
      <c r="C3012" t="s">
        <v>15475</v>
      </c>
      <c r="D3012" t="s">
        <v>16206</v>
      </c>
      <c r="E3012" t="s">
        <v>16218</v>
      </c>
      <c r="F3012" t="s">
        <v>16220</v>
      </c>
      <c r="G3012" t="s">
        <v>16274</v>
      </c>
      <c r="H3012" t="s">
        <v>16269</v>
      </c>
      <c r="I3012" t="s">
        <v>16352</v>
      </c>
      <c r="J3012" t="s">
        <v>16386</v>
      </c>
      <c r="K3012">
        <v>0.23</v>
      </c>
      <c r="L3012">
        <v>10020</v>
      </c>
      <c r="M3012">
        <v>2473</v>
      </c>
      <c r="N3012" t="s">
        <v>16393</v>
      </c>
      <c r="O3012" s="4">
        <v>55106</v>
      </c>
      <c r="P3012" s="4">
        <v>140970</v>
      </c>
      <c r="Q3012" s="4">
        <v>196076</v>
      </c>
      <c r="R3012" s="4">
        <v>588228</v>
      </c>
      <c r="S3012" t="s">
        <v>19325</v>
      </c>
      <c r="T3012" s="6">
        <v>32264</v>
      </c>
      <c r="U3012" s="4">
        <v>185940</v>
      </c>
      <c r="X3012" t="s">
        <v>3</v>
      </c>
      <c r="AA3012" s="5" t="str">
        <f>HYPERLINK("https://www.zillow.com/homes/1238-OAKTON-LN-NAPERVILLE-IL-60540_rb/","check listing")</f>
        <v>check listing</v>
      </c>
      <c r="AB3012" s="5" t="str">
        <f>HYPERLINK("https://propertylookup.dupagecounty.gov/Datalets/Datalet.aspx?UseSearch=no&amp;mode=sales&amp;pin=0726204005","sales record")</f>
        <v>sales record</v>
      </c>
      <c r="AC3012" t="s">
        <v>3</v>
      </c>
      <c r="AD3012">
        <v>41.754304</v>
      </c>
      <c r="AE3012">
        <v>-88.171015</v>
      </c>
      <c r="AF3012" s="5" t="str">
        <f>HYPERLINK("https://www.google.com/maps/search/?api=1&amp;query=41.754304,-88.171015","map")</f>
        <v>map</v>
      </c>
    </row>
    <row r="3013" spans="1:32">
      <c r="A3013" t="s">
        <v>3063</v>
      </c>
      <c r="B3013" t="s">
        <v>10596</v>
      </c>
      <c r="C3013" t="s">
        <v>15527</v>
      </c>
      <c r="D3013" t="s">
        <v>16206</v>
      </c>
      <c r="E3013" t="s">
        <v>16218</v>
      </c>
      <c r="F3013" t="s">
        <v>16220</v>
      </c>
      <c r="G3013" t="s">
        <v>16276</v>
      </c>
      <c r="H3013" t="s">
        <v>16276</v>
      </c>
      <c r="I3013" t="s">
        <v>16352</v>
      </c>
      <c r="J3013" t="s">
        <v>16386</v>
      </c>
      <c r="K3013">
        <v>0.23</v>
      </c>
      <c r="L3013">
        <v>10019</v>
      </c>
      <c r="M3013">
        <v>1979</v>
      </c>
      <c r="N3013" t="s">
        <v>16393</v>
      </c>
      <c r="O3013" s="4">
        <v>37079</v>
      </c>
      <c r="P3013" s="4">
        <v>106563</v>
      </c>
      <c r="Q3013" s="4">
        <v>143642</v>
      </c>
      <c r="R3013" s="4">
        <v>430926</v>
      </c>
      <c r="S3013" t="s">
        <v>19326</v>
      </c>
      <c r="T3013" s="6">
        <v>44682</v>
      </c>
      <c r="U3013" s="4">
        <v>460000</v>
      </c>
      <c r="V3013" t="s">
        <v>23740</v>
      </c>
      <c r="W3013" t="s">
        <v>19326</v>
      </c>
      <c r="X3013" t="s">
        <v>3</v>
      </c>
      <c r="AA3013" s="5" t="str">
        <f>HYPERLINK("https://www.zillow.com/homes/2104-SCHUMACHER-DR-NAPERVILLE-IL-605400966_rb/","check listing")</f>
        <v>check listing</v>
      </c>
      <c r="AB3013" s="5" t="str">
        <f>HYPERLINK("https://propertylookup.dupagecounty.gov/Datalets/Datalet.aspx?UseSearch=no&amp;mode=sales&amp;pin=0727203045","sales record")</f>
        <v>sales record</v>
      </c>
      <c r="AC3013" t="s">
        <v>3</v>
      </c>
      <c r="AD3013">
        <v>41.753156</v>
      </c>
      <c r="AE3013">
        <v>-88.186926</v>
      </c>
      <c r="AF3013" s="5" t="str">
        <f>HYPERLINK("https://www.google.com/maps/search/?api=1&amp;query=41.753156,-88.186926","map")</f>
        <v>map</v>
      </c>
    </row>
    <row r="3014" spans="1:32">
      <c r="A3014" t="s">
        <v>3064</v>
      </c>
      <c r="B3014" t="s">
        <v>10597</v>
      </c>
      <c r="C3014" t="s">
        <v>15475</v>
      </c>
      <c r="D3014" t="s">
        <v>16206</v>
      </c>
      <c r="E3014" t="s">
        <v>16218</v>
      </c>
      <c r="F3014" t="s">
        <v>16220</v>
      </c>
      <c r="G3014" t="s">
        <v>16276</v>
      </c>
      <c r="H3014" t="s">
        <v>16276</v>
      </c>
      <c r="I3014" t="s">
        <v>16352</v>
      </c>
      <c r="J3014" t="s">
        <v>16386</v>
      </c>
      <c r="K3014">
        <v>0.23</v>
      </c>
      <c r="L3014">
        <v>10017</v>
      </c>
      <c r="M3014">
        <v>1979</v>
      </c>
      <c r="N3014" t="s">
        <v>16393</v>
      </c>
      <c r="O3014" s="4">
        <v>43255</v>
      </c>
      <c r="P3014" s="4">
        <v>86705</v>
      </c>
      <c r="Q3014" s="4">
        <v>129960</v>
      </c>
      <c r="R3014" s="4">
        <v>389880</v>
      </c>
      <c r="S3014" t="s">
        <v>19327</v>
      </c>
      <c r="T3014" s="6">
        <v>43221</v>
      </c>
      <c r="U3014" s="4">
        <v>307000</v>
      </c>
      <c r="V3014" t="s">
        <v>23739</v>
      </c>
      <c r="W3014" t="s">
        <v>25212</v>
      </c>
      <c r="X3014" t="s">
        <v>3</v>
      </c>
      <c r="AA3014" s="5" t="str">
        <f>HYPERLINK("https://www.zillow.com/homes/2056-SCHUMACHER-DR-NAPERVILLE-IL-60540_rb/","check listing")</f>
        <v>check listing</v>
      </c>
      <c r="AB3014" s="5" t="str">
        <f>HYPERLINK("https://propertylookup.dupagecounty.gov/Datalets/Datalet.aspx?UseSearch=no&amp;mode=sales&amp;pin=0727211014","sales record")</f>
        <v>sales record</v>
      </c>
      <c r="AC3014" t="s">
        <v>3</v>
      </c>
      <c r="AD3014">
        <v>41.754003</v>
      </c>
      <c r="AE3014">
        <v>-88.18692299999999</v>
      </c>
      <c r="AF3014" s="5" t="str">
        <f>HYPERLINK("https://www.google.com/maps/search/?api=1&amp;query=41.754003,-88.186923","map")</f>
        <v>map</v>
      </c>
    </row>
    <row r="3015" spans="1:32">
      <c r="A3015" t="s">
        <v>3065</v>
      </c>
      <c r="B3015" t="s">
        <v>10598</v>
      </c>
      <c r="C3015" t="s">
        <v>15503</v>
      </c>
      <c r="D3015" t="s">
        <v>16206</v>
      </c>
      <c r="E3015" t="s">
        <v>16218</v>
      </c>
      <c r="F3015" t="s">
        <v>16220</v>
      </c>
      <c r="G3015" t="s">
        <v>16274</v>
      </c>
      <c r="H3015" t="s">
        <v>16269</v>
      </c>
      <c r="I3015" t="s">
        <v>16352</v>
      </c>
      <c r="J3015" t="s">
        <v>16386</v>
      </c>
      <c r="K3015">
        <v>0.23</v>
      </c>
      <c r="L3015">
        <v>10013</v>
      </c>
      <c r="M3015">
        <v>3463</v>
      </c>
      <c r="N3015" t="s">
        <v>16393</v>
      </c>
      <c r="O3015" s="4">
        <v>58060</v>
      </c>
      <c r="P3015" s="4">
        <v>159375</v>
      </c>
      <c r="Q3015" s="4">
        <v>217435</v>
      </c>
      <c r="R3015" s="4">
        <v>652305</v>
      </c>
      <c r="S3015" t="s">
        <v>19328</v>
      </c>
      <c r="T3015" s="6">
        <v>35704</v>
      </c>
      <c r="U3015" s="4">
        <v>225402</v>
      </c>
      <c r="X3015" t="s">
        <v>3</v>
      </c>
      <c r="AA3015" s="5" t="str">
        <f>HYPERLINK("https://www.zillow.com/homes/1727-CHADWICKE-CIR-NAPERVILLE-IL-605400398_rb/","check listing")</f>
        <v>check listing</v>
      </c>
      <c r="AB3015" s="5" t="str">
        <f>HYPERLINK("https://propertylookup.dupagecounty.gov/Datalets/Datalet.aspx?UseSearch=no&amp;mode=sales&amp;pin=0723311012","sales record")</f>
        <v>sales record</v>
      </c>
      <c r="AC3015" t="s">
        <v>3</v>
      </c>
      <c r="AD3015">
        <v>41.756406</v>
      </c>
      <c r="AE3015">
        <v>-88.186047</v>
      </c>
      <c r="AF3015" s="5" t="str">
        <f>HYPERLINK("https://www.google.com/maps/search/?api=1&amp;query=41.756406,-88.186047","map")</f>
        <v>map</v>
      </c>
    </row>
    <row r="3016" spans="1:32">
      <c r="A3016" t="s">
        <v>3066</v>
      </c>
      <c r="B3016" t="s">
        <v>10599</v>
      </c>
      <c r="C3016" t="s">
        <v>15475</v>
      </c>
      <c r="D3016" t="s">
        <v>16206</v>
      </c>
      <c r="E3016" t="s">
        <v>16218</v>
      </c>
      <c r="F3016" t="s">
        <v>16220</v>
      </c>
      <c r="G3016" t="s">
        <v>16276</v>
      </c>
      <c r="H3016" t="s">
        <v>16276</v>
      </c>
      <c r="I3016" t="s">
        <v>16352</v>
      </c>
      <c r="J3016" t="s">
        <v>16386</v>
      </c>
      <c r="K3016">
        <v>0.23</v>
      </c>
      <c r="L3016">
        <v>10008</v>
      </c>
      <c r="M3016">
        <v>2144</v>
      </c>
      <c r="N3016" t="s">
        <v>16393</v>
      </c>
      <c r="O3016" s="4">
        <v>43255</v>
      </c>
      <c r="P3016" s="4">
        <v>51249</v>
      </c>
      <c r="Q3016" s="4">
        <v>94504</v>
      </c>
      <c r="R3016" s="4">
        <v>283512</v>
      </c>
      <c r="S3016" t="s">
        <v>19329</v>
      </c>
      <c r="T3016" s="6">
        <v>37226</v>
      </c>
      <c r="U3016" s="4">
        <v>216000</v>
      </c>
      <c r="V3016" t="s">
        <v>23739</v>
      </c>
      <c r="W3016" t="s">
        <v>25213</v>
      </c>
      <c r="X3016" t="s">
        <v>3</v>
      </c>
      <c r="AA3016" s="5" t="str">
        <f>HYPERLINK("https://www.zillow.com/homes/2060-SCHUMACHER-AVE-NAPERVILLE-IL-60540_rb/","check listing")</f>
        <v>check listing</v>
      </c>
      <c r="AB3016" s="5" t="str">
        <f>HYPERLINK("https://propertylookup.dupagecounty.gov/Datalets/Datalet.aspx?UseSearch=no&amp;mode=sales&amp;pin=0727211015","sales record")</f>
        <v>sales record</v>
      </c>
      <c r="AC3016" t="s">
        <v>3</v>
      </c>
      <c r="AD3016">
        <v>41.753791</v>
      </c>
      <c r="AE3016">
        <v>-88.186924</v>
      </c>
      <c r="AF3016" s="5" t="str">
        <f>HYPERLINK("https://www.google.com/maps/search/?api=1&amp;query=41.753791,-88.186924","map")</f>
        <v>map</v>
      </c>
    </row>
    <row r="3017" spans="1:32">
      <c r="A3017" t="s">
        <v>3067</v>
      </c>
      <c r="B3017" t="s">
        <v>10600</v>
      </c>
      <c r="C3017" t="s">
        <v>15475</v>
      </c>
      <c r="D3017" t="s">
        <v>16206</v>
      </c>
      <c r="E3017" t="s">
        <v>16218</v>
      </c>
      <c r="F3017" t="s">
        <v>16220</v>
      </c>
      <c r="G3017" t="s">
        <v>16276</v>
      </c>
      <c r="H3017" t="s">
        <v>16276</v>
      </c>
      <c r="I3017" t="s">
        <v>16352</v>
      </c>
      <c r="J3017" t="s">
        <v>16386</v>
      </c>
      <c r="K3017">
        <v>0.23</v>
      </c>
      <c r="L3017">
        <v>10006</v>
      </c>
      <c r="M3017">
        <v>1978</v>
      </c>
      <c r="N3017" t="s">
        <v>16393</v>
      </c>
      <c r="O3017" s="4">
        <v>37079</v>
      </c>
      <c r="P3017" s="4">
        <v>90612</v>
      </c>
      <c r="Q3017" s="4">
        <v>127691</v>
      </c>
      <c r="R3017" s="4">
        <v>383073</v>
      </c>
      <c r="S3017" t="s">
        <v>19330</v>
      </c>
      <c r="T3017" s="6">
        <v>35674</v>
      </c>
      <c r="U3017" s="4">
        <v>155250</v>
      </c>
      <c r="X3017" t="s">
        <v>3</v>
      </c>
      <c r="AA3017" s="5" t="str">
        <f>HYPERLINK("https://www.zillow.com/homes/2064-SCHUMACHER-LN-NAPERVILLE-IL-60540_rb/","check listing")</f>
        <v>check listing</v>
      </c>
      <c r="AB3017" s="5" t="str">
        <f>HYPERLINK("https://propertylookup.dupagecounty.gov/Datalets/Datalet.aspx?UseSearch=no&amp;mode=sales&amp;pin=0727211016","sales record")</f>
        <v>sales record</v>
      </c>
      <c r="AC3017" t="s">
        <v>3</v>
      </c>
      <c r="AD3017">
        <v>41.75358</v>
      </c>
      <c r="AE3017">
        <v>-88.186925</v>
      </c>
      <c r="AF3017" s="5" t="str">
        <f>HYPERLINK("https://www.google.com/maps/search/?api=1&amp;query=41.75358,-88.186925","map")</f>
        <v>map</v>
      </c>
    </row>
    <row r="3018" spans="1:32">
      <c r="A3018" t="s">
        <v>3068</v>
      </c>
      <c r="B3018" t="s">
        <v>10601</v>
      </c>
      <c r="C3018" t="s">
        <v>15475</v>
      </c>
      <c r="D3018" t="s">
        <v>16206</v>
      </c>
      <c r="E3018" t="s">
        <v>16218</v>
      </c>
      <c r="F3018" t="s">
        <v>16220</v>
      </c>
      <c r="G3018" t="s">
        <v>16274</v>
      </c>
      <c r="H3018" t="s">
        <v>16269</v>
      </c>
      <c r="I3018" t="s">
        <v>16352</v>
      </c>
      <c r="J3018" t="s">
        <v>16386</v>
      </c>
      <c r="K3018">
        <v>0.229</v>
      </c>
      <c r="L3018">
        <v>9995</v>
      </c>
      <c r="M3018">
        <v>2309</v>
      </c>
      <c r="N3018" t="s">
        <v>16393</v>
      </c>
      <c r="O3018" s="4">
        <v>58060</v>
      </c>
      <c r="P3018" s="4">
        <v>175889</v>
      </c>
      <c r="Q3018" s="4">
        <v>233949</v>
      </c>
      <c r="R3018" s="4">
        <v>701847</v>
      </c>
      <c r="S3018" t="s">
        <v>19331</v>
      </c>
      <c r="T3018" s="6">
        <v>41609</v>
      </c>
      <c r="U3018" s="4">
        <v>488500</v>
      </c>
      <c r="V3018" t="s">
        <v>23739</v>
      </c>
      <c r="W3018" t="s">
        <v>25214</v>
      </c>
      <c r="X3018" t="s">
        <v>3</v>
      </c>
      <c r="AA3018" s="5" t="str">
        <f>HYPERLINK("https://www.zillow.com/homes/836-SANCTUARY-LN-NAPERVILLE-IL-60540_rb/","check listing")</f>
        <v>check listing</v>
      </c>
      <c r="AB3018" s="5" t="str">
        <f>HYPERLINK("https://propertylookup.dupagecounty.gov/Datalets/Datalet.aspx?UseSearch=no&amp;mode=sales&amp;pin=0723306038","sales record")</f>
        <v>sales record</v>
      </c>
      <c r="AC3018" t="s">
        <v>3</v>
      </c>
      <c r="AD3018">
        <v>41.754944</v>
      </c>
      <c r="AE3018">
        <v>-88.18281899999999</v>
      </c>
      <c r="AF3018" s="5" t="str">
        <f>HYPERLINK("https://www.google.com/maps/search/?api=1&amp;query=41.754944,-88.182819","map")</f>
        <v>map</v>
      </c>
    </row>
    <row r="3019" spans="1:32">
      <c r="A3019" t="s">
        <v>3069</v>
      </c>
      <c r="B3019" t="s">
        <v>10602</v>
      </c>
      <c r="C3019" t="s">
        <v>15516</v>
      </c>
      <c r="D3019" t="s">
        <v>16206</v>
      </c>
      <c r="E3019" t="s">
        <v>16218</v>
      </c>
      <c r="F3019" t="s">
        <v>16220</v>
      </c>
      <c r="G3019" t="s">
        <v>16274</v>
      </c>
      <c r="H3019" t="s">
        <v>16269</v>
      </c>
      <c r="I3019" t="s">
        <v>16352</v>
      </c>
      <c r="J3019" t="s">
        <v>16386</v>
      </c>
      <c r="K3019">
        <v>0.229</v>
      </c>
      <c r="L3019">
        <v>9995</v>
      </c>
      <c r="M3019">
        <v>3167</v>
      </c>
      <c r="N3019" t="s">
        <v>16393</v>
      </c>
      <c r="O3019" s="4">
        <v>58060</v>
      </c>
      <c r="P3019" s="4">
        <v>191133</v>
      </c>
      <c r="Q3019" s="4">
        <v>249193</v>
      </c>
      <c r="R3019" s="4">
        <v>747579</v>
      </c>
      <c r="S3019" t="s">
        <v>19332</v>
      </c>
      <c r="T3019" s="6">
        <v>36982</v>
      </c>
      <c r="U3019" s="4">
        <v>400000</v>
      </c>
      <c r="V3019" t="s">
        <v>23739</v>
      </c>
      <c r="W3019" t="s">
        <v>25215</v>
      </c>
      <c r="X3019" t="s">
        <v>3</v>
      </c>
      <c r="AA3019" s="5" t="str">
        <f>HYPERLINK("https://www.zillow.com/homes/832-SANCTUARY-LN-NAPERVILLE-IL-605406364_rb/","check listing")</f>
        <v>check listing</v>
      </c>
      <c r="AB3019" s="5" t="str">
        <f>HYPERLINK("https://propertylookup.dupagecounty.gov/Datalets/Datalet.aspx?UseSearch=no&amp;mode=sales&amp;pin=0723306037","sales record")</f>
        <v>sales record</v>
      </c>
      <c r="AC3019" t="s">
        <v>3</v>
      </c>
      <c r="AD3019">
        <v>41.755194</v>
      </c>
      <c r="AE3019">
        <v>-88.182824</v>
      </c>
      <c r="AF3019" s="5" t="str">
        <f>HYPERLINK("https://www.google.com/maps/search/?api=1&amp;query=41.755194,-88.182824","map")</f>
        <v>map</v>
      </c>
    </row>
    <row r="3020" spans="1:32">
      <c r="A3020" t="s">
        <v>3070</v>
      </c>
      <c r="B3020" t="s">
        <v>10603</v>
      </c>
      <c r="C3020" t="s">
        <v>15475</v>
      </c>
      <c r="D3020" t="s">
        <v>16206</v>
      </c>
      <c r="E3020" t="s">
        <v>16218</v>
      </c>
      <c r="F3020" t="s">
        <v>16220</v>
      </c>
      <c r="G3020" t="s">
        <v>16274</v>
      </c>
      <c r="H3020" t="s">
        <v>16269</v>
      </c>
      <c r="I3020" t="s">
        <v>16352</v>
      </c>
      <c r="J3020" t="s">
        <v>16386</v>
      </c>
      <c r="K3020">
        <v>0.229</v>
      </c>
      <c r="L3020">
        <v>9992</v>
      </c>
      <c r="M3020">
        <v>2792</v>
      </c>
      <c r="N3020" t="s">
        <v>16393</v>
      </c>
      <c r="O3020" s="4">
        <v>48674</v>
      </c>
      <c r="P3020" s="4">
        <v>145241</v>
      </c>
      <c r="Q3020" s="4">
        <v>193915</v>
      </c>
      <c r="R3020" s="4">
        <v>581745</v>
      </c>
      <c r="S3020" t="s">
        <v>19333</v>
      </c>
      <c r="T3020" s="6">
        <v>42036</v>
      </c>
      <c r="U3020" s="4">
        <v>287300</v>
      </c>
      <c r="V3020" t="s">
        <v>16232</v>
      </c>
      <c r="W3020" t="s">
        <v>25216</v>
      </c>
      <c r="X3020" t="s">
        <v>3</v>
      </c>
      <c r="AA3020" s="5" t="str">
        <f>HYPERLINK("https://www.zillow.com/homes/1548-OSWEGO-RD-NAPERVILLE-IL-60540_rb/","check listing")</f>
        <v>check listing</v>
      </c>
      <c r="AB3020" s="5" t="str">
        <f>HYPERLINK("https://propertylookup.dupagecounty.gov/Datalets/Datalet.aspx?UseSearch=no&amp;mode=sales&amp;pin=0723302033","sales record")</f>
        <v>sales record</v>
      </c>
      <c r="AC3020" t="s">
        <v>3</v>
      </c>
      <c r="AD3020">
        <v>41.760095</v>
      </c>
      <c r="AE3020">
        <v>-88.183493</v>
      </c>
      <c r="AF3020" s="5" t="str">
        <f>HYPERLINK("https://www.google.com/maps/search/?api=1&amp;query=41.760095,-88.183493","map")</f>
        <v>map</v>
      </c>
    </row>
    <row r="3021" spans="1:32">
      <c r="A3021" t="s">
        <v>3071</v>
      </c>
      <c r="B3021" t="s">
        <v>10604</v>
      </c>
      <c r="C3021" t="s">
        <v>15475</v>
      </c>
      <c r="D3021" t="s">
        <v>16206</v>
      </c>
      <c r="E3021" t="s">
        <v>16218</v>
      </c>
      <c r="F3021" t="s">
        <v>16220</v>
      </c>
      <c r="G3021" t="s">
        <v>16274</v>
      </c>
      <c r="H3021" t="s">
        <v>16269</v>
      </c>
      <c r="I3021" t="s">
        <v>16352</v>
      </c>
      <c r="J3021" t="s">
        <v>16386</v>
      </c>
      <c r="K3021">
        <v>0.229</v>
      </c>
      <c r="L3021">
        <v>9990</v>
      </c>
      <c r="M3021">
        <v>2902</v>
      </c>
      <c r="N3021" t="s">
        <v>16393</v>
      </c>
      <c r="O3021" s="4">
        <v>58060</v>
      </c>
      <c r="P3021" s="4">
        <v>181528</v>
      </c>
      <c r="Q3021" s="4">
        <v>239588</v>
      </c>
      <c r="R3021" s="4">
        <v>718764</v>
      </c>
      <c r="S3021" t="s">
        <v>19334</v>
      </c>
      <c r="T3021" s="6">
        <v>37104</v>
      </c>
      <c r="U3021" s="4">
        <v>398000</v>
      </c>
      <c r="V3021" t="s">
        <v>23739</v>
      </c>
      <c r="W3021" t="s">
        <v>25217</v>
      </c>
      <c r="X3021" t="s">
        <v>3</v>
      </c>
      <c r="AA3021" s="5" t="str">
        <f>HYPERLINK("https://www.zillow.com/homes/840-SANCTUARY-LN-NAPERVILLE-IL-60540_rb/","check listing")</f>
        <v>check listing</v>
      </c>
      <c r="AB3021" s="5" t="str">
        <f>HYPERLINK("https://propertylookup.dupagecounty.gov/Datalets/Datalet.aspx?UseSearch=no&amp;mode=sales&amp;pin=0726103012","sales record")</f>
        <v>sales record</v>
      </c>
      <c r="AC3021" t="s">
        <v>3</v>
      </c>
      <c r="AD3021">
        <v>41.754688</v>
      </c>
      <c r="AE3021">
        <v>-88.18282000000001</v>
      </c>
      <c r="AF3021" s="5" t="str">
        <f>HYPERLINK("https://www.google.com/maps/search/?api=1&amp;query=41.754688,-88.18282","map")</f>
        <v>map</v>
      </c>
    </row>
    <row r="3022" spans="1:32">
      <c r="A3022" t="s">
        <v>3072</v>
      </c>
      <c r="B3022" t="s">
        <v>10605</v>
      </c>
      <c r="C3022" t="s">
        <v>15475</v>
      </c>
      <c r="D3022" t="s">
        <v>16206</v>
      </c>
      <c r="E3022" t="s">
        <v>16218</v>
      </c>
      <c r="F3022" t="s">
        <v>16220</v>
      </c>
      <c r="G3022" t="s">
        <v>16275</v>
      </c>
      <c r="H3022" t="s">
        <v>16276</v>
      </c>
      <c r="I3022" t="s">
        <v>16352</v>
      </c>
      <c r="J3022" t="s">
        <v>16386</v>
      </c>
      <c r="K3022">
        <v>0.229</v>
      </c>
      <c r="L3022">
        <v>9989</v>
      </c>
      <c r="M3022">
        <v>2177</v>
      </c>
      <c r="N3022" t="s">
        <v>16393</v>
      </c>
      <c r="O3022" s="4">
        <v>58706</v>
      </c>
      <c r="P3022" s="4">
        <v>135002</v>
      </c>
      <c r="Q3022" s="4">
        <v>193708</v>
      </c>
      <c r="R3022" s="4">
        <v>581124</v>
      </c>
      <c r="S3022" t="s">
        <v>19335</v>
      </c>
      <c r="T3022" s="6">
        <v>36678</v>
      </c>
      <c r="U3022" s="4">
        <v>258800</v>
      </c>
      <c r="V3022" t="s">
        <v>23739</v>
      </c>
      <c r="W3022" t="s">
        <v>25218</v>
      </c>
      <c r="X3022" t="s">
        <v>3</v>
      </c>
      <c r="AA3022" s="5" t="str">
        <f>HYPERLINK("https://www.zillow.com/homes/1111-MALLORY-CT-NAPERVILLE-IL-60540_rb/","check listing")</f>
        <v>check listing</v>
      </c>
      <c r="AB3022" s="5" t="str">
        <f>HYPERLINK("https://propertylookup.dupagecounty.gov/Datalets/Datalet.aspx?UseSearch=no&amp;mode=sales&amp;pin=0727206032","sales record")</f>
        <v>sales record</v>
      </c>
      <c r="AC3022" t="s">
        <v>3</v>
      </c>
      <c r="AD3022">
        <v>41.749887</v>
      </c>
      <c r="AE3022">
        <v>-88.192054</v>
      </c>
      <c r="AF3022" s="5" t="str">
        <f>HYPERLINK("https://www.google.com/maps/search/?api=1&amp;query=41.749887,-88.192054","map")</f>
        <v>map</v>
      </c>
    </row>
    <row r="3023" spans="1:32">
      <c r="A3023" t="s">
        <v>3073</v>
      </c>
      <c r="B3023" t="s">
        <v>10606</v>
      </c>
      <c r="C3023" t="s">
        <v>15508</v>
      </c>
      <c r="D3023" t="s">
        <v>16206</v>
      </c>
      <c r="E3023" t="s">
        <v>16218</v>
      </c>
      <c r="F3023" t="s">
        <v>16220</v>
      </c>
      <c r="G3023" t="s">
        <v>16273</v>
      </c>
      <c r="H3023" t="s">
        <v>16254</v>
      </c>
      <c r="I3023" t="s">
        <v>16351</v>
      </c>
      <c r="J3023" t="s">
        <v>16386</v>
      </c>
      <c r="K3023">
        <v>0.229</v>
      </c>
      <c r="L3023">
        <v>9973</v>
      </c>
      <c r="N3023" t="s">
        <v>16393</v>
      </c>
      <c r="O3023" s="4">
        <v>49199</v>
      </c>
      <c r="P3023" s="4">
        <v>158546</v>
      </c>
      <c r="Q3023" s="4">
        <v>207745</v>
      </c>
      <c r="R3023" s="4">
        <v>623235</v>
      </c>
      <c r="S3023" t="s">
        <v>19336</v>
      </c>
      <c r="T3023" s="6">
        <v>43160</v>
      </c>
      <c r="U3023" s="4">
        <v>92500</v>
      </c>
      <c r="V3023" t="s">
        <v>23739</v>
      </c>
      <c r="W3023" t="s">
        <v>19336</v>
      </c>
      <c r="X3023" t="s">
        <v>3</v>
      </c>
      <c r="AA3023" s="5" t="str">
        <f>HYPERLINK("https://www.zillow.com/homes/2057-BUNKER-CIR-NAPERVILLE-IL-605631893_rb/","check listing")</f>
        <v>check listing</v>
      </c>
      <c r="AB3023" s="5" t="str">
        <f>HYPERLINK("https://propertylookup.dupagecounty.gov/Datalets/Datalet.aspx?UseSearch=no&amp;mode=sales&amp;pin=0709221004","sales record")</f>
        <v>sales record</v>
      </c>
      <c r="AC3023" t="s">
        <v>3</v>
      </c>
      <c r="AD3023">
        <v>41.795158</v>
      </c>
      <c r="AE3023">
        <v>-88.21229599999999</v>
      </c>
      <c r="AF3023" s="5" t="str">
        <f>HYPERLINK("https://www.google.com/maps/search/?api=1&amp;query=41.795158,-88.212296","map")</f>
        <v>map</v>
      </c>
    </row>
    <row r="3024" spans="1:32">
      <c r="A3024" t="s">
        <v>3074</v>
      </c>
      <c r="B3024" t="s">
        <v>10607</v>
      </c>
      <c r="C3024" t="s">
        <v>15475</v>
      </c>
      <c r="D3024" t="s">
        <v>16206</v>
      </c>
      <c r="E3024" t="s">
        <v>16218</v>
      </c>
      <c r="F3024" t="s">
        <v>16220</v>
      </c>
      <c r="G3024" t="s">
        <v>16274</v>
      </c>
      <c r="H3024" t="s">
        <v>16269</v>
      </c>
      <c r="I3024" t="s">
        <v>16352</v>
      </c>
      <c r="J3024" t="s">
        <v>16386</v>
      </c>
      <c r="K3024">
        <v>0.229</v>
      </c>
      <c r="L3024">
        <v>9971</v>
      </c>
      <c r="M3024">
        <v>2144</v>
      </c>
      <c r="N3024" t="s">
        <v>16393</v>
      </c>
      <c r="O3024" s="4">
        <v>55106</v>
      </c>
      <c r="P3024" s="4">
        <v>130607</v>
      </c>
      <c r="Q3024" s="4">
        <v>185713</v>
      </c>
      <c r="R3024" s="4">
        <v>557139</v>
      </c>
      <c r="S3024" t="s">
        <v>19337</v>
      </c>
      <c r="T3024" s="6">
        <v>37043</v>
      </c>
      <c r="U3024" s="4">
        <v>260000</v>
      </c>
      <c r="V3024" t="s">
        <v>23739</v>
      </c>
      <c r="W3024" t="s">
        <v>25219</v>
      </c>
      <c r="X3024" t="s">
        <v>3</v>
      </c>
      <c r="AA3024" s="5" t="str">
        <f>HYPERLINK("https://www.zillow.com/homes/1241-OAKTON-LN-NAPERVILLE-IL-60540_rb/","check listing")</f>
        <v>check listing</v>
      </c>
      <c r="AB3024" s="5" t="str">
        <f>HYPERLINK("https://propertylookup.dupagecounty.gov/Datalets/Datalet.aspx?UseSearch=no&amp;mode=sales&amp;pin=0726203004","sales record")</f>
        <v>sales record</v>
      </c>
      <c r="AC3024" t="s">
        <v>3</v>
      </c>
      <c r="AD3024">
        <v>41.754743</v>
      </c>
      <c r="AE3024">
        <v>-88.171449</v>
      </c>
      <c r="AF3024" s="5" t="str">
        <f>HYPERLINK("https://www.google.com/maps/search/?api=1&amp;query=41.754743,-88.171449","map")</f>
        <v>map</v>
      </c>
    </row>
    <row r="3025" spans="1:32">
      <c r="A3025" t="s">
        <v>3075</v>
      </c>
      <c r="B3025" t="s">
        <v>10608</v>
      </c>
      <c r="C3025" t="s">
        <v>15524</v>
      </c>
      <c r="D3025" t="s">
        <v>16206</v>
      </c>
      <c r="E3025" t="s">
        <v>16218</v>
      </c>
      <c r="F3025" t="s">
        <v>16220</v>
      </c>
      <c r="G3025" t="s">
        <v>16274</v>
      </c>
      <c r="H3025" t="s">
        <v>16269</v>
      </c>
      <c r="I3025" t="s">
        <v>16352</v>
      </c>
      <c r="J3025" t="s">
        <v>16386</v>
      </c>
      <c r="K3025">
        <v>0.229</v>
      </c>
      <c r="L3025">
        <v>9960</v>
      </c>
      <c r="M3025">
        <v>2177</v>
      </c>
      <c r="N3025" t="s">
        <v>16393</v>
      </c>
      <c r="O3025" s="4">
        <v>55448</v>
      </c>
      <c r="P3025" s="4">
        <v>112592</v>
      </c>
      <c r="Q3025" s="4">
        <v>168040</v>
      </c>
      <c r="R3025" s="4">
        <v>504120</v>
      </c>
      <c r="S3025" t="s">
        <v>19338</v>
      </c>
      <c r="T3025" s="6">
        <v>45441</v>
      </c>
      <c r="U3025" s="4">
        <v>430000</v>
      </c>
      <c r="V3025" t="s">
        <v>23739</v>
      </c>
      <c r="W3025" t="s">
        <v>25220</v>
      </c>
      <c r="X3025" t="s">
        <v>3</v>
      </c>
      <c r="AA3025" s="5" t="str">
        <f>HYPERLINK("https://www.zillow.com/homes/720-SMALL-CT-NAPERVILLE-IL-605630451_rb/","check listing")</f>
        <v>check listing</v>
      </c>
      <c r="AB3025" s="5" t="str">
        <f>HYPERLINK("https://propertylookup.dupagecounty.gov/Datalets/Datalet.aspx?UseSearch=no&amp;mode=sales&amp;pin=0715206011","sales record")</f>
        <v>sales record</v>
      </c>
      <c r="AC3025" t="s">
        <v>3</v>
      </c>
      <c r="AD3025">
        <v>41.780626</v>
      </c>
      <c r="AE3025">
        <v>-88.189134</v>
      </c>
      <c r="AF3025" s="5" t="str">
        <f>HYPERLINK("https://www.google.com/maps/search/?api=1&amp;query=41.780626,-88.189134","map")</f>
        <v>map</v>
      </c>
    </row>
    <row r="3026" spans="1:32">
      <c r="A3026" t="s">
        <v>3076</v>
      </c>
      <c r="B3026" t="s">
        <v>10609</v>
      </c>
      <c r="C3026" t="s">
        <v>15483</v>
      </c>
      <c r="D3026" t="s">
        <v>16206</v>
      </c>
      <c r="E3026" t="s">
        <v>16218</v>
      </c>
      <c r="F3026" t="s">
        <v>16220</v>
      </c>
      <c r="G3026" t="s">
        <v>16273</v>
      </c>
      <c r="H3026" t="s">
        <v>16254</v>
      </c>
      <c r="I3026" t="s">
        <v>16351</v>
      </c>
      <c r="J3026" t="s">
        <v>16386</v>
      </c>
      <c r="K3026">
        <v>0.229</v>
      </c>
      <c r="L3026">
        <v>9959</v>
      </c>
      <c r="M3026">
        <v>2143</v>
      </c>
      <c r="N3026" t="s">
        <v>16393</v>
      </c>
      <c r="O3026" s="4">
        <v>52800</v>
      </c>
      <c r="P3026" s="4">
        <v>121331</v>
      </c>
      <c r="Q3026" s="4">
        <v>174131</v>
      </c>
      <c r="R3026" s="4">
        <v>522393</v>
      </c>
      <c r="S3026" t="s">
        <v>19339</v>
      </c>
      <c r="T3026" s="6">
        <v>44501</v>
      </c>
      <c r="U3026" s="4">
        <v>395000</v>
      </c>
      <c r="V3026" t="s">
        <v>23739</v>
      </c>
      <c r="W3026" t="s">
        <v>25221</v>
      </c>
      <c r="X3026" t="s">
        <v>3</v>
      </c>
      <c r="AA3026" s="5" t="str">
        <f>HYPERLINK("https://www.zillow.com/homes/1013-PRAIRIE-VIEW-CT-NAPERVILLE-IL-605631983_rb/","check listing")</f>
        <v>check listing</v>
      </c>
      <c r="AB3026" s="5" t="str">
        <f>HYPERLINK("https://propertylookup.dupagecounty.gov/Datalets/Datalet.aspx?UseSearch=no&amp;mode=sales&amp;pin=0709410023","sales record")</f>
        <v>sales record</v>
      </c>
      <c r="AC3026" t="s">
        <v>3</v>
      </c>
      <c r="AD3026">
        <v>41.786815</v>
      </c>
      <c r="AE3026">
        <v>-88.21381700000001</v>
      </c>
      <c r="AF3026" s="5" t="str">
        <f>HYPERLINK("https://www.google.com/maps/search/?api=1&amp;query=41.786815,-88.213817","map")</f>
        <v>map</v>
      </c>
    </row>
    <row r="3027" spans="1:32">
      <c r="A3027" t="s">
        <v>3077</v>
      </c>
      <c r="B3027" t="s">
        <v>10610</v>
      </c>
      <c r="C3027" t="s">
        <v>15475</v>
      </c>
      <c r="D3027" t="s">
        <v>16206</v>
      </c>
      <c r="E3027" t="s">
        <v>16218</v>
      </c>
      <c r="F3027" t="s">
        <v>16220</v>
      </c>
      <c r="G3027" t="s">
        <v>16274</v>
      </c>
      <c r="H3027" t="s">
        <v>16269</v>
      </c>
      <c r="I3027" t="s">
        <v>16352</v>
      </c>
      <c r="J3027" t="s">
        <v>16386</v>
      </c>
      <c r="K3027">
        <v>0.229</v>
      </c>
      <c r="L3027">
        <v>9958</v>
      </c>
      <c r="M3027">
        <v>2968</v>
      </c>
      <c r="N3027" t="s">
        <v>16393</v>
      </c>
      <c r="O3027" s="4">
        <v>55106</v>
      </c>
      <c r="P3027" s="4">
        <v>139640</v>
      </c>
      <c r="Q3027" s="4">
        <v>194746</v>
      </c>
      <c r="R3027" s="4">
        <v>584238</v>
      </c>
      <c r="S3027" t="s">
        <v>19340</v>
      </c>
      <c r="T3027" s="6">
        <v>42430</v>
      </c>
      <c r="U3027" s="4">
        <v>370000</v>
      </c>
      <c r="V3027" t="s">
        <v>23739</v>
      </c>
      <c r="W3027" t="s">
        <v>25222</v>
      </c>
      <c r="X3027" t="s">
        <v>3</v>
      </c>
      <c r="AA3027" s="5" t="str">
        <f>HYPERLINK("https://www.zillow.com/homes/1235-OAKTON-LN-NAPERVILLE-IL-60540_rb/","check listing")</f>
        <v>check listing</v>
      </c>
      <c r="AB3027" s="5" t="str">
        <f>HYPERLINK("https://propertylookup.dupagecounty.gov/Datalets/Datalet.aspx?UseSearch=no&amp;mode=sales&amp;pin=0726203005","sales record")</f>
        <v>sales record</v>
      </c>
      <c r="AC3027" t="s">
        <v>3</v>
      </c>
      <c r="AD3027">
        <v>41.754801</v>
      </c>
      <c r="AE3027">
        <v>-88.17115699999999</v>
      </c>
      <c r="AF3027" s="5" t="str">
        <f>HYPERLINK("https://www.google.com/maps/search/?api=1&amp;query=41.754801,-88.171157","map")</f>
        <v>map</v>
      </c>
    </row>
    <row r="3028" spans="1:32">
      <c r="A3028" t="s">
        <v>3078</v>
      </c>
      <c r="B3028" t="s">
        <v>10611</v>
      </c>
      <c r="C3028" t="s">
        <v>15475</v>
      </c>
      <c r="D3028" t="s">
        <v>16206</v>
      </c>
      <c r="E3028" t="s">
        <v>16218</v>
      </c>
      <c r="F3028" t="s">
        <v>16220</v>
      </c>
      <c r="G3028" t="s">
        <v>16275</v>
      </c>
      <c r="H3028" t="s">
        <v>16276</v>
      </c>
      <c r="I3028" t="s">
        <v>16352</v>
      </c>
      <c r="J3028" t="s">
        <v>16386</v>
      </c>
      <c r="K3028">
        <v>0.228</v>
      </c>
      <c r="L3028">
        <v>9950</v>
      </c>
      <c r="M3028">
        <v>2474</v>
      </c>
      <c r="N3028" t="s">
        <v>16393</v>
      </c>
      <c r="O3028" s="4">
        <v>54289</v>
      </c>
      <c r="P3028" s="4">
        <v>156397</v>
      </c>
      <c r="Q3028" s="4">
        <v>210686</v>
      </c>
      <c r="R3028" s="4">
        <v>632058</v>
      </c>
      <c r="S3028" t="s">
        <v>19341</v>
      </c>
      <c r="T3028" s="6">
        <v>34669</v>
      </c>
      <c r="U3028" s="4">
        <v>224623</v>
      </c>
      <c r="X3028" t="s">
        <v>3</v>
      </c>
      <c r="AA3028" s="5" t="str">
        <f>HYPERLINK("https://www.zillow.com/homes/607-CARAWAY-CT-NAPERVILLE-IL-60540_rb/","check listing")</f>
        <v>check listing</v>
      </c>
      <c r="AB3028" s="5" t="str">
        <f>HYPERLINK("https://propertylookup.dupagecounty.gov/Datalets/Datalet.aspx?UseSearch=no&amp;mode=sales&amp;pin=0722405011","sales record")</f>
        <v>sales record</v>
      </c>
      <c r="AC3028" t="s">
        <v>3</v>
      </c>
      <c r="AD3028">
        <v>41.760069</v>
      </c>
      <c r="AE3028">
        <v>-88.193988</v>
      </c>
      <c r="AF3028" s="5" t="str">
        <f>HYPERLINK("https://www.google.com/maps/search/?api=1&amp;query=41.760069,-88.193988","map")</f>
        <v>map</v>
      </c>
    </row>
    <row r="3029" spans="1:32">
      <c r="A3029" t="s">
        <v>3079</v>
      </c>
      <c r="B3029" t="s">
        <v>10612</v>
      </c>
      <c r="C3029" t="s">
        <v>15539</v>
      </c>
      <c r="D3029" t="s">
        <v>16206</v>
      </c>
      <c r="E3029" t="s">
        <v>16218</v>
      </c>
      <c r="F3029" t="s">
        <v>16220</v>
      </c>
      <c r="G3029" t="s">
        <v>16274</v>
      </c>
      <c r="H3029" t="s">
        <v>16269</v>
      </c>
      <c r="I3029" t="s">
        <v>16352</v>
      </c>
      <c r="J3029" t="s">
        <v>16386</v>
      </c>
      <c r="K3029">
        <v>0.228</v>
      </c>
      <c r="L3029">
        <v>9950</v>
      </c>
      <c r="M3029">
        <v>2472</v>
      </c>
      <c r="N3029" t="s">
        <v>16393</v>
      </c>
      <c r="O3029" s="4">
        <v>53007</v>
      </c>
      <c r="P3029" s="4">
        <v>121857</v>
      </c>
      <c r="Q3029" s="4">
        <v>174864</v>
      </c>
      <c r="R3029" s="4">
        <v>524592</v>
      </c>
      <c r="S3029" t="s">
        <v>19342</v>
      </c>
      <c r="T3029" s="6">
        <v>35916</v>
      </c>
      <c r="U3029" s="4">
        <v>218000</v>
      </c>
      <c r="X3029" t="s">
        <v>3</v>
      </c>
      <c r="AA3029" s="5" t="str">
        <f>HYPERLINK("https://www.zillow.com/homes/1252-ASHTON-LN-NAPERVILLE-IL-605400308_rb/","check listing")</f>
        <v>check listing</v>
      </c>
      <c r="AB3029" s="5" t="str">
        <f>HYPERLINK("https://propertylookup.dupagecounty.gov/Datalets/Datalet.aspx?UseSearch=no&amp;mode=sales&amp;pin=0726206006","sales record")</f>
        <v>sales record</v>
      </c>
      <c r="AC3029" t="s">
        <v>3</v>
      </c>
      <c r="AD3029">
        <v>41.752599</v>
      </c>
      <c r="AE3029">
        <v>-88.170225</v>
      </c>
      <c r="AF3029" s="5" t="str">
        <f>HYPERLINK("https://www.google.com/maps/search/?api=1&amp;query=41.752599,-88.170225","map")</f>
        <v>map</v>
      </c>
    </row>
    <row r="3030" spans="1:32">
      <c r="A3030" t="s">
        <v>3080</v>
      </c>
      <c r="B3030" t="s">
        <v>10613</v>
      </c>
      <c r="C3030" t="s">
        <v>15478</v>
      </c>
      <c r="D3030" t="s">
        <v>16206</v>
      </c>
      <c r="E3030" t="s">
        <v>16218</v>
      </c>
      <c r="F3030" t="s">
        <v>16220</v>
      </c>
      <c r="G3030" t="s">
        <v>16274</v>
      </c>
      <c r="H3030" t="s">
        <v>16269</v>
      </c>
      <c r="I3030" t="s">
        <v>16352</v>
      </c>
      <c r="J3030" t="s">
        <v>16386</v>
      </c>
      <c r="K3030">
        <v>0.228</v>
      </c>
      <c r="L3030">
        <v>9949</v>
      </c>
      <c r="M3030">
        <v>2375</v>
      </c>
      <c r="N3030" t="s">
        <v>16393</v>
      </c>
      <c r="O3030" s="4">
        <v>48576</v>
      </c>
      <c r="P3030" s="4">
        <v>124603</v>
      </c>
      <c r="Q3030" s="4">
        <v>173179</v>
      </c>
      <c r="R3030" s="4">
        <v>519537</v>
      </c>
      <c r="S3030" t="s">
        <v>19343</v>
      </c>
      <c r="T3030" s="6">
        <v>36739</v>
      </c>
      <c r="U3030" s="4">
        <v>249900</v>
      </c>
      <c r="V3030" t="s">
        <v>23739</v>
      </c>
      <c r="W3030" t="s">
        <v>25223</v>
      </c>
      <c r="X3030" t="s">
        <v>3</v>
      </c>
      <c r="AA3030" s="5" t="str">
        <f>HYPERLINK("https://www.zillow.com/homes/1641-LOIS-ANN-LN-NAPERVILLE-IL-60563_rb/","check listing")</f>
        <v>check listing</v>
      </c>
      <c r="AB3030" s="5" t="str">
        <f>HYPERLINK("https://propertylookup.dupagecounty.gov/Datalets/Datalet.aspx?UseSearch=no&amp;mode=sales&amp;pin=0715203009","sales record")</f>
        <v>sales record</v>
      </c>
      <c r="AC3030" t="s">
        <v>3</v>
      </c>
      <c r="AD3030">
        <v>41.781809</v>
      </c>
      <c r="AE3030">
        <v>-88.19305199999999</v>
      </c>
      <c r="AF3030" s="5" t="str">
        <f>HYPERLINK("https://www.google.com/maps/search/?api=1&amp;query=41.781809,-88.193052","map")</f>
        <v>map</v>
      </c>
    </row>
    <row r="3031" spans="1:32">
      <c r="A3031" t="s">
        <v>3081</v>
      </c>
      <c r="B3031" t="s">
        <v>10614</v>
      </c>
      <c r="C3031" t="s">
        <v>15475</v>
      </c>
      <c r="D3031" t="s">
        <v>16206</v>
      </c>
      <c r="E3031" t="s">
        <v>16218</v>
      </c>
      <c r="F3031" t="s">
        <v>16220</v>
      </c>
      <c r="G3031" t="s">
        <v>16275</v>
      </c>
      <c r="H3031" t="s">
        <v>16276</v>
      </c>
      <c r="I3031" t="s">
        <v>16352</v>
      </c>
      <c r="J3031" t="s">
        <v>16386</v>
      </c>
      <c r="K3031">
        <v>0.228</v>
      </c>
      <c r="L3031">
        <v>9942</v>
      </c>
      <c r="M3031">
        <v>2144</v>
      </c>
      <c r="N3031" t="s">
        <v>16393</v>
      </c>
      <c r="O3031" s="4">
        <v>52616</v>
      </c>
      <c r="P3031" s="4">
        <v>119367</v>
      </c>
      <c r="Q3031" s="4">
        <v>171983</v>
      </c>
      <c r="R3031" s="4">
        <v>515949</v>
      </c>
      <c r="S3031" t="s">
        <v>19344</v>
      </c>
      <c r="T3031" s="6">
        <v>38930</v>
      </c>
      <c r="U3031" s="4">
        <v>343000</v>
      </c>
      <c r="V3031" t="s">
        <v>23739</v>
      </c>
      <c r="W3031" t="s">
        <v>19344</v>
      </c>
      <c r="X3031" t="s">
        <v>3</v>
      </c>
      <c r="AA3031" s="5" t="str">
        <f>HYPERLINK("https://www.zillow.com/homes/715-WOODEWIND-DR-NAPERVILLE-IL-60540_rb/","check listing")</f>
        <v>check listing</v>
      </c>
      <c r="AB3031" s="5" t="str">
        <f>HYPERLINK("https://propertylookup.dupagecounty.gov/Datalets/Datalet.aspx?UseSearch=no&amp;mode=sales&amp;pin=0716106012","sales record")</f>
        <v>sales record</v>
      </c>
      <c r="AC3031" t="s">
        <v>3</v>
      </c>
      <c r="AD3031">
        <v>41.782782</v>
      </c>
      <c r="AE3031">
        <v>-88.221253</v>
      </c>
      <c r="AF3031" s="5" t="str">
        <f>HYPERLINK("https://www.google.com/maps/search/?api=1&amp;query=41.782782,-88.221253","map")</f>
        <v>map</v>
      </c>
    </row>
    <row r="3032" spans="1:32">
      <c r="A3032" t="s">
        <v>3082</v>
      </c>
      <c r="B3032" t="s">
        <v>10615</v>
      </c>
      <c r="C3032" t="s">
        <v>15475</v>
      </c>
      <c r="D3032" t="s">
        <v>16206</v>
      </c>
      <c r="E3032" t="s">
        <v>16218</v>
      </c>
      <c r="F3032" t="s">
        <v>16220</v>
      </c>
      <c r="G3032" t="s">
        <v>16275</v>
      </c>
      <c r="H3032" t="s">
        <v>16276</v>
      </c>
      <c r="I3032" t="s">
        <v>16352</v>
      </c>
      <c r="J3032" t="s">
        <v>16386</v>
      </c>
      <c r="K3032">
        <v>0.228</v>
      </c>
      <c r="L3032">
        <v>9932</v>
      </c>
      <c r="M3032">
        <v>1806</v>
      </c>
      <c r="N3032" t="s">
        <v>16393</v>
      </c>
      <c r="O3032" s="4">
        <v>51995</v>
      </c>
      <c r="P3032" s="4">
        <v>120746</v>
      </c>
      <c r="Q3032" s="4">
        <v>172741</v>
      </c>
      <c r="R3032" s="4">
        <v>518223</v>
      </c>
      <c r="S3032" t="s">
        <v>19345</v>
      </c>
      <c r="T3032" s="6">
        <v>44734</v>
      </c>
      <c r="U3032" s="4">
        <v>490000</v>
      </c>
      <c r="V3032" t="s">
        <v>23739</v>
      </c>
      <c r="W3032" t="s">
        <v>25224</v>
      </c>
      <c r="X3032" t="s">
        <v>3</v>
      </c>
      <c r="AA3032" s="5" t="str">
        <f>HYPERLINK("https://www.zillow.com/homes/851-VIOLET-CIR-NAPERVILLE-IL-60540_rb/","check listing")</f>
        <v>check listing</v>
      </c>
      <c r="AB3032" s="5" t="str">
        <f>HYPERLINK("https://propertylookup.dupagecounty.gov/Datalets/Datalet.aspx?UseSearch=no&amp;mode=sales&amp;pin=0722407027","sales record")</f>
        <v>sales record</v>
      </c>
      <c r="AC3032" t="s">
        <v>3</v>
      </c>
      <c r="AD3032">
        <v>41.75891</v>
      </c>
      <c r="AE3032">
        <v>-88.192849</v>
      </c>
      <c r="AF3032" s="5" t="str">
        <f>HYPERLINK("https://www.google.com/maps/search/?api=1&amp;query=41.75891,-88.192849","map")</f>
        <v>map</v>
      </c>
    </row>
    <row r="3033" spans="1:32">
      <c r="A3033" t="s">
        <v>3083</v>
      </c>
      <c r="B3033" t="s">
        <v>10616</v>
      </c>
      <c r="C3033" t="s">
        <v>15475</v>
      </c>
      <c r="D3033" t="s">
        <v>16206</v>
      </c>
      <c r="E3033" t="s">
        <v>16218</v>
      </c>
      <c r="F3033" t="s">
        <v>16220</v>
      </c>
      <c r="G3033" t="s">
        <v>16274</v>
      </c>
      <c r="H3033" t="s">
        <v>16269</v>
      </c>
      <c r="I3033" t="s">
        <v>16352</v>
      </c>
      <c r="J3033" t="s">
        <v>16386</v>
      </c>
      <c r="K3033">
        <v>0.228</v>
      </c>
      <c r="L3033">
        <v>9916</v>
      </c>
      <c r="M3033">
        <v>2474</v>
      </c>
      <c r="N3033" t="s">
        <v>16393</v>
      </c>
      <c r="O3033" s="4">
        <v>55106</v>
      </c>
      <c r="P3033" s="4">
        <v>122955</v>
      </c>
      <c r="Q3033" s="4">
        <v>178061</v>
      </c>
      <c r="R3033" s="4">
        <v>534183</v>
      </c>
      <c r="S3033" t="s">
        <v>19346</v>
      </c>
      <c r="T3033" s="6">
        <v>40057</v>
      </c>
      <c r="U3033" s="4">
        <v>285000</v>
      </c>
      <c r="V3033" t="s">
        <v>23739</v>
      </c>
      <c r="W3033" t="s">
        <v>25225</v>
      </c>
      <c r="X3033" t="s">
        <v>3</v>
      </c>
      <c r="AA3033" s="5" t="str">
        <f>HYPERLINK("https://www.zillow.com/homes/1230-ARDMORE-DR-NAPERVILLE-IL-60540_rb/","check listing")</f>
        <v>check listing</v>
      </c>
      <c r="AB3033" s="5" t="str">
        <f>HYPERLINK("https://propertylookup.dupagecounty.gov/Datalets/Datalet.aspx?UseSearch=no&amp;mode=sales&amp;pin=0726205008","sales record")</f>
        <v>sales record</v>
      </c>
      <c r="AC3033" t="s">
        <v>3</v>
      </c>
      <c r="AD3033">
        <v>41.753631</v>
      </c>
      <c r="AE3033">
        <v>-88.170249</v>
      </c>
      <c r="AF3033" s="5" t="str">
        <f>HYPERLINK("https://www.google.com/maps/search/?api=1&amp;query=41.753631,-88.170249","map")</f>
        <v>map</v>
      </c>
    </row>
    <row r="3034" spans="1:32">
      <c r="A3034" t="s">
        <v>3084</v>
      </c>
      <c r="B3034" t="s">
        <v>10617</v>
      </c>
      <c r="C3034" t="s">
        <v>15540</v>
      </c>
      <c r="D3034" t="s">
        <v>16206</v>
      </c>
      <c r="E3034" t="s">
        <v>16218</v>
      </c>
      <c r="F3034" t="s">
        <v>16220</v>
      </c>
      <c r="G3034" t="s">
        <v>16275</v>
      </c>
      <c r="H3034" t="s">
        <v>16276</v>
      </c>
      <c r="I3034" t="s">
        <v>16352</v>
      </c>
      <c r="J3034" t="s">
        <v>16386</v>
      </c>
      <c r="K3034">
        <v>0.227</v>
      </c>
      <c r="L3034">
        <v>9887</v>
      </c>
      <c r="M3034">
        <v>2144</v>
      </c>
      <c r="N3034" t="s">
        <v>16393</v>
      </c>
      <c r="O3034" s="4">
        <v>52616</v>
      </c>
      <c r="P3034" s="4">
        <v>130876</v>
      </c>
      <c r="Q3034" s="4">
        <v>183492</v>
      </c>
      <c r="R3034" s="4">
        <v>550476</v>
      </c>
      <c r="S3034" t="s">
        <v>19347</v>
      </c>
      <c r="T3034" s="6">
        <v>39234</v>
      </c>
      <c r="U3034" s="4">
        <v>380000</v>
      </c>
      <c r="V3034" t="s">
        <v>23739</v>
      </c>
      <c r="W3034" t="s">
        <v>25226</v>
      </c>
      <c r="X3034" t="s">
        <v>3</v>
      </c>
      <c r="AA3034" s="5" t="str">
        <f>HYPERLINK("https://www.zillow.com/homes/719-WOODEWIND-DR-NAPERVILLE-IL-605634046_rb/","check listing")</f>
        <v>check listing</v>
      </c>
      <c r="AB3034" s="5" t="str">
        <f>HYPERLINK("https://propertylookup.dupagecounty.gov/Datalets/Datalet.aspx?UseSearch=no&amp;mode=sales&amp;pin=0716106011","sales record")</f>
        <v>sales record</v>
      </c>
      <c r="AC3034" t="s">
        <v>3</v>
      </c>
      <c r="AD3034">
        <v>41.782979</v>
      </c>
      <c r="AE3034">
        <v>-88.22125200000001</v>
      </c>
      <c r="AF3034" s="5" t="str">
        <f>HYPERLINK("https://www.google.com/maps/search/?api=1&amp;query=41.782979,-88.221252","map")</f>
        <v>map</v>
      </c>
    </row>
    <row r="3035" spans="1:32">
      <c r="A3035" t="s">
        <v>3085</v>
      </c>
      <c r="B3035" t="s">
        <v>10618</v>
      </c>
      <c r="C3035" t="s">
        <v>15476</v>
      </c>
      <c r="D3035" t="s">
        <v>16206</v>
      </c>
      <c r="E3035" t="s">
        <v>16218</v>
      </c>
      <c r="F3035" t="s">
        <v>16220</v>
      </c>
      <c r="G3035" t="s">
        <v>16269</v>
      </c>
      <c r="H3035" t="s">
        <v>16269</v>
      </c>
      <c r="I3035" t="s">
        <v>16352</v>
      </c>
      <c r="J3035" t="s">
        <v>16386</v>
      </c>
      <c r="K3035">
        <v>0.227</v>
      </c>
      <c r="L3035">
        <v>9886</v>
      </c>
      <c r="N3035" t="s">
        <v>16393</v>
      </c>
      <c r="O3035" s="4">
        <v>28041</v>
      </c>
      <c r="P3035" s="4">
        <v>156280</v>
      </c>
      <c r="Q3035" s="4">
        <v>184321</v>
      </c>
      <c r="R3035" s="4">
        <v>552963</v>
      </c>
      <c r="S3035" t="s">
        <v>19348</v>
      </c>
      <c r="T3035" s="6">
        <v>45085</v>
      </c>
      <c r="U3035" s="4">
        <v>517500</v>
      </c>
      <c r="V3035" t="s">
        <v>23739</v>
      </c>
      <c r="W3035" t="s">
        <v>25227</v>
      </c>
      <c r="X3035" t="s">
        <v>3</v>
      </c>
      <c r="AA3035" s="5" t="str">
        <f>HYPERLINK("https://www.zillow.com/homes/621-BOURBON-CT-NAPERVILLE-IL-60565_rb/","check listing")</f>
        <v>check listing</v>
      </c>
      <c r="AB3035" s="5" t="str">
        <f>HYPERLINK("https://propertylookup.dupagecounty.gov/Datalets/Datalet.aspx?UseSearch=no&amp;mode=sales&amp;pin=0832104075","sales record")</f>
        <v>sales record</v>
      </c>
      <c r="AC3035" t="s">
        <v>3</v>
      </c>
      <c r="AD3035">
        <v>41.737094</v>
      </c>
      <c r="AE3035">
        <v>-88.119539</v>
      </c>
      <c r="AF3035" s="5" t="str">
        <f>HYPERLINK("https://www.google.com/maps/search/?api=1&amp;query=41.737094,-88.119539","map")</f>
        <v>map</v>
      </c>
    </row>
    <row r="3036" spans="1:32">
      <c r="A3036" t="s">
        <v>3086</v>
      </c>
      <c r="B3036" t="s">
        <v>10619</v>
      </c>
      <c r="C3036" t="s">
        <v>15518</v>
      </c>
      <c r="D3036" t="s">
        <v>16206</v>
      </c>
      <c r="E3036" t="s">
        <v>16218</v>
      </c>
      <c r="F3036" t="s">
        <v>16220</v>
      </c>
      <c r="G3036" t="s">
        <v>16275</v>
      </c>
      <c r="H3036" t="s">
        <v>16276</v>
      </c>
      <c r="I3036" t="s">
        <v>16352</v>
      </c>
      <c r="J3036" t="s">
        <v>16386</v>
      </c>
      <c r="K3036">
        <v>0.227</v>
      </c>
      <c r="L3036">
        <v>9885</v>
      </c>
      <c r="M3036">
        <v>2474</v>
      </c>
      <c r="N3036" t="s">
        <v>16393</v>
      </c>
      <c r="O3036" s="4">
        <v>54289</v>
      </c>
      <c r="P3036" s="4">
        <v>144985</v>
      </c>
      <c r="Q3036" s="4">
        <v>199274</v>
      </c>
      <c r="R3036" s="4">
        <v>597822</v>
      </c>
      <c r="S3036" t="s">
        <v>19349</v>
      </c>
      <c r="T3036" s="6">
        <v>44317</v>
      </c>
      <c r="U3036" s="4">
        <v>450000</v>
      </c>
      <c r="V3036" t="s">
        <v>23739</v>
      </c>
      <c r="W3036" t="s">
        <v>25228</v>
      </c>
      <c r="X3036" t="s">
        <v>3</v>
      </c>
      <c r="AA3036" s="5" t="str">
        <f>HYPERLINK("https://www.zillow.com/homes/716-BONESET-CT-NAPERVILLE-IL-605406286_rb/","check listing")</f>
        <v>check listing</v>
      </c>
      <c r="AB3036" s="5" t="str">
        <f>HYPERLINK("https://propertylookup.dupagecounty.gov/Datalets/Datalet.aspx?UseSearch=no&amp;mode=sales&amp;pin=0722406023","sales record")</f>
        <v>sales record</v>
      </c>
      <c r="AC3036" t="s">
        <v>3</v>
      </c>
      <c r="AD3036">
        <v>41.758299</v>
      </c>
      <c r="AE3036">
        <v>-88.194444</v>
      </c>
      <c r="AF3036" s="5" t="str">
        <f>HYPERLINK("https://www.google.com/maps/search/?api=1&amp;query=41.758299,-88.194444","map")</f>
        <v>map</v>
      </c>
    </row>
    <row r="3037" spans="1:32">
      <c r="A3037" t="s">
        <v>3087</v>
      </c>
      <c r="B3037" t="s">
        <v>10620</v>
      </c>
      <c r="C3037" t="s">
        <v>15508</v>
      </c>
      <c r="D3037" t="s">
        <v>16206</v>
      </c>
      <c r="E3037" t="s">
        <v>16218</v>
      </c>
      <c r="F3037" t="s">
        <v>16220</v>
      </c>
      <c r="G3037" t="s">
        <v>16273</v>
      </c>
      <c r="H3037" t="s">
        <v>16254</v>
      </c>
      <c r="I3037" t="s">
        <v>16351</v>
      </c>
      <c r="J3037" t="s">
        <v>16386</v>
      </c>
      <c r="K3037">
        <v>0.227</v>
      </c>
      <c r="L3037">
        <v>9868</v>
      </c>
      <c r="M3037">
        <v>1979</v>
      </c>
      <c r="N3037" t="s">
        <v>16393</v>
      </c>
      <c r="O3037" s="4">
        <v>47502</v>
      </c>
      <c r="P3037" s="4">
        <v>138431</v>
      </c>
      <c r="Q3037" s="4">
        <v>185933</v>
      </c>
      <c r="R3037" s="4">
        <v>557799</v>
      </c>
      <c r="S3037" t="s">
        <v>19350</v>
      </c>
      <c r="T3037" s="6">
        <v>43709</v>
      </c>
      <c r="U3037" s="4">
        <v>345000</v>
      </c>
      <c r="V3037" t="s">
        <v>23739</v>
      </c>
      <c r="W3037" t="s">
        <v>25229</v>
      </c>
      <c r="X3037" t="s">
        <v>3</v>
      </c>
      <c r="AA3037" s="5" t="str">
        <f>HYPERLINK("https://www.zillow.com/homes/2061-BUNKER-CIR-NAPERVILLE-IL-605631893_rb/","check listing")</f>
        <v>check listing</v>
      </c>
      <c r="AB3037" s="5" t="str">
        <f>HYPERLINK("https://propertylookup.dupagecounty.gov/Datalets/Datalet.aspx?UseSearch=no&amp;mode=sales&amp;pin=0709221003","sales record")</f>
        <v>sales record</v>
      </c>
      <c r="AC3037" t="s">
        <v>3</v>
      </c>
      <c r="AD3037">
        <v>41.795118</v>
      </c>
      <c r="AE3037">
        <v>-88.21254500000001</v>
      </c>
      <c r="AF3037" s="5" t="str">
        <f>HYPERLINK("https://www.google.com/maps/search/?api=1&amp;query=41.795118,-88.212545","map")</f>
        <v>map</v>
      </c>
    </row>
    <row r="3038" spans="1:32">
      <c r="A3038" t="s">
        <v>3088</v>
      </c>
      <c r="B3038" t="s">
        <v>10621</v>
      </c>
      <c r="C3038" t="s">
        <v>15478</v>
      </c>
      <c r="D3038" t="s">
        <v>16206</v>
      </c>
      <c r="E3038" t="s">
        <v>16218</v>
      </c>
      <c r="F3038" t="s">
        <v>16220</v>
      </c>
      <c r="G3038" t="s">
        <v>16273</v>
      </c>
      <c r="H3038" t="s">
        <v>16254</v>
      </c>
      <c r="I3038" t="s">
        <v>16351</v>
      </c>
      <c r="J3038" t="s">
        <v>16386</v>
      </c>
      <c r="K3038">
        <v>0.227</v>
      </c>
      <c r="L3038">
        <v>9868</v>
      </c>
      <c r="M3038">
        <v>2309</v>
      </c>
      <c r="N3038" t="s">
        <v>16393</v>
      </c>
      <c r="O3038" s="4">
        <v>53606</v>
      </c>
      <c r="P3038" s="4">
        <v>127373</v>
      </c>
      <c r="Q3038" s="4">
        <v>180979</v>
      </c>
      <c r="R3038" s="4">
        <v>542937</v>
      </c>
      <c r="S3038" t="s">
        <v>19351</v>
      </c>
      <c r="T3038" s="6">
        <v>42491</v>
      </c>
      <c r="U3038" s="4">
        <v>325000</v>
      </c>
      <c r="V3038" t="s">
        <v>23739</v>
      </c>
      <c r="W3038" t="s">
        <v>25230</v>
      </c>
      <c r="X3038" t="s">
        <v>3</v>
      </c>
      <c r="AA3038" s="5" t="str">
        <f>HYPERLINK("https://www.zillow.com/homes/1016-PRAIRIE-VIEW-CT-NAPERVILLE-IL-60563_rb/","check listing")</f>
        <v>check listing</v>
      </c>
      <c r="AB3038" s="5" t="str">
        <f>HYPERLINK("https://propertylookup.dupagecounty.gov/Datalets/Datalet.aspx?UseSearch=no&amp;mode=sales&amp;pin=0709410028","sales record")</f>
        <v>sales record</v>
      </c>
      <c r="AC3038" t="s">
        <v>3</v>
      </c>
      <c r="AD3038">
        <v>41.78663</v>
      </c>
      <c r="AE3038">
        <v>-88.212874</v>
      </c>
      <c r="AF3038" s="5" t="str">
        <f>HYPERLINK("https://www.google.com/maps/search/?api=1&amp;query=41.78663,-88.212874","map")</f>
        <v>map</v>
      </c>
    </row>
    <row r="3039" spans="1:32">
      <c r="A3039" t="s">
        <v>3089</v>
      </c>
      <c r="B3039" t="s">
        <v>10622</v>
      </c>
      <c r="C3039" t="s">
        <v>15475</v>
      </c>
      <c r="D3039" t="s">
        <v>16206</v>
      </c>
      <c r="E3039" t="s">
        <v>16218</v>
      </c>
      <c r="F3039" t="s">
        <v>16220</v>
      </c>
      <c r="G3039" t="s">
        <v>16274</v>
      </c>
      <c r="H3039" t="s">
        <v>16269</v>
      </c>
      <c r="I3039" t="s">
        <v>16352</v>
      </c>
      <c r="J3039" t="s">
        <v>16386</v>
      </c>
      <c r="K3039">
        <v>0.226</v>
      </c>
      <c r="L3039">
        <v>9854</v>
      </c>
      <c r="M3039">
        <v>2143</v>
      </c>
      <c r="N3039" t="s">
        <v>16393</v>
      </c>
      <c r="O3039" s="4">
        <v>52128</v>
      </c>
      <c r="P3039" s="4">
        <v>124053</v>
      </c>
      <c r="Q3039" s="4">
        <v>176181</v>
      </c>
      <c r="R3039" s="4">
        <v>528543</v>
      </c>
      <c r="S3039" t="s">
        <v>19352</v>
      </c>
      <c r="T3039" s="6">
        <v>38596</v>
      </c>
      <c r="U3039" s="4">
        <v>360000</v>
      </c>
      <c r="V3039" t="s">
        <v>23739</v>
      </c>
      <c r="W3039" t="s">
        <v>25231</v>
      </c>
      <c r="X3039" t="s">
        <v>3</v>
      </c>
      <c r="AA3039" s="5" t="str">
        <f>HYPERLINK("https://www.zillow.com/homes/925-RIVER-RD-NAPERVILLE-IL-60540_rb/","check listing")</f>
        <v>check listing</v>
      </c>
      <c r="AB3039" s="5" t="str">
        <f>HYPERLINK("https://propertylookup.dupagecounty.gov/Datalets/Datalet.aspx?UseSearch=no&amp;mode=sales&amp;pin=0726207007","sales record")</f>
        <v>sales record</v>
      </c>
      <c r="AC3039" t="s">
        <v>3</v>
      </c>
      <c r="AD3039">
        <v>41.753189</v>
      </c>
      <c r="AE3039">
        <v>-88.1728</v>
      </c>
      <c r="AF3039" s="5" t="str">
        <f>HYPERLINK("https://www.google.com/maps/search/?api=1&amp;query=41.753189,-88.1728","map")</f>
        <v>map</v>
      </c>
    </row>
    <row r="3040" spans="1:32">
      <c r="A3040" t="s">
        <v>3090</v>
      </c>
      <c r="B3040" t="s">
        <v>10623</v>
      </c>
      <c r="C3040" t="s">
        <v>15475</v>
      </c>
      <c r="D3040" t="s">
        <v>16206</v>
      </c>
      <c r="E3040" t="s">
        <v>16218</v>
      </c>
      <c r="F3040" t="s">
        <v>16220</v>
      </c>
      <c r="G3040" t="s">
        <v>16275</v>
      </c>
      <c r="H3040" t="s">
        <v>16276</v>
      </c>
      <c r="I3040" t="s">
        <v>16352</v>
      </c>
      <c r="J3040" t="s">
        <v>16386</v>
      </c>
      <c r="K3040">
        <v>0.226</v>
      </c>
      <c r="L3040">
        <v>9847</v>
      </c>
      <c r="M3040">
        <v>2782</v>
      </c>
      <c r="N3040" t="s">
        <v>16393</v>
      </c>
      <c r="O3040" s="4">
        <v>49504</v>
      </c>
      <c r="P3040" s="4">
        <v>143007</v>
      </c>
      <c r="Q3040" s="4">
        <v>192511</v>
      </c>
      <c r="R3040" s="4">
        <v>577533</v>
      </c>
      <c r="S3040" t="s">
        <v>19353</v>
      </c>
      <c r="T3040" s="6">
        <v>34639</v>
      </c>
      <c r="U3040" s="4">
        <v>215873</v>
      </c>
      <c r="X3040" t="s">
        <v>3</v>
      </c>
      <c r="AA3040" s="5" t="str">
        <f>HYPERLINK("https://www.zillow.com/homes/612-WILDFLOWER-CT-NAPERVILLE-IL-60540_rb/","check listing")</f>
        <v>check listing</v>
      </c>
      <c r="AB3040" s="5" t="str">
        <f>HYPERLINK("https://propertylookup.dupagecounty.gov/Datalets/Datalet.aspx?UseSearch=no&amp;mode=sales&amp;pin=0722404004","sales record")</f>
        <v>sales record</v>
      </c>
      <c r="AC3040" t="s">
        <v>3</v>
      </c>
      <c r="AD3040">
        <v>41.759198</v>
      </c>
      <c r="AE3040">
        <v>-88.19532100000001</v>
      </c>
      <c r="AF3040" s="5" t="str">
        <f>HYPERLINK("https://www.google.com/maps/search/?api=1&amp;query=41.759198,-88.195321","map")</f>
        <v>map</v>
      </c>
    </row>
    <row r="3041" spans="1:32">
      <c r="A3041" t="s">
        <v>3091</v>
      </c>
      <c r="B3041" t="s">
        <v>10624</v>
      </c>
      <c r="C3041" t="s">
        <v>15541</v>
      </c>
      <c r="D3041" t="s">
        <v>16206</v>
      </c>
      <c r="E3041" t="s">
        <v>16218</v>
      </c>
      <c r="F3041" t="s">
        <v>16220</v>
      </c>
      <c r="G3041" t="s">
        <v>16276</v>
      </c>
      <c r="H3041" t="s">
        <v>16276</v>
      </c>
      <c r="I3041" t="s">
        <v>16352</v>
      </c>
      <c r="J3041" t="s">
        <v>16386</v>
      </c>
      <c r="K3041">
        <v>0.226</v>
      </c>
      <c r="L3041">
        <v>9837</v>
      </c>
      <c r="M3041">
        <v>2359</v>
      </c>
      <c r="N3041" t="s">
        <v>16393</v>
      </c>
      <c r="O3041" s="4">
        <v>52555</v>
      </c>
      <c r="P3041" s="4">
        <v>124273</v>
      </c>
      <c r="Q3041" s="4">
        <v>176828</v>
      </c>
      <c r="R3041" s="4">
        <v>530484</v>
      </c>
      <c r="S3041" t="s">
        <v>19354</v>
      </c>
      <c r="T3041" s="6">
        <v>44440</v>
      </c>
      <c r="U3041" s="4">
        <v>400000</v>
      </c>
      <c r="V3041" t="s">
        <v>23739</v>
      </c>
      <c r="W3041" t="s">
        <v>19354</v>
      </c>
      <c r="X3041" t="s">
        <v>3</v>
      </c>
      <c r="AA3041" s="5" t="str">
        <f>HYPERLINK("https://www.zillow.com/homes/2147-SCHUMACHER-DR-NAPERVILLE-IL-605401911_rb/","check listing")</f>
        <v>check listing</v>
      </c>
      <c r="AB3041" s="5" t="str">
        <f>HYPERLINK("https://propertylookup.dupagecounty.gov/Datalets/Datalet.aspx?UseSearch=no&amp;mode=sales&amp;pin=0727208017","sales record")</f>
        <v>sales record</v>
      </c>
      <c r="AC3041" t="s">
        <v>3</v>
      </c>
      <c r="AD3041">
        <v>41.752398</v>
      </c>
      <c r="AE3041">
        <v>-88.188946</v>
      </c>
      <c r="AF3041" s="5" t="str">
        <f>HYPERLINK("https://www.google.com/maps/search/?api=1&amp;query=41.752398,-88.188946","map")</f>
        <v>map</v>
      </c>
    </row>
    <row r="3042" spans="1:32">
      <c r="A3042" t="s">
        <v>3092</v>
      </c>
      <c r="B3042" t="s">
        <v>10625</v>
      </c>
      <c r="C3042" t="s">
        <v>15475</v>
      </c>
      <c r="D3042" t="s">
        <v>16206</v>
      </c>
      <c r="E3042" t="s">
        <v>16218</v>
      </c>
      <c r="F3042" t="s">
        <v>16220</v>
      </c>
      <c r="G3042" t="s">
        <v>16276</v>
      </c>
      <c r="H3042" t="s">
        <v>16276</v>
      </c>
      <c r="I3042" t="s">
        <v>16352</v>
      </c>
      <c r="J3042" t="s">
        <v>16386</v>
      </c>
      <c r="K3042">
        <v>0.226</v>
      </c>
      <c r="L3042">
        <v>9834</v>
      </c>
      <c r="M3042">
        <v>1996</v>
      </c>
      <c r="N3042" t="s">
        <v>16393</v>
      </c>
      <c r="O3042" s="4">
        <v>54056</v>
      </c>
      <c r="P3042" s="4">
        <v>109956</v>
      </c>
      <c r="Q3042" s="4">
        <v>164012</v>
      </c>
      <c r="R3042" s="4">
        <v>492036</v>
      </c>
      <c r="S3042" t="s">
        <v>19355</v>
      </c>
      <c r="T3042" s="6">
        <v>37469</v>
      </c>
      <c r="U3042" s="4">
        <v>250000</v>
      </c>
      <c r="V3042" t="s">
        <v>23739</v>
      </c>
      <c r="W3042" t="s">
        <v>25232</v>
      </c>
      <c r="X3042" t="s">
        <v>3</v>
      </c>
      <c r="AA3042" s="5" t="str">
        <f>HYPERLINK("https://www.zillow.com/homes/2168-SCHUMACHER-LN-NAPERVILLE-IL-60540_rb/","check listing")</f>
        <v>check listing</v>
      </c>
      <c r="AB3042" s="5" t="str">
        <f>HYPERLINK("https://propertylookup.dupagecounty.gov/Datalets/Datalet.aspx?UseSearch=no&amp;mode=sales&amp;pin=0727203025","sales record")</f>
        <v>sales record</v>
      </c>
      <c r="AC3042" t="s">
        <v>3</v>
      </c>
      <c r="AD3042">
        <v>41.751253</v>
      </c>
      <c r="AE3042">
        <v>-88.188925</v>
      </c>
      <c r="AF3042" s="5" t="str">
        <f>HYPERLINK("https://www.google.com/maps/search/?api=1&amp;query=41.751253,-88.188925","map")</f>
        <v>map</v>
      </c>
    </row>
    <row r="3043" spans="1:32">
      <c r="A3043" t="s">
        <v>3093</v>
      </c>
      <c r="B3043" t="s">
        <v>10626</v>
      </c>
      <c r="C3043" t="s">
        <v>15478</v>
      </c>
      <c r="D3043" t="s">
        <v>16206</v>
      </c>
      <c r="E3043" t="s">
        <v>16218</v>
      </c>
      <c r="F3043" t="s">
        <v>16220</v>
      </c>
      <c r="G3043" t="s">
        <v>16273</v>
      </c>
      <c r="H3043" t="s">
        <v>16254</v>
      </c>
      <c r="I3043" t="s">
        <v>16351</v>
      </c>
      <c r="J3043" t="s">
        <v>16386</v>
      </c>
      <c r="K3043">
        <v>0.226</v>
      </c>
      <c r="L3043">
        <v>9833</v>
      </c>
      <c r="M3043">
        <v>2309</v>
      </c>
      <c r="N3043" t="s">
        <v>16393</v>
      </c>
      <c r="O3043" s="4">
        <v>52800</v>
      </c>
      <c r="P3043" s="4">
        <v>132768</v>
      </c>
      <c r="Q3043" s="4">
        <v>185568</v>
      </c>
      <c r="R3043" s="4">
        <v>556704</v>
      </c>
      <c r="S3043" t="s">
        <v>19356</v>
      </c>
      <c r="T3043" s="6">
        <v>35643</v>
      </c>
      <c r="U3043" s="4">
        <v>194490</v>
      </c>
      <c r="X3043" t="s">
        <v>3</v>
      </c>
      <c r="AA3043" s="5" t="str">
        <f>HYPERLINK("https://www.zillow.com/homes/1120-BURKE-CT-NAPERVILLE-IL-60563_rb/","check listing")</f>
        <v>check listing</v>
      </c>
      <c r="AB3043" s="5" t="str">
        <f>HYPERLINK("https://propertylookup.dupagecounty.gov/Datalets/Datalet.aspx?UseSearch=no&amp;mode=sales&amp;pin=0709304015","sales record")</f>
        <v>sales record</v>
      </c>
      <c r="AC3043" t="s">
        <v>3</v>
      </c>
      <c r="AD3043">
        <v>41.788068</v>
      </c>
      <c r="AE3043">
        <v>-88.21560100000001</v>
      </c>
      <c r="AF3043" s="5" t="str">
        <f>HYPERLINK("https://www.google.com/maps/search/?api=1&amp;query=41.788068,-88.215601","map")</f>
        <v>map</v>
      </c>
    </row>
    <row r="3044" spans="1:32">
      <c r="A3044" t="s">
        <v>3094</v>
      </c>
      <c r="B3044" t="s">
        <v>10627</v>
      </c>
      <c r="C3044" t="s">
        <v>15475</v>
      </c>
      <c r="D3044" t="s">
        <v>16206</v>
      </c>
      <c r="E3044" t="s">
        <v>16218</v>
      </c>
      <c r="F3044" t="s">
        <v>16220</v>
      </c>
      <c r="G3044" t="s">
        <v>16274</v>
      </c>
      <c r="H3044" t="s">
        <v>16269</v>
      </c>
      <c r="I3044" t="s">
        <v>16352</v>
      </c>
      <c r="J3044" t="s">
        <v>16386</v>
      </c>
      <c r="K3044">
        <v>0.226</v>
      </c>
      <c r="L3044">
        <v>9833</v>
      </c>
      <c r="M3044">
        <v>2770</v>
      </c>
      <c r="N3044" t="s">
        <v>16393</v>
      </c>
      <c r="O3044" s="4">
        <v>53007</v>
      </c>
      <c r="P3044" s="4">
        <v>143033</v>
      </c>
      <c r="Q3044" s="4">
        <v>196040</v>
      </c>
      <c r="R3044" s="4">
        <v>588120</v>
      </c>
      <c r="S3044" t="s">
        <v>19357</v>
      </c>
      <c r="T3044" s="6">
        <v>32721</v>
      </c>
      <c r="U3044" s="4">
        <v>187900</v>
      </c>
      <c r="X3044" t="s">
        <v>3</v>
      </c>
      <c r="AA3044" s="5" t="str">
        <f>HYPERLINK("https://www.zillow.com/homes/1268-ASHTON-LN-NAPERVILLE-IL-60540_rb/","check listing")</f>
        <v>check listing</v>
      </c>
      <c r="AB3044" s="5" t="str">
        <f>HYPERLINK("https://propertylookup.dupagecounty.gov/Datalets/Datalet.aspx?UseSearch=no&amp;mode=sales&amp;pin=0726206002","sales record")</f>
        <v>sales record</v>
      </c>
      <c r="AC3044" t="s">
        <v>3</v>
      </c>
      <c r="AD3044">
        <v>41.752455</v>
      </c>
      <c r="AE3044">
        <v>-88.171381</v>
      </c>
      <c r="AF3044" s="5" t="str">
        <f>HYPERLINK("https://www.google.com/maps/search/?api=1&amp;query=41.752455,-88.171381","map")</f>
        <v>map</v>
      </c>
    </row>
    <row r="3045" spans="1:32">
      <c r="A3045" t="s">
        <v>3095</v>
      </c>
      <c r="B3045" t="s">
        <v>10628</v>
      </c>
      <c r="C3045" t="s">
        <v>15476</v>
      </c>
      <c r="D3045" t="s">
        <v>16206</v>
      </c>
      <c r="E3045" t="s">
        <v>16218</v>
      </c>
      <c r="F3045" t="s">
        <v>16220</v>
      </c>
      <c r="G3045" t="s">
        <v>16269</v>
      </c>
      <c r="H3045" t="s">
        <v>16269</v>
      </c>
      <c r="I3045" t="s">
        <v>16352</v>
      </c>
      <c r="J3045" t="s">
        <v>16386</v>
      </c>
      <c r="K3045">
        <v>0.226</v>
      </c>
      <c r="L3045">
        <v>9828</v>
      </c>
      <c r="M3045">
        <v>1994</v>
      </c>
      <c r="N3045" t="s">
        <v>16393</v>
      </c>
      <c r="O3045" s="4">
        <v>75821</v>
      </c>
      <c r="P3045" s="4">
        <v>113042</v>
      </c>
      <c r="Q3045" s="4">
        <v>188863</v>
      </c>
      <c r="R3045" s="4">
        <v>566589</v>
      </c>
      <c r="S3045" t="s">
        <v>19358</v>
      </c>
      <c r="T3045" s="6">
        <v>35431</v>
      </c>
      <c r="U3045" s="4">
        <v>225100</v>
      </c>
      <c r="X3045" t="s">
        <v>3</v>
      </c>
      <c r="AA3045" s="5" t="str">
        <f>HYPERLINK("https://www.zillow.com/homes/508-BOURBON-LN-NAPERVILLE-IL-60565_rb/","check listing")</f>
        <v>check listing</v>
      </c>
      <c r="AB3045" s="5" t="str">
        <f>HYPERLINK("https://propertylookup.dupagecounty.gov/Datalets/Datalet.aspx?UseSearch=no&amp;mode=sales&amp;pin=0832116004","sales record")</f>
        <v>sales record</v>
      </c>
      <c r="AC3045" t="s">
        <v>3</v>
      </c>
      <c r="AD3045">
        <v>41.735563</v>
      </c>
      <c r="AE3045">
        <v>-88.118943</v>
      </c>
      <c r="AF3045" s="5" t="str">
        <f>HYPERLINK("https://www.google.com/maps/search/?api=1&amp;query=41.735563,-88.118943","map")</f>
        <v>map</v>
      </c>
    </row>
    <row r="3046" spans="1:32">
      <c r="A3046" t="s">
        <v>3096</v>
      </c>
      <c r="B3046" t="s">
        <v>10629</v>
      </c>
      <c r="C3046" t="s">
        <v>15475</v>
      </c>
      <c r="D3046" t="s">
        <v>16206</v>
      </c>
      <c r="E3046" t="s">
        <v>16218</v>
      </c>
      <c r="F3046" t="s">
        <v>16220</v>
      </c>
      <c r="G3046" t="s">
        <v>16274</v>
      </c>
      <c r="H3046" t="s">
        <v>16269</v>
      </c>
      <c r="I3046" t="s">
        <v>16352</v>
      </c>
      <c r="J3046" t="s">
        <v>16386</v>
      </c>
      <c r="K3046">
        <v>0.225</v>
      </c>
      <c r="L3046">
        <v>9821</v>
      </c>
      <c r="M3046">
        <v>2359</v>
      </c>
      <c r="N3046" t="s">
        <v>16393</v>
      </c>
      <c r="O3046" s="4">
        <v>53007</v>
      </c>
      <c r="P3046" s="4">
        <v>142312</v>
      </c>
      <c r="Q3046" s="4">
        <v>195319</v>
      </c>
      <c r="R3046" s="4">
        <v>585957</v>
      </c>
      <c r="S3046" t="s">
        <v>19359</v>
      </c>
      <c r="T3046" s="6">
        <v>40695</v>
      </c>
      <c r="U3046" s="4">
        <v>356000</v>
      </c>
      <c r="V3046" t="s">
        <v>23739</v>
      </c>
      <c r="W3046" t="s">
        <v>25233</v>
      </c>
      <c r="X3046" t="s">
        <v>3</v>
      </c>
      <c r="AA3046" s="5" t="str">
        <f>HYPERLINK("https://www.zillow.com/homes/1248-ASHTON-LN-NAPERVILLE-IL-60540_rb/","check listing")</f>
        <v>check listing</v>
      </c>
      <c r="AB3046" s="5" t="str">
        <f>HYPERLINK("https://propertylookup.dupagecounty.gov/Datalets/Datalet.aspx?UseSearch=no&amp;mode=sales&amp;pin=0726206007","sales record")</f>
        <v>sales record</v>
      </c>
      <c r="AC3046" t="s">
        <v>3</v>
      </c>
      <c r="AD3046">
        <v>41.752709</v>
      </c>
      <c r="AE3046">
        <v>-88.16996899999999</v>
      </c>
      <c r="AF3046" s="5" t="str">
        <f>HYPERLINK("https://www.google.com/maps/search/?api=1&amp;query=41.752709,-88.169969","map")</f>
        <v>map</v>
      </c>
    </row>
    <row r="3047" spans="1:32">
      <c r="A3047" t="s">
        <v>3097</v>
      </c>
      <c r="B3047" t="s">
        <v>10630</v>
      </c>
      <c r="C3047" t="s">
        <v>15542</v>
      </c>
      <c r="D3047" t="s">
        <v>16206</v>
      </c>
      <c r="E3047" t="s">
        <v>16218</v>
      </c>
      <c r="F3047" t="s">
        <v>16220</v>
      </c>
      <c r="G3047" t="s">
        <v>16274</v>
      </c>
      <c r="H3047" t="s">
        <v>16269</v>
      </c>
      <c r="I3047" t="s">
        <v>16352</v>
      </c>
      <c r="J3047" t="s">
        <v>16386</v>
      </c>
      <c r="K3047">
        <v>0.225</v>
      </c>
      <c r="L3047">
        <v>9811</v>
      </c>
      <c r="M3047">
        <v>1978</v>
      </c>
      <c r="N3047" t="s">
        <v>16393</v>
      </c>
      <c r="O3047" s="4">
        <v>55448</v>
      </c>
      <c r="P3047" s="4">
        <v>128301</v>
      </c>
      <c r="Q3047" s="4">
        <v>183749</v>
      </c>
      <c r="R3047" s="4">
        <v>551247</v>
      </c>
      <c r="S3047" t="s">
        <v>19360</v>
      </c>
      <c r="T3047" s="6">
        <v>38078</v>
      </c>
      <c r="U3047" s="4">
        <v>300000</v>
      </c>
      <c r="V3047" t="s">
        <v>23739</v>
      </c>
      <c r="W3047" t="s">
        <v>25234</v>
      </c>
      <c r="X3047" t="s">
        <v>3</v>
      </c>
      <c r="AA3047" s="5" t="str">
        <f>HYPERLINK("https://www.zillow.com/homes/1582-HINTERLONG-LN-NAPERVILLE-IL-605630456_rb/","check listing")</f>
        <v>check listing</v>
      </c>
      <c r="AB3047" s="5" t="str">
        <f>HYPERLINK("https://propertylookup.dupagecounty.gov/Datalets/Datalet.aspx?UseSearch=no&amp;mode=sales&amp;pin=0715206014","sales record")</f>
        <v>sales record</v>
      </c>
      <c r="AC3047" t="s">
        <v>3</v>
      </c>
      <c r="AD3047">
        <v>41.78065</v>
      </c>
      <c r="AE3047">
        <v>-88.18935399999999</v>
      </c>
      <c r="AF3047" s="5" t="str">
        <f>HYPERLINK("https://www.google.com/maps/search/?api=1&amp;query=41.78065,-88.189354","map")</f>
        <v>map</v>
      </c>
    </row>
    <row r="3048" spans="1:32">
      <c r="A3048" t="s">
        <v>3098</v>
      </c>
      <c r="B3048" t="s">
        <v>10631</v>
      </c>
      <c r="C3048" t="s">
        <v>15478</v>
      </c>
      <c r="D3048" t="s">
        <v>16206</v>
      </c>
      <c r="E3048" t="s">
        <v>16218</v>
      </c>
      <c r="F3048" t="s">
        <v>16220</v>
      </c>
      <c r="G3048" t="s">
        <v>16274</v>
      </c>
      <c r="H3048" t="s">
        <v>16269</v>
      </c>
      <c r="I3048" t="s">
        <v>16352</v>
      </c>
      <c r="J3048" t="s">
        <v>16386</v>
      </c>
      <c r="K3048">
        <v>0.225</v>
      </c>
      <c r="L3048">
        <v>9805</v>
      </c>
      <c r="M3048">
        <v>2144</v>
      </c>
      <c r="N3048" t="s">
        <v>16393</v>
      </c>
      <c r="O3048" s="4">
        <v>51714</v>
      </c>
      <c r="P3048" s="4">
        <v>81153</v>
      </c>
      <c r="Q3048" s="4">
        <v>132867</v>
      </c>
      <c r="R3048" s="4">
        <v>398601</v>
      </c>
      <c r="S3048" t="s">
        <v>19361</v>
      </c>
      <c r="T3048" s="6">
        <v>41214</v>
      </c>
      <c r="U3048" s="4">
        <v>253500</v>
      </c>
      <c r="V3048" t="s">
        <v>23739</v>
      </c>
      <c r="W3048" t="s">
        <v>25235</v>
      </c>
      <c r="X3048" t="s">
        <v>3</v>
      </c>
      <c r="AA3048" s="5" t="str">
        <f>HYPERLINK("https://www.zillow.com/homes/1599-HINTERLONG-LN-NAPERVILLE-IL-60563_rb/","check listing")</f>
        <v>check listing</v>
      </c>
      <c r="AB3048" s="5" t="str">
        <f>HYPERLINK("https://propertylookup.dupagecounty.gov/Datalets/Datalet.aspx?UseSearch=no&amp;mode=sales&amp;pin=0715205017","sales record")</f>
        <v>sales record</v>
      </c>
      <c r="AC3048" t="s">
        <v>3</v>
      </c>
      <c r="AD3048">
        <v>41.781046</v>
      </c>
      <c r="AE3048">
        <v>-88.19043499999999</v>
      </c>
      <c r="AF3048" s="5" t="str">
        <f>HYPERLINK("https://www.google.com/maps/search/?api=1&amp;query=41.781046,-88.190435","map")</f>
        <v>map</v>
      </c>
    </row>
    <row r="3049" spans="1:32">
      <c r="A3049" t="s">
        <v>3099</v>
      </c>
      <c r="B3049" t="s">
        <v>10632</v>
      </c>
      <c r="C3049" t="s">
        <v>15475</v>
      </c>
      <c r="D3049" t="s">
        <v>16206</v>
      </c>
      <c r="E3049" t="s">
        <v>16218</v>
      </c>
      <c r="F3049" t="s">
        <v>16220</v>
      </c>
      <c r="G3049" t="s">
        <v>16275</v>
      </c>
      <c r="H3049" t="s">
        <v>16276</v>
      </c>
      <c r="I3049" t="s">
        <v>16352</v>
      </c>
      <c r="J3049" t="s">
        <v>16386</v>
      </c>
      <c r="K3049">
        <v>0.225</v>
      </c>
      <c r="L3049">
        <v>9790</v>
      </c>
      <c r="M3049">
        <v>2473</v>
      </c>
      <c r="N3049" t="s">
        <v>16393</v>
      </c>
      <c r="O3049" s="4">
        <v>51103</v>
      </c>
      <c r="P3049" s="4">
        <v>153882</v>
      </c>
      <c r="Q3049" s="4">
        <v>204985</v>
      </c>
      <c r="R3049" s="4">
        <v>614955</v>
      </c>
      <c r="S3049" t="s">
        <v>19362</v>
      </c>
      <c r="T3049" s="6">
        <v>36800</v>
      </c>
      <c r="U3049" s="4">
        <v>265000</v>
      </c>
      <c r="V3049" t="s">
        <v>23739</v>
      </c>
      <c r="W3049" t="s">
        <v>25236</v>
      </c>
      <c r="X3049" t="s">
        <v>3</v>
      </c>
      <c r="AA3049" s="5" t="str">
        <f>HYPERLINK("https://www.zillow.com/homes/2207-FELDOTT-LN-NAPERVILLE-IL-60540_rb/","check listing")</f>
        <v>check listing</v>
      </c>
      <c r="AB3049" s="5" t="str">
        <f>HYPERLINK("https://propertylookup.dupagecounty.gov/Datalets/Datalet.aspx?UseSearch=no&amp;mode=sales&amp;pin=0722404029","sales record")</f>
        <v>sales record</v>
      </c>
      <c r="AC3049" t="s">
        <v>3</v>
      </c>
      <c r="AD3049">
        <v>41.7609</v>
      </c>
      <c r="AE3049">
        <v>-88.19201099999999</v>
      </c>
      <c r="AF3049" s="5" t="str">
        <f>HYPERLINK("https://www.google.com/maps/search/?api=1&amp;query=41.7609,-88.192011","map")</f>
        <v>map</v>
      </c>
    </row>
    <row r="3050" spans="1:32">
      <c r="A3050" t="s">
        <v>3100</v>
      </c>
      <c r="B3050" t="s">
        <v>10633</v>
      </c>
      <c r="C3050" t="s">
        <v>15540</v>
      </c>
      <c r="D3050" t="s">
        <v>16206</v>
      </c>
      <c r="E3050" t="s">
        <v>16218</v>
      </c>
      <c r="F3050" t="s">
        <v>16220</v>
      </c>
      <c r="G3050" t="s">
        <v>16275</v>
      </c>
      <c r="H3050" t="s">
        <v>16276</v>
      </c>
      <c r="I3050" t="s">
        <v>16352</v>
      </c>
      <c r="J3050" t="s">
        <v>16386</v>
      </c>
      <c r="K3050">
        <v>0.224</v>
      </c>
      <c r="L3050">
        <v>9776</v>
      </c>
      <c r="M3050">
        <v>2142</v>
      </c>
      <c r="N3050" t="s">
        <v>16393</v>
      </c>
      <c r="O3050" s="4">
        <v>52616</v>
      </c>
      <c r="P3050" s="4">
        <v>122821</v>
      </c>
      <c r="Q3050" s="4">
        <v>175437</v>
      </c>
      <c r="R3050" s="4">
        <v>526311</v>
      </c>
      <c r="S3050" t="s">
        <v>19363</v>
      </c>
      <c r="T3050" s="6">
        <v>42948</v>
      </c>
      <c r="U3050" s="4">
        <v>347500</v>
      </c>
      <c r="V3050" t="s">
        <v>23739</v>
      </c>
      <c r="W3050" t="s">
        <v>25237</v>
      </c>
      <c r="X3050" t="s">
        <v>3</v>
      </c>
      <c r="AA3050" s="5" t="str">
        <f>HYPERLINK("https://www.zillow.com/homes/723-WOODEWIND-DR-NAPERVILLE-IL-605634046_rb/","check listing")</f>
        <v>check listing</v>
      </c>
      <c r="AB3050" s="5" t="str">
        <f>HYPERLINK("https://propertylookup.dupagecounty.gov/Datalets/Datalet.aspx?UseSearch=no&amp;mode=sales&amp;pin=0716106010","sales record")</f>
        <v>sales record</v>
      </c>
      <c r="AC3050" t="s">
        <v>3</v>
      </c>
      <c r="AD3050">
        <v>41.783171</v>
      </c>
      <c r="AE3050">
        <v>-88.221251</v>
      </c>
      <c r="AF3050" s="5" t="str">
        <f>HYPERLINK("https://www.google.com/maps/search/?api=1&amp;query=41.783171,-88.221251","map")</f>
        <v>map</v>
      </c>
    </row>
    <row r="3051" spans="1:32">
      <c r="A3051" t="s">
        <v>3101</v>
      </c>
      <c r="B3051" t="s">
        <v>10634</v>
      </c>
      <c r="C3051" t="s">
        <v>15475</v>
      </c>
      <c r="D3051" t="s">
        <v>16206</v>
      </c>
      <c r="E3051" t="s">
        <v>16218</v>
      </c>
      <c r="F3051" t="s">
        <v>16220</v>
      </c>
      <c r="G3051" t="s">
        <v>16276</v>
      </c>
      <c r="H3051" t="s">
        <v>16276</v>
      </c>
      <c r="I3051" t="s">
        <v>16352</v>
      </c>
      <c r="J3051" t="s">
        <v>16386</v>
      </c>
      <c r="K3051">
        <v>0.224</v>
      </c>
      <c r="L3051">
        <v>9739</v>
      </c>
      <c r="M3051">
        <v>2308</v>
      </c>
      <c r="N3051" t="s">
        <v>16393</v>
      </c>
      <c r="O3051" s="4">
        <v>49444</v>
      </c>
      <c r="P3051" s="4">
        <v>102255</v>
      </c>
      <c r="Q3051" s="4">
        <v>151699</v>
      </c>
      <c r="R3051" s="4">
        <v>455097</v>
      </c>
      <c r="S3051" t="s">
        <v>19364</v>
      </c>
      <c r="T3051" s="6">
        <v>39783</v>
      </c>
      <c r="U3051" s="4">
        <v>260000</v>
      </c>
      <c r="V3051" t="s">
        <v>23740</v>
      </c>
      <c r="W3051" t="s">
        <v>25238</v>
      </c>
      <c r="X3051" t="s">
        <v>3</v>
      </c>
      <c r="AA3051" s="5" t="str">
        <f>HYPERLINK("https://www.zillow.com/homes/2024-CHANG-CT-NAPERVILLE-IL-60540_rb/","check listing")</f>
        <v>check listing</v>
      </c>
      <c r="AB3051" s="5" t="str">
        <f>HYPERLINK("https://propertylookup.dupagecounty.gov/Datalets/Datalet.aspx?UseSearch=no&amp;mode=sales&amp;pin=0727203026","sales record")</f>
        <v>sales record</v>
      </c>
      <c r="AC3051" t="s">
        <v>3</v>
      </c>
      <c r="AD3051">
        <v>41.751285</v>
      </c>
      <c r="AE3051">
        <v>-88.18871799999999</v>
      </c>
      <c r="AF3051" s="5" t="str">
        <f>HYPERLINK("https://www.google.com/maps/search/?api=1&amp;query=41.751285,-88.188718","map")</f>
        <v>map</v>
      </c>
    </row>
    <row r="3052" spans="1:32">
      <c r="A3052" t="s">
        <v>3102</v>
      </c>
      <c r="B3052" t="s">
        <v>10635</v>
      </c>
      <c r="C3052" t="s">
        <v>15478</v>
      </c>
      <c r="D3052" t="s">
        <v>16206</v>
      </c>
      <c r="E3052" t="s">
        <v>16218</v>
      </c>
      <c r="F3052" t="s">
        <v>16220</v>
      </c>
      <c r="G3052" t="s">
        <v>16273</v>
      </c>
      <c r="H3052" t="s">
        <v>16254</v>
      </c>
      <c r="I3052" t="s">
        <v>16351</v>
      </c>
      <c r="J3052" t="s">
        <v>16386</v>
      </c>
      <c r="K3052">
        <v>0.224</v>
      </c>
      <c r="L3052">
        <v>9736</v>
      </c>
      <c r="M3052">
        <v>2654</v>
      </c>
      <c r="N3052" t="s">
        <v>16393</v>
      </c>
      <c r="O3052" s="4">
        <v>50396</v>
      </c>
      <c r="P3052" s="4">
        <v>89464</v>
      </c>
      <c r="Q3052" s="4">
        <v>139860</v>
      </c>
      <c r="R3052" s="4">
        <v>419580</v>
      </c>
      <c r="S3052" t="s">
        <v>19365</v>
      </c>
      <c r="T3052" s="6">
        <v>35309</v>
      </c>
      <c r="U3052" s="4">
        <v>167500</v>
      </c>
      <c r="X3052" t="s">
        <v>3</v>
      </c>
      <c r="AA3052" s="5" t="str">
        <f>HYPERLINK("https://www.zillow.com/homes/2007-MAPLEWOOD-CIR-NAPERVILLE-IL-60563_rb/","check listing")</f>
        <v>check listing</v>
      </c>
      <c r="AB3052" s="5" t="str">
        <f>HYPERLINK("https://propertylookup.dupagecounty.gov/Datalets/Datalet.aspx?UseSearch=no&amp;mode=sales&amp;pin=0709413014","sales record")</f>
        <v>sales record</v>
      </c>
      <c r="AC3052" t="s">
        <v>3</v>
      </c>
      <c r="AD3052">
        <v>41.786261</v>
      </c>
      <c r="AE3052">
        <v>-88.21095</v>
      </c>
      <c r="AF3052" s="5" t="str">
        <f>HYPERLINK("https://www.google.com/maps/search/?api=1&amp;query=41.786261,-88.21095","map")</f>
        <v>map</v>
      </c>
    </row>
    <row r="3053" spans="1:32">
      <c r="A3053" t="s">
        <v>3103</v>
      </c>
      <c r="B3053" t="s">
        <v>10636</v>
      </c>
      <c r="C3053" t="s">
        <v>15529</v>
      </c>
      <c r="D3053" t="s">
        <v>16206</v>
      </c>
      <c r="E3053" t="s">
        <v>16218</v>
      </c>
      <c r="F3053" t="s">
        <v>16220</v>
      </c>
      <c r="G3053" t="s">
        <v>16273</v>
      </c>
      <c r="H3053" t="s">
        <v>16254</v>
      </c>
      <c r="I3053" t="s">
        <v>16351</v>
      </c>
      <c r="J3053" t="s">
        <v>16386</v>
      </c>
      <c r="K3053">
        <v>0.223</v>
      </c>
      <c r="L3053">
        <v>9732</v>
      </c>
      <c r="M3053">
        <v>2176</v>
      </c>
      <c r="N3053" t="s">
        <v>16393</v>
      </c>
      <c r="O3053" s="4">
        <v>47502</v>
      </c>
      <c r="P3053" s="4">
        <v>144668</v>
      </c>
      <c r="Q3053" s="4">
        <v>192170</v>
      </c>
      <c r="R3053" s="4">
        <v>576510</v>
      </c>
      <c r="S3053" t="s">
        <v>19366</v>
      </c>
      <c r="T3053" s="6">
        <v>39934</v>
      </c>
      <c r="U3053" s="4">
        <v>405000</v>
      </c>
      <c r="V3053" t="s">
        <v>23739</v>
      </c>
      <c r="W3053" t="s">
        <v>25239</v>
      </c>
      <c r="X3053" t="s">
        <v>3</v>
      </c>
      <c r="AA3053" s="5" t="str">
        <f>HYPERLINK("https://www.zillow.com/homes/2034-BUNKER-CIR-NAPERVILLE-IL-605631892_rb/","check listing")</f>
        <v>check listing</v>
      </c>
      <c r="AB3053" s="5" t="str">
        <f>HYPERLINK("https://propertylookup.dupagecounty.gov/Datalets/Datalet.aspx?UseSearch=no&amp;mode=sales&amp;pin=0709200023","sales record")</f>
        <v>sales record</v>
      </c>
      <c r="AC3053" t="s">
        <v>3</v>
      </c>
      <c r="AD3053">
        <v>41.795741</v>
      </c>
      <c r="AE3053">
        <v>-88.211099</v>
      </c>
      <c r="AF3053" s="5" t="str">
        <f>HYPERLINK("https://www.google.com/maps/search/?api=1&amp;query=41.795741,-88.211099","map")</f>
        <v>map</v>
      </c>
    </row>
    <row r="3054" spans="1:32">
      <c r="A3054" t="s">
        <v>3104</v>
      </c>
      <c r="B3054" t="s">
        <v>10637</v>
      </c>
      <c r="C3054" t="s">
        <v>15478</v>
      </c>
      <c r="D3054" t="s">
        <v>16206</v>
      </c>
      <c r="E3054" t="s">
        <v>16218</v>
      </c>
      <c r="F3054" t="s">
        <v>16220</v>
      </c>
      <c r="G3054" t="s">
        <v>16273</v>
      </c>
      <c r="H3054" t="s">
        <v>16254</v>
      </c>
      <c r="I3054" t="s">
        <v>16351</v>
      </c>
      <c r="J3054" t="s">
        <v>16386</v>
      </c>
      <c r="K3054">
        <v>0.223</v>
      </c>
      <c r="L3054">
        <v>9727</v>
      </c>
      <c r="M3054">
        <v>2144</v>
      </c>
      <c r="N3054" t="s">
        <v>16393</v>
      </c>
      <c r="O3054" s="4">
        <v>47502</v>
      </c>
      <c r="P3054" s="4">
        <v>144411</v>
      </c>
      <c r="Q3054" s="4">
        <v>191913</v>
      </c>
      <c r="R3054" s="4">
        <v>575739</v>
      </c>
      <c r="S3054" t="s">
        <v>19367</v>
      </c>
      <c r="T3054" s="6">
        <v>37377</v>
      </c>
      <c r="U3054" s="4">
        <v>329000</v>
      </c>
      <c r="V3054" t="s">
        <v>23739</v>
      </c>
      <c r="W3054" t="s">
        <v>25240</v>
      </c>
      <c r="X3054" t="s">
        <v>3</v>
      </c>
      <c r="AA3054" s="5" t="str">
        <f>HYPERLINK("https://www.zillow.com/homes/2037-BUNKER-CIR-NAPERVILLE-IL-60563_rb/","check listing")</f>
        <v>check listing</v>
      </c>
      <c r="AB3054" s="5" t="str">
        <f>HYPERLINK("https://propertylookup.dupagecounty.gov/Datalets/Datalet.aspx?UseSearch=no&amp;mode=sales&amp;pin=0709221008","sales record")</f>
        <v>sales record</v>
      </c>
      <c r="AC3054" t="s">
        <v>3</v>
      </c>
      <c r="AD3054">
        <v>41.795193</v>
      </c>
      <c r="AE3054">
        <v>-88.21132900000001</v>
      </c>
      <c r="AF3054" s="5" t="str">
        <f>HYPERLINK("https://www.google.com/maps/search/?api=1&amp;query=41.795193,-88.211329","map")</f>
        <v>map</v>
      </c>
    </row>
    <row r="3055" spans="1:32">
      <c r="A3055" t="s">
        <v>3105</v>
      </c>
      <c r="B3055" t="s">
        <v>10638</v>
      </c>
      <c r="C3055" t="s">
        <v>15475</v>
      </c>
      <c r="D3055" t="s">
        <v>16206</v>
      </c>
      <c r="E3055" t="s">
        <v>16218</v>
      </c>
      <c r="F3055" t="s">
        <v>16220</v>
      </c>
      <c r="G3055" t="s">
        <v>16274</v>
      </c>
      <c r="H3055" t="s">
        <v>16269</v>
      </c>
      <c r="I3055" t="s">
        <v>16352</v>
      </c>
      <c r="J3055" t="s">
        <v>16386</v>
      </c>
      <c r="K3055">
        <v>0.223</v>
      </c>
      <c r="L3055">
        <v>9694</v>
      </c>
      <c r="M3055">
        <v>2310</v>
      </c>
      <c r="N3055" t="s">
        <v>16393</v>
      </c>
      <c r="O3055" s="4">
        <v>55106</v>
      </c>
      <c r="P3055" s="4">
        <v>142227</v>
      </c>
      <c r="Q3055" s="4">
        <v>197333</v>
      </c>
      <c r="R3055" s="4">
        <v>591999</v>
      </c>
      <c r="S3055" t="s">
        <v>19368</v>
      </c>
      <c r="T3055" s="6">
        <v>35674</v>
      </c>
      <c r="U3055" s="4">
        <v>238000</v>
      </c>
      <c r="X3055" t="s">
        <v>3</v>
      </c>
      <c r="AA3055" s="5" t="str">
        <f>HYPERLINK("https://www.zillow.com/homes/1242-OAKTON-LN-NAPERVILLE-IL-60540_rb/","check listing")</f>
        <v>check listing</v>
      </c>
      <c r="AB3055" s="5" t="str">
        <f>HYPERLINK("https://propertylookup.dupagecounty.gov/Datalets/Datalet.aspx?UseSearch=no&amp;mode=sales&amp;pin=0726204004","sales record")</f>
        <v>sales record</v>
      </c>
      <c r="AC3055" t="s">
        <v>3</v>
      </c>
      <c r="AD3055">
        <v>41.754238</v>
      </c>
      <c r="AE3055">
        <v>-88.17130299999999</v>
      </c>
      <c r="AF3055" s="5" t="str">
        <f>HYPERLINK("https://www.google.com/maps/search/?api=1&amp;query=41.754238,-88.171303","map")</f>
        <v>map</v>
      </c>
    </row>
    <row r="3056" spans="1:32">
      <c r="A3056" t="s">
        <v>3106</v>
      </c>
      <c r="B3056" t="s">
        <v>10639</v>
      </c>
      <c r="C3056" t="s">
        <v>15478</v>
      </c>
      <c r="D3056" t="s">
        <v>16206</v>
      </c>
      <c r="E3056" t="s">
        <v>16218</v>
      </c>
      <c r="F3056" t="s">
        <v>16220</v>
      </c>
      <c r="G3056" t="s">
        <v>16273</v>
      </c>
      <c r="H3056" t="s">
        <v>16254</v>
      </c>
      <c r="I3056" t="s">
        <v>16351</v>
      </c>
      <c r="J3056" t="s">
        <v>16386</v>
      </c>
      <c r="K3056">
        <v>0.222</v>
      </c>
      <c r="L3056">
        <v>9667</v>
      </c>
      <c r="M3056">
        <v>2358</v>
      </c>
      <c r="N3056" t="s">
        <v>16393</v>
      </c>
      <c r="O3056" s="4">
        <v>45366</v>
      </c>
      <c r="P3056" s="4">
        <v>131291</v>
      </c>
      <c r="Q3056" s="4">
        <v>176657</v>
      </c>
      <c r="R3056" s="4">
        <v>529971</v>
      </c>
      <c r="S3056" t="s">
        <v>19369</v>
      </c>
      <c r="T3056" s="6">
        <v>36647</v>
      </c>
      <c r="U3056" s="4">
        <v>240151</v>
      </c>
      <c r="V3056" t="s">
        <v>23739</v>
      </c>
      <c r="W3056" t="s">
        <v>25241</v>
      </c>
      <c r="X3056" t="s">
        <v>3</v>
      </c>
      <c r="AA3056" s="5" t="str">
        <f>HYPERLINK("https://www.zillow.com/homes/962-CAMPBELL-DR-NAPERVILLE-IL-60563_rb/","check listing")</f>
        <v>check listing</v>
      </c>
      <c r="AB3056" s="5" t="str">
        <f>HYPERLINK("https://propertylookup.dupagecounty.gov/Datalets/Datalet.aspx?UseSearch=no&amp;mode=sales&amp;pin=0709411043","sales record")</f>
        <v>sales record</v>
      </c>
      <c r="AC3056" t="s">
        <v>3</v>
      </c>
      <c r="AD3056">
        <v>41.785691</v>
      </c>
      <c r="AE3056">
        <v>-88.21130700000001</v>
      </c>
      <c r="AF3056" s="5" t="str">
        <f>HYPERLINK("https://www.google.com/maps/search/?api=1&amp;query=41.785691,-88.211307","map")</f>
        <v>map</v>
      </c>
    </row>
    <row r="3057" spans="1:32">
      <c r="A3057" t="s">
        <v>3107</v>
      </c>
      <c r="B3057" t="s">
        <v>10640</v>
      </c>
      <c r="C3057" t="s">
        <v>15475</v>
      </c>
      <c r="D3057" t="s">
        <v>16206</v>
      </c>
      <c r="E3057" t="s">
        <v>16218</v>
      </c>
      <c r="F3057" t="s">
        <v>16220</v>
      </c>
      <c r="G3057" t="s">
        <v>16274</v>
      </c>
      <c r="H3057" t="s">
        <v>16269</v>
      </c>
      <c r="I3057" t="s">
        <v>16352</v>
      </c>
      <c r="J3057" t="s">
        <v>16386</v>
      </c>
      <c r="K3057">
        <v>0.221</v>
      </c>
      <c r="L3057">
        <v>9645</v>
      </c>
      <c r="M3057">
        <v>2466</v>
      </c>
      <c r="N3057" t="s">
        <v>16393</v>
      </c>
      <c r="O3057" s="4">
        <v>55106</v>
      </c>
      <c r="P3057" s="4">
        <v>123589</v>
      </c>
      <c r="Q3057" s="4">
        <v>178695</v>
      </c>
      <c r="R3057" s="4">
        <v>536085</v>
      </c>
      <c r="S3057" t="s">
        <v>19370</v>
      </c>
      <c r="T3057" s="6">
        <v>45504</v>
      </c>
      <c r="U3057" s="4">
        <v>525000</v>
      </c>
      <c r="V3057" t="s">
        <v>23739</v>
      </c>
      <c r="W3057" t="s">
        <v>25242</v>
      </c>
      <c r="X3057" t="s">
        <v>3</v>
      </c>
      <c r="AA3057" s="5" t="str">
        <f>HYPERLINK("https://www.zillow.com/homes/1257-ASHTON-LN-NAPERVILLE-IL-60540_rb/","check listing")</f>
        <v>check listing</v>
      </c>
      <c r="AB3057" s="5" t="str">
        <f>HYPERLINK("https://propertylookup.dupagecounty.gov/Datalets/Datalet.aspx?UseSearch=no&amp;mode=sales&amp;pin=0726205015","sales record")</f>
        <v>sales record</v>
      </c>
      <c r="AC3057" t="s">
        <v>3</v>
      </c>
      <c r="AD3057">
        <v>41.75302</v>
      </c>
      <c r="AE3057">
        <v>-88.170749</v>
      </c>
      <c r="AF3057" s="5" t="str">
        <f>HYPERLINK("https://www.google.com/maps/search/?api=1&amp;query=41.75302,-88.170749","map")</f>
        <v>map</v>
      </c>
    </row>
    <row r="3058" spans="1:32">
      <c r="A3058" t="s">
        <v>3108</v>
      </c>
      <c r="B3058" t="s">
        <v>10641</v>
      </c>
      <c r="C3058" t="s">
        <v>15478</v>
      </c>
      <c r="D3058" t="s">
        <v>16206</v>
      </c>
      <c r="E3058" t="s">
        <v>16218</v>
      </c>
      <c r="F3058" t="s">
        <v>16220</v>
      </c>
      <c r="G3058" t="s">
        <v>16273</v>
      </c>
      <c r="H3058" t="s">
        <v>16254</v>
      </c>
      <c r="I3058" t="s">
        <v>16351</v>
      </c>
      <c r="J3058" t="s">
        <v>16386</v>
      </c>
      <c r="K3058">
        <v>0.221</v>
      </c>
      <c r="L3058">
        <v>9637</v>
      </c>
      <c r="M3058">
        <v>2771</v>
      </c>
      <c r="N3058" t="s">
        <v>16393</v>
      </c>
      <c r="O3058" s="4">
        <v>50896</v>
      </c>
      <c r="P3058" s="4">
        <v>111946</v>
      </c>
      <c r="Q3058" s="4">
        <v>162842</v>
      </c>
      <c r="R3058" s="4">
        <v>488526</v>
      </c>
      <c r="S3058" t="s">
        <v>19371</v>
      </c>
      <c r="T3058" s="6">
        <v>30987</v>
      </c>
      <c r="U3058" s="4">
        <v>156909</v>
      </c>
      <c r="X3058" t="s">
        <v>3</v>
      </c>
      <c r="AA3058" s="5" t="str">
        <f>HYPERLINK("https://www.zillow.com/homes/2042-BUNKER-CIR-NAPERVILLE-IL-60563_rb/","check listing")</f>
        <v>check listing</v>
      </c>
      <c r="AB3058" s="5" t="str">
        <f>HYPERLINK("https://propertylookup.dupagecounty.gov/Datalets/Datalet.aspx?UseSearch=no&amp;mode=sales&amp;pin=0709200021","sales record")</f>
        <v>sales record</v>
      </c>
      <c r="AC3058" t="s">
        <v>3</v>
      </c>
      <c r="AD3058">
        <v>41.795789</v>
      </c>
      <c r="AE3058">
        <v>-88.211652</v>
      </c>
      <c r="AF3058" s="5" t="str">
        <f>HYPERLINK("https://www.google.com/maps/search/?api=1&amp;query=41.795789,-88.211652","map")</f>
        <v>map</v>
      </c>
    </row>
    <row r="3059" spans="1:32">
      <c r="A3059" t="s">
        <v>3109</v>
      </c>
      <c r="B3059" t="s">
        <v>10642</v>
      </c>
      <c r="C3059" t="s">
        <v>15475</v>
      </c>
      <c r="D3059" t="s">
        <v>16206</v>
      </c>
      <c r="E3059" t="s">
        <v>16218</v>
      </c>
      <c r="F3059" t="s">
        <v>16220</v>
      </c>
      <c r="G3059" t="s">
        <v>16274</v>
      </c>
      <c r="H3059" t="s">
        <v>16269</v>
      </c>
      <c r="I3059" t="s">
        <v>16352</v>
      </c>
      <c r="J3059" t="s">
        <v>16386</v>
      </c>
      <c r="K3059">
        <v>0.221</v>
      </c>
      <c r="L3059">
        <v>9634</v>
      </c>
      <c r="M3059">
        <v>2176</v>
      </c>
      <c r="N3059" t="s">
        <v>16393</v>
      </c>
      <c r="O3059" s="4">
        <v>52128</v>
      </c>
      <c r="P3059" s="4">
        <v>133048</v>
      </c>
      <c r="Q3059" s="4">
        <v>185176</v>
      </c>
      <c r="R3059" s="4">
        <v>555528</v>
      </c>
      <c r="S3059" t="s">
        <v>19372</v>
      </c>
      <c r="T3059" s="6">
        <v>32752</v>
      </c>
      <c r="U3059" s="4">
        <v>189500</v>
      </c>
      <c r="X3059" t="s">
        <v>3</v>
      </c>
      <c r="AA3059" s="5" t="str">
        <f>HYPERLINK("https://www.zillow.com/homes/929-RIVER-RD-NAPERVILLE-IL-60540_rb/","check listing")</f>
        <v>check listing</v>
      </c>
      <c r="AB3059" s="5" t="str">
        <f>HYPERLINK("https://propertylookup.dupagecounty.gov/Datalets/Datalet.aspx?UseSearch=no&amp;mode=sales&amp;pin=0726207008","sales record")</f>
        <v>sales record</v>
      </c>
      <c r="AC3059" t="s">
        <v>3</v>
      </c>
      <c r="AD3059">
        <v>41.752945</v>
      </c>
      <c r="AE3059">
        <v>-88.172685</v>
      </c>
      <c r="AF3059" s="5" t="str">
        <f>HYPERLINK("https://www.google.com/maps/search/?api=1&amp;query=41.752945,-88.172685","map")</f>
        <v>map</v>
      </c>
    </row>
    <row r="3060" spans="1:32">
      <c r="A3060" t="s">
        <v>3110</v>
      </c>
      <c r="B3060" t="s">
        <v>10643</v>
      </c>
      <c r="C3060" t="s">
        <v>15478</v>
      </c>
      <c r="D3060" t="s">
        <v>16206</v>
      </c>
      <c r="E3060" t="s">
        <v>16218</v>
      </c>
      <c r="F3060" t="s">
        <v>16220</v>
      </c>
      <c r="G3060" t="s">
        <v>16269</v>
      </c>
      <c r="H3060" t="s">
        <v>16269</v>
      </c>
      <c r="I3060" t="s">
        <v>16352</v>
      </c>
      <c r="J3060" t="s">
        <v>16386</v>
      </c>
      <c r="K3060">
        <v>0.221</v>
      </c>
      <c r="L3060">
        <v>9624</v>
      </c>
      <c r="M3060">
        <v>1962</v>
      </c>
      <c r="N3060" t="s">
        <v>16393</v>
      </c>
      <c r="O3060" s="4">
        <v>96810</v>
      </c>
      <c r="P3060" s="4">
        <v>25626</v>
      </c>
      <c r="Q3060" s="4">
        <v>122436</v>
      </c>
      <c r="R3060" s="4">
        <v>367308</v>
      </c>
      <c r="S3060" t="s">
        <v>19373</v>
      </c>
      <c r="T3060" s="6">
        <v>37773</v>
      </c>
      <c r="U3060" s="4">
        <v>209500</v>
      </c>
      <c r="V3060" t="s">
        <v>23739</v>
      </c>
      <c r="W3060" t="s">
        <v>25243</v>
      </c>
      <c r="X3060" t="s">
        <v>3</v>
      </c>
      <c r="AA3060" s="5" t="str">
        <f>HYPERLINK("https://www.zillow.com/homes/634-E-5TH-AVE-NAPERVILLE-IL-60563_rb/","check listing")</f>
        <v>check listing</v>
      </c>
      <c r="AB3060" s="5" t="str">
        <f>HYPERLINK("https://propertylookup.dupagecounty.gov/Datalets/Datalet.aspx?UseSearch=no&amp;mode=sales&amp;pin=0818202006","sales record")</f>
        <v>sales record</v>
      </c>
      <c r="AC3060" t="s">
        <v>3</v>
      </c>
      <c r="AD3060">
        <v>41.780382</v>
      </c>
      <c r="AE3060">
        <v>-88.137826</v>
      </c>
      <c r="AF3060" s="5" t="str">
        <f>HYPERLINK("https://www.google.com/maps/search/?api=1&amp;query=41.780382,-88.137826","map")</f>
        <v>map</v>
      </c>
    </row>
    <row r="3061" spans="1:32">
      <c r="A3061" t="s">
        <v>3111</v>
      </c>
      <c r="B3061" t="s">
        <v>10644</v>
      </c>
      <c r="C3061" t="s">
        <v>15476</v>
      </c>
      <c r="D3061" t="s">
        <v>16206</v>
      </c>
      <c r="E3061" t="s">
        <v>16218</v>
      </c>
      <c r="F3061" t="s">
        <v>16220</v>
      </c>
      <c r="G3061" t="s">
        <v>16269</v>
      </c>
      <c r="H3061" t="s">
        <v>16269</v>
      </c>
      <c r="I3061" t="s">
        <v>16352</v>
      </c>
      <c r="J3061" t="s">
        <v>16386</v>
      </c>
      <c r="K3061">
        <v>0.221</v>
      </c>
      <c r="L3061">
        <v>9617</v>
      </c>
      <c r="M3061">
        <v>2077</v>
      </c>
      <c r="N3061" t="s">
        <v>16393</v>
      </c>
      <c r="O3061" s="4">
        <v>71647</v>
      </c>
      <c r="P3061" s="4">
        <v>113303</v>
      </c>
      <c r="Q3061" s="4">
        <v>184950</v>
      </c>
      <c r="R3061" s="4">
        <v>554850</v>
      </c>
      <c r="S3061" t="s">
        <v>19374</v>
      </c>
      <c r="T3061" s="6">
        <v>35247</v>
      </c>
      <c r="U3061" s="4">
        <v>221000</v>
      </c>
      <c r="X3061" t="s">
        <v>3</v>
      </c>
      <c r="AA3061" s="5" t="str">
        <f>HYPERLINK("https://www.zillow.com/homes/460-BOURBON-LN-NAPERVILLE-IL-60565_rb/","check listing")</f>
        <v>check listing</v>
      </c>
      <c r="AB3061" s="5" t="str">
        <f>HYPERLINK("https://propertylookup.dupagecounty.gov/Datalets/Datalet.aspx?UseSearch=no&amp;mode=sales&amp;pin=0832117015","sales record")</f>
        <v>sales record</v>
      </c>
      <c r="AC3061" t="s">
        <v>3</v>
      </c>
      <c r="AD3061">
        <v>41.734384</v>
      </c>
      <c r="AE3061">
        <v>-88.119663</v>
      </c>
      <c r="AF3061" s="5" t="str">
        <f>HYPERLINK("https://www.google.com/maps/search/?api=1&amp;query=41.734384,-88.119663","map")</f>
        <v>map</v>
      </c>
    </row>
    <row r="3062" spans="1:32">
      <c r="A3062" t="s">
        <v>3112</v>
      </c>
      <c r="B3062" t="s">
        <v>10645</v>
      </c>
      <c r="C3062" t="s">
        <v>15478</v>
      </c>
      <c r="D3062" t="s">
        <v>16206</v>
      </c>
      <c r="E3062" t="s">
        <v>16218</v>
      </c>
      <c r="F3062" t="s">
        <v>16220</v>
      </c>
      <c r="G3062" t="s">
        <v>16274</v>
      </c>
      <c r="H3062" t="s">
        <v>16269</v>
      </c>
      <c r="I3062" t="s">
        <v>16352</v>
      </c>
      <c r="J3062" t="s">
        <v>16386</v>
      </c>
      <c r="K3062">
        <v>0.22</v>
      </c>
      <c r="L3062">
        <v>9602</v>
      </c>
      <c r="M3062">
        <v>1953</v>
      </c>
      <c r="N3062" t="s">
        <v>16393</v>
      </c>
      <c r="O3062" s="4">
        <v>48576</v>
      </c>
      <c r="P3062" s="4">
        <v>116705</v>
      </c>
      <c r="Q3062" s="4">
        <v>165281</v>
      </c>
      <c r="R3062" s="4">
        <v>495843</v>
      </c>
      <c r="S3062" t="s">
        <v>19375</v>
      </c>
      <c r="T3062" s="6">
        <v>42125</v>
      </c>
      <c r="U3062" s="4">
        <v>346000</v>
      </c>
      <c r="V3062" t="s">
        <v>23739</v>
      </c>
      <c r="W3062" t="s">
        <v>19375</v>
      </c>
      <c r="X3062" t="s">
        <v>3</v>
      </c>
      <c r="AA3062" s="5" t="str">
        <f>HYPERLINK("https://www.zillow.com/homes/1590-HINTERLONG-LN-NAPERVILLE-IL-60563_rb/","check listing")</f>
        <v>check listing</v>
      </c>
      <c r="AB3062" s="5" t="str">
        <f>HYPERLINK("https://propertylookup.dupagecounty.gov/Datalets/Datalet.aspx?UseSearch=no&amp;mode=sales&amp;pin=0715206016","sales record")</f>
        <v>sales record</v>
      </c>
      <c r="AC3062" t="s">
        <v>3</v>
      </c>
      <c r="AD3062">
        <v>41.780554</v>
      </c>
      <c r="AE3062">
        <v>-88.189846</v>
      </c>
      <c r="AF3062" s="5" t="str">
        <f>HYPERLINK("https://www.google.com/maps/search/?api=1&amp;query=41.780554,-88.189846","map")</f>
        <v>map</v>
      </c>
    </row>
    <row r="3063" spans="1:32">
      <c r="A3063" t="s">
        <v>3113</v>
      </c>
      <c r="B3063" t="s">
        <v>10646</v>
      </c>
      <c r="C3063" t="s">
        <v>15475</v>
      </c>
      <c r="D3063" t="s">
        <v>16206</v>
      </c>
      <c r="E3063" t="s">
        <v>16218</v>
      </c>
      <c r="F3063" t="s">
        <v>16220</v>
      </c>
      <c r="G3063" t="s">
        <v>16275</v>
      </c>
      <c r="H3063" t="s">
        <v>16276</v>
      </c>
      <c r="I3063" t="s">
        <v>16352</v>
      </c>
      <c r="J3063" t="s">
        <v>16386</v>
      </c>
      <c r="K3063">
        <v>0.22</v>
      </c>
      <c r="L3063">
        <v>9573</v>
      </c>
      <c r="M3063">
        <v>2854</v>
      </c>
      <c r="N3063" t="s">
        <v>16393</v>
      </c>
      <c r="O3063" s="4">
        <v>59073</v>
      </c>
      <c r="P3063" s="4">
        <v>151930</v>
      </c>
      <c r="Q3063" s="4">
        <v>211003</v>
      </c>
      <c r="R3063" s="4">
        <v>633009</v>
      </c>
      <c r="S3063" t="s">
        <v>19376</v>
      </c>
      <c r="T3063" s="6">
        <v>40360</v>
      </c>
      <c r="U3063" s="4">
        <v>353500</v>
      </c>
      <c r="V3063" t="s">
        <v>23739</v>
      </c>
      <c r="W3063" t="s">
        <v>25244</v>
      </c>
      <c r="X3063" t="s">
        <v>3</v>
      </c>
      <c r="AA3063" s="5" t="str">
        <f>HYPERLINK("https://www.zillow.com/homes/2151-FELDOTT-LN-NAPERVILLE-IL-60540_rb/","check listing")</f>
        <v>check listing</v>
      </c>
      <c r="AB3063" s="5" t="str">
        <f>HYPERLINK("https://propertylookup.dupagecounty.gov/Datalets/Datalet.aspx?UseSearch=no&amp;mode=sales&amp;pin=0722404036","sales record")</f>
        <v>sales record</v>
      </c>
      <c r="AC3063" t="s">
        <v>27873</v>
      </c>
      <c r="AD3063">
        <v>41.761619</v>
      </c>
      <c r="AE3063">
        <v>-88.191597</v>
      </c>
      <c r="AF3063" s="5" t="str">
        <f>HYPERLINK("https://www.google.com/maps/search/?api=1&amp;query=41.761619,-88.191597","map")</f>
        <v>map</v>
      </c>
    </row>
    <row r="3064" spans="1:32">
      <c r="A3064" t="s">
        <v>3114</v>
      </c>
      <c r="B3064" t="s">
        <v>10647</v>
      </c>
      <c r="C3064" t="s">
        <v>15543</v>
      </c>
      <c r="D3064" t="s">
        <v>16206</v>
      </c>
      <c r="E3064" t="s">
        <v>16218</v>
      </c>
      <c r="F3064" t="s">
        <v>16220</v>
      </c>
      <c r="G3064" t="s">
        <v>16273</v>
      </c>
      <c r="H3064" t="s">
        <v>16254</v>
      </c>
      <c r="I3064" t="s">
        <v>16351</v>
      </c>
      <c r="J3064" t="s">
        <v>16386</v>
      </c>
      <c r="K3064">
        <v>0.22</v>
      </c>
      <c r="L3064">
        <v>9563</v>
      </c>
      <c r="M3064">
        <v>2177</v>
      </c>
      <c r="N3064" t="s">
        <v>16393</v>
      </c>
      <c r="O3064" s="4">
        <v>40728</v>
      </c>
      <c r="P3064" s="4">
        <v>129741</v>
      </c>
      <c r="Q3064" s="4">
        <v>170469</v>
      </c>
      <c r="R3064" s="4">
        <v>511407</v>
      </c>
      <c r="S3064" t="s">
        <v>19377</v>
      </c>
      <c r="T3064" s="6">
        <v>43586</v>
      </c>
      <c r="U3064" s="4">
        <v>415000</v>
      </c>
      <c r="V3064" t="s">
        <v>23739</v>
      </c>
      <c r="W3064" t="s">
        <v>25245</v>
      </c>
      <c r="X3064" t="s">
        <v>3</v>
      </c>
      <c r="AA3064" s="5" t="str">
        <f>HYPERLINK("https://www.zillow.com/homes/2152-COUNTRY-LAKES-DR-NAPERVILLE-IL-605631895_rb/","check listing")</f>
        <v>check listing</v>
      </c>
      <c r="AB3064" s="5" t="str">
        <f>HYPERLINK("https://propertylookup.dupagecounty.gov/Datalets/Datalet.aspx?UseSearch=no&amp;mode=sales&amp;pin=0709200009","sales record")</f>
        <v>sales record</v>
      </c>
      <c r="AC3064" t="s">
        <v>3</v>
      </c>
      <c r="AD3064">
        <v>41.794765</v>
      </c>
      <c r="AE3064">
        <v>-88.21428299999999</v>
      </c>
      <c r="AF3064" s="5" t="str">
        <f>HYPERLINK("https://www.google.com/maps/search/?api=1&amp;query=41.794765,-88.214283","map")</f>
        <v>map</v>
      </c>
    </row>
    <row r="3065" spans="1:32">
      <c r="A3065" t="s">
        <v>3115</v>
      </c>
      <c r="B3065" t="s">
        <v>10648</v>
      </c>
      <c r="C3065" t="s">
        <v>15544</v>
      </c>
      <c r="D3065" t="s">
        <v>16206</v>
      </c>
      <c r="E3065" t="s">
        <v>16218</v>
      </c>
      <c r="F3065" t="s">
        <v>16220</v>
      </c>
      <c r="G3065" t="s">
        <v>16275</v>
      </c>
      <c r="H3065" t="s">
        <v>16276</v>
      </c>
      <c r="I3065" t="s">
        <v>16352</v>
      </c>
      <c r="J3065" t="s">
        <v>16386</v>
      </c>
      <c r="K3065">
        <v>0.219</v>
      </c>
      <c r="L3065">
        <v>9535</v>
      </c>
      <c r="M3065">
        <v>2308</v>
      </c>
      <c r="N3065" t="s">
        <v>16393</v>
      </c>
      <c r="O3065" s="4">
        <v>54289</v>
      </c>
      <c r="P3065" s="4">
        <v>155892</v>
      </c>
      <c r="Q3065" s="4">
        <v>210181</v>
      </c>
      <c r="R3065" s="4">
        <v>630543</v>
      </c>
      <c r="S3065" t="s">
        <v>19378</v>
      </c>
      <c r="T3065" s="6">
        <v>44317</v>
      </c>
      <c r="U3065" s="4">
        <v>465000</v>
      </c>
      <c r="V3065" t="s">
        <v>23739</v>
      </c>
      <c r="W3065" t="s">
        <v>25246</v>
      </c>
      <c r="X3065" t="s">
        <v>3</v>
      </c>
      <c r="AA3065" s="5" t="str">
        <f>HYPERLINK("https://www.zillow.com/homes/619-WINTERGREEN-CIR-NAPERVILLE-IL-605409202_rb/","check listing")</f>
        <v>check listing</v>
      </c>
      <c r="AB3065" s="5" t="str">
        <f>HYPERLINK("https://propertylookup.dupagecounty.gov/Datalets/Datalet.aspx?UseSearch=no&amp;mode=sales&amp;pin=0722404023","sales record")</f>
        <v>sales record</v>
      </c>
      <c r="AC3065" t="s">
        <v>3</v>
      </c>
      <c r="AD3065">
        <v>41.760875</v>
      </c>
      <c r="AE3065">
        <v>-88.192831</v>
      </c>
      <c r="AF3065" s="5" t="str">
        <f>HYPERLINK("https://www.google.com/maps/search/?api=1&amp;query=41.760875,-88.192831","map")</f>
        <v>map</v>
      </c>
    </row>
    <row r="3066" spans="1:32">
      <c r="A3066" t="s">
        <v>3116</v>
      </c>
      <c r="B3066" t="s">
        <v>10649</v>
      </c>
      <c r="C3066" t="s">
        <v>15478</v>
      </c>
      <c r="D3066" t="s">
        <v>16206</v>
      </c>
      <c r="E3066" t="s">
        <v>16218</v>
      </c>
      <c r="F3066" t="s">
        <v>16220</v>
      </c>
      <c r="G3066" t="s">
        <v>16274</v>
      </c>
      <c r="H3066" t="s">
        <v>16269</v>
      </c>
      <c r="I3066" t="s">
        <v>16352</v>
      </c>
      <c r="J3066" t="s">
        <v>16386</v>
      </c>
      <c r="K3066">
        <v>0.219</v>
      </c>
      <c r="L3066">
        <v>9523</v>
      </c>
      <c r="M3066">
        <v>2638</v>
      </c>
      <c r="N3066" t="s">
        <v>16393</v>
      </c>
      <c r="O3066" s="4">
        <v>84716</v>
      </c>
      <c r="P3066" s="4">
        <v>137598</v>
      </c>
      <c r="Q3066" s="4">
        <v>222314</v>
      </c>
      <c r="R3066" s="4">
        <v>666942</v>
      </c>
      <c r="S3066" t="s">
        <v>19379</v>
      </c>
      <c r="T3066" s="6">
        <v>45335</v>
      </c>
      <c r="U3066" s="4">
        <v>650000</v>
      </c>
      <c r="V3066" t="s">
        <v>23739</v>
      </c>
      <c r="W3066" t="s">
        <v>25247</v>
      </c>
      <c r="X3066" t="s">
        <v>3</v>
      </c>
      <c r="AA3066" s="5" t="str">
        <f>HYPERLINK("https://www.zillow.com/homes/1144-DICKENS-AVE-NAPERVILLE-IL-60563_rb/","check listing")</f>
        <v>check listing</v>
      </c>
      <c r="AB3066" s="5" t="str">
        <f>HYPERLINK("https://propertylookup.dupagecounty.gov/Datalets/Datalet.aspx?UseSearch=no&amp;mode=sales&amp;pin=0808314012","sales record")</f>
        <v>sales record</v>
      </c>
      <c r="AC3066" t="s">
        <v>3</v>
      </c>
      <c r="AD3066">
        <v>41.790358</v>
      </c>
      <c r="AE3066">
        <v>-88.12626899999999</v>
      </c>
      <c r="AF3066" s="5" t="str">
        <f>HYPERLINK("https://www.google.com/maps/search/?api=1&amp;query=41.790358,-88.126269","map")</f>
        <v>map</v>
      </c>
    </row>
    <row r="3067" spans="1:32">
      <c r="A3067" t="s">
        <v>3117</v>
      </c>
      <c r="B3067" t="s">
        <v>10650</v>
      </c>
      <c r="C3067" t="s">
        <v>15475</v>
      </c>
      <c r="D3067" t="s">
        <v>16206</v>
      </c>
      <c r="E3067" t="s">
        <v>16218</v>
      </c>
      <c r="F3067" t="s">
        <v>16220</v>
      </c>
      <c r="G3067" t="s">
        <v>16273</v>
      </c>
      <c r="H3067" t="s">
        <v>16254</v>
      </c>
      <c r="I3067" t="s">
        <v>16351</v>
      </c>
      <c r="J3067" t="s">
        <v>16386</v>
      </c>
      <c r="K3067">
        <v>0.218</v>
      </c>
      <c r="L3067">
        <v>9511</v>
      </c>
      <c r="M3067">
        <v>1847</v>
      </c>
      <c r="N3067" t="s">
        <v>16393</v>
      </c>
      <c r="O3067" s="4">
        <v>50396</v>
      </c>
      <c r="P3067" s="4">
        <v>128167</v>
      </c>
      <c r="Q3067" s="4">
        <v>178563</v>
      </c>
      <c r="R3067" s="4">
        <v>535689</v>
      </c>
      <c r="S3067" t="s">
        <v>19380</v>
      </c>
      <c r="T3067" s="6">
        <v>38899</v>
      </c>
      <c r="U3067" s="4">
        <v>407000</v>
      </c>
      <c r="V3067" t="s">
        <v>23739</v>
      </c>
      <c r="W3067" t="s">
        <v>25248</v>
      </c>
      <c r="X3067" t="s">
        <v>3</v>
      </c>
      <c r="AA3067" s="5" t="str">
        <f>HYPERLINK("https://www.zillow.com/homes/2087-MAPLEWOOD-CIR-NAPERVILLE-IL-60540_rb/","check listing")</f>
        <v>check listing</v>
      </c>
      <c r="AB3067" s="5" t="str">
        <f>HYPERLINK("https://propertylookup.dupagecounty.gov/Datalets/Datalet.aspx?UseSearch=no&amp;mode=sales&amp;pin=0709413002","sales record")</f>
        <v>sales record</v>
      </c>
      <c r="AC3067" t="s">
        <v>3</v>
      </c>
      <c r="AD3067">
        <v>41.786626</v>
      </c>
      <c r="AE3067">
        <v>-88.21095200000001</v>
      </c>
      <c r="AF3067" s="5" t="str">
        <f>HYPERLINK("https://www.google.com/maps/search/?api=1&amp;query=41.786626,-88.210952","map")</f>
        <v>map</v>
      </c>
    </row>
    <row r="3068" spans="1:32">
      <c r="A3068" t="s">
        <v>3118</v>
      </c>
      <c r="B3068" t="s">
        <v>10651</v>
      </c>
      <c r="C3068" t="s">
        <v>15478</v>
      </c>
      <c r="D3068" t="s">
        <v>16206</v>
      </c>
      <c r="E3068" t="s">
        <v>16218</v>
      </c>
      <c r="F3068" t="s">
        <v>16220</v>
      </c>
      <c r="G3068" t="s">
        <v>16273</v>
      </c>
      <c r="H3068" t="s">
        <v>16254</v>
      </c>
      <c r="I3068" t="s">
        <v>16351</v>
      </c>
      <c r="J3068" t="s">
        <v>16386</v>
      </c>
      <c r="K3068">
        <v>0.218</v>
      </c>
      <c r="L3068">
        <v>9501</v>
      </c>
      <c r="M3068">
        <v>2374</v>
      </c>
      <c r="N3068" t="s">
        <v>16393</v>
      </c>
      <c r="O3068" s="4">
        <v>47990</v>
      </c>
      <c r="P3068" s="4">
        <v>134245</v>
      </c>
      <c r="Q3068" s="4">
        <v>182235</v>
      </c>
      <c r="R3068" s="4">
        <v>546705</v>
      </c>
      <c r="S3068" t="s">
        <v>19381</v>
      </c>
      <c r="T3068" s="6">
        <v>44228</v>
      </c>
      <c r="U3068" s="4">
        <v>395000</v>
      </c>
      <c r="V3068" t="s">
        <v>23739</v>
      </c>
      <c r="W3068" t="s">
        <v>25249</v>
      </c>
      <c r="X3068" t="s">
        <v>3</v>
      </c>
      <c r="AA3068" s="5" t="str">
        <f>HYPERLINK("https://www.zillow.com/homes/2059-MAPLEWOOD-CIR-NAPERVILLE-IL-60563_rb/","check listing")</f>
        <v>check listing</v>
      </c>
      <c r="AB3068" s="5" t="str">
        <f>HYPERLINK("https://propertylookup.dupagecounty.gov/Datalets/Datalet.aspx?UseSearch=no&amp;mode=sales&amp;pin=0709413007","sales record")</f>
        <v>sales record</v>
      </c>
      <c r="AC3068" t="s">
        <v>3</v>
      </c>
      <c r="AD3068">
        <v>41.786685</v>
      </c>
      <c r="AE3068">
        <v>-88.20959499999999</v>
      </c>
      <c r="AF3068" s="5" t="str">
        <f>HYPERLINK("https://www.google.com/maps/search/?api=1&amp;query=41.786685,-88.209595","map")</f>
        <v>map</v>
      </c>
    </row>
    <row r="3069" spans="1:32">
      <c r="A3069" t="s">
        <v>3119</v>
      </c>
      <c r="B3069" t="s">
        <v>10652</v>
      </c>
      <c r="C3069" t="s">
        <v>15478</v>
      </c>
      <c r="D3069" t="s">
        <v>16206</v>
      </c>
      <c r="E3069" t="s">
        <v>16218</v>
      </c>
      <c r="F3069" t="s">
        <v>16220</v>
      </c>
      <c r="G3069" t="s">
        <v>16273</v>
      </c>
      <c r="H3069" t="s">
        <v>16254</v>
      </c>
      <c r="I3069" t="s">
        <v>16351</v>
      </c>
      <c r="J3069" t="s">
        <v>16386</v>
      </c>
      <c r="K3069">
        <v>0.218</v>
      </c>
      <c r="L3069">
        <v>9492</v>
      </c>
      <c r="M3069">
        <v>2144</v>
      </c>
      <c r="N3069" t="s">
        <v>16393</v>
      </c>
      <c r="O3069" s="4">
        <v>53606</v>
      </c>
      <c r="P3069" s="4">
        <v>127496</v>
      </c>
      <c r="Q3069" s="4">
        <v>181102</v>
      </c>
      <c r="R3069" s="4">
        <v>543306</v>
      </c>
      <c r="S3069" t="s">
        <v>19382</v>
      </c>
      <c r="T3069" s="6">
        <v>37408</v>
      </c>
      <c r="U3069" s="4">
        <v>318900</v>
      </c>
      <c r="V3069" t="s">
        <v>23739</v>
      </c>
      <c r="W3069" t="s">
        <v>25250</v>
      </c>
      <c r="X3069" t="s">
        <v>3</v>
      </c>
      <c r="AA3069" s="5" t="str">
        <f>HYPERLINK("https://www.zillow.com/homes/1008-PRAIRIE-VIEW-CT-NAPERVILLE-IL-60563_rb/","check listing")</f>
        <v>check listing</v>
      </c>
      <c r="AB3069" s="5" t="str">
        <f>HYPERLINK("https://propertylookup.dupagecounty.gov/Datalets/Datalet.aspx?UseSearch=no&amp;mode=sales&amp;pin=0709410030","sales record")</f>
        <v>sales record</v>
      </c>
      <c r="AC3069" t="s">
        <v>3</v>
      </c>
      <c r="AD3069">
        <v>41.786486</v>
      </c>
      <c r="AE3069">
        <v>-88.21329299999999</v>
      </c>
      <c r="AF3069" s="5" t="str">
        <f>HYPERLINK("https://www.google.com/maps/search/?api=1&amp;query=41.786486,-88.213293","map")</f>
        <v>map</v>
      </c>
    </row>
    <row r="3070" spans="1:32">
      <c r="A3070" t="s">
        <v>3120</v>
      </c>
      <c r="B3070" t="s">
        <v>10653</v>
      </c>
      <c r="C3070" t="s">
        <v>15475</v>
      </c>
      <c r="D3070" t="s">
        <v>16206</v>
      </c>
      <c r="E3070" t="s">
        <v>16218</v>
      </c>
      <c r="F3070" t="s">
        <v>16220</v>
      </c>
      <c r="G3070" t="s">
        <v>16275</v>
      </c>
      <c r="H3070" t="s">
        <v>16276</v>
      </c>
      <c r="I3070" t="s">
        <v>16352</v>
      </c>
      <c r="J3070" t="s">
        <v>16386</v>
      </c>
      <c r="K3070">
        <v>0.218</v>
      </c>
      <c r="L3070">
        <v>9490</v>
      </c>
      <c r="M3070">
        <v>2309</v>
      </c>
      <c r="N3070" t="s">
        <v>16393</v>
      </c>
      <c r="O3070" s="4">
        <v>54289</v>
      </c>
      <c r="P3070" s="4">
        <v>138114</v>
      </c>
      <c r="Q3070" s="4">
        <v>192403</v>
      </c>
      <c r="R3070" s="4">
        <v>577209</v>
      </c>
      <c r="S3070" t="s">
        <v>19383</v>
      </c>
      <c r="T3070" s="6">
        <v>34608</v>
      </c>
      <c r="U3070" s="4">
        <v>189274</v>
      </c>
      <c r="X3070" t="s">
        <v>3</v>
      </c>
      <c r="AA3070" s="5" t="str">
        <f>HYPERLINK("https://www.zillow.com/homes/711-BONESET-CT-NAPERVILLE-IL-60540_rb/","check listing")</f>
        <v>check listing</v>
      </c>
      <c r="AB3070" s="5" t="str">
        <f>HYPERLINK("https://propertylookup.dupagecounty.gov/Datalets/Datalet.aspx?UseSearch=no&amp;mode=sales&amp;pin=0722406026","sales record")</f>
        <v>sales record</v>
      </c>
      <c r="AC3070" t="s">
        <v>3</v>
      </c>
      <c r="AD3070">
        <v>41.758388</v>
      </c>
      <c r="AE3070">
        <v>-88.195261</v>
      </c>
      <c r="AF3070" s="5" t="str">
        <f>HYPERLINK("https://www.google.com/maps/search/?api=1&amp;query=41.758388,-88.195261","map")</f>
        <v>map</v>
      </c>
    </row>
    <row r="3071" spans="1:32">
      <c r="A3071" t="s">
        <v>3121</v>
      </c>
      <c r="B3071" t="s">
        <v>10654</v>
      </c>
      <c r="C3071" t="s">
        <v>15478</v>
      </c>
      <c r="D3071" t="s">
        <v>16206</v>
      </c>
      <c r="E3071" t="s">
        <v>16218</v>
      </c>
      <c r="F3071" t="s">
        <v>16220</v>
      </c>
      <c r="G3071" t="s">
        <v>16274</v>
      </c>
      <c r="H3071" t="s">
        <v>16269</v>
      </c>
      <c r="I3071" t="s">
        <v>16352</v>
      </c>
      <c r="J3071" t="s">
        <v>16386</v>
      </c>
      <c r="K3071">
        <v>0.218</v>
      </c>
      <c r="L3071">
        <v>9490</v>
      </c>
      <c r="M3071">
        <v>2308</v>
      </c>
      <c r="N3071" t="s">
        <v>16393</v>
      </c>
      <c r="O3071" s="4">
        <v>60269</v>
      </c>
      <c r="P3071" s="4">
        <v>120953</v>
      </c>
      <c r="Q3071" s="4">
        <v>181222</v>
      </c>
      <c r="R3071" s="4">
        <v>543666</v>
      </c>
      <c r="S3071" t="s">
        <v>19384</v>
      </c>
      <c r="T3071" s="6">
        <v>36800</v>
      </c>
      <c r="U3071" s="4">
        <v>240000</v>
      </c>
      <c r="V3071" t="s">
        <v>23739</v>
      </c>
      <c r="W3071" t="s">
        <v>25251</v>
      </c>
      <c r="X3071" t="s">
        <v>3</v>
      </c>
      <c r="AA3071" s="5" t="str">
        <f>HYPERLINK("https://www.zillow.com/homes/700-MIKE-CT-NAPERVILLE-IL-60563_rb/","check listing")</f>
        <v>check listing</v>
      </c>
      <c r="AB3071" s="5" t="str">
        <f>HYPERLINK("https://propertylookup.dupagecounty.gov/Datalets/Datalet.aspx?UseSearch=no&amp;mode=sales&amp;pin=0715206030","sales record")</f>
        <v>sales record</v>
      </c>
      <c r="AC3071" t="s">
        <v>3</v>
      </c>
      <c r="AD3071">
        <v>41.780716</v>
      </c>
      <c r="AE3071">
        <v>-88.193213</v>
      </c>
      <c r="AF3071" s="5" t="str">
        <f>HYPERLINK("https://www.google.com/maps/search/?api=1&amp;query=41.780716,-88.193213","map")</f>
        <v>map</v>
      </c>
    </row>
    <row r="3072" spans="1:32">
      <c r="A3072" t="s">
        <v>3122</v>
      </c>
      <c r="B3072" t="s">
        <v>10655</v>
      </c>
      <c r="C3072" t="s">
        <v>15475</v>
      </c>
      <c r="D3072" t="s">
        <v>16206</v>
      </c>
      <c r="E3072" t="s">
        <v>16218</v>
      </c>
      <c r="F3072" t="s">
        <v>16220</v>
      </c>
      <c r="G3072" t="s">
        <v>16275</v>
      </c>
      <c r="H3072" t="s">
        <v>16276</v>
      </c>
      <c r="I3072" t="s">
        <v>16352</v>
      </c>
      <c r="J3072" t="s">
        <v>16386</v>
      </c>
      <c r="K3072">
        <v>0.218</v>
      </c>
      <c r="L3072">
        <v>9477</v>
      </c>
      <c r="M3072">
        <v>1814</v>
      </c>
      <c r="N3072" t="s">
        <v>16393</v>
      </c>
      <c r="O3072" s="4">
        <v>38312</v>
      </c>
      <c r="P3072" s="4">
        <v>108699</v>
      </c>
      <c r="Q3072" s="4">
        <v>147011</v>
      </c>
      <c r="R3072" s="4">
        <v>441033</v>
      </c>
      <c r="S3072" t="s">
        <v>19385</v>
      </c>
      <c r="T3072" s="6">
        <v>41548</v>
      </c>
      <c r="U3072" s="4">
        <v>310000</v>
      </c>
      <c r="V3072" t="s">
        <v>23739</v>
      </c>
      <c r="W3072" t="s">
        <v>25252</v>
      </c>
      <c r="X3072" t="s">
        <v>3</v>
      </c>
      <c r="AA3072" s="5" t="str">
        <f>HYPERLINK("https://www.zillow.com/homes/795-WILDFLOWER-CIR-NAPERVILLE-IL-60540_rb/","check listing")</f>
        <v>check listing</v>
      </c>
      <c r="AB3072" s="5" t="str">
        <f>HYPERLINK("https://propertylookup.dupagecounty.gov/Datalets/Datalet.aspx?UseSearch=no&amp;mode=sales&amp;pin=0722305001","sales record")</f>
        <v>sales record</v>
      </c>
      <c r="AC3072" t="s">
        <v>3</v>
      </c>
      <c r="AD3072">
        <v>41.758949</v>
      </c>
      <c r="AE3072">
        <v>-88.196336</v>
      </c>
      <c r="AF3072" s="5" t="str">
        <f>HYPERLINK("https://www.google.com/maps/search/?api=1&amp;query=41.758949,-88.196336","map")</f>
        <v>map</v>
      </c>
    </row>
    <row r="3073" spans="1:32">
      <c r="A3073" t="s">
        <v>3123</v>
      </c>
      <c r="B3073" t="s">
        <v>10656</v>
      </c>
      <c r="C3073" t="s">
        <v>15545</v>
      </c>
      <c r="D3073" t="s">
        <v>16206</v>
      </c>
      <c r="E3073" t="s">
        <v>16218</v>
      </c>
      <c r="F3073" t="s">
        <v>16220</v>
      </c>
      <c r="G3073" t="s">
        <v>16274</v>
      </c>
      <c r="H3073" t="s">
        <v>16269</v>
      </c>
      <c r="I3073" t="s">
        <v>16352</v>
      </c>
      <c r="J3073" t="s">
        <v>16386</v>
      </c>
      <c r="K3073">
        <v>0.218</v>
      </c>
      <c r="L3073">
        <v>9476</v>
      </c>
      <c r="M3073">
        <v>1484</v>
      </c>
      <c r="N3073" t="s">
        <v>16393</v>
      </c>
      <c r="O3073" s="4">
        <v>55106</v>
      </c>
      <c r="P3073" s="4">
        <v>126287</v>
      </c>
      <c r="Q3073" s="4">
        <v>181393</v>
      </c>
      <c r="R3073" s="4">
        <v>544179</v>
      </c>
      <c r="S3073" t="s">
        <v>19386</v>
      </c>
      <c r="T3073" s="6">
        <v>39295</v>
      </c>
      <c r="U3073" s="4">
        <v>400000</v>
      </c>
      <c r="V3073" t="s">
        <v>23739</v>
      </c>
      <c r="W3073" t="s">
        <v>25253</v>
      </c>
      <c r="X3073" t="s">
        <v>3</v>
      </c>
      <c r="AA3073" s="5" t="str">
        <f>HYPERLINK("https://www.zillow.com/homes/1246-OAKTON-LN-NAPERVILLE-IL-605400312_rb/","check listing")</f>
        <v>check listing</v>
      </c>
      <c r="AB3073" s="5" t="str">
        <f>HYPERLINK("https://propertylookup.dupagecounty.gov/Datalets/Datalet.aspx?UseSearch=no&amp;mode=sales&amp;pin=0726204003","sales record")</f>
        <v>sales record</v>
      </c>
      <c r="AC3073" t="s">
        <v>3</v>
      </c>
      <c r="AD3073">
        <v>41.754208</v>
      </c>
      <c r="AE3073">
        <v>-88.171592</v>
      </c>
      <c r="AF3073" s="5" t="str">
        <f>HYPERLINK("https://www.google.com/maps/search/?api=1&amp;query=41.754208,-88.171592","map")</f>
        <v>map</v>
      </c>
    </row>
    <row r="3074" spans="1:32">
      <c r="A3074" t="s">
        <v>3124</v>
      </c>
      <c r="B3074" t="s">
        <v>10657</v>
      </c>
      <c r="C3074" t="s">
        <v>15478</v>
      </c>
      <c r="D3074" t="s">
        <v>16206</v>
      </c>
      <c r="E3074" t="s">
        <v>16218</v>
      </c>
      <c r="F3074" t="s">
        <v>16220</v>
      </c>
      <c r="G3074" t="s">
        <v>16273</v>
      </c>
      <c r="H3074" t="s">
        <v>16254</v>
      </c>
      <c r="I3074" t="s">
        <v>16351</v>
      </c>
      <c r="J3074" t="s">
        <v>16386</v>
      </c>
      <c r="K3074">
        <v>0.217</v>
      </c>
      <c r="L3074">
        <v>9471</v>
      </c>
      <c r="M3074">
        <v>2308</v>
      </c>
      <c r="N3074" t="s">
        <v>16393</v>
      </c>
      <c r="O3074" s="4">
        <v>47990</v>
      </c>
      <c r="P3074" s="4">
        <v>135038</v>
      </c>
      <c r="Q3074" s="4">
        <v>183028</v>
      </c>
      <c r="R3074" s="4">
        <v>549084</v>
      </c>
      <c r="S3074" t="s">
        <v>19387</v>
      </c>
      <c r="T3074" s="6">
        <v>36647</v>
      </c>
      <c r="U3074" s="4">
        <v>244500</v>
      </c>
      <c r="V3074" t="s">
        <v>23739</v>
      </c>
      <c r="W3074" t="s">
        <v>19387</v>
      </c>
      <c r="X3074" t="s">
        <v>3</v>
      </c>
      <c r="AA3074" s="5" t="str">
        <f>HYPERLINK("https://www.zillow.com/homes/2043-MAPLEWOOD-CIR-NAPERVILLE-IL-60563_rb/","check listing")</f>
        <v>check listing</v>
      </c>
      <c r="AB3074" s="5" t="str">
        <f>HYPERLINK("https://propertylookup.dupagecounty.gov/Datalets/Datalet.aspx?UseSearch=no&amp;mode=sales&amp;pin=0709413008","sales record")</f>
        <v>sales record</v>
      </c>
      <c r="AC3074" t="s">
        <v>3</v>
      </c>
      <c r="AD3074">
        <v>41.786395</v>
      </c>
      <c r="AE3074">
        <v>-88.20959000000001</v>
      </c>
      <c r="AF3074" s="5" t="str">
        <f>HYPERLINK("https://www.google.com/maps/search/?api=1&amp;query=41.786395,-88.20959","map")</f>
        <v>map</v>
      </c>
    </row>
    <row r="3075" spans="1:32">
      <c r="A3075" t="s">
        <v>3125</v>
      </c>
      <c r="B3075" t="s">
        <v>10658</v>
      </c>
      <c r="C3075" t="s">
        <v>15521</v>
      </c>
      <c r="D3075" t="s">
        <v>16206</v>
      </c>
      <c r="E3075" t="s">
        <v>16218</v>
      </c>
      <c r="F3075" t="s">
        <v>16220</v>
      </c>
      <c r="G3075" t="s">
        <v>16274</v>
      </c>
      <c r="H3075" t="s">
        <v>16269</v>
      </c>
      <c r="I3075" t="s">
        <v>16352</v>
      </c>
      <c r="J3075" t="s">
        <v>16386</v>
      </c>
      <c r="K3075">
        <v>0.217</v>
      </c>
      <c r="L3075">
        <v>9452</v>
      </c>
      <c r="M3075">
        <v>2357</v>
      </c>
      <c r="N3075" t="s">
        <v>16393</v>
      </c>
      <c r="O3075" s="4">
        <v>55106</v>
      </c>
      <c r="P3075" s="4">
        <v>135611</v>
      </c>
      <c r="Q3075" s="4">
        <v>190717</v>
      </c>
      <c r="R3075" s="4">
        <v>572151</v>
      </c>
      <c r="S3075" t="s">
        <v>19388</v>
      </c>
      <c r="T3075" s="6">
        <v>44105</v>
      </c>
      <c r="U3075" s="4">
        <v>420000</v>
      </c>
      <c r="V3075" t="s">
        <v>23739</v>
      </c>
      <c r="W3075" t="s">
        <v>19388</v>
      </c>
      <c r="X3075" t="s">
        <v>3</v>
      </c>
      <c r="AA3075" s="5" t="str">
        <f>HYPERLINK("https://www.zillow.com/homes/1265-ASHTON-LN-NAPERVILLE-IL-605400307_rb/","check listing")</f>
        <v>check listing</v>
      </c>
      <c r="AB3075" s="5" t="str">
        <f>HYPERLINK("https://propertylookup.dupagecounty.gov/Datalets/Datalet.aspx?UseSearch=no&amp;mode=sales&amp;pin=0726205017","sales record")</f>
        <v>sales record</v>
      </c>
      <c r="AC3075" t="s">
        <v>3</v>
      </c>
      <c r="AD3075">
        <v>41.752988</v>
      </c>
      <c r="AE3075">
        <v>-88.171314</v>
      </c>
      <c r="AF3075" s="5" t="str">
        <f>HYPERLINK("https://www.google.com/maps/search/?api=1&amp;query=41.752988,-88.171314","map")</f>
        <v>map</v>
      </c>
    </row>
    <row r="3076" spans="1:32">
      <c r="A3076" t="s">
        <v>3126</v>
      </c>
      <c r="B3076" t="s">
        <v>10659</v>
      </c>
      <c r="C3076" t="s">
        <v>15483</v>
      </c>
      <c r="D3076" t="s">
        <v>16206</v>
      </c>
      <c r="E3076" t="s">
        <v>16218</v>
      </c>
      <c r="F3076" t="s">
        <v>16220</v>
      </c>
      <c r="G3076" t="s">
        <v>16273</v>
      </c>
      <c r="H3076" t="s">
        <v>16254</v>
      </c>
      <c r="I3076" t="s">
        <v>16351</v>
      </c>
      <c r="J3076" t="s">
        <v>16386</v>
      </c>
      <c r="K3076">
        <v>0.217</v>
      </c>
      <c r="L3076">
        <v>9451</v>
      </c>
      <c r="M3076">
        <v>2722</v>
      </c>
      <c r="N3076" t="s">
        <v>16393</v>
      </c>
      <c r="O3076" s="4">
        <v>52800</v>
      </c>
      <c r="P3076" s="4">
        <v>96347</v>
      </c>
      <c r="Q3076" s="4">
        <v>149147</v>
      </c>
      <c r="R3076" s="4">
        <v>447441</v>
      </c>
      <c r="S3076" t="s">
        <v>19389</v>
      </c>
      <c r="T3076" s="6">
        <v>42005</v>
      </c>
      <c r="U3076" s="4">
        <v>248000</v>
      </c>
      <c r="V3076" t="s">
        <v>23740</v>
      </c>
      <c r="W3076" t="s">
        <v>25254</v>
      </c>
      <c r="X3076" t="s">
        <v>3</v>
      </c>
      <c r="AA3076" s="5" t="str">
        <f>HYPERLINK("https://www.zillow.com/homes/1009-PRAIRIE-VIEW-CT-NAPERVILLE-IL-605631983_rb/","check listing")</f>
        <v>check listing</v>
      </c>
      <c r="AB3076" s="5" t="str">
        <f>HYPERLINK("https://propertylookup.dupagecounty.gov/Datalets/Datalet.aspx?UseSearch=no&amp;mode=sales&amp;pin=0709410022","sales record")</f>
        <v>sales record</v>
      </c>
      <c r="AC3076" t="s">
        <v>3</v>
      </c>
      <c r="AD3076">
        <v>41.786559</v>
      </c>
      <c r="AE3076">
        <v>-88.213793</v>
      </c>
      <c r="AF3076" s="5" t="str">
        <f>HYPERLINK("https://www.google.com/maps/search/?api=1&amp;query=41.786559,-88.213793","map")</f>
        <v>map</v>
      </c>
    </row>
    <row r="3077" spans="1:32">
      <c r="A3077" t="s">
        <v>3127</v>
      </c>
      <c r="B3077" t="s">
        <v>10660</v>
      </c>
      <c r="C3077" t="s">
        <v>15478</v>
      </c>
      <c r="D3077" t="s">
        <v>16206</v>
      </c>
      <c r="E3077" t="s">
        <v>16218</v>
      </c>
      <c r="F3077" t="s">
        <v>16220</v>
      </c>
      <c r="G3077" t="s">
        <v>16273</v>
      </c>
      <c r="H3077" t="s">
        <v>16254</v>
      </c>
      <c r="I3077" t="s">
        <v>16351</v>
      </c>
      <c r="J3077" t="s">
        <v>16386</v>
      </c>
      <c r="K3077">
        <v>0.217</v>
      </c>
      <c r="L3077">
        <v>9451</v>
      </c>
      <c r="M3077">
        <v>1978</v>
      </c>
      <c r="N3077" t="s">
        <v>16393</v>
      </c>
      <c r="O3077" s="4">
        <v>51225</v>
      </c>
      <c r="P3077" s="4">
        <v>122125</v>
      </c>
      <c r="Q3077" s="4">
        <v>173350</v>
      </c>
      <c r="R3077" s="4">
        <v>520050</v>
      </c>
      <c r="S3077" t="s">
        <v>19390</v>
      </c>
      <c r="T3077" s="6">
        <v>45257</v>
      </c>
      <c r="U3077" s="4">
        <v>544000</v>
      </c>
      <c r="V3077" t="s">
        <v>23739</v>
      </c>
      <c r="W3077" t="s">
        <v>25255</v>
      </c>
      <c r="X3077" t="s">
        <v>3</v>
      </c>
      <c r="AA3077" s="5" t="str">
        <f>HYPERLINK("https://www.zillow.com/homes/1009-CAMPBELL-RD-NAPERVILLE-IL-60563_rb/","check listing")</f>
        <v>check listing</v>
      </c>
      <c r="AB3077" s="5" t="str">
        <f>HYPERLINK("https://propertylookup.dupagecounty.gov/Datalets/Datalet.aspx?UseSearch=no&amp;mode=sales&amp;pin=0709410034","sales record")</f>
        <v>sales record</v>
      </c>
      <c r="AC3077" t="s">
        <v>3</v>
      </c>
      <c r="AD3077">
        <v>41.78673</v>
      </c>
      <c r="AE3077">
        <v>-88.21188600000001</v>
      </c>
      <c r="AF3077" s="5" t="str">
        <f>HYPERLINK("https://www.google.com/maps/search/?api=1&amp;query=41.78673,-88.211886","map")</f>
        <v>map</v>
      </c>
    </row>
    <row r="3078" spans="1:32">
      <c r="A3078" t="s">
        <v>3128</v>
      </c>
      <c r="B3078" t="s">
        <v>10661</v>
      </c>
      <c r="C3078" t="s">
        <v>15478</v>
      </c>
      <c r="D3078" t="s">
        <v>16206</v>
      </c>
      <c r="E3078" t="s">
        <v>16218</v>
      </c>
      <c r="F3078" t="s">
        <v>16220</v>
      </c>
      <c r="G3078" t="s">
        <v>16273</v>
      </c>
      <c r="H3078" t="s">
        <v>16254</v>
      </c>
      <c r="I3078" t="s">
        <v>16351</v>
      </c>
      <c r="J3078" t="s">
        <v>16386</v>
      </c>
      <c r="K3078">
        <v>0.217</v>
      </c>
      <c r="L3078">
        <v>9448</v>
      </c>
      <c r="M3078">
        <v>1978</v>
      </c>
      <c r="N3078" t="s">
        <v>16393</v>
      </c>
      <c r="O3078" s="4">
        <v>52800</v>
      </c>
      <c r="P3078" s="4">
        <v>136491</v>
      </c>
      <c r="Q3078" s="4">
        <v>189291</v>
      </c>
      <c r="R3078" s="4">
        <v>567873</v>
      </c>
      <c r="S3078" t="s">
        <v>19391</v>
      </c>
      <c r="T3078" s="6">
        <v>35765</v>
      </c>
      <c r="U3078" s="4">
        <v>217000</v>
      </c>
      <c r="X3078" t="s">
        <v>3</v>
      </c>
      <c r="AA3078" s="5" t="str">
        <f>HYPERLINK("https://www.zillow.com/homes/1005-PRAIRIEVIEW-CT-NAPERVILLE-IL-60563_rb/","check listing")</f>
        <v>check listing</v>
      </c>
      <c r="AB3078" s="5" t="str">
        <f>HYPERLINK("https://propertylookup.dupagecounty.gov/Datalets/Datalet.aspx?UseSearch=no&amp;mode=sales&amp;pin=0709410021","sales record")</f>
        <v>sales record</v>
      </c>
      <c r="AC3078" t="s">
        <v>3</v>
      </c>
      <c r="AD3078">
        <v>41.786472</v>
      </c>
      <c r="AE3078">
        <v>-88.213984</v>
      </c>
      <c r="AF3078" s="5" t="str">
        <f>HYPERLINK("https://www.google.com/maps/search/?api=1&amp;query=41.786472,-88.213984","map")</f>
        <v>map</v>
      </c>
    </row>
    <row r="3079" spans="1:32">
      <c r="A3079" t="s">
        <v>3129</v>
      </c>
      <c r="B3079" t="s">
        <v>10662</v>
      </c>
      <c r="C3079" t="s">
        <v>15475</v>
      </c>
      <c r="D3079" t="s">
        <v>16206</v>
      </c>
      <c r="E3079" t="s">
        <v>16218</v>
      </c>
      <c r="F3079" t="s">
        <v>16220</v>
      </c>
      <c r="G3079" t="s">
        <v>16274</v>
      </c>
      <c r="H3079" t="s">
        <v>16269</v>
      </c>
      <c r="I3079" t="s">
        <v>16352</v>
      </c>
      <c r="J3079" t="s">
        <v>16386</v>
      </c>
      <c r="K3079">
        <v>0.217</v>
      </c>
      <c r="L3079">
        <v>9447</v>
      </c>
      <c r="M3079">
        <v>2375</v>
      </c>
      <c r="N3079" t="s">
        <v>16393</v>
      </c>
      <c r="O3079" s="4">
        <v>62194</v>
      </c>
      <c r="P3079" s="4">
        <v>140334</v>
      </c>
      <c r="Q3079" s="4">
        <v>202528</v>
      </c>
      <c r="R3079" s="4">
        <v>607584</v>
      </c>
      <c r="S3079" t="s">
        <v>19392</v>
      </c>
      <c r="T3079" s="6">
        <v>33635</v>
      </c>
      <c r="U3079" s="4">
        <v>205105</v>
      </c>
      <c r="X3079" t="s">
        <v>3</v>
      </c>
      <c r="AA3079" s="5" t="str">
        <f>HYPERLINK("https://www.zillow.com/homes/933-ELM-ST-NAPERVILLE-IL-60540_rb/","check listing")</f>
        <v>check listing</v>
      </c>
      <c r="AB3079" s="5" t="str">
        <f>HYPERLINK("https://propertylookup.dupagecounty.gov/Datalets/Datalet.aspx?UseSearch=no&amp;mode=sales&amp;pin=0726208019","sales record")</f>
        <v>sales record</v>
      </c>
      <c r="AC3079" t="s">
        <v>3</v>
      </c>
      <c r="AD3079">
        <v>41.752562</v>
      </c>
      <c r="AE3079">
        <v>-88.173671</v>
      </c>
      <c r="AF3079" s="5" t="str">
        <f>HYPERLINK("https://www.google.com/maps/search/?api=1&amp;query=41.752562,-88.173671","map")</f>
        <v>map</v>
      </c>
    </row>
    <row r="3080" spans="1:32">
      <c r="A3080" t="s">
        <v>3130</v>
      </c>
      <c r="B3080" t="s">
        <v>10663</v>
      </c>
      <c r="C3080" t="s">
        <v>15478</v>
      </c>
      <c r="D3080" t="s">
        <v>16206</v>
      </c>
      <c r="E3080" t="s">
        <v>16218</v>
      </c>
      <c r="F3080" t="s">
        <v>16220</v>
      </c>
      <c r="G3080" t="s">
        <v>16273</v>
      </c>
      <c r="H3080" t="s">
        <v>16254</v>
      </c>
      <c r="I3080" t="s">
        <v>16351</v>
      </c>
      <c r="J3080" t="s">
        <v>16386</v>
      </c>
      <c r="K3080">
        <v>0.217</v>
      </c>
      <c r="L3080">
        <v>9445</v>
      </c>
      <c r="M3080">
        <v>1319</v>
      </c>
      <c r="N3080" t="s">
        <v>16393</v>
      </c>
      <c r="O3080" s="4">
        <v>50396</v>
      </c>
      <c r="P3080" s="4">
        <v>134257</v>
      </c>
      <c r="Q3080" s="4">
        <v>184653</v>
      </c>
      <c r="R3080" s="4">
        <v>553959</v>
      </c>
      <c r="S3080" t="s">
        <v>19393</v>
      </c>
      <c r="T3080" s="6">
        <v>42217</v>
      </c>
      <c r="U3080" s="4">
        <v>347000</v>
      </c>
      <c r="V3080" t="s">
        <v>23739</v>
      </c>
      <c r="W3080" t="s">
        <v>25256</v>
      </c>
      <c r="X3080" t="s">
        <v>3</v>
      </c>
      <c r="AA3080" s="5" t="str">
        <f>HYPERLINK("https://www.zillow.com/homes/2071-MAPLEWOOD-CIR-NAPERVILLE-IL-60563_rb/","check listing")</f>
        <v>check listing</v>
      </c>
      <c r="AB3080" s="5" t="str">
        <f>HYPERLINK("https://propertylookup.dupagecounty.gov/Datalets/Datalet.aspx?UseSearch=no&amp;mode=sales&amp;pin=0709413006","sales record")</f>
        <v>sales record</v>
      </c>
      <c r="AC3080" t="s">
        <v>3</v>
      </c>
      <c r="AD3080">
        <v>41.786696</v>
      </c>
      <c r="AE3080">
        <v>-88.209926</v>
      </c>
      <c r="AF3080" s="5" t="str">
        <f>HYPERLINK("https://www.google.com/maps/search/?api=1&amp;query=41.786696,-88.209926","map")</f>
        <v>map</v>
      </c>
    </row>
    <row r="3081" spans="1:32">
      <c r="A3081" t="s">
        <v>3131</v>
      </c>
      <c r="B3081" t="s">
        <v>10664</v>
      </c>
      <c r="C3081" t="s">
        <v>15478</v>
      </c>
      <c r="D3081" t="s">
        <v>16206</v>
      </c>
      <c r="E3081" t="s">
        <v>16218</v>
      </c>
      <c r="F3081" t="s">
        <v>16220</v>
      </c>
      <c r="G3081" t="s">
        <v>16273</v>
      </c>
      <c r="H3081" t="s">
        <v>16254</v>
      </c>
      <c r="I3081" t="s">
        <v>16351</v>
      </c>
      <c r="J3081" t="s">
        <v>16386</v>
      </c>
      <c r="K3081">
        <v>0.217</v>
      </c>
      <c r="L3081">
        <v>9445</v>
      </c>
      <c r="M3081">
        <v>1980</v>
      </c>
      <c r="N3081" t="s">
        <v>16393</v>
      </c>
      <c r="O3081" s="4">
        <v>50396</v>
      </c>
      <c r="P3081" s="4">
        <v>114741</v>
      </c>
      <c r="Q3081" s="4">
        <v>165137</v>
      </c>
      <c r="R3081" s="4">
        <v>495411</v>
      </c>
      <c r="S3081" t="s">
        <v>19394</v>
      </c>
      <c r="T3081" s="6">
        <v>40634</v>
      </c>
      <c r="U3081" s="4">
        <v>272000</v>
      </c>
      <c r="V3081" t="s">
        <v>23739</v>
      </c>
      <c r="W3081" t="s">
        <v>25257</v>
      </c>
      <c r="X3081" t="s">
        <v>3</v>
      </c>
      <c r="AA3081" s="5" t="str">
        <f>HYPERLINK("https://www.zillow.com/homes/2079-MAPLEWOOD-CIR-NAPERVILLE-IL-60563_rb/","check listing")</f>
        <v>check listing</v>
      </c>
      <c r="AB3081" s="5" t="str">
        <f>HYPERLINK("https://propertylookup.dupagecounty.gov/Datalets/Datalet.aspx?UseSearch=no&amp;mode=sales&amp;pin=0709413004","sales record")</f>
        <v>sales record</v>
      </c>
      <c r="AC3081" t="s">
        <v>3</v>
      </c>
      <c r="AD3081">
        <v>41.786633</v>
      </c>
      <c r="AE3081">
        <v>-88.210438</v>
      </c>
      <c r="AF3081" s="5" t="str">
        <f>HYPERLINK("https://www.google.com/maps/search/?api=1&amp;query=41.786633,-88.210438","map")</f>
        <v>map</v>
      </c>
    </row>
    <row r="3082" spans="1:32">
      <c r="A3082" t="s">
        <v>3132</v>
      </c>
      <c r="B3082" t="s">
        <v>10665</v>
      </c>
      <c r="C3082" t="s">
        <v>15478</v>
      </c>
      <c r="D3082" t="s">
        <v>16206</v>
      </c>
      <c r="E3082" t="s">
        <v>16218</v>
      </c>
      <c r="F3082" t="s">
        <v>16220</v>
      </c>
      <c r="G3082" t="s">
        <v>16273</v>
      </c>
      <c r="H3082" t="s">
        <v>16254</v>
      </c>
      <c r="I3082" t="s">
        <v>16351</v>
      </c>
      <c r="J3082" t="s">
        <v>16386</v>
      </c>
      <c r="K3082">
        <v>0.217</v>
      </c>
      <c r="L3082">
        <v>9443</v>
      </c>
      <c r="M3082">
        <v>2340</v>
      </c>
      <c r="N3082" t="s">
        <v>16393</v>
      </c>
      <c r="O3082" s="4">
        <v>50396</v>
      </c>
      <c r="P3082" s="4">
        <v>91514</v>
      </c>
      <c r="Q3082" s="4">
        <v>141910</v>
      </c>
      <c r="R3082" s="4">
        <v>425730</v>
      </c>
      <c r="S3082" t="s">
        <v>19395</v>
      </c>
      <c r="T3082" s="6">
        <v>41730</v>
      </c>
      <c r="U3082" s="4">
        <v>289777</v>
      </c>
      <c r="V3082" t="s">
        <v>23739</v>
      </c>
      <c r="W3082" t="s">
        <v>19395</v>
      </c>
      <c r="X3082" t="s">
        <v>3</v>
      </c>
      <c r="AA3082" s="5" t="str">
        <f>HYPERLINK("https://www.zillow.com/homes/2083-MAPLEWOOD-CIR-NAPERVILLE-IL-60563_rb/","check listing")</f>
        <v>check listing</v>
      </c>
      <c r="AB3082" s="5" t="str">
        <f>HYPERLINK("https://propertylookup.dupagecounty.gov/Datalets/Datalet.aspx?UseSearch=no&amp;mode=sales&amp;pin=0709413003","sales record")</f>
        <v>sales record</v>
      </c>
      <c r="AC3082" t="s">
        <v>3</v>
      </c>
      <c r="AD3082">
        <v>41.78663</v>
      </c>
      <c r="AE3082">
        <v>-88.210695</v>
      </c>
      <c r="AF3082" s="5" t="str">
        <f>HYPERLINK("https://www.google.com/maps/search/?api=1&amp;query=41.78663,-88.210695","map")</f>
        <v>map</v>
      </c>
    </row>
    <row r="3083" spans="1:32">
      <c r="A3083" t="s">
        <v>3133</v>
      </c>
      <c r="B3083" t="s">
        <v>10666</v>
      </c>
      <c r="C3083" t="s">
        <v>15510</v>
      </c>
      <c r="D3083" t="s">
        <v>16206</v>
      </c>
      <c r="E3083" t="s">
        <v>16218</v>
      </c>
      <c r="F3083" t="s">
        <v>16220</v>
      </c>
      <c r="G3083" t="s">
        <v>16273</v>
      </c>
      <c r="H3083" t="s">
        <v>16254</v>
      </c>
      <c r="I3083" t="s">
        <v>16351</v>
      </c>
      <c r="J3083" t="s">
        <v>16386</v>
      </c>
      <c r="K3083">
        <v>0.217</v>
      </c>
      <c r="L3083">
        <v>9443</v>
      </c>
      <c r="M3083">
        <v>1848</v>
      </c>
      <c r="N3083" t="s">
        <v>16393</v>
      </c>
      <c r="O3083" s="4">
        <v>50396</v>
      </c>
      <c r="P3083" s="4">
        <v>136881</v>
      </c>
      <c r="Q3083" s="4">
        <v>187277</v>
      </c>
      <c r="R3083" s="4">
        <v>561831</v>
      </c>
      <c r="S3083" t="s">
        <v>19396</v>
      </c>
      <c r="T3083" s="6">
        <v>44970</v>
      </c>
      <c r="U3083" s="4">
        <v>519000</v>
      </c>
      <c r="V3083" t="s">
        <v>23739</v>
      </c>
      <c r="W3083" t="s">
        <v>25258</v>
      </c>
      <c r="X3083" t="s">
        <v>3</v>
      </c>
      <c r="AA3083" s="5" t="str">
        <f>HYPERLINK("https://www.zillow.com/homes/2075-MAPLEWOOD-CIR-NAPERVILLE-IL-605631982_rb/","check listing")</f>
        <v>check listing</v>
      </c>
      <c r="AB3083" s="5" t="str">
        <f>HYPERLINK("https://propertylookup.dupagecounty.gov/Datalets/Datalet.aspx?UseSearch=no&amp;mode=sales&amp;pin=0709413005","sales record")</f>
        <v>sales record</v>
      </c>
      <c r="AC3083" t="s">
        <v>3</v>
      </c>
      <c r="AD3083">
        <v>41.786635</v>
      </c>
      <c r="AE3083">
        <v>-88.21018100000001</v>
      </c>
      <c r="AF3083" s="5" t="str">
        <f>HYPERLINK("https://www.google.com/maps/search/?api=1&amp;query=41.786635,-88.210181","map")</f>
        <v>map</v>
      </c>
    </row>
    <row r="3084" spans="1:32">
      <c r="A3084" t="s">
        <v>3134</v>
      </c>
      <c r="B3084" t="s">
        <v>10667</v>
      </c>
      <c r="C3084" t="s">
        <v>15475</v>
      </c>
      <c r="D3084" t="s">
        <v>16206</v>
      </c>
      <c r="E3084" t="s">
        <v>16218</v>
      </c>
      <c r="F3084" t="s">
        <v>16220</v>
      </c>
      <c r="G3084" t="s">
        <v>16275</v>
      </c>
      <c r="H3084" t="s">
        <v>16276</v>
      </c>
      <c r="I3084" t="s">
        <v>16352</v>
      </c>
      <c r="J3084" t="s">
        <v>16386</v>
      </c>
      <c r="K3084">
        <v>0.217</v>
      </c>
      <c r="L3084">
        <v>9437</v>
      </c>
      <c r="M3084">
        <v>1583</v>
      </c>
      <c r="N3084" t="s">
        <v>16393</v>
      </c>
      <c r="O3084" s="4">
        <v>55655</v>
      </c>
      <c r="P3084" s="4">
        <v>116132</v>
      </c>
      <c r="Q3084" s="4">
        <v>171787</v>
      </c>
      <c r="R3084" s="4">
        <v>515361</v>
      </c>
      <c r="S3084" t="s">
        <v>19397</v>
      </c>
      <c r="T3084" s="6">
        <v>35855</v>
      </c>
      <c r="U3084" s="4">
        <v>205000</v>
      </c>
      <c r="X3084" t="s">
        <v>3</v>
      </c>
      <c r="AA3084" s="5" t="str">
        <f>HYPERLINK("https://www.zillow.com/homes/1108-NATALIE-CT-NAPERVILLE-IL-60540_rb/","check listing")</f>
        <v>check listing</v>
      </c>
      <c r="AB3084" s="5" t="str">
        <f>HYPERLINK("https://propertylookup.dupagecounty.gov/Datalets/Datalet.aspx?UseSearch=no&amp;mode=sales&amp;pin=0727206039","sales record")</f>
        <v>sales record</v>
      </c>
      <c r="AC3084" t="s">
        <v>3</v>
      </c>
      <c r="AD3084">
        <v>41.750062</v>
      </c>
      <c r="AE3084">
        <v>-88.19277599999999</v>
      </c>
      <c r="AF3084" s="5" t="str">
        <f>HYPERLINK("https://www.google.com/maps/search/?api=1&amp;query=41.750062,-88.192776","map")</f>
        <v>map</v>
      </c>
    </row>
    <row r="3085" spans="1:32">
      <c r="A3085" t="s">
        <v>3135</v>
      </c>
      <c r="B3085" t="s">
        <v>10668</v>
      </c>
      <c r="C3085" t="s">
        <v>15475</v>
      </c>
      <c r="D3085" t="s">
        <v>16206</v>
      </c>
      <c r="E3085" t="s">
        <v>16218</v>
      </c>
      <c r="F3085" t="s">
        <v>16220</v>
      </c>
      <c r="G3085" t="s">
        <v>16274</v>
      </c>
      <c r="H3085" t="s">
        <v>16269</v>
      </c>
      <c r="I3085" t="s">
        <v>16352</v>
      </c>
      <c r="J3085" t="s">
        <v>16386</v>
      </c>
      <c r="K3085">
        <v>0.217</v>
      </c>
      <c r="L3085">
        <v>9437</v>
      </c>
      <c r="M3085">
        <v>2177</v>
      </c>
      <c r="N3085" t="s">
        <v>16393</v>
      </c>
      <c r="O3085" s="4">
        <v>52128</v>
      </c>
      <c r="P3085" s="4">
        <v>133060</v>
      </c>
      <c r="Q3085" s="4">
        <v>185188</v>
      </c>
      <c r="R3085" s="4">
        <v>555564</v>
      </c>
      <c r="S3085" t="s">
        <v>19398</v>
      </c>
      <c r="T3085" s="6">
        <v>33329</v>
      </c>
      <c r="U3085" s="4">
        <v>186400</v>
      </c>
      <c r="X3085" t="s">
        <v>3</v>
      </c>
      <c r="AA3085" s="5" t="str">
        <f>HYPERLINK("https://www.zillow.com/homes/917-RIVER-RD-NAPERVILLE-IL-60540_rb/","check listing")</f>
        <v>check listing</v>
      </c>
      <c r="AB3085" s="5" t="str">
        <f>HYPERLINK("https://propertylookup.dupagecounty.gov/Datalets/Datalet.aspx?UseSearch=no&amp;mode=sales&amp;pin=0726207005","sales record")</f>
        <v>sales record</v>
      </c>
      <c r="AC3085" t="s">
        <v>3</v>
      </c>
      <c r="AD3085">
        <v>41.753566</v>
      </c>
      <c r="AE3085">
        <v>-88.172895</v>
      </c>
      <c r="AF3085" s="5" t="str">
        <f>HYPERLINK("https://www.google.com/maps/search/?api=1&amp;query=41.753566,-88.172895","map")</f>
        <v>map</v>
      </c>
    </row>
    <row r="3086" spans="1:32">
      <c r="A3086" t="s">
        <v>3136</v>
      </c>
      <c r="B3086" t="s">
        <v>10669</v>
      </c>
      <c r="C3086" t="s">
        <v>15478</v>
      </c>
      <c r="D3086" t="s">
        <v>16206</v>
      </c>
      <c r="E3086" t="s">
        <v>16218</v>
      </c>
      <c r="F3086" t="s">
        <v>16220</v>
      </c>
      <c r="G3086" t="s">
        <v>16273</v>
      </c>
      <c r="H3086" t="s">
        <v>16254</v>
      </c>
      <c r="I3086" t="s">
        <v>16351</v>
      </c>
      <c r="J3086" t="s">
        <v>16386</v>
      </c>
      <c r="K3086">
        <v>0.216</v>
      </c>
      <c r="L3086">
        <v>9428</v>
      </c>
      <c r="M3086">
        <v>2309</v>
      </c>
      <c r="N3086" t="s">
        <v>16393</v>
      </c>
      <c r="O3086" s="4">
        <v>50396</v>
      </c>
      <c r="P3086" s="4">
        <v>116010</v>
      </c>
      <c r="Q3086" s="4">
        <v>166406</v>
      </c>
      <c r="R3086" s="4">
        <v>499218</v>
      </c>
      <c r="S3086" t="s">
        <v>19399</v>
      </c>
      <c r="T3086" s="6">
        <v>34060</v>
      </c>
      <c r="U3086" s="4">
        <v>198000</v>
      </c>
      <c r="X3086" t="s">
        <v>3</v>
      </c>
      <c r="AA3086" s="5" t="str">
        <f>HYPERLINK("https://www.zillow.com/homes/2023-MAPLEWOOD-CIR-NAPERVILLE-IL-60563_rb/","check listing")</f>
        <v>check listing</v>
      </c>
      <c r="AB3086" s="5" t="str">
        <f>HYPERLINK("https://propertylookup.dupagecounty.gov/Datalets/Datalet.aspx?UseSearch=no&amp;mode=sales&amp;pin=0709413010","sales record")</f>
        <v>sales record</v>
      </c>
      <c r="AC3086" t="s">
        <v>3</v>
      </c>
      <c r="AD3086">
        <v>41.78621</v>
      </c>
      <c r="AE3086">
        <v>-88.20992</v>
      </c>
      <c r="AF3086" s="5" t="str">
        <f>HYPERLINK("https://www.google.com/maps/search/?api=1&amp;query=41.78621,-88.20992","map")</f>
        <v>map</v>
      </c>
    </row>
    <row r="3087" spans="1:32">
      <c r="A3087" t="s">
        <v>3137</v>
      </c>
      <c r="B3087" t="s">
        <v>10670</v>
      </c>
      <c r="C3087" t="s">
        <v>15475</v>
      </c>
      <c r="D3087" t="s">
        <v>16206</v>
      </c>
      <c r="E3087" t="s">
        <v>16218</v>
      </c>
      <c r="F3087" t="s">
        <v>16220</v>
      </c>
      <c r="G3087" t="s">
        <v>16273</v>
      </c>
      <c r="H3087" t="s">
        <v>16254</v>
      </c>
      <c r="I3087" t="s">
        <v>16351</v>
      </c>
      <c r="J3087" t="s">
        <v>16386</v>
      </c>
      <c r="K3087">
        <v>0.216</v>
      </c>
      <c r="L3087">
        <v>9426</v>
      </c>
      <c r="M3087">
        <v>2225</v>
      </c>
      <c r="N3087" t="s">
        <v>16393</v>
      </c>
      <c r="O3087" s="4">
        <v>50396</v>
      </c>
      <c r="P3087" s="4">
        <v>108943</v>
      </c>
      <c r="Q3087" s="4">
        <v>159339</v>
      </c>
      <c r="R3087" s="4">
        <v>478017</v>
      </c>
      <c r="S3087" t="s">
        <v>19400</v>
      </c>
      <c r="T3087" s="6">
        <v>42248</v>
      </c>
      <c r="U3087" s="4">
        <v>350000</v>
      </c>
      <c r="V3087" t="s">
        <v>23739</v>
      </c>
      <c r="W3087" t="s">
        <v>25259</v>
      </c>
      <c r="X3087" t="s">
        <v>3</v>
      </c>
      <c r="AA3087" s="5" t="str">
        <f>HYPERLINK("https://www.zillow.com/homes/2015-MAPLEWOOD-CIR-NAPERVILLE-IL-60540_rb/","check listing")</f>
        <v>check listing</v>
      </c>
      <c r="AB3087" s="5" t="str">
        <f>HYPERLINK("https://propertylookup.dupagecounty.gov/Datalets/Datalet.aspx?UseSearch=no&amp;mode=sales&amp;pin=0709413012","sales record")</f>
        <v>sales record</v>
      </c>
      <c r="AC3087" t="s">
        <v>3</v>
      </c>
      <c r="AD3087">
        <v>41.786262</v>
      </c>
      <c r="AE3087">
        <v>-88.210432</v>
      </c>
      <c r="AF3087" s="5" t="str">
        <f>HYPERLINK("https://www.google.com/maps/search/?api=1&amp;query=41.786262,-88.210432","map")</f>
        <v>map</v>
      </c>
    </row>
    <row r="3088" spans="1:32">
      <c r="A3088" t="s">
        <v>3138</v>
      </c>
      <c r="B3088" t="s">
        <v>10671</v>
      </c>
      <c r="C3088" t="s">
        <v>15475</v>
      </c>
      <c r="D3088" t="s">
        <v>16206</v>
      </c>
      <c r="E3088" t="s">
        <v>16218</v>
      </c>
      <c r="F3088" t="s">
        <v>16220</v>
      </c>
      <c r="G3088" t="s">
        <v>16273</v>
      </c>
      <c r="H3088" t="s">
        <v>16254</v>
      </c>
      <c r="I3088" t="s">
        <v>16351</v>
      </c>
      <c r="J3088" t="s">
        <v>16386</v>
      </c>
      <c r="K3088">
        <v>0.216</v>
      </c>
      <c r="L3088">
        <v>9425</v>
      </c>
      <c r="M3088">
        <v>2535</v>
      </c>
      <c r="N3088" t="s">
        <v>16393</v>
      </c>
      <c r="O3088" s="4">
        <v>50396</v>
      </c>
      <c r="P3088" s="4">
        <v>106515</v>
      </c>
      <c r="Q3088" s="4">
        <v>156911</v>
      </c>
      <c r="R3088" s="4">
        <v>470733</v>
      </c>
      <c r="S3088" t="s">
        <v>19401</v>
      </c>
      <c r="T3088" s="6">
        <v>33329</v>
      </c>
      <c r="U3088" s="4">
        <v>36000</v>
      </c>
      <c r="X3088" t="s">
        <v>3</v>
      </c>
      <c r="AA3088" s="5" t="str">
        <f>HYPERLINK("https://www.zillow.com/homes/2019-MAPLEWOOD-CIR-NAPERVILLE-IL-60540_rb/","check listing")</f>
        <v>check listing</v>
      </c>
      <c r="AB3088" s="5" t="str">
        <f>HYPERLINK("https://propertylookup.dupagecounty.gov/Datalets/Datalet.aspx?UseSearch=no&amp;mode=sales&amp;pin=0709413011","sales record")</f>
        <v>sales record</v>
      </c>
      <c r="AC3088" t="s">
        <v>3</v>
      </c>
      <c r="AD3088">
        <v>41.786265</v>
      </c>
      <c r="AE3088">
        <v>-88.210176</v>
      </c>
      <c r="AF3088" s="5" t="str">
        <f>HYPERLINK("https://www.google.com/maps/search/?api=1&amp;query=41.786265,-88.210176","map")</f>
        <v>map</v>
      </c>
    </row>
    <row r="3089" spans="1:32">
      <c r="A3089" t="s">
        <v>3139</v>
      </c>
      <c r="B3089" t="s">
        <v>10672</v>
      </c>
      <c r="C3089" t="s">
        <v>15510</v>
      </c>
      <c r="D3089" t="s">
        <v>16206</v>
      </c>
      <c r="E3089" t="s">
        <v>16218</v>
      </c>
      <c r="F3089" t="s">
        <v>16220</v>
      </c>
      <c r="G3089" t="s">
        <v>16273</v>
      </c>
      <c r="H3089" t="s">
        <v>16254</v>
      </c>
      <c r="I3089" t="s">
        <v>16351</v>
      </c>
      <c r="J3089" t="s">
        <v>16386</v>
      </c>
      <c r="K3089">
        <v>0.216</v>
      </c>
      <c r="L3089">
        <v>9424</v>
      </c>
      <c r="M3089">
        <v>2473</v>
      </c>
      <c r="N3089" t="s">
        <v>16393</v>
      </c>
      <c r="O3089" s="4">
        <v>50396</v>
      </c>
      <c r="P3089" s="4">
        <v>110286</v>
      </c>
      <c r="Q3089" s="4">
        <v>160682</v>
      </c>
      <c r="R3089" s="4">
        <v>482046</v>
      </c>
      <c r="S3089" t="s">
        <v>19402</v>
      </c>
      <c r="T3089" s="6">
        <v>46035</v>
      </c>
      <c r="U3089" s="4">
        <v>549900</v>
      </c>
      <c r="V3089" t="s">
        <v>23739</v>
      </c>
      <c r="W3089" t="s">
        <v>25260</v>
      </c>
      <c r="X3089" t="s">
        <v>3</v>
      </c>
      <c r="AA3089" s="5" t="str">
        <f>HYPERLINK("https://www.zillow.com/homes/2011-MAPLEWOOD-CIR-NAPERVILLE-IL-605631982_rb/","check listing")</f>
        <v>check listing</v>
      </c>
      <c r="AB3089" s="5" t="str">
        <f>HYPERLINK("https://propertylookup.dupagecounty.gov/Datalets/Datalet.aspx?UseSearch=no&amp;mode=sales&amp;pin=0709413013","sales record")</f>
        <v>sales record</v>
      </c>
      <c r="AC3089" t="s">
        <v>3</v>
      </c>
      <c r="AD3089">
        <v>41.78626</v>
      </c>
      <c r="AE3089">
        <v>-88.210688</v>
      </c>
      <c r="AF3089" s="5" t="str">
        <f>HYPERLINK("https://www.google.com/maps/search/?api=1&amp;query=41.78626,-88.210688","map")</f>
        <v>map</v>
      </c>
    </row>
    <row r="3090" spans="1:32">
      <c r="A3090" t="s">
        <v>3140</v>
      </c>
      <c r="B3090" t="s">
        <v>10673</v>
      </c>
      <c r="C3090" t="s">
        <v>15475</v>
      </c>
      <c r="D3090" t="s">
        <v>16206</v>
      </c>
      <c r="E3090" t="s">
        <v>16218</v>
      </c>
      <c r="F3090" t="s">
        <v>16220</v>
      </c>
      <c r="G3090" t="s">
        <v>16275</v>
      </c>
      <c r="H3090" t="s">
        <v>16276</v>
      </c>
      <c r="I3090" t="s">
        <v>16352</v>
      </c>
      <c r="J3090" t="s">
        <v>16386</v>
      </c>
      <c r="K3090">
        <v>0.216</v>
      </c>
      <c r="L3090">
        <v>9395</v>
      </c>
      <c r="M3090">
        <v>2144</v>
      </c>
      <c r="N3090" t="s">
        <v>16393</v>
      </c>
      <c r="O3090" s="4">
        <v>54289</v>
      </c>
      <c r="P3090" s="4">
        <v>143557</v>
      </c>
      <c r="Q3090" s="4">
        <v>197846</v>
      </c>
      <c r="R3090" s="4">
        <v>593538</v>
      </c>
      <c r="S3090" t="s">
        <v>19403</v>
      </c>
      <c r="T3090" s="6">
        <v>34639</v>
      </c>
      <c r="U3090" s="4">
        <v>206121</v>
      </c>
      <c r="X3090" t="s">
        <v>3</v>
      </c>
      <c r="AA3090" s="5" t="str">
        <f>HYPERLINK("https://www.zillow.com/homes/720-BONESET-CT-NAPERVILLE-IL-60540_rb/","check listing")</f>
        <v>check listing</v>
      </c>
      <c r="AB3090" s="5" t="str">
        <f>HYPERLINK("https://propertylookup.dupagecounty.gov/Datalets/Datalet.aspx?UseSearch=no&amp;mode=sales&amp;pin=0722406024","sales record")</f>
        <v>sales record</v>
      </c>
      <c r="AC3090" t="s">
        <v>3</v>
      </c>
      <c r="AD3090">
        <v>41.758252</v>
      </c>
      <c r="AE3090">
        <v>-88.19476</v>
      </c>
      <c r="AF3090" s="5" t="str">
        <f>HYPERLINK("https://www.google.com/maps/search/?api=1&amp;query=41.758252,-88.19476","map")</f>
        <v>map</v>
      </c>
    </row>
    <row r="3091" spans="1:32">
      <c r="A3091" t="s">
        <v>3141</v>
      </c>
      <c r="B3091" t="s">
        <v>10674</v>
      </c>
      <c r="C3091" t="s">
        <v>15546</v>
      </c>
      <c r="D3091" t="s">
        <v>16206</v>
      </c>
      <c r="E3091" t="s">
        <v>16218</v>
      </c>
      <c r="F3091" t="s">
        <v>16220</v>
      </c>
      <c r="G3091" t="s">
        <v>16275</v>
      </c>
      <c r="H3091" t="s">
        <v>16276</v>
      </c>
      <c r="I3091" t="s">
        <v>16352</v>
      </c>
      <c r="J3091" t="s">
        <v>16386</v>
      </c>
      <c r="K3091">
        <v>0.216</v>
      </c>
      <c r="L3091">
        <v>9393</v>
      </c>
      <c r="M3091">
        <v>2474</v>
      </c>
      <c r="N3091" t="s">
        <v>16393</v>
      </c>
      <c r="O3091" s="4">
        <v>57462</v>
      </c>
      <c r="P3091" s="4">
        <v>149611</v>
      </c>
      <c r="Q3091" s="4">
        <v>207073</v>
      </c>
      <c r="R3091" s="4">
        <v>621219</v>
      </c>
      <c r="S3091" t="s">
        <v>19404</v>
      </c>
      <c r="T3091" s="6">
        <v>43252</v>
      </c>
      <c r="U3091" s="4">
        <v>384500</v>
      </c>
      <c r="V3091" t="s">
        <v>23739</v>
      </c>
      <c r="W3091" t="s">
        <v>25261</v>
      </c>
      <c r="X3091" t="s">
        <v>3</v>
      </c>
      <c r="AA3091" s="5" t="str">
        <f>HYPERLINK("https://www.zillow.com/homes/607-AZALEA-CT-NAPERVILLE-IL-605409218_rb/","check listing")</f>
        <v>check listing</v>
      </c>
      <c r="AB3091" s="5" t="str">
        <f>HYPERLINK("https://propertylookup.dupagecounty.gov/Datalets/Datalet.aspx?UseSearch=no&amp;mode=sales&amp;pin=0722404031","sales record")</f>
        <v>sales record</v>
      </c>
      <c r="AC3091" t="s">
        <v>3</v>
      </c>
      <c r="AD3091">
        <v>41.761119</v>
      </c>
      <c r="AE3091">
        <v>-88.192477</v>
      </c>
      <c r="AF3091" s="5" t="str">
        <f>HYPERLINK("https://www.google.com/maps/search/?api=1&amp;query=41.761119,-88.192477","map")</f>
        <v>map</v>
      </c>
    </row>
    <row r="3092" spans="1:32">
      <c r="A3092" t="s">
        <v>3142</v>
      </c>
      <c r="B3092" t="s">
        <v>10675</v>
      </c>
      <c r="C3092" t="s">
        <v>15489</v>
      </c>
      <c r="D3092" t="s">
        <v>16206</v>
      </c>
      <c r="E3092" t="s">
        <v>16218</v>
      </c>
      <c r="F3092" t="s">
        <v>16220</v>
      </c>
      <c r="G3092" t="s">
        <v>16275</v>
      </c>
      <c r="H3092" t="s">
        <v>16276</v>
      </c>
      <c r="I3092" t="s">
        <v>16352</v>
      </c>
      <c r="J3092" t="s">
        <v>16386</v>
      </c>
      <c r="K3092">
        <v>0.216</v>
      </c>
      <c r="L3092">
        <v>9390</v>
      </c>
      <c r="M3092">
        <v>1715</v>
      </c>
      <c r="N3092" t="s">
        <v>16393</v>
      </c>
      <c r="O3092" s="4">
        <v>54289</v>
      </c>
      <c r="P3092" s="4">
        <v>119244</v>
      </c>
      <c r="Q3092" s="4">
        <v>173533</v>
      </c>
      <c r="R3092" s="4">
        <v>520599</v>
      </c>
      <c r="S3092" t="s">
        <v>19405</v>
      </c>
      <c r="T3092" s="6">
        <v>43435</v>
      </c>
      <c r="U3092" s="4">
        <v>358500</v>
      </c>
      <c r="V3092" t="s">
        <v>23739</v>
      </c>
      <c r="W3092" t="s">
        <v>19405</v>
      </c>
      <c r="X3092" t="s">
        <v>3</v>
      </c>
      <c r="AA3092" s="5" t="str">
        <f>HYPERLINK("https://www.zillow.com/homes/2311-PERIWINKLE-CT-NAPERVILLE-IL-605409220_rb/","check listing")</f>
        <v>check listing</v>
      </c>
      <c r="AB3092" s="5" t="str">
        <f>HYPERLINK("https://propertylookup.dupagecounty.gov/Datalets/Datalet.aspx?UseSearch=no&amp;mode=sales&amp;pin=0722407030","sales record")</f>
        <v>sales record</v>
      </c>
      <c r="AC3092" t="s">
        <v>3</v>
      </c>
      <c r="AD3092">
        <v>41.758576</v>
      </c>
      <c r="AE3092">
        <v>-88.19285499999999</v>
      </c>
      <c r="AF3092" s="5" t="str">
        <f>HYPERLINK("https://www.google.com/maps/search/?api=1&amp;query=41.758576,-88.192855","map")</f>
        <v>map</v>
      </c>
    </row>
    <row r="3093" spans="1:32">
      <c r="A3093" t="s">
        <v>3143</v>
      </c>
      <c r="B3093" t="s">
        <v>10676</v>
      </c>
      <c r="C3093" t="s">
        <v>15546</v>
      </c>
      <c r="D3093" t="s">
        <v>16206</v>
      </c>
      <c r="E3093" t="s">
        <v>16218</v>
      </c>
      <c r="F3093" t="s">
        <v>16220</v>
      </c>
      <c r="G3093" t="s">
        <v>16275</v>
      </c>
      <c r="H3093" t="s">
        <v>16276</v>
      </c>
      <c r="I3093" t="s">
        <v>16352</v>
      </c>
      <c r="J3093" t="s">
        <v>16386</v>
      </c>
      <c r="K3093">
        <v>0.215</v>
      </c>
      <c r="L3093">
        <v>9387</v>
      </c>
      <c r="M3093">
        <v>2547</v>
      </c>
      <c r="N3093" t="s">
        <v>16393</v>
      </c>
      <c r="O3093" s="4">
        <v>60697</v>
      </c>
      <c r="P3093" s="4">
        <v>138931</v>
      </c>
      <c r="Q3093" s="4">
        <v>199628</v>
      </c>
      <c r="R3093" s="4">
        <v>598884</v>
      </c>
      <c r="S3093" t="s">
        <v>19406</v>
      </c>
      <c r="T3093" s="6">
        <v>42186</v>
      </c>
      <c r="U3093" s="4">
        <v>382000</v>
      </c>
      <c r="V3093" t="s">
        <v>23739</v>
      </c>
      <c r="W3093" t="s">
        <v>25262</v>
      </c>
      <c r="X3093" t="s">
        <v>3</v>
      </c>
      <c r="AA3093" s="5" t="str">
        <f>HYPERLINK("https://www.zillow.com/homes/612-AZALEA-CT-NAPERVILLE-IL-605409218_rb/","check listing")</f>
        <v>check listing</v>
      </c>
      <c r="AB3093" s="5" t="str">
        <f>HYPERLINK("https://propertylookup.dupagecounty.gov/Datalets/Datalet.aspx?UseSearch=no&amp;mode=sales&amp;pin=0722404034","sales record")</f>
        <v>sales record</v>
      </c>
      <c r="AC3093" t="s">
        <v>27873</v>
      </c>
      <c r="AD3093">
        <v>41.761426</v>
      </c>
      <c r="AE3093">
        <v>-88.19187700000001</v>
      </c>
      <c r="AF3093" s="5" t="str">
        <f>HYPERLINK("https://www.google.com/maps/search/?api=1&amp;query=41.761426,-88.191877","map")</f>
        <v>map</v>
      </c>
    </row>
    <row r="3094" spans="1:32">
      <c r="A3094" t="s">
        <v>3144</v>
      </c>
      <c r="B3094" t="s">
        <v>10677</v>
      </c>
      <c r="C3094" t="s">
        <v>15475</v>
      </c>
      <c r="D3094" t="s">
        <v>16206</v>
      </c>
      <c r="E3094" t="s">
        <v>16218</v>
      </c>
      <c r="F3094" t="s">
        <v>16220</v>
      </c>
      <c r="G3094" t="s">
        <v>16275</v>
      </c>
      <c r="H3094" t="s">
        <v>16276</v>
      </c>
      <c r="I3094" t="s">
        <v>16352</v>
      </c>
      <c r="J3094" t="s">
        <v>16386</v>
      </c>
      <c r="K3094">
        <v>0.215</v>
      </c>
      <c r="L3094">
        <v>9384</v>
      </c>
      <c r="M3094">
        <v>1955</v>
      </c>
      <c r="N3094" t="s">
        <v>16393</v>
      </c>
      <c r="O3094" s="4">
        <v>58706</v>
      </c>
      <c r="P3094" s="4">
        <v>102596</v>
      </c>
      <c r="Q3094" s="4">
        <v>161302</v>
      </c>
      <c r="R3094" s="4">
        <v>483906</v>
      </c>
      <c r="S3094" t="s">
        <v>19407</v>
      </c>
      <c r="T3094" s="6">
        <v>35704</v>
      </c>
      <c r="U3094" s="4">
        <v>186000</v>
      </c>
      <c r="X3094" t="s">
        <v>3</v>
      </c>
      <c r="AA3094" s="5" t="str">
        <f>HYPERLINK("https://www.zillow.com/homes/1103-WILLARD-CT-NAPERVILLE-IL-60540_rb/","check listing")</f>
        <v>check listing</v>
      </c>
      <c r="AB3094" s="5" t="str">
        <f>HYPERLINK("https://propertylookup.dupagecounty.gov/Datalets/Datalet.aspx?UseSearch=no&amp;mode=sales&amp;pin=0727203013","sales record")</f>
        <v>sales record</v>
      </c>
      <c r="AC3094" t="s">
        <v>3</v>
      </c>
      <c r="AD3094">
        <v>41.750859</v>
      </c>
      <c r="AE3094">
        <v>-88.187034</v>
      </c>
      <c r="AF3094" s="5" t="str">
        <f>HYPERLINK("https://www.google.com/maps/search/?api=1&amp;query=41.750859,-88.187034","map")</f>
        <v>map</v>
      </c>
    </row>
    <row r="3095" spans="1:32">
      <c r="A3095" t="s">
        <v>3145</v>
      </c>
      <c r="B3095" t="s">
        <v>10678</v>
      </c>
      <c r="C3095" t="s">
        <v>15547</v>
      </c>
      <c r="D3095" t="s">
        <v>16206</v>
      </c>
      <c r="E3095" t="s">
        <v>16218</v>
      </c>
      <c r="F3095" t="s">
        <v>16220</v>
      </c>
      <c r="G3095" t="s">
        <v>16275</v>
      </c>
      <c r="H3095" t="s">
        <v>16276</v>
      </c>
      <c r="I3095" t="s">
        <v>16352</v>
      </c>
      <c r="J3095" t="s">
        <v>16386</v>
      </c>
      <c r="K3095">
        <v>0.215</v>
      </c>
      <c r="L3095">
        <v>9382</v>
      </c>
      <c r="M3095">
        <v>2144</v>
      </c>
      <c r="N3095" t="s">
        <v>16393</v>
      </c>
      <c r="O3095" s="4">
        <v>46367</v>
      </c>
      <c r="P3095" s="4">
        <v>90110</v>
      </c>
      <c r="Q3095" s="4">
        <v>136477</v>
      </c>
      <c r="R3095" s="4">
        <v>409431</v>
      </c>
      <c r="S3095" t="s">
        <v>19408</v>
      </c>
      <c r="T3095" s="6">
        <v>42948</v>
      </c>
      <c r="U3095" s="4">
        <v>309500</v>
      </c>
      <c r="V3095" t="s">
        <v>23739</v>
      </c>
      <c r="W3095" t="s">
        <v>19408</v>
      </c>
      <c r="X3095" t="s">
        <v>3</v>
      </c>
      <c r="AA3095" s="5" t="str">
        <f>HYPERLINK("https://www.zillow.com/homes/2120-JESSICA-CT-NAPERVILLE-IL-605400981_rb/","check listing")</f>
        <v>check listing</v>
      </c>
      <c r="AB3095" s="5" t="str">
        <f>HYPERLINK("https://propertylookup.dupagecounty.gov/Datalets/Datalet.aspx?UseSearch=no&amp;mode=sales&amp;pin=0727201043","sales record")</f>
        <v>sales record</v>
      </c>
      <c r="AC3095" t="s">
        <v>3</v>
      </c>
      <c r="AD3095">
        <v>41.747925</v>
      </c>
      <c r="AE3095">
        <v>-88.190805</v>
      </c>
      <c r="AF3095" s="5" t="str">
        <f>HYPERLINK("https://www.google.com/maps/search/?api=1&amp;query=41.747925,-88.190805","map")</f>
        <v>map</v>
      </c>
    </row>
    <row r="3096" spans="1:32">
      <c r="A3096" t="s">
        <v>3146</v>
      </c>
      <c r="B3096" t="s">
        <v>10679</v>
      </c>
      <c r="C3096" t="s">
        <v>15475</v>
      </c>
      <c r="D3096" t="s">
        <v>16206</v>
      </c>
      <c r="E3096" t="s">
        <v>16218</v>
      </c>
      <c r="F3096" t="s">
        <v>16220</v>
      </c>
      <c r="G3096" t="s">
        <v>16275</v>
      </c>
      <c r="H3096" t="s">
        <v>16276</v>
      </c>
      <c r="I3096" t="s">
        <v>16352</v>
      </c>
      <c r="J3096" t="s">
        <v>16386</v>
      </c>
      <c r="K3096">
        <v>0.215</v>
      </c>
      <c r="L3096">
        <v>9378</v>
      </c>
      <c r="M3096">
        <v>2376</v>
      </c>
      <c r="N3096" t="s">
        <v>16393</v>
      </c>
      <c r="O3096" s="4">
        <v>52555</v>
      </c>
      <c r="P3096" s="4">
        <v>148025</v>
      </c>
      <c r="Q3096" s="4">
        <v>200580</v>
      </c>
      <c r="R3096" s="4">
        <v>601740</v>
      </c>
      <c r="S3096" t="s">
        <v>19409</v>
      </c>
      <c r="T3096" s="6">
        <v>42887</v>
      </c>
      <c r="U3096" s="4">
        <v>372900</v>
      </c>
      <c r="V3096" t="s">
        <v>23739</v>
      </c>
      <c r="W3096" t="s">
        <v>25263</v>
      </c>
      <c r="X3096" t="s">
        <v>3</v>
      </c>
      <c r="AA3096" s="5" t="str">
        <f>HYPERLINK("https://www.zillow.com/homes/1907-CROSSING-CT-NAPERVILLE-IL-60540_rb/","check listing")</f>
        <v>check listing</v>
      </c>
      <c r="AB3096" s="5" t="str">
        <f>HYPERLINK("https://propertylookup.dupagecounty.gov/Datalets/Datalet.aspx?UseSearch=no&amp;mode=sales&amp;pin=0727201008","sales record")</f>
        <v>sales record</v>
      </c>
      <c r="AC3096" t="s">
        <v>3</v>
      </c>
      <c r="AD3096">
        <v>41.748145</v>
      </c>
      <c r="AE3096">
        <v>-88.187001</v>
      </c>
      <c r="AF3096" s="5" t="str">
        <f>HYPERLINK("https://www.google.com/maps/search/?api=1&amp;query=41.748145,-88.187001","map")</f>
        <v>map</v>
      </c>
    </row>
    <row r="3097" spans="1:32">
      <c r="A3097" t="s">
        <v>3147</v>
      </c>
      <c r="B3097" t="s">
        <v>10680</v>
      </c>
      <c r="C3097" t="s">
        <v>15529</v>
      </c>
      <c r="D3097" t="s">
        <v>16206</v>
      </c>
      <c r="E3097" t="s">
        <v>16218</v>
      </c>
      <c r="F3097" t="s">
        <v>16220</v>
      </c>
      <c r="G3097" t="s">
        <v>16273</v>
      </c>
      <c r="H3097" t="s">
        <v>16254</v>
      </c>
      <c r="I3097" t="s">
        <v>16351</v>
      </c>
      <c r="J3097" t="s">
        <v>16386</v>
      </c>
      <c r="K3097">
        <v>0.215</v>
      </c>
      <c r="L3097">
        <v>9368</v>
      </c>
      <c r="M3097">
        <v>2144</v>
      </c>
      <c r="N3097" t="s">
        <v>16393</v>
      </c>
      <c r="O3097" s="4">
        <v>52909</v>
      </c>
      <c r="P3097" s="4">
        <v>143752</v>
      </c>
      <c r="Q3097" s="4">
        <v>196661</v>
      </c>
      <c r="R3097" s="4">
        <v>589983</v>
      </c>
      <c r="S3097" t="s">
        <v>19410</v>
      </c>
      <c r="T3097" s="6">
        <v>42339</v>
      </c>
      <c r="U3097" s="4">
        <v>314900</v>
      </c>
      <c r="V3097" t="s">
        <v>23739</v>
      </c>
      <c r="W3097" t="s">
        <v>25264</v>
      </c>
      <c r="X3097" t="s">
        <v>3</v>
      </c>
      <c r="AA3097" s="5" t="str">
        <f>HYPERLINK("https://www.zillow.com/homes/2070-BUNKER-CIR-NAPERVILLE-IL-605631892_rb/","check listing")</f>
        <v>check listing</v>
      </c>
      <c r="AB3097" s="5" t="str">
        <f>HYPERLINK("https://propertylookup.dupagecounty.gov/Datalets/Datalet.aspx?UseSearch=no&amp;mode=sales&amp;pin=0709200014","sales record")</f>
        <v>sales record</v>
      </c>
      <c r="AC3097" t="s">
        <v>3</v>
      </c>
      <c r="AD3097">
        <v>41.795467</v>
      </c>
      <c r="AE3097">
        <v>-88.213436</v>
      </c>
      <c r="AF3097" s="5" t="str">
        <f>HYPERLINK("https://www.google.com/maps/search/?api=1&amp;query=41.795467,-88.213436","map")</f>
        <v>map</v>
      </c>
    </row>
    <row r="3098" spans="1:32">
      <c r="A3098" t="s">
        <v>3148</v>
      </c>
      <c r="B3098" t="s">
        <v>10681</v>
      </c>
      <c r="C3098" t="s">
        <v>15475</v>
      </c>
      <c r="D3098" t="s">
        <v>16206</v>
      </c>
      <c r="E3098" t="s">
        <v>16218</v>
      </c>
      <c r="F3098" t="s">
        <v>16220</v>
      </c>
      <c r="G3098" t="s">
        <v>16276</v>
      </c>
      <c r="H3098" t="s">
        <v>16276</v>
      </c>
      <c r="I3098" t="s">
        <v>16352</v>
      </c>
      <c r="J3098" t="s">
        <v>16386</v>
      </c>
      <c r="K3098">
        <v>0.215</v>
      </c>
      <c r="L3098">
        <v>9366</v>
      </c>
      <c r="M3098">
        <v>2106</v>
      </c>
      <c r="N3098" t="s">
        <v>16393</v>
      </c>
      <c r="O3098" s="4">
        <v>49444</v>
      </c>
      <c r="P3098" s="4">
        <v>115656</v>
      </c>
      <c r="Q3098" s="4">
        <v>165100</v>
      </c>
      <c r="R3098" s="4">
        <v>495300</v>
      </c>
      <c r="S3098" t="s">
        <v>19411</v>
      </c>
      <c r="T3098" s="6">
        <v>37895</v>
      </c>
      <c r="U3098" s="4">
        <v>280000</v>
      </c>
      <c r="V3098" t="s">
        <v>23739</v>
      </c>
      <c r="W3098" t="s">
        <v>25265</v>
      </c>
      <c r="X3098" t="s">
        <v>3</v>
      </c>
      <c r="AA3098" s="5" t="str">
        <f>HYPERLINK("https://www.zillow.com/homes/2023-CHANG-CT-NAPERVILLE-IL-60540_rb/","check listing")</f>
        <v>check listing</v>
      </c>
      <c r="AB3098" s="5" t="str">
        <f>HYPERLINK("https://propertylookup.dupagecounty.gov/Datalets/Datalet.aspx?UseSearch=no&amp;mode=sales&amp;pin=0727203036","sales record")</f>
        <v>sales record</v>
      </c>
      <c r="AC3098" t="s">
        <v>3</v>
      </c>
      <c r="AD3098">
        <v>41.751877</v>
      </c>
      <c r="AE3098">
        <v>-88.18834099999999</v>
      </c>
      <c r="AF3098" s="5" t="str">
        <f>HYPERLINK("https://www.google.com/maps/search/?api=1&amp;query=41.751877,-88.188341","map")</f>
        <v>map</v>
      </c>
    </row>
    <row r="3099" spans="1:32">
      <c r="A3099" t="s">
        <v>3149</v>
      </c>
      <c r="B3099" t="s">
        <v>10682</v>
      </c>
      <c r="C3099" t="s">
        <v>15475</v>
      </c>
      <c r="D3099" t="s">
        <v>16206</v>
      </c>
      <c r="E3099" t="s">
        <v>16218</v>
      </c>
      <c r="F3099" t="s">
        <v>16220</v>
      </c>
      <c r="G3099" t="s">
        <v>16275</v>
      </c>
      <c r="H3099" t="s">
        <v>16276</v>
      </c>
      <c r="I3099" t="s">
        <v>16352</v>
      </c>
      <c r="J3099" t="s">
        <v>16386</v>
      </c>
      <c r="K3099">
        <v>0.215</v>
      </c>
      <c r="L3099">
        <v>9353</v>
      </c>
      <c r="M3099">
        <v>1979</v>
      </c>
      <c r="N3099" t="s">
        <v>16393</v>
      </c>
      <c r="O3099" s="4">
        <v>51103</v>
      </c>
      <c r="P3099" s="4">
        <v>112910</v>
      </c>
      <c r="Q3099" s="4">
        <v>164013</v>
      </c>
      <c r="R3099" s="4">
        <v>492039</v>
      </c>
      <c r="S3099" t="s">
        <v>19412</v>
      </c>
      <c r="T3099" s="6">
        <v>45735</v>
      </c>
      <c r="U3099" s="4">
        <v>480000</v>
      </c>
      <c r="V3099" t="s">
        <v>23739</v>
      </c>
      <c r="W3099" t="s">
        <v>25266</v>
      </c>
      <c r="X3099" t="s">
        <v>3</v>
      </c>
      <c r="AA3099" s="5" t="str">
        <f>HYPERLINK("https://www.zillow.com/homes/704-VIOLET-CIR-NAPERVILLE-IL-60540_rb/","check listing")</f>
        <v>check listing</v>
      </c>
      <c r="AB3099" s="5" t="str">
        <f>HYPERLINK("https://propertylookup.dupagecounty.gov/Datalets/Datalet.aspx?UseSearch=no&amp;mode=sales&amp;pin=0722409018","sales record")</f>
        <v>sales record</v>
      </c>
      <c r="AC3099" t="s">
        <v>3</v>
      </c>
      <c r="AD3099">
        <v>41.76165</v>
      </c>
      <c r="AE3099">
        <v>-88.189832</v>
      </c>
      <c r="AF3099" s="5" t="str">
        <f>HYPERLINK("https://www.google.com/maps/search/?api=1&amp;query=41.76165,-88.189832","map")</f>
        <v>map</v>
      </c>
    </row>
    <row r="3100" spans="1:32">
      <c r="A3100" t="s">
        <v>3150</v>
      </c>
      <c r="B3100" t="s">
        <v>10683</v>
      </c>
      <c r="C3100" t="s">
        <v>15475</v>
      </c>
      <c r="D3100" t="s">
        <v>16206</v>
      </c>
      <c r="E3100" t="s">
        <v>16218</v>
      </c>
      <c r="F3100" t="s">
        <v>16220</v>
      </c>
      <c r="G3100" t="s">
        <v>16275</v>
      </c>
      <c r="H3100" t="s">
        <v>16276</v>
      </c>
      <c r="I3100" t="s">
        <v>16352</v>
      </c>
      <c r="J3100" t="s">
        <v>16386</v>
      </c>
      <c r="K3100">
        <v>0.215</v>
      </c>
      <c r="L3100">
        <v>9351</v>
      </c>
      <c r="M3100">
        <v>2967</v>
      </c>
      <c r="N3100" t="s">
        <v>16393</v>
      </c>
      <c r="O3100" s="4">
        <v>54289</v>
      </c>
      <c r="P3100" s="4">
        <v>123797</v>
      </c>
      <c r="Q3100" s="4">
        <v>178086</v>
      </c>
      <c r="R3100" s="4">
        <v>534258</v>
      </c>
      <c r="S3100" t="s">
        <v>19413</v>
      </c>
      <c r="T3100" s="6">
        <v>34669</v>
      </c>
      <c r="U3100" s="4">
        <v>175638</v>
      </c>
      <c r="X3100" t="s">
        <v>3</v>
      </c>
      <c r="AA3100" s="5" t="str">
        <f>HYPERLINK("https://www.zillow.com/homes/608-CARAWAY-CT-NAPERVILLE-IL-60540_rb/","check listing")</f>
        <v>check listing</v>
      </c>
      <c r="AB3100" s="5" t="str">
        <f>HYPERLINK("https://propertylookup.dupagecounty.gov/Datalets/Datalet.aspx?UseSearch=no&amp;mode=sales&amp;pin=0722405013","sales record")</f>
        <v>sales record</v>
      </c>
      <c r="AC3100" t="s">
        <v>3</v>
      </c>
      <c r="AD3100">
        <v>41.760097</v>
      </c>
      <c r="AE3100">
        <v>-88.19343000000001</v>
      </c>
      <c r="AF3100" s="5" t="str">
        <f>HYPERLINK("https://www.google.com/maps/search/?api=1&amp;query=41.760097,-88.19343","map")</f>
        <v>map</v>
      </c>
    </row>
    <row r="3101" spans="1:32">
      <c r="A3101" t="s">
        <v>3151</v>
      </c>
      <c r="B3101" t="s">
        <v>10684</v>
      </c>
      <c r="C3101" t="s">
        <v>15475</v>
      </c>
      <c r="D3101" t="s">
        <v>16206</v>
      </c>
      <c r="E3101" t="s">
        <v>16218</v>
      </c>
      <c r="F3101" t="s">
        <v>16220</v>
      </c>
      <c r="G3101" t="s">
        <v>16275</v>
      </c>
      <c r="H3101" t="s">
        <v>16276</v>
      </c>
      <c r="I3101" t="s">
        <v>16352</v>
      </c>
      <c r="J3101" t="s">
        <v>16386</v>
      </c>
      <c r="K3101">
        <v>0.214</v>
      </c>
      <c r="L3101">
        <v>9338</v>
      </c>
      <c r="M3101">
        <v>2375</v>
      </c>
      <c r="N3101" t="s">
        <v>16393</v>
      </c>
      <c r="O3101" s="4">
        <v>57169</v>
      </c>
      <c r="P3101" s="4">
        <v>140775</v>
      </c>
      <c r="Q3101" s="4">
        <v>197944</v>
      </c>
      <c r="R3101" s="4">
        <v>593832</v>
      </c>
      <c r="S3101" t="s">
        <v>19414</v>
      </c>
      <c r="T3101" s="6">
        <v>38565</v>
      </c>
      <c r="U3101" s="4">
        <v>343750</v>
      </c>
      <c r="V3101" t="s">
        <v>16232</v>
      </c>
      <c r="W3101" t="s">
        <v>25267</v>
      </c>
      <c r="X3101" t="s">
        <v>3</v>
      </c>
      <c r="AA3101" s="5" t="str">
        <f>HYPERLINK("https://www.zillow.com/homes/1107-NATALIE-CT-NAPERVILLE-IL-60540_rb/","check listing")</f>
        <v>check listing</v>
      </c>
      <c r="AB3101" s="5" t="str">
        <f>HYPERLINK("https://propertylookup.dupagecounty.gov/Datalets/Datalet.aspx?UseSearch=no&amp;mode=sales&amp;pin=0727206041","sales record")</f>
        <v>sales record</v>
      </c>
      <c r="AC3101" t="s">
        <v>3</v>
      </c>
      <c r="AD3101">
        <v>41.749935</v>
      </c>
      <c r="AE3101">
        <v>-88.19332300000001</v>
      </c>
      <c r="AF3101" s="5" t="str">
        <f>HYPERLINK("https://www.google.com/maps/search/?api=1&amp;query=41.749935,-88.193323","map")</f>
        <v>map</v>
      </c>
    </row>
    <row r="3102" spans="1:32">
      <c r="A3102" t="s">
        <v>3152</v>
      </c>
      <c r="B3102" t="s">
        <v>10685</v>
      </c>
      <c r="C3102" t="s">
        <v>15529</v>
      </c>
      <c r="D3102" t="s">
        <v>16206</v>
      </c>
      <c r="E3102" t="s">
        <v>16218</v>
      </c>
      <c r="F3102" t="s">
        <v>16220</v>
      </c>
      <c r="G3102" t="s">
        <v>16273</v>
      </c>
      <c r="H3102" t="s">
        <v>16254</v>
      </c>
      <c r="I3102" t="s">
        <v>16351</v>
      </c>
      <c r="J3102" t="s">
        <v>16386</v>
      </c>
      <c r="K3102">
        <v>0.214</v>
      </c>
      <c r="L3102">
        <v>9333</v>
      </c>
      <c r="M3102">
        <v>1978</v>
      </c>
      <c r="N3102" t="s">
        <v>16393</v>
      </c>
      <c r="O3102" s="4">
        <v>40728</v>
      </c>
      <c r="P3102" s="4">
        <v>136113</v>
      </c>
      <c r="Q3102" s="4">
        <v>176841</v>
      </c>
      <c r="R3102" s="4">
        <v>530523</v>
      </c>
      <c r="S3102" t="s">
        <v>19415</v>
      </c>
      <c r="T3102" s="6">
        <v>43891</v>
      </c>
      <c r="U3102" s="4">
        <v>530000</v>
      </c>
      <c r="V3102" t="s">
        <v>23739</v>
      </c>
      <c r="W3102" t="s">
        <v>19415</v>
      </c>
      <c r="X3102" t="s">
        <v>3</v>
      </c>
      <c r="AA3102" s="5" t="str">
        <f>HYPERLINK("https://www.zillow.com/homes/2086-BUNKER-CIR-NAPERVILLE-IL-605631892_rb/","check listing")</f>
        <v>check listing</v>
      </c>
      <c r="AB3102" s="5" t="str">
        <f>HYPERLINK("https://propertylookup.dupagecounty.gov/Datalets/Datalet.aspx?UseSearch=no&amp;mode=sales&amp;pin=0709200010","sales record")</f>
        <v>sales record</v>
      </c>
      <c r="AC3102" t="s">
        <v>3</v>
      </c>
      <c r="AD3102">
        <v>41.79476</v>
      </c>
      <c r="AE3102">
        <v>-88.21394100000001</v>
      </c>
      <c r="AF3102" s="5" t="str">
        <f>HYPERLINK("https://www.google.com/maps/search/?api=1&amp;query=41.79476,-88.213941","map")</f>
        <v>map</v>
      </c>
    </row>
    <row r="3103" spans="1:32">
      <c r="A3103" t="s">
        <v>3153</v>
      </c>
      <c r="B3103" t="s">
        <v>10686</v>
      </c>
      <c r="C3103" t="s">
        <v>15499</v>
      </c>
      <c r="D3103" t="s">
        <v>16206</v>
      </c>
      <c r="E3103" t="s">
        <v>16218</v>
      </c>
      <c r="F3103" t="s">
        <v>16220</v>
      </c>
      <c r="G3103" t="s">
        <v>16274</v>
      </c>
      <c r="H3103" t="s">
        <v>16269</v>
      </c>
      <c r="I3103" t="s">
        <v>16352</v>
      </c>
      <c r="J3103" t="s">
        <v>16386</v>
      </c>
      <c r="K3103">
        <v>0.214</v>
      </c>
      <c r="L3103">
        <v>9330</v>
      </c>
      <c r="M3103">
        <v>2375</v>
      </c>
      <c r="N3103" t="s">
        <v>16393</v>
      </c>
      <c r="O3103" s="4">
        <v>62185</v>
      </c>
      <c r="P3103" s="4">
        <v>148561</v>
      </c>
      <c r="Q3103" s="4">
        <v>210746</v>
      </c>
      <c r="R3103" s="4">
        <v>632238</v>
      </c>
      <c r="S3103" t="s">
        <v>19416</v>
      </c>
      <c r="T3103" s="6">
        <v>45530</v>
      </c>
      <c r="U3103" s="4">
        <v>700000</v>
      </c>
      <c r="V3103" t="s">
        <v>23741</v>
      </c>
      <c r="W3103" t="s">
        <v>25268</v>
      </c>
      <c r="X3103" t="s">
        <v>3</v>
      </c>
      <c r="AA3103" s="5" t="str">
        <f>HYPERLINK("https://www.zillow.com/homes/949-ELM-ST-NAPERVILLE-IL-605400345_rb/","check listing")</f>
        <v>check listing</v>
      </c>
      <c r="AB3103" s="5" t="str">
        <f>HYPERLINK("https://propertylookup.dupagecounty.gov/Datalets/Datalet.aspx?UseSearch=no&amp;mode=sales&amp;pin=0726208015","sales record")</f>
        <v>sales record</v>
      </c>
      <c r="AC3103" t="s">
        <v>3</v>
      </c>
      <c r="AD3103">
        <v>41.751863</v>
      </c>
      <c r="AE3103">
        <v>-88.17297600000001</v>
      </c>
      <c r="AF3103" s="5" t="str">
        <f>HYPERLINK("https://www.google.com/maps/search/?api=1&amp;query=41.751863,-88.172976","map")</f>
        <v>map</v>
      </c>
    </row>
    <row r="3104" spans="1:32">
      <c r="A3104" t="s">
        <v>3154</v>
      </c>
      <c r="B3104" t="s">
        <v>10687</v>
      </c>
      <c r="C3104" t="s">
        <v>15514</v>
      </c>
      <c r="D3104" t="s">
        <v>16206</v>
      </c>
      <c r="E3104" t="s">
        <v>16218</v>
      </c>
      <c r="F3104" t="s">
        <v>16220</v>
      </c>
      <c r="G3104" t="s">
        <v>16275</v>
      </c>
      <c r="H3104" t="s">
        <v>16276</v>
      </c>
      <c r="I3104" t="s">
        <v>16352</v>
      </c>
      <c r="J3104" t="s">
        <v>16386</v>
      </c>
      <c r="K3104">
        <v>0.214</v>
      </c>
      <c r="L3104">
        <v>9321</v>
      </c>
      <c r="M3104">
        <v>2375</v>
      </c>
      <c r="N3104" t="s">
        <v>16393</v>
      </c>
      <c r="O3104" s="4">
        <v>54289</v>
      </c>
      <c r="P3104" s="4">
        <v>113337</v>
      </c>
      <c r="Q3104" s="4">
        <v>167626</v>
      </c>
      <c r="R3104" s="4">
        <v>502878</v>
      </c>
      <c r="S3104" t="s">
        <v>19417</v>
      </c>
      <c r="T3104" s="6">
        <v>43282</v>
      </c>
      <c r="U3104" s="4">
        <v>350000</v>
      </c>
      <c r="V3104" t="s">
        <v>23739</v>
      </c>
      <c r="W3104" t="s">
        <v>25269</v>
      </c>
      <c r="X3104" t="s">
        <v>3</v>
      </c>
      <c r="AA3104" s="5" t="str">
        <f>HYPERLINK("https://www.zillow.com/homes/711-MARIGOLD-CT-NAPERVILLE-IL-605409219_rb/","check listing")</f>
        <v>check listing</v>
      </c>
      <c r="AB3104" s="5" t="str">
        <f>HYPERLINK("https://propertylookup.dupagecounty.gov/Datalets/Datalet.aspx?UseSearch=no&amp;mode=sales&amp;pin=0722410006","sales record")</f>
        <v>sales record</v>
      </c>
      <c r="AC3104" t="s">
        <v>3</v>
      </c>
      <c r="AD3104">
        <v>41.7596</v>
      </c>
      <c r="AE3104">
        <v>-88.190434</v>
      </c>
      <c r="AF3104" s="5" t="str">
        <f>HYPERLINK("https://www.google.com/maps/search/?api=1&amp;query=41.7596,-88.190434","map")</f>
        <v>map</v>
      </c>
    </row>
    <row r="3105" spans="1:32">
      <c r="A3105" t="s">
        <v>3155</v>
      </c>
      <c r="B3105" t="s">
        <v>10688</v>
      </c>
      <c r="C3105" t="s">
        <v>15475</v>
      </c>
      <c r="D3105" t="s">
        <v>16206</v>
      </c>
      <c r="E3105" t="s">
        <v>16218</v>
      </c>
      <c r="F3105" t="s">
        <v>16220</v>
      </c>
      <c r="G3105" t="s">
        <v>16274</v>
      </c>
      <c r="H3105" t="s">
        <v>16269</v>
      </c>
      <c r="I3105" t="s">
        <v>16352</v>
      </c>
      <c r="J3105" t="s">
        <v>16386</v>
      </c>
      <c r="K3105">
        <v>0.214</v>
      </c>
      <c r="L3105">
        <v>9305</v>
      </c>
      <c r="M3105">
        <v>2473</v>
      </c>
      <c r="N3105" t="s">
        <v>16393</v>
      </c>
      <c r="O3105" s="4">
        <v>55106</v>
      </c>
      <c r="P3105" s="4">
        <v>142324</v>
      </c>
      <c r="Q3105" s="4">
        <v>197430</v>
      </c>
      <c r="R3105" s="4">
        <v>592290</v>
      </c>
      <c r="S3105" t="s">
        <v>19418</v>
      </c>
      <c r="T3105" s="6">
        <v>42125</v>
      </c>
      <c r="U3105" s="4">
        <v>375500</v>
      </c>
      <c r="V3105" t="s">
        <v>23739</v>
      </c>
      <c r="W3105" t="s">
        <v>25270</v>
      </c>
      <c r="X3105" t="s">
        <v>3</v>
      </c>
      <c r="AA3105" s="5" t="str">
        <f>HYPERLINK("https://www.zillow.com/homes/1226-ARDMORE-DR-NAPERVILLE-IL-60540_rb/","check listing")</f>
        <v>check listing</v>
      </c>
      <c r="AB3105" s="5" t="str">
        <f>HYPERLINK("https://propertylookup.dupagecounty.gov/Datalets/Datalet.aspx?UseSearch=no&amp;mode=sales&amp;pin=0726205009","sales record")</f>
        <v>sales record</v>
      </c>
      <c r="AC3105" t="s">
        <v>3</v>
      </c>
      <c r="AD3105">
        <v>41.753728</v>
      </c>
      <c r="AE3105">
        <v>-88.170006</v>
      </c>
      <c r="AF3105" s="5" t="str">
        <f>HYPERLINK("https://www.google.com/maps/search/?api=1&amp;query=41.753728,-88.170006","map")</f>
        <v>map</v>
      </c>
    </row>
    <row r="3106" spans="1:32">
      <c r="A3106" t="s">
        <v>3156</v>
      </c>
      <c r="B3106" t="s">
        <v>10689</v>
      </c>
      <c r="C3106" t="s">
        <v>15536</v>
      </c>
      <c r="D3106" t="s">
        <v>16206</v>
      </c>
      <c r="E3106" t="s">
        <v>16218</v>
      </c>
      <c r="F3106" t="s">
        <v>16220</v>
      </c>
      <c r="G3106" t="s">
        <v>16275</v>
      </c>
      <c r="H3106" t="s">
        <v>16276</v>
      </c>
      <c r="I3106" t="s">
        <v>16352</v>
      </c>
      <c r="J3106" t="s">
        <v>16386</v>
      </c>
      <c r="K3106">
        <v>0.214</v>
      </c>
      <c r="L3106">
        <v>9305</v>
      </c>
      <c r="M3106">
        <v>2310</v>
      </c>
      <c r="N3106" t="s">
        <v>16393</v>
      </c>
      <c r="O3106" s="4">
        <v>54289</v>
      </c>
      <c r="P3106" s="4">
        <v>134428</v>
      </c>
      <c r="Q3106" s="4">
        <v>188717</v>
      </c>
      <c r="R3106" s="4">
        <v>566151</v>
      </c>
      <c r="S3106" t="s">
        <v>19419</v>
      </c>
      <c r="T3106" s="6">
        <v>43709</v>
      </c>
      <c r="U3106" s="4">
        <v>368500</v>
      </c>
      <c r="V3106" t="s">
        <v>23739</v>
      </c>
      <c r="W3106" t="s">
        <v>25271</v>
      </c>
      <c r="X3106" t="s">
        <v>3</v>
      </c>
      <c r="AA3106" s="5" t="str">
        <f>HYPERLINK("https://www.zillow.com/homes/608-WILDFLOWER-CT-NAPERVILLE-IL-605409203_rb/","check listing")</f>
        <v>check listing</v>
      </c>
      <c r="AB3106" s="5" t="str">
        <f>HYPERLINK("https://propertylookup.dupagecounty.gov/Datalets/Datalet.aspx?UseSearch=no&amp;mode=sales&amp;pin=0722404003","sales record")</f>
        <v>sales record</v>
      </c>
      <c r="AC3106" t="s">
        <v>3</v>
      </c>
      <c r="AD3106">
        <v>41.759488</v>
      </c>
      <c r="AE3106">
        <v>-88.19531600000001</v>
      </c>
      <c r="AF3106" s="5" t="str">
        <f>HYPERLINK("https://www.google.com/maps/search/?api=1&amp;query=41.759488,-88.195316","map")</f>
        <v>map</v>
      </c>
    </row>
    <row r="3107" spans="1:32">
      <c r="A3107" t="s">
        <v>3157</v>
      </c>
      <c r="B3107" t="s">
        <v>10690</v>
      </c>
      <c r="C3107" t="s">
        <v>15478</v>
      </c>
      <c r="D3107" t="s">
        <v>16206</v>
      </c>
      <c r="E3107" t="s">
        <v>16218</v>
      </c>
      <c r="F3107" t="s">
        <v>16220</v>
      </c>
      <c r="G3107" t="s">
        <v>16274</v>
      </c>
      <c r="H3107" t="s">
        <v>16269</v>
      </c>
      <c r="I3107" t="s">
        <v>16352</v>
      </c>
      <c r="J3107" t="s">
        <v>16386</v>
      </c>
      <c r="K3107">
        <v>0.213</v>
      </c>
      <c r="L3107">
        <v>9290</v>
      </c>
      <c r="M3107">
        <v>2302</v>
      </c>
      <c r="N3107" t="s">
        <v>16393</v>
      </c>
      <c r="O3107" s="4">
        <v>84716</v>
      </c>
      <c r="P3107" s="4">
        <v>125444</v>
      </c>
      <c r="Q3107" s="4">
        <v>210160</v>
      </c>
      <c r="R3107" s="4">
        <v>630480</v>
      </c>
      <c r="S3107" t="s">
        <v>19420</v>
      </c>
      <c r="T3107" s="6">
        <v>32933</v>
      </c>
      <c r="U3107" s="4">
        <v>235000</v>
      </c>
      <c r="X3107" t="s">
        <v>3</v>
      </c>
      <c r="AA3107" s="5" t="str">
        <f>HYPERLINK("https://www.zillow.com/homes/1148-DICKENS-AVE-NAPERVILLE-IL-60563_rb/","check listing")</f>
        <v>check listing</v>
      </c>
      <c r="AB3107" s="5" t="str">
        <f>HYPERLINK("https://propertylookup.dupagecounty.gov/Datalets/Datalet.aspx?UseSearch=no&amp;mode=sales&amp;pin=0808314013","sales record")</f>
        <v>sales record</v>
      </c>
      <c r="AC3107" t="s">
        <v>3</v>
      </c>
      <c r="AD3107">
        <v>41.79038</v>
      </c>
      <c r="AE3107">
        <v>-88.126009</v>
      </c>
      <c r="AF3107" s="5" t="str">
        <f>HYPERLINK("https://www.google.com/maps/search/?api=1&amp;query=41.79038,-88.126009","map")</f>
        <v>map</v>
      </c>
    </row>
    <row r="3108" spans="1:32">
      <c r="A3108" t="s">
        <v>3158</v>
      </c>
      <c r="B3108" t="s">
        <v>10691</v>
      </c>
      <c r="C3108" t="s">
        <v>15486</v>
      </c>
      <c r="D3108" t="s">
        <v>16206</v>
      </c>
      <c r="E3108" t="s">
        <v>16218</v>
      </c>
      <c r="F3108" t="s">
        <v>16220</v>
      </c>
      <c r="G3108" t="s">
        <v>16275</v>
      </c>
      <c r="H3108" t="s">
        <v>16276</v>
      </c>
      <c r="I3108" t="s">
        <v>16352</v>
      </c>
      <c r="J3108" t="s">
        <v>16386</v>
      </c>
      <c r="K3108">
        <v>0.213</v>
      </c>
      <c r="L3108">
        <v>9258</v>
      </c>
      <c r="M3108">
        <v>2609</v>
      </c>
      <c r="N3108" t="s">
        <v>16393</v>
      </c>
      <c r="O3108" s="4">
        <v>51103</v>
      </c>
      <c r="P3108" s="4">
        <v>133769</v>
      </c>
      <c r="Q3108" s="4">
        <v>184872</v>
      </c>
      <c r="R3108" s="4">
        <v>554616</v>
      </c>
      <c r="S3108" t="s">
        <v>19421</v>
      </c>
      <c r="T3108" s="6">
        <v>44378</v>
      </c>
      <c r="U3108" s="4">
        <v>390000</v>
      </c>
      <c r="V3108" t="s">
        <v>23739</v>
      </c>
      <c r="W3108" t="s">
        <v>19421</v>
      </c>
      <c r="X3108" t="s">
        <v>3</v>
      </c>
      <c r="AA3108" s="5" t="str">
        <f>HYPERLINK("https://www.zillow.com/homes/619-CARAWAY-CT-NAPERVILLE-IL-605406287_rb/","check listing")</f>
        <v>check listing</v>
      </c>
      <c r="AB3108" s="5" t="str">
        <f>HYPERLINK("https://propertylookup.dupagecounty.gov/Datalets/Datalet.aspx?UseSearch=no&amp;mode=sales&amp;pin=0722405008","sales record")</f>
        <v>sales record</v>
      </c>
      <c r="AC3108" t="s">
        <v>3</v>
      </c>
      <c r="AD3108">
        <v>41.759447</v>
      </c>
      <c r="AE3108">
        <v>-88.193792</v>
      </c>
      <c r="AF3108" s="5" t="str">
        <f>HYPERLINK("https://www.google.com/maps/search/?api=1&amp;query=41.759447,-88.193792","map")</f>
        <v>map</v>
      </c>
    </row>
    <row r="3109" spans="1:32">
      <c r="A3109" t="s">
        <v>3159</v>
      </c>
      <c r="B3109" t="s">
        <v>10692</v>
      </c>
      <c r="C3109" t="s">
        <v>15475</v>
      </c>
      <c r="D3109" t="s">
        <v>16206</v>
      </c>
      <c r="E3109" t="s">
        <v>16218</v>
      </c>
      <c r="F3109" t="s">
        <v>16220</v>
      </c>
      <c r="G3109" t="s">
        <v>16275</v>
      </c>
      <c r="H3109" t="s">
        <v>16276</v>
      </c>
      <c r="I3109" t="s">
        <v>16352</v>
      </c>
      <c r="J3109" t="s">
        <v>16386</v>
      </c>
      <c r="K3109">
        <v>0.212</v>
      </c>
      <c r="L3109">
        <v>9240</v>
      </c>
      <c r="M3109">
        <v>1978</v>
      </c>
      <c r="N3109" t="s">
        <v>16393</v>
      </c>
      <c r="O3109" s="4">
        <v>55655</v>
      </c>
      <c r="P3109" s="4">
        <v>114411</v>
      </c>
      <c r="Q3109" s="4">
        <v>170066</v>
      </c>
      <c r="R3109" s="4">
        <v>510198</v>
      </c>
      <c r="S3109" t="s">
        <v>19422</v>
      </c>
      <c r="T3109" s="6">
        <v>35186</v>
      </c>
      <c r="U3109" s="4">
        <v>195000</v>
      </c>
      <c r="X3109" t="s">
        <v>3</v>
      </c>
      <c r="AA3109" s="5" t="str">
        <f>HYPERLINK("https://www.zillow.com/homes/1128-HANNAH-CT-NAPERVILLE-IL-60540_rb/","check listing")</f>
        <v>check listing</v>
      </c>
      <c r="AB3109" s="5" t="str">
        <f>HYPERLINK("https://propertylookup.dupagecounty.gov/Datalets/Datalet.aspx?UseSearch=no&amp;mode=sales&amp;pin=0727204015","sales record")</f>
        <v>sales record</v>
      </c>
      <c r="AC3109" t="s">
        <v>3</v>
      </c>
      <c r="AD3109">
        <v>41.749903</v>
      </c>
      <c r="AE3109">
        <v>-88.18781</v>
      </c>
      <c r="AF3109" s="5" t="str">
        <f>HYPERLINK("https://www.google.com/maps/search/?api=1&amp;query=41.749903,-88.18781","map")</f>
        <v>map</v>
      </c>
    </row>
    <row r="3110" spans="1:32">
      <c r="A3110" t="s">
        <v>3160</v>
      </c>
      <c r="B3110" t="s">
        <v>10693</v>
      </c>
      <c r="C3110" t="s">
        <v>15475</v>
      </c>
      <c r="D3110" t="s">
        <v>16206</v>
      </c>
      <c r="E3110" t="s">
        <v>16218</v>
      </c>
      <c r="F3110" t="s">
        <v>16220</v>
      </c>
      <c r="G3110" t="s">
        <v>16275</v>
      </c>
      <c r="H3110" t="s">
        <v>16276</v>
      </c>
      <c r="I3110" t="s">
        <v>16352</v>
      </c>
      <c r="J3110" t="s">
        <v>16386</v>
      </c>
      <c r="K3110">
        <v>0.212</v>
      </c>
      <c r="L3110">
        <v>9239</v>
      </c>
      <c r="M3110">
        <v>2093</v>
      </c>
      <c r="N3110" t="s">
        <v>16393</v>
      </c>
      <c r="O3110" s="4">
        <v>49444</v>
      </c>
      <c r="P3110" s="4">
        <v>139212</v>
      </c>
      <c r="Q3110" s="4">
        <v>188656</v>
      </c>
      <c r="R3110" s="4">
        <v>565968</v>
      </c>
      <c r="S3110" t="s">
        <v>19423</v>
      </c>
      <c r="T3110" s="6">
        <v>37073</v>
      </c>
      <c r="U3110" s="4">
        <v>286000</v>
      </c>
      <c r="V3110" t="s">
        <v>23739</v>
      </c>
      <c r="W3110" t="s">
        <v>25272</v>
      </c>
      <c r="X3110" t="s">
        <v>3</v>
      </c>
      <c r="AA3110" s="5" t="str">
        <f>HYPERLINK("https://www.zillow.com/homes/2016-THREE-FARMS-AVE-NAPERVILLE-IL-60540_rb/","check listing")</f>
        <v>check listing</v>
      </c>
      <c r="AB3110" s="5" t="str">
        <f>HYPERLINK("https://propertylookup.dupagecounty.gov/Datalets/Datalet.aspx?UseSearch=no&amp;mode=sales&amp;pin=0727201019","sales record")</f>
        <v>sales record</v>
      </c>
      <c r="AC3110" t="s">
        <v>3</v>
      </c>
      <c r="AD3110">
        <v>41.749068</v>
      </c>
      <c r="AE3110">
        <v>-88.188123</v>
      </c>
      <c r="AF3110" s="5" t="str">
        <f>HYPERLINK("https://www.google.com/maps/search/?api=1&amp;query=41.749068,-88.188123","map")</f>
        <v>map</v>
      </c>
    </row>
    <row r="3111" spans="1:32">
      <c r="A3111" t="s">
        <v>3161</v>
      </c>
      <c r="B3111" t="s">
        <v>10694</v>
      </c>
      <c r="C3111" t="s">
        <v>15475</v>
      </c>
      <c r="D3111" t="s">
        <v>16206</v>
      </c>
      <c r="E3111" t="s">
        <v>16218</v>
      </c>
      <c r="F3111" t="s">
        <v>16220</v>
      </c>
      <c r="G3111" t="s">
        <v>16275</v>
      </c>
      <c r="H3111" t="s">
        <v>16276</v>
      </c>
      <c r="I3111" t="s">
        <v>16352</v>
      </c>
      <c r="J3111" t="s">
        <v>16386</v>
      </c>
      <c r="K3111">
        <v>0.212</v>
      </c>
      <c r="L3111">
        <v>9238</v>
      </c>
      <c r="M3111">
        <v>2968</v>
      </c>
      <c r="N3111" t="s">
        <v>16393</v>
      </c>
      <c r="O3111" s="4">
        <v>54289</v>
      </c>
      <c r="P3111" s="4">
        <v>139908</v>
      </c>
      <c r="Q3111" s="4">
        <v>194197</v>
      </c>
      <c r="R3111" s="4">
        <v>582591</v>
      </c>
      <c r="S3111" t="s">
        <v>19424</v>
      </c>
      <c r="T3111" s="6">
        <v>38139</v>
      </c>
      <c r="U3111" s="4">
        <v>328000</v>
      </c>
      <c r="V3111" t="s">
        <v>23739</v>
      </c>
      <c r="W3111" t="s">
        <v>25273</v>
      </c>
      <c r="X3111" t="s">
        <v>3</v>
      </c>
      <c r="AA3111" s="5" t="str">
        <f>HYPERLINK("https://www.zillow.com/homes/604-CARAWAY-CT-NAPERVILLE-IL-60540_rb/","check listing")</f>
        <v>check listing</v>
      </c>
      <c r="AB3111" s="5" t="str">
        <f>HYPERLINK("https://propertylookup.dupagecounty.gov/Datalets/Datalet.aspx?UseSearch=no&amp;mode=sales&amp;pin=0722405012","sales record")</f>
        <v>sales record</v>
      </c>
      <c r="AC3111" t="s">
        <v>3</v>
      </c>
      <c r="AD3111">
        <v>41.760088</v>
      </c>
      <c r="AE3111">
        <v>-88.193719</v>
      </c>
      <c r="AF3111" s="5" t="str">
        <f>HYPERLINK("https://www.google.com/maps/search/?api=1&amp;query=41.760088,-88.193719","map")</f>
        <v>map</v>
      </c>
    </row>
    <row r="3112" spans="1:32">
      <c r="A3112" t="s">
        <v>3162</v>
      </c>
      <c r="B3112" t="s">
        <v>10695</v>
      </c>
      <c r="C3112" t="s">
        <v>15475</v>
      </c>
      <c r="D3112" t="s">
        <v>16206</v>
      </c>
      <c r="E3112" t="s">
        <v>16218</v>
      </c>
      <c r="F3112" t="s">
        <v>16220</v>
      </c>
      <c r="G3112" t="s">
        <v>16275</v>
      </c>
      <c r="H3112" t="s">
        <v>16276</v>
      </c>
      <c r="I3112" t="s">
        <v>16352</v>
      </c>
      <c r="J3112" t="s">
        <v>16386</v>
      </c>
      <c r="K3112">
        <v>0.212</v>
      </c>
      <c r="L3112">
        <v>9230</v>
      </c>
      <c r="M3112">
        <v>1979</v>
      </c>
      <c r="N3112" t="s">
        <v>16393</v>
      </c>
      <c r="O3112" s="4">
        <v>51103</v>
      </c>
      <c r="P3112" s="4">
        <v>110835</v>
      </c>
      <c r="Q3112" s="4">
        <v>161938</v>
      </c>
      <c r="R3112" s="4">
        <v>485814</v>
      </c>
      <c r="S3112" t="s">
        <v>19425</v>
      </c>
      <c r="T3112" s="6">
        <v>42675</v>
      </c>
      <c r="U3112" s="4">
        <v>315000</v>
      </c>
      <c r="V3112" t="s">
        <v>23739</v>
      </c>
      <c r="W3112" t="s">
        <v>19425</v>
      </c>
      <c r="X3112" t="s">
        <v>3</v>
      </c>
      <c r="AA3112" s="5" t="str">
        <f>HYPERLINK("https://www.zillow.com/homes/2224-PERIWINKLE-LN-NAPERVILLE-IL-60540_rb/","check listing")</f>
        <v>check listing</v>
      </c>
      <c r="AB3112" s="5" t="str">
        <f>HYPERLINK("https://propertylookup.dupagecounty.gov/Datalets/Datalet.aspx?UseSearch=no&amp;mode=sales&amp;pin=0722410001","sales record")</f>
        <v>sales record</v>
      </c>
      <c r="AC3112" t="s">
        <v>3</v>
      </c>
      <c r="AD3112">
        <v>41.759277</v>
      </c>
      <c r="AE3112">
        <v>-88.19143699999999</v>
      </c>
      <c r="AF3112" s="5" t="str">
        <f>HYPERLINK("https://www.google.com/maps/search/?api=1&amp;query=41.759277,-88.191437","map")</f>
        <v>map</v>
      </c>
    </row>
    <row r="3113" spans="1:32">
      <c r="A3113" t="s">
        <v>3163</v>
      </c>
      <c r="B3113" t="s">
        <v>10696</v>
      </c>
      <c r="C3113" t="s">
        <v>15478</v>
      </c>
      <c r="D3113" t="s">
        <v>16206</v>
      </c>
      <c r="E3113" t="s">
        <v>16218</v>
      </c>
      <c r="F3113" t="s">
        <v>16220</v>
      </c>
      <c r="G3113" t="s">
        <v>16273</v>
      </c>
      <c r="H3113" t="s">
        <v>16254</v>
      </c>
      <c r="I3113" t="s">
        <v>16351</v>
      </c>
      <c r="J3113" t="s">
        <v>16386</v>
      </c>
      <c r="K3113">
        <v>0.212</v>
      </c>
      <c r="L3113">
        <v>9226</v>
      </c>
      <c r="M3113">
        <v>2475</v>
      </c>
      <c r="N3113" t="s">
        <v>16393</v>
      </c>
      <c r="O3113" s="4">
        <v>50896</v>
      </c>
      <c r="P3113" s="4">
        <v>131181</v>
      </c>
      <c r="Q3113" s="4">
        <v>182077</v>
      </c>
      <c r="R3113" s="4">
        <v>546231</v>
      </c>
      <c r="S3113" t="s">
        <v>19426</v>
      </c>
      <c r="T3113" s="6">
        <v>31959</v>
      </c>
      <c r="U3113" s="4">
        <v>203000</v>
      </c>
      <c r="X3113" t="s">
        <v>3</v>
      </c>
      <c r="AA3113" s="5" t="str">
        <f>HYPERLINK("https://www.zillow.com/homes/2038-BUNKER-CIR-NAPERVILLE-IL-60563_rb/","check listing")</f>
        <v>check listing</v>
      </c>
      <c r="AB3113" s="5" t="str">
        <f>HYPERLINK("https://propertylookup.dupagecounty.gov/Datalets/Datalet.aspx?UseSearch=no&amp;mode=sales&amp;pin=0709200022","sales record")</f>
        <v>sales record</v>
      </c>
      <c r="AC3113" t="s">
        <v>3</v>
      </c>
      <c r="AD3113">
        <v>41.795776</v>
      </c>
      <c r="AE3113">
        <v>-88.211376</v>
      </c>
      <c r="AF3113" s="5" t="str">
        <f>HYPERLINK("https://www.google.com/maps/search/?api=1&amp;query=41.795776,-88.211376","map")</f>
        <v>map</v>
      </c>
    </row>
    <row r="3114" spans="1:32">
      <c r="A3114" t="s">
        <v>3164</v>
      </c>
      <c r="B3114" t="s">
        <v>10697</v>
      </c>
      <c r="C3114" t="s">
        <v>15508</v>
      </c>
      <c r="D3114" t="s">
        <v>16206</v>
      </c>
      <c r="E3114" t="s">
        <v>16218</v>
      </c>
      <c r="F3114" t="s">
        <v>16220</v>
      </c>
      <c r="G3114" t="s">
        <v>16273</v>
      </c>
      <c r="H3114" t="s">
        <v>16254</v>
      </c>
      <c r="I3114" t="s">
        <v>16351</v>
      </c>
      <c r="J3114" t="s">
        <v>16386</v>
      </c>
      <c r="K3114">
        <v>0.212</v>
      </c>
      <c r="L3114">
        <v>9220</v>
      </c>
      <c r="M3114">
        <v>2560</v>
      </c>
      <c r="N3114" t="s">
        <v>16393</v>
      </c>
      <c r="O3114" s="4">
        <v>50896</v>
      </c>
      <c r="P3114" s="4">
        <v>143338</v>
      </c>
      <c r="Q3114" s="4">
        <v>194234</v>
      </c>
      <c r="R3114" s="4">
        <v>582702</v>
      </c>
      <c r="S3114" t="s">
        <v>19427</v>
      </c>
      <c r="T3114" s="6">
        <v>44409</v>
      </c>
      <c r="U3114" s="4">
        <v>431000</v>
      </c>
      <c r="V3114" t="s">
        <v>23740</v>
      </c>
      <c r="W3114" t="s">
        <v>19427</v>
      </c>
      <c r="X3114" t="s">
        <v>3</v>
      </c>
      <c r="AA3114" s="5" t="str">
        <f>HYPERLINK("https://www.zillow.com/homes/2027-BUNKER-CIR-NAPERVILLE-IL-605631893_rb/","check listing")</f>
        <v>check listing</v>
      </c>
      <c r="AB3114" s="5" t="str">
        <f>HYPERLINK("https://propertylookup.dupagecounty.gov/Datalets/Datalet.aspx?UseSearch=no&amp;mode=sales&amp;pin=0709221010","sales record")</f>
        <v>sales record</v>
      </c>
      <c r="AC3114" t="s">
        <v>3</v>
      </c>
      <c r="AD3114">
        <v>41.795048</v>
      </c>
      <c r="AE3114">
        <v>-88.210869</v>
      </c>
      <c r="AF3114" s="5" t="str">
        <f>HYPERLINK("https://www.google.com/maps/search/?api=1&amp;query=41.795048,-88.210869","map")</f>
        <v>map</v>
      </c>
    </row>
    <row r="3115" spans="1:32">
      <c r="A3115" t="s">
        <v>3165</v>
      </c>
      <c r="B3115" t="s">
        <v>10698</v>
      </c>
      <c r="C3115" t="s">
        <v>15478</v>
      </c>
      <c r="D3115" t="s">
        <v>16206</v>
      </c>
      <c r="E3115" t="s">
        <v>16218</v>
      </c>
      <c r="F3115" t="s">
        <v>16220</v>
      </c>
      <c r="G3115" t="s">
        <v>16273</v>
      </c>
      <c r="H3115" t="s">
        <v>16254</v>
      </c>
      <c r="I3115" t="s">
        <v>16351</v>
      </c>
      <c r="J3115" t="s">
        <v>16386</v>
      </c>
      <c r="K3115">
        <v>0.212</v>
      </c>
      <c r="L3115">
        <v>9214</v>
      </c>
      <c r="M3115">
        <v>2375</v>
      </c>
      <c r="N3115" t="s">
        <v>16393</v>
      </c>
      <c r="O3115" s="4">
        <v>53606</v>
      </c>
      <c r="P3115" s="4">
        <v>146767</v>
      </c>
      <c r="Q3115" s="4">
        <v>200373</v>
      </c>
      <c r="R3115" s="4">
        <v>601119</v>
      </c>
      <c r="S3115" t="s">
        <v>19428</v>
      </c>
      <c r="T3115" s="6">
        <v>44834</v>
      </c>
      <c r="U3115" s="4">
        <v>530000</v>
      </c>
      <c r="V3115" t="s">
        <v>23739</v>
      </c>
      <c r="W3115" t="s">
        <v>25274</v>
      </c>
      <c r="X3115" t="s">
        <v>3</v>
      </c>
      <c r="AA3115" s="5" t="str">
        <f>HYPERLINK("https://www.zillow.com/homes/1012-PRAIRIE-VIEW-CT-NAPERVILLE-IL-60563_rb/","check listing")</f>
        <v>check listing</v>
      </c>
      <c r="AB3115" s="5" t="str">
        <f>HYPERLINK("https://propertylookup.dupagecounty.gov/Datalets/Datalet.aspx?UseSearch=no&amp;mode=sales&amp;pin=0709410029","sales record")</f>
        <v>sales record</v>
      </c>
      <c r="AC3115" t="s">
        <v>3</v>
      </c>
      <c r="AD3115">
        <v>41.786481</v>
      </c>
      <c r="AE3115">
        <v>-88.212992</v>
      </c>
      <c r="AF3115" s="5" t="str">
        <f>HYPERLINK("https://www.google.com/maps/search/?api=1&amp;query=41.786481,-88.212992","map")</f>
        <v>map</v>
      </c>
    </row>
    <row r="3116" spans="1:32">
      <c r="A3116" t="s">
        <v>3166</v>
      </c>
      <c r="B3116" t="s">
        <v>10699</v>
      </c>
      <c r="C3116" t="s">
        <v>15475</v>
      </c>
      <c r="D3116" t="s">
        <v>16206</v>
      </c>
      <c r="E3116" t="s">
        <v>16218</v>
      </c>
      <c r="F3116" t="s">
        <v>16220</v>
      </c>
      <c r="G3116" t="s">
        <v>16274</v>
      </c>
      <c r="H3116" t="s">
        <v>16269</v>
      </c>
      <c r="I3116" t="s">
        <v>16352</v>
      </c>
      <c r="J3116" t="s">
        <v>16386</v>
      </c>
      <c r="K3116">
        <v>0.211</v>
      </c>
      <c r="L3116">
        <v>9212</v>
      </c>
      <c r="M3116">
        <v>2375</v>
      </c>
      <c r="N3116" t="s">
        <v>16393</v>
      </c>
      <c r="O3116" s="4">
        <v>55106</v>
      </c>
      <c r="P3116" s="4">
        <v>139956</v>
      </c>
      <c r="Q3116" s="4">
        <v>195062</v>
      </c>
      <c r="R3116" s="4">
        <v>585186</v>
      </c>
      <c r="S3116" t="s">
        <v>19429</v>
      </c>
      <c r="T3116" s="6">
        <v>43525</v>
      </c>
      <c r="U3116" s="4">
        <v>385000</v>
      </c>
      <c r="V3116" t="s">
        <v>23739</v>
      </c>
      <c r="W3116" t="s">
        <v>19429</v>
      </c>
      <c r="X3116" t="s">
        <v>3</v>
      </c>
      <c r="AA3116" s="5" t="str">
        <f>HYPERLINK("https://www.zillow.com/homes/920-ELM-ST-NAPERVILLE-IL-60540_rb/","check listing")</f>
        <v>check listing</v>
      </c>
      <c r="AB3116" s="5" t="str">
        <f>HYPERLINK("https://propertylookup.dupagecounty.gov/Datalets/Datalet.aspx?UseSearch=no&amp;mode=sales&amp;pin=0726207015","sales record")</f>
        <v>sales record</v>
      </c>
      <c r="AC3116" t="s">
        <v>3</v>
      </c>
      <c r="AD3116">
        <v>41.753179</v>
      </c>
      <c r="AE3116">
        <v>-88.17327</v>
      </c>
      <c r="AF3116" s="5" t="str">
        <f>HYPERLINK("https://www.google.com/maps/search/?api=1&amp;query=41.753179,-88.17327","map")</f>
        <v>map</v>
      </c>
    </row>
    <row r="3117" spans="1:32">
      <c r="A3117" t="s">
        <v>3167</v>
      </c>
      <c r="B3117" t="s">
        <v>10700</v>
      </c>
      <c r="C3117" t="s">
        <v>15475</v>
      </c>
      <c r="D3117" t="s">
        <v>16206</v>
      </c>
      <c r="E3117" t="s">
        <v>16218</v>
      </c>
      <c r="F3117" t="s">
        <v>16220</v>
      </c>
      <c r="G3117" t="s">
        <v>16274</v>
      </c>
      <c r="H3117" t="s">
        <v>16269</v>
      </c>
      <c r="I3117" t="s">
        <v>16352</v>
      </c>
      <c r="J3117" t="s">
        <v>16386</v>
      </c>
      <c r="K3117">
        <v>0.211</v>
      </c>
      <c r="L3117">
        <v>9198</v>
      </c>
      <c r="M3117">
        <v>2142</v>
      </c>
      <c r="N3117" t="s">
        <v>16393</v>
      </c>
      <c r="O3117" s="4">
        <v>55106</v>
      </c>
      <c r="P3117" s="4">
        <v>131706</v>
      </c>
      <c r="Q3117" s="4">
        <v>186812</v>
      </c>
      <c r="R3117" s="4">
        <v>560436</v>
      </c>
      <c r="S3117" t="s">
        <v>19430</v>
      </c>
      <c r="T3117" s="6">
        <v>40909</v>
      </c>
      <c r="U3117" s="4">
        <v>302500</v>
      </c>
      <c r="V3117" t="s">
        <v>23739</v>
      </c>
      <c r="W3117" t="s">
        <v>25275</v>
      </c>
      <c r="X3117" t="s">
        <v>3</v>
      </c>
      <c r="AA3117" s="5" t="str">
        <f>HYPERLINK("https://www.zillow.com/homes/916-ELM-ST-NAPERVILLE-IL-60540_rb/","check listing")</f>
        <v>check listing</v>
      </c>
      <c r="AB3117" s="5" t="str">
        <f>HYPERLINK("https://propertylookup.dupagecounty.gov/Datalets/Datalet.aspx?UseSearch=no&amp;mode=sales&amp;pin=0726207016","sales record")</f>
        <v>sales record</v>
      </c>
      <c r="AC3117" t="s">
        <v>3</v>
      </c>
      <c r="AD3117">
        <v>41.753422</v>
      </c>
      <c r="AE3117">
        <v>-88.173332</v>
      </c>
      <c r="AF3117" s="5" t="str">
        <f>HYPERLINK("https://www.google.com/maps/search/?api=1&amp;query=41.753422,-88.173332","map")</f>
        <v>map</v>
      </c>
    </row>
    <row r="3118" spans="1:32">
      <c r="A3118" t="s">
        <v>3168</v>
      </c>
      <c r="B3118" t="s">
        <v>10701</v>
      </c>
      <c r="C3118" t="s">
        <v>15528</v>
      </c>
      <c r="D3118" t="s">
        <v>16206</v>
      </c>
      <c r="E3118" t="s">
        <v>16218</v>
      </c>
      <c r="F3118" t="s">
        <v>16220</v>
      </c>
      <c r="G3118" t="s">
        <v>16274</v>
      </c>
      <c r="H3118" t="s">
        <v>16269</v>
      </c>
      <c r="I3118" t="s">
        <v>16352</v>
      </c>
      <c r="J3118" t="s">
        <v>16386</v>
      </c>
      <c r="K3118">
        <v>0.211</v>
      </c>
      <c r="L3118">
        <v>9190</v>
      </c>
      <c r="M3118">
        <v>2541</v>
      </c>
      <c r="N3118" t="s">
        <v>16393</v>
      </c>
      <c r="O3118" s="4">
        <v>55106</v>
      </c>
      <c r="P3118" s="4">
        <v>133353</v>
      </c>
      <c r="Q3118" s="4">
        <v>188459</v>
      </c>
      <c r="R3118" s="4">
        <v>565377</v>
      </c>
      <c r="S3118" t="s">
        <v>19431</v>
      </c>
      <c r="T3118" s="6">
        <v>39234</v>
      </c>
      <c r="U3118" s="4">
        <v>393000</v>
      </c>
      <c r="V3118" t="s">
        <v>23739</v>
      </c>
      <c r="W3118" t="s">
        <v>25276</v>
      </c>
      <c r="X3118" t="s">
        <v>3</v>
      </c>
      <c r="AA3118" s="5" t="str">
        <f>HYPERLINK("https://www.zillow.com/homes/1253-ARDMORE-DR-NAPERVILLE-IL-605400303_rb/","check listing")</f>
        <v>check listing</v>
      </c>
      <c r="AB3118" s="5" t="str">
        <f>HYPERLINK("https://propertylookup.dupagecounty.gov/Datalets/Datalet.aspx?UseSearch=no&amp;mode=sales&amp;pin=0726204025","sales record")</f>
        <v>sales record</v>
      </c>
      <c r="AC3118" t="s">
        <v>3</v>
      </c>
      <c r="AD3118">
        <v>41.753815</v>
      </c>
      <c r="AE3118">
        <v>-88.171863</v>
      </c>
      <c r="AF3118" s="5" t="str">
        <f>HYPERLINK("https://www.google.com/maps/search/?api=1&amp;query=41.753815,-88.171863","map")</f>
        <v>map</v>
      </c>
    </row>
    <row r="3119" spans="1:32">
      <c r="A3119" t="s">
        <v>3169</v>
      </c>
      <c r="B3119" t="s">
        <v>10702</v>
      </c>
      <c r="C3119" t="s">
        <v>15478</v>
      </c>
      <c r="D3119" t="s">
        <v>16206</v>
      </c>
      <c r="E3119" t="s">
        <v>16218</v>
      </c>
      <c r="F3119" t="s">
        <v>16220</v>
      </c>
      <c r="G3119" t="s">
        <v>16273</v>
      </c>
      <c r="H3119" t="s">
        <v>16254</v>
      </c>
      <c r="I3119" t="s">
        <v>16351</v>
      </c>
      <c r="J3119" t="s">
        <v>16386</v>
      </c>
      <c r="K3119">
        <v>0.211</v>
      </c>
      <c r="L3119">
        <v>9190</v>
      </c>
      <c r="M3119">
        <v>2474</v>
      </c>
      <c r="N3119" t="s">
        <v>16393</v>
      </c>
      <c r="O3119" s="4">
        <v>51225</v>
      </c>
      <c r="P3119" s="4">
        <v>124932</v>
      </c>
      <c r="Q3119" s="4">
        <v>176157</v>
      </c>
      <c r="R3119" s="4">
        <v>528471</v>
      </c>
      <c r="S3119" t="s">
        <v>19432</v>
      </c>
      <c r="T3119" s="6">
        <v>38930</v>
      </c>
      <c r="U3119" s="4">
        <v>417000</v>
      </c>
      <c r="V3119" t="s">
        <v>23739</v>
      </c>
      <c r="W3119" t="s">
        <v>25277</v>
      </c>
      <c r="X3119" t="s">
        <v>3</v>
      </c>
      <c r="AA3119" s="5" t="str">
        <f>HYPERLINK("https://www.zillow.com/homes/955-CAMPBELL-RD-NAPERVILLE-IL-60563_rb/","check listing")</f>
        <v>check listing</v>
      </c>
      <c r="AB3119" s="5" t="str">
        <f>HYPERLINK("https://propertylookup.dupagecounty.gov/Datalets/Datalet.aspx?UseSearch=no&amp;mode=sales&amp;pin=0709410039","sales record")</f>
        <v>sales record</v>
      </c>
      <c r="AC3119" t="s">
        <v>3</v>
      </c>
      <c r="AD3119">
        <v>41.785853</v>
      </c>
      <c r="AE3119">
        <v>-88.21220099999999</v>
      </c>
      <c r="AF3119" s="5" t="str">
        <f>HYPERLINK("https://www.google.com/maps/search/?api=1&amp;query=41.785853,-88.212201","map")</f>
        <v>map</v>
      </c>
    </row>
    <row r="3120" spans="1:32">
      <c r="A3120" t="s">
        <v>3170</v>
      </c>
      <c r="B3120" t="s">
        <v>10703</v>
      </c>
      <c r="C3120" t="s">
        <v>15545</v>
      </c>
      <c r="D3120" t="s">
        <v>16206</v>
      </c>
      <c r="E3120" t="s">
        <v>16218</v>
      </c>
      <c r="F3120" t="s">
        <v>16220</v>
      </c>
      <c r="G3120" t="s">
        <v>16274</v>
      </c>
      <c r="H3120" t="s">
        <v>16269</v>
      </c>
      <c r="I3120" t="s">
        <v>16352</v>
      </c>
      <c r="J3120" t="s">
        <v>16386</v>
      </c>
      <c r="K3120">
        <v>0.211</v>
      </c>
      <c r="L3120">
        <v>9187</v>
      </c>
      <c r="M3120">
        <v>2308</v>
      </c>
      <c r="N3120" t="s">
        <v>16393</v>
      </c>
      <c r="O3120" s="4">
        <v>55105</v>
      </c>
      <c r="P3120" s="4">
        <v>135565</v>
      </c>
      <c r="Q3120" s="4">
        <v>190670</v>
      </c>
      <c r="R3120" s="4">
        <v>572010</v>
      </c>
      <c r="S3120" t="s">
        <v>19433</v>
      </c>
      <c r="T3120" s="6">
        <v>44440</v>
      </c>
      <c r="U3120" s="4">
        <v>435000</v>
      </c>
      <c r="V3120" t="s">
        <v>23740</v>
      </c>
      <c r="W3120" t="s">
        <v>25278</v>
      </c>
      <c r="X3120" t="s">
        <v>3</v>
      </c>
      <c r="AA3120" s="5" t="str">
        <f>HYPERLINK("https://www.zillow.com/homes/1250-OAKTON-LN-NAPERVILLE-IL-605400312_rb/","check listing")</f>
        <v>check listing</v>
      </c>
      <c r="AB3120" s="5" t="str">
        <f>HYPERLINK("https://propertylookup.dupagecounty.gov/Datalets/Datalet.aspx?UseSearch=no&amp;mode=sales&amp;pin=0726204002","sales record")</f>
        <v>sales record</v>
      </c>
      <c r="AC3120" t="s">
        <v>3</v>
      </c>
      <c r="AD3120">
        <v>41.754252</v>
      </c>
      <c r="AE3120">
        <v>-88.17187300000001</v>
      </c>
      <c r="AF3120" s="5" t="str">
        <f>HYPERLINK("https://www.google.com/maps/search/?api=1&amp;query=41.754252,-88.171873","map")</f>
        <v>map</v>
      </c>
    </row>
    <row r="3121" spans="1:32">
      <c r="A3121" t="s">
        <v>3171</v>
      </c>
      <c r="B3121" t="s">
        <v>10704</v>
      </c>
      <c r="C3121" t="s">
        <v>15528</v>
      </c>
      <c r="D3121" t="s">
        <v>16206</v>
      </c>
      <c r="E3121" t="s">
        <v>16218</v>
      </c>
      <c r="F3121" t="s">
        <v>16220</v>
      </c>
      <c r="G3121" t="s">
        <v>16274</v>
      </c>
      <c r="H3121" t="s">
        <v>16269</v>
      </c>
      <c r="I3121" t="s">
        <v>16352</v>
      </c>
      <c r="J3121" t="s">
        <v>16386</v>
      </c>
      <c r="K3121">
        <v>0.211</v>
      </c>
      <c r="L3121">
        <v>9186</v>
      </c>
      <c r="M3121">
        <v>2474</v>
      </c>
      <c r="N3121" t="s">
        <v>16393</v>
      </c>
      <c r="O3121" s="4">
        <v>55106</v>
      </c>
      <c r="P3121" s="4">
        <v>127874</v>
      </c>
      <c r="Q3121" s="4">
        <v>182980</v>
      </c>
      <c r="R3121" s="4">
        <v>548940</v>
      </c>
      <c r="S3121" t="s">
        <v>19434</v>
      </c>
      <c r="T3121" s="6">
        <v>44752</v>
      </c>
      <c r="U3121" s="4">
        <v>475000</v>
      </c>
      <c r="V3121" t="s">
        <v>23741</v>
      </c>
      <c r="W3121" t="s">
        <v>25279</v>
      </c>
      <c r="X3121" t="s">
        <v>3</v>
      </c>
      <c r="AA3121" s="5" t="str">
        <f>HYPERLINK("https://www.zillow.com/homes/1249-ARDMORE-DR-NAPERVILLE-IL-605400303_rb/","check listing")</f>
        <v>check listing</v>
      </c>
      <c r="AB3121" s="5" t="str">
        <f>HYPERLINK("https://propertylookup.dupagecounty.gov/Datalets/Datalet.aspx?UseSearch=no&amp;mode=sales&amp;pin=0726204024","sales record")</f>
        <v>sales record</v>
      </c>
      <c r="AC3121" t="s">
        <v>3</v>
      </c>
      <c r="AD3121">
        <v>41.75387</v>
      </c>
      <c r="AE3121">
        <v>-88.171589</v>
      </c>
      <c r="AF3121" s="5" t="str">
        <f>HYPERLINK("https://www.google.com/maps/search/?api=1&amp;query=41.75387,-88.171589","map")</f>
        <v>map</v>
      </c>
    </row>
    <row r="3122" spans="1:32">
      <c r="A3122" t="s">
        <v>3172</v>
      </c>
      <c r="B3122" t="s">
        <v>10705</v>
      </c>
      <c r="C3122" t="s">
        <v>15510</v>
      </c>
      <c r="D3122" t="s">
        <v>16206</v>
      </c>
      <c r="E3122" t="s">
        <v>16218</v>
      </c>
      <c r="F3122" t="s">
        <v>16220</v>
      </c>
      <c r="G3122" t="s">
        <v>16273</v>
      </c>
      <c r="H3122" t="s">
        <v>16254</v>
      </c>
      <c r="I3122" t="s">
        <v>16351</v>
      </c>
      <c r="J3122" t="s">
        <v>16386</v>
      </c>
      <c r="K3122">
        <v>0.21</v>
      </c>
      <c r="L3122">
        <v>9166</v>
      </c>
      <c r="M3122">
        <v>2177</v>
      </c>
      <c r="N3122" t="s">
        <v>16393</v>
      </c>
      <c r="O3122" s="4">
        <v>47990</v>
      </c>
      <c r="P3122" s="4">
        <v>136991</v>
      </c>
      <c r="Q3122" s="4">
        <v>184981</v>
      </c>
      <c r="R3122" s="4">
        <v>554943</v>
      </c>
      <c r="S3122" t="s">
        <v>19435</v>
      </c>
      <c r="T3122" s="6">
        <v>44378</v>
      </c>
      <c r="U3122" s="4">
        <v>414500</v>
      </c>
      <c r="V3122" t="s">
        <v>23739</v>
      </c>
      <c r="W3122" t="s">
        <v>25280</v>
      </c>
      <c r="X3122" t="s">
        <v>3</v>
      </c>
      <c r="AA3122" s="5" t="str">
        <f>HYPERLINK("https://www.zillow.com/homes/2027-MAPLEWOOD-CIR-NAPERVILLE-IL-605631982_rb/","check listing")</f>
        <v>check listing</v>
      </c>
      <c r="AB3122" s="5" t="str">
        <f>HYPERLINK("https://propertylookup.dupagecounty.gov/Datalets/Datalet.aspx?UseSearch=no&amp;mode=sales&amp;pin=0709413009","sales record")</f>
        <v>sales record</v>
      </c>
      <c r="AC3122" t="s">
        <v>3</v>
      </c>
      <c r="AD3122">
        <v>41.786221</v>
      </c>
      <c r="AE3122">
        <v>-88.209594</v>
      </c>
      <c r="AF3122" s="5" t="str">
        <f>HYPERLINK("https://www.google.com/maps/search/?api=1&amp;query=41.786221,-88.209594","map")</f>
        <v>map</v>
      </c>
    </row>
    <row r="3123" spans="1:32">
      <c r="A3123" t="s">
        <v>3173</v>
      </c>
      <c r="B3123" t="s">
        <v>10706</v>
      </c>
      <c r="C3123" t="s">
        <v>15475</v>
      </c>
      <c r="D3123" t="s">
        <v>16206</v>
      </c>
      <c r="E3123" t="s">
        <v>16218</v>
      </c>
      <c r="F3123" t="s">
        <v>16220</v>
      </c>
      <c r="G3123" t="s">
        <v>16274</v>
      </c>
      <c r="H3123" t="s">
        <v>16269</v>
      </c>
      <c r="I3123" t="s">
        <v>16352</v>
      </c>
      <c r="J3123" t="s">
        <v>16386</v>
      </c>
      <c r="K3123">
        <v>0.21</v>
      </c>
      <c r="L3123">
        <v>9164</v>
      </c>
      <c r="M3123">
        <v>2176</v>
      </c>
      <c r="N3123" t="s">
        <v>16393</v>
      </c>
      <c r="O3123" s="4">
        <v>62185</v>
      </c>
      <c r="P3123" s="4">
        <v>133366</v>
      </c>
      <c r="Q3123" s="4">
        <v>195551</v>
      </c>
      <c r="R3123" s="4">
        <v>586653</v>
      </c>
      <c r="S3123" t="s">
        <v>19436</v>
      </c>
      <c r="T3123" s="6">
        <v>35096</v>
      </c>
      <c r="U3123" s="4">
        <v>219000</v>
      </c>
      <c r="X3123" t="s">
        <v>3</v>
      </c>
      <c r="AA3123" s="5" t="str">
        <f>HYPERLINK("https://www.zillow.com/homes/925-ELM-ST-NAPERVILLE-IL-60540_rb/","check listing")</f>
        <v>check listing</v>
      </c>
      <c r="AB3123" s="5" t="str">
        <f>HYPERLINK("https://propertylookup.dupagecounty.gov/Datalets/Datalet.aspx?UseSearch=no&amp;mode=sales&amp;pin=0726208021","sales record")</f>
        <v>sales record</v>
      </c>
      <c r="AC3123" t="s">
        <v>3</v>
      </c>
      <c r="AD3123">
        <v>41.752952</v>
      </c>
      <c r="AE3123">
        <v>-88.173883</v>
      </c>
      <c r="AF3123" s="5" t="str">
        <f>HYPERLINK("https://www.google.com/maps/search/?api=1&amp;query=41.752952,-88.173883","map")</f>
        <v>map</v>
      </c>
    </row>
    <row r="3124" spans="1:32">
      <c r="A3124" t="s">
        <v>3174</v>
      </c>
      <c r="B3124" t="s">
        <v>10707</v>
      </c>
      <c r="C3124" t="s">
        <v>15475</v>
      </c>
      <c r="D3124" t="s">
        <v>16206</v>
      </c>
      <c r="E3124" t="s">
        <v>16218</v>
      </c>
      <c r="F3124" t="s">
        <v>16220</v>
      </c>
      <c r="G3124" t="s">
        <v>16274</v>
      </c>
      <c r="H3124" t="s">
        <v>16269</v>
      </c>
      <c r="I3124" t="s">
        <v>16352</v>
      </c>
      <c r="J3124" t="s">
        <v>16386</v>
      </c>
      <c r="K3124">
        <v>0.21</v>
      </c>
      <c r="L3124">
        <v>9151</v>
      </c>
      <c r="M3124">
        <v>2771</v>
      </c>
      <c r="N3124" t="s">
        <v>16393</v>
      </c>
      <c r="O3124" s="4">
        <v>55106</v>
      </c>
      <c r="P3124" s="4">
        <v>141458</v>
      </c>
      <c r="Q3124" s="4">
        <v>196564</v>
      </c>
      <c r="R3124" s="4">
        <v>589692</v>
      </c>
      <c r="S3124" t="s">
        <v>19437</v>
      </c>
      <c r="T3124" s="6">
        <v>38899</v>
      </c>
      <c r="U3124" s="4">
        <v>386500</v>
      </c>
      <c r="V3124" t="s">
        <v>23739</v>
      </c>
      <c r="W3124" t="s">
        <v>25281</v>
      </c>
      <c r="X3124" t="s">
        <v>3</v>
      </c>
      <c r="AA3124" s="5" t="str">
        <f>HYPERLINK("https://www.zillow.com/homes/1231-OAKTON-LN-NAPERVILLE-IL-60540_rb/","check listing")</f>
        <v>check listing</v>
      </c>
      <c r="AB3124" s="5" t="str">
        <f>HYPERLINK("https://propertylookup.dupagecounty.gov/Datalets/Datalet.aspx?UseSearch=no&amp;mode=sales&amp;pin=0723410075","sales record")</f>
        <v>sales record</v>
      </c>
      <c r="AC3124" t="s">
        <v>3</v>
      </c>
      <c r="AD3124">
        <v>41.754954</v>
      </c>
      <c r="AE3124">
        <v>-88.170946</v>
      </c>
      <c r="AF3124" s="5" t="str">
        <f>HYPERLINK("https://www.google.com/maps/search/?api=1&amp;query=41.754954,-88.170946","map")</f>
        <v>map</v>
      </c>
    </row>
    <row r="3125" spans="1:32">
      <c r="A3125" t="s">
        <v>3175</v>
      </c>
      <c r="B3125" t="s">
        <v>10708</v>
      </c>
      <c r="C3125" t="s">
        <v>15475</v>
      </c>
      <c r="D3125" t="s">
        <v>16206</v>
      </c>
      <c r="E3125" t="s">
        <v>16218</v>
      </c>
      <c r="F3125" t="s">
        <v>16220</v>
      </c>
      <c r="G3125" t="s">
        <v>16274</v>
      </c>
      <c r="H3125" t="s">
        <v>16269</v>
      </c>
      <c r="I3125" t="s">
        <v>16352</v>
      </c>
      <c r="J3125" t="s">
        <v>16386</v>
      </c>
      <c r="K3125">
        <v>0.21</v>
      </c>
      <c r="L3125">
        <v>9151</v>
      </c>
      <c r="M3125">
        <v>2359</v>
      </c>
      <c r="N3125" t="s">
        <v>16393</v>
      </c>
      <c r="O3125" s="4">
        <v>55106</v>
      </c>
      <c r="P3125" s="4">
        <v>142153</v>
      </c>
      <c r="Q3125" s="4">
        <v>197259</v>
      </c>
      <c r="R3125" s="4">
        <v>591777</v>
      </c>
      <c r="S3125" t="s">
        <v>19438</v>
      </c>
      <c r="T3125" s="6">
        <v>38838</v>
      </c>
      <c r="U3125" s="4">
        <v>400000</v>
      </c>
      <c r="V3125" t="s">
        <v>23739</v>
      </c>
      <c r="W3125" t="s">
        <v>19438</v>
      </c>
      <c r="X3125" t="s">
        <v>3</v>
      </c>
      <c r="AA3125" s="5" t="str">
        <f>HYPERLINK("https://www.zillow.com/homes/1211-OAKTON-LN-NAPERVILLE-IL-60540_rb/","check listing")</f>
        <v>check listing</v>
      </c>
      <c r="AB3125" s="5" t="str">
        <f>HYPERLINK("https://propertylookup.dupagecounty.gov/Datalets/Datalet.aspx?UseSearch=no&amp;mode=sales&amp;pin=0723410080","sales record")</f>
        <v>sales record</v>
      </c>
      <c r="AC3125" t="s">
        <v>3</v>
      </c>
      <c r="AD3125">
        <v>41.755373</v>
      </c>
      <c r="AE3125">
        <v>-88.16968900000001</v>
      </c>
      <c r="AF3125" s="5" t="str">
        <f>HYPERLINK("https://www.google.com/maps/search/?api=1&amp;query=41.755373,-88.169689","map")</f>
        <v>map</v>
      </c>
    </row>
    <row r="3126" spans="1:32">
      <c r="A3126" t="s">
        <v>3176</v>
      </c>
      <c r="B3126" t="s">
        <v>10709</v>
      </c>
      <c r="C3126" t="s">
        <v>15548</v>
      </c>
      <c r="D3126" t="s">
        <v>16206</v>
      </c>
      <c r="E3126" t="s">
        <v>16218</v>
      </c>
      <c r="F3126" t="s">
        <v>16220</v>
      </c>
      <c r="G3126" t="s">
        <v>16274</v>
      </c>
      <c r="H3126" t="s">
        <v>16269</v>
      </c>
      <c r="I3126" t="s">
        <v>16352</v>
      </c>
      <c r="J3126" t="s">
        <v>16386</v>
      </c>
      <c r="K3126">
        <v>0.21</v>
      </c>
      <c r="L3126">
        <v>9151</v>
      </c>
      <c r="M3126">
        <v>2471</v>
      </c>
      <c r="N3126" t="s">
        <v>16393</v>
      </c>
      <c r="O3126" s="4">
        <v>55106</v>
      </c>
      <c r="P3126" s="4">
        <v>123248</v>
      </c>
      <c r="Q3126" s="4">
        <v>178354</v>
      </c>
      <c r="R3126" s="4">
        <v>535062</v>
      </c>
      <c r="S3126" t="s">
        <v>19439</v>
      </c>
      <c r="T3126" s="6">
        <v>33664</v>
      </c>
      <c r="U3126" s="4">
        <v>181500</v>
      </c>
      <c r="X3126" t="s">
        <v>3</v>
      </c>
      <c r="AA3126" s="5" t="str">
        <f>HYPERLINK("https://www.zillow.com/homes/1223-OAKTON-LN-NAPERVILLE-IL-605400310_rb/","check listing")</f>
        <v>check listing</v>
      </c>
      <c r="AB3126" s="5" t="str">
        <f>HYPERLINK("https://propertylookup.dupagecounty.gov/Datalets/Datalet.aspx?UseSearch=no&amp;mode=sales&amp;pin=0723410077","sales record")</f>
        <v>sales record</v>
      </c>
      <c r="AC3126" t="s">
        <v>3</v>
      </c>
      <c r="AD3126">
        <v>41.755092</v>
      </c>
      <c r="AE3126">
        <v>-88.170423</v>
      </c>
      <c r="AF3126" s="5" t="str">
        <f>HYPERLINK("https://www.google.com/maps/search/?api=1&amp;query=41.755092,-88.170423","map")</f>
        <v>map</v>
      </c>
    </row>
    <row r="3127" spans="1:32">
      <c r="A3127" t="s">
        <v>3177</v>
      </c>
      <c r="B3127" t="s">
        <v>10710</v>
      </c>
      <c r="C3127" t="s">
        <v>15475</v>
      </c>
      <c r="D3127" t="s">
        <v>16206</v>
      </c>
      <c r="E3127" t="s">
        <v>16218</v>
      </c>
      <c r="F3127" t="s">
        <v>16220</v>
      </c>
      <c r="G3127" t="s">
        <v>16274</v>
      </c>
      <c r="H3127" t="s">
        <v>16269</v>
      </c>
      <c r="I3127" t="s">
        <v>16352</v>
      </c>
      <c r="J3127" t="s">
        <v>16386</v>
      </c>
      <c r="K3127">
        <v>0.21</v>
      </c>
      <c r="L3127">
        <v>9151</v>
      </c>
      <c r="M3127">
        <v>3025</v>
      </c>
      <c r="N3127" t="s">
        <v>16393</v>
      </c>
      <c r="O3127" s="4">
        <v>55106</v>
      </c>
      <c r="P3127" s="4">
        <v>141189</v>
      </c>
      <c r="Q3127" s="4">
        <v>196295</v>
      </c>
      <c r="R3127" s="4">
        <v>588885</v>
      </c>
      <c r="S3127" t="s">
        <v>19440</v>
      </c>
      <c r="T3127" s="6">
        <v>42430</v>
      </c>
      <c r="U3127" s="4">
        <v>363500</v>
      </c>
      <c r="V3127" t="s">
        <v>23739</v>
      </c>
      <c r="W3127" t="s">
        <v>19440</v>
      </c>
      <c r="X3127" t="s">
        <v>3</v>
      </c>
      <c r="AA3127" s="5" t="str">
        <f>HYPERLINK("https://www.zillow.com/homes/1227-OAKTON-LN-NAPERVILLE-IL-60540_rb/","check listing")</f>
        <v>check listing</v>
      </c>
      <c r="AB3127" s="5" t="str">
        <f>HYPERLINK("https://propertylookup.dupagecounty.gov/Datalets/Datalet.aspx?UseSearch=no&amp;mode=sales&amp;pin=0723410076","sales record")</f>
        <v>sales record</v>
      </c>
      <c r="AC3127" t="s">
        <v>3</v>
      </c>
      <c r="AD3127">
        <v>41.755003</v>
      </c>
      <c r="AE3127">
        <v>-88.170671</v>
      </c>
      <c r="AF3127" s="5" t="str">
        <f>HYPERLINK("https://www.google.com/maps/search/?api=1&amp;query=41.755003,-88.170671","map")</f>
        <v>map</v>
      </c>
    </row>
    <row r="3128" spans="1:32">
      <c r="A3128" t="s">
        <v>3178</v>
      </c>
      <c r="B3128" t="s">
        <v>10711</v>
      </c>
      <c r="C3128" t="s">
        <v>15478</v>
      </c>
      <c r="D3128" t="s">
        <v>16206</v>
      </c>
      <c r="E3128" t="s">
        <v>16218</v>
      </c>
      <c r="F3128" t="s">
        <v>16220</v>
      </c>
      <c r="G3128" t="s">
        <v>16273</v>
      </c>
      <c r="H3128" t="s">
        <v>16254</v>
      </c>
      <c r="I3128" t="s">
        <v>16351</v>
      </c>
      <c r="J3128" t="s">
        <v>16386</v>
      </c>
      <c r="K3128">
        <v>0.21</v>
      </c>
      <c r="L3128">
        <v>9150</v>
      </c>
      <c r="M3128">
        <v>2967</v>
      </c>
      <c r="N3128" t="s">
        <v>16393</v>
      </c>
      <c r="O3128" s="4">
        <v>57963</v>
      </c>
      <c r="P3128" s="4">
        <v>146352</v>
      </c>
      <c r="Q3128" s="4">
        <v>204315</v>
      </c>
      <c r="R3128" s="4">
        <v>612945</v>
      </c>
      <c r="S3128" t="s">
        <v>19441</v>
      </c>
      <c r="T3128" s="6">
        <v>41791</v>
      </c>
      <c r="U3128" s="4">
        <v>350500</v>
      </c>
      <c r="V3128" t="s">
        <v>23739</v>
      </c>
      <c r="W3128" t="s">
        <v>25282</v>
      </c>
      <c r="X3128" t="s">
        <v>3</v>
      </c>
      <c r="AA3128" s="5" t="str">
        <f>HYPERLINK("https://www.zillow.com/homes/1121-BURKE-CT-NAPERVILLE-IL-60563_rb/","check listing")</f>
        <v>check listing</v>
      </c>
      <c r="AB3128" s="5" t="str">
        <f>HYPERLINK("https://propertylookup.dupagecounty.gov/Datalets/Datalet.aspx?UseSearch=no&amp;mode=sales&amp;pin=0709304012","sales record")</f>
        <v>sales record</v>
      </c>
      <c r="AC3128" t="s">
        <v>3</v>
      </c>
      <c r="AD3128">
        <v>41.788426</v>
      </c>
      <c r="AE3128">
        <v>-88.216346</v>
      </c>
      <c r="AF3128" s="5" t="str">
        <f>HYPERLINK("https://www.google.com/maps/search/?api=1&amp;query=41.788426,-88.216346","map")</f>
        <v>map</v>
      </c>
    </row>
    <row r="3129" spans="1:32">
      <c r="A3129" t="s">
        <v>3179</v>
      </c>
      <c r="B3129" t="s">
        <v>10712</v>
      </c>
      <c r="C3129" t="s">
        <v>15548</v>
      </c>
      <c r="D3129" t="s">
        <v>16206</v>
      </c>
      <c r="E3129" t="s">
        <v>16218</v>
      </c>
      <c r="F3129" t="s">
        <v>16220</v>
      </c>
      <c r="G3129" t="s">
        <v>16274</v>
      </c>
      <c r="H3129" t="s">
        <v>16269</v>
      </c>
      <c r="I3129" t="s">
        <v>16352</v>
      </c>
      <c r="J3129" t="s">
        <v>16386</v>
      </c>
      <c r="K3129">
        <v>0.21</v>
      </c>
      <c r="L3129">
        <v>9150</v>
      </c>
      <c r="M3129">
        <v>2636</v>
      </c>
      <c r="N3129" t="s">
        <v>16393</v>
      </c>
      <c r="O3129" s="4">
        <v>55106</v>
      </c>
      <c r="P3129" s="4">
        <v>122808</v>
      </c>
      <c r="Q3129" s="4">
        <v>177914</v>
      </c>
      <c r="R3129" s="4">
        <v>533742</v>
      </c>
      <c r="S3129" t="s">
        <v>19442</v>
      </c>
      <c r="T3129" s="6">
        <v>32387</v>
      </c>
      <c r="U3129" s="4">
        <v>176000</v>
      </c>
      <c r="X3129" t="s">
        <v>3</v>
      </c>
      <c r="AA3129" s="5" t="str">
        <f>HYPERLINK("https://www.zillow.com/homes/1207-OAKTON-LN-NAPERVILLE-IL-605400310_rb/","check listing")</f>
        <v>check listing</v>
      </c>
      <c r="AB3129" s="5" t="str">
        <f>HYPERLINK("https://propertylookup.dupagecounty.gov/Datalets/Datalet.aspx?UseSearch=no&amp;mode=sales&amp;pin=0723410081","sales record")</f>
        <v>sales record</v>
      </c>
      <c r="AC3129" t="s">
        <v>3</v>
      </c>
      <c r="AD3129">
        <v>41.755467</v>
      </c>
      <c r="AE3129">
        <v>-88.169444</v>
      </c>
      <c r="AF3129" s="5" t="str">
        <f>HYPERLINK("https://www.google.com/maps/search/?api=1&amp;query=41.755467,-88.169444","map")</f>
        <v>map</v>
      </c>
    </row>
    <row r="3130" spans="1:32">
      <c r="A3130" t="s">
        <v>3180</v>
      </c>
      <c r="B3130" t="s">
        <v>10713</v>
      </c>
      <c r="C3130" t="s">
        <v>15475</v>
      </c>
      <c r="D3130" t="s">
        <v>16206</v>
      </c>
      <c r="E3130" t="s">
        <v>16218</v>
      </c>
      <c r="F3130" t="s">
        <v>16220</v>
      </c>
      <c r="G3130" t="s">
        <v>16274</v>
      </c>
      <c r="H3130" t="s">
        <v>16269</v>
      </c>
      <c r="I3130" t="s">
        <v>16352</v>
      </c>
      <c r="J3130" t="s">
        <v>16386</v>
      </c>
      <c r="K3130">
        <v>0.21</v>
      </c>
      <c r="L3130">
        <v>9150</v>
      </c>
      <c r="M3130">
        <v>2473</v>
      </c>
      <c r="N3130" t="s">
        <v>16393</v>
      </c>
      <c r="O3130" s="4">
        <v>55106</v>
      </c>
      <c r="P3130" s="4">
        <v>123248</v>
      </c>
      <c r="Q3130" s="4">
        <v>178354</v>
      </c>
      <c r="R3130" s="4">
        <v>535062</v>
      </c>
      <c r="S3130" t="s">
        <v>19443</v>
      </c>
      <c r="T3130" s="6">
        <v>45576</v>
      </c>
      <c r="U3130" s="4">
        <v>527000</v>
      </c>
      <c r="V3130" t="s">
        <v>23739</v>
      </c>
      <c r="W3130" t="s">
        <v>25283</v>
      </c>
      <c r="X3130" t="s">
        <v>3</v>
      </c>
      <c r="AA3130" s="5" t="str">
        <f>HYPERLINK("https://www.zillow.com/homes/1215-OAKTON-LN-NAPERVILLE-IL-60540_rb/","check listing")</f>
        <v>check listing</v>
      </c>
      <c r="AB3130" s="5" t="str">
        <f>HYPERLINK("https://propertylookup.dupagecounty.gov/Datalets/Datalet.aspx?UseSearch=no&amp;mode=sales&amp;pin=0723410079","sales record")</f>
        <v>sales record</v>
      </c>
      <c r="AC3130" t="s">
        <v>3</v>
      </c>
      <c r="AD3130">
        <v>41.75528</v>
      </c>
      <c r="AE3130">
        <v>-88.169933</v>
      </c>
      <c r="AF3130" s="5" t="str">
        <f>HYPERLINK("https://www.google.com/maps/search/?api=1&amp;query=41.75528,-88.169933","map")</f>
        <v>map</v>
      </c>
    </row>
    <row r="3131" spans="1:32">
      <c r="A3131" t="s">
        <v>3181</v>
      </c>
      <c r="B3131" t="s">
        <v>10714</v>
      </c>
      <c r="C3131" t="s">
        <v>15548</v>
      </c>
      <c r="D3131" t="s">
        <v>16206</v>
      </c>
      <c r="E3131" t="s">
        <v>16218</v>
      </c>
      <c r="F3131" t="s">
        <v>16220</v>
      </c>
      <c r="G3131" t="s">
        <v>16274</v>
      </c>
      <c r="H3131" t="s">
        <v>16269</v>
      </c>
      <c r="I3131" t="s">
        <v>16352</v>
      </c>
      <c r="J3131" t="s">
        <v>16386</v>
      </c>
      <c r="K3131">
        <v>0.21</v>
      </c>
      <c r="L3131">
        <v>9149</v>
      </c>
      <c r="M3131">
        <v>2572</v>
      </c>
      <c r="N3131" t="s">
        <v>16393</v>
      </c>
      <c r="O3131" s="4">
        <v>55106</v>
      </c>
      <c r="P3131" s="4">
        <v>144423</v>
      </c>
      <c r="Q3131" s="4">
        <v>199529</v>
      </c>
      <c r="R3131" s="4">
        <v>598587</v>
      </c>
      <c r="S3131" t="s">
        <v>19444</v>
      </c>
      <c r="T3131" s="6">
        <v>44136</v>
      </c>
      <c r="U3131" s="4">
        <v>335000</v>
      </c>
      <c r="V3131" t="s">
        <v>23738</v>
      </c>
      <c r="W3131" t="s">
        <v>19444</v>
      </c>
      <c r="X3131" t="s">
        <v>3</v>
      </c>
      <c r="AA3131" s="5" t="str">
        <f>HYPERLINK("https://www.zillow.com/homes/1219-OAKTON-LN-NAPERVILLE-IL-605400310_rb/","check listing")</f>
        <v>check listing</v>
      </c>
      <c r="AB3131" s="5" t="str">
        <f>HYPERLINK("https://propertylookup.dupagecounty.gov/Datalets/Datalet.aspx?UseSearch=no&amp;mode=sales&amp;pin=0723410078","sales record")</f>
        <v>sales record</v>
      </c>
      <c r="AC3131" t="s">
        <v>3</v>
      </c>
      <c r="AD3131">
        <v>41.755186</v>
      </c>
      <c r="AE3131">
        <v>-88.17017800000001</v>
      </c>
      <c r="AF3131" s="5" t="str">
        <f>HYPERLINK("https://www.google.com/maps/search/?api=1&amp;query=41.755186,-88.170178","map")</f>
        <v>map</v>
      </c>
    </row>
    <row r="3132" spans="1:32">
      <c r="A3132" t="s">
        <v>3182</v>
      </c>
      <c r="B3132" t="s">
        <v>10715</v>
      </c>
      <c r="C3132" t="s">
        <v>15514</v>
      </c>
      <c r="D3132" t="s">
        <v>16206</v>
      </c>
      <c r="E3132" t="s">
        <v>16218</v>
      </c>
      <c r="F3132" t="s">
        <v>16220</v>
      </c>
      <c r="G3132" t="s">
        <v>16275</v>
      </c>
      <c r="H3132" t="s">
        <v>16276</v>
      </c>
      <c r="I3132" t="s">
        <v>16352</v>
      </c>
      <c r="J3132" t="s">
        <v>16386</v>
      </c>
      <c r="K3132">
        <v>0.21</v>
      </c>
      <c r="L3132">
        <v>9148</v>
      </c>
      <c r="M3132">
        <v>1452</v>
      </c>
      <c r="N3132" t="s">
        <v>16393</v>
      </c>
      <c r="O3132" s="4">
        <v>54289</v>
      </c>
      <c r="P3132" s="4">
        <v>99411</v>
      </c>
      <c r="Q3132" s="4">
        <v>153700</v>
      </c>
      <c r="R3132" s="4">
        <v>461100</v>
      </c>
      <c r="S3132" t="s">
        <v>19445</v>
      </c>
      <c r="T3132" s="6">
        <v>43770</v>
      </c>
      <c r="U3132" s="4">
        <v>325000</v>
      </c>
      <c r="V3132" t="s">
        <v>23739</v>
      </c>
      <c r="W3132" t="s">
        <v>25284</v>
      </c>
      <c r="X3132" t="s">
        <v>3</v>
      </c>
      <c r="AA3132" s="5" t="str">
        <f>HYPERLINK("https://www.zillow.com/homes/716-MARIGOLD-CT-NAPERVILLE-IL-605409219_rb/","check listing")</f>
        <v>check listing</v>
      </c>
      <c r="AB3132" s="5" t="str">
        <f>HYPERLINK("https://propertylookup.dupagecounty.gov/Datalets/Datalet.aspx?UseSearch=no&amp;mode=sales&amp;pin=0722410007","sales record")</f>
        <v>sales record</v>
      </c>
      <c r="AC3132" t="s">
        <v>3</v>
      </c>
      <c r="AD3132">
        <v>41.759674</v>
      </c>
      <c r="AE3132">
        <v>-88.190202</v>
      </c>
      <c r="AF3132" s="5" t="str">
        <f>HYPERLINK("https://www.google.com/maps/search/?api=1&amp;query=41.759674,-88.190202","map")</f>
        <v>map</v>
      </c>
    </row>
    <row r="3133" spans="1:32">
      <c r="A3133" t="s">
        <v>3183</v>
      </c>
      <c r="B3133" t="s">
        <v>10716</v>
      </c>
      <c r="C3133" t="s">
        <v>15475</v>
      </c>
      <c r="D3133" t="s">
        <v>16206</v>
      </c>
      <c r="E3133" t="s">
        <v>16218</v>
      </c>
      <c r="F3133" t="s">
        <v>16220</v>
      </c>
      <c r="G3133" t="s">
        <v>16274</v>
      </c>
      <c r="H3133" t="s">
        <v>16269</v>
      </c>
      <c r="I3133" t="s">
        <v>16352</v>
      </c>
      <c r="J3133" t="s">
        <v>16386</v>
      </c>
      <c r="K3133">
        <v>0.21</v>
      </c>
      <c r="L3133">
        <v>9148</v>
      </c>
      <c r="M3133">
        <v>2309</v>
      </c>
      <c r="N3133" t="s">
        <v>16393</v>
      </c>
      <c r="O3133" s="4">
        <v>55106</v>
      </c>
      <c r="P3133" s="4">
        <v>141434</v>
      </c>
      <c r="Q3133" s="4">
        <v>196540</v>
      </c>
      <c r="R3133" s="4">
        <v>589620</v>
      </c>
      <c r="S3133" t="s">
        <v>19446</v>
      </c>
      <c r="T3133" s="6">
        <v>43556</v>
      </c>
      <c r="U3133" s="4">
        <v>410000</v>
      </c>
      <c r="V3133" t="s">
        <v>23739</v>
      </c>
      <c r="W3133" t="s">
        <v>19446</v>
      </c>
      <c r="X3133" t="s">
        <v>3</v>
      </c>
      <c r="AA3133" s="5" t="str">
        <f>HYPERLINK("https://www.zillow.com/homes/1191-OAKTON-LN-NAPERVILLE-IL-60540_rb/","check listing")</f>
        <v>check listing</v>
      </c>
      <c r="AB3133" s="5" t="str">
        <f>HYPERLINK("https://propertylookup.dupagecounty.gov/Datalets/Datalet.aspx?UseSearch=no&amp;mode=sales&amp;pin=0723410083","sales record")</f>
        <v>sales record</v>
      </c>
      <c r="AC3133" t="s">
        <v>3</v>
      </c>
      <c r="AD3133">
        <v>41.755654</v>
      </c>
      <c r="AE3133">
        <v>-88.168954</v>
      </c>
      <c r="AF3133" s="5" t="str">
        <f>HYPERLINK("https://www.google.com/maps/search/?api=1&amp;query=41.755654,-88.168954","map")</f>
        <v>map</v>
      </c>
    </row>
    <row r="3134" spans="1:32">
      <c r="A3134" t="s">
        <v>3184</v>
      </c>
      <c r="B3134" t="s">
        <v>10717</v>
      </c>
      <c r="C3134" t="s">
        <v>15475</v>
      </c>
      <c r="D3134" t="s">
        <v>16206</v>
      </c>
      <c r="E3134" t="s">
        <v>16218</v>
      </c>
      <c r="F3134" t="s">
        <v>16220</v>
      </c>
      <c r="G3134" t="s">
        <v>16274</v>
      </c>
      <c r="H3134" t="s">
        <v>16269</v>
      </c>
      <c r="I3134" t="s">
        <v>16352</v>
      </c>
      <c r="J3134" t="s">
        <v>16386</v>
      </c>
      <c r="K3134">
        <v>0.21</v>
      </c>
      <c r="L3134">
        <v>9148</v>
      </c>
      <c r="M3134">
        <v>2474</v>
      </c>
      <c r="N3134" t="s">
        <v>16393</v>
      </c>
      <c r="O3134" s="4">
        <v>55106</v>
      </c>
      <c r="P3134" s="4">
        <v>123248</v>
      </c>
      <c r="Q3134" s="4">
        <v>178354</v>
      </c>
      <c r="R3134" s="4">
        <v>535062</v>
      </c>
      <c r="S3134" t="s">
        <v>19447</v>
      </c>
      <c r="T3134" s="6">
        <v>31990</v>
      </c>
      <c r="U3134" s="4">
        <v>149900</v>
      </c>
      <c r="X3134" t="s">
        <v>3</v>
      </c>
      <c r="AA3134" s="5" t="str">
        <f>HYPERLINK("https://www.zillow.com/homes/1187-OAKTON-LN-NAPERVILLE-IL-60540_rb/","check listing")</f>
        <v>check listing</v>
      </c>
      <c r="AB3134" s="5" t="str">
        <f>HYPERLINK("https://propertylookup.dupagecounty.gov/Datalets/Datalet.aspx?UseSearch=no&amp;mode=sales&amp;pin=0723410084","sales record")</f>
        <v>sales record</v>
      </c>
      <c r="AC3134" t="s">
        <v>3</v>
      </c>
      <c r="AD3134">
        <v>41.755748</v>
      </c>
      <c r="AE3134">
        <v>-88.16870900000001</v>
      </c>
      <c r="AF3134" s="5" t="str">
        <f>HYPERLINK("https://www.google.com/maps/search/?api=1&amp;query=41.755748,-88.168709","map")</f>
        <v>map</v>
      </c>
    </row>
    <row r="3135" spans="1:32">
      <c r="A3135" t="s">
        <v>3185</v>
      </c>
      <c r="B3135" t="s">
        <v>10718</v>
      </c>
      <c r="C3135" t="s">
        <v>15475</v>
      </c>
      <c r="D3135" t="s">
        <v>16206</v>
      </c>
      <c r="E3135" t="s">
        <v>16218</v>
      </c>
      <c r="F3135" t="s">
        <v>16220</v>
      </c>
      <c r="G3135" t="s">
        <v>16274</v>
      </c>
      <c r="H3135" t="s">
        <v>16269</v>
      </c>
      <c r="I3135" t="s">
        <v>16352</v>
      </c>
      <c r="J3135" t="s">
        <v>16386</v>
      </c>
      <c r="K3135">
        <v>0.21</v>
      </c>
      <c r="L3135">
        <v>9148</v>
      </c>
      <c r="M3135">
        <v>2145</v>
      </c>
      <c r="N3135" t="s">
        <v>16393</v>
      </c>
      <c r="O3135" s="4">
        <v>55106</v>
      </c>
      <c r="P3135" s="4">
        <v>141201</v>
      </c>
      <c r="Q3135" s="4">
        <v>196307</v>
      </c>
      <c r="R3135" s="4">
        <v>588921</v>
      </c>
      <c r="S3135" t="s">
        <v>19448</v>
      </c>
      <c r="T3135" s="6">
        <v>32112</v>
      </c>
      <c r="U3135" s="4">
        <v>174925</v>
      </c>
      <c r="X3135" t="s">
        <v>3</v>
      </c>
      <c r="AA3135" s="5" t="str">
        <f>HYPERLINK("https://www.zillow.com/homes/1203-OAKTON-LN-NAPERVILLE-IL-60540_rb/","check listing")</f>
        <v>check listing</v>
      </c>
      <c r="AB3135" s="5" t="str">
        <f>HYPERLINK("https://propertylookup.dupagecounty.gov/Datalets/Datalet.aspx?UseSearch=no&amp;mode=sales&amp;pin=0723410082","sales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ans="1:32">
      <c r="A3136" t="s">
        <v>3186</v>
      </c>
      <c r="B3136" t="s">
        <v>10719</v>
      </c>
      <c r="C3136" t="s">
        <v>15475</v>
      </c>
      <c r="D3136" t="s">
        <v>16206</v>
      </c>
      <c r="E3136" t="s">
        <v>16218</v>
      </c>
      <c r="F3136" t="s">
        <v>16220</v>
      </c>
      <c r="G3136" t="s">
        <v>16274</v>
      </c>
      <c r="H3136" t="s">
        <v>16269</v>
      </c>
      <c r="I3136" t="s">
        <v>16352</v>
      </c>
      <c r="J3136" t="s">
        <v>16386</v>
      </c>
      <c r="K3136">
        <v>0.21</v>
      </c>
      <c r="L3136">
        <v>9147</v>
      </c>
      <c r="M3136">
        <v>2469</v>
      </c>
      <c r="N3136" t="s">
        <v>16393</v>
      </c>
      <c r="O3136" s="4">
        <v>55106</v>
      </c>
      <c r="P3136" s="4">
        <v>123040</v>
      </c>
      <c r="Q3136" s="4">
        <v>178146</v>
      </c>
      <c r="R3136" s="4">
        <v>534438</v>
      </c>
      <c r="S3136" t="s">
        <v>19449</v>
      </c>
      <c r="T3136" s="6">
        <v>32021</v>
      </c>
      <c r="U3136" s="4">
        <v>149900</v>
      </c>
      <c r="X3136" t="s">
        <v>3</v>
      </c>
      <c r="AA3136" s="5" t="str">
        <f>HYPERLINK("https://www.zillow.com/homes/1179-OAKTON-LN-NAPERVILLE-IL-60540_rb/","check listing")</f>
        <v>check listing</v>
      </c>
      <c r="AB3136" s="5" t="str">
        <f>HYPERLINK("https://propertylookup.dupagecounty.gov/Datalets/Datalet.aspx?UseSearch=no&amp;mode=sales&amp;pin=0723410086","sales record")</f>
        <v>sales record</v>
      </c>
      <c r="AC3136" t="s">
        <v>3</v>
      </c>
      <c r="AD3136">
        <v>41.755935</v>
      </c>
      <c r="AE3136">
        <v>-88.16822000000001</v>
      </c>
      <c r="AF3136" s="5" t="str">
        <f>HYPERLINK("https://www.google.com/maps/search/?api=1&amp;query=41.755935,-88.16822","map")</f>
        <v>map</v>
      </c>
    </row>
    <row r="3137" spans="1:32">
      <c r="A3137" t="s">
        <v>3187</v>
      </c>
      <c r="B3137" t="s">
        <v>10720</v>
      </c>
      <c r="C3137" t="s">
        <v>15549</v>
      </c>
      <c r="D3137" t="s">
        <v>16206</v>
      </c>
      <c r="E3137" t="s">
        <v>16218</v>
      </c>
      <c r="F3137" t="s">
        <v>16220</v>
      </c>
      <c r="G3137" t="s">
        <v>16274</v>
      </c>
      <c r="H3137" t="s">
        <v>16269</v>
      </c>
      <c r="I3137" t="s">
        <v>16352</v>
      </c>
      <c r="J3137" t="s">
        <v>16386</v>
      </c>
      <c r="K3137">
        <v>0.21</v>
      </c>
      <c r="L3137">
        <v>9146</v>
      </c>
      <c r="M3137">
        <v>2771</v>
      </c>
      <c r="N3137" t="s">
        <v>16393</v>
      </c>
      <c r="O3137" s="4">
        <v>55106</v>
      </c>
      <c r="P3137" s="4">
        <v>142569</v>
      </c>
      <c r="Q3137" s="4">
        <v>197675</v>
      </c>
      <c r="R3137" s="4">
        <v>593025</v>
      </c>
      <c r="S3137" t="s">
        <v>19450</v>
      </c>
      <c r="T3137" s="6">
        <v>42217</v>
      </c>
      <c r="U3137" s="4">
        <v>415000</v>
      </c>
      <c r="V3137" t="s">
        <v>23739</v>
      </c>
      <c r="W3137" t="s">
        <v>25285</v>
      </c>
      <c r="X3137" t="s">
        <v>3</v>
      </c>
      <c r="AA3137" s="5" t="str">
        <f>HYPERLINK("https://www.zillow.com/homes/1183-OAKTON-LN-NAPERVILLE-IL-605400309_rb/","check listing")</f>
        <v>check listing</v>
      </c>
      <c r="AB3137" s="5" t="str">
        <f>HYPERLINK("https://propertylookup.dupagecounty.gov/Datalets/Datalet.aspx?UseSearch=no&amp;mode=sales&amp;pin=0723410085","sales record")</f>
        <v>sales record</v>
      </c>
      <c r="AC3137" t="s">
        <v>3</v>
      </c>
      <c r="AD3137">
        <v>41.755842</v>
      </c>
      <c r="AE3137">
        <v>-88.168465</v>
      </c>
      <c r="AF3137" s="5" t="str">
        <f>HYPERLINK("https://www.google.com/maps/search/?api=1&amp;query=41.755842,-88.168465","map")</f>
        <v>map</v>
      </c>
    </row>
    <row r="3138" spans="1:32">
      <c r="A3138" t="s">
        <v>3188</v>
      </c>
      <c r="B3138" t="s">
        <v>10721</v>
      </c>
      <c r="C3138" t="s">
        <v>15548</v>
      </c>
      <c r="D3138" t="s">
        <v>16206</v>
      </c>
      <c r="E3138" t="s">
        <v>16218</v>
      </c>
      <c r="F3138" t="s">
        <v>16220</v>
      </c>
      <c r="G3138" t="s">
        <v>16274</v>
      </c>
      <c r="H3138" t="s">
        <v>16269</v>
      </c>
      <c r="I3138" t="s">
        <v>16352</v>
      </c>
      <c r="J3138" t="s">
        <v>16386</v>
      </c>
      <c r="K3138">
        <v>0.21</v>
      </c>
      <c r="L3138">
        <v>9143</v>
      </c>
      <c r="M3138">
        <v>2309</v>
      </c>
      <c r="N3138" t="s">
        <v>16393</v>
      </c>
      <c r="O3138" s="4">
        <v>55106</v>
      </c>
      <c r="P3138" s="4">
        <v>137784</v>
      </c>
      <c r="Q3138" s="4">
        <v>192890</v>
      </c>
      <c r="R3138" s="4">
        <v>578670</v>
      </c>
      <c r="S3138" t="s">
        <v>19451</v>
      </c>
      <c r="T3138" s="6">
        <v>45661</v>
      </c>
      <c r="U3138" s="4">
        <v>545000</v>
      </c>
      <c r="V3138" t="s">
        <v>23739</v>
      </c>
      <c r="W3138" t="s">
        <v>25286</v>
      </c>
      <c r="X3138" t="s">
        <v>3</v>
      </c>
      <c r="AA3138" s="5" t="str">
        <f>HYPERLINK("https://www.zillow.com/homes/1251-OAKTON-LN-NAPERVILLE-IL-605400310_rb/","check listing")</f>
        <v>check listing</v>
      </c>
      <c r="AB3138" s="5" t="str">
        <f>HYPERLINK("https://propertylookup.dupagecounty.gov/Datalets/Datalet.aspx?UseSearch=no&amp;mode=sales&amp;pin=0726203002","sales record")</f>
        <v>sales record</v>
      </c>
      <c r="AC3138" t="s">
        <v>3</v>
      </c>
      <c r="AD3138">
        <v>41.754718</v>
      </c>
      <c r="AE3138">
        <v>-88.172012</v>
      </c>
      <c r="AF3138" s="5" t="str">
        <f>HYPERLINK("https://www.google.com/maps/search/?api=1&amp;query=41.754718,-88.172012","map")</f>
        <v>map</v>
      </c>
    </row>
    <row r="3139" spans="1:32">
      <c r="A3139" t="s">
        <v>3189</v>
      </c>
      <c r="B3139" t="s">
        <v>10722</v>
      </c>
      <c r="C3139" t="s">
        <v>15548</v>
      </c>
      <c r="D3139" t="s">
        <v>16206</v>
      </c>
      <c r="E3139" t="s">
        <v>16218</v>
      </c>
      <c r="F3139" t="s">
        <v>16220</v>
      </c>
      <c r="G3139" t="s">
        <v>16274</v>
      </c>
      <c r="H3139" t="s">
        <v>16269</v>
      </c>
      <c r="I3139" t="s">
        <v>16352</v>
      </c>
      <c r="J3139" t="s">
        <v>16386</v>
      </c>
      <c r="K3139">
        <v>0.21</v>
      </c>
      <c r="L3139">
        <v>9141</v>
      </c>
      <c r="M3139">
        <v>2721</v>
      </c>
      <c r="N3139" t="s">
        <v>16393</v>
      </c>
      <c r="O3139" s="4">
        <v>55106</v>
      </c>
      <c r="P3139" s="4">
        <v>121246</v>
      </c>
      <c r="Q3139" s="4">
        <v>176352</v>
      </c>
      <c r="R3139" s="4">
        <v>529056</v>
      </c>
      <c r="S3139" t="s">
        <v>19452</v>
      </c>
      <c r="T3139" s="6">
        <v>44378</v>
      </c>
      <c r="U3139" s="4">
        <v>455000</v>
      </c>
      <c r="V3139" t="s">
        <v>23739</v>
      </c>
      <c r="W3139" t="s">
        <v>25287</v>
      </c>
      <c r="X3139" t="s">
        <v>3</v>
      </c>
      <c r="AA3139" s="5" t="str">
        <f>HYPERLINK("https://www.zillow.com/homes/1247-OAKTON-LN-NAPERVILLE-IL-605400310_rb/","check listing")</f>
        <v>check listing</v>
      </c>
      <c r="AB3139" s="5" t="str">
        <f>HYPERLINK("https://propertylookup.dupagecounty.gov/Datalets/Datalet.aspx?UseSearch=no&amp;mode=sales&amp;pin=0726203003","sales record")</f>
        <v>sales record</v>
      </c>
      <c r="AC3139" t="s">
        <v>3</v>
      </c>
      <c r="AD3139">
        <v>41.754721</v>
      </c>
      <c r="AE3139">
        <v>-88.17173699999999</v>
      </c>
      <c r="AF3139" s="5" t="str">
        <f>HYPERLINK("https://www.google.com/maps/search/?api=1&amp;query=41.754721,-88.171737","map")</f>
        <v>map</v>
      </c>
    </row>
    <row r="3140" spans="1:32">
      <c r="A3140" t="s">
        <v>3190</v>
      </c>
      <c r="B3140" t="s">
        <v>10723</v>
      </c>
      <c r="C3140" t="s">
        <v>15475</v>
      </c>
      <c r="D3140" t="s">
        <v>16206</v>
      </c>
      <c r="E3140" t="s">
        <v>16218</v>
      </c>
      <c r="F3140" t="s">
        <v>16220</v>
      </c>
      <c r="G3140" t="s">
        <v>16275</v>
      </c>
      <c r="H3140" t="s">
        <v>16276</v>
      </c>
      <c r="I3140" t="s">
        <v>16352</v>
      </c>
      <c r="J3140" t="s">
        <v>16386</v>
      </c>
      <c r="K3140">
        <v>0.21</v>
      </c>
      <c r="L3140">
        <v>9135</v>
      </c>
      <c r="M3140">
        <v>2086</v>
      </c>
      <c r="N3140" t="s">
        <v>16393</v>
      </c>
      <c r="O3140" s="4">
        <v>49444</v>
      </c>
      <c r="P3140" s="4">
        <v>117487</v>
      </c>
      <c r="Q3140" s="4">
        <v>166931</v>
      </c>
      <c r="R3140" s="4">
        <v>500793</v>
      </c>
      <c r="S3140" t="s">
        <v>19453</v>
      </c>
      <c r="T3140" s="6">
        <v>34274</v>
      </c>
      <c r="U3140" s="4">
        <v>172035</v>
      </c>
      <c r="X3140" t="s">
        <v>3</v>
      </c>
      <c r="AA3140" s="5" t="str">
        <f>HYPERLINK("https://www.zillow.com/homes/2112-JESSICA-CT-NAPERVILLE-IL-60540_rb/","check listing")</f>
        <v>check listing</v>
      </c>
      <c r="AB3140" s="5" t="str">
        <f>HYPERLINK("https://propertylookup.dupagecounty.gov/Datalets/Datalet.aspx?UseSearch=no&amp;mode=sales&amp;pin=0727201041","sales record")</f>
        <v>sales record</v>
      </c>
      <c r="AC3140" t="s">
        <v>3</v>
      </c>
      <c r="AD3140">
        <v>41.747828</v>
      </c>
      <c r="AE3140">
        <v>-88.190398</v>
      </c>
      <c r="AF3140" s="5" t="str">
        <f>HYPERLINK("https://www.google.com/maps/search/?api=1&amp;query=41.747828,-88.190398","map")</f>
        <v>map</v>
      </c>
    </row>
    <row r="3141" spans="1:32">
      <c r="A3141" t="s">
        <v>3191</v>
      </c>
      <c r="B3141" t="s">
        <v>10724</v>
      </c>
      <c r="C3141" t="s">
        <v>15475</v>
      </c>
      <c r="D3141" t="s">
        <v>16206</v>
      </c>
      <c r="E3141" t="s">
        <v>16218</v>
      </c>
      <c r="F3141" t="s">
        <v>16220</v>
      </c>
      <c r="G3141" t="s">
        <v>16275</v>
      </c>
      <c r="H3141" t="s">
        <v>16276</v>
      </c>
      <c r="I3141" t="s">
        <v>16352</v>
      </c>
      <c r="J3141" t="s">
        <v>16386</v>
      </c>
      <c r="K3141">
        <v>0.21</v>
      </c>
      <c r="L3141">
        <v>9134</v>
      </c>
      <c r="M3141">
        <v>2309</v>
      </c>
      <c r="N3141" t="s">
        <v>16393</v>
      </c>
      <c r="O3141" s="4">
        <v>50993</v>
      </c>
      <c r="P3141" s="4">
        <v>113020</v>
      </c>
      <c r="Q3141" s="4">
        <v>164013</v>
      </c>
      <c r="R3141" s="4">
        <v>492039</v>
      </c>
      <c r="S3141" t="s">
        <v>19454</v>
      </c>
      <c r="T3141" s="6">
        <v>39508</v>
      </c>
      <c r="U3141" s="4">
        <v>316000</v>
      </c>
      <c r="V3141" t="s">
        <v>23739</v>
      </c>
      <c r="W3141" t="s">
        <v>25288</v>
      </c>
      <c r="X3141" t="s">
        <v>3</v>
      </c>
      <c r="AA3141" s="5" t="str">
        <f>HYPERLINK("https://www.zillow.com/homes/1151-LAKEWOOD-CIR-NAPERVILLE-IL-60540_rb/","check listing")</f>
        <v>check listing</v>
      </c>
      <c r="AB3141" s="5" t="str">
        <f>HYPERLINK("https://propertylookup.dupagecounty.gov/Datalets/Datalet.aspx?UseSearch=no&amp;mode=sales&amp;pin=0727205020","sales record")</f>
        <v>sales record</v>
      </c>
      <c r="AC3141" t="s">
        <v>3</v>
      </c>
      <c r="AD3141">
        <v>41.750358</v>
      </c>
      <c r="AE3141">
        <v>-88.19038999999999</v>
      </c>
      <c r="AF3141" s="5" t="str">
        <f>HYPERLINK("https://www.google.com/maps/search/?api=1&amp;query=41.750358,-88.19039","map")</f>
        <v>map</v>
      </c>
    </row>
    <row r="3142" spans="1:32">
      <c r="A3142" t="s">
        <v>3192</v>
      </c>
      <c r="B3142" t="s">
        <v>10725</v>
      </c>
      <c r="C3142" t="s">
        <v>15550</v>
      </c>
      <c r="D3142" t="s">
        <v>16206</v>
      </c>
      <c r="E3142" t="s">
        <v>16218</v>
      </c>
      <c r="F3142" t="s">
        <v>16220</v>
      </c>
      <c r="G3142" t="s">
        <v>16275</v>
      </c>
      <c r="H3142" t="s">
        <v>16276</v>
      </c>
      <c r="I3142" t="s">
        <v>16352</v>
      </c>
      <c r="J3142" t="s">
        <v>16386</v>
      </c>
      <c r="K3142">
        <v>0.209</v>
      </c>
      <c r="L3142">
        <v>9117</v>
      </c>
      <c r="M3142">
        <v>1957</v>
      </c>
      <c r="N3142" t="s">
        <v>16393</v>
      </c>
      <c r="O3142" s="4">
        <v>49504</v>
      </c>
      <c r="P3142" s="4">
        <v>110835</v>
      </c>
      <c r="Q3142" s="4">
        <v>160339</v>
      </c>
      <c r="R3142" s="4">
        <v>481017</v>
      </c>
      <c r="S3142" t="s">
        <v>19455</v>
      </c>
      <c r="T3142" s="6">
        <v>43922</v>
      </c>
      <c r="U3142" s="4">
        <v>347500</v>
      </c>
      <c r="V3142" t="s">
        <v>23739</v>
      </c>
      <c r="W3142" t="s">
        <v>25289</v>
      </c>
      <c r="X3142" t="s">
        <v>3</v>
      </c>
      <c r="AA3142" s="5" t="str">
        <f>HYPERLINK("https://www.zillow.com/homes/835-VIOLET-CIR-NAPERVILLE-IL-605409226_rb/","check listing")</f>
        <v>check listing</v>
      </c>
      <c r="AB3142" s="5" t="str">
        <f>HYPERLINK("https://propertylookup.dupagecounty.gov/Datalets/Datalet.aspx?UseSearch=no&amp;mode=sales&amp;pin=0722407038","sales record")</f>
        <v>sales record</v>
      </c>
      <c r="AC3142" t="s">
        <v>3</v>
      </c>
      <c r="AD3142">
        <v>41.75841</v>
      </c>
      <c r="AE3142">
        <v>-88.191384</v>
      </c>
      <c r="AF3142" s="5" t="str">
        <f>HYPERLINK("https://www.google.com/maps/search/?api=1&amp;query=41.75841,-88.191384","map")</f>
        <v>map</v>
      </c>
    </row>
    <row r="3143" spans="1:32">
      <c r="A3143" t="s">
        <v>3193</v>
      </c>
      <c r="B3143" t="s">
        <v>10726</v>
      </c>
      <c r="C3143" t="s">
        <v>15475</v>
      </c>
      <c r="D3143" t="s">
        <v>16206</v>
      </c>
      <c r="E3143" t="s">
        <v>16218</v>
      </c>
      <c r="F3143" t="s">
        <v>16220</v>
      </c>
      <c r="G3143" t="s">
        <v>16273</v>
      </c>
      <c r="H3143" t="s">
        <v>16254</v>
      </c>
      <c r="I3143" t="s">
        <v>16351</v>
      </c>
      <c r="J3143" t="s">
        <v>16386</v>
      </c>
      <c r="K3143">
        <v>0.209</v>
      </c>
      <c r="L3143">
        <v>9106</v>
      </c>
      <c r="M3143">
        <v>2788</v>
      </c>
      <c r="N3143" t="s">
        <v>16393</v>
      </c>
      <c r="O3143" s="4">
        <v>47990</v>
      </c>
      <c r="P3143" s="4">
        <v>143630</v>
      </c>
      <c r="Q3143" s="4">
        <v>191620</v>
      </c>
      <c r="R3143" s="4">
        <v>574860</v>
      </c>
      <c r="S3143" t="s">
        <v>19456</v>
      </c>
      <c r="T3143" s="6">
        <v>36617</v>
      </c>
      <c r="U3143" s="4">
        <v>270465</v>
      </c>
      <c r="V3143" t="s">
        <v>23739</v>
      </c>
      <c r="W3143" t="s">
        <v>25290</v>
      </c>
      <c r="X3143" t="s">
        <v>3</v>
      </c>
      <c r="AA3143" s="5" t="str">
        <f>HYPERLINK("https://www.zillow.com/homes/2004-MAPLEWOOD-CIR-NAPERVILLE-IL-60540_rb/","check listing")</f>
        <v>check listing</v>
      </c>
      <c r="AB3143" s="5" t="str">
        <f>HYPERLINK("https://propertylookup.dupagecounty.gov/Datalets/Datalet.aspx?UseSearch=no&amp;mode=sales&amp;pin=0709411042","sales record")</f>
        <v>sales record</v>
      </c>
      <c r="AC3143" t="s">
        <v>3</v>
      </c>
      <c r="AD3143">
        <v>41.785721</v>
      </c>
      <c r="AE3143">
        <v>-88.211077</v>
      </c>
      <c r="AF3143" s="5" t="str">
        <f>HYPERLINK("https://www.google.com/maps/search/?api=1&amp;query=41.785721,-88.211077","map")</f>
        <v>map</v>
      </c>
    </row>
    <row r="3144" spans="1:32">
      <c r="A3144" t="s">
        <v>3194</v>
      </c>
      <c r="B3144" t="s">
        <v>10727</v>
      </c>
      <c r="C3144" t="s">
        <v>15475</v>
      </c>
      <c r="D3144" t="s">
        <v>16206</v>
      </c>
      <c r="E3144" t="s">
        <v>16218</v>
      </c>
      <c r="F3144" t="s">
        <v>16220</v>
      </c>
      <c r="G3144" t="s">
        <v>16274</v>
      </c>
      <c r="H3144" t="s">
        <v>16269</v>
      </c>
      <c r="I3144" t="s">
        <v>16352</v>
      </c>
      <c r="J3144" t="s">
        <v>16386</v>
      </c>
      <c r="K3144">
        <v>0.209</v>
      </c>
      <c r="L3144">
        <v>9104</v>
      </c>
      <c r="M3144">
        <v>2143</v>
      </c>
      <c r="N3144" t="s">
        <v>16393</v>
      </c>
      <c r="O3144" s="4">
        <v>62185</v>
      </c>
      <c r="P3144" s="4">
        <v>123894</v>
      </c>
      <c r="Q3144" s="4">
        <v>186079</v>
      </c>
      <c r="R3144" s="4">
        <v>558237</v>
      </c>
      <c r="S3144" t="s">
        <v>19457</v>
      </c>
      <c r="T3144" s="6">
        <v>42125</v>
      </c>
      <c r="U3144" s="4">
        <v>372000</v>
      </c>
      <c r="V3144" t="s">
        <v>23739</v>
      </c>
      <c r="W3144" t="s">
        <v>19457</v>
      </c>
      <c r="X3144" t="s">
        <v>3</v>
      </c>
      <c r="AA3144" s="5" t="str">
        <f>HYPERLINK("https://www.zillow.com/homes/945-ELM-ST-NAPERVILLE-IL-60540_rb/","check listing")</f>
        <v>check listing</v>
      </c>
      <c r="AB3144" s="5" t="str">
        <f>HYPERLINK("https://propertylookup.dupagecounty.gov/Datalets/Datalet.aspx?UseSearch=no&amp;mode=sales&amp;pin=0726208016","sales record")</f>
        <v>sales record</v>
      </c>
      <c r="AC3144" t="s">
        <v>3</v>
      </c>
      <c r="AD3144">
        <v>41.752157</v>
      </c>
      <c r="AE3144">
        <v>-88.173097</v>
      </c>
      <c r="AF3144" s="5" t="str">
        <f>HYPERLINK("https://www.google.com/maps/search/?api=1&amp;query=41.752157,-88.173097","map")</f>
        <v>map</v>
      </c>
    </row>
    <row r="3145" spans="1:32">
      <c r="A3145" t="s">
        <v>3195</v>
      </c>
      <c r="B3145" t="s">
        <v>10728</v>
      </c>
      <c r="C3145" t="s">
        <v>15475</v>
      </c>
      <c r="D3145" t="s">
        <v>16206</v>
      </c>
      <c r="E3145" t="s">
        <v>16218</v>
      </c>
      <c r="F3145" t="s">
        <v>16220</v>
      </c>
      <c r="G3145" t="s">
        <v>16274</v>
      </c>
      <c r="H3145" t="s">
        <v>16269</v>
      </c>
      <c r="I3145" t="s">
        <v>16352</v>
      </c>
      <c r="J3145" t="s">
        <v>16386</v>
      </c>
      <c r="K3145">
        <v>0.209</v>
      </c>
      <c r="L3145">
        <v>9101</v>
      </c>
      <c r="M3145">
        <v>2633</v>
      </c>
      <c r="N3145" t="s">
        <v>16393</v>
      </c>
      <c r="O3145" s="4">
        <v>55106</v>
      </c>
      <c r="P3145" s="4">
        <v>123748</v>
      </c>
      <c r="Q3145" s="4">
        <v>178854</v>
      </c>
      <c r="R3145" s="4">
        <v>536562</v>
      </c>
      <c r="S3145" t="s">
        <v>19458</v>
      </c>
      <c r="T3145" s="6">
        <v>32752</v>
      </c>
      <c r="U3145" s="4">
        <v>177325</v>
      </c>
      <c r="X3145" t="s">
        <v>3</v>
      </c>
      <c r="AA3145" s="5" t="str">
        <f>HYPERLINK("https://www.zillow.com/homes/928-ELM-ST-NAPERVILLE-IL-60540_rb/","check listing")</f>
        <v>check listing</v>
      </c>
      <c r="AB3145" s="5" t="str">
        <f>HYPERLINK("https://propertylookup.dupagecounty.gov/Datalets/Datalet.aspx?UseSearch=no&amp;mode=sales&amp;pin=0726207013","sales record")</f>
        <v>sales record</v>
      </c>
      <c r="AC3145" t="s">
        <v>3</v>
      </c>
      <c r="AD3145">
        <v>41.75281</v>
      </c>
      <c r="AE3145">
        <v>-88.173074</v>
      </c>
      <c r="AF3145" s="5" t="str">
        <f>HYPERLINK("https://www.google.com/maps/search/?api=1&amp;query=41.75281,-88.173074","map")</f>
        <v>map</v>
      </c>
    </row>
    <row r="3146" spans="1:32">
      <c r="A3146" t="s">
        <v>3196</v>
      </c>
      <c r="B3146" t="s">
        <v>10729</v>
      </c>
      <c r="C3146" t="s">
        <v>15478</v>
      </c>
      <c r="D3146" t="s">
        <v>16206</v>
      </c>
      <c r="E3146" t="s">
        <v>16218</v>
      </c>
      <c r="F3146" t="s">
        <v>16220</v>
      </c>
      <c r="G3146" t="s">
        <v>16273</v>
      </c>
      <c r="H3146" t="s">
        <v>16254</v>
      </c>
      <c r="I3146" t="s">
        <v>16351</v>
      </c>
      <c r="J3146" t="s">
        <v>16386</v>
      </c>
      <c r="K3146">
        <v>0.209</v>
      </c>
      <c r="L3146">
        <v>9101</v>
      </c>
      <c r="M3146">
        <v>2573</v>
      </c>
      <c r="N3146" t="s">
        <v>16393</v>
      </c>
      <c r="O3146" s="4">
        <v>53606</v>
      </c>
      <c r="P3146" s="4">
        <v>108480</v>
      </c>
      <c r="Q3146" s="4">
        <v>162086</v>
      </c>
      <c r="R3146" s="4">
        <v>486258</v>
      </c>
      <c r="S3146" t="s">
        <v>19459</v>
      </c>
      <c r="T3146" s="6">
        <v>36220</v>
      </c>
      <c r="U3146" s="4">
        <v>173900</v>
      </c>
      <c r="X3146" t="s">
        <v>3</v>
      </c>
      <c r="AA3146" s="5" t="str">
        <f>HYPERLINK("https://www.zillow.com/homes/1004-PRAIRIE-VIEW-CT-NAPERVILLE-IL-60563_rb/","check listing")</f>
        <v>check listing</v>
      </c>
      <c r="AB3146" s="5" t="str">
        <f>HYPERLINK("https://propertylookup.dupagecounty.gov/Datalets/Datalet.aspx?UseSearch=no&amp;mode=sales&amp;pin=0709410031","sales record")</f>
        <v>sales record</v>
      </c>
      <c r="AC3146" t="s">
        <v>3</v>
      </c>
      <c r="AD3146">
        <v>41.786231</v>
      </c>
      <c r="AE3146">
        <v>-88.213331</v>
      </c>
      <c r="AF3146" s="5" t="str">
        <f>HYPERLINK("https://www.google.com/maps/search/?api=1&amp;query=41.786231,-88.213331","map")</f>
        <v>map</v>
      </c>
    </row>
    <row r="3147" spans="1:32">
      <c r="A3147" t="s">
        <v>3197</v>
      </c>
      <c r="B3147" t="s">
        <v>10730</v>
      </c>
      <c r="C3147" t="s">
        <v>15475</v>
      </c>
      <c r="D3147" t="s">
        <v>16206</v>
      </c>
      <c r="E3147" t="s">
        <v>16218</v>
      </c>
      <c r="F3147" t="s">
        <v>16220</v>
      </c>
      <c r="G3147" t="s">
        <v>16275</v>
      </c>
      <c r="H3147" t="s">
        <v>16276</v>
      </c>
      <c r="I3147" t="s">
        <v>16352</v>
      </c>
      <c r="J3147" t="s">
        <v>16386</v>
      </c>
      <c r="K3147">
        <v>0.209</v>
      </c>
      <c r="L3147">
        <v>9099</v>
      </c>
      <c r="M3147">
        <v>1979</v>
      </c>
      <c r="N3147" t="s">
        <v>16393</v>
      </c>
      <c r="O3147" s="4">
        <v>47905</v>
      </c>
      <c r="P3147" s="4">
        <v>109797</v>
      </c>
      <c r="Q3147" s="4">
        <v>157702</v>
      </c>
      <c r="R3147" s="4">
        <v>473106</v>
      </c>
      <c r="S3147" t="s">
        <v>19460</v>
      </c>
      <c r="T3147" s="6">
        <v>35186</v>
      </c>
      <c r="U3147" s="4">
        <v>178815</v>
      </c>
      <c r="X3147" t="s">
        <v>3</v>
      </c>
      <c r="AA3147" s="5" t="str">
        <f>HYPERLINK("https://www.zillow.com/homes/2231-PERIWINKLE-LN-NAPERVILLE-IL-60540_rb/","check listing")</f>
        <v>check listing</v>
      </c>
      <c r="AB3147" s="5" t="str">
        <f>HYPERLINK("https://propertylookup.dupagecounty.gov/Datalets/Datalet.aspx?UseSearch=no&amp;mode=sales&amp;pin=0722409039","sales record")</f>
        <v>sales record</v>
      </c>
      <c r="AC3147" t="s">
        <v>3</v>
      </c>
      <c r="AD3147">
        <v>41.75913</v>
      </c>
      <c r="AE3147">
        <v>-88.192228</v>
      </c>
      <c r="AF3147" s="5" t="str">
        <f>HYPERLINK("https://www.google.com/maps/search/?api=1&amp;query=41.75913,-88.192228","map")</f>
        <v>map</v>
      </c>
    </row>
    <row r="3148" spans="1:32">
      <c r="A3148" t="s">
        <v>3198</v>
      </c>
      <c r="B3148" t="s">
        <v>10731</v>
      </c>
      <c r="C3148" t="s">
        <v>15475</v>
      </c>
      <c r="D3148" t="s">
        <v>16206</v>
      </c>
      <c r="E3148" t="s">
        <v>16218</v>
      </c>
      <c r="F3148" t="s">
        <v>16220</v>
      </c>
      <c r="G3148" t="s">
        <v>16274</v>
      </c>
      <c r="H3148" t="s">
        <v>16269</v>
      </c>
      <c r="I3148" t="s">
        <v>16352</v>
      </c>
      <c r="J3148" t="s">
        <v>16386</v>
      </c>
      <c r="K3148">
        <v>0.209</v>
      </c>
      <c r="L3148">
        <v>9095</v>
      </c>
      <c r="M3148">
        <v>2357</v>
      </c>
      <c r="N3148" t="s">
        <v>16393</v>
      </c>
      <c r="O3148" s="4">
        <v>62185</v>
      </c>
      <c r="P3148" s="4">
        <v>144741</v>
      </c>
      <c r="Q3148" s="4">
        <v>206926</v>
      </c>
      <c r="R3148" s="4">
        <v>620778</v>
      </c>
      <c r="S3148" t="s">
        <v>19461</v>
      </c>
      <c r="T3148" s="6">
        <v>38047</v>
      </c>
      <c r="U3148" s="4">
        <v>337000</v>
      </c>
      <c r="V3148" t="s">
        <v>23739</v>
      </c>
      <c r="W3148" t="s">
        <v>25291</v>
      </c>
      <c r="X3148" t="s">
        <v>3</v>
      </c>
      <c r="AA3148" s="5" t="str">
        <f>HYPERLINK("https://www.zillow.com/homes/941-ELM-ST-NAPERVILLE-IL-60540_rb/","check listing")</f>
        <v>check listing</v>
      </c>
      <c r="AB3148" s="5" t="str">
        <f>HYPERLINK("https://propertylookup.dupagecounty.gov/Datalets/Datalet.aspx?UseSearch=no&amp;mode=sales&amp;pin=0726208017","sales record")</f>
        <v>sales record</v>
      </c>
      <c r="AC3148" t="s">
        <v>3</v>
      </c>
      <c r="AD3148">
        <v>41.752208</v>
      </c>
      <c r="AE3148">
        <v>-88.17334700000001</v>
      </c>
      <c r="AF3148" s="5" t="str">
        <f>HYPERLINK("https://www.google.com/maps/search/?api=1&amp;query=41.752208,-88.173347","map")</f>
        <v>map</v>
      </c>
    </row>
    <row r="3149" spans="1:32">
      <c r="A3149" t="s">
        <v>3199</v>
      </c>
      <c r="B3149" t="s">
        <v>10732</v>
      </c>
      <c r="C3149" t="s">
        <v>15478</v>
      </c>
      <c r="D3149" t="s">
        <v>16206</v>
      </c>
      <c r="E3149" t="s">
        <v>16218</v>
      </c>
      <c r="F3149" t="s">
        <v>16220</v>
      </c>
      <c r="G3149" t="s">
        <v>16273</v>
      </c>
      <c r="H3149" t="s">
        <v>16254</v>
      </c>
      <c r="I3149" t="s">
        <v>16351</v>
      </c>
      <c r="J3149" t="s">
        <v>16386</v>
      </c>
      <c r="K3149">
        <v>0.209</v>
      </c>
      <c r="L3149">
        <v>9092</v>
      </c>
      <c r="M3149">
        <v>2308</v>
      </c>
      <c r="N3149" t="s">
        <v>16393</v>
      </c>
      <c r="O3149" s="4">
        <v>47990</v>
      </c>
      <c r="P3149" s="4">
        <v>148159</v>
      </c>
      <c r="Q3149" s="4">
        <v>196149</v>
      </c>
      <c r="R3149" s="4">
        <v>588447</v>
      </c>
      <c r="S3149" t="s">
        <v>19462</v>
      </c>
      <c r="T3149" s="6">
        <v>41244</v>
      </c>
      <c r="U3149" s="4">
        <v>290000</v>
      </c>
      <c r="V3149" t="s">
        <v>23740</v>
      </c>
      <c r="W3149" t="s">
        <v>25292</v>
      </c>
      <c r="X3149" t="s">
        <v>3</v>
      </c>
      <c r="AA3149" s="5" t="str">
        <f>HYPERLINK("https://www.zillow.com/homes/2088-MAPLEWOOD-CIR-NAPERVILLE-IL-60563_rb/","check listing")</f>
        <v>check listing</v>
      </c>
      <c r="AB3149" s="5" t="str">
        <f>HYPERLINK("https://propertylookup.dupagecounty.gov/Datalets/Datalet.aspx?UseSearch=no&amp;mode=sales&amp;pin=0709411021","sales record")</f>
        <v>sales record</v>
      </c>
      <c r="AC3149" t="s">
        <v>3</v>
      </c>
      <c r="AD3149">
        <v>41.787165</v>
      </c>
      <c r="AE3149">
        <v>-88.21099700000001</v>
      </c>
      <c r="AF3149" s="5" t="str">
        <f>HYPERLINK("https://www.google.com/maps/search/?api=1&amp;query=41.787165,-88.210997","map")</f>
        <v>map</v>
      </c>
    </row>
    <row r="3150" spans="1:32">
      <c r="A3150" t="s">
        <v>3200</v>
      </c>
      <c r="B3150" t="s">
        <v>10733</v>
      </c>
      <c r="C3150" t="s">
        <v>15475</v>
      </c>
      <c r="D3150" t="s">
        <v>16206</v>
      </c>
      <c r="E3150" t="s">
        <v>16218</v>
      </c>
      <c r="F3150" t="s">
        <v>16220</v>
      </c>
      <c r="G3150" t="s">
        <v>16275</v>
      </c>
      <c r="H3150" t="s">
        <v>16276</v>
      </c>
      <c r="I3150" t="s">
        <v>16352</v>
      </c>
      <c r="J3150" t="s">
        <v>16386</v>
      </c>
      <c r="K3150">
        <v>0.209</v>
      </c>
      <c r="L3150">
        <v>9084</v>
      </c>
      <c r="M3150">
        <v>1813</v>
      </c>
      <c r="N3150" t="s">
        <v>16393</v>
      </c>
      <c r="O3150" s="4">
        <v>55655</v>
      </c>
      <c r="P3150" s="4">
        <v>109932</v>
      </c>
      <c r="Q3150" s="4">
        <v>165587</v>
      </c>
      <c r="R3150" s="4">
        <v>496761</v>
      </c>
      <c r="S3150" t="s">
        <v>19463</v>
      </c>
      <c r="T3150" s="6">
        <v>45126</v>
      </c>
      <c r="U3150" s="4">
        <v>500000</v>
      </c>
      <c r="V3150" t="s">
        <v>23739</v>
      </c>
      <c r="W3150" t="s">
        <v>25293</v>
      </c>
      <c r="X3150" t="s">
        <v>3</v>
      </c>
      <c r="AA3150" s="5" t="str">
        <f>HYPERLINK("https://www.zillow.com/homes/1112-MALLORY-CT-NAPERVILLE-IL-60540_rb/","check listing")</f>
        <v>check listing</v>
      </c>
      <c r="AB3150" s="5" t="str">
        <f>HYPERLINK("https://propertylookup.dupagecounty.gov/Datalets/Datalet.aspx?UseSearch=no&amp;mode=sales&amp;pin=0727206028","sales record")</f>
        <v>sales record</v>
      </c>
      <c r="AC3150" t="s">
        <v>3</v>
      </c>
      <c r="AD3150">
        <v>41.7499</v>
      </c>
      <c r="AE3150">
        <v>-88.191132</v>
      </c>
      <c r="AF3150" s="5" t="str">
        <f>HYPERLINK("https://www.google.com/maps/search/?api=1&amp;query=41.7499,-88.191132","map")</f>
        <v>map</v>
      </c>
    </row>
    <row r="3151" spans="1:32">
      <c r="A3151" t="s">
        <v>3201</v>
      </c>
      <c r="B3151" t="s">
        <v>10734</v>
      </c>
      <c r="C3151" t="s">
        <v>15478</v>
      </c>
      <c r="D3151" t="s">
        <v>16206</v>
      </c>
      <c r="E3151" t="s">
        <v>16218</v>
      </c>
      <c r="F3151" t="s">
        <v>16220</v>
      </c>
      <c r="G3151" t="s">
        <v>16274</v>
      </c>
      <c r="H3151" t="s">
        <v>16269</v>
      </c>
      <c r="I3151" t="s">
        <v>16352</v>
      </c>
      <c r="J3151" t="s">
        <v>16386</v>
      </c>
      <c r="K3151">
        <v>0.208</v>
      </c>
      <c r="L3151">
        <v>9074</v>
      </c>
      <c r="M3151">
        <v>1978</v>
      </c>
      <c r="N3151" t="s">
        <v>16393</v>
      </c>
      <c r="O3151" s="4">
        <v>55448</v>
      </c>
      <c r="P3151" s="4">
        <v>131096</v>
      </c>
      <c r="Q3151" s="4">
        <v>186544</v>
      </c>
      <c r="R3151" s="4">
        <v>559632</v>
      </c>
      <c r="S3151" t="s">
        <v>19464</v>
      </c>
      <c r="T3151" s="6">
        <v>42552</v>
      </c>
      <c r="U3151" s="4">
        <v>345000</v>
      </c>
      <c r="V3151" t="s">
        <v>23739</v>
      </c>
      <c r="W3151" t="s">
        <v>25294</v>
      </c>
      <c r="X3151" t="s">
        <v>3</v>
      </c>
      <c r="AA3151" s="5" t="str">
        <f>HYPERLINK("https://www.zillow.com/homes/725-SMALL-CT-NAPERVILLE-IL-60563_rb/","check listing")</f>
        <v>check listing</v>
      </c>
      <c r="AB3151" s="5" t="str">
        <f>HYPERLINK("https://propertylookup.dupagecounty.gov/Datalets/Datalet.aspx?UseSearch=no&amp;mode=sales&amp;pin=0715206007","sales record")</f>
        <v>sales record</v>
      </c>
      <c r="AC3151" t="s">
        <v>3</v>
      </c>
      <c r="AD3151">
        <v>41.780887</v>
      </c>
      <c r="AE3151">
        <v>-88.188256</v>
      </c>
      <c r="AF3151" s="5" t="str">
        <f>HYPERLINK("https://www.google.com/maps/search/?api=1&amp;query=41.780887,-88.188256","map")</f>
        <v>map</v>
      </c>
    </row>
    <row r="3152" spans="1:32">
      <c r="A3152" t="s">
        <v>3202</v>
      </c>
      <c r="B3152" t="s">
        <v>10735</v>
      </c>
      <c r="C3152" t="s">
        <v>15475</v>
      </c>
      <c r="D3152" t="s">
        <v>16206</v>
      </c>
      <c r="E3152" t="s">
        <v>16218</v>
      </c>
      <c r="F3152" t="s">
        <v>16220</v>
      </c>
      <c r="G3152" t="s">
        <v>16276</v>
      </c>
      <c r="H3152" t="s">
        <v>16276</v>
      </c>
      <c r="I3152" t="s">
        <v>16352</v>
      </c>
      <c r="J3152" t="s">
        <v>16386</v>
      </c>
      <c r="K3152">
        <v>0.208</v>
      </c>
      <c r="L3152">
        <v>9057</v>
      </c>
      <c r="M3152">
        <v>2439</v>
      </c>
      <c r="N3152" t="s">
        <v>16393</v>
      </c>
      <c r="O3152" s="4">
        <v>55655</v>
      </c>
      <c r="P3152" s="4">
        <v>122430</v>
      </c>
      <c r="Q3152" s="4">
        <v>178085</v>
      </c>
      <c r="R3152" s="4">
        <v>534255</v>
      </c>
      <c r="S3152" t="s">
        <v>19465</v>
      </c>
      <c r="T3152" s="6">
        <v>37773</v>
      </c>
      <c r="U3152" s="4">
        <v>296500</v>
      </c>
      <c r="V3152" t="s">
        <v>23739</v>
      </c>
      <c r="W3152" t="s">
        <v>25295</v>
      </c>
      <c r="X3152" t="s">
        <v>3</v>
      </c>
      <c r="AA3152" s="5" t="str">
        <f>HYPERLINK("https://www.zillow.com/homes/904-MATTHEW-CT-NAPERVILLE-IL-60540_rb/","check listing")</f>
        <v>check listing</v>
      </c>
      <c r="AB3152" s="5" t="str">
        <f>HYPERLINK("https://propertylookup.dupagecounty.gov/Datalets/Datalet.aspx?UseSearch=no&amp;mode=sales&amp;pin=0727209010","sales record")</f>
        <v>sales record</v>
      </c>
      <c r="AC3152" t="s">
        <v>3</v>
      </c>
      <c r="AD3152">
        <v>41.753994</v>
      </c>
      <c r="AE3152">
        <v>-88.19062599999999</v>
      </c>
      <c r="AF3152" s="5" t="str">
        <f>HYPERLINK("https://www.google.com/maps/search/?api=1&amp;query=41.753994,-88.190626","map")</f>
        <v>map</v>
      </c>
    </row>
    <row r="3153" spans="1:32">
      <c r="A3153" t="s">
        <v>3203</v>
      </c>
      <c r="B3153" t="s">
        <v>10736</v>
      </c>
      <c r="C3153" t="s">
        <v>15475</v>
      </c>
      <c r="D3153" t="s">
        <v>16206</v>
      </c>
      <c r="E3153" t="s">
        <v>16218</v>
      </c>
      <c r="F3153" t="s">
        <v>16220</v>
      </c>
      <c r="G3153" t="s">
        <v>16274</v>
      </c>
      <c r="H3153" t="s">
        <v>16269</v>
      </c>
      <c r="I3153" t="s">
        <v>16352</v>
      </c>
      <c r="J3153" t="s">
        <v>16386</v>
      </c>
      <c r="K3153">
        <v>0.207</v>
      </c>
      <c r="L3153">
        <v>9030</v>
      </c>
      <c r="M3153">
        <v>2539</v>
      </c>
      <c r="N3153" t="s">
        <v>16393</v>
      </c>
      <c r="O3153" s="4">
        <v>55106</v>
      </c>
      <c r="P3153" s="4">
        <v>134257</v>
      </c>
      <c r="Q3153" s="4">
        <v>189363</v>
      </c>
      <c r="R3153" s="4">
        <v>568089</v>
      </c>
      <c r="S3153" t="s">
        <v>19466</v>
      </c>
      <c r="T3153" s="6">
        <v>36342</v>
      </c>
      <c r="U3153" s="4">
        <v>249000</v>
      </c>
      <c r="X3153" t="s">
        <v>3</v>
      </c>
      <c r="AA3153" s="5" t="str">
        <f>HYPERLINK("https://www.zillow.com/homes/1313-OAKTON-LN-NAPERVILLE-IL-60540_rb/","check listing")</f>
        <v>check listing</v>
      </c>
      <c r="AB3153" s="5" t="str">
        <f>HYPERLINK("https://propertylookup.dupagecounty.gov/Datalets/Datalet.aspx?UseSearch=no&amp;mode=sales&amp;pin=0726209004","sales record")</f>
        <v>sales record</v>
      </c>
      <c r="AC3153" t="s">
        <v>3</v>
      </c>
      <c r="AD3153">
        <v>41.754696</v>
      </c>
      <c r="AE3153">
        <v>-88.173695</v>
      </c>
      <c r="AF3153" s="5" t="str">
        <f>HYPERLINK("https://www.google.com/maps/search/?api=1&amp;query=41.754696,-88.173695","map")</f>
        <v>map</v>
      </c>
    </row>
    <row r="3154" spans="1:32">
      <c r="A3154" t="s">
        <v>3204</v>
      </c>
      <c r="B3154" t="s">
        <v>10737</v>
      </c>
      <c r="C3154" t="s">
        <v>15475</v>
      </c>
      <c r="D3154" t="s">
        <v>16206</v>
      </c>
      <c r="E3154" t="s">
        <v>16218</v>
      </c>
      <c r="F3154" t="s">
        <v>16220</v>
      </c>
      <c r="G3154" t="s">
        <v>16274</v>
      </c>
      <c r="H3154" t="s">
        <v>16269</v>
      </c>
      <c r="I3154" t="s">
        <v>16352</v>
      </c>
      <c r="J3154" t="s">
        <v>16386</v>
      </c>
      <c r="K3154">
        <v>0.207</v>
      </c>
      <c r="L3154">
        <v>9029</v>
      </c>
      <c r="M3154">
        <v>2307</v>
      </c>
      <c r="N3154" t="s">
        <v>16393</v>
      </c>
      <c r="O3154" s="4">
        <v>55106</v>
      </c>
      <c r="P3154" s="4">
        <v>132853</v>
      </c>
      <c r="Q3154" s="4">
        <v>187959</v>
      </c>
      <c r="R3154" s="4">
        <v>563877</v>
      </c>
      <c r="S3154" t="s">
        <v>19467</v>
      </c>
      <c r="T3154" s="6">
        <v>35765</v>
      </c>
      <c r="U3154" s="4">
        <v>205000</v>
      </c>
      <c r="X3154" t="s">
        <v>3</v>
      </c>
      <c r="AA3154" s="5" t="str">
        <f>HYPERLINK("https://www.zillow.com/homes/1305-OAKTON-LN-NAPERVILLE-IL-60540_rb/","check listing")</f>
        <v>check listing</v>
      </c>
      <c r="AB3154" s="5" t="str">
        <f>HYPERLINK("https://propertylookup.dupagecounty.gov/Datalets/Datalet.aspx?UseSearch=no&amp;mode=sales&amp;pin=0726209002","sales record")</f>
        <v>sales record</v>
      </c>
      <c r="AC3154" t="s">
        <v>3</v>
      </c>
      <c r="AD3154">
        <v>41.754703</v>
      </c>
      <c r="AE3154">
        <v>-88.173152</v>
      </c>
      <c r="AF3154" s="5" t="str">
        <f>HYPERLINK("https://www.google.com/maps/search/?api=1&amp;query=41.754703,-88.173152","map")</f>
        <v>map</v>
      </c>
    </row>
    <row r="3155" spans="1:32">
      <c r="A3155" t="s">
        <v>3205</v>
      </c>
      <c r="B3155" t="s">
        <v>10738</v>
      </c>
      <c r="C3155" t="s">
        <v>15551</v>
      </c>
      <c r="D3155" t="s">
        <v>16206</v>
      </c>
      <c r="E3155" t="s">
        <v>16218</v>
      </c>
      <c r="F3155" t="s">
        <v>16220</v>
      </c>
      <c r="G3155" t="s">
        <v>16274</v>
      </c>
      <c r="H3155" t="s">
        <v>16269</v>
      </c>
      <c r="I3155" t="s">
        <v>16352</v>
      </c>
      <c r="J3155" t="s">
        <v>16386</v>
      </c>
      <c r="K3155">
        <v>0.207</v>
      </c>
      <c r="L3155">
        <v>9029</v>
      </c>
      <c r="M3155">
        <v>2599</v>
      </c>
      <c r="N3155" t="s">
        <v>16393</v>
      </c>
      <c r="O3155" s="4">
        <v>55106</v>
      </c>
      <c r="P3155" s="4">
        <v>153761</v>
      </c>
      <c r="Q3155" s="4">
        <v>208867</v>
      </c>
      <c r="R3155" s="4">
        <v>626601</v>
      </c>
      <c r="S3155" t="s">
        <v>19468</v>
      </c>
      <c r="T3155" s="6">
        <v>33086</v>
      </c>
      <c r="U3155" s="4">
        <v>198500</v>
      </c>
      <c r="X3155" t="s">
        <v>3</v>
      </c>
      <c r="AA3155" s="5" t="str">
        <f>HYPERLINK("https://www.zillow.com/homes/1309-OAKTON-LN-NAPERVILLE-IL-605400344_rb/","check listing")</f>
        <v>check listing</v>
      </c>
      <c r="AB3155" s="5" t="str">
        <f>HYPERLINK("https://propertylookup.dupagecounty.gov/Datalets/Datalet.aspx?UseSearch=no&amp;mode=sales&amp;pin=0726209003","sales record")</f>
        <v>sales record</v>
      </c>
      <c r="AC3155" t="s">
        <v>3</v>
      </c>
      <c r="AD3155">
        <v>41.7547</v>
      </c>
      <c r="AE3155">
        <v>-88.173423</v>
      </c>
      <c r="AF3155" s="5" t="str">
        <f>HYPERLINK("https://www.google.com/maps/search/?api=1&amp;query=41.7547,-88.173423","map")</f>
        <v>map</v>
      </c>
    </row>
    <row r="3156" spans="1:32">
      <c r="A3156" t="s">
        <v>3206</v>
      </c>
      <c r="B3156" t="s">
        <v>10739</v>
      </c>
      <c r="C3156" t="s">
        <v>15475</v>
      </c>
      <c r="D3156" t="s">
        <v>16206</v>
      </c>
      <c r="E3156" t="s">
        <v>16218</v>
      </c>
      <c r="F3156" t="s">
        <v>16220</v>
      </c>
      <c r="G3156" t="s">
        <v>16275</v>
      </c>
      <c r="H3156" t="s">
        <v>16276</v>
      </c>
      <c r="I3156" t="s">
        <v>16352</v>
      </c>
      <c r="J3156" t="s">
        <v>16386</v>
      </c>
      <c r="K3156">
        <v>0.207</v>
      </c>
      <c r="L3156">
        <v>9018</v>
      </c>
      <c r="M3156">
        <v>2695</v>
      </c>
      <c r="N3156" t="s">
        <v>16393</v>
      </c>
      <c r="O3156" s="4">
        <v>57462</v>
      </c>
      <c r="P3156" s="4">
        <v>156654</v>
      </c>
      <c r="Q3156" s="4">
        <v>214116</v>
      </c>
      <c r="R3156" s="4">
        <v>642348</v>
      </c>
      <c r="S3156" t="s">
        <v>19469</v>
      </c>
      <c r="T3156" s="6">
        <v>35247</v>
      </c>
      <c r="U3156" s="4">
        <v>244528</v>
      </c>
      <c r="X3156" t="s">
        <v>3</v>
      </c>
      <c r="AA3156" s="5" t="str">
        <f>HYPERLINK("https://www.zillow.com/homes/2115-FELDOTT-LN-NAPERVILLE-IL-60540_rb/","check listing")</f>
        <v>check listing</v>
      </c>
      <c r="AB3156" s="5" t="str">
        <f>HYPERLINK("https://propertylookup.dupagecounty.gov/Datalets/Datalet.aspx?UseSearch=no&amp;mode=sales&amp;pin=0722404045","sales record")</f>
        <v>sales record</v>
      </c>
      <c r="AC3156" t="s">
        <v>3</v>
      </c>
      <c r="AD3156">
        <v>41.762178</v>
      </c>
      <c r="AE3156">
        <v>-88.189685</v>
      </c>
      <c r="AF3156" s="5" t="str">
        <f>HYPERLINK("https://www.google.com/maps/search/?api=1&amp;query=41.762178,-88.189685","map")</f>
        <v>map</v>
      </c>
    </row>
    <row r="3157" spans="1:32">
      <c r="A3157" t="s">
        <v>3207</v>
      </c>
      <c r="B3157" t="s">
        <v>10740</v>
      </c>
      <c r="C3157" t="s">
        <v>15478</v>
      </c>
      <c r="D3157" t="s">
        <v>16206</v>
      </c>
      <c r="E3157" t="s">
        <v>16218</v>
      </c>
      <c r="F3157" t="s">
        <v>16220</v>
      </c>
      <c r="G3157" t="s">
        <v>16273</v>
      </c>
      <c r="H3157" t="s">
        <v>16254</v>
      </c>
      <c r="I3157" t="s">
        <v>16351</v>
      </c>
      <c r="J3157" t="s">
        <v>16386</v>
      </c>
      <c r="K3157">
        <v>0.207</v>
      </c>
      <c r="L3157">
        <v>9016</v>
      </c>
      <c r="M3157">
        <v>2078</v>
      </c>
      <c r="N3157" t="s">
        <v>16393</v>
      </c>
      <c r="O3157" s="4">
        <v>40728</v>
      </c>
      <c r="P3157" s="4">
        <v>121661</v>
      </c>
      <c r="Q3157" s="4">
        <v>162389</v>
      </c>
      <c r="R3157" s="4">
        <v>487167</v>
      </c>
      <c r="S3157" t="s">
        <v>19470</v>
      </c>
      <c r="T3157" s="6">
        <v>34425</v>
      </c>
      <c r="U3157" s="4">
        <v>53500</v>
      </c>
      <c r="X3157" t="s">
        <v>3</v>
      </c>
      <c r="AA3157" s="5" t="str">
        <f>HYPERLINK("https://www.zillow.com/homes/2104-COUNTRY-LAKES-DR-NAPERVILLE-IL-60563_rb/","check listing")</f>
        <v>check listing</v>
      </c>
      <c r="AB3157" s="5" t="str">
        <f>HYPERLINK("https://propertylookup.dupagecounty.gov/Datalets/Datalet.aspx?UseSearch=no&amp;mode=sales&amp;pin=0709200030","sales record")</f>
        <v>sales record</v>
      </c>
      <c r="AC3157" t="s">
        <v>3</v>
      </c>
      <c r="AD3157">
        <v>41.794795</v>
      </c>
      <c r="AE3157">
        <v>-88.209935</v>
      </c>
      <c r="AF3157" s="5" t="str">
        <f>HYPERLINK("https://www.google.com/maps/search/?api=1&amp;query=41.794795,-88.209935","map")</f>
        <v>map</v>
      </c>
    </row>
    <row r="3158" spans="1:32">
      <c r="A3158" t="s">
        <v>3208</v>
      </c>
      <c r="B3158" t="s">
        <v>10741</v>
      </c>
      <c r="C3158" t="s">
        <v>15475</v>
      </c>
      <c r="D3158" t="s">
        <v>16206</v>
      </c>
      <c r="E3158" t="s">
        <v>16218</v>
      </c>
      <c r="F3158" t="s">
        <v>16220</v>
      </c>
      <c r="G3158" t="s">
        <v>16274</v>
      </c>
      <c r="H3158" t="s">
        <v>16269</v>
      </c>
      <c r="I3158" t="s">
        <v>16352</v>
      </c>
      <c r="J3158" t="s">
        <v>16386</v>
      </c>
      <c r="K3158">
        <v>0.207</v>
      </c>
      <c r="L3158">
        <v>9011</v>
      </c>
      <c r="M3158">
        <v>2375</v>
      </c>
      <c r="N3158" t="s">
        <v>16393</v>
      </c>
      <c r="O3158" s="4">
        <v>55106</v>
      </c>
      <c r="P3158" s="4">
        <v>142728</v>
      </c>
      <c r="Q3158" s="4">
        <v>197834</v>
      </c>
      <c r="R3158" s="4">
        <v>593502</v>
      </c>
      <c r="S3158" t="s">
        <v>19471</v>
      </c>
      <c r="T3158" s="6">
        <v>38808</v>
      </c>
      <c r="U3158" s="4">
        <v>397000</v>
      </c>
      <c r="V3158" t="s">
        <v>23739</v>
      </c>
      <c r="W3158" t="s">
        <v>25296</v>
      </c>
      <c r="X3158" t="s">
        <v>3</v>
      </c>
      <c r="AA3158" s="5" t="str">
        <f>HYPERLINK("https://www.zillow.com/homes/924-ELM-ST-NAPERVILLE-IL-60540_rb/","check listing")</f>
        <v>check listing</v>
      </c>
      <c r="AB3158" s="5" t="str">
        <f>HYPERLINK("https://propertylookup.dupagecounty.gov/Datalets/Datalet.aspx?UseSearch=no&amp;mode=sales&amp;pin=0726207014","sales record")</f>
        <v>sales record</v>
      </c>
      <c r="AC3158" t="s">
        <v>3</v>
      </c>
      <c r="AD3158">
        <v>41.752991</v>
      </c>
      <c r="AE3158">
        <v>-88.173171</v>
      </c>
      <c r="AF3158" s="5" t="str">
        <f>HYPERLINK("https://www.google.com/maps/search/?api=1&amp;query=41.752991,-88.173171","map")</f>
        <v>map</v>
      </c>
    </row>
    <row r="3159" spans="1:32">
      <c r="A3159" t="s">
        <v>3209</v>
      </c>
      <c r="B3159" t="s">
        <v>10742</v>
      </c>
      <c r="C3159" t="s">
        <v>15475</v>
      </c>
      <c r="D3159" t="s">
        <v>16206</v>
      </c>
      <c r="E3159" t="s">
        <v>16218</v>
      </c>
      <c r="F3159" t="s">
        <v>16220</v>
      </c>
      <c r="G3159" t="s">
        <v>16274</v>
      </c>
      <c r="H3159" t="s">
        <v>16269</v>
      </c>
      <c r="I3159" t="s">
        <v>16352</v>
      </c>
      <c r="J3159" t="s">
        <v>16386</v>
      </c>
      <c r="K3159">
        <v>0.207</v>
      </c>
      <c r="L3159">
        <v>9004</v>
      </c>
      <c r="M3159">
        <v>2177</v>
      </c>
      <c r="N3159" t="s">
        <v>16393</v>
      </c>
      <c r="O3159" s="4">
        <v>62185</v>
      </c>
      <c r="P3159" s="4">
        <v>139725</v>
      </c>
      <c r="Q3159" s="4">
        <v>201910</v>
      </c>
      <c r="R3159" s="4">
        <v>605730</v>
      </c>
      <c r="S3159" t="s">
        <v>19472</v>
      </c>
      <c r="T3159" s="6">
        <v>35582</v>
      </c>
      <c r="U3159" s="4">
        <v>230000</v>
      </c>
      <c r="X3159" t="s">
        <v>3</v>
      </c>
      <c r="AA3159" s="5" t="str">
        <f>HYPERLINK("https://www.zillow.com/homes/953-ELM-CT-NAPERVILLE-IL-60540_rb/","check listing")</f>
        <v>check listing</v>
      </c>
      <c r="AB3159" s="5" t="str">
        <f>HYPERLINK("https://propertylookup.dupagecounty.gov/Datalets/Datalet.aspx?UseSearch=no&amp;mode=sales&amp;pin=0726208014","sales record")</f>
        <v>sales record</v>
      </c>
      <c r="AC3159" t="s">
        <v>3</v>
      </c>
      <c r="AD3159">
        <v>41.751626</v>
      </c>
      <c r="AE3159">
        <v>-88.17305500000001</v>
      </c>
      <c r="AF3159" s="5" t="str">
        <f>HYPERLINK("https://www.google.com/maps/search/?api=1&amp;query=41.751626,-88.173055","map")</f>
        <v>map</v>
      </c>
    </row>
    <row r="3160" spans="1:32">
      <c r="A3160" t="s">
        <v>3210</v>
      </c>
      <c r="B3160" t="s">
        <v>10743</v>
      </c>
      <c r="C3160" t="s">
        <v>15475</v>
      </c>
      <c r="D3160" t="s">
        <v>16206</v>
      </c>
      <c r="E3160" t="s">
        <v>16218</v>
      </c>
      <c r="F3160" t="s">
        <v>16220</v>
      </c>
      <c r="G3160" t="s">
        <v>16274</v>
      </c>
      <c r="H3160" t="s">
        <v>16269</v>
      </c>
      <c r="I3160" t="s">
        <v>16352</v>
      </c>
      <c r="J3160" t="s">
        <v>16386</v>
      </c>
      <c r="K3160">
        <v>0.207</v>
      </c>
      <c r="L3160">
        <v>9004</v>
      </c>
      <c r="M3160">
        <v>2309</v>
      </c>
      <c r="N3160" t="s">
        <v>16393</v>
      </c>
      <c r="O3160" s="4">
        <v>62185</v>
      </c>
      <c r="P3160" s="4">
        <v>145546</v>
      </c>
      <c r="Q3160" s="4">
        <v>207731</v>
      </c>
      <c r="R3160" s="4">
        <v>623193</v>
      </c>
      <c r="S3160" t="s">
        <v>19473</v>
      </c>
      <c r="T3160" s="6">
        <v>43160</v>
      </c>
      <c r="U3160" s="4">
        <v>427000</v>
      </c>
      <c r="V3160" t="s">
        <v>23739</v>
      </c>
      <c r="W3160" t="s">
        <v>25297</v>
      </c>
      <c r="X3160" t="s">
        <v>3</v>
      </c>
      <c r="AA3160" s="5" t="str">
        <f>HYPERLINK("https://www.zillow.com/homes/961-ELM-CT-NAPERVILLE-IL-60540_rb/","check listing")</f>
        <v>check listing</v>
      </c>
      <c r="AB3160" s="5" t="str">
        <f>HYPERLINK("https://propertylookup.dupagecounty.gov/Datalets/Datalet.aspx?UseSearch=no&amp;mode=sales&amp;pin=0726208012","sales record")</f>
        <v>sales record</v>
      </c>
      <c r="AC3160" t="s">
        <v>3</v>
      </c>
      <c r="AD3160">
        <v>41.751219</v>
      </c>
      <c r="AE3160">
        <v>-88.173142</v>
      </c>
      <c r="AF3160" s="5" t="str">
        <f>HYPERLINK("https://www.google.com/maps/search/?api=1&amp;query=41.751219,-88.173142","map")</f>
        <v>map</v>
      </c>
    </row>
    <row r="3161" spans="1:32">
      <c r="A3161" t="s">
        <v>3211</v>
      </c>
      <c r="B3161" t="s">
        <v>10744</v>
      </c>
      <c r="C3161" t="s">
        <v>15475</v>
      </c>
      <c r="D3161" t="s">
        <v>16206</v>
      </c>
      <c r="E3161" t="s">
        <v>16218</v>
      </c>
      <c r="F3161" t="s">
        <v>16220</v>
      </c>
      <c r="G3161" t="s">
        <v>16274</v>
      </c>
      <c r="H3161" t="s">
        <v>16269</v>
      </c>
      <c r="I3161" t="s">
        <v>16352</v>
      </c>
      <c r="J3161" t="s">
        <v>16386</v>
      </c>
      <c r="K3161">
        <v>0.207</v>
      </c>
      <c r="L3161">
        <v>9004</v>
      </c>
      <c r="M3161">
        <v>1930</v>
      </c>
      <c r="N3161" t="s">
        <v>16393</v>
      </c>
      <c r="O3161" s="4">
        <v>62185</v>
      </c>
      <c r="P3161" s="4">
        <v>127898</v>
      </c>
      <c r="Q3161" s="4">
        <v>190083</v>
      </c>
      <c r="R3161" s="4">
        <v>570249</v>
      </c>
      <c r="S3161" t="s">
        <v>19474</v>
      </c>
      <c r="T3161" s="6">
        <v>44881</v>
      </c>
      <c r="U3161" s="4">
        <v>435000</v>
      </c>
      <c r="V3161" t="s">
        <v>23739</v>
      </c>
      <c r="W3161" t="s">
        <v>25298</v>
      </c>
      <c r="X3161" t="s">
        <v>3</v>
      </c>
      <c r="AA3161" s="5" t="str">
        <f>HYPERLINK("https://www.zillow.com/homes/957-ELM-CT-NAPERVILLE-IL-60540_rb/","check listing")</f>
        <v>check listing</v>
      </c>
      <c r="AB3161" s="5" t="str">
        <f>HYPERLINK("https://propertylookup.dupagecounty.gov/Datalets/Datalet.aspx?UseSearch=no&amp;mode=sales&amp;pin=0726208013","sales record")</f>
        <v>sales record</v>
      </c>
      <c r="AC3161" t="s">
        <v>3</v>
      </c>
      <c r="AD3161">
        <v>41.751423</v>
      </c>
      <c r="AE3161">
        <v>-88.17309899999999</v>
      </c>
      <c r="AF3161" s="5" t="str">
        <f>HYPERLINK("https://www.google.com/maps/search/?api=1&amp;query=41.751423,-88.173099","map")</f>
        <v>map</v>
      </c>
    </row>
    <row r="3162" spans="1:32">
      <c r="A3162" t="s">
        <v>3212</v>
      </c>
      <c r="B3162" t="s">
        <v>10745</v>
      </c>
      <c r="C3162" t="s">
        <v>15475</v>
      </c>
      <c r="D3162" t="s">
        <v>16206</v>
      </c>
      <c r="E3162" t="s">
        <v>16218</v>
      </c>
      <c r="F3162" t="s">
        <v>16220</v>
      </c>
      <c r="G3162" t="s">
        <v>16274</v>
      </c>
      <c r="H3162" t="s">
        <v>16269</v>
      </c>
      <c r="I3162" t="s">
        <v>16352</v>
      </c>
      <c r="J3162" t="s">
        <v>16386</v>
      </c>
      <c r="K3162">
        <v>0.207</v>
      </c>
      <c r="L3162">
        <v>9003</v>
      </c>
      <c r="M3162">
        <v>2308</v>
      </c>
      <c r="N3162" t="s">
        <v>16393</v>
      </c>
      <c r="O3162" s="4">
        <v>55106</v>
      </c>
      <c r="P3162" s="4">
        <v>144497</v>
      </c>
      <c r="Q3162" s="4">
        <v>199603</v>
      </c>
      <c r="R3162" s="4">
        <v>598809</v>
      </c>
      <c r="S3162" t="s">
        <v>19475</v>
      </c>
      <c r="T3162" s="6">
        <v>35431</v>
      </c>
      <c r="U3162" s="4">
        <v>216000</v>
      </c>
      <c r="X3162" t="s">
        <v>3</v>
      </c>
      <c r="AA3162" s="5" t="str">
        <f>HYPERLINK("https://www.zillow.com/homes/1230-OAKTON-LN-NAPERVILLE-IL-60540_rb/","check listing")</f>
        <v>check listing</v>
      </c>
      <c r="AB3162" s="5" t="str">
        <f>HYPERLINK("https://propertylookup.dupagecounty.gov/Datalets/Datalet.aspx?UseSearch=no&amp;mode=sales&amp;pin=0726204007","sales record")</f>
        <v>sales record</v>
      </c>
      <c r="AC3162" t="s">
        <v>3</v>
      </c>
      <c r="AD3162">
        <v>41.754482</v>
      </c>
      <c r="AE3162">
        <v>-88.170511</v>
      </c>
      <c r="AF3162" s="5" t="str">
        <f>HYPERLINK("https://www.google.com/maps/search/?api=1&amp;query=41.754482,-88.170511","map")</f>
        <v>map</v>
      </c>
    </row>
    <row r="3163" spans="1:32">
      <c r="A3163" t="s">
        <v>3213</v>
      </c>
      <c r="B3163" t="s">
        <v>10746</v>
      </c>
      <c r="C3163" t="s">
        <v>15475</v>
      </c>
      <c r="D3163" t="s">
        <v>16206</v>
      </c>
      <c r="E3163" t="s">
        <v>16218</v>
      </c>
      <c r="F3163" t="s">
        <v>16220</v>
      </c>
      <c r="G3163" t="s">
        <v>16274</v>
      </c>
      <c r="H3163" t="s">
        <v>16269</v>
      </c>
      <c r="I3163" t="s">
        <v>16352</v>
      </c>
      <c r="J3163" t="s">
        <v>16386</v>
      </c>
      <c r="K3163">
        <v>0.207</v>
      </c>
      <c r="L3163">
        <v>9003</v>
      </c>
      <c r="M3163">
        <v>2473</v>
      </c>
      <c r="N3163" t="s">
        <v>16393</v>
      </c>
      <c r="O3163" s="4">
        <v>52128</v>
      </c>
      <c r="P3163" s="4">
        <v>123968</v>
      </c>
      <c r="Q3163" s="4">
        <v>176096</v>
      </c>
      <c r="R3163" s="4">
        <v>528288</v>
      </c>
      <c r="S3163" t="s">
        <v>19476</v>
      </c>
      <c r="T3163" s="6">
        <v>32721</v>
      </c>
      <c r="U3163" s="4">
        <v>177560</v>
      </c>
      <c r="X3163" t="s">
        <v>3</v>
      </c>
      <c r="AA3163" s="5" t="str">
        <f>HYPERLINK("https://www.zillow.com/homes/913-RIVER-RD-NAPERVILLE-IL-60540_rb/","check listing")</f>
        <v>check listing</v>
      </c>
      <c r="AB3163" s="5" t="str">
        <f>HYPERLINK("https://propertylookup.dupagecounty.gov/Datalets/Datalet.aspx?UseSearch=no&amp;mode=sales&amp;pin=0726207004","sales record")</f>
        <v>sales record</v>
      </c>
      <c r="AC3163" t="s">
        <v>3</v>
      </c>
      <c r="AD3163">
        <v>41.753815</v>
      </c>
      <c r="AE3163">
        <v>-88.17290199999999</v>
      </c>
      <c r="AF3163" s="5" t="str">
        <f>HYPERLINK("https://www.google.com/maps/search/?api=1&amp;query=41.753815,-88.172902","map")</f>
        <v>map</v>
      </c>
    </row>
    <row r="3164" spans="1:32">
      <c r="A3164" t="s">
        <v>3214</v>
      </c>
      <c r="B3164" t="s">
        <v>10747</v>
      </c>
      <c r="C3164" t="s">
        <v>15475</v>
      </c>
      <c r="D3164" t="s">
        <v>16206</v>
      </c>
      <c r="E3164" t="s">
        <v>16218</v>
      </c>
      <c r="F3164" t="s">
        <v>16220</v>
      </c>
      <c r="G3164" t="s">
        <v>16274</v>
      </c>
      <c r="H3164" t="s">
        <v>16269</v>
      </c>
      <c r="I3164" t="s">
        <v>16352</v>
      </c>
      <c r="J3164" t="s">
        <v>16386</v>
      </c>
      <c r="K3164">
        <v>0.207</v>
      </c>
      <c r="L3164">
        <v>9003</v>
      </c>
      <c r="M3164">
        <v>2957</v>
      </c>
      <c r="N3164" t="s">
        <v>16393</v>
      </c>
      <c r="O3164" s="4">
        <v>55106</v>
      </c>
      <c r="P3164" s="4">
        <v>140396</v>
      </c>
      <c r="Q3164" s="4">
        <v>195502</v>
      </c>
      <c r="R3164" s="4">
        <v>586506</v>
      </c>
      <c r="S3164" t="s">
        <v>19477</v>
      </c>
      <c r="T3164" s="6">
        <v>45646</v>
      </c>
      <c r="U3164" s="4">
        <v>490000</v>
      </c>
      <c r="V3164" t="s">
        <v>23739</v>
      </c>
      <c r="W3164" t="s">
        <v>25299</v>
      </c>
      <c r="X3164" t="s">
        <v>3</v>
      </c>
      <c r="AA3164" s="5" t="str">
        <f>HYPERLINK("https://www.zillow.com/homes/1221-ARDMORE-DR-NAPERVILLE-IL-60540_rb/","check listing")</f>
        <v>check listing</v>
      </c>
      <c r="AB3164" s="5" t="str">
        <f>HYPERLINK("https://propertylookup.dupagecounty.gov/Datalets/Datalet.aspx?UseSearch=no&amp;mode=sales&amp;pin=0726204018","sales record")</f>
        <v>sales record</v>
      </c>
      <c r="AC3164" t="s">
        <v>3</v>
      </c>
      <c r="AD3164">
        <v>41.7543</v>
      </c>
      <c r="AE3164">
        <v>-88.17002100000001</v>
      </c>
      <c r="AF3164" s="5" t="str">
        <f>HYPERLINK("https://www.google.com/maps/search/?api=1&amp;query=41.7543,-88.170021","map")</f>
        <v>map</v>
      </c>
    </row>
    <row r="3165" spans="1:32">
      <c r="A3165" t="s">
        <v>3215</v>
      </c>
      <c r="B3165" t="s">
        <v>10748</v>
      </c>
      <c r="C3165" t="s">
        <v>15475</v>
      </c>
      <c r="D3165" t="s">
        <v>16206</v>
      </c>
      <c r="E3165" t="s">
        <v>16218</v>
      </c>
      <c r="F3165" t="s">
        <v>16220</v>
      </c>
      <c r="G3165" t="s">
        <v>16274</v>
      </c>
      <c r="H3165" t="s">
        <v>16269</v>
      </c>
      <c r="I3165" t="s">
        <v>16352</v>
      </c>
      <c r="J3165" t="s">
        <v>16386</v>
      </c>
      <c r="K3165">
        <v>0.207</v>
      </c>
      <c r="L3165">
        <v>9003</v>
      </c>
      <c r="M3165">
        <v>2309</v>
      </c>
      <c r="N3165" t="s">
        <v>16393</v>
      </c>
      <c r="O3165" s="4">
        <v>53007</v>
      </c>
      <c r="P3165" s="4">
        <v>141751</v>
      </c>
      <c r="Q3165" s="4">
        <v>194758</v>
      </c>
      <c r="R3165" s="4">
        <v>584274</v>
      </c>
      <c r="S3165" t="s">
        <v>19478</v>
      </c>
      <c r="T3165" s="6">
        <v>41913</v>
      </c>
      <c r="U3165" s="4">
        <v>368000</v>
      </c>
      <c r="V3165" t="s">
        <v>16232</v>
      </c>
      <c r="W3165" t="s">
        <v>25300</v>
      </c>
      <c r="X3165" t="s">
        <v>3</v>
      </c>
      <c r="AA3165" s="5" t="str">
        <f>HYPERLINK("https://www.zillow.com/homes/1264-ASHTON-LN-NAPERVILLE-IL-60540_rb/","check listing")</f>
        <v>check listing</v>
      </c>
      <c r="AB3165" s="5" t="str">
        <f>HYPERLINK("https://propertylookup.dupagecounty.gov/Datalets/Datalet.aspx?UseSearch=no&amp;mode=sales&amp;pin=0726206003","sales record")</f>
        <v>sales record</v>
      </c>
      <c r="AC3165" t="s">
        <v>3</v>
      </c>
      <c r="AD3165">
        <v>41.752488</v>
      </c>
      <c r="AE3165">
        <v>-88.171091</v>
      </c>
      <c r="AF3165" s="5" t="str">
        <f>HYPERLINK("https://www.google.com/maps/search/?api=1&amp;query=41.752488,-88.171091","map")</f>
        <v>map</v>
      </c>
    </row>
    <row r="3166" spans="1:32">
      <c r="A3166" t="s">
        <v>3216</v>
      </c>
      <c r="B3166" t="s">
        <v>10749</v>
      </c>
      <c r="C3166" t="s">
        <v>15475</v>
      </c>
      <c r="D3166" t="s">
        <v>16206</v>
      </c>
      <c r="E3166" t="s">
        <v>16218</v>
      </c>
      <c r="F3166" t="s">
        <v>16220</v>
      </c>
      <c r="G3166" t="s">
        <v>16274</v>
      </c>
      <c r="H3166" t="s">
        <v>16269</v>
      </c>
      <c r="I3166" t="s">
        <v>16352</v>
      </c>
      <c r="J3166" t="s">
        <v>16386</v>
      </c>
      <c r="K3166">
        <v>0.207</v>
      </c>
      <c r="L3166">
        <v>9002</v>
      </c>
      <c r="M3166">
        <v>2310</v>
      </c>
      <c r="N3166" t="s">
        <v>16393</v>
      </c>
      <c r="O3166" s="4">
        <v>52128</v>
      </c>
      <c r="P3166" s="4">
        <v>119184</v>
      </c>
      <c r="Q3166" s="4">
        <v>171312</v>
      </c>
      <c r="R3166" s="4">
        <v>513936</v>
      </c>
      <c r="S3166" t="s">
        <v>19479</v>
      </c>
      <c r="T3166" s="6">
        <v>45279</v>
      </c>
      <c r="U3166" s="4">
        <v>495000</v>
      </c>
      <c r="V3166" t="s">
        <v>23741</v>
      </c>
      <c r="W3166" t="s">
        <v>25301</v>
      </c>
      <c r="X3166" t="s">
        <v>3</v>
      </c>
      <c r="AA3166" s="5" t="str">
        <f>HYPERLINK("https://www.zillow.com/homes/863-PLAINFIELD-NAPER-NAPERVILLE-IL-60540_rb/","check listing")</f>
        <v>check listing</v>
      </c>
      <c r="AB3166" s="5" t="str">
        <f>HYPERLINK("https://propertylookup.dupagecounty.gov/Datalets/Datalet.aspx?UseSearch=no&amp;mode=sales&amp;pin=0723410093","sales record")</f>
        <v>sales record</v>
      </c>
      <c r="AC3166" t="s">
        <v>3</v>
      </c>
      <c r="AD3166">
        <v>41.755682</v>
      </c>
      <c r="AE3166">
        <v>-88.16686199999999</v>
      </c>
      <c r="AF3166" s="5" t="str">
        <f>HYPERLINK("https://www.google.com/maps/search/?api=1&amp;query=41.755682,-88.166862","map")</f>
        <v>map</v>
      </c>
    </row>
    <row r="3167" spans="1:32">
      <c r="A3167" t="s">
        <v>3217</v>
      </c>
      <c r="B3167" t="s">
        <v>10750</v>
      </c>
      <c r="C3167" t="s">
        <v>15475</v>
      </c>
      <c r="D3167" t="s">
        <v>16206</v>
      </c>
      <c r="E3167" t="s">
        <v>16218</v>
      </c>
      <c r="F3167" t="s">
        <v>16220</v>
      </c>
      <c r="G3167" t="s">
        <v>16274</v>
      </c>
      <c r="H3167" t="s">
        <v>16269</v>
      </c>
      <c r="I3167" t="s">
        <v>16352</v>
      </c>
      <c r="J3167" t="s">
        <v>16386</v>
      </c>
      <c r="K3167">
        <v>0.207</v>
      </c>
      <c r="L3167">
        <v>9002</v>
      </c>
      <c r="M3167">
        <v>2309</v>
      </c>
      <c r="N3167" t="s">
        <v>16393</v>
      </c>
      <c r="O3167" s="4">
        <v>53007</v>
      </c>
      <c r="P3167" s="4">
        <v>121795</v>
      </c>
      <c r="Q3167" s="4">
        <v>174802</v>
      </c>
      <c r="R3167" s="4">
        <v>524406</v>
      </c>
      <c r="S3167" t="s">
        <v>19480</v>
      </c>
      <c r="T3167" s="6">
        <v>42522</v>
      </c>
      <c r="U3167" s="4">
        <v>356500</v>
      </c>
      <c r="V3167" t="s">
        <v>23739</v>
      </c>
      <c r="W3167" t="s">
        <v>25302</v>
      </c>
      <c r="X3167" t="s">
        <v>3</v>
      </c>
      <c r="AA3167" s="5" t="str">
        <f>HYPERLINK("https://www.zillow.com/homes/1208-ARDMORE-DR-NAPERVILLE-IL-60540_rb/","check listing")</f>
        <v>check listing</v>
      </c>
      <c r="AB3167" s="5" t="str">
        <f>HYPERLINK("https://propertylookup.dupagecounty.gov/Datalets/Datalet.aspx?UseSearch=no&amp;mode=sales&amp;pin=0726206015","sales record")</f>
        <v>sales record</v>
      </c>
      <c r="AC3167" t="s">
        <v>3</v>
      </c>
      <c r="AD3167">
        <v>41.754147</v>
      </c>
      <c r="AE3167">
        <v>-88.16892300000001</v>
      </c>
      <c r="AF3167" s="5" t="str">
        <f>HYPERLINK("https://www.google.com/maps/search/?api=1&amp;query=41.754147,-88.168923","map")</f>
        <v>map</v>
      </c>
    </row>
    <row r="3168" spans="1:32">
      <c r="A3168" t="s">
        <v>3218</v>
      </c>
      <c r="B3168" t="s">
        <v>10751</v>
      </c>
      <c r="C3168" t="s">
        <v>15475</v>
      </c>
      <c r="D3168" t="s">
        <v>16206</v>
      </c>
      <c r="E3168" t="s">
        <v>16218</v>
      </c>
      <c r="F3168" t="s">
        <v>16220</v>
      </c>
      <c r="G3168" t="s">
        <v>16274</v>
      </c>
      <c r="H3168" t="s">
        <v>16269</v>
      </c>
      <c r="I3168" t="s">
        <v>16352</v>
      </c>
      <c r="J3168" t="s">
        <v>16386</v>
      </c>
      <c r="K3168">
        <v>0.207</v>
      </c>
      <c r="L3168">
        <v>9002</v>
      </c>
      <c r="M3168">
        <v>1979</v>
      </c>
      <c r="N3168" t="s">
        <v>16393</v>
      </c>
      <c r="O3168" s="4">
        <v>58646</v>
      </c>
      <c r="P3168" s="4">
        <v>135002</v>
      </c>
      <c r="Q3168" s="4">
        <v>193648</v>
      </c>
      <c r="R3168" s="4">
        <v>580944</v>
      </c>
      <c r="S3168" t="s">
        <v>19481</v>
      </c>
      <c r="T3168" s="6">
        <v>38412</v>
      </c>
      <c r="U3168" s="4">
        <v>347000</v>
      </c>
      <c r="V3168" t="s">
        <v>23739</v>
      </c>
      <c r="W3168" t="s">
        <v>19481</v>
      </c>
      <c r="X3168" t="s">
        <v>3</v>
      </c>
      <c r="AA3168" s="5" t="str">
        <f>HYPERLINK("https://www.zillow.com/homes/968-ELM-CT-NAPERVILLE-IL-60540_rb/","check listing")</f>
        <v>check listing</v>
      </c>
      <c r="AB3168" s="5" t="str">
        <f>HYPERLINK("https://propertylookup.dupagecounty.gov/Datalets/Datalet.aspx?UseSearch=no&amp;mode=sales&amp;pin=0726208005","sales record")</f>
        <v>sales record</v>
      </c>
      <c r="AC3168" t="s">
        <v>3</v>
      </c>
      <c r="AD3168">
        <v>41.750817</v>
      </c>
      <c r="AE3168">
        <v>-88.172538</v>
      </c>
      <c r="AF3168" s="5" t="str">
        <f>HYPERLINK("https://www.google.com/maps/search/?api=1&amp;query=41.750817,-88.172538","map")</f>
        <v>map</v>
      </c>
    </row>
    <row r="3169" spans="1:32">
      <c r="A3169" t="s">
        <v>3219</v>
      </c>
      <c r="B3169" t="s">
        <v>10752</v>
      </c>
      <c r="C3169" t="s">
        <v>15528</v>
      </c>
      <c r="D3169" t="s">
        <v>16206</v>
      </c>
      <c r="E3169" t="s">
        <v>16218</v>
      </c>
      <c r="F3169" t="s">
        <v>16220</v>
      </c>
      <c r="G3169" t="s">
        <v>16274</v>
      </c>
      <c r="H3169" t="s">
        <v>16269</v>
      </c>
      <c r="I3169" t="s">
        <v>16352</v>
      </c>
      <c r="J3169" t="s">
        <v>16386</v>
      </c>
      <c r="K3169">
        <v>0.207</v>
      </c>
      <c r="L3169">
        <v>9002</v>
      </c>
      <c r="M3169">
        <v>2472</v>
      </c>
      <c r="N3169" t="s">
        <v>16393</v>
      </c>
      <c r="O3169" s="4">
        <v>55106</v>
      </c>
      <c r="P3169" s="4">
        <v>123248</v>
      </c>
      <c r="Q3169" s="4">
        <v>178354</v>
      </c>
      <c r="R3169" s="4">
        <v>535062</v>
      </c>
      <c r="S3169" t="s">
        <v>19482</v>
      </c>
      <c r="T3169" s="6">
        <v>43862</v>
      </c>
      <c r="U3169" s="4">
        <v>400000</v>
      </c>
      <c r="V3169" t="s">
        <v>23739</v>
      </c>
      <c r="W3169" t="s">
        <v>25303</v>
      </c>
      <c r="X3169" t="s">
        <v>3</v>
      </c>
      <c r="AA3169" s="5" t="str">
        <f>HYPERLINK("https://www.zillow.com/homes/1233-ARDMORE-DR-NAPERVILLE-IL-605400303_rb/","check listing")</f>
        <v>check listing</v>
      </c>
      <c r="AB3169" s="5" t="str">
        <f>HYPERLINK("https://propertylookup.dupagecounty.gov/Datalets/Datalet.aspx?UseSearch=no&amp;mode=sales&amp;pin=0726204021","sales record")</f>
        <v>sales record</v>
      </c>
      <c r="AC3169" t="s">
        <v>3</v>
      </c>
      <c r="AD3169">
        <v>41.754019</v>
      </c>
      <c r="AE3169">
        <v>-88.170755</v>
      </c>
      <c r="AF3169" s="5" t="str">
        <f>HYPERLINK("https://www.google.com/maps/search/?api=1&amp;query=41.754019,-88.170755","map")</f>
        <v>map</v>
      </c>
    </row>
    <row r="3170" spans="1:32">
      <c r="A3170" t="s">
        <v>3220</v>
      </c>
      <c r="B3170" t="s">
        <v>10753</v>
      </c>
      <c r="C3170" t="s">
        <v>15475</v>
      </c>
      <c r="D3170" t="s">
        <v>16206</v>
      </c>
      <c r="E3170" t="s">
        <v>16218</v>
      </c>
      <c r="F3170" t="s">
        <v>16220</v>
      </c>
      <c r="G3170" t="s">
        <v>16274</v>
      </c>
      <c r="H3170" t="s">
        <v>16269</v>
      </c>
      <c r="I3170" t="s">
        <v>16352</v>
      </c>
      <c r="J3170" t="s">
        <v>16386</v>
      </c>
      <c r="K3170">
        <v>0.207</v>
      </c>
      <c r="L3170">
        <v>9002</v>
      </c>
      <c r="M3170">
        <v>1781</v>
      </c>
      <c r="N3170" t="s">
        <v>16393</v>
      </c>
      <c r="O3170" s="4">
        <v>58646</v>
      </c>
      <c r="P3170" s="4">
        <v>133451</v>
      </c>
      <c r="Q3170" s="4">
        <v>192097</v>
      </c>
      <c r="R3170" s="4">
        <v>576291</v>
      </c>
      <c r="S3170" t="s">
        <v>19483</v>
      </c>
      <c r="T3170" s="6">
        <v>33451</v>
      </c>
      <c r="U3170" s="4">
        <v>181400</v>
      </c>
      <c r="X3170" t="s">
        <v>3</v>
      </c>
      <c r="AA3170" s="5" t="str">
        <f>HYPERLINK("https://www.zillow.com/homes/960-ELM-CT-NAPERVILLE-IL-60540_rb/","check listing")</f>
        <v>check listing</v>
      </c>
      <c r="AB3170" s="5" t="str">
        <f>HYPERLINK("https://propertylookup.dupagecounty.gov/Datalets/Datalet.aspx?UseSearch=no&amp;mode=sales&amp;pin=0726208003","sales record")</f>
        <v>sales record</v>
      </c>
      <c r="AC3170" t="s">
        <v>3</v>
      </c>
      <c r="AD3170">
        <v>41.751224</v>
      </c>
      <c r="AE3170">
        <v>-88.172451</v>
      </c>
      <c r="AF3170" s="5" t="str">
        <f>HYPERLINK("https://www.google.com/maps/search/?api=1&amp;query=41.751224,-88.172451","map")</f>
        <v>map</v>
      </c>
    </row>
    <row r="3171" spans="1:32">
      <c r="A3171" t="s">
        <v>3221</v>
      </c>
      <c r="B3171" t="s">
        <v>10754</v>
      </c>
      <c r="C3171" t="s">
        <v>15475</v>
      </c>
      <c r="D3171" t="s">
        <v>16206</v>
      </c>
      <c r="E3171" t="s">
        <v>16218</v>
      </c>
      <c r="F3171" t="s">
        <v>16220</v>
      </c>
      <c r="G3171" t="s">
        <v>16274</v>
      </c>
      <c r="H3171" t="s">
        <v>16269</v>
      </c>
      <c r="I3171" t="s">
        <v>16352</v>
      </c>
      <c r="J3171" t="s">
        <v>16386</v>
      </c>
      <c r="K3171">
        <v>0.207</v>
      </c>
      <c r="L3171">
        <v>9001</v>
      </c>
      <c r="M3171">
        <v>2450</v>
      </c>
      <c r="N3171" t="s">
        <v>16393</v>
      </c>
      <c r="O3171" s="4">
        <v>55106</v>
      </c>
      <c r="P3171" s="4">
        <v>147463</v>
      </c>
      <c r="Q3171" s="4">
        <v>202569</v>
      </c>
      <c r="R3171" s="4">
        <v>607707</v>
      </c>
      <c r="S3171" t="s">
        <v>19484</v>
      </c>
      <c r="T3171" s="6">
        <v>33390</v>
      </c>
      <c r="U3171" s="4">
        <v>190000</v>
      </c>
      <c r="X3171" t="s">
        <v>3</v>
      </c>
      <c r="AA3171" s="5" t="str">
        <f>HYPERLINK("https://www.zillow.com/homes/1217-ARDMORE-DR-NAPERVILLE-IL-60540_rb/","check listing")</f>
        <v>check listing</v>
      </c>
      <c r="AB3171" s="5" t="str">
        <f>HYPERLINK("https://propertylookup.dupagecounty.gov/Datalets/Datalet.aspx?UseSearch=no&amp;mode=sales&amp;pin=0726204017","sales record")</f>
        <v>sales record</v>
      </c>
      <c r="AC3171" t="s">
        <v>3</v>
      </c>
      <c r="AD3171">
        <v>41.754394</v>
      </c>
      <c r="AE3171">
        <v>-88.169776</v>
      </c>
      <c r="AF3171" s="5" t="str">
        <f>HYPERLINK("https://www.google.com/maps/search/?api=1&amp;query=41.754394,-88.169776","map")</f>
        <v>map</v>
      </c>
    </row>
    <row r="3172" spans="1:32">
      <c r="A3172" t="s">
        <v>3222</v>
      </c>
      <c r="B3172" t="s">
        <v>10755</v>
      </c>
      <c r="C3172" t="s">
        <v>15475</v>
      </c>
      <c r="D3172" t="s">
        <v>16206</v>
      </c>
      <c r="E3172" t="s">
        <v>16218</v>
      </c>
      <c r="F3172" t="s">
        <v>16220</v>
      </c>
      <c r="G3172" t="s">
        <v>16274</v>
      </c>
      <c r="H3172" t="s">
        <v>16269</v>
      </c>
      <c r="I3172" t="s">
        <v>16352</v>
      </c>
      <c r="J3172" t="s">
        <v>16386</v>
      </c>
      <c r="K3172">
        <v>0.207</v>
      </c>
      <c r="L3172">
        <v>9001</v>
      </c>
      <c r="M3172">
        <v>2875</v>
      </c>
      <c r="N3172" t="s">
        <v>16393</v>
      </c>
      <c r="O3172" s="4">
        <v>55106</v>
      </c>
      <c r="P3172" s="4">
        <v>147145</v>
      </c>
      <c r="Q3172" s="4">
        <v>202251</v>
      </c>
      <c r="R3172" s="4">
        <v>606753</v>
      </c>
      <c r="S3172" t="s">
        <v>19485</v>
      </c>
      <c r="T3172" s="6">
        <v>45765</v>
      </c>
      <c r="U3172" s="4">
        <v>690000</v>
      </c>
      <c r="V3172" t="s">
        <v>23739</v>
      </c>
      <c r="W3172" t="s">
        <v>25304</v>
      </c>
      <c r="X3172" t="s">
        <v>3</v>
      </c>
      <c r="AA3172" s="5" t="str">
        <f>HYPERLINK("https://www.zillow.com/homes/1209-ARDMORE-DR-NAPERVILLE-IL-60540_rb/","check listing")</f>
        <v>check listing</v>
      </c>
      <c r="AB3172" s="5" t="str">
        <f>HYPERLINK("https://propertylookup.dupagecounty.gov/Datalets/Datalet.aspx?UseSearch=no&amp;mode=sales&amp;pin=0726204015","sales record")</f>
        <v>sales record</v>
      </c>
      <c r="AC3172" t="s">
        <v>3</v>
      </c>
      <c r="AD3172">
        <v>41.754581</v>
      </c>
      <c r="AE3172">
        <v>-88.169287</v>
      </c>
      <c r="AF3172" s="5" t="str">
        <f>HYPERLINK("https://www.google.com/maps/search/?api=1&amp;query=41.754581,-88.169287","map")</f>
        <v>map</v>
      </c>
    </row>
    <row r="3173" spans="1:32">
      <c r="A3173" t="s">
        <v>3223</v>
      </c>
      <c r="B3173" t="s">
        <v>10756</v>
      </c>
      <c r="C3173" t="s">
        <v>15475</v>
      </c>
      <c r="D3173" t="s">
        <v>16206</v>
      </c>
      <c r="E3173" t="s">
        <v>16218</v>
      </c>
      <c r="F3173" t="s">
        <v>16220</v>
      </c>
      <c r="G3173" t="s">
        <v>16274</v>
      </c>
      <c r="H3173" t="s">
        <v>16269</v>
      </c>
      <c r="I3173" t="s">
        <v>16352</v>
      </c>
      <c r="J3173" t="s">
        <v>16386</v>
      </c>
      <c r="K3173">
        <v>0.207</v>
      </c>
      <c r="L3173">
        <v>9001</v>
      </c>
      <c r="M3173">
        <v>2177</v>
      </c>
      <c r="N3173" t="s">
        <v>16393</v>
      </c>
      <c r="O3173" s="4">
        <v>52128</v>
      </c>
      <c r="P3173" s="4">
        <v>136051</v>
      </c>
      <c r="Q3173" s="4">
        <v>188179</v>
      </c>
      <c r="R3173" s="4">
        <v>564537</v>
      </c>
      <c r="S3173" t="s">
        <v>19486</v>
      </c>
      <c r="T3173" s="6">
        <v>37591</v>
      </c>
      <c r="U3173" s="4">
        <v>287000</v>
      </c>
      <c r="V3173" t="s">
        <v>23739</v>
      </c>
      <c r="W3173" t="s">
        <v>25305</v>
      </c>
      <c r="X3173" t="s">
        <v>3</v>
      </c>
      <c r="AA3173" s="5" t="str">
        <f>HYPERLINK("https://www.zillow.com/homes/859-PLNFLDNAPER-RD-NAPERVILLE-IL-60540_rb/","check listing")</f>
        <v>check listing</v>
      </c>
      <c r="AB3173" s="5" t="str">
        <f>HYPERLINK("https://propertylookup.dupagecounty.gov/Datalets/Datalet.aspx?UseSearch=no&amp;mode=sales&amp;pin=0723410094","sales record")</f>
        <v>sales record</v>
      </c>
      <c r="AC3173" t="s">
        <v>3</v>
      </c>
      <c r="AD3173">
        <v>41.755872</v>
      </c>
      <c r="AE3173">
        <v>-88.166867</v>
      </c>
      <c r="AF3173" s="5" t="str">
        <f>HYPERLINK("https://www.google.com/maps/search/?api=1&amp;query=41.755872,-88.166867","map")</f>
        <v>map</v>
      </c>
    </row>
    <row r="3174" spans="1:32">
      <c r="A3174" t="s">
        <v>3224</v>
      </c>
      <c r="B3174" t="s">
        <v>10757</v>
      </c>
      <c r="C3174" t="s">
        <v>15475</v>
      </c>
      <c r="D3174" t="s">
        <v>16206</v>
      </c>
      <c r="E3174" t="s">
        <v>16218</v>
      </c>
      <c r="F3174" t="s">
        <v>16220</v>
      </c>
      <c r="G3174" t="s">
        <v>16274</v>
      </c>
      <c r="H3174" t="s">
        <v>16269</v>
      </c>
      <c r="I3174" t="s">
        <v>16352</v>
      </c>
      <c r="J3174" t="s">
        <v>16386</v>
      </c>
      <c r="K3174">
        <v>0.207</v>
      </c>
      <c r="L3174">
        <v>9001</v>
      </c>
      <c r="M3174">
        <v>1716</v>
      </c>
      <c r="N3174" t="s">
        <v>16393</v>
      </c>
      <c r="O3174" s="4">
        <v>62185</v>
      </c>
      <c r="P3174" s="4">
        <v>116486</v>
      </c>
      <c r="Q3174" s="4">
        <v>178671</v>
      </c>
      <c r="R3174" s="4">
        <v>536013</v>
      </c>
      <c r="S3174" t="s">
        <v>19487</v>
      </c>
      <c r="T3174" s="6">
        <v>35704</v>
      </c>
      <c r="U3174" s="4">
        <v>217000</v>
      </c>
      <c r="X3174" t="s">
        <v>3</v>
      </c>
      <c r="AA3174" s="5" t="str">
        <f>HYPERLINK("https://www.zillow.com/homes/929-ELM-ST-NAPERVILLE-IL-60540_rb/","check listing")</f>
        <v>check listing</v>
      </c>
      <c r="AB3174" s="5" t="str">
        <f>HYPERLINK("https://propertylookup.dupagecounty.gov/Datalets/Datalet.aspx?UseSearch=no&amp;mode=sales&amp;pin=0726208020","sales record")</f>
        <v>sales record</v>
      </c>
      <c r="AC3174" t="s">
        <v>3</v>
      </c>
      <c r="AD3174">
        <v>41.752757</v>
      </c>
      <c r="AE3174">
        <v>-88.173778</v>
      </c>
      <c r="AF3174" s="5" t="str">
        <f>HYPERLINK("https://www.google.com/maps/search/?api=1&amp;query=41.752757,-88.173778","map")</f>
        <v>map</v>
      </c>
    </row>
    <row r="3175" spans="1:32">
      <c r="A3175" t="s">
        <v>3225</v>
      </c>
      <c r="B3175" t="s">
        <v>10758</v>
      </c>
      <c r="C3175" t="s">
        <v>15475</v>
      </c>
      <c r="D3175" t="s">
        <v>16206</v>
      </c>
      <c r="E3175" t="s">
        <v>16218</v>
      </c>
      <c r="F3175" t="s">
        <v>16220</v>
      </c>
      <c r="G3175" t="s">
        <v>16274</v>
      </c>
      <c r="H3175" t="s">
        <v>16269</v>
      </c>
      <c r="I3175" t="s">
        <v>16352</v>
      </c>
      <c r="J3175" t="s">
        <v>16386</v>
      </c>
      <c r="K3175">
        <v>0.207</v>
      </c>
      <c r="L3175">
        <v>9001</v>
      </c>
      <c r="M3175">
        <v>2309</v>
      </c>
      <c r="N3175" t="s">
        <v>16393</v>
      </c>
      <c r="O3175" s="4">
        <v>53007</v>
      </c>
      <c r="P3175" s="4">
        <v>140640</v>
      </c>
      <c r="Q3175" s="4">
        <v>193647</v>
      </c>
      <c r="R3175" s="4">
        <v>580941</v>
      </c>
      <c r="S3175" t="s">
        <v>19488</v>
      </c>
      <c r="T3175" s="6">
        <v>32752</v>
      </c>
      <c r="U3175" s="4">
        <v>190000</v>
      </c>
      <c r="X3175" t="s">
        <v>3</v>
      </c>
      <c r="AA3175" s="5" t="str">
        <f>HYPERLINK("https://www.zillow.com/homes/1164-ARDMORE-DR-NAPERVILLE-IL-60540_rb/","check listing")</f>
        <v>check listing</v>
      </c>
      <c r="AB3175" s="5" t="str">
        <f>HYPERLINK("https://propertylookup.dupagecounty.gov/Datalets/Datalet.aspx?UseSearch=no&amp;mode=sales&amp;pin=0726206019","sales record")</f>
        <v>sales record</v>
      </c>
      <c r="AC3175" t="s">
        <v>3</v>
      </c>
      <c r="AD3175">
        <v>41.754522</v>
      </c>
      <c r="AE3175">
        <v>-88.16794400000001</v>
      </c>
      <c r="AF3175" s="5" t="str">
        <f>HYPERLINK("https://www.google.com/maps/search/?api=1&amp;query=41.754522,-88.167944","map")</f>
        <v>map</v>
      </c>
    </row>
    <row r="3176" spans="1:32">
      <c r="A3176" t="s">
        <v>3226</v>
      </c>
      <c r="B3176" t="s">
        <v>10759</v>
      </c>
      <c r="C3176" t="s">
        <v>15475</v>
      </c>
      <c r="D3176" t="s">
        <v>16206</v>
      </c>
      <c r="E3176" t="s">
        <v>16218</v>
      </c>
      <c r="F3176" t="s">
        <v>16220</v>
      </c>
      <c r="G3176" t="s">
        <v>16274</v>
      </c>
      <c r="H3176" t="s">
        <v>16269</v>
      </c>
      <c r="I3176" t="s">
        <v>16352</v>
      </c>
      <c r="J3176" t="s">
        <v>16386</v>
      </c>
      <c r="K3176">
        <v>0.207</v>
      </c>
      <c r="L3176">
        <v>9001</v>
      </c>
      <c r="M3176">
        <v>2770</v>
      </c>
      <c r="N3176" t="s">
        <v>16393</v>
      </c>
      <c r="O3176" s="4">
        <v>52128</v>
      </c>
      <c r="P3176" s="4">
        <v>135637</v>
      </c>
      <c r="Q3176" s="4">
        <v>187765</v>
      </c>
      <c r="R3176" s="4">
        <v>563295</v>
      </c>
      <c r="S3176" t="s">
        <v>19489</v>
      </c>
      <c r="T3176" s="6">
        <v>32813</v>
      </c>
      <c r="U3176" s="4">
        <v>182400</v>
      </c>
      <c r="X3176" t="s">
        <v>3</v>
      </c>
      <c r="AA3176" s="5" t="str">
        <f>HYPERLINK("https://www.zillow.com/homes/909-RIVER-RD-NAPERVILLE-IL-60540_rb/","check listing")</f>
        <v>check listing</v>
      </c>
      <c r="AB3176" s="5" t="str">
        <f>HYPERLINK("https://propertylookup.dupagecounty.gov/Datalets/Datalet.aspx?UseSearch=no&amp;mode=sales&amp;pin=0726207003","sales record")</f>
        <v>sales record</v>
      </c>
      <c r="AC3176" t="s">
        <v>3</v>
      </c>
      <c r="AD3176">
        <v>41.754021</v>
      </c>
      <c r="AE3176">
        <v>-88.172906</v>
      </c>
      <c r="AF3176" s="5" t="str">
        <f>HYPERLINK("https://www.google.com/maps/search/?api=1&amp;query=41.754021,-88.172906","map")</f>
        <v>map</v>
      </c>
    </row>
    <row r="3177" spans="1:32">
      <c r="A3177" t="s">
        <v>3227</v>
      </c>
      <c r="B3177" t="s">
        <v>10760</v>
      </c>
      <c r="C3177" t="s">
        <v>15475</v>
      </c>
      <c r="D3177" t="s">
        <v>16206</v>
      </c>
      <c r="E3177" t="s">
        <v>16218</v>
      </c>
      <c r="F3177" t="s">
        <v>16220</v>
      </c>
      <c r="G3177" t="s">
        <v>16274</v>
      </c>
      <c r="H3177" t="s">
        <v>16269</v>
      </c>
      <c r="I3177" t="s">
        <v>16352</v>
      </c>
      <c r="J3177" t="s">
        <v>16386</v>
      </c>
      <c r="K3177">
        <v>0.207</v>
      </c>
      <c r="L3177">
        <v>9001</v>
      </c>
      <c r="M3177">
        <v>2475</v>
      </c>
      <c r="N3177" t="s">
        <v>16393</v>
      </c>
      <c r="O3177" s="4">
        <v>53007</v>
      </c>
      <c r="P3177" s="4">
        <v>145363</v>
      </c>
      <c r="Q3177" s="4">
        <v>198370</v>
      </c>
      <c r="R3177" s="4">
        <v>595110</v>
      </c>
      <c r="S3177" t="s">
        <v>19490</v>
      </c>
      <c r="T3177" s="6">
        <v>42552</v>
      </c>
      <c r="U3177" s="4">
        <v>425000</v>
      </c>
      <c r="V3177" t="s">
        <v>23740</v>
      </c>
      <c r="W3177" t="s">
        <v>25306</v>
      </c>
      <c r="X3177" t="s">
        <v>3</v>
      </c>
      <c r="AA3177" s="5" t="str">
        <f>HYPERLINK("https://www.zillow.com/homes/1244-ASHTON-LN-NAPERVILLE-IL-60540_rb/","check listing")</f>
        <v>check listing</v>
      </c>
      <c r="AB3177" s="5" t="str">
        <f>HYPERLINK("https://propertylookup.dupagecounty.gov/Datalets/Datalet.aspx?UseSearch=no&amp;mode=sales&amp;pin=0726206008","sales record")</f>
        <v>sales record</v>
      </c>
      <c r="AC3177" t="s">
        <v>3</v>
      </c>
      <c r="AD3177">
        <v>41.752834</v>
      </c>
      <c r="AE3177">
        <v>-88.169742</v>
      </c>
      <c r="AF3177" s="5" t="str">
        <f>HYPERLINK("https://www.google.com/maps/search/?api=1&amp;query=41.752834,-88.169742","map")</f>
        <v>map</v>
      </c>
    </row>
    <row r="3178" spans="1:32">
      <c r="A3178" t="s">
        <v>3228</v>
      </c>
      <c r="B3178" t="s">
        <v>10761</v>
      </c>
      <c r="C3178" t="s">
        <v>15545</v>
      </c>
      <c r="D3178" t="s">
        <v>16206</v>
      </c>
      <c r="E3178" t="s">
        <v>16218</v>
      </c>
      <c r="F3178" t="s">
        <v>16220</v>
      </c>
      <c r="G3178" t="s">
        <v>16274</v>
      </c>
      <c r="H3178" t="s">
        <v>16269</v>
      </c>
      <c r="I3178" t="s">
        <v>16352</v>
      </c>
      <c r="J3178" t="s">
        <v>16386</v>
      </c>
      <c r="K3178">
        <v>0.207</v>
      </c>
      <c r="L3178">
        <v>9000</v>
      </c>
      <c r="M3178">
        <v>2639</v>
      </c>
      <c r="N3178" t="s">
        <v>16393</v>
      </c>
      <c r="O3178" s="4">
        <v>55106</v>
      </c>
      <c r="P3178" s="4">
        <v>145034</v>
      </c>
      <c r="Q3178" s="4">
        <v>200140</v>
      </c>
      <c r="R3178" s="4">
        <v>600420</v>
      </c>
      <c r="S3178" t="s">
        <v>19491</v>
      </c>
      <c r="T3178" s="6">
        <v>39965</v>
      </c>
      <c r="U3178" s="4">
        <v>355000</v>
      </c>
      <c r="V3178" t="s">
        <v>23739</v>
      </c>
      <c r="W3178" t="s">
        <v>25307</v>
      </c>
      <c r="X3178" t="s">
        <v>3</v>
      </c>
      <c r="AA3178" s="5" t="str">
        <f>HYPERLINK("https://www.zillow.com/homes/1222-OAKTON-LN-NAPERVILLE-IL-605400312_rb/","check listing")</f>
        <v>check listing</v>
      </c>
      <c r="AB3178" s="5" t="str">
        <f>HYPERLINK("https://propertylookup.dupagecounty.gov/Datalets/Datalet.aspx?UseSearch=no&amp;mode=sales&amp;pin=0726204009","sales record")</f>
        <v>sales record</v>
      </c>
      <c r="AC3178" t="s">
        <v>3</v>
      </c>
      <c r="AD3178">
        <v>41.754669</v>
      </c>
      <c r="AE3178">
        <v>-88.170022</v>
      </c>
      <c r="AF3178" s="5" t="str">
        <f>HYPERLINK("https://www.google.com/maps/search/?api=1&amp;query=41.754669,-88.170022","map")</f>
        <v>map</v>
      </c>
    </row>
    <row r="3179" spans="1:32">
      <c r="A3179" t="s">
        <v>3229</v>
      </c>
      <c r="B3179" t="s">
        <v>10762</v>
      </c>
      <c r="C3179" t="s">
        <v>15475</v>
      </c>
      <c r="D3179" t="s">
        <v>16206</v>
      </c>
      <c r="E3179" t="s">
        <v>16218</v>
      </c>
      <c r="F3179" t="s">
        <v>16220</v>
      </c>
      <c r="G3179" t="s">
        <v>16274</v>
      </c>
      <c r="H3179" t="s">
        <v>16269</v>
      </c>
      <c r="I3179" t="s">
        <v>16352</v>
      </c>
      <c r="J3179" t="s">
        <v>16386</v>
      </c>
      <c r="K3179">
        <v>0.207</v>
      </c>
      <c r="L3179">
        <v>9000</v>
      </c>
      <c r="M3179">
        <v>2358</v>
      </c>
      <c r="N3179" t="s">
        <v>16393</v>
      </c>
      <c r="O3179" s="4">
        <v>52128</v>
      </c>
      <c r="P3179" s="4">
        <v>122845</v>
      </c>
      <c r="Q3179" s="4">
        <v>174973</v>
      </c>
      <c r="R3179" s="4">
        <v>524919</v>
      </c>
      <c r="S3179" t="s">
        <v>19492</v>
      </c>
      <c r="T3179" s="6">
        <v>38899</v>
      </c>
      <c r="U3179" s="4">
        <v>343000</v>
      </c>
      <c r="V3179" t="s">
        <v>23739</v>
      </c>
      <c r="W3179" t="s">
        <v>19492</v>
      </c>
      <c r="X3179" t="s">
        <v>3</v>
      </c>
      <c r="AA3179" s="5" t="str">
        <f>HYPERLINK("https://www.zillow.com/homes/877-PLNFLDNAPER-RD-NAPERVILLE-IL-60540_rb/","check listing")</f>
        <v>check listing</v>
      </c>
      <c r="AB3179" s="5" t="str">
        <f>HYPERLINK("https://propertylookup.dupagecounty.gov/Datalets/Datalet.aspx?UseSearch=no&amp;mode=sales&amp;pin=0726206024","sales record")</f>
        <v>sales record</v>
      </c>
      <c r="AC3179" t="s">
        <v>3</v>
      </c>
      <c r="AD3179">
        <v>41.754759</v>
      </c>
      <c r="AE3179">
        <v>-88.166838</v>
      </c>
      <c r="AF3179" s="5" t="str">
        <f>HYPERLINK("https://www.google.com/maps/search/?api=1&amp;query=41.754759,-88.166838","map")</f>
        <v>map</v>
      </c>
    </row>
    <row r="3180" spans="1:32">
      <c r="A3180" t="s">
        <v>3230</v>
      </c>
      <c r="B3180" t="s">
        <v>10763</v>
      </c>
      <c r="C3180" t="s">
        <v>15475</v>
      </c>
      <c r="D3180" t="s">
        <v>16206</v>
      </c>
      <c r="E3180" t="s">
        <v>16218</v>
      </c>
      <c r="F3180" t="s">
        <v>16220</v>
      </c>
      <c r="G3180" t="s">
        <v>16274</v>
      </c>
      <c r="H3180" t="s">
        <v>16269</v>
      </c>
      <c r="I3180" t="s">
        <v>16352</v>
      </c>
      <c r="J3180" t="s">
        <v>16386</v>
      </c>
      <c r="K3180">
        <v>0.207</v>
      </c>
      <c r="L3180">
        <v>9000</v>
      </c>
      <c r="M3180">
        <v>2359</v>
      </c>
      <c r="N3180" t="s">
        <v>16393</v>
      </c>
      <c r="O3180" s="4">
        <v>53007</v>
      </c>
      <c r="P3180" s="4">
        <v>143740</v>
      </c>
      <c r="Q3180" s="4">
        <v>196747</v>
      </c>
      <c r="R3180" s="4">
        <v>590241</v>
      </c>
      <c r="S3180" t="s">
        <v>19493</v>
      </c>
      <c r="T3180" s="6">
        <v>36617</v>
      </c>
      <c r="U3180" s="4">
        <v>264250</v>
      </c>
      <c r="V3180" t="s">
        <v>23739</v>
      </c>
      <c r="W3180" t="s">
        <v>25308</v>
      </c>
      <c r="X3180" t="s">
        <v>3</v>
      </c>
      <c r="AA3180" s="5" t="str">
        <f>HYPERLINK("https://www.zillow.com/homes/1240-ASHTON-LN-NAPERVILLE-IL-60540_rb/","check listing")</f>
        <v>check listing</v>
      </c>
      <c r="AB3180" s="5" t="str">
        <f>HYPERLINK("https://propertylookup.dupagecounty.gov/Datalets/Datalet.aspx?UseSearch=no&amp;mode=sales&amp;pin=0726206009","sales record")</f>
        <v>sales record</v>
      </c>
      <c r="AC3180" t="s">
        <v>3</v>
      </c>
      <c r="AD3180">
        <v>41.75296</v>
      </c>
      <c r="AE3180">
        <v>-88.169524</v>
      </c>
      <c r="AF3180" s="5" t="str">
        <f>HYPERLINK("https://www.google.com/maps/search/?api=1&amp;query=41.75296,-88.169524","map")</f>
        <v>map</v>
      </c>
    </row>
    <row r="3181" spans="1:32">
      <c r="A3181" t="s">
        <v>3231</v>
      </c>
      <c r="B3181" t="s">
        <v>10764</v>
      </c>
      <c r="C3181" t="s">
        <v>15475</v>
      </c>
      <c r="D3181" t="s">
        <v>16206</v>
      </c>
      <c r="E3181" t="s">
        <v>16218</v>
      </c>
      <c r="F3181" t="s">
        <v>16220</v>
      </c>
      <c r="G3181" t="s">
        <v>16274</v>
      </c>
      <c r="H3181" t="s">
        <v>16269</v>
      </c>
      <c r="I3181" t="s">
        <v>16352</v>
      </c>
      <c r="J3181" t="s">
        <v>16386</v>
      </c>
      <c r="K3181">
        <v>0.207</v>
      </c>
      <c r="L3181">
        <v>9000</v>
      </c>
      <c r="M3181">
        <v>2473</v>
      </c>
      <c r="N3181" t="s">
        <v>16393</v>
      </c>
      <c r="O3181" s="4">
        <v>53007</v>
      </c>
      <c r="P3181" s="4">
        <v>124053</v>
      </c>
      <c r="Q3181" s="4">
        <v>177060</v>
      </c>
      <c r="R3181" s="4">
        <v>531180</v>
      </c>
      <c r="S3181" t="s">
        <v>19494</v>
      </c>
      <c r="T3181" s="6">
        <v>41426</v>
      </c>
      <c r="U3181" s="4">
        <v>389900</v>
      </c>
      <c r="V3181" t="s">
        <v>23739</v>
      </c>
      <c r="W3181" t="s">
        <v>19494</v>
      </c>
      <c r="X3181" t="s">
        <v>3</v>
      </c>
      <c r="AA3181" s="5" t="str">
        <f>HYPERLINK("https://www.zillow.com/homes/1260-ASHTON-LN-NAPERVILLE-IL-60540_rb/","check listing")</f>
        <v>check listing</v>
      </c>
      <c r="AB3181" s="5" t="str">
        <f>HYPERLINK("https://propertylookup.dupagecounty.gov/Datalets/Datalet.aspx?UseSearch=no&amp;mode=sales&amp;pin=0726206004","sales record")</f>
        <v>sales record</v>
      </c>
      <c r="AC3181" t="s">
        <v>3</v>
      </c>
      <c r="AD3181">
        <v>41.752503</v>
      </c>
      <c r="AE3181">
        <v>-88.170817</v>
      </c>
      <c r="AF3181" s="5" t="str">
        <f>HYPERLINK("https://www.google.com/maps/search/?api=1&amp;query=41.752503,-88.170817","map")</f>
        <v>map</v>
      </c>
    </row>
    <row r="3182" spans="1:32">
      <c r="A3182" t="s">
        <v>3232</v>
      </c>
      <c r="B3182" t="s">
        <v>10765</v>
      </c>
      <c r="C3182" t="s">
        <v>15490</v>
      </c>
      <c r="D3182" t="s">
        <v>16206</v>
      </c>
      <c r="E3182" t="s">
        <v>16218</v>
      </c>
      <c r="F3182" t="s">
        <v>16220</v>
      </c>
      <c r="G3182" t="s">
        <v>16274</v>
      </c>
      <c r="H3182" t="s">
        <v>16269</v>
      </c>
      <c r="I3182" t="s">
        <v>16352</v>
      </c>
      <c r="J3182" t="s">
        <v>16386</v>
      </c>
      <c r="K3182">
        <v>0.207</v>
      </c>
      <c r="L3182">
        <v>9000</v>
      </c>
      <c r="M3182">
        <v>2374</v>
      </c>
      <c r="N3182" t="s">
        <v>16393</v>
      </c>
      <c r="O3182" s="4">
        <v>55106</v>
      </c>
      <c r="P3182" s="4">
        <v>149636</v>
      </c>
      <c r="Q3182" s="4">
        <v>204742</v>
      </c>
      <c r="R3182" s="4">
        <v>614226</v>
      </c>
      <c r="S3182" t="s">
        <v>19495</v>
      </c>
      <c r="T3182" s="6">
        <v>43770</v>
      </c>
      <c r="U3182" s="4">
        <v>385000</v>
      </c>
      <c r="V3182" t="s">
        <v>23739</v>
      </c>
      <c r="W3182" t="s">
        <v>25309</v>
      </c>
      <c r="X3182" t="s">
        <v>3</v>
      </c>
      <c r="AA3182" s="5" t="str">
        <f>HYPERLINK("https://www.zillow.com/homes/912-ELM-ST-NAPERVILLE-IL-605400346_rb/","check listing")</f>
        <v>check listing</v>
      </c>
      <c r="AB3182" s="5" t="str">
        <f>HYPERLINK("https://propertylookup.dupagecounty.gov/Datalets/Datalet.aspx?UseSearch=no&amp;mode=sales&amp;pin=0726207017","sales record")</f>
        <v>sales record</v>
      </c>
      <c r="AC3182" t="s">
        <v>3</v>
      </c>
      <c r="AD3182">
        <v>41.753604</v>
      </c>
      <c r="AE3182">
        <v>-88.173337</v>
      </c>
      <c r="AF3182" s="5" t="str">
        <f>HYPERLINK("https://www.google.com/maps/search/?api=1&amp;query=41.753604,-88.173337","map")</f>
        <v>map</v>
      </c>
    </row>
    <row r="3183" spans="1:32">
      <c r="A3183" t="s">
        <v>3233</v>
      </c>
      <c r="B3183" t="s">
        <v>10766</v>
      </c>
      <c r="C3183" t="s">
        <v>15475</v>
      </c>
      <c r="D3183" t="s">
        <v>16206</v>
      </c>
      <c r="E3183" t="s">
        <v>16218</v>
      </c>
      <c r="F3183" t="s">
        <v>16220</v>
      </c>
      <c r="G3183" t="s">
        <v>16274</v>
      </c>
      <c r="H3183" t="s">
        <v>16269</v>
      </c>
      <c r="I3183" t="s">
        <v>16352</v>
      </c>
      <c r="J3183" t="s">
        <v>16386</v>
      </c>
      <c r="K3183">
        <v>0.207</v>
      </c>
      <c r="L3183">
        <v>9000</v>
      </c>
      <c r="M3183">
        <v>2771</v>
      </c>
      <c r="N3183" t="s">
        <v>16393</v>
      </c>
      <c r="O3183" s="4">
        <v>55106</v>
      </c>
      <c r="P3183" s="4">
        <v>156909</v>
      </c>
      <c r="Q3183" s="4">
        <v>212015</v>
      </c>
      <c r="R3183" s="4">
        <v>636045</v>
      </c>
      <c r="S3183" t="s">
        <v>19429</v>
      </c>
      <c r="T3183" s="6">
        <v>44781</v>
      </c>
      <c r="U3183" s="4">
        <v>525000</v>
      </c>
      <c r="V3183" t="s">
        <v>23739</v>
      </c>
      <c r="W3183" t="s">
        <v>25310</v>
      </c>
      <c r="X3183" t="s">
        <v>3</v>
      </c>
      <c r="AA3183" s="5" t="str">
        <f>HYPERLINK("https://www.zillow.com/homes/904-ELM-ST-NAPERVILLE-IL-60540_rb/","check listing")</f>
        <v>check listing</v>
      </c>
      <c r="AB3183" s="5" t="str">
        <f>HYPERLINK("https://propertylookup.dupagecounty.gov/Datalets/Datalet.aspx?UseSearch=no&amp;mode=sales&amp;pin=0726207019","sales record")</f>
        <v>sales record</v>
      </c>
      <c r="AC3183" t="s">
        <v>3</v>
      </c>
      <c r="AD3183">
        <v>41.754016</v>
      </c>
      <c r="AE3183">
        <v>-88.173346</v>
      </c>
      <c r="AF3183" s="5" t="str">
        <f>HYPERLINK("https://www.google.com/maps/search/?api=1&amp;query=41.754016,-88.173346","map")</f>
        <v>map</v>
      </c>
    </row>
    <row r="3184" spans="1:32">
      <c r="A3184" t="s">
        <v>3234</v>
      </c>
      <c r="B3184" t="s">
        <v>10767</v>
      </c>
      <c r="C3184" t="s">
        <v>15475</v>
      </c>
      <c r="D3184" t="s">
        <v>16206</v>
      </c>
      <c r="E3184" t="s">
        <v>16218</v>
      </c>
      <c r="F3184" t="s">
        <v>16220</v>
      </c>
      <c r="G3184" t="s">
        <v>16274</v>
      </c>
      <c r="H3184" t="s">
        <v>16269</v>
      </c>
      <c r="I3184" t="s">
        <v>16352</v>
      </c>
      <c r="J3184" t="s">
        <v>16386</v>
      </c>
      <c r="K3184">
        <v>0.207</v>
      </c>
      <c r="L3184">
        <v>9000</v>
      </c>
      <c r="M3184">
        <v>2573</v>
      </c>
      <c r="N3184" t="s">
        <v>16393</v>
      </c>
      <c r="O3184" s="4">
        <v>52128</v>
      </c>
      <c r="P3184" s="4">
        <v>137308</v>
      </c>
      <c r="Q3184" s="4">
        <v>189436</v>
      </c>
      <c r="R3184" s="4">
        <v>568308</v>
      </c>
      <c r="S3184" t="s">
        <v>19496</v>
      </c>
      <c r="T3184" s="6">
        <v>38749</v>
      </c>
      <c r="U3184" s="4">
        <v>378900</v>
      </c>
      <c r="V3184" t="s">
        <v>23739</v>
      </c>
      <c r="W3184" t="s">
        <v>25311</v>
      </c>
      <c r="X3184" t="s">
        <v>3</v>
      </c>
      <c r="AA3184" s="5" t="str">
        <f>HYPERLINK("https://www.zillow.com/homes/855-PLAINFIELD-NAPER-NAPERVILLE-IL-60540_rb/","check listing")</f>
        <v>check listing</v>
      </c>
      <c r="AB3184" s="5" t="str">
        <f>HYPERLINK("https://propertylookup.dupagecounty.gov/Datalets/Datalet.aspx?UseSearch=no&amp;mode=sales&amp;pin=0723410095","sales record")</f>
        <v>sales record</v>
      </c>
      <c r="AC3184" t="s">
        <v>3</v>
      </c>
      <c r="AD3184">
        <v>41.756066</v>
      </c>
      <c r="AE3184">
        <v>-88.166872</v>
      </c>
      <c r="AF3184" s="5" t="str">
        <f>HYPERLINK("https://www.google.com/maps/search/?api=1&amp;query=41.756066,-88.166872","map")</f>
        <v>map</v>
      </c>
    </row>
    <row r="3185" spans="1:32">
      <c r="A3185" t="s">
        <v>3235</v>
      </c>
      <c r="B3185" t="s">
        <v>10768</v>
      </c>
      <c r="C3185" t="s">
        <v>15475</v>
      </c>
      <c r="D3185" t="s">
        <v>16206</v>
      </c>
      <c r="E3185" t="s">
        <v>16218</v>
      </c>
      <c r="F3185" t="s">
        <v>16220</v>
      </c>
      <c r="G3185" t="s">
        <v>16274</v>
      </c>
      <c r="H3185" t="s">
        <v>16269</v>
      </c>
      <c r="I3185" t="s">
        <v>16352</v>
      </c>
      <c r="J3185" t="s">
        <v>16386</v>
      </c>
      <c r="K3185">
        <v>0.207</v>
      </c>
      <c r="L3185">
        <v>9000</v>
      </c>
      <c r="M3185">
        <v>2541</v>
      </c>
      <c r="N3185" t="s">
        <v>16393</v>
      </c>
      <c r="O3185" s="4">
        <v>53007</v>
      </c>
      <c r="P3185" s="4">
        <v>139078</v>
      </c>
      <c r="Q3185" s="4">
        <v>192085</v>
      </c>
      <c r="R3185" s="4">
        <v>576255</v>
      </c>
      <c r="S3185" t="s">
        <v>19497</v>
      </c>
      <c r="T3185" s="6">
        <v>32448</v>
      </c>
      <c r="U3185" s="4">
        <v>186870</v>
      </c>
      <c r="X3185" t="s">
        <v>3</v>
      </c>
      <c r="AA3185" s="5" t="str">
        <f>HYPERLINK("https://www.zillow.com/homes/1200-ARDMORE-DR-NAPERVILLE-IL-60540_rb/","check listing")</f>
        <v>check listing</v>
      </c>
      <c r="AB3185" s="5" t="str">
        <f>HYPERLINK("https://propertylookup.dupagecounty.gov/Datalets/Datalet.aspx?UseSearch=no&amp;mode=sales&amp;pin=0726206017","sales record")</f>
        <v>sales record</v>
      </c>
      <c r="AC3185" t="s">
        <v>3</v>
      </c>
      <c r="AD3185">
        <v>41.754334</v>
      </c>
      <c r="AE3185">
        <v>-88.168434</v>
      </c>
      <c r="AF3185" s="5" t="str">
        <f>HYPERLINK("https://www.google.com/maps/search/?api=1&amp;query=41.754334,-88.168434","map")</f>
        <v>map</v>
      </c>
    </row>
    <row r="3186" spans="1:32">
      <c r="A3186" t="s">
        <v>3236</v>
      </c>
      <c r="B3186" t="s">
        <v>10769</v>
      </c>
      <c r="C3186" t="s">
        <v>15545</v>
      </c>
      <c r="D3186" t="s">
        <v>16206</v>
      </c>
      <c r="E3186" t="s">
        <v>16218</v>
      </c>
      <c r="F3186" t="s">
        <v>16220</v>
      </c>
      <c r="G3186" t="s">
        <v>16274</v>
      </c>
      <c r="H3186" t="s">
        <v>16269</v>
      </c>
      <c r="I3186" t="s">
        <v>16352</v>
      </c>
      <c r="J3186" t="s">
        <v>16386</v>
      </c>
      <c r="K3186">
        <v>0.207</v>
      </c>
      <c r="L3186">
        <v>9000</v>
      </c>
      <c r="M3186">
        <v>2474</v>
      </c>
      <c r="N3186" t="s">
        <v>16393</v>
      </c>
      <c r="O3186" s="4">
        <v>55106</v>
      </c>
      <c r="P3186" s="4">
        <v>123040</v>
      </c>
      <c r="Q3186" s="4">
        <v>178146</v>
      </c>
      <c r="R3186" s="4">
        <v>534438</v>
      </c>
      <c r="S3186" t="s">
        <v>19498</v>
      </c>
      <c r="T3186" s="6">
        <v>32051</v>
      </c>
      <c r="U3186" s="4">
        <v>156755</v>
      </c>
      <c r="X3186" t="s">
        <v>3</v>
      </c>
      <c r="AA3186" s="5" t="str">
        <f>HYPERLINK("https://www.zillow.com/homes/1234-OAKTON-LN-NAPERVILLE-IL-605400312_rb/","check listing")</f>
        <v>check listing</v>
      </c>
      <c r="AB3186" s="5" t="str">
        <f>HYPERLINK("https://propertylookup.dupagecounty.gov/Datalets/Datalet.aspx?UseSearch=no&amp;mode=sales&amp;pin=0726204006","sales record")</f>
        <v>sales record</v>
      </c>
      <c r="AC3186" t="s">
        <v>3</v>
      </c>
      <c r="AD3186">
        <v>41.754388</v>
      </c>
      <c r="AE3186">
        <v>-88.170756</v>
      </c>
      <c r="AF3186" s="5" t="str">
        <f>HYPERLINK("https://www.google.com/maps/search/?api=1&amp;query=41.754388,-88.170756","map")</f>
        <v>map</v>
      </c>
    </row>
    <row r="3187" spans="1:32">
      <c r="A3187" t="s">
        <v>3237</v>
      </c>
      <c r="B3187" t="s">
        <v>10770</v>
      </c>
      <c r="C3187" t="s">
        <v>15475</v>
      </c>
      <c r="D3187" t="s">
        <v>16206</v>
      </c>
      <c r="E3187" t="s">
        <v>16218</v>
      </c>
      <c r="F3187" t="s">
        <v>16220</v>
      </c>
      <c r="G3187" t="s">
        <v>16274</v>
      </c>
      <c r="H3187" t="s">
        <v>16269</v>
      </c>
      <c r="I3187" t="s">
        <v>16352</v>
      </c>
      <c r="J3187" t="s">
        <v>16386</v>
      </c>
      <c r="K3187">
        <v>0.207</v>
      </c>
      <c r="L3187">
        <v>9000</v>
      </c>
      <c r="M3187">
        <v>2467</v>
      </c>
      <c r="N3187" t="s">
        <v>16393</v>
      </c>
      <c r="O3187" s="4">
        <v>55106</v>
      </c>
      <c r="P3187" s="4">
        <v>121735</v>
      </c>
      <c r="Q3187" s="4">
        <v>176841</v>
      </c>
      <c r="R3187" s="4">
        <v>530523</v>
      </c>
      <c r="S3187" t="s">
        <v>19499</v>
      </c>
      <c r="T3187" s="6">
        <v>39326</v>
      </c>
      <c r="U3187" s="4">
        <v>362000</v>
      </c>
      <c r="V3187" t="s">
        <v>23739</v>
      </c>
      <c r="W3187" t="s">
        <v>19499</v>
      </c>
      <c r="X3187" t="s">
        <v>3</v>
      </c>
      <c r="AA3187" s="5" t="str">
        <f>HYPERLINK("https://www.zillow.com/homes/1245-ASHTON-LN-NAPERVILLE-IL-60540_rb/","check listing")</f>
        <v>check listing</v>
      </c>
      <c r="AB3187" s="5" t="str">
        <f>HYPERLINK("https://propertylookup.dupagecounty.gov/Datalets/Datalet.aspx?UseSearch=no&amp;mode=sales&amp;pin=0726205013","sales record")</f>
        <v>sales record</v>
      </c>
      <c r="AC3187" t="s">
        <v>3</v>
      </c>
      <c r="AD3187">
        <v>41.753217</v>
      </c>
      <c r="AE3187">
        <v>-88.17019500000001</v>
      </c>
      <c r="AF3187" s="5" t="str">
        <f>HYPERLINK("https://www.google.com/maps/search/?api=1&amp;query=41.753217,-88.170195","map")</f>
        <v>map</v>
      </c>
    </row>
    <row r="3188" spans="1:32">
      <c r="A3188" t="s">
        <v>3238</v>
      </c>
      <c r="B3188" t="s">
        <v>10771</v>
      </c>
      <c r="C3188" t="s">
        <v>15475</v>
      </c>
      <c r="D3188" t="s">
        <v>16206</v>
      </c>
      <c r="E3188" t="s">
        <v>16218</v>
      </c>
      <c r="F3188" t="s">
        <v>16220</v>
      </c>
      <c r="G3188" t="s">
        <v>16274</v>
      </c>
      <c r="H3188" t="s">
        <v>16269</v>
      </c>
      <c r="I3188" t="s">
        <v>16352</v>
      </c>
      <c r="J3188" t="s">
        <v>16386</v>
      </c>
      <c r="K3188">
        <v>0.207</v>
      </c>
      <c r="L3188">
        <v>9000</v>
      </c>
      <c r="M3188">
        <v>2177</v>
      </c>
      <c r="N3188" t="s">
        <v>16393</v>
      </c>
      <c r="O3188" s="4">
        <v>53007</v>
      </c>
      <c r="P3188" s="4">
        <v>140946</v>
      </c>
      <c r="Q3188" s="4">
        <v>193953</v>
      </c>
      <c r="R3188" s="4">
        <v>581859</v>
      </c>
      <c r="S3188" t="s">
        <v>19500</v>
      </c>
      <c r="T3188" s="6">
        <v>41061</v>
      </c>
      <c r="U3188" s="4">
        <v>342500</v>
      </c>
      <c r="V3188" t="s">
        <v>23739</v>
      </c>
      <c r="W3188" t="s">
        <v>19500</v>
      </c>
      <c r="X3188" t="s">
        <v>3</v>
      </c>
      <c r="AA3188" s="5" t="str">
        <f>HYPERLINK("https://www.zillow.com/homes/1162-ARDMORE-DR-NAPERVILLE-IL-60540_rb/","check listing")</f>
        <v>check listing</v>
      </c>
      <c r="AB3188" s="5" t="str">
        <f>HYPERLINK("https://propertylookup.dupagecounty.gov/Datalets/Datalet.aspx?UseSearch=no&amp;mode=sales&amp;pin=0726206020","sales record")</f>
        <v>sales record</v>
      </c>
      <c r="AC3188" t="s">
        <v>3</v>
      </c>
      <c r="AD3188">
        <v>41.754615</v>
      </c>
      <c r="AE3188">
        <v>-88.1677</v>
      </c>
      <c r="AF3188" s="5" t="str">
        <f>HYPERLINK("https://www.google.com/maps/search/?api=1&amp;query=41.754615,-88.1677","map")</f>
        <v>map</v>
      </c>
    </row>
    <row r="3189" spans="1:32">
      <c r="A3189" t="s">
        <v>3239</v>
      </c>
      <c r="B3189" t="s">
        <v>10772</v>
      </c>
      <c r="C3189" t="s">
        <v>15475</v>
      </c>
      <c r="D3189" t="s">
        <v>16206</v>
      </c>
      <c r="E3189" t="s">
        <v>16218</v>
      </c>
      <c r="F3189" t="s">
        <v>16220</v>
      </c>
      <c r="G3189" t="s">
        <v>16274</v>
      </c>
      <c r="H3189" t="s">
        <v>16269</v>
      </c>
      <c r="I3189" t="s">
        <v>16352</v>
      </c>
      <c r="J3189" t="s">
        <v>16386</v>
      </c>
      <c r="K3189">
        <v>0.207</v>
      </c>
      <c r="L3189">
        <v>9000</v>
      </c>
      <c r="M3189">
        <v>2642</v>
      </c>
      <c r="N3189" t="s">
        <v>16393</v>
      </c>
      <c r="O3189" s="4">
        <v>52128</v>
      </c>
      <c r="P3189" s="4">
        <v>123529</v>
      </c>
      <c r="Q3189" s="4">
        <v>175657</v>
      </c>
      <c r="R3189" s="4">
        <v>526971</v>
      </c>
      <c r="S3189" t="s">
        <v>19501</v>
      </c>
      <c r="T3189" s="6">
        <v>34486</v>
      </c>
      <c r="U3189" s="4">
        <v>209000</v>
      </c>
      <c r="X3189" t="s">
        <v>3</v>
      </c>
      <c r="AA3189" s="5" t="str">
        <f>HYPERLINK("https://www.zillow.com/homes/904-RIVER-RD-NAPERVILLE-IL-60540_rb/","check listing")</f>
        <v>check listing</v>
      </c>
      <c r="AB3189" s="5" t="str">
        <f>HYPERLINK("https://propertylookup.dupagecounty.gov/Datalets/Datalet.aspx?UseSearch=no&amp;mode=sales&amp;pin=0726204027","sales record")</f>
        <v>sales record</v>
      </c>
      <c r="AC3189" t="s">
        <v>3</v>
      </c>
      <c r="AD3189">
        <v>41.753982</v>
      </c>
      <c r="AE3189">
        <v>-88.172224</v>
      </c>
      <c r="AF3189" s="5" t="str">
        <f>HYPERLINK("https://www.google.com/maps/search/?api=1&amp;query=41.753982,-88.172224","map")</f>
        <v>map</v>
      </c>
    </row>
    <row r="3190" spans="1:32">
      <c r="A3190" t="s">
        <v>3240</v>
      </c>
      <c r="B3190" t="s">
        <v>10773</v>
      </c>
      <c r="C3190" t="s">
        <v>15528</v>
      </c>
      <c r="D3190" t="s">
        <v>16206</v>
      </c>
      <c r="E3190" t="s">
        <v>16218</v>
      </c>
      <c r="F3190" t="s">
        <v>16220</v>
      </c>
      <c r="G3190" t="s">
        <v>16274</v>
      </c>
      <c r="H3190" t="s">
        <v>16269</v>
      </c>
      <c r="I3190" t="s">
        <v>16352</v>
      </c>
      <c r="J3190" t="s">
        <v>16386</v>
      </c>
      <c r="K3190">
        <v>0.207</v>
      </c>
      <c r="L3190">
        <v>9000</v>
      </c>
      <c r="M3190">
        <v>2572</v>
      </c>
      <c r="N3190" t="s">
        <v>16393</v>
      </c>
      <c r="O3190" s="4">
        <v>55106</v>
      </c>
      <c r="P3190" s="4">
        <v>142153</v>
      </c>
      <c r="Q3190" s="4">
        <v>197259</v>
      </c>
      <c r="R3190" s="4">
        <v>591777</v>
      </c>
      <c r="S3190" t="s">
        <v>19502</v>
      </c>
      <c r="T3190" s="6">
        <v>44684</v>
      </c>
      <c r="U3190" s="4">
        <v>413000</v>
      </c>
      <c r="V3190" t="s">
        <v>23741</v>
      </c>
      <c r="W3190" t="s">
        <v>25312</v>
      </c>
      <c r="X3190" t="s">
        <v>3</v>
      </c>
      <c r="AA3190" s="5" t="str">
        <f>HYPERLINK("https://www.zillow.com/homes/1229-ARDMORE-DR-NAPERVILLE-IL-605400303_rb/","check listing")</f>
        <v>check listing</v>
      </c>
      <c r="AB3190" s="5" t="str">
        <f>HYPERLINK("https://propertylookup.dupagecounty.gov/Datalets/Datalet.aspx?UseSearch=no&amp;mode=sales&amp;pin=0726204020","sales record")</f>
        <v>sales record</v>
      </c>
      <c r="AC3190" t="s">
        <v>3</v>
      </c>
      <c r="AD3190">
        <v>41.754112</v>
      </c>
      <c r="AE3190">
        <v>-88.17050999999999</v>
      </c>
      <c r="AF3190" s="5" t="str">
        <f>HYPERLINK("https://www.google.com/maps/search/?api=1&amp;query=41.754112,-88.17051","map")</f>
        <v>map</v>
      </c>
    </row>
    <row r="3191" spans="1:32">
      <c r="A3191" t="s">
        <v>3241</v>
      </c>
      <c r="B3191" t="s">
        <v>10774</v>
      </c>
      <c r="C3191" t="s">
        <v>15490</v>
      </c>
      <c r="D3191" t="s">
        <v>16206</v>
      </c>
      <c r="E3191" t="s">
        <v>16218</v>
      </c>
      <c r="F3191" t="s">
        <v>16220</v>
      </c>
      <c r="G3191" t="s">
        <v>16274</v>
      </c>
      <c r="H3191" t="s">
        <v>16269</v>
      </c>
      <c r="I3191" t="s">
        <v>16352</v>
      </c>
      <c r="J3191" t="s">
        <v>16386</v>
      </c>
      <c r="K3191">
        <v>0.207</v>
      </c>
      <c r="L3191">
        <v>9000</v>
      </c>
      <c r="M3191">
        <v>2473</v>
      </c>
      <c r="N3191" t="s">
        <v>16393</v>
      </c>
      <c r="O3191" s="4">
        <v>55106</v>
      </c>
      <c r="P3191" s="4">
        <v>123834</v>
      </c>
      <c r="Q3191" s="4">
        <v>178940</v>
      </c>
      <c r="R3191" s="4">
        <v>536820</v>
      </c>
      <c r="S3191" t="s">
        <v>19503</v>
      </c>
      <c r="T3191" s="6">
        <v>45588</v>
      </c>
      <c r="U3191" s="4">
        <v>541800</v>
      </c>
      <c r="V3191" t="s">
        <v>23739</v>
      </c>
      <c r="W3191" t="s">
        <v>25313</v>
      </c>
      <c r="X3191" t="s">
        <v>3</v>
      </c>
      <c r="AA3191" s="5" t="str">
        <f>HYPERLINK("https://www.zillow.com/homes/908-ELM-ST-NAPERVILLE-IL-605400346_rb/","check listing")</f>
        <v>check listing</v>
      </c>
      <c r="AB3191" s="5" t="str">
        <f>HYPERLINK("https://propertylookup.dupagecounty.gov/Datalets/Datalet.aspx?UseSearch=no&amp;mode=sales&amp;pin=0726207018","sales record")</f>
        <v>sales record</v>
      </c>
      <c r="AC3191" t="s">
        <v>3</v>
      </c>
      <c r="AD3191">
        <v>41.75381</v>
      </c>
      <c r="AE3191">
        <v>-88.17334099999999</v>
      </c>
      <c r="AF3191" s="5" t="str">
        <f>HYPERLINK("https://www.google.com/maps/search/?api=1&amp;query=41.75381,-88.173341","map")</f>
        <v>map</v>
      </c>
    </row>
    <row r="3192" spans="1:32">
      <c r="A3192" t="s">
        <v>3242</v>
      </c>
      <c r="B3192" t="s">
        <v>10775</v>
      </c>
      <c r="C3192" t="s">
        <v>15528</v>
      </c>
      <c r="D3192" t="s">
        <v>16206</v>
      </c>
      <c r="E3192" t="s">
        <v>16218</v>
      </c>
      <c r="F3192" t="s">
        <v>16220</v>
      </c>
      <c r="G3192" t="s">
        <v>16274</v>
      </c>
      <c r="H3192" t="s">
        <v>16269</v>
      </c>
      <c r="I3192" t="s">
        <v>16352</v>
      </c>
      <c r="J3192" t="s">
        <v>16386</v>
      </c>
      <c r="K3192">
        <v>0.207</v>
      </c>
      <c r="L3192">
        <v>8999</v>
      </c>
      <c r="M3192">
        <v>2463</v>
      </c>
      <c r="N3192" t="s">
        <v>16393</v>
      </c>
      <c r="O3192" s="4">
        <v>55106</v>
      </c>
      <c r="P3192" s="4">
        <v>123248</v>
      </c>
      <c r="Q3192" s="4">
        <v>178354</v>
      </c>
      <c r="R3192" s="4">
        <v>535062</v>
      </c>
      <c r="S3192" t="s">
        <v>19504</v>
      </c>
      <c r="T3192" s="6">
        <v>44166</v>
      </c>
      <c r="U3192" s="4">
        <v>410000</v>
      </c>
      <c r="V3192" t="s">
        <v>23739</v>
      </c>
      <c r="W3192" t="s">
        <v>25314</v>
      </c>
      <c r="X3192" t="s">
        <v>3</v>
      </c>
      <c r="AA3192" s="5" t="str">
        <f>HYPERLINK("https://www.zillow.com/homes/1205-ARDMORE-DR-NAPERVILLE-IL-605400303_rb/","check listing")</f>
        <v>check listing</v>
      </c>
      <c r="AB3192" s="5" t="str">
        <f>HYPERLINK("https://propertylookup.dupagecounty.gov/Datalets/Datalet.aspx?UseSearch=no&amp;mode=sales&amp;pin=0726204014","sales record")</f>
        <v>sales record</v>
      </c>
      <c r="AC3192" t="s">
        <v>3</v>
      </c>
      <c r="AD3192">
        <v>41.754675</v>
      </c>
      <c r="AE3192">
        <v>-88.169042</v>
      </c>
      <c r="AF3192" s="5" t="str">
        <f>HYPERLINK("https://www.google.com/maps/search/?api=1&amp;query=41.754675,-88.169042","map")</f>
        <v>map</v>
      </c>
    </row>
    <row r="3193" spans="1:32">
      <c r="A3193" t="s">
        <v>3243</v>
      </c>
      <c r="B3193" t="s">
        <v>10776</v>
      </c>
      <c r="C3193" t="s">
        <v>15475</v>
      </c>
      <c r="D3193" t="s">
        <v>16206</v>
      </c>
      <c r="E3193" t="s">
        <v>16218</v>
      </c>
      <c r="F3193" t="s">
        <v>16220</v>
      </c>
      <c r="G3193" t="s">
        <v>16274</v>
      </c>
      <c r="H3193" t="s">
        <v>16269</v>
      </c>
      <c r="I3193" t="s">
        <v>16352</v>
      </c>
      <c r="J3193" t="s">
        <v>16386</v>
      </c>
      <c r="K3193">
        <v>0.207</v>
      </c>
      <c r="L3193">
        <v>8999</v>
      </c>
      <c r="M3193">
        <v>2471</v>
      </c>
      <c r="N3193" t="s">
        <v>16393</v>
      </c>
      <c r="O3193" s="4">
        <v>52421</v>
      </c>
      <c r="P3193" s="4">
        <v>136991</v>
      </c>
      <c r="Q3193" s="4">
        <v>189412</v>
      </c>
      <c r="R3193" s="4">
        <v>568236</v>
      </c>
      <c r="S3193" t="s">
        <v>19505</v>
      </c>
      <c r="T3193" s="6">
        <v>38353</v>
      </c>
      <c r="U3193" s="4">
        <v>384000</v>
      </c>
      <c r="V3193" t="s">
        <v>23739</v>
      </c>
      <c r="W3193" t="s">
        <v>25315</v>
      </c>
      <c r="X3193" t="s">
        <v>3</v>
      </c>
      <c r="AA3193" s="5" t="str">
        <f>HYPERLINK("https://www.zillow.com/homes/1552-OSWEGO-RD-NAPERVILLE-IL-60540_rb/","check listing")</f>
        <v>check listing</v>
      </c>
      <c r="AB3193" s="5" t="str">
        <f>HYPERLINK("https://propertylookup.dupagecounty.gov/Datalets/Datalet.aspx?UseSearch=no&amp;mode=sales&amp;pin=0723302032","sales record")</f>
        <v>sales record</v>
      </c>
      <c r="AC3193" t="s">
        <v>3</v>
      </c>
      <c r="AD3193">
        <v>41.759988</v>
      </c>
      <c r="AE3193">
        <v>-88.18373200000001</v>
      </c>
      <c r="AF3193" s="5" t="str">
        <f>HYPERLINK("https://www.google.com/maps/search/?api=1&amp;query=41.759988,-88.183732","map")</f>
        <v>map</v>
      </c>
    </row>
    <row r="3194" spans="1:32">
      <c r="A3194" t="s">
        <v>3244</v>
      </c>
      <c r="B3194" t="s">
        <v>10777</v>
      </c>
      <c r="C3194" t="s">
        <v>15528</v>
      </c>
      <c r="D3194" t="s">
        <v>16206</v>
      </c>
      <c r="E3194" t="s">
        <v>16218</v>
      </c>
      <c r="F3194" t="s">
        <v>16220</v>
      </c>
      <c r="G3194" t="s">
        <v>16274</v>
      </c>
      <c r="H3194" t="s">
        <v>16269</v>
      </c>
      <c r="I3194" t="s">
        <v>16352</v>
      </c>
      <c r="J3194" t="s">
        <v>16386</v>
      </c>
      <c r="K3194">
        <v>0.207</v>
      </c>
      <c r="L3194">
        <v>8999</v>
      </c>
      <c r="M3194">
        <v>2177</v>
      </c>
      <c r="N3194" t="s">
        <v>16393</v>
      </c>
      <c r="O3194" s="4">
        <v>55106</v>
      </c>
      <c r="P3194" s="4">
        <v>132743</v>
      </c>
      <c r="Q3194" s="4">
        <v>187849</v>
      </c>
      <c r="R3194" s="4">
        <v>563547</v>
      </c>
      <c r="S3194" t="s">
        <v>19506</v>
      </c>
      <c r="T3194" s="6">
        <v>41852</v>
      </c>
      <c r="U3194" s="4">
        <v>392500</v>
      </c>
      <c r="V3194" t="s">
        <v>23739</v>
      </c>
      <c r="W3194" t="s">
        <v>25316</v>
      </c>
      <c r="X3194" t="s">
        <v>3</v>
      </c>
      <c r="AA3194" s="5" t="str">
        <f>HYPERLINK("https://www.zillow.com/homes/1201-ARDMORE-DR-NAPERVILLE-IL-605400303_rb/","check listing")</f>
        <v>check listing</v>
      </c>
      <c r="AB3194" s="5" t="str">
        <f>HYPERLINK("https://propertylookup.dupagecounty.gov/Datalets/Datalet.aspx?UseSearch=no&amp;mode=sales&amp;pin=0726204013","sales record")</f>
        <v>sales record</v>
      </c>
      <c r="AC3194" t="s">
        <v>3</v>
      </c>
      <c r="AD3194">
        <v>41.754768</v>
      </c>
      <c r="AE3194">
        <v>-88.168797</v>
      </c>
      <c r="AF3194" s="5" t="str">
        <f>HYPERLINK("https://www.google.com/maps/search/?api=1&amp;query=41.754768,-88.168797","map")</f>
        <v>map</v>
      </c>
    </row>
    <row r="3195" spans="1:32">
      <c r="A3195" t="s">
        <v>3245</v>
      </c>
      <c r="B3195" t="s">
        <v>10778</v>
      </c>
      <c r="C3195" t="s">
        <v>15475</v>
      </c>
      <c r="D3195" t="s">
        <v>16206</v>
      </c>
      <c r="E3195" t="s">
        <v>16218</v>
      </c>
      <c r="F3195" t="s">
        <v>16220</v>
      </c>
      <c r="G3195" t="s">
        <v>16274</v>
      </c>
      <c r="H3195" t="s">
        <v>16269</v>
      </c>
      <c r="I3195" t="s">
        <v>16352</v>
      </c>
      <c r="J3195" t="s">
        <v>16386</v>
      </c>
      <c r="K3195">
        <v>0.207</v>
      </c>
      <c r="L3195">
        <v>8999</v>
      </c>
      <c r="M3195">
        <v>2308</v>
      </c>
      <c r="N3195" t="s">
        <v>16393</v>
      </c>
      <c r="O3195" s="4">
        <v>55106</v>
      </c>
      <c r="P3195" s="4">
        <v>143935</v>
      </c>
      <c r="Q3195" s="4">
        <v>199041</v>
      </c>
      <c r="R3195" s="4">
        <v>597123</v>
      </c>
      <c r="S3195" t="s">
        <v>19507</v>
      </c>
      <c r="T3195" s="6">
        <v>42309</v>
      </c>
      <c r="U3195" s="4">
        <v>343000</v>
      </c>
      <c r="V3195" t="s">
        <v>23739</v>
      </c>
      <c r="W3195" t="s">
        <v>19507</v>
      </c>
      <c r="X3195" t="s">
        <v>3</v>
      </c>
      <c r="AA3195" s="5" t="str">
        <f>HYPERLINK("https://www.zillow.com/homes/1226-OAKTON-LN-NAPERVILLE-IL-60540_rb/","check listing")</f>
        <v>check listing</v>
      </c>
      <c r="AB3195" s="5" t="str">
        <f>HYPERLINK("https://propertylookup.dupagecounty.gov/Datalets/Datalet.aspx?UseSearch=no&amp;mode=sales&amp;pin=0726204008","sales record")</f>
        <v>sales record</v>
      </c>
      <c r="AC3195" t="s">
        <v>3</v>
      </c>
      <c r="AD3195">
        <v>41.754576</v>
      </c>
      <c r="AE3195">
        <v>-88.170267</v>
      </c>
      <c r="AF3195" s="5" t="str">
        <f>HYPERLINK("https://www.google.com/maps/search/?api=1&amp;query=41.754576,-88.170267","map")</f>
        <v>map</v>
      </c>
    </row>
    <row r="3196" spans="1:32">
      <c r="A3196" t="s">
        <v>3246</v>
      </c>
      <c r="B3196" t="s">
        <v>10779</v>
      </c>
      <c r="C3196" t="s">
        <v>15475</v>
      </c>
      <c r="D3196" t="s">
        <v>16206</v>
      </c>
      <c r="E3196" t="s">
        <v>16218</v>
      </c>
      <c r="F3196" t="s">
        <v>16220</v>
      </c>
      <c r="G3196" t="s">
        <v>16274</v>
      </c>
      <c r="H3196" t="s">
        <v>16269</v>
      </c>
      <c r="I3196" t="s">
        <v>16352</v>
      </c>
      <c r="J3196" t="s">
        <v>16386</v>
      </c>
      <c r="K3196">
        <v>0.207</v>
      </c>
      <c r="L3196">
        <v>8999</v>
      </c>
      <c r="M3196">
        <v>2474</v>
      </c>
      <c r="N3196" t="s">
        <v>16393</v>
      </c>
      <c r="O3196" s="4">
        <v>53007</v>
      </c>
      <c r="P3196" s="4">
        <v>122101</v>
      </c>
      <c r="Q3196" s="4">
        <v>175108</v>
      </c>
      <c r="R3196" s="4">
        <v>525324</v>
      </c>
      <c r="S3196" t="s">
        <v>19508</v>
      </c>
      <c r="T3196" s="6">
        <v>36161</v>
      </c>
      <c r="U3196" s="4">
        <v>224000</v>
      </c>
      <c r="X3196" t="s">
        <v>3</v>
      </c>
      <c r="AA3196" s="5" t="str">
        <f>HYPERLINK("https://www.zillow.com/homes/1158-ARDMORE-DR-NAPERVILLE-IL-60540_rb/","check listing")</f>
        <v>check listing</v>
      </c>
      <c r="AB3196" s="5" t="str">
        <f>HYPERLINK("https://propertylookup.dupagecounty.gov/Datalets/Datalet.aspx?UseSearch=no&amp;mode=sales&amp;pin=0726206021","sales record")</f>
        <v>sales record</v>
      </c>
      <c r="AC3196" t="s">
        <v>3</v>
      </c>
      <c r="AD3196">
        <v>41.754709</v>
      </c>
      <c r="AE3196">
        <v>-88.167455</v>
      </c>
      <c r="AF3196" s="5" t="str">
        <f>HYPERLINK("https://www.google.com/maps/search/?api=1&amp;query=41.754709,-88.167455","map")</f>
        <v>map</v>
      </c>
    </row>
    <row r="3197" spans="1:32">
      <c r="A3197" t="s">
        <v>3247</v>
      </c>
      <c r="B3197" t="s">
        <v>10780</v>
      </c>
      <c r="C3197" t="s">
        <v>15538</v>
      </c>
      <c r="D3197" t="s">
        <v>16206</v>
      </c>
      <c r="E3197" t="s">
        <v>16218</v>
      </c>
      <c r="F3197" t="s">
        <v>16220</v>
      </c>
      <c r="G3197" t="s">
        <v>16274</v>
      </c>
      <c r="H3197" t="s">
        <v>16269</v>
      </c>
      <c r="I3197" t="s">
        <v>16352</v>
      </c>
      <c r="J3197" t="s">
        <v>16386</v>
      </c>
      <c r="K3197">
        <v>0.207</v>
      </c>
      <c r="L3197">
        <v>8999</v>
      </c>
      <c r="M3197">
        <v>2310</v>
      </c>
      <c r="N3197" t="s">
        <v>16393</v>
      </c>
      <c r="O3197" s="4">
        <v>53007</v>
      </c>
      <c r="P3197" s="4">
        <v>125872</v>
      </c>
      <c r="Q3197" s="4">
        <v>178879</v>
      </c>
      <c r="R3197" s="4">
        <v>536637</v>
      </c>
      <c r="S3197" t="s">
        <v>19509</v>
      </c>
      <c r="T3197" s="6">
        <v>44348</v>
      </c>
      <c r="U3197" s="4">
        <v>437500</v>
      </c>
      <c r="V3197" t="s">
        <v>23739</v>
      </c>
      <c r="W3197" t="s">
        <v>25317</v>
      </c>
      <c r="X3197" t="s">
        <v>3</v>
      </c>
      <c r="AA3197" s="5" t="str">
        <f>HYPERLINK("https://www.zillow.com/homes/1168-ARDMORE-DR-NAPERVILLE-IL-605400304_rb/","check listing")</f>
        <v>check listing</v>
      </c>
      <c r="AB3197" s="5" t="str">
        <f>HYPERLINK("https://propertylookup.dupagecounty.gov/Datalets/Datalet.aspx?UseSearch=no&amp;mode=sales&amp;pin=0726206018","sales record")</f>
        <v>sales record</v>
      </c>
      <c r="AC3197" t="s">
        <v>3</v>
      </c>
      <c r="AD3197">
        <v>41.754428</v>
      </c>
      <c r="AE3197">
        <v>-88.168189</v>
      </c>
      <c r="AF3197" s="5" t="str">
        <f>HYPERLINK("https://www.google.com/maps/search/?api=1&amp;query=41.754428,-88.168189","map")</f>
        <v>map</v>
      </c>
    </row>
    <row r="3198" spans="1:32">
      <c r="A3198" t="s">
        <v>3248</v>
      </c>
      <c r="B3198" t="s">
        <v>10781</v>
      </c>
      <c r="C3198" t="s">
        <v>15475</v>
      </c>
      <c r="D3198" t="s">
        <v>16206</v>
      </c>
      <c r="E3198" t="s">
        <v>16218</v>
      </c>
      <c r="F3198" t="s">
        <v>16220</v>
      </c>
      <c r="G3198" t="s">
        <v>16274</v>
      </c>
      <c r="H3198" t="s">
        <v>16269</v>
      </c>
      <c r="I3198" t="s">
        <v>16352</v>
      </c>
      <c r="J3198" t="s">
        <v>16386</v>
      </c>
      <c r="K3198">
        <v>0.207</v>
      </c>
      <c r="L3198">
        <v>8999</v>
      </c>
      <c r="M3198">
        <v>2474</v>
      </c>
      <c r="N3198" t="s">
        <v>16393</v>
      </c>
      <c r="O3198" s="4">
        <v>55106</v>
      </c>
      <c r="P3198" s="4">
        <v>141446</v>
      </c>
      <c r="Q3198" s="4">
        <v>196552</v>
      </c>
      <c r="R3198" s="4">
        <v>589656</v>
      </c>
      <c r="S3198" t="s">
        <v>19510</v>
      </c>
      <c r="T3198" s="6">
        <v>40848</v>
      </c>
      <c r="U3198" s="4">
        <v>363500</v>
      </c>
      <c r="V3198" t="s">
        <v>16232</v>
      </c>
      <c r="W3198" t="s">
        <v>25318</v>
      </c>
      <c r="X3198" t="s">
        <v>3</v>
      </c>
      <c r="AA3198" s="5" t="str">
        <f>HYPERLINK("https://www.zillow.com/homes/1218-OAKTON-LN-NAPERVILLE-IL-60540_rb/","check listing")</f>
        <v>check listing</v>
      </c>
      <c r="AB3198" s="5" t="str">
        <f>HYPERLINK("https://propertylookup.dupagecounty.gov/Datalets/Datalet.aspx?UseSearch=no&amp;mode=sales&amp;pin=0726204010","sales record")</f>
        <v>sales record</v>
      </c>
      <c r="AC3198" t="s">
        <v>3</v>
      </c>
      <c r="AD3198">
        <v>41.754763</v>
      </c>
      <c r="AE3198">
        <v>-88.169777</v>
      </c>
      <c r="AF3198" s="5" t="str">
        <f>HYPERLINK("https://www.google.com/maps/search/?api=1&amp;query=41.754763,-88.169777","map")</f>
        <v>map</v>
      </c>
    </row>
    <row r="3199" spans="1:32">
      <c r="A3199" t="s">
        <v>3249</v>
      </c>
      <c r="B3199" t="s">
        <v>10782</v>
      </c>
      <c r="C3199" t="s">
        <v>15475</v>
      </c>
      <c r="D3199" t="s">
        <v>16206</v>
      </c>
      <c r="E3199" t="s">
        <v>16218</v>
      </c>
      <c r="F3199" t="s">
        <v>16220</v>
      </c>
      <c r="G3199" t="s">
        <v>16274</v>
      </c>
      <c r="H3199" t="s">
        <v>16269</v>
      </c>
      <c r="I3199" t="s">
        <v>16352</v>
      </c>
      <c r="J3199" t="s">
        <v>16386</v>
      </c>
      <c r="K3199">
        <v>0.207</v>
      </c>
      <c r="L3199">
        <v>8999</v>
      </c>
      <c r="M3199">
        <v>1979</v>
      </c>
      <c r="N3199" t="s">
        <v>16393</v>
      </c>
      <c r="O3199" s="4">
        <v>55106</v>
      </c>
      <c r="P3199" s="4">
        <v>132268</v>
      </c>
      <c r="Q3199" s="4">
        <v>187374</v>
      </c>
      <c r="R3199" s="4">
        <v>562122</v>
      </c>
      <c r="S3199" t="s">
        <v>19511</v>
      </c>
      <c r="T3199" s="6">
        <v>36770</v>
      </c>
      <c r="U3199" s="4">
        <v>261000</v>
      </c>
      <c r="V3199" t="s">
        <v>23739</v>
      </c>
      <c r="W3199" t="s">
        <v>25319</v>
      </c>
      <c r="X3199" t="s">
        <v>3</v>
      </c>
      <c r="AA3199" s="5" t="str">
        <f>HYPERLINK("https://www.zillow.com/homes/1214-OAKTON-LN-NAPERVILLE-IL-60540_rb/","check listing")</f>
        <v>check listing</v>
      </c>
      <c r="AB3199" s="5" t="str">
        <f>HYPERLINK("https://propertylookup.dupagecounty.gov/Datalets/Datalet.aspx?UseSearch=no&amp;mode=sales&amp;pin=0726204011","sales record")</f>
        <v>sales record</v>
      </c>
      <c r="AC3199" t="s">
        <v>3</v>
      </c>
      <c r="AD3199">
        <v>41.754836</v>
      </c>
      <c r="AE3199">
        <v>-88.169518</v>
      </c>
      <c r="AF3199" s="5" t="str">
        <f>HYPERLINK("https://www.google.com/maps/search/?api=1&amp;query=41.754836,-88.169518","map")</f>
        <v>map</v>
      </c>
    </row>
    <row r="3200" spans="1:32">
      <c r="A3200" t="s">
        <v>3250</v>
      </c>
      <c r="B3200" t="s">
        <v>10783</v>
      </c>
      <c r="C3200" t="s">
        <v>15475</v>
      </c>
      <c r="D3200" t="s">
        <v>16206</v>
      </c>
      <c r="E3200" t="s">
        <v>16218</v>
      </c>
      <c r="F3200" t="s">
        <v>16220</v>
      </c>
      <c r="G3200" t="s">
        <v>16274</v>
      </c>
      <c r="H3200" t="s">
        <v>16269</v>
      </c>
      <c r="I3200" t="s">
        <v>16352</v>
      </c>
      <c r="J3200" t="s">
        <v>16386</v>
      </c>
      <c r="K3200">
        <v>0.207</v>
      </c>
      <c r="L3200">
        <v>8999</v>
      </c>
      <c r="M3200">
        <v>2309</v>
      </c>
      <c r="N3200" t="s">
        <v>16393</v>
      </c>
      <c r="O3200" s="4">
        <v>55106</v>
      </c>
      <c r="P3200" s="4">
        <v>126763</v>
      </c>
      <c r="Q3200" s="4">
        <v>181869</v>
      </c>
      <c r="R3200" s="4">
        <v>545607</v>
      </c>
      <c r="S3200" t="s">
        <v>19512</v>
      </c>
      <c r="T3200" s="6">
        <v>37012</v>
      </c>
      <c r="U3200" s="4">
        <v>270000</v>
      </c>
      <c r="V3200" t="s">
        <v>23739</v>
      </c>
      <c r="W3200" t="s">
        <v>25320</v>
      </c>
      <c r="X3200" t="s">
        <v>3</v>
      </c>
      <c r="AA3200" s="5" t="str">
        <f>HYPERLINK("https://www.zillow.com/homes/1225-ARDMORE-DR-NAPERVILLE-IL-60540_rb/","check listing")</f>
        <v>check listing</v>
      </c>
      <c r="AB3200" s="5" t="str">
        <f>HYPERLINK("https://propertylookup.dupagecounty.gov/Datalets/Datalet.aspx?UseSearch=no&amp;mode=sales&amp;pin=0726204019","sales record")</f>
        <v>sales record</v>
      </c>
      <c r="AC3200" t="s">
        <v>3</v>
      </c>
      <c r="AD3200">
        <v>41.754206</v>
      </c>
      <c r="AE3200">
        <v>-88.170266</v>
      </c>
      <c r="AF3200" s="5" t="str">
        <f>HYPERLINK("https://www.google.com/maps/search/?api=1&amp;query=41.754206,-88.170266","map")</f>
        <v>map</v>
      </c>
    </row>
    <row r="3201" spans="1:32">
      <c r="A3201" t="s">
        <v>3251</v>
      </c>
      <c r="B3201" t="s">
        <v>10784</v>
      </c>
      <c r="C3201" t="s">
        <v>15475</v>
      </c>
      <c r="D3201" t="s">
        <v>16206</v>
      </c>
      <c r="E3201" t="s">
        <v>16218</v>
      </c>
      <c r="F3201" t="s">
        <v>16220</v>
      </c>
      <c r="G3201" t="s">
        <v>16274</v>
      </c>
      <c r="H3201" t="s">
        <v>16269</v>
      </c>
      <c r="I3201" t="s">
        <v>16352</v>
      </c>
      <c r="J3201" t="s">
        <v>16386</v>
      </c>
      <c r="K3201">
        <v>0.207</v>
      </c>
      <c r="L3201">
        <v>8999</v>
      </c>
      <c r="M3201">
        <v>2308</v>
      </c>
      <c r="N3201" t="s">
        <v>16393</v>
      </c>
      <c r="O3201" s="4">
        <v>53007</v>
      </c>
      <c r="P3201" s="4">
        <v>160657</v>
      </c>
      <c r="Q3201" s="4">
        <v>213664</v>
      </c>
      <c r="R3201" s="4">
        <v>640992</v>
      </c>
      <c r="S3201" t="s">
        <v>19513</v>
      </c>
      <c r="T3201" s="6">
        <v>33664</v>
      </c>
      <c r="U3201" s="4">
        <v>14000</v>
      </c>
      <c r="X3201" t="s">
        <v>3</v>
      </c>
      <c r="AA3201" s="5" t="str">
        <f>HYPERLINK("https://www.zillow.com/homes/1204-ARDMORE-DR-NAPERVILLE-IL-60540_rb/","check listing")</f>
        <v>check listing</v>
      </c>
      <c r="AB3201" s="5" t="str">
        <f>HYPERLINK("https://propertylookup.dupagecounty.gov/Datalets/Datalet.aspx?UseSearch=no&amp;mode=sales&amp;pin=0726206016","sales record")</f>
        <v>sales record</v>
      </c>
      <c r="AC3201" t="s">
        <v>3</v>
      </c>
      <c r="AD3201">
        <v>41.754241</v>
      </c>
      <c r="AE3201">
        <v>-88.168679</v>
      </c>
      <c r="AF3201" s="5" t="str">
        <f>HYPERLINK("https://www.google.com/maps/search/?api=1&amp;query=41.754241,-88.168679","map")</f>
        <v>map</v>
      </c>
    </row>
    <row r="3202" spans="1:32">
      <c r="A3202" t="s">
        <v>3252</v>
      </c>
      <c r="B3202" t="s">
        <v>10785</v>
      </c>
      <c r="C3202" t="s">
        <v>15475</v>
      </c>
      <c r="D3202" t="s">
        <v>16206</v>
      </c>
      <c r="E3202" t="s">
        <v>16218</v>
      </c>
      <c r="F3202" t="s">
        <v>16220</v>
      </c>
      <c r="G3202" t="s">
        <v>16274</v>
      </c>
      <c r="H3202" t="s">
        <v>16269</v>
      </c>
      <c r="I3202" t="s">
        <v>16352</v>
      </c>
      <c r="J3202" t="s">
        <v>16386</v>
      </c>
      <c r="K3202">
        <v>0.207</v>
      </c>
      <c r="L3202">
        <v>8998</v>
      </c>
      <c r="M3202">
        <v>2573</v>
      </c>
      <c r="N3202" t="s">
        <v>16393</v>
      </c>
      <c r="O3202" s="4">
        <v>55106</v>
      </c>
      <c r="P3202" s="4">
        <v>131547</v>
      </c>
      <c r="Q3202" s="4">
        <v>186653</v>
      </c>
      <c r="R3202" s="4">
        <v>559959</v>
      </c>
      <c r="S3202" t="s">
        <v>19514</v>
      </c>
      <c r="T3202" s="6">
        <v>37803</v>
      </c>
      <c r="U3202" s="4">
        <v>305000</v>
      </c>
      <c r="V3202" t="s">
        <v>23739</v>
      </c>
      <c r="W3202" t="s">
        <v>19514</v>
      </c>
      <c r="X3202" t="s">
        <v>3</v>
      </c>
      <c r="AA3202" s="5" t="str">
        <f>HYPERLINK("https://www.zillow.com/homes/1213-ARDMORE-DR-NAPERVILLE-IL-60540_rb/","check listing")</f>
        <v>check listing</v>
      </c>
      <c r="AB3202" s="5" t="str">
        <f>HYPERLINK("https://propertylookup.dupagecounty.gov/Datalets/Datalet.aspx?UseSearch=no&amp;mode=sales&amp;pin=0726204016","sales record")</f>
        <v>sales record</v>
      </c>
      <c r="AC3202" t="s">
        <v>3</v>
      </c>
      <c r="AD3202">
        <v>41.754487</v>
      </c>
      <c r="AE3202">
        <v>-88.16953100000001</v>
      </c>
      <c r="AF3202" s="5" t="str">
        <f>HYPERLINK("https://www.google.com/maps/search/?api=1&amp;query=41.754487,-88.169531","map")</f>
        <v>map</v>
      </c>
    </row>
    <row r="3203" spans="1:32">
      <c r="A3203" t="s">
        <v>3253</v>
      </c>
      <c r="B3203" t="s">
        <v>10786</v>
      </c>
      <c r="C3203" t="s">
        <v>15475</v>
      </c>
      <c r="D3203" t="s">
        <v>16206</v>
      </c>
      <c r="E3203" t="s">
        <v>16218</v>
      </c>
      <c r="F3203" t="s">
        <v>16220</v>
      </c>
      <c r="G3203" t="s">
        <v>16274</v>
      </c>
      <c r="H3203" t="s">
        <v>16269</v>
      </c>
      <c r="I3203" t="s">
        <v>16352</v>
      </c>
      <c r="J3203" t="s">
        <v>16386</v>
      </c>
      <c r="K3203">
        <v>0.207</v>
      </c>
      <c r="L3203">
        <v>8998</v>
      </c>
      <c r="M3203">
        <v>2142</v>
      </c>
      <c r="N3203" t="s">
        <v>16393</v>
      </c>
      <c r="O3203" s="4">
        <v>58646</v>
      </c>
      <c r="P3203" s="4">
        <v>129448</v>
      </c>
      <c r="Q3203" s="4">
        <v>188094</v>
      </c>
      <c r="R3203" s="4">
        <v>564282</v>
      </c>
      <c r="S3203" t="s">
        <v>19515</v>
      </c>
      <c r="T3203" s="6">
        <v>33543</v>
      </c>
      <c r="U3203" s="4">
        <v>175000</v>
      </c>
      <c r="X3203" t="s">
        <v>3</v>
      </c>
      <c r="AA3203" s="5" t="str">
        <f>HYPERLINK("https://www.zillow.com/homes/964-ELM-CT-NAPERVILLE-IL-60540_rb/","check listing")</f>
        <v>check listing</v>
      </c>
      <c r="AB3203" s="5" t="str">
        <f>HYPERLINK("https://propertylookup.dupagecounty.gov/Datalets/Datalet.aspx?UseSearch=no&amp;mode=sales&amp;pin=0726208004","sales record")</f>
        <v>sales record</v>
      </c>
      <c r="AC3203" t="s">
        <v>3</v>
      </c>
      <c r="AD3203">
        <v>41.75102</v>
      </c>
      <c r="AE3203">
        <v>-88.172495</v>
      </c>
      <c r="AF3203" s="5" t="str">
        <f>HYPERLINK("https://www.google.com/maps/search/?api=1&amp;query=41.75102,-88.172495","map")</f>
        <v>map</v>
      </c>
    </row>
    <row r="3204" spans="1:32">
      <c r="A3204" t="s">
        <v>3254</v>
      </c>
      <c r="B3204" t="s">
        <v>10787</v>
      </c>
      <c r="C3204" t="s">
        <v>15545</v>
      </c>
      <c r="D3204" t="s">
        <v>16206</v>
      </c>
      <c r="E3204" t="s">
        <v>16218</v>
      </c>
      <c r="F3204" t="s">
        <v>16220</v>
      </c>
      <c r="G3204" t="s">
        <v>16274</v>
      </c>
      <c r="H3204" t="s">
        <v>16269</v>
      </c>
      <c r="I3204" t="s">
        <v>16352</v>
      </c>
      <c r="J3204" t="s">
        <v>16386</v>
      </c>
      <c r="K3204">
        <v>0.207</v>
      </c>
      <c r="L3204">
        <v>8998</v>
      </c>
      <c r="M3204">
        <v>2308</v>
      </c>
      <c r="N3204" t="s">
        <v>16393</v>
      </c>
      <c r="O3204" s="4">
        <v>55106</v>
      </c>
      <c r="P3204" s="4">
        <v>140701</v>
      </c>
      <c r="Q3204" s="4">
        <v>195807</v>
      </c>
      <c r="R3204" s="4">
        <v>587421</v>
      </c>
      <c r="S3204" t="s">
        <v>19516</v>
      </c>
      <c r="T3204" s="6">
        <v>43556</v>
      </c>
      <c r="U3204" s="4">
        <v>415000</v>
      </c>
      <c r="V3204" t="s">
        <v>23739</v>
      </c>
      <c r="W3204" t="s">
        <v>25321</v>
      </c>
      <c r="X3204" t="s">
        <v>3</v>
      </c>
      <c r="AA3204" s="5" t="str">
        <f>HYPERLINK("https://www.zillow.com/homes/1202-OAKTON-LN-NAPERVILLE-IL-605400312_rb/","check listing")</f>
        <v>check listing</v>
      </c>
      <c r="AB3204" s="5" t="str">
        <f>HYPERLINK("https://propertylookup.dupagecounty.gov/Datalets/Datalet.aspx?UseSearch=no&amp;mode=sales&amp;pin=0723413003","sales record")</f>
        <v>sales record</v>
      </c>
      <c r="AC3204" t="s">
        <v>3</v>
      </c>
      <c r="AD3204">
        <v>41.755138</v>
      </c>
      <c r="AE3204">
        <v>-88.168798</v>
      </c>
      <c r="AF3204" s="5" t="str">
        <f>HYPERLINK("https://www.google.com/maps/search/?api=1&amp;query=41.755138,-88.168798","map")</f>
        <v>map</v>
      </c>
    </row>
    <row r="3205" spans="1:32">
      <c r="A3205" t="s">
        <v>3255</v>
      </c>
      <c r="B3205" t="s">
        <v>10788</v>
      </c>
      <c r="C3205" t="s">
        <v>15475</v>
      </c>
      <c r="D3205" t="s">
        <v>16206</v>
      </c>
      <c r="E3205" t="s">
        <v>16218</v>
      </c>
      <c r="F3205" t="s">
        <v>16220</v>
      </c>
      <c r="G3205" t="s">
        <v>16274</v>
      </c>
      <c r="H3205" t="s">
        <v>16269</v>
      </c>
      <c r="I3205" t="s">
        <v>16352</v>
      </c>
      <c r="J3205" t="s">
        <v>16386</v>
      </c>
      <c r="K3205">
        <v>0.207</v>
      </c>
      <c r="L3205">
        <v>8998</v>
      </c>
      <c r="M3205">
        <v>1979</v>
      </c>
      <c r="N3205" t="s">
        <v>16393</v>
      </c>
      <c r="O3205" s="4">
        <v>55106</v>
      </c>
      <c r="P3205" s="4">
        <v>141129</v>
      </c>
      <c r="Q3205" s="4">
        <v>196235</v>
      </c>
      <c r="R3205" s="4">
        <v>588705</v>
      </c>
      <c r="S3205" t="s">
        <v>19517</v>
      </c>
      <c r="T3205" s="6">
        <v>44909</v>
      </c>
      <c r="U3205" s="4">
        <v>490000</v>
      </c>
      <c r="V3205" t="s">
        <v>23739</v>
      </c>
      <c r="W3205" t="s">
        <v>25322</v>
      </c>
      <c r="X3205" t="s">
        <v>3</v>
      </c>
      <c r="AA3205" s="5" t="str">
        <f>HYPERLINK("https://www.zillow.com/homes/1190-OAKTON-LN-NAPERVILLE-IL-60540_rb/","check listing")</f>
        <v>check listing</v>
      </c>
      <c r="AB3205" s="5" t="str">
        <f>HYPERLINK("https://propertylookup.dupagecounty.gov/Datalets/Datalet.aspx?UseSearch=no&amp;mode=sales&amp;pin=0723413004","sales record")</f>
        <v>sales record</v>
      </c>
      <c r="AC3205" t="s">
        <v>3</v>
      </c>
      <c r="AD3205">
        <v>41.755232</v>
      </c>
      <c r="AE3205">
        <v>-88.168554</v>
      </c>
      <c r="AF3205" s="5" t="str">
        <f>HYPERLINK("https://www.google.com/maps/search/?api=1&amp;query=41.755232,-88.168554","map")</f>
        <v>map</v>
      </c>
    </row>
    <row r="3206" spans="1:32">
      <c r="A3206" t="s">
        <v>3256</v>
      </c>
      <c r="B3206" t="s">
        <v>10789</v>
      </c>
      <c r="C3206" t="s">
        <v>15475</v>
      </c>
      <c r="D3206" t="s">
        <v>16206</v>
      </c>
      <c r="E3206" t="s">
        <v>16218</v>
      </c>
      <c r="F3206" t="s">
        <v>16220</v>
      </c>
      <c r="G3206" t="s">
        <v>16274</v>
      </c>
      <c r="H3206" t="s">
        <v>16269</v>
      </c>
      <c r="I3206" t="s">
        <v>16352</v>
      </c>
      <c r="J3206" t="s">
        <v>16386</v>
      </c>
      <c r="K3206">
        <v>0.207</v>
      </c>
      <c r="L3206">
        <v>8998</v>
      </c>
      <c r="M3206">
        <v>2392</v>
      </c>
      <c r="N3206" t="s">
        <v>16393</v>
      </c>
      <c r="O3206" s="4">
        <v>55106</v>
      </c>
      <c r="P3206" s="4">
        <v>141860</v>
      </c>
      <c r="Q3206" s="4">
        <v>196966</v>
      </c>
      <c r="R3206" s="4">
        <v>590898</v>
      </c>
      <c r="S3206" t="s">
        <v>19518</v>
      </c>
      <c r="T3206" s="6">
        <v>39022</v>
      </c>
      <c r="U3206" s="4">
        <v>405000</v>
      </c>
      <c r="V3206" t="s">
        <v>23739</v>
      </c>
      <c r="W3206" t="s">
        <v>25323</v>
      </c>
      <c r="X3206" t="s">
        <v>3</v>
      </c>
      <c r="AA3206" s="5" t="str">
        <f>HYPERLINK("https://www.zillow.com/homes/1210-OAKTON-LN-NAPERVILLE-IL-60540_rb/","check listing")</f>
        <v>check listing</v>
      </c>
      <c r="AB3206" s="5" t="str">
        <f>HYPERLINK("https://propertylookup.dupagecounty.gov/Datalets/Datalet.aspx?UseSearch=no&amp;mode=sales&amp;pin=0723413001","sales record")</f>
        <v>sales record</v>
      </c>
      <c r="AC3206" t="s">
        <v>3</v>
      </c>
      <c r="AD3206">
        <v>41.754986</v>
      </c>
      <c r="AE3206">
        <v>-88.16931200000001</v>
      </c>
      <c r="AF3206" s="5" t="str">
        <f>HYPERLINK("https://www.google.com/maps/search/?api=1&amp;query=41.754986,-88.169312","map")</f>
        <v>map</v>
      </c>
    </row>
    <row r="3207" spans="1:32">
      <c r="A3207" t="s">
        <v>3257</v>
      </c>
      <c r="B3207" t="s">
        <v>10790</v>
      </c>
      <c r="C3207" t="s">
        <v>15552</v>
      </c>
      <c r="D3207" t="s">
        <v>16206</v>
      </c>
      <c r="E3207" t="s">
        <v>16218</v>
      </c>
      <c r="F3207" t="s">
        <v>16220</v>
      </c>
      <c r="G3207" t="s">
        <v>16274</v>
      </c>
      <c r="H3207" t="s">
        <v>16269</v>
      </c>
      <c r="I3207" t="s">
        <v>16352</v>
      </c>
      <c r="J3207" t="s">
        <v>16386</v>
      </c>
      <c r="K3207">
        <v>0.207</v>
      </c>
      <c r="L3207">
        <v>8998</v>
      </c>
      <c r="M3207">
        <v>2459</v>
      </c>
      <c r="N3207" t="s">
        <v>16393</v>
      </c>
      <c r="O3207" s="4">
        <v>55106</v>
      </c>
      <c r="P3207" s="4">
        <v>123248</v>
      </c>
      <c r="Q3207" s="4">
        <v>178354</v>
      </c>
      <c r="R3207" s="4">
        <v>535062</v>
      </c>
      <c r="S3207" t="s">
        <v>19519</v>
      </c>
      <c r="T3207" s="6">
        <v>44136</v>
      </c>
      <c r="U3207" s="4">
        <v>440000</v>
      </c>
      <c r="V3207" t="s">
        <v>23739</v>
      </c>
      <c r="W3207" t="s">
        <v>25324</v>
      </c>
      <c r="X3207" t="s">
        <v>3</v>
      </c>
      <c r="AA3207" s="5" t="str">
        <f>HYPERLINK("https://www.zillow.com/homes/1169-ARDMORE-DR-NAPERVILLE-IL-605400302_rb/","check listing")</f>
        <v>check listing</v>
      </c>
      <c r="AB3207" s="5" t="str">
        <f>HYPERLINK("https://propertylookup.dupagecounty.gov/Datalets/Datalet.aspx?UseSearch=no&amp;mode=sales&amp;pin=0726204012","sales record")</f>
        <v>sales record</v>
      </c>
      <c r="AC3207" t="s">
        <v>3</v>
      </c>
      <c r="AD3207">
        <v>41.754844</v>
      </c>
      <c r="AE3207">
        <v>-88.168541</v>
      </c>
      <c r="AF3207" s="5" t="str">
        <f>HYPERLINK("https://www.google.com/maps/search/?api=1&amp;query=41.754844,-88.168541","map")</f>
        <v>map</v>
      </c>
    </row>
    <row r="3208" spans="1:32">
      <c r="A3208" t="s">
        <v>3258</v>
      </c>
      <c r="B3208" t="s">
        <v>10791</v>
      </c>
      <c r="C3208" t="s">
        <v>15475</v>
      </c>
      <c r="D3208" t="s">
        <v>16206</v>
      </c>
      <c r="E3208" t="s">
        <v>16218</v>
      </c>
      <c r="F3208" t="s">
        <v>16220</v>
      </c>
      <c r="G3208" t="s">
        <v>16274</v>
      </c>
      <c r="H3208" t="s">
        <v>16269</v>
      </c>
      <c r="I3208" t="s">
        <v>16352</v>
      </c>
      <c r="J3208" t="s">
        <v>16386</v>
      </c>
      <c r="K3208">
        <v>0.207</v>
      </c>
      <c r="L3208">
        <v>8998</v>
      </c>
      <c r="M3208">
        <v>1980</v>
      </c>
      <c r="N3208" t="s">
        <v>16393</v>
      </c>
      <c r="O3208" s="4">
        <v>55106</v>
      </c>
      <c r="P3208" s="4">
        <v>141836</v>
      </c>
      <c r="Q3208" s="4">
        <v>196942</v>
      </c>
      <c r="R3208" s="4">
        <v>590826</v>
      </c>
      <c r="S3208" t="s">
        <v>19520</v>
      </c>
      <c r="T3208" s="6">
        <v>32387</v>
      </c>
      <c r="U3208" s="4">
        <v>199735</v>
      </c>
      <c r="X3208" t="s">
        <v>3</v>
      </c>
      <c r="AA3208" s="5" t="str">
        <f>HYPERLINK("https://www.zillow.com/homes/1241-ASHTON-LN-NAPERVILLE-IL-60540_rb/","check listing")</f>
        <v>check listing</v>
      </c>
      <c r="AB3208" s="5" t="str">
        <f>HYPERLINK("https://propertylookup.dupagecounty.gov/Datalets/Datalet.aspx?UseSearch=no&amp;mode=sales&amp;pin=0726205012","sales record")</f>
        <v>sales record</v>
      </c>
      <c r="AC3208" t="s">
        <v>3</v>
      </c>
      <c r="AD3208">
        <v>41.753343</v>
      </c>
      <c r="AE3208">
        <v>-88.169977</v>
      </c>
      <c r="AF3208" s="5" t="str">
        <f>HYPERLINK("https://www.google.com/maps/search/?api=1&amp;query=41.753343,-88.169977","map")</f>
        <v>map</v>
      </c>
    </row>
    <row r="3209" spans="1:32">
      <c r="A3209" t="s">
        <v>3259</v>
      </c>
      <c r="B3209" t="s">
        <v>10792</v>
      </c>
      <c r="C3209" t="s">
        <v>15475</v>
      </c>
      <c r="D3209" t="s">
        <v>16206</v>
      </c>
      <c r="E3209" t="s">
        <v>16218</v>
      </c>
      <c r="F3209" t="s">
        <v>16220</v>
      </c>
      <c r="G3209" t="s">
        <v>16274</v>
      </c>
      <c r="H3209" t="s">
        <v>16269</v>
      </c>
      <c r="I3209" t="s">
        <v>16352</v>
      </c>
      <c r="J3209" t="s">
        <v>16386</v>
      </c>
      <c r="K3209">
        <v>0.207</v>
      </c>
      <c r="L3209">
        <v>8998</v>
      </c>
      <c r="M3209">
        <v>2539</v>
      </c>
      <c r="N3209" t="s">
        <v>16393</v>
      </c>
      <c r="O3209" s="4">
        <v>55106</v>
      </c>
      <c r="P3209" s="4">
        <v>133940</v>
      </c>
      <c r="Q3209" s="4">
        <v>189046</v>
      </c>
      <c r="R3209" s="4">
        <v>567138</v>
      </c>
      <c r="S3209" t="s">
        <v>19521</v>
      </c>
      <c r="T3209" s="6">
        <v>35065</v>
      </c>
      <c r="U3209" s="4">
        <v>213500</v>
      </c>
      <c r="X3209" t="s">
        <v>3</v>
      </c>
      <c r="AA3209" s="5" t="str">
        <f>HYPERLINK("https://www.zillow.com/homes/1165-ARDMORE-DR-NAPERVILLE-IL-60540_rb/","check listing")</f>
        <v>check listing</v>
      </c>
      <c r="AB3209" s="5" t="str">
        <f>HYPERLINK("https://propertylookup.dupagecounty.gov/Datalets/Datalet.aspx?UseSearch=no&amp;mode=sales&amp;pin=0723413009","sales record")</f>
        <v>sales record</v>
      </c>
      <c r="AC3209" t="s">
        <v>3</v>
      </c>
      <c r="AD3209">
        <v>41.754995</v>
      </c>
      <c r="AE3209">
        <v>-88.168335</v>
      </c>
      <c r="AF3209" s="5" t="str">
        <f>HYPERLINK("https://www.google.com/maps/search/?api=1&amp;query=41.754995,-88.168335","map")</f>
        <v>map</v>
      </c>
    </row>
    <row r="3210" spans="1:32">
      <c r="A3210" t="s">
        <v>3260</v>
      </c>
      <c r="B3210" t="s">
        <v>10793</v>
      </c>
      <c r="C3210" t="s">
        <v>15475</v>
      </c>
      <c r="D3210" t="s">
        <v>16206</v>
      </c>
      <c r="E3210" t="s">
        <v>16218</v>
      </c>
      <c r="F3210" t="s">
        <v>16220</v>
      </c>
      <c r="G3210" t="s">
        <v>16274</v>
      </c>
      <c r="H3210" t="s">
        <v>16269</v>
      </c>
      <c r="I3210" t="s">
        <v>16352</v>
      </c>
      <c r="J3210" t="s">
        <v>16386</v>
      </c>
      <c r="K3210">
        <v>0.207</v>
      </c>
      <c r="L3210">
        <v>8998</v>
      </c>
      <c r="M3210">
        <v>2144</v>
      </c>
      <c r="N3210" t="s">
        <v>16393</v>
      </c>
      <c r="O3210" s="4">
        <v>58646</v>
      </c>
      <c r="P3210" s="4">
        <v>124517</v>
      </c>
      <c r="Q3210" s="4">
        <v>183163</v>
      </c>
      <c r="R3210" s="4">
        <v>549489</v>
      </c>
      <c r="S3210" t="s">
        <v>19522</v>
      </c>
      <c r="T3210" s="6">
        <v>41640</v>
      </c>
      <c r="U3210" s="4">
        <v>305000</v>
      </c>
      <c r="V3210" t="s">
        <v>23739</v>
      </c>
      <c r="W3210" t="s">
        <v>25325</v>
      </c>
      <c r="X3210" t="s">
        <v>3</v>
      </c>
      <c r="AA3210" s="5" t="str">
        <f>HYPERLINK("https://www.zillow.com/homes/956-ELM-CT-NAPERVILLE-IL-60540_rb/","check listing")</f>
        <v>check listing</v>
      </c>
      <c r="AB3210" s="5" t="str">
        <f>HYPERLINK("https://propertylookup.dupagecounty.gov/Datalets/Datalet.aspx?UseSearch=no&amp;mode=sales&amp;pin=0726208002","sales record")</f>
        <v>sales record</v>
      </c>
      <c r="AC3210" t="s">
        <v>3</v>
      </c>
      <c r="AD3210">
        <v>41.751427</v>
      </c>
      <c r="AE3210">
        <v>-88.172408</v>
      </c>
      <c r="AF3210" s="5" t="str">
        <f>HYPERLINK("https://www.google.com/maps/search/?api=1&amp;query=41.751427,-88.172408","map")</f>
        <v>map</v>
      </c>
    </row>
    <row r="3211" spans="1:32">
      <c r="A3211" t="s">
        <v>3261</v>
      </c>
      <c r="B3211" t="s">
        <v>10794</v>
      </c>
      <c r="C3211" t="s">
        <v>15475</v>
      </c>
      <c r="D3211" t="s">
        <v>16206</v>
      </c>
      <c r="E3211" t="s">
        <v>16218</v>
      </c>
      <c r="F3211" t="s">
        <v>16220</v>
      </c>
      <c r="G3211" t="s">
        <v>16274</v>
      </c>
      <c r="H3211" t="s">
        <v>16269</v>
      </c>
      <c r="I3211" t="s">
        <v>16352</v>
      </c>
      <c r="J3211" t="s">
        <v>16386</v>
      </c>
      <c r="K3211">
        <v>0.207</v>
      </c>
      <c r="L3211">
        <v>8997</v>
      </c>
      <c r="M3211">
        <v>3002</v>
      </c>
      <c r="N3211" t="s">
        <v>16393</v>
      </c>
      <c r="O3211" s="4">
        <v>55106</v>
      </c>
      <c r="P3211" s="4">
        <v>143875</v>
      </c>
      <c r="Q3211" s="4">
        <v>198981</v>
      </c>
      <c r="R3211" s="4">
        <v>596943</v>
      </c>
      <c r="S3211" t="s">
        <v>19523</v>
      </c>
      <c r="T3211" s="6">
        <v>32387</v>
      </c>
      <c r="U3211" s="4">
        <v>189230</v>
      </c>
      <c r="X3211" t="s">
        <v>3</v>
      </c>
      <c r="AA3211" s="5" t="str">
        <f>HYPERLINK("https://www.zillow.com/homes/1261-ASHTON-LN-NAPERVILLE-IL-60540_rb/","check listing")</f>
        <v>check listing</v>
      </c>
      <c r="AB3211" s="5" t="str">
        <f>HYPERLINK("https://propertylookup.dupagecounty.gov/Datalets/Datalet.aspx?UseSearch=no&amp;mode=sales&amp;pin=0726205016","sales record")</f>
        <v>sales record</v>
      </c>
      <c r="AC3211" t="s">
        <v>3</v>
      </c>
      <c r="AD3211">
        <v>41.753003</v>
      </c>
      <c r="AE3211">
        <v>-88.17103299999999</v>
      </c>
      <c r="AF3211" s="5" t="str">
        <f>HYPERLINK("https://www.google.com/maps/search/?api=1&amp;query=41.753003,-88.171033","map")</f>
        <v>map</v>
      </c>
    </row>
    <row r="3212" spans="1:32">
      <c r="A3212" t="s">
        <v>3262</v>
      </c>
      <c r="B3212" t="s">
        <v>10795</v>
      </c>
      <c r="C3212" t="s">
        <v>15553</v>
      </c>
      <c r="D3212" t="s">
        <v>16206</v>
      </c>
      <c r="E3212" t="s">
        <v>16218</v>
      </c>
      <c r="F3212" t="s">
        <v>16220</v>
      </c>
      <c r="G3212" t="s">
        <v>16274</v>
      </c>
      <c r="H3212" t="s">
        <v>16269</v>
      </c>
      <c r="I3212" t="s">
        <v>16352</v>
      </c>
      <c r="J3212" t="s">
        <v>16386</v>
      </c>
      <c r="K3212">
        <v>0.207</v>
      </c>
      <c r="L3212">
        <v>8996</v>
      </c>
      <c r="M3212">
        <v>2668</v>
      </c>
      <c r="N3212" t="s">
        <v>16393</v>
      </c>
      <c r="O3212" s="4">
        <v>55106</v>
      </c>
      <c r="P3212" s="4">
        <v>147939</v>
      </c>
      <c r="Q3212" s="4">
        <v>203045</v>
      </c>
      <c r="R3212" s="4">
        <v>609135</v>
      </c>
      <c r="S3212" t="s">
        <v>19524</v>
      </c>
      <c r="T3212" s="6">
        <v>42917</v>
      </c>
      <c r="U3212" s="4">
        <v>461000</v>
      </c>
      <c r="V3212" t="s">
        <v>23739</v>
      </c>
      <c r="W3212" t="s">
        <v>25326</v>
      </c>
      <c r="X3212" t="s">
        <v>3</v>
      </c>
      <c r="AA3212" s="5" t="str">
        <f>HYPERLINK("https://www.zillow.com/homes/1186-OAKTON-LN-NAPERVILLE-IL-605400311_rb/","check listing")</f>
        <v>check listing</v>
      </c>
      <c r="AB3212" s="5" t="str">
        <f>HYPERLINK("https://propertylookup.dupagecounty.gov/Datalets/Datalet.aspx?UseSearch=no&amp;mode=sales&amp;pin=0723413005","sales record")</f>
        <v>sales record</v>
      </c>
      <c r="AC3212" t="s">
        <v>3</v>
      </c>
      <c r="AD3212">
        <v>41.755325</v>
      </c>
      <c r="AE3212">
        <v>-88.16830899999999</v>
      </c>
      <c r="AF3212" s="5" t="str">
        <f>HYPERLINK("https://www.google.com/maps/search/?api=1&amp;query=41.755325,-88.168309","map")</f>
        <v>map</v>
      </c>
    </row>
    <row r="3213" spans="1:32">
      <c r="A3213" t="s">
        <v>3263</v>
      </c>
      <c r="B3213" t="s">
        <v>10796</v>
      </c>
      <c r="C3213" t="s">
        <v>15475</v>
      </c>
      <c r="D3213" t="s">
        <v>16206</v>
      </c>
      <c r="E3213" t="s">
        <v>16218</v>
      </c>
      <c r="F3213" t="s">
        <v>16220</v>
      </c>
      <c r="G3213" t="s">
        <v>16274</v>
      </c>
      <c r="H3213" t="s">
        <v>16269</v>
      </c>
      <c r="I3213" t="s">
        <v>16352</v>
      </c>
      <c r="J3213" t="s">
        <v>16386</v>
      </c>
      <c r="K3213">
        <v>0.207</v>
      </c>
      <c r="L3213">
        <v>8996</v>
      </c>
      <c r="M3213">
        <v>2573</v>
      </c>
      <c r="N3213" t="s">
        <v>16393</v>
      </c>
      <c r="O3213" s="4">
        <v>55106</v>
      </c>
      <c r="P3213" s="4">
        <v>130412</v>
      </c>
      <c r="Q3213" s="4">
        <v>185518</v>
      </c>
      <c r="R3213" s="4">
        <v>556554</v>
      </c>
      <c r="S3213" t="s">
        <v>19525</v>
      </c>
      <c r="T3213" s="6">
        <v>32051</v>
      </c>
      <c r="U3213" s="4">
        <v>162900</v>
      </c>
      <c r="X3213" t="s">
        <v>3</v>
      </c>
      <c r="AA3213" s="5" t="str">
        <f>HYPERLINK("https://www.zillow.com/homes/1206-OAKTON-LN-NAPERVILLE-IL-60540_rb/","check listing")</f>
        <v>check listing</v>
      </c>
      <c r="AB3213" s="5" t="str">
        <f>HYPERLINK("https://propertylookup.dupagecounty.gov/Datalets/Datalet.aspx?UseSearch=no&amp;mode=sales&amp;pin=0723413002","sales record")</f>
        <v>sales record</v>
      </c>
      <c r="AC3213" t="s">
        <v>3</v>
      </c>
      <c r="AD3213">
        <v>41.755044</v>
      </c>
      <c r="AE3213">
        <v>-88.169043</v>
      </c>
      <c r="AF3213" s="5" t="str">
        <f>HYPERLINK("https://www.google.com/maps/search/?api=1&amp;query=41.755044,-88.169043","map")</f>
        <v>map</v>
      </c>
    </row>
    <row r="3214" spans="1:32">
      <c r="A3214" t="s">
        <v>3264</v>
      </c>
      <c r="B3214" t="s">
        <v>10797</v>
      </c>
      <c r="C3214" t="s">
        <v>15552</v>
      </c>
      <c r="D3214" t="s">
        <v>16206</v>
      </c>
      <c r="E3214" t="s">
        <v>16218</v>
      </c>
      <c r="F3214" t="s">
        <v>16220</v>
      </c>
      <c r="G3214" t="s">
        <v>16274</v>
      </c>
      <c r="H3214" t="s">
        <v>16269</v>
      </c>
      <c r="I3214" t="s">
        <v>16352</v>
      </c>
      <c r="J3214" t="s">
        <v>16386</v>
      </c>
      <c r="K3214">
        <v>0.206</v>
      </c>
      <c r="L3214">
        <v>8994</v>
      </c>
      <c r="M3214">
        <v>2473</v>
      </c>
      <c r="N3214" t="s">
        <v>16393</v>
      </c>
      <c r="O3214" s="4">
        <v>55106</v>
      </c>
      <c r="P3214" s="4">
        <v>123040</v>
      </c>
      <c r="Q3214" s="4">
        <v>178146</v>
      </c>
      <c r="R3214" s="4">
        <v>534438</v>
      </c>
      <c r="S3214" t="s">
        <v>19526</v>
      </c>
      <c r="T3214" s="6">
        <v>45835</v>
      </c>
      <c r="U3214" s="4">
        <v>585000</v>
      </c>
      <c r="V3214" t="s">
        <v>23739</v>
      </c>
      <c r="W3214" t="s">
        <v>25327</v>
      </c>
      <c r="X3214" t="s">
        <v>3</v>
      </c>
      <c r="AA3214" s="5" t="str">
        <f>HYPERLINK("https://www.zillow.com/homes/1161-ARDMORE-DR-NAPERVILLE-IL-605400302_rb/","check listing")</f>
        <v>check listing</v>
      </c>
      <c r="AB3214" s="5" t="str">
        <f>HYPERLINK("https://propertylookup.dupagecounty.gov/Datalets/Datalet.aspx?UseSearch=no&amp;mode=sales&amp;pin=0723413008","sales record")</f>
        <v>sales record</v>
      </c>
      <c r="AC3214" t="s">
        <v>3</v>
      </c>
      <c r="AD3214">
        <v>41.75505</v>
      </c>
      <c r="AE3214">
        <v>-88.168063</v>
      </c>
      <c r="AF3214" s="5" t="str">
        <f>HYPERLINK("https://www.google.com/maps/search/?api=1&amp;query=41.75505,-88.168063","map")</f>
        <v>map</v>
      </c>
    </row>
    <row r="3215" spans="1:32">
      <c r="A3215" t="s">
        <v>3265</v>
      </c>
      <c r="B3215" t="s">
        <v>10798</v>
      </c>
      <c r="C3215" t="s">
        <v>15476</v>
      </c>
      <c r="D3215" t="s">
        <v>16206</v>
      </c>
      <c r="E3215" t="s">
        <v>16218</v>
      </c>
      <c r="F3215" t="s">
        <v>16220</v>
      </c>
      <c r="G3215" t="s">
        <v>16269</v>
      </c>
      <c r="H3215" t="s">
        <v>16269</v>
      </c>
      <c r="I3215" t="s">
        <v>16352</v>
      </c>
      <c r="J3215" t="s">
        <v>16386</v>
      </c>
      <c r="K3215">
        <v>0.206</v>
      </c>
      <c r="L3215">
        <v>8972</v>
      </c>
      <c r="M3215">
        <v>2618</v>
      </c>
      <c r="N3215" t="s">
        <v>16393</v>
      </c>
      <c r="O3215" s="4">
        <v>75072</v>
      </c>
      <c r="P3215" s="4">
        <v>91969</v>
      </c>
      <c r="Q3215" s="4">
        <v>167041</v>
      </c>
      <c r="R3215" s="4">
        <v>501123</v>
      </c>
      <c r="S3215" t="s">
        <v>19527</v>
      </c>
      <c r="T3215" s="6">
        <v>34213</v>
      </c>
      <c r="U3215" s="4">
        <v>195000</v>
      </c>
      <c r="X3215" t="s">
        <v>3</v>
      </c>
      <c r="AA3215" s="5" t="str">
        <f>HYPERLINK("https://www.zillow.com/homes/1739-NAPOLEON-DR-NAPERVILLE-IL-60565_rb/","check listing")</f>
        <v>check listing</v>
      </c>
      <c r="AB3215" s="5" t="str">
        <f>HYPERLINK("https://propertylookup.dupagecounty.gov/Datalets/Datalet.aspx?UseSearch=no&amp;mode=sales&amp;pin=0832114087","sales record")</f>
        <v>sales record</v>
      </c>
      <c r="AC3215" t="s">
        <v>3</v>
      </c>
      <c r="AD3215">
        <v>41.7358</v>
      </c>
      <c r="AE3215">
        <v>-88.120926</v>
      </c>
      <c r="AF3215" s="5" t="str">
        <f>HYPERLINK("https://www.google.com/maps/search/?api=1&amp;query=41.7358,-88.120926","map")</f>
        <v>map</v>
      </c>
    </row>
    <row r="3216" spans="1:32">
      <c r="A3216" t="s">
        <v>3266</v>
      </c>
      <c r="B3216" t="s">
        <v>10799</v>
      </c>
      <c r="C3216" t="s">
        <v>15475</v>
      </c>
      <c r="D3216" t="s">
        <v>16206</v>
      </c>
      <c r="E3216" t="s">
        <v>16218</v>
      </c>
      <c r="F3216" t="s">
        <v>16220</v>
      </c>
      <c r="G3216" t="s">
        <v>16275</v>
      </c>
      <c r="H3216" t="s">
        <v>16276</v>
      </c>
      <c r="I3216" t="s">
        <v>16352</v>
      </c>
      <c r="J3216" t="s">
        <v>16386</v>
      </c>
      <c r="K3216">
        <v>0.206</v>
      </c>
      <c r="L3216">
        <v>8969</v>
      </c>
      <c r="M3216">
        <v>1715</v>
      </c>
      <c r="N3216" t="s">
        <v>16393</v>
      </c>
      <c r="O3216" s="4">
        <v>47905</v>
      </c>
      <c r="P3216" s="4">
        <v>119843</v>
      </c>
      <c r="Q3216" s="4">
        <v>167748</v>
      </c>
      <c r="R3216" s="4">
        <v>503244</v>
      </c>
      <c r="S3216" t="s">
        <v>19528</v>
      </c>
      <c r="T3216" s="6">
        <v>41640</v>
      </c>
      <c r="U3216" s="4">
        <v>290000</v>
      </c>
      <c r="V3216" t="s">
        <v>23739</v>
      </c>
      <c r="W3216" t="s">
        <v>25328</v>
      </c>
      <c r="X3216" t="s">
        <v>3</v>
      </c>
      <c r="AA3216" s="5" t="str">
        <f>HYPERLINK("https://www.zillow.com/homes/2304-PERIWINKLE-CT-NAPERVILLE-IL-60540_rb/","check listing")</f>
        <v>check listing</v>
      </c>
      <c r="AB3216" s="5" t="str">
        <f>HYPERLINK("https://propertylookup.dupagecounty.gov/Datalets/Datalet.aspx?UseSearch=no&amp;mode=sales&amp;pin=0722407036","sales record")</f>
        <v>sales record</v>
      </c>
      <c r="AC3216" t="s">
        <v>3</v>
      </c>
      <c r="AD3216">
        <v>41.758439</v>
      </c>
      <c r="AE3216">
        <v>-88.191822</v>
      </c>
      <c r="AF3216" s="5" t="str">
        <f>HYPERLINK("https://www.google.com/maps/search/?api=1&amp;query=41.758439,-88.191822","map")</f>
        <v>map</v>
      </c>
    </row>
    <row r="3217" spans="1:32">
      <c r="A3217" t="s">
        <v>3267</v>
      </c>
      <c r="B3217" t="s">
        <v>10800</v>
      </c>
      <c r="C3217" t="s">
        <v>15478</v>
      </c>
      <c r="D3217" t="s">
        <v>16206</v>
      </c>
      <c r="E3217" t="s">
        <v>16218</v>
      </c>
      <c r="F3217" t="s">
        <v>16220</v>
      </c>
      <c r="G3217" t="s">
        <v>16273</v>
      </c>
      <c r="H3217" t="s">
        <v>16254</v>
      </c>
      <c r="I3217" t="s">
        <v>16351</v>
      </c>
      <c r="J3217" t="s">
        <v>16386</v>
      </c>
      <c r="K3217">
        <v>0.206</v>
      </c>
      <c r="L3217">
        <v>8963</v>
      </c>
      <c r="M3217">
        <v>1714</v>
      </c>
      <c r="N3217" t="s">
        <v>16393</v>
      </c>
      <c r="O3217" s="4">
        <v>40728</v>
      </c>
      <c r="P3217" s="4">
        <v>102023</v>
      </c>
      <c r="Q3217" s="4">
        <v>142751</v>
      </c>
      <c r="R3217" s="4">
        <v>428253</v>
      </c>
      <c r="S3217" t="s">
        <v>19529</v>
      </c>
      <c r="T3217" s="6">
        <v>34881</v>
      </c>
      <c r="U3217" s="4">
        <v>172000</v>
      </c>
      <c r="X3217" t="s">
        <v>3</v>
      </c>
      <c r="AA3217" s="5" t="str">
        <f>HYPERLINK("https://www.zillow.com/homes/2128-COUNTRY-LAKES-DR-NAPERVILLE-IL-60563_rb/","check listing")</f>
        <v>check listing</v>
      </c>
      <c r="AB3217" s="5" t="str">
        <f>HYPERLINK("https://propertylookup.dupagecounty.gov/Datalets/Datalet.aspx?UseSearch=no&amp;mode=sales&amp;pin=0709221015","sales record")</f>
        <v>sales record</v>
      </c>
      <c r="AC3217" t="s">
        <v>3</v>
      </c>
      <c r="AD3217">
        <v>41.794808</v>
      </c>
      <c r="AE3217">
        <v>-88.21207800000001</v>
      </c>
      <c r="AF3217" s="5" t="str">
        <f>HYPERLINK("https://www.google.com/maps/search/?api=1&amp;query=41.794808,-88.212078","map")</f>
        <v>map</v>
      </c>
    </row>
    <row r="3218" spans="1:32">
      <c r="A3218" t="s">
        <v>3268</v>
      </c>
      <c r="B3218" t="s">
        <v>10801</v>
      </c>
      <c r="C3218" t="s">
        <v>15478</v>
      </c>
      <c r="D3218" t="s">
        <v>16206</v>
      </c>
      <c r="E3218" t="s">
        <v>16218</v>
      </c>
      <c r="F3218" t="s">
        <v>16220</v>
      </c>
      <c r="G3218" t="s">
        <v>16273</v>
      </c>
      <c r="H3218" t="s">
        <v>16254</v>
      </c>
      <c r="I3218" t="s">
        <v>16351</v>
      </c>
      <c r="J3218" t="s">
        <v>16386</v>
      </c>
      <c r="K3218">
        <v>0.206</v>
      </c>
      <c r="L3218">
        <v>8959</v>
      </c>
      <c r="M3218">
        <v>2309</v>
      </c>
      <c r="N3218" t="s">
        <v>16393</v>
      </c>
      <c r="O3218" s="4">
        <v>40728</v>
      </c>
      <c r="P3218" s="4">
        <v>140775</v>
      </c>
      <c r="Q3218" s="4">
        <v>181503</v>
      </c>
      <c r="R3218" s="4">
        <v>544509</v>
      </c>
      <c r="S3218" t="s">
        <v>19530</v>
      </c>
      <c r="T3218" s="6">
        <v>36861</v>
      </c>
      <c r="U3218" s="4">
        <v>278584</v>
      </c>
      <c r="V3218" t="s">
        <v>23739</v>
      </c>
      <c r="W3218" t="s">
        <v>25329</v>
      </c>
      <c r="X3218" t="s">
        <v>3</v>
      </c>
      <c r="AA3218" s="5" t="str">
        <f>HYPERLINK("https://www.zillow.com/homes/2004-BUNKER-CIR-NAPERVILLE-IL-60563_rb/","check listing")</f>
        <v>check listing</v>
      </c>
      <c r="AB3218" s="5" t="str">
        <f>HYPERLINK("https://propertylookup.dupagecounty.gov/Datalets/Datalet.aspx?UseSearch=no&amp;mode=sales&amp;pin=0709200029","sales record")</f>
        <v>sales record</v>
      </c>
      <c r="AC3218" t="s">
        <v>3</v>
      </c>
      <c r="AD3218">
        <v>41.794792</v>
      </c>
      <c r="AE3218">
        <v>-88.210258</v>
      </c>
      <c r="AF3218" s="5" t="str">
        <f>HYPERLINK("https://www.google.com/maps/search/?api=1&amp;query=41.794792,-88.210258","map")</f>
        <v>map</v>
      </c>
    </row>
    <row r="3219" spans="1:32">
      <c r="A3219" t="s">
        <v>3269</v>
      </c>
      <c r="B3219" t="s">
        <v>10802</v>
      </c>
      <c r="C3219" t="s">
        <v>15554</v>
      </c>
      <c r="D3219" t="s">
        <v>16206</v>
      </c>
      <c r="E3219" t="s">
        <v>16218</v>
      </c>
      <c r="F3219" t="s">
        <v>16220</v>
      </c>
      <c r="G3219" t="s">
        <v>16276</v>
      </c>
      <c r="H3219" t="s">
        <v>16276</v>
      </c>
      <c r="I3219" t="s">
        <v>16352</v>
      </c>
      <c r="J3219" t="s">
        <v>16386</v>
      </c>
      <c r="K3219">
        <v>0.205</v>
      </c>
      <c r="L3219">
        <v>8948</v>
      </c>
      <c r="M3219">
        <v>1926</v>
      </c>
      <c r="N3219" t="s">
        <v>16393</v>
      </c>
      <c r="O3219" s="4">
        <v>55655</v>
      </c>
      <c r="P3219" s="4">
        <v>117585</v>
      </c>
      <c r="Q3219" s="4">
        <v>173240</v>
      </c>
      <c r="R3219" s="4">
        <v>519720</v>
      </c>
      <c r="S3219" t="s">
        <v>19531</v>
      </c>
      <c r="T3219" s="6">
        <v>43009</v>
      </c>
      <c r="U3219" s="4">
        <v>335000</v>
      </c>
      <c r="V3219" t="s">
        <v>23739</v>
      </c>
      <c r="W3219" t="s">
        <v>19531</v>
      </c>
      <c r="X3219" t="s">
        <v>3</v>
      </c>
      <c r="AA3219" s="5" t="str">
        <f>HYPERLINK("https://www.zillow.com/homes/2012-CHANG-CT-NAPERVILLE-IL-605400935_rb/","check listing")</f>
        <v>check listing</v>
      </c>
      <c r="AB3219" s="5" t="str">
        <f>HYPERLINK("https://propertylookup.dupagecounty.gov/Datalets/Datalet.aspx?UseSearch=no&amp;mode=sales&amp;pin=0727203029","sales record")</f>
        <v>sales record</v>
      </c>
      <c r="AC3219" t="s">
        <v>3</v>
      </c>
      <c r="AD3219">
        <v>41.751202</v>
      </c>
      <c r="AE3219">
        <v>-88.18807200000001</v>
      </c>
      <c r="AF3219" s="5" t="str">
        <f>HYPERLINK("https://www.google.com/maps/search/?api=1&amp;query=41.751202,-88.188072","map")</f>
        <v>map</v>
      </c>
    </row>
    <row r="3220" spans="1:32">
      <c r="A3220" t="s">
        <v>3270</v>
      </c>
      <c r="B3220" t="s">
        <v>10803</v>
      </c>
      <c r="C3220" t="s">
        <v>15475</v>
      </c>
      <c r="D3220" t="s">
        <v>16206</v>
      </c>
      <c r="E3220" t="s">
        <v>16218</v>
      </c>
      <c r="F3220" t="s">
        <v>16220</v>
      </c>
      <c r="G3220" t="s">
        <v>16276</v>
      </c>
      <c r="H3220" t="s">
        <v>16276</v>
      </c>
      <c r="I3220" t="s">
        <v>16352</v>
      </c>
      <c r="J3220" t="s">
        <v>16386</v>
      </c>
      <c r="K3220">
        <v>0.205</v>
      </c>
      <c r="L3220">
        <v>8940</v>
      </c>
      <c r="M3220">
        <v>1814</v>
      </c>
      <c r="N3220" t="s">
        <v>16393</v>
      </c>
      <c r="O3220" s="4">
        <v>52555</v>
      </c>
      <c r="P3220" s="4">
        <v>108333</v>
      </c>
      <c r="Q3220" s="4">
        <v>160888</v>
      </c>
      <c r="R3220" s="4">
        <v>482664</v>
      </c>
      <c r="S3220" t="s">
        <v>19532</v>
      </c>
      <c r="T3220" s="6">
        <v>45862</v>
      </c>
      <c r="U3220" s="4">
        <v>575500</v>
      </c>
      <c r="V3220" t="s">
        <v>23739</v>
      </c>
      <c r="W3220" t="s">
        <v>25330</v>
      </c>
      <c r="X3220" t="s">
        <v>3</v>
      </c>
      <c r="AA3220" s="5" t="str">
        <f>HYPERLINK("https://www.zillow.com/homes/920-MATTHEW-CT-NAPERVILLE-IL-60540_rb/","check listing")</f>
        <v>check listing</v>
      </c>
      <c r="AB3220" s="5" t="str">
        <f>HYPERLINK("https://propertylookup.dupagecounty.gov/Datalets/Datalet.aspx?UseSearch=no&amp;mode=sales&amp;pin=0727209014","sales record")</f>
        <v>sales record</v>
      </c>
      <c r="AC3220" t="s">
        <v>3</v>
      </c>
      <c r="AD3220">
        <v>41.753353</v>
      </c>
      <c r="AE3220">
        <v>-88.190439</v>
      </c>
      <c r="AF3220" s="5" t="str">
        <f>HYPERLINK("https://www.google.com/maps/search/?api=1&amp;query=41.753353,-88.190439","map")</f>
        <v>map</v>
      </c>
    </row>
    <row r="3221" spans="1:32">
      <c r="A3221" t="s">
        <v>3271</v>
      </c>
      <c r="B3221" t="s">
        <v>10804</v>
      </c>
      <c r="C3221" t="s">
        <v>15478</v>
      </c>
      <c r="D3221" t="s">
        <v>16206</v>
      </c>
      <c r="E3221" t="s">
        <v>16218</v>
      </c>
      <c r="F3221" t="s">
        <v>16220</v>
      </c>
      <c r="G3221" t="s">
        <v>16273</v>
      </c>
      <c r="H3221" t="s">
        <v>16254</v>
      </c>
      <c r="I3221" t="s">
        <v>16351</v>
      </c>
      <c r="J3221" t="s">
        <v>16386</v>
      </c>
      <c r="K3221">
        <v>0.205</v>
      </c>
      <c r="L3221">
        <v>8929</v>
      </c>
      <c r="M3221">
        <v>2989</v>
      </c>
      <c r="N3221" t="s">
        <v>16393</v>
      </c>
      <c r="O3221" s="4">
        <v>50896</v>
      </c>
      <c r="P3221" s="4">
        <v>149782</v>
      </c>
      <c r="Q3221" s="4">
        <v>200678</v>
      </c>
      <c r="R3221" s="4">
        <v>602034</v>
      </c>
      <c r="S3221" t="s">
        <v>19533</v>
      </c>
      <c r="T3221" s="6">
        <v>39264</v>
      </c>
      <c r="U3221" s="4">
        <v>415000</v>
      </c>
      <c r="V3221" t="s">
        <v>23739</v>
      </c>
      <c r="W3221" t="s">
        <v>25331</v>
      </c>
      <c r="X3221" t="s">
        <v>3</v>
      </c>
      <c r="AA3221" s="5" t="str">
        <f>HYPERLINK("https://www.zillow.com/homes/2058-BUNKER-CIR-NAPERVILLE-IL-60563_rb/","check listing")</f>
        <v>check listing</v>
      </c>
      <c r="AB3221" s="5" t="str">
        <f>HYPERLINK("https://propertylookup.dupagecounty.gov/Datalets/Datalet.aspx?UseSearch=no&amp;mode=sales&amp;pin=0709200017","sales record")</f>
        <v>sales record</v>
      </c>
      <c r="AC3221" t="s">
        <v>3</v>
      </c>
      <c r="AD3221">
        <v>41.795663</v>
      </c>
      <c r="AE3221">
        <v>-88.212698</v>
      </c>
      <c r="AF3221" s="5" t="str">
        <f>HYPERLINK("https://www.google.com/maps/search/?api=1&amp;query=41.795663,-88.212698","map")</f>
        <v>map</v>
      </c>
    </row>
    <row r="3222" spans="1:32">
      <c r="A3222" t="s">
        <v>3272</v>
      </c>
      <c r="B3222" t="s">
        <v>10805</v>
      </c>
      <c r="C3222" t="s">
        <v>15475</v>
      </c>
      <c r="D3222" t="s">
        <v>16206</v>
      </c>
      <c r="E3222" t="s">
        <v>16218</v>
      </c>
      <c r="F3222" t="s">
        <v>16220</v>
      </c>
      <c r="G3222" t="s">
        <v>16275</v>
      </c>
      <c r="H3222" t="s">
        <v>16276</v>
      </c>
      <c r="I3222" t="s">
        <v>16352</v>
      </c>
      <c r="J3222" t="s">
        <v>16386</v>
      </c>
      <c r="K3222">
        <v>0.205</v>
      </c>
      <c r="L3222">
        <v>8928</v>
      </c>
      <c r="M3222">
        <v>2880</v>
      </c>
      <c r="N3222" t="s">
        <v>16393</v>
      </c>
      <c r="O3222" s="4">
        <v>47343</v>
      </c>
      <c r="P3222" s="4">
        <v>123894</v>
      </c>
      <c r="Q3222" s="4">
        <v>171237</v>
      </c>
      <c r="R3222" s="4">
        <v>513711</v>
      </c>
      <c r="S3222" t="s">
        <v>19534</v>
      </c>
      <c r="T3222" s="6">
        <v>37043</v>
      </c>
      <c r="U3222" s="4">
        <v>258869</v>
      </c>
      <c r="V3222" t="s">
        <v>23739</v>
      </c>
      <c r="W3222" t="s">
        <v>25332</v>
      </c>
      <c r="X3222" t="s">
        <v>3</v>
      </c>
      <c r="AA3222" s="5" t="str">
        <f>HYPERLINK("https://www.zillow.com/homes/856-WOODEWIND-DR-NAPERVILLE-IL-60540_rb/","check listing")</f>
        <v>check listing</v>
      </c>
      <c r="AB3222" s="5" t="str">
        <f>HYPERLINK("https://propertylookup.dupagecounty.gov/Datalets/Datalet.aspx?UseSearch=no&amp;mode=sales&amp;pin=0709301019","sales record")</f>
        <v>sales record</v>
      </c>
      <c r="AC3222" t="s">
        <v>3</v>
      </c>
      <c r="AD3222">
        <v>41.784935</v>
      </c>
      <c r="AE3222">
        <v>-88.221194</v>
      </c>
      <c r="AF3222" s="5" t="str">
        <f>HYPERLINK("https://www.google.com/maps/search/?api=1&amp;query=41.784935,-88.221194","map")</f>
        <v>map</v>
      </c>
    </row>
    <row r="3223" spans="1:32">
      <c r="A3223" t="s">
        <v>3273</v>
      </c>
      <c r="B3223" t="s">
        <v>10806</v>
      </c>
      <c r="C3223" t="s">
        <v>15475</v>
      </c>
      <c r="D3223" t="s">
        <v>16206</v>
      </c>
      <c r="E3223" t="s">
        <v>16218</v>
      </c>
      <c r="F3223" t="s">
        <v>16220</v>
      </c>
      <c r="G3223" t="s">
        <v>16275</v>
      </c>
      <c r="H3223" t="s">
        <v>16276</v>
      </c>
      <c r="I3223" t="s">
        <v>16352</v>
      </c>
      <c r="J3223" t="s">
        <v>16386</v>
      </c>
      <c r="K3223">
        <v>0.204</v>
      </c>
      <c r="L3223">
        <v>8904</v>
      </c>
      <c r="M3223">
        <v>2573</v>
      </c>
      <c r="N3223" t="s">
        <v>16393</v>
      </c>
      <c r="O3223" s="4">
        <v>58706</v>
      </c>
      <c r="P3223" s="4">
        <v>130973</v>
      </c>
      <c r="Q3223" s="4">
        <v>189679</v>
      </c>
      <c r="R3223" s="4">
        <v>569037</v>
      </c>
      <c r="S3223" t="s">
        <v>19535</v>
      </c>
      <c r="T3223" s="6">
        <v>34274</v>
      </c>
      <c r="U3223" s="4">
        <v>185580</v>
      </c>
      <c r="X3223" t="s">
        <v>3</v>
      </c>
      <c r="AA3223" s="5" t="str">
        <f>HYPERLINK("https://www.zillow.com/homes/2107-JESSICA-CT-NAPERVILLE-IL-60540_rb/","check listing")</f>
        <v>check listing</v>
      </c>
      <c r="AB3223" s="5" t="str">
        <f>HYPERLINK("https://propertylookup.dupagecounty.gov/Datalets/Datalet.aspx?UseSearch=no&amp;mode=sales&amp;pin=0727201037","sales record")</f>
        <v>sales record</v>
      </c>
      <c r="AC3223" t="s">
        <v>3</v>
      </c>
      <c r="AD3223">
        <v>41.748413</v>
      </c>
      <c r="AE3223">
        <v>-88.189815</v>
      </c>
      <c r="AF3223" s="5" t="str">
        <f>HYPERLINK("https://www.google.com/maps/search/?api=1&amp;query=41.748413,-88.189815","map")</f>
        <v>map</v>
      </c>
    </row>
    <row r="3224" spans="1:32">
      <c r="A3224" t="s">
        <v>3274</v>
      </c>
      <c r="B3224" t="s">
        <v>10807</v>
      </c>
      <c r="C3224" t="s">
        <v>15492</v>
      </c>
      <c r="D3224" t="s">
        <v>16206</v>
      </c>
      <c r="E3224" t="s">
        <v>16218</v>
      </c>
      <c r="F3224" t="s">
        <v>16220</v>
      </c>
      <c r="G3224" t="s">
        <v>16273</v>
      </c>
      <c r="H3224" t="s">
        <v>16254</v>
      </c>
      <c r="I3224" t="s">
        <v>16351</v>
      </c>
      <c r="J3224" t="s">
        <v>16386</v>
      </c>
      <c r="K3224">
        <v>0.204</v>
      </c>
      <c r="L3224">
        <v>8899</v>
      </c>
      <c r="M3224">
        <v>2540</v>
      </c>
      <c r="N3224" t="s">
        <v>16393</v>
      </c>
      <c r="O3224" s="4">
        <v>47990</v>
      </c>
      <c r="P3224" s="4">
        <v>140396</v>
      </c>
      <c r="Q3224" s="4">
        <v>188386</v>
      </c>
      <c r="R3224" s="4">
        <v>565158</v>
      </c>
      <c r="S3224" t="s">
        <v>19536</v>
      </c>
      <c r="T3224" s="6">
        <v>44136</v>
      </c>
      <c r="U3224" s="4">
        <v>400000</v>
      </c>
      <c r="V3224" t="s">
        <v>23739</v>
      </c>
      <c r="W3224" t="s">
        <v>25333</v>
      </c>
      <c r="X3224" t="s">
        <v>3</v>
      </c>
      <c r="AA3224" s="5" t="str">
        <f>HYPERLINK("https://www.zillow.com/homes/2008-MAPLEWOOD-CIR-NAPERVILLE-IL-605631981_rb/","check listing")</f>
        <v>check listing</v>
      </c>
      <c r="AB3224" s="5" t="str">
        <f>HYPERLINK("https://propertylookup.dupagecounty.gov/Datalets/Datalet.aspx?UseSearch=no&amp;mode=sales&amp;pin=0709411041","sales record")</f>
        <v>sales record</v>
      </c>
      <c r="AC3224" t="s">
        <v>3</v>
      </c>
      <c r="AD3224">
        <v>41.785721</v>
      </c>
      <c r="AE3224">
        <v>-88.21081700000001</v>
      </c>
      <c r="AF3224" s="5" t="str">
        <f>HYPERLINK("https://www.google.com/maps/search/?api=1&amp;query=41.785721,-88.210817","map")</f>
        <v>map</v>
      </c>
    </row>
    <row r="3225" spans="1:32">
      <c r="A3225" t="s">
        <v>3275</v>
      </c>
      <c r="B3225" t="s">
        <v>10808</v>
      </c>
      <c r="C3225" t="s">
        <v>15475</v>
      </c>
      <c r="D3225" t="s">
        <v>16206</v>
      </c>
      <c r="E3225" t="s">
        <v>16218</v>
      </c>
      <c r="F3225" t="s">
        <v>16220</v>
      </c>
      <c r="G3225" t="s">
        <v>16275</v>
      </c>
      <c r="H3225" t="s">
        <v>16276</v>
      </c>
      <c r="I3225" t="s">
        <v>16352</v>
      </c>
      <c r="J3225" t="s">
        <v>16386</v>
      </c>
      <c r="K3225">
        <v>0.204</v>
      </c>
      <c r="L3225">
        <v>8891</v>
      </c>
      <c r="M3225">
        <v>2129</v>
      </c>
      <c r="N3225" t="s">
        <v>16393</v>
      </c>
      <c r="O3225" s="4">
        <v>57169</v>
      </c>
      <c r="P3225" s="4">
        <v>137515</v>
      </c>
      <c r="Q3225" s="4">
        <v>194684</v>
      </c>
      <c r="R3225" s="4">
        <v>584052</v>
      </c>
      <c r="S3225" t="s">
        <v>19537</v>
      </c>
      <c r="T3225" s="6">
        <v>44847</v>
      </c>
      <c r="U3225" s="4">
        <v>450000</v>
      </c>
      <c r="V3225" t="s">
        <v>23739</v>
      </c>
      <c r="W3225" t="s">
        <v>25334</v>
      </c>
      <c r="X3225" t="s">
        <v>3</v>
      </c>
      <c r="AA3225" s="5" t="str">
        <f>HYPERLINK("https://www.zillow.com/homes/1104-MALLORY-CT-NAPERVILLE-IL-60540_rb/","check listing")</f>
        <v>check listing</v>
      </c>
      <c r="AB3225" s="5" t="str">
        <f>HYPERLINK("https://propertylookup.dupagecounty.gov/Datalets/Datalet.aspx?UseSearch=no&amp;mode=sales&amp;pin=0727206030","sales record")</f>
        <v>sales record</v>
      </c>
      <c r="AC3225" t="s">
        <v>3</v>
      </c>
      <c r="AD3225">
        <v>41.750072</v>
      </c>
      <c r="AE3225">
        <v>-88.191593</v>
      </c>
      <c r="AF3225" s="5" t="str">
        <f>HYPERLINK("https://www.google.com/maps/search/?api=1&amp;query=41.750072,-88.191593","map")</f>
        <v>map</v>
      </c>
    </row>
    <row r="3226" spans="1:32">
      <c r="A3226" t="s">
        <v>3276</v>
      </c>
      <c r="B3226" t="s">
        <v>10809</v>
      </c>
      <c r="C3226" t="s">
        <v>15492</v>
      </c>
      <c r="D3226" t="s">
        <v>16206</v>
      </c>
      <c r="E3226" t="s">
        <v>16218</v>
      </c>
      <c r="F3226" t="s">
        <v>16220</v>
      </c>
      <c r="G3226" t="s">
        <v>16273</v>
      </c>
      <c r="H3226" t="s">
        <v>16254</v>
      </c>
      <c r="I3226" t="s">
        <v>16351</v>
      </c>
      <c r="J3226" t="s">
        <v>16386</v>
      </c>
      <c r="K3226">
        <v>0.204</v>
      </c>
      <c r="L3226">
        <v>8879</v>
      </c>
      <c r="M3226">
        <v>2342</v>
      </c>
      <c r="N3226" t="s">
        <v>16393</v>
      </c>
      <c r="O3226" s="4">
        <v>47990</v>
      </c>
      <c r="P3226" s="4">
        <v>94944</v>
      </c>
      <c r="Q3226" s="4">
        <v>142934</v>
      </c>
      <c r="R3226" s="4">
        <v>428802</v>
      </c>
      <c r="S3226" t="s">
        <v>19538</v>
      </c>
      <c r="T3226" s="6">
        <v>35643</v>
      </c>
      <c r="U3226" s="4">
        <v>180500</v>
      </c>
      <c r="X3226" t="s">
        <v>3</v>
      </c>
      <c r="AA3226" s="5" t="str">
        <f>HYPERLINK("https://www.zillow.com/homes/2068-MAPLEWOOD-CIR-NAPERVILLE-IL-605631981_rb/","check listing")</f>
        <v>check listing</v>
      </c>
      <c r="AB3226" s="5" t="str">
        <f>HYPERLINK("https://propertylookup.dupagecounty.gov/Datalets/Datalet.aspx?UseSearch=no&amp;mode=sales&amp;pin=0709411026","sales record")</f>
        <v>sales record</v>
      </c>
      <c r="AC3226" t="s">
        <v>3</v>
      </c>
      <c r="AD3226">
        <v>41.787178</v>
      </c>
      <c r="AE3226">
        <v>-88.20970800000001</v>
      </c>
      <c r="AF3226" s="5" t="str">
        <f>HYPERLINK("https://www.google.com/maps/search/?api=1&amp;query=41.787178,-88.209708","map")</f>
        <v>map</v>
      </c>
    </row>
    <row r="3227" spans="1:32">
      <c r="A3227" t="s">
        <v>3277</v>
      </c>
      <c r="B3227" t="s">
        <v>10810</v>
      </c>
      <c r="C3227" t="s">
        <v>15555</v>
      </c>
      <c r="D3227" t="s">
        <v>16206</v>
      </c>
      <c r="E3227" t="s">
        <v>16218</v>
      </c>
      <c r="F3227" t="s">
        <v>16220</v>
      </c>
      <c r="G3227" t="s">
        <v>16273</v>
      </c>
      <c r="H3227" t="s">
        <v>16254</v>
      </c>
      <c r="I3227" t="s">
        <v>16351</v>
      </c>
      <c r="J3227" t="s">
        <v>16386</v>
      </c>
      <c r="K3227">
        <v>0.204</v>
      </c>
      <c r="L3227">
        <v>8877</v>
      </c>
      <c r="M3227">
        <v>1994</v>
      </c>
      <c r="N3227" t="s">
        <v>16393</v>
      </c>
      <c r="O3227" s="4">
        <v>40728</v>
      </c>
      <c r="P3227" s="4">
        <v>133707</v>
      </c>
      <c r="Q3227" s="4">
        <v>174435</v>
      </c>
      <c r="R3227" s="4">
        <v>523305</v>
      </c>
      <c r="S3227" t="s">
        <v>19539</v>
      </c>
      <c r="T3227" s="6">
        <v>45898</v>
      </c>
      <c r="U3227" s="4">
        <v>507000</v>
      </c>
      <c r="V3227" t="s">
        <v>23741</v>
      </c>
      <c r="W3227" t="s">
        <v>25335</v>
      </c>
      <c r="X3227" t="s">
        <v>3</v>
      </c>
      <c r="AA3227" s="5" t="str">
        <f>HYPERLINK("https://www.zillow.com/homes/2100-COUNTRY-LAKES-DR-NAPERVILLE-IL-605631894_rb/","check listing")</f>
        <v>check listing</v>
      </c>
      <c r="AB3227" s="5" t="str">
        <f>HYPERLINK("https://propertylookup.dupagecounty.gov/Datalets/Datalet.aspx?UseSearch=no&amp;mode=sales&amp;pin=0709200031","sales record")</f>
        <v>sales record</v>
      </c>
      <c r="AC3227" t="s">
        <v>3</v>
      </c>
      <c r="AD3227">
        <v>41.794864</v>
      </c>
      <c r="AE3227">
        <v>-88.209689</v>
      </c>
      <c r="AF3227" s="5" t="str">
        <f>HYPERLINK("https://www.google.com/maps/search/?api=1&amp;query=41.794864,-88.209689","map")</f>
        <v>map</v>
      </c>
    </row>
    <row r="3228" spans="1:32">
      <c r="A3228" t="s">
        <v>3278</v>
      </c>
      <c r="B3228" t="s">
        <v>10811</v>
      </c>
      <c r="C3228" t="s">
        <v>15475</v>
      </c>
      <c r="D3228" t="s">
        <v>16206</v>
      </c>
      <c r="E3228" t="s">
        <v>16218</v>
      </c>
      <c r="F3228" t="s">
        <v>16220</v>
      </c>
      <c r="G3228" t="s">
        <v>16275</v>
      </c>
      <c r="H3228" t="s">
        <v>16276</v>
      </c>
      <c r="I3228" t="s">
        <v>16352</v>
      </c>
      <c r="J3228" t="s">
        <v>16386</v>
      </c>
      <c r="K3228">
        <v>0.204</v>
      </c>
      <c r="L3228">
        <v>8869</v>
      </c>
      <c r="M3228">
        <v>1451</v>
      </c>
      <c r="N3228" t="s">
        <v>16393</v>
      </c>
      <c r="O3228" s="4">
        <v>58706</v>
      </c>
      <c r="P3228" s="4">
        <v>84839</v>
      </c>
      <c r="Q3228" s="4">
        <v>143545</v>
      </c>
      <c r="R3228" s="4">
        <v>430635</v>
      </c>
      <c r="S3228" t="s">
        <v>19540</v>
      </c>
      <c r="T3228" s="6">
        <v>40330</v>
      </c>
      <c r="U3228" s="4">
        <v>263000</v>
      </c>
      <c r="V3228" t="s">
        <v>23739</v>
      </c>
      <c r="W3228" t="s">
        <v>19540</v>
      </c>
      <c r="X3228" t="s">
        <v>3</v>
      </c>
      <c r="AA3228" s="5" t="str">
        <f>HYPERLINK("https://www.zillow.com/homes/2103-JESSICA-CT-NAPERVILLE-IL-60540_rb/","check listing")</f>
        <v>check listing</v>
      </c>
      <c r="AB3228" s="5" t="str">
        <f>HYPERLINK("https://propertylookup.dupagecounty.gov/Datalets/Datalet.aspx?UseSearch=no&amp;mode=sales&amp;pin=0727201038","sales record")</f>
        <v>sales record</v>
      </c>
      <c r="AC3228" t="s">
        <v>3</v>
      </c>
      <c r="AD3228">
        <v>41.748116</v>
      </c>
      <c r="AE3228">
        <v>-88.189773</v>
      </c>
      <c r="AF3228" s="5" t="str">
        <f>HYPERLINK("https://www.google.com/maps/search/?api=1&amp;query=41.748116,-88.189773","map")</f>
        <v>map</v>
      </c>
    </row>
    <row r="3229" spans="1:32">
      <c r="A3229" t="s">
        <v>3279</v>
      </c>
      <c r="B3229" t="s">
        <v>10812</v>
      </c>
      <c r="C3229" t="s">
        <v>15475</v>
      </c>
      <c r="D3229" t="s">
        <v>16206</v>
      </c>
      <c r="E3229" t="s">
        <v>16218</v>
      </c>
      <c r="F3229" t="s">
        <v>16220</v>
      </c>
      <c r="G3229" t="s">
        <v>16275</v>
      </c>
      <c r="H3229" t="s">
        <v>16276</v>
      </c>
      <c r="I3229" t="s">
        <v>16352</v>
      </c>
      <c r="J3229" t="s">
        <v>16386</v>
      </c>
      <c r="K3229">
        <v>0.204</v>
      </c>
      <c r="L3229">
        <v>8865</v>
      </c>
      <c r="M3229">
        <v>2309</v>
      </c>
      <c r="N3229" t="s">
        <v>16393</v>
      </c>
      <c r="O3229" s="4">
        <v>59073</v>
      </c>
      <c r="P3229" s="4">
        <v>135990</v>
      </c>
      <c r="Q3229" s="4">
        <v>195063</v>
      </c>
      <c r="R3229" s="4">
        <v>585189</v>
      </c>
      <c r="S3229" t="s">
        <v>19541</v>
      </c>
      <c r="T3229" s="6">
        <v>34608</v>
      </c>
      <c r="U3229" s="4">
        <v>201752</v>
      </c>
      <c r="X3229" t="s">
        <v>3</v>
      </c>
      <c r="AA3229" s="5" t="str">
        <f>HYPERLINK("https://www.zillow.com/homes/603-WILDFLOWER-CT-NAPERVILLE-IL-60540_rb/","check listing")</f>
        <v>check listing</v>
      </c>
      <c r="AB3229" s="5" t="str">
        <f>HYPERLINK("https://propertylookup.dupagecounty.gov/Datalets/Datalet.aspx?UseSearch=no&amp;mode=sales&amp;pin=0722404001","sales record")</f>
        <v>sales record</v>
      </c>
      <c r="AC3229" t="s">
        <v>3</v>
      </c>
      <c r="AD3229">
        <v>41.759614</v>
      </c>
      <c r="AE3229">
        <v>-88.19581700000001</v>
      </c>
      <c r="AF3229" s="5" t="str">
        <f>HYPERLINK("https://www.google.com/maps/search/?api=1&amp;query=41.759614,-88.195817","map")</f>
        <v>map</v>
      </c>
    </row>
    <row r="3230" spans="1:32">
      <c r="A3230" t="s">
        <v>3280</v>
      </c>
      <c r="B3230" t="s">
        <v>10813</v>
      </c>
      <c r="C3230" t="s">
        <v>15478</v>
      </c>
      <c r="D3230" t="s">
        <v>16206</v>
      </c>
      <c r="E3230" t="s">
        <v>16218</v>
      </c>
      <c r="F3230" t="s">
        <v>16220</v>
      </c>
      <c r="G3230" t="s">
        <v>16273</v>
      </c>
      <c r="H3230" t="s">
        <v>16254</v>
      </c>
      <c r="I3230" t="s">
        <v>16351</v>
      </c>
      <c r="J3230" t="s">
        <v>16386</v>
      </c>
      <c r="K3230">
        <v>0.203</v>
      </c>
      <c r="L3230">
        <v>8860</v>
      </c>
      <c r="M3230">
        <v>1994</v>
      </c>
      <c r="N3230" t="s">
        <v>16393</v>
      </c>
      <c r="O3230" s="4">
        <v>45366</v>
      </c>
      <c r="P3230" s="4">
        <v>116547</v>
      </c>
      <c r="Q3230" s="4">
        <v>161913</v>
      </c>
      <c r="R3230" s="4">
        <v>485739</v>
      </c>
      <c r="S3230" t="s">
        <v>19542</v>
      </c>
      <c r="T3230" s="6">
        <v>41214</v>
      </c>
      <c r="U3230" s="4">
        <v>293000</v>
      </c>
      <c r="V3230" t="s">
        <v>23739</v>
      </c>
      <c r="W3230" t="s">
        <v>25336</v>
      </c>
      <c r="X3230" t="s">
        <v>3</v>
      </c>
      <c r="AA3230" s="5" t="str">
        <f>HYPERLINK("https://www.zillow.com/homes/2052-MAPLEWOOD-CIR-NAPERVILLE-IL-60563_rb/","check listing")</f>
        <v>check listing</v>
      </c>
      <c r="AB3230" s="5" t="str">
        <f>HYPERLINK("https://propertylookup.dupagecounty.gov/Datalets/Datalet.aspx?UseSearch=no&amp;mode=sales&amp;pin=0709411030","sales record")</f>
        <v>sales record</v>
      </c>
      <c r="AC3230" t="s">
        <v>3</v>
      </c>
      <c r="AD3230">
        <v>41.786786</v>
      </c>
      <c r="AE3230">
        <v>-88.20891</v>
      </c>
      <c r="AF3230" s="5" t="str">
        <f>HYPERLINK("https://www.google.com/maps/search/?api=1&amp;query=41.786786,-88.20891","map")</f>
        <v>map</v>
      </c>
    </row>
    <row r="3231" spans="1:32">
      <c r="A3231" t="s">
        <v>3281</v>
      </c>
      <c r="B3231" t="s">
        <v>10814</v>
      </c>
      <c r="C3231" t="s">
        <v>15476</v>
      </c>
      <c r="D3231" t="s">
        <v>16206</v>
      </c>
      <c r="E3231" t="s">
        <v>16218</v>
      </c>
      <c r="F3231" t="s">
        <v>16220</v>
      </c>
      <c r="G3231" t="s">
        <v>16269</v>
      </c>
      <c r="H3231" t="s">
        <v>16269</v>
      </c>
      <c r="I3231" t="s">
        <v>16352</v>
      </c>
      <c r="J3231" t="s">
        <v>16386</v>
      </c>
      <c r="K3231">
        <v>0.203</v>
      </c>
      <c r="L3231">
        <v>8835</v>
      </c>
      <c r="M3231">
        <v>1847</v>
      </c>
      <c r="N3231" t="s">
        <v>16393</v>
      </c>
      <c r="O3231" s="4">
        <v>71719</v>
      </c>
      <c r="P3231" s="4">
        <v>97155</v>
      </c>
      <c r="Q3231" s="4">
        <v>168874</v>
      </c>
      <c r="R3231" s="4">
        <v>506622</v>
      </c>
      <c r="S3231" t="s">
        <v>19543</v>
      </c>
      <c r="T3231" s="6">
        <v>40664</v>
      </c>
      <c r="U3231" s="4">
        <v>269000</v>
      </c>
      <c r="V3231" t="s">
        <v>23739</v>
      </c>
      <c r="W3231" t="s">
        <v>25337</v>
      </c>
      <c r="X3231" t="s">
        <v>3</v>
      </c>
      <c r="AA3231" s="5" t="str">
        <f>HYPERLINK("https://www.zillow.com/homes/404-BOURBON-LN-NAPERVILLE-IL-60565_rb/","check listing")</f>
        <v>check listing</v>
      </c>
      <c r="AB3231" s="5" t="str">
        <f>HYPERLINK("https://propertylookup.dupagecounty.gov/Datalets/Datalet.aspx?UseSearch=no&amp;mode=sales&amp;pin=0832117001","sales record")</f>
        <v>sales record</v>
      </c>
      <c r="AC3231" t="s">
        <v>3</v>
      </c>
      <c r="AD3231">
        <v>41.734181</v>
      </c>
      <c r="AE3231">
        <v>-88.122817</v>
      </c>
      <c r="AF3231" s="5" t="str">
        <f>HYPERLINK("https://www.google.com/maps/search/?api=1&amp;query=41.734181,-88.122817","map")</f>
        <v>map</v>
      </c>
    </row>
    <row r="3232" spans="1:32">
      <c r="A3232" t="s">
        <v>3282</v>
      </c>
      <c r="B3232" t="s">
        <v>10815</v>
      </c>
      <c r="C3232" t="s">
        <v>15515</v>
      </c>
      <c r="D3232" t="s">
        <v>16206</v>
      </c>
      <c r="E3232" t="s">
        <v>16218</v>
      </c>
      <c r="F3232" t="s">
        <v>16220</v>
      </c>
      <c r="G3232" t="s">
        <v>16276</v>
      </c>
      <c r="H3232" t="s">
        <v>16276</v>
      </c>
      <c r="I3232" t="s">
        <v>16352</v>
      </c>
      <c r="J3232" t="s">
        <v>16386</v>
      </c>
      <c r="K3232">
        <v>0.203</v>
      </c>
      <c r="L3232">
        <v>8835</v>
      </c>
      <c r="M3232">
        <v>1814</v>
      </c>
      <c r="N3232" t="s">
        <v>16393</v>
      </c>
      <c r="O3232" s="4">
        <v>55655</v>
      </c>
      <c r="P3232" s="4">
        <v>114216</v>
      </c>
      <c r="Q3232" s="4">
        <v>169871</v>
      </c>
      <c r="R3232" s="4">
        <v>509613</v>
      </c>
      <c r="S3232" t="s">
        <v>19544</v>
      </c>
      <c r="T3232" s="6">
        <v>44378</v>
      </c>
      <c r="U3232" s="4">
        <v>390000</v>
      </c>
      <c r="V3232" t="s">
        <v>23739</v>
      </c>
      <c r="W3232" t="s">
        <v>25338</v>
      </c>
      <c r="X3232" t="s">
        <v>3</v>
      </c>
      <c r="AA3232" s="5" t="str">
        <f>HYPERLINK("https://www.zillow.com/homes/907-JOAN-CT-NAPERVILLE-IL-605401931_rb/","check listing")</f>
        <v>check listing</v>
      </c>
      <c r="AB3232" s="5" t="str">
        <f>HYPERLINK("https://propertylookup.dupagecounty.gov/Datalets/Datalet.aspx?UseSearch=no&amp;mode=sales&amp;pin=0727210023","sales record")</f>
        <v>sales record</v>
      </c>
      <c r="AC3232" t="s">
        <v>3</v>
      </c>
      <c r="AD3232">
        <v>41.753641</v>
      </c>
      <c r="AE3232">
        <v>-88.18884799999999</v>
      </c>
      <c r="AF3232" s="5" t="str">
        <f>HYPERLINK("https://www.google.com/maps/search/?api=1&amp;query=41.753641,-88.188848","map")</f>
        <v>map</v>
      </c>
    </row>
    <row r="3233" spans="1:32">
      <c r="A3233" t="s">
        <v>3283</v>
      </c>
      <c r="B3233" t="s">
        <v>10816</v>
      </c>
      <c r="C3233" t="s">
        <v>15475</v>
      </c>
      <c r="D3233" t="s">
        <v>16206</v>
      </c>
      <c r="E3233" t="s">
        <v>16218</v>
      </c>
      <c r="F3233" t="s">
        <v>16220</v>
      </c>
      <c r="G3233" t="s">
        <v>16275</v>
      </c>
      <c r="H3233" t="s">
        <v>16276</v>
      </c>
      <c r="I3233" t="s">
        <v>16352</v>
      </c>
      <c r="J3233" t="s">
        <v>16386</v>
      </c>
      <c r="K3233">
        <v>0.203</v>
      </c>
      <c r="L3233">
        <v>8821</v>
      </c>
      <c r="M3233">
        <v>3132</v>
      </c>
      <c r="N3233" t="s">
        <v>16393</v>
      </c>
      <c r="O3233" s="4">
        <v>47905</v>
      </c>
      <c r="P3233" s="4">
        <v>134098</v>
      </c>
      <c r="Q3233" s="4">
        <v>182003</v>
      </c>
      <c r="R3233" s="4">
        <v>546009</v>
      </c>
      <c r="S3233" t="s">
        <v>19545</v>
      </c>
      <c r="T3233" s="6">
        <v>36465</v>
      </c>
      <c r="U3233" s="4">
        <v>234000</v>
      </c>
      <c r="X3233" t="s">
        <v>3</v>
      </c>
      <c r="AA3233" s="5" t="str">
        <f>HYPERLINK("https://www.zillow.com/homes/704-BONESET-CT-NAPERVILLE-IL-60540_rb/","check listing")</f>
        <v>check listing</v>
      </c>
      <c r="AB3233" s="5" t="str">
        <f>HYPERLINK("https://propertylookup.dupagecounty.gov/Datalets/Datalet.aspx?UseSearch=no&amp;mode=sales&amp;pin=0722406020","sales record")</f>
        <v>sales record</v>
      </c>
      <c r="AC3233" t="s">
        <v>3</v>
      </c>
      <c r="AD3233">
        <v>41.758865</v>
      </c>
      <c r="AE3233">
        <v>-88.194526</v>
      </c>
      <c r="AF3233" s="5" t="str">
        <f>HYPERLINK("https://www.google.com/maps/search/?api=1&amp;query=41.758865,-88.194526","map")</f>
        <v>map</v>
      </c>
    </row>
    <row r="3234" spans="1:32">
      <c r="A3234" t="s">
        <v>3284</v>
      </c>
      <c r="B3234" t="s">
        <v>10817</v>
      </c>
      <c r="C3234" t="s">
        <v>15475</v>
      </c>
      <c r="D3234" t="s">
        <v>16206</v>
      </c>
      <c r="E3234" t="s">
        <v>16218</v>
      </c>
      <c r="F3234" t="s">
        <v>16220</v>
      </c>
      <c r="G3234" t="s">
        <v>16275</v>
      </c>
      <c r="H3234" t="s">
        <v>16276</v>
      </c>
      <c r="I3234" t="s">
        <v>16352</v>
      </c>
      <c r="J3234" t="s">
        <v>16386</v>
      </c>
      <c r="K3234">
        <v>0.202</v>
      </c>
      <c r="L3234">
        <v>8818</v>
      </c>
      <c r="M3234">
        <v>1809</v>
      </c>
      <c r="N3234" t="s">
        <v>16393</v>
      </c>
      <c r="O3234" s="4">
        <v>47905</v>
      </c>
      <c r="P3234" s="4">
        <v>103866</v>
      </c>
      <c r="Q3234" s="4">
        <v>151771</v>
      </c>
      <c r="R3234" s="4">
        <v>455313</v>
      </c>
      <c r="S3234" t="s">
        <v>19546</v>
      </c>
      <c r="T3234" s="6">
        <v>38231</v>
      </c>
      <c r="U3234" s="4">
        <v>275000</v>
      </c>
      <c r="V3234" t="s">
        <v>23739</v>
      </c>
      <c r="W3234" t="s">
        <v>25339</v>
      </c>
      <c r="X3234" t="s">
        <v>3</v>
      </c>
      <c r="AA3234" s="5" t="str">
        <f>HYPERLINK("https://www.zillow.com/homes/763-VIOLET-CIR-NAPERVILLE-IL-60540_rb/","check listing")</f>
        <v>check listing</v>
      </c>
      <c r="AB3234" s="5" t="str">
        <f>HYPERLINK("https://propertylookup.dupagecounty.gov/Datalets/Datalet.aspx?UseSearch=no&amp;mode=sales&amp;pin=0722407051","sales record")</f>
        <v>sales record</v>
      </c>
      <c r="AC3234" t="s">
        <v>3</v>
      </c>
      <c r="AD3234">
        <v>41.759339</v>
      </c>
      <c r="AE3234">
        <v>-88.189035</v>
      </c>
      <c r="AF3234" s="5" t="str">
        <f>HYPERLINK("https://www.google.com/maps/search/?api=1&amp;query=41.759339,-88.189035","map")</f>
        <v>map</v>
      </c>
    </row>
    <row r="3235" spans="1:32">
      <c r="A3235" t="s">
        <v>3285</v>
      </c>
      <c r="B3235" t="s">
        <v>10818</v>
      </c>
      <c r="C3235" t="s">
        <v>15529</v>
      </c>
      <c r="D3235" t="s">
        <v>16206</v>
      </c>
      <c r="E3235" t="s">
        <v>16218</v>
      </c>
      <c r="F3235" t="s">
        <v>16220</v>
      </c>
      <c r="G3235" t="s">
        <v>16273</v>
      </c>
      <c r="H3235" t="s">
        <v>16254</v>
      </c>
      <c r="I3235" t="s">
        <v>16351</v>
      </c>
      <c r="J3235" t="s">
        <v>16386</v>
      </c>
      <c r="K3235">
        <v>0.202</v>
      </c>
      <c r="L3235">
        <v>8811</v>
      </c>
      <c r="M3235">
        <v>2359</v>
      </c>
      <c r="N3235" t="s">
        <v>16393</v>
      </c>
      <c r="O3235" s="4">
        <v>50896</v>
      </c>
      <c r="P3235" s="4">
        <v>198810</v>
      </c>
      <c r="Q3235" s="4">
        <v>249706</v>
      </c>
      <c r="R3235" s="4">
        <v>749118</v>
      </c>
      <c r="S3235" t="s">
        <v>19547</v>
      </c>
      <c r="T3235" s="6">
        <v>45044</v>
      </c>
      <c r="U3235" s="4">
        <v>616250</v>
      </c>
      <c r="V3235" t="s">
        <v>23739</v>
      </c>
      <c r="W3235" t="s">
        <v>25340</v>
      </c>
      <c r="X3235" t="s">
        <v>3</v>
      </c>
      <c r="AA3235" s="5" t="str">
        <f>HYPERLINK("https://www.zillow.com/homes/2062-BUNKER-CIR-NAPERVILLE-IL-605631892_rb/","check listing")</f>
        <v>check listing</v>
      </c>
      <c r="AB3235" s="5" t="str">
        <f>HYPERLINK("https://propertylookup.dupagecounty.gov/Datalets/Datalet.aspx?UseSearch=no&amp;mode=sales&amp;pin=0709200016","sales record")</f>
        <v>sales record</v>
      </c>
      <c r="AC3235" t="s">
        <v>3</v>
      </c>
      <c r="AD3235">
        <v>41.795601</v>
      </c>
      <c r="AE3235">
        <v>-88.212942</v>
      </c>
      <c r="AF3235" s="5" t="str">
        <f>HYPERLINK("https://www.google.com/maps/search/?api=1&amp;query=41.795601,-88.212942","map")</f>
        <v>map</v>
      </c>
    </row>
    <row r="3236" spans="1:32">
      <c r="A3236" t="s">
        <v>3286</v>
      </c>
      <c r="B3236" t="s">
        <v>10819</v>
      </c>
      <c r="C3236" t="s">
        <v>15478</v>
      </c>
      <c r="D3236" t="s">
        <v>16206</v>
      </c>
      <c r="E3236" t="s">
        <v>16218</v>
      </c>
      <c r="F3236" t="s">
        <v>16220</v>
      </c>
      <c r="G3236" t="s">
        <v>16273</v>
      </c>
      <c r="H3236" t="s">
        <v>16254</v>
      </c>
      <c r="I3236" t="s">
        <v>16351</v>
      </c>
      <c r="J3236" t="s">
        <v>16386</v>
      </c>
      <c r="K3236">
        <v>0.202</v>
      </c>
      <c r="L3236">
        <v>8802</v>
      </c>
      <c r="M3236">
        <v>3001</v>
      </c>
      <c r="N3236" t="s">
        <v>16393</v>
      </c>
      <c r="O3236" s="4">
        <v>50896</v>
      </c>
      <c r="P3236" s="4">
        <v>182138</v>
      </c>
      <c r="Q3236" s="4">
        <v>233034</v>
      </c>
      <c r="R3236" s="4">
        <v>699102</v>
      </c>
      <c r="S3236" t="s">
        <v>19548</v>
      </c>
      <c r="T3236" s="6">
        <v>37408</v>
      </c>
      <c r="U3236" s="4">
        <v>365000</v>
      </c>
      <c r="V3236" t="s">
        <v>23739</v>
      </c>
      <c r="W3236" t="s">
        <v>25341</v>
      </c>
      <c r="X3236" t="s">
        <v>3</v>
      </c>
      <c r="AA3236" s="5" t="str">
        <f>HYPERLINK("https://www.zillow.com/homes/2066-BUNKER-CIR-NAPERVILLE-IL-60563_rb/","check listing")</f>
        <v>check listing</v>
      </c>
      <c r="AB3236" s="5" t="str">
        <f>HYPERLINK("https://propertylookup.dupagecounty.gov/Datalets/Datalet.aspx?UseSearch=no&amp;mode=sales&amp;pin=0709200015","sales record")</f>
        <v>sales record</v>
      </c>
      <c r="AC3236" t="s">
        <v>3</v>
      </c>
      <c r="AD3236">
        <v>41.795537</v>
      </c>
      <c r="AE3236">
        <v>-88.213184</v>
      </c>
      <c r="AF3236" s="5" t="str">
        <f>HYPERLINK("https://www.google.com/maps/search/?api=1&amp;query=41.795537,-88.213184","map")</f>
        <v>map</v>
      </c>
    </row>
    <row r="3237" spans="1:32">
      <c r="A3237" t="s">
        <v>3287</v>
      </c>
      <c r="B3237" t="s">
        <v>10820</v>
      </c>
      <c r="C3237" t="s">
        <v>15475</v>
      </c>
      <c r="D3237" t="s">
        <v>16206</v>
      </c>
      <c r="E3237" t="s">
        <v>16218</v>
      </c>
      <c r="F3237" t="s">
        <v>16220</v>
      </c>
      <c r="G3237" t="s">
        <v>16275</v>
      </c>
      <c r="H3237" t="s">
        <v>16276</v>
      </c>
      <c r="I3237" t="s">
        <v>16352</v>
      </c>
      <c r="J3237" t="s">
        <v>16386</v>
      </c>
      <c r="K3237">
        <v>0.202</v>
      </c>
      <c r="L3237">
        <v>8801</v>
      </c>
      <c r="M3237">
        <v>1980</v>
      </c>
      <c r="N3237" t="s">
        <v>16393</v>
      </c>
      <c r="O3237" s="4">
        <v>46367</v>
      </c>
      <c r="P3237" s="4">
        <v>94089</v>
      </c>
      <c r="Q3237" s="4">
        <v>140456</v>
      </c>
      <c r="R3237" s="4">
        <v>421368</v>
      </c>
      <c r="S3237" t="s">
        <v>19549</v>
      </c>
      <c r="T3237" s="6">
        <v>40725</v>
      </c>
      <c r="U3237" s="4">
        <v>246400</v>
      </c>
      <c r="V3237" t="s">
        <v>23739</v>
      </c>
      <c r="W3237" t="s">
        <v>19549</v>
      </c>
      <c r="X3237" t="s">
        <v>3</v>
      </c>
      <c r="AA3237" s="5" t="str">
        <f>HYPERLINK("https://www.zillow.com/homes/1932-CROSSING-CT-NAPERVILLE-IL-60540_rb/","check listing")</f>
        <v>check listing</v>
      </c>
      <c r="AB3237" s="5" t="str">
        <f>HYPERLINK("https://propertylookup.dupagecounty.gov/Datalets/Datalet.aspx?UseSearch=no&amp;mode=sales&amp;pin=0727201017","sales record")</f>
        <v>sales record</v>
      </c>
      <c r="AC3237" t="s">
        <v>3</v>
      </c>
      <c r="AD3237">
        <v>41.749301</v>
      </c>
      <c r="AE3237">
        <v>-88.187567</v>
      </c>
      <c r="AF3237" s="5" t="str">
        <f>HYPERLINK("https://www.google.com/maps/search/?api=1&amp;query=41.749301,-88.187567","map")</f>
        <v>map</v>
      </c>
    </row>
    <row r="3238" spans="1:32">
      <c r="A3238" t="s">
        <v>3288</v>
      </c>
      <c r="B3238" t="s">
        <v>10821</v>
      </c>
      <c r="C3238" t="s">
        <v>15475</v>
      </c>
      <c r="D3238" t="s">
        <v>16206</v>
      </c>
      <c r="E3238" t="s">
        <v>16218</v>
      </c>
      <c r="F3238" t="s">
        <v>16220</v>
      </c>
      <c r="G3238" t="s">
        <v>16275</v>
      </c>
      <c r="H3238" t="s">
        <v>16276</v>
      </c>
      <c r="I3238" t="s">
        <v>16352</v>
      </c>
      <c r="J3238" t="s">
        <v>16386</v>
      </c>
      <c r="K3238">
        <v>0.202</v>
      </c>
      <c r="L3238">
        <v>8791</v>
      </c>
      <c r="M3238">
        <v>4067</v>
      </c>
      <c r="N3238" t="s">
        <v>16393</v>
      </c>
      <c r="O3238" s="4">
        <v>62295</v>
      </c>
      <c r="P3238" s="4">
        <v>158582</v>
      </c>
      <c r="Q3238" s="4">
        <v>220877</v>
      </c>
      <c r="R3238" s="4">
        <v>662631</v>
      </c>
      <c r="S3238" t="s">
        <v>19550</v>
      </c>
      <c r="T3238" s="6">
        <v>40787</v>
      </c>
      <c r="U3238" s="4">
        <v>295000</v>
      </c>
      <c r="V3238" t="s">
        <v>23739</v>
      </c>
      <c r="W3238" t="s">
        <v>25342</v>
      </c>
      <c r="X3238" t="s">
        <v>3</v>
      </c>
      <c r="AA3238" s="5" t="str">
        <f>HYPERLINK("https://www.zillow.com/homes/608-AZALEA-CT-NAPERVILLE-IL-60540_rb/","check listing")</f>
        <v>check listing</v>
      </c>
      <c r="AB3238" s="5" t="str">
        <f>HYPERLINK("https://propertylookup.dupagecounty.gov/Datalets/Datalet.aspx?UseSearch=no&amp;mode=sales&amp;pin=0722404033","sales record")</f>
        <v>sales record</v>
      </c>
      <c r="AC3238" t="s">
        <v>3</v>
      </c>
      <c r="AD3238">
        <v>41.761435</v>
      </c>
      <c r="AE3238">
        <v>-88.19213999999999</v>
      </c>
      <c r="AF3238" s="5" t="str">
        <f>HYPERLINK("https://www.google.com/maps/search/?api=1&amp;query=41.761435,-88.19214","map")</f>
        <v>map</v>
      </c>
    </row>
    <row r="3239" spans="1:32">
      <c r="A3239" t="s">
        <v>3289</v>
      </c>
      <c r="B3239" t="s">
        <v>10822</v>
      </c>
      <c r="C3239" t="s">
        <v>15556</v>
      </c>
      <c r="D3239" t="s">
        <v>16206</v>
      </c>
      <c r="E3239" t="s">
        <v>16218</v>
      </c>
      <c r="F3239" t="s">
        <v>16220</v>
      </c>
      <c r="G3239" t="s">
        <v>16269</v>
      </c>
      <c r="H3239" t="s">
        <v>16269</v>
      </c>
      <c r="I3239" t="s">
        <v>16352</v>
      </c>
      <c r="J3239" t="s">
        <v>16386</v>
      </c>
      <c r="K3239">
        <v>0.202</v>
      </c>
      <c r="L3239">
        <v>8789</v>
      </c>
      <c r="M3239">
        <v>1697</v>
      </c>
      <c r="N3239" t="s">
        <v>16393</v>
      </c>
      <c r="O3239" s="4">
        <v>71707</v>
      </c>
      <c r="P3239" s="4">
        <v>78093</v>
      </c>
      <c r="Q3239" s="4">
        <v>149800</v>
      </c>
      <c r="R3239" s="4">
        <v>449400</v>
      </c>
      <c r="S3239" t="s">
        <v>19551</v>
      </c>
      <c r="T3239" s="6">
        <v>43252</v>
      </c>
      <c r="U3239" s="4">
        <v>318000</v>
      </c>
      <c r="V3239" t="s">
        <v>23739</v>
      </c>
      <c r="W3239" t="s">
        <v>25343</v>
      </c>
      <c r="X3239" t="s">
        <v>3</v>
      </c>
      <c r="AA3239" s="5" t="str">
        <f>HYPERLINK("https://www.zillow.com/homes/1724-COACH-DR-NAPERVILLE-IL-605652414_rb/","check listing")</f>
        <v>check listing</v>
      </c>
      <c r="AB3239" s="5" t="str">
        <f>HYPERLINK("https://propertylookup.dupagecounty.gov/Datalets/Datalet.aspx?UseSearch=no&amp;mode=sales&amp;pin=0832114048","sales record")</f>
        <v>sales record</v>
      </c>
      <c r="AC3239" t="s">
        <v>3</v>
      </c>
      <c r="AD3239">
        <v>41.736466</v>
      </c>
      <c r="AE3239">
        <v>-88.122721</v>
      </c>
      <c r="AF3239" s="5" t="str">
        <f>HYPERLINK("https://www.google.com/maps/search/?api=1&amp;query=41.736466,-88.122721","map")</f>
        <v>map</v>
      </c>
    </row>
    <row r="3240" spans="1:32">
      <c r="A3240" t="s">
        <v>3290</v>
      </c>
      <c r="B3240" t="s">
        <v>10823</v>
      </c>
      <c r="C3240" t="s">
        <v>15496</v>
      </c>
      <c r="D3240" t="s">
        <v>16206</v>
      </c>
      <c r="E3240" t="s">
        <v>16218</v>
      </c>
      <c r="F3240" t="s">
        <v>16220</v>
      </c>
      <c r="G3240" t="s">
        <v>16275</v>
      </c>
      <c r="H3240" t="s">
        <v>16276</v>
      </c>
      <c r="I3240" t="s">
        <v>16352</v>
      </c>
      <c r="J3240" t="s">
        <v>16386</v>
      </c>
      <c r="K3240">
        <v>0.201</v>
      </c>
      <c r="L3240">
        <v>8770</v>
      </c>
      <c r="M3240">
        <v>2077</v>
      </c>
      <c r="N3240" t="s">
        <v>16393</v>
      </c>
      <c r="O3240" s="4">
        <v>46367</v>
      </c>
      <c r="P3240" s="4">
        <v>116633</v>
      </c>
      <c r="Q3240" s="4">
        <v>163000</v>
      </c>
      <c r="R3240" s="4">
        <v>489000</v>
      </c>
      <c r="S3240" t="s">
        <v>19552</v>
      </c>
      <c r="T3240" s="6">
        <v>34486</v>
      </c>
      <c r="U3240" s="4">
        <v>194350</v>
      </c>
      <c r="X3240" t="s">
        <v>3</v>
      </c>
      <c r="AA3240" s="5" t="str">
        <f>HYPERLINK("https://www.zillow.com/homes/1120-MALLORY-CT-NAPERVILLE-IL-605401908_rb/","check listing")</f>
        <v>check listing</v>
      </c>
      <c r="AB3240" s="5" t="str">
        <f>HYPERLINK("https://propertylookup.dupagecounty.gov/Datalets/Datalet.aspx?UseSearch=no&amp;mode=sales&amp;pin=0727206026","sales record")</f>
        <v>sales record</v>
      </c>
      <c r="AC3240" t="s">
        <v>3</v>
      </c>
      <c r="AD3240">
        <v>41.749458</v>
      </c>
      <c r="AE3240">
        <v>-88.19126799999999</v>
      </c>
      <c r="AF3240" s="5" t="str">
        <f>HYPERLINK("https://www.google.com/maps/search/?api=1&amp;query=41.749458,-88.191268","map")</f>
        <v>map</v>
      </c>
    </row>
    <row r="3241" spans="1:32">
      <c r="A3241" t="s">
        <v>3291</v>
      </c>
      <c r="B3241" t="s">
        <v>10824</v>
      </c>
      <c r="C3241" t="s">
        <v>15478</v>
      </c>
      <c r="D3241" t="s">
        <v>16206</v>
      </c>
      <c r="E3241" t="s">
        <v>16218</v>
      </c>
      <c r="F3241" t="s">
        <v>16220</v>
      </c>
      <c r="G3241" t="s">
        <v>16273</v>
      </c>
      <c r="H3241" t="s">
        <v>16254</v>
      </c>
      <c r="I3241" t="s">
        <v>16351</v>
      </c>
      <c r="J3241" t="s">
        <v>16386</v>
      </c>
      <c r="K3241">
        <v>0.201</v>
      </c>
      <c r="L3241">
        <v>8764</v>
      </c>
      <c r="M3241">
        <v>1979</v>
      </c>
      <c r="N3241" t="s">
        <v>16393</v>
      </c>
      <c r="O3241" s="4">
        <v>45366</v>
      </c>
      <c r="P3241" s="4">
        <v>62039</v>
      </c>
      <c r="Q3241" s="4">
        <v>107405</v>
      </c>
      <c r="R3241" s="4">
        <v>322215</v>
      </c>
      <c r="S3241" t="s">
        <v>19553</v>
      </c>
      <c r="T3241" s="6">
        <v>34274</v>
      </c>
      <c r="U3241" s="4">
        <v>130000</v>
      </c>
      <c r="X3241" t="s">
        <v>3</v>
      </c>
      <c r="AA3241" s="5" t="str">
        <f>HYPERLINK("https://www.zillow.com/homes/2048-MAPLEWOOD-CIR-NAPERVILLE-IL-60563_rb/","check listing")</f>
        <v>check listing</v>
      </c>
      <c r="AB3241" s="5" t="str">
        <f>HYPERLINK("https://propertylookup.dupagecounty.gov/Datalets/Datalet.aspx?UseSearch=no&amp;mode=sales&amp;pin=0709411031","sales record")</f>
        <v>sales record</v>
      </c>
      <c r="AC3241" t="s">
        <v>3</v>
      </c>
      <c r="AD3241">
        <v>41.786564</v>
      </c>
      <c r="AE3241">
        <v>-88.20891399999999</v>
      </c>
      <c r="AF3241" s="5" t="str">
        <f>HYPERLINK("https://www.google.com/maps/search/?api=1&amp;query=41.786564,-88.208914","map")</f>
        <v>map</v>
      </c>
    </row>
    <row r="3242" spans="1:32">
      <c r="A3242" t="s">
        <v>3292</v>
      </c>
      <c r="B3242" t="s">
        <v>10825</v>
      </c>
      <c r="C3242" t="s">
        <v>15478</v>
      </c>
      <c r="D3242" t="s">
        <v>16206</v>
      </c>
      <c r="E3242" t="s">
        <v>16218</v>
      </c>
      <c r="F3242" t="s">
        <v>16220</v>
      </c>
      <c r="G3242" t="s">
        <v>16273</v>
      </c>
      <c r="H3242" t="s">
        <v>16254</v>
      </c>
      <c r="I3242" t="s">
        <v>16351</v>
      </c>
      <c r="J3242" t="s">
        <v>16386</v>
      </c>
      <c r="K3242">
        <v>0.201</v>
      </c>
      <c r="L3242">
        <v>8759</v>
      </c>
      <c r="M3242">
        <v>2309</v>
      </c>
      <c r="N3242" t="s">
        <v>16393</v>
      </c>
      <c r="O3242" s="4">
        <v>45366</v>
      </c>
      <c r="P3242" s="4">
        <v>120233</v>
      </c>
      <c r="Q3242" s="4">
        <v>165599</v>
      </c>
      <c r="R3242" s="4">
        <v>496797</v>
      </c>
      <c r="S3242" t="s">
        <v>19554</v>
      </c>
      <c r="T3242" s="6">
        <v>37712</v>
      </c>
      <c r="U3242" s="4">
        <v>275000</v>
      </c>
      <c r="V3242" t="s">
        <v>23739</v>
      </c>
      <c r="W3242" t="s">
        <v>25344</v>
      </c>
      <c r="X3242" t="s">
        <v>3</v>
      </c>
      <c r="AA3242" s="5" t="str">
        <f>HYPERLINK("https://www.zillow.com/homes/2044-MAPLEWOOD-CIR-NAPERVILLE-IL-60563_rb/","check listing")</f>
        <v>check listing</v>
      </c>
      <c r="AB3242" s="5" t="str">
        <f>HYPERLINK("https://propertylookup.dupagecounty.gov/Datalets/Datalet.aspx?UseSearch=no&amp;mode=sales&amp;pin=0709411032","sales record")</f>
        <v>sales record</v>
      </c>
      <c r="AC3242" t="s">
        <v>3</v>
      </c>
      <c r="AD3242">
        <v>41.78639</v>
      </c>
      <c r="AE3242">
        <v>-88.208915</v>
      </c>
      <c r="AF3242" s="5" t="str">
        <f>HYPERLINK("https://www.google.com/maps/search/?api=1&amp;query=41.78639,-88.208915","map")</f>
        <v>map</v>
      </c>
    </row>
    <row r="3243" spans="1:32">
      <c r="A3243" t="s">
        <v>3293</v>
      </c>
      <c r="B3243" t="s">
        <v>10826</v>
      </c>
      <c r="C3243" t="s">
        <v>15478</v>
      </c>
      <c r="D3243" t="s">
        <v>16206</v>
      </c>
      <c r="E3243" t="s">
        <v>16218</v>
      </c>
      <c r="F3243" t="s">
        <v>16220</v>
      </c>
      <c r="G3243" t="s">
        <v>16273</v>
      </c>
      <c r="H3243" t="s">
        <v>16254</v>
      </c>
      <c r="I3243" t="s">
        <v>16351</v>
      </c>
      <c r="J3243" t="s">
        <v>16386</v>
      </c>
      <c r="K3243">
        <v>0.201</v>
      </c>
      <c r="L3243">
        <v>8754</v>
      </c>
      <c r="M3243">
        <v>2637</v>
      </c>
      <c r="N3243" t="s">
        <v>16393</v>
      </c>
      <c r="O3243" s="4">
        <v>47990</v>
      </c>
      <c r="P3243" s="4">
        <v>155860</v>
      </c>
      <c r="Q3243" s="4">
        <v>203850</v>
      </c>
      <c r="R3243" s="4">
        <v>611550</v>
      </c>
      <c r="S3243" t="s">
        <v>19555</v>
      </c>
      <c r="T3243" s="6">
        <v>46028</v>
      </c>
      <c r="U3243" s="4">
        <v>762500</v>
      </c>
      <c r="V3243" t="s">
        <v>23739</v>
      </c>
      <c r="W3243" t="s">
        <v>25345</v>
      </c>
      <c r="X3243" t="s">
        <v>3</v>
      </c>
      <c r="AA3243" s="5" t="str">
        <f>HYPERLINK("https://www.zillow.com/homes/2084-MAPLEWOOD-CIR-NAPERVILLE-IL-60563_rb/","check listing")</f>
        <v>check listing</v>
      </c>
      <c r="AB3243" s="5" t="str">
        <f>HYPERLINK("https://propertylookup.dupagecounty.gov/Datalets/Datalet.aspx?UseSearch=no&amp;mode=sales&amp;pin=0709411022","sales record")</f>
        <v>sales record</v>
      </c>
      <c r="AC3243" t="s">
        <v>3</v>
      </c>
      <c r="AD3243">
        <v>41.787168</v>
      </c>
      <c r="AE3243">
        <v>-88.210736</v>
      </c>
      <c r="AF3243" s="5" t="str">
        <f>HYPERLINK("https://www.google.com/maps/search/?api=1&amp;query=41.787168,-88.210736","map")</f>
        <v>map</v>
      </c>
    </row>
    <row r="3244" spans="1:32">
      <c r="A3244" t="s">
        <v>3294</v>
      </c>
      <c r="B3244" t="s">
        <v>10827</v>
      </c>
      <c r="C3244" t="s">
        <v>15492</v>
      </c>
      <c r="D3244" t="s">
        <v>16206</v>
      </c>
      <c r="E3244" t="s">
        <v>16218</v>
      </c>
      <c r="F3244" t="s">
        <v>16220</v>
      </c>
      <c r="G3244" t="s">
        <v>16273</v>
      </c>
      <c r="H3244" t="s">
        <v>16254</v>
      </c>
      <c r="I3244" t="s">
        <v>16351</v>
      </c>
      <c r="J3244" t="s">
        <v>16386</v>
      </c>
      <c r="K3244">
        <v>0.201</v>
      </c>
      <c r="L3244">
        <v>8754</v>
      </c>
      <c r="M3244">
        <v>1928</v>
      </c>
      <c r="N3244" t="s">
        <v>16393</v>
      </c>
      <c r="O3244" s="4">
        <v>47990</v>
      </c>
      <c r="P3244" s="4">
        <v>83252</v>
      </c>
      <c r="Q3244" s="4">
        <v>131242</v>
      </c>
      <c r="R3244" s="4">
        <v>393726</v>
      </c>
      <c r="S3244" t="s">
        <v>19556</v>
      </c>
      <c r="T3244" s="6">
        <v>44777</v>
      </c>
      <c r="U3244" s="4">
        <v>419000</v>
      </c>
      <c r="V3244" t="s">
        <v>23739</v>
      </c>
      <c r="W3244" t="s">
        <v>25346</v>
      </c>
      <c r="X3244" t="s">
        <v>3</v>
      </c>
      <c r="AA3244" s="5" t="str">
        <f>HYPERLINK("https://www.zillow.com/homes/2080-MAPLEWOOD-CIR-NAPERVILLE-IL-605631981_rb/","check listing")</f>
        <v>check listing</v>
      </c>
      <c r="AB3244" s="5" t="str">
        <f>HYPERLINK("https://propertylookup.dupagecounty.gov/Datalets/Datalet.aspx?UseSearch=no&amp;mode=sales&amp;pin=0709411023","sales record")</f>
        <v>sales record</v>
      </c>
      <c r="AC3244" t="s">
        <v>3</v>
      </c>
      <c r="AD3244">
        <v>41.787171</v>
      </c>
      <c r="AE3244">
        <v>-88.21048</v>
      </c>
      <c r="AF3244" s="5" t="str">
        <f>HYPERLINK("https://www.google.com/maps/search/?api=1&amp;query=41.787171,-88.21048","map")</f>
        <v>map</v>
      </c>
    </row>
    <row r="3245" spans="1:32">
      <c r="A3245" t="s">
        <v>3295</v>
      </c>
      <c r="B3245" t="s">
        <v>10828</v>
      </c>
      <c r="C3245" t="s">
        <v>15478</v>
      </c>
      <c r="D3245" t="s">
        <v>16206</v>
      </c>
      <c r="E3245" t="s">
        <v>16218</v>
      </c>
      <c r="F3245" t="s">
        <v>16220</v>
      </c>
      <c r="G3245" t="s">
        <v>16273</v>
      </c>
      <c r="H3245" t="s">
        <v>16254</v>
      </c>
      <c r="I3245" t="s">
        <v>16351</v>
      </c>
      <c r="J3245" t="s">
        <v>16386</v>
      </c>
      <c r="K3245">
        <v>0.201</v>
      </c>
      <c r="L3245">
        <v>8753</v>
      </c>
      <c r="M3245">
        <v>2771</v>
      </c>
      <c r="N3245" t="s">
        <v>16393</v>
      </c>
      <c r="O3245" s="4">
        <v>47990</v>
      </c>
      <c r="P3245" s="4">
        <v>117682</v>
      </c>
      <c r="Q3245" s="4">
        <v>165672</v>
      </c>
      <c r="R3245" s="4">
        <v>497016</v>
      </c>
      <c r="S3245" t="s">
        <v>19557</v>
      </c>
      <c r="T3245" s="6">
        <v>31837</v>
      </c>
      <c r="U3245" s="4">
        <v>125000</v>
      </c>
      <c r="X3245" t="s">
        <v>3</v>
      </c>
      <c r="AA3245" s="5" t="str">
        <f>HYPERLINK("https://www.zillow.com/homes/2072-MAPLEWOOD-CIR-NAPERVILLE-IL-60563_rb/","check listing")</f>
        <v>check listing</v>
      </c>
      <c r="AB3245" s="5" t="str">
        <f>HYPERLINK("https://propertylookup.dupagecounty.gov/Datalets/Datalet.aspx?UseSearch=no&amp;mode=sales&amp;pin=0709411025","sales record")</f>
        <v>sales record</v>
      </c>
      <c r="AC3245" t="s">
        <v>3</v>
      </c>
      <c r="AD3245">
        <v>41.787175</v>
      </c>
      <c r="AE3245">
        <v>-88.20996599999999</v>
      </c>
      <c r="AF3245" s="5" t="str">
        <f>HYPERLINK("https://www.google.com/maps/search/?api=1&amp;query=41.787175,-88.209966","map")</f>
        <v>map</v>
      </c>
    </row>
    <row r="3246" spans="1:32">
      <c r="A3246" t="s">
        <v>3296</v>
      </c>
      <c r="B3246" t="s">
        <v>10829</v>
      </c>
      <c r="C3246" t="s">
        <v>15492</v>
      </c>
      <c r="D3246" t="s">
        <v>16206</v>
      </c>
      <c r="E3246" t="s">
        <v>16218</v>
      </c>
      <c r="F3246" t="s">
        <v>16220</v>
      </c>
      <c r="G3246" t="s">
        <v>16273</v>
      </c>
      <c r="H3246" t="s">
        <v>16254</v>
      </c>
      <c r="I3246" t="s">
        <v>16351</v>
      </c>
      <c r="J3246" t="s">
        <v>16386</v>
      </c>
      <c r="K3246">
        <v>0.201</v>
      </c>
      <c r="L3246">
        <v>8753</v>
      </c>
      <c r="M3246">
        <v>2639</v>
      </c>
      <c r="N3246" t="s">
        <v>16393</v>
      </c>
      <c r="O3246" s="4">
        <v>47990</v>
      </c>
      <c r="P3246" s="4">
        <v>145815</v>
      </c>
      <c r="Q3246" s="4">
        <v>193805</v>
      </c>
      <c r="R3246" s="4">
        <v>581415</v>
      </c>
      <c r="S3246" t="s">
        <v>19558</v>
      </c>
      <c r="T3246" s="6">
        <v>44075</v>
      </c>
      <c r="U3246" s="4">
        <v>419000</v>
      </c>
      <c r="V3246" t="s">
        <v>23739</v>
      </c>
      <c r="W3246" t="s">
        <v>19558</v>
      </c>
      <c r="X3246" t="s">
        <v>3</v>
      </c>
      <c r="AA3246" s="5" t="str">
        <f>HYPERLINK("https://www.zillow.com/homes/2076-MAPLEWOOD-CIR-NAPERVILLE-IL-605631981_rb/","check listing")</f>
        <v>check listing</v>
      </c>
      <c r="AB3246" s="5" t="str">
        <f>HYPERLINK("https://propertylookup.dupagecounty.gov/Datalets/Datalet.aspx?UseSearch=no&amp;mode=sales&amp;pin=0709411024","sales record")</f>
        <v>sales record</v>
      </c>
      <c r="AC3246" t="s">
        <v>3</v>
      </c>
      <c r="AD3246">
        <v>41.787173</v>
      </c>
      <c r="AE3246">
        <v>-88.210223</v>
      </c>
      <c r="AF3246" s="5" t="str">
        <f>HYPERLINK("https://www.google.com/maps/search/?api=1&amp;query=41.787173,-88.210223","map")</f>
        <v>map</v>
      </c>
    </row>
    <row r="3247" spans="1:32">
      <c r="A3247" t="s">
        <v>3297</v>
      </c>
      <c r="B3247" t="s">
        <v>10830</v>
      </c>
      <c r="C3247" t="s">
        <v>15492</v>
      </c>
      <c r="D3247" t="s">
        <v>16206</v>
      </c>
      <c r="E3247" t="s">
        <v>16218</v>
      </c>
      <c r="F3247" t="s">
        <v>16220</v>
      </c>
      <c r="G3247" t="s">
        <v>16273</v>
      </c>
      <c r="H3247" t="s">
        <v>16254</v>
      </c>
      <c r="I3247" t="s">
        <v>16351</v>
      </c>
      <c r="J3247" t="s">
        <v>16386</v>
      </c>
      <c r="K3247">
        <v>0.201</v>
      </c>
      <c r="L3247">
        <v>8751</v>
      </c>
      <c r="M3247">
        <v>2177</v>
      </c>
      <c r="N3247" t="s">
        <v>16393</v>
      </c>
      <c r="O3247" s="4">
        <v>47990</v>
      </c>
      <c r="P3247" s="4">
        <v>135832</v>
      </c>
      <c r="Q3247" s="4">
        <v>183822</v>
      </c>
      <c r="R3247" s="4">
        <v>551466</v>
      </c>
      <c r="S3247" t="s">
        <v>19559</v>
      </c>
      <c r="T3247" s="6">
        <v>44531</v>
      </c>
      <c r="U3247" s="4">
        <v>450000</v>
      </c>
      <c r="V3247" t="s">
        <v>23739</v>
      </c>
      <c r="W3247" t="s">
        <v>19559</v>
      </c>
      <c r="X3247" t="s">
        <v>3</v>
      </c>
      <c r="AA3247" s="5" t="str">
        <f>HYPERLINK("https://www.zillow.com/homes/2016-MAPLEWOOD-CIR-NAPERVILLE-IL-605631981_rb/","check listing")</f>
        <v>check listing</v>
      </c>
      <c r="AB3247" s="5" t="str">
        <f>HYPERLINK("https://propertylookup.dupagecounty.gov/Datalets/Datalet.aspx?UseSearch=no&amp;mode=sales&amp;pin=0709411039","sales record")</f>
        <v>sales record</v>
      </c>
      <c r="AC3247" t="s">
        <v>3</v>
      </c>
      <c r="AD3247">
        <v>41.785726</v>
      </c>
      <c r="AE3247">
        <v>-88.210302</v>
      </c>
      <c r="AF3247" s="5" t="str">
        <f>HYPERLINK("https://www.google.com/maps/search/?api=1&amp;query=41.785726,-88.210302","map")</f>
        <v>map</v>
      </c>
    </row>
    <row r="3248" spans="1:32">
      <c r="A3248" t="s">
        <v>3298</v>
      </c>
      <c r="B3248" t="s">
        <v>10831</v>
      </c>
      <c r="C3248" t="s">
        <v>15478</v>
      </c>
      <c r="D3248" t="s">
        <v>16206</v>
      </c>
      <c r="E3248" t="s">
        <v>16218</v>
      </c>
      <c r="F3248" t="s">
        <v>16220</v>
      </c>
      <c r="G3248" t="s">
        <v>16273</v>
      </c>
      <c r="H3248" t="s">
        <v>16254</v>
      </c>
      <c r="I3248" t="s">
        <v>16351</v>
      </c>
      <c r="J3248" t="s">
        <v>16386</v>
      </c>
      <c r="K3248">
        <v>0.201</v>
      </c>
      <c r="L3248">
        <v>8751</v>
      </c>
      <c r="M3248">
        <v>2078</v>
      </c>
      <c r="N3248" t="s">
        <v>16393</v>
      </c>
      <c r="O3248" s="4">
        <v>47990</v>
      </c>
      <c r="P3248" s="4">
        <v>133695</v>
      </c>
      <c r="Q3248" s="4">
        <v>181685</v>
      </c>
      <c r="R3248" s="4">
        <v>545055</v>
      </c>
      <c r="S3248" t="s">
        <v>19560</v>
      </c>
      <c r="T3248" s="6">
        <v>42736</v>
      </c>
      <c r="U3248" s="4">
        <v>372500</v>
      </c>
      <c r="V3248" t="s">
        <v>23739</v>
      </c>
      <c r="W3248" t="s">
        <v>25347</v>
      </c>
      <c r="X3248" t="s">
        <v>3</v>
      </c>
      <c r="AA3248" s="5" t="str">
        <f>HYPERLINK("https://www.zillow.com/homes/2024-MAPLEWOOD-CIR-NAPERVILLE-IL-60563_rb/","check listing")</f>
        <v>check listing</v>
      </c>
      <c r="AB3248" s="5" t="str">
        <f>HYPERLINK("https://propertylookup.dupagecounty.gov/Datalets/Datalet.aspx?UseSearch=no&amp;mode=sales&amp;pin=0709411037","sales record")</f>
        <v>sales record</v>
      </c>
      <c r="AC3248" t="s">
        <v>3</v>
      </c>
      <c r="AD3248">
        <v>41.785731</v>
      </c>
      <c r="AE3248">
        <v>-88.209788</v>
      </c>
      <c r="AF3248" s="5" t="str">
        <f>HYPERLINK("https://www.google.com/maps/search/?api=1&amp;query=41.785731,-88.209788","map")</f>
        <v>map</v>
      </c>
    </row>
    <row r="3249" spans="1:32">
      <c r="A3249" t="s">
        <v>3299</v>
      </c>
      <c r="B3249" t="s">
        <v>10832</v>
      </c>
      <c r="C3249" t="s">
        <v>15478</v>
      </c>
      <c r="D3249" t="s">
        <v>16206</v>
      </c>
      <c r="E3249" t="s">
        <v>16218</v>
      </c>
      <c r="F3249" t="s">
        <v>16220</v>
      </c>
      <c r="G3249" t="s">
        <v>16273</v>
      </c>
      <c r="H3249" t="s">
        <v>16254</v>
      </c>
      <c r="I3249" t="s">
        <v>16351</v>
      </c>
      <c r="J3249" t="s">
        <v>16386</v>
      </c>
      <c r="K3249">
        <v>0.201</v>
      </c>
      <c r="L3249">
        <v>8748</v>
      </c>
      <c r="M3249">
        <v>2770</v>
      </c>
      <c r="N3249" t="s">
        <v>16393</v>
      </c>
      <c r="O3249" s="4">
        <v>47990</v>
      </c>
      <c r="P3249" s="4">
        <v>149953</v>
      </c>
      <c r="Q3249" s="4">
        <v>197943</v>
      </c>
      <c r="R3249" s="4">
        <v>593829</v>
      </c>
      <c r="S3249" t="s">
        <v>19561</v>
      </c>
      <c r="T3249" s="6">
        <v>36586</v>
      </c>
      <c r="U3249" s="4">
        <v>282469</v>
      </c>
      <c r="V3249" t="s">
        <v>23739</v>
      </c>
      <c r="W3249" t="s">
        <v>25348</v>
      </c>
      <c r="X3249" t="s">
        <v>3</v>
      </c>
      <c r="AA3249" s="5" t="str">
        <f>HYPERLINK("https://www.zillow.com/homes/2012-MAPLEWOOD-CIR-NAPERVILLE-IL-60563_rb/","check listing")</f>
        <v>check listing</v>
      </c>
      <c r="AB3249" s="5" t="str">
        <f>HYPERLINK("https://propertylookup.dupagecounty.gov/Datalets/Datalet.aspx?UseSearch=no&amp;mode=sales&amp;pin=0709411040","sales record")</f>
        <v>sales record</v>
      </c>
      <c r="AC3249" t="s">
        <v>3</v>
      </c>
      <c r="AD3249">
        <v>41.785723</v>
      </c>
      <c r="AE3249">
        <v>-88.21055800000001</v>
      </c>
      <c r="AF3249" s="5" t="str">
        <f>HYPERLINK("https://www.google.com/maps/search/?api=1&amp;query=41.785723,-88.210558","map")</f>
        <v>map</v>
      </c>
    </row>
    <row r="3250" spans="1:32">
      <c r="A3250" t="s">
        <v>3300</v>
      </c>
      <c r="B3250" t="s">
        <v>10833</v>
      </c>
      <c r="C3250" t="s">
        <v>15492</v>
      </c>
      <c r="D3250" t="s">
        <v>16206</v>
      </c>
      <c r="E3250" t="s">
        <v>16218</v>
      </c>
      <c r="F3250" t="s">
        <v>16220</v>
      </c>
      <c r="G3250" t="s">
        <v>16273</v>
      </c>
      <c r="H3250" t="s">
        <v>16254</v>
      </c>
      <c r="I3250" t="s">
        <v>16351</v>
      </c>
      <c r="J3250" t="s">
        <v>16386</v>
      </c>
      <c r="K3250">
        <v>0.201</v>
      </c>
      <c r="L3250">
        <v>8748</v>
      </c>
      <c r="M3250">
        <v>2358</v>
      </c>
      <c r="N3250" t="s">
        <v>16393</v>
      </c>
      <c r="O3250" s="4">
        <v>47990</v>
      </c>
      <c r="P3250" s="4">
        <v>94969</v>
      </c>
      <c r="Q3250" s="4">
        <v>142959</v>
      </c>
      <c r="R3250" s="4">
        <v>428877</v>
      </c>
      <c r="S3250" t="s">
        <v>19562</v>
      </c>
      <c r="T3250" s="6">
        <v>44652</v>
      </c>
      <c r="U3250" s="4">
        <v>310000</v>
      </c>
      <c r="V3250" t="s">
        <v>23739</v>
      </c>
      <c r="W3250" t="s">
        <v>19562</v>
      </c>
      <c r="X3250" t="s">
        <v>3</v>
      </c>
      <c r="AA3250" s="5" t="str">
        <f>HYPERLINK("https://www.zillow.com/homes/2020-MAPLEWOOD-CIR-NAPERVILLE-IL-605631981_rb/","check listing")</f>
        <v>check listing</v>
      </c>
      <c r="AB3250" s="5" t="str">
        <f>HYPERLINK("https://propertylookup.dupagecounty.gov/Datalets/Datalet.aspx?UseSearch=no&amp;mode=sales&amp;pin=0709411038","sales record")</f>
        <v>sales record</v>
      </c>
      <c r="AC3250" t="s">
        <v>3</v>
      </c>
      <c r="AD3250">
        <v>41.785728</v>
      </c>
      <c r="AE3250">
        <v>-88.21004499999999</v>
      </c>
      <c r="AF3250" s="5" t="str">
        <f>HYPERLINK("https://www.google.com/maps/search/?api=1&amp;query=41.785728,-88.210045","map")</f>
        <v>map</v>
      </c>
    </row>
    <row r="3251" spans="1:32">
      <c r="A3251" t="s">
        <v>3301</v>
      </c>
      <c r="B3251" t="s">
        <v>10834</v>
      </c>
      <c r="C3251" t="s">
        <v>15478</v>
      </c>
      <c r="D3251" t="s">
        <v>16206</v>
      </c>
      <c r="E3251" t="s">
        <v>16218</v>
      </c>
      <c r="F3251" t="s">
        <v>16220</v>
      </c>
      <c r="G3251" t="s">
        <v>16273</v>
      </c>
      <c r="H3251" t="s">
        <v>16254</v>
      </c>
      <c r="I3251" t="s">
        <v>16351</v>
      </c>
      <c r="J3251" t="s">
        <v>16386</v>
      </c>
      <c r="K3251">
        <v>0.201</v>
      </c>
      <c r="L3251">
        <v>8742</v>
      </c>
      <c r="M3251">
        <v>1715</v>
      </c>
      <c r="N3251" t="s">
        <v>16393</v>
      </c>
      <c r="O3251" s="4">
        <v>40728</v>
      </c>
      <c r="P3251" s="4">
        <v>98789</v>
      </c>
      <c r="Q3251" s="4">
        <v>139517</v>
      </c>
      <c r="R3251" s="4">
        <v>418551</v>
      </c>
      <c r="S3251" t="s">
        <v>19563</v>
      </c>
      <c r="T3251" s="6">
        <v>35582</v>
      </c>
      <c r="U3251" s="4">
        <v>175000</v>
      </c>
      <c r="X3251" t="s">
        <v>3</v>
      </c>
      <c r="AA3251" s="5" t="str">
        <f>HYPERLINK("https://www.zillow.com/homes/2124-COUNTRY-LAKES-DR-NAPERVILLE-IL-60563_rb/","check listing")</f>
        <v>check listing</v>
      </c>
      <c r="AB3251" s="5" t="str">
        <f>HYPERLINK("https://propertylookup.dupagecounty.gov/Datalets/Datalet.aspx?UseSearch=no&amp;mode=sales&amp;pin=0709221014","sales record")</f>
        <v>sales record</v>
      </c>
      <c r="AC3251" t="s">
        <v>3</v>
      </c>
      <c r="AD3251">
        <v>41.794825</v>
      </c>
      <c r="AE3251">
        <v>-88.21181300000001</v>
      </c>
      <c r="AF3251" s="5" t="str">
        <f>HYPERLINK("https://www.google.com/maps/search/?api=1&amp;query=41.794825,-88.211813","map")</f>
        <v>map</v>
      </c>
    </row>
    <row r="3252" spans="1:32">
      <c r="A3252" t="s">
        <v>3302</v>
      </c>
      <c r="B3252" t="s">
        <v>10835</v>
      </c>
      <c r="C3252" t="s">
        <v>15543</v>
      </c>
      <c r="D3252" t="s">
        <v>16206</v>
      </c>
      <c r="E3252" t="s">
        <v>16218</v>
      </c>
      <c r="F3252" t="s">
        <v>16220</v>
      </c>
      <c r="G3252" t="s">
        <v>16273</v>
      </c>
      <c r="H3252" t="s">
        <v>16254</v>
      </c>
      <c r="I3252" t="s">
        <v>16351</v>
      </c>
      <c r="J3252" t="s">
        <v>16386</v>
      </c>
      <c r="K3252">
        <v>0.201</v>
      </c>
      <c r="L3252">
        <v>8740</v>
      </c>
      <c r="M3252">
        <v>2308</v>
      </c>
      <c r="N3252" t="s">
        <v>16393</v>
      </c>
      <c r="O3252" s="4">
        <v>40728</v>
      </c>
      <c r="P3252" s="4">
        <v>105916</v>
      </c>
      <c r="Q3252" s="4">
        <v>146644</v>
      </c>
      <c r="R3252" s="4">
        <v>439932</v>
      </c>
      <c r="S3252" t="s">
        <v>19564</v>
      </c>
      <c r="T3252" s="6">
        <v>44409</v>
      </c>
      <c r="U3252" s="4">
        <v>385000</v>
      </c>
      <c r="V3252" t="s">
        <v>23739</v>
      </c>
      <c r="W3252" t="s">
        <v>25349</v>
      </c>
      <c r="X3252" t="s">
        <v>3</v>
      </c>
      <c r="AA3252" s="5" t="str">
        <f>HYPERLINK("https://www.zillow.com/homes/2120-COUNTRY-LAKES-DR-NAPERVILLE-IL-605631895_rb/","check listing")</f>
        <v>check listing</v>
      </c>
      <c r="AB3252" s="5" t="str">
        <f>HYPERLINK("https://propertylookup.dupagecounty.gov/Datalets/Datalet.aspx?UseSearch=no&amp;mode=sales&amp;pin=0709221013","sales record")</f>
        <v>sales record</v>
      </c>
      <c r="AC3252" t="s">
        <v>3</v>
      </c>
      <c r="AD3252">
        <v>41.794827</v>
      </c>
      <c r="AE3252">
        <v>-88.211556</v>
      </c>
      <c r="AF3252" s="5" t="str">
        <f>HYPERLINK("https://www.google.com/maps/search/?api=1&amp;query=41.794827,-88.211556","map")</f>
        <v>map</v>
      </c>
    </row>
    <row r="3253" spans="1:32">
      <c r="A3253" t="s">
        <v>3303</v>
      </c>
      <c r="B3253" t="s">
        <v>10836</v>
      </c>
      <c r="C3253" t="s">
        <v>15478</v>
      </c>
      <c r="D3253" t="s">
        <v>16206</v>
      </c>
      <c r="E3253" t="s">
        <v>16218</v>
      </c>
      <c r="F3253" t="s">
        <v>16220</v>
      </c>
      <c r="G3253" t="s">
        <v>16273</v>
      </c>
      <c r="H3253" t="s">
        <v>16254</v>
      </c>
      <c r="I3253" t="s">
        <v>16351</v>
      </c>
      <c r="J3253" t="s">
        <v>16386</v>
      </c>
      <c r="K3253">
        <v>0.201</v>
      </c>
      <c r="L3253">
        <v>8739</v>
      </c>
      <c r="M3253">
        <v>2721</v>
      </c>
      <c r="N3253" t="s">
        <v>16393</v>
      </c>
      <c r="O3253" s="4">
        <v>47990</v>
      </c>
      <c r="P3253" s="4">
        <v>96628</v>
      </c>
      <c r="Q3253" s="4">
        <v>144618</v>
      </c>
      <c r="R3253" s="4">
        <v>433854</v>
      </c>
      <c r="S3253" t="s">
        <v>19565</v>
      </c>
      <c r="T3253" s="6">
        <v>37438</v>
      </c>
      <c r="U3253" s="4">
        <v>247000</v>
      </c>
      <c r="V3253" t="s">
        <v>23739</v>
      </c>
      <c r="W3253" t="s">
        <v>25350</v>
      </c>
      <c r="X3253" t="s">
        <v>3</v>
      </c>
      <c r="AA3253" s="5" t="str">
        <f>HYPERLINK("https://www.zillow.com/homes/2064-MAPLEWOOD-CIR-NAPERVILLE-IL-60563_rb/","check listing")</f>
        <v>check listing</v>
      </c>
      <c r="AB3253" s="5" t="str">
        <f>HYPERLINK("https://propertylookup.dupagecounty.gov/Datalets/Datalet.aspx?UseSearch=no&amp;mode=sales&amp;pin=0709411027","sales record")</f>
        <v>sales record</v>
      </c>
      <c r="AC3253" t="s">
        <v>3</v>
      </c>
      <c r="AD3253">
        <v>41.787196</v>
      </c>
      <c r="AE3253">
        <v>-88.209447</v>
      </c>
      <c r="AF3253" s="5" t="str">
        <f>HYPERLINK("https://www.google.com/maps/search/?api=1&amp;query=41.787196,-88.209447","map")</f>
        <v>map</v>
      </c>
    </row>
    <row r="3254" spans="1:32">
      <c r="A3254" t="s">
        <v>3304</v>
      </c>
      <c r="B3254" t="s">
        <v>10837</v>
      </c>
      <c r="C3254" t="s">
        <v>15557</v>
      </c>
      <c r="D3254" t="s">
        <v>16206</v>
      </c>
      <c r="E3254" t="s">
        <v>16218</v>
      </c>
      <c r="F3254" t="s">
        <v>16220</v>
      </c>
      <c r="G3254" t="s">
        <v>16275</v>
      </c>
      <c r="H3254" t="s">
        <v>16276</v>
      </c>
      <c r="I3254" t="s">
        <v>16352</v>
      </c>
      <c r="J3254" t="s">
        <v>16386</v>
      </c>
      <c r="K3254">
        <v>0.2</v>
      </c>
      <c r="L3254">
        <v>8723</v>
      </c>
      <c r="M3254">
        <v>2101</v>
      </c>
      <c r="N3254" t="s">
        <v>16393</v>
      </c>
      <c r="O3254" s="4">
        <v>49444</v>
      </c>
      <c r="P3254" s="4">
        <v>119294</v>
      </c>
      <c r="Q3254" s="4">
        <v>168738</v>
      </c>
      <c r="R3254" s="4">
        <v>506214</v>
      </c>
      <c r="S3254" t="s">
        <v>19566</v>
      </c>
      <c r="T3254" s="6">
        <v>44562</v>
      </c>
      <c r="U3254" s="4">
        <v>405000</v>
      </c>
      <c r="V3254" t="s">
        <v>23739</v>
      </c>
      <c r="W3254" t="s">
        <v>19566</v>
      </c>
      <c r="X3254" t="s">
        <v>3</v>
      </c>
      <c r="AA3254" s="5" t="str">
        <f>HYPERLINK("https://www.zillow.com/homes/1208-ANDRIA-CT-NAPERVILLE-IL-605400982_rb/","check listing")</f>
        <v>check listing</v>
      </c>
      <c r="AB3254" s="5" t="str">
        <f>HYPERLINK("https://propertylookup.dupagecounty.gov/Datalets/Datalet.aspx?UseSearch=no&amp;mode=sales&amp;pin=0727201021","sales record")</f>
        <v>sales record</v>
      </c>
      <c r="AC3254" t="s">
        <v>3</v>
      </c>
      <c r="AD3254">
        <v>41.748833</v>
      </c>
      <c r="AE3254">
        <v>-88.188363</v>
      </c>
      <c r="AF3254" s="5" t="str">
        <f>HYPERLINK("https://www.google.com/maps/search/?api=1&amp;query=41.748833,-88.188363","map")</f>
        <v>map</v>
      </c>
    </row>
    <row r="3255" spans="1:32">
      <c r="A3255" t="s">
        <v>3305</v>
      </c>
      <c r="B3255" t="s">
        <v>10838</v>
      </c>
      <c r="C3255" t="s">
        <v>15476</v>
      </c>
      <c r="D3255" t="s">
        <v>16206</v>
      </c>
      <c r="E3255" t="s">
        <v>16218</v>
      </c>
      <c r="F3255" t="s">
        <v>16220</v>
      </c>
      <c r="G3255" t="s">
        <v>16269</v>
      </c>
      <c r="H3255" t="s">
        <v>16269</v>
      </c>
      <c r="I3255" t="s">
        <v>16352</v>
      </c>
      <c r="J3255" t="s">
        <v>16386</v>
      </c>
      <c r="K3255">
        <v>0.2</v>
      </c>
      <c r="L3255">
        <v>8710</v>
      </c>
      <c r="M3255">
        <v>2078</v>
      </c>
      <c r="N3255" t="s">
        <v>16393</v>
      </c>
      <c r="O3255" s="4">
        <v>75072</v>
      </c>
      <c r="P3255" s="4">
        <v>83717</v>
      </c>
      <c r="Q3255" s="4">
        <v>158789</v>
      </c>
      <c r="R3255" s="4">
        <v>476367</v>
      </c>
      <c r="S3255" t="s">
        <v>19567</v>
      </c>
      <c r="T3255" s="6">
        <v>40848</v>
      </c>
      <c r="U3255" s="4">
        <v>240000</v>
      </c>
      <c r="V3255" t="s">
        <v>23739</v>
      </c>
      <c r="W3255" t="s">
        <v>19567</v>
      </c>
      <c r="X3255" t="s">
        <v>3</v>
      </c>
      <c r="AA3255" s="5" t="str">
        <f>HYPERLINK("https://www.zillow.com/homes/503-URSULINE-AVE-NAPERVILLE-IL-60565_rb/","check listing")</f>
        <v>check listing</v>
      </c>
      <c r="AB3255" s="5" t="str">
        <f>HYPERLINK("https://propertylookup.dupagecounty.gov/Datalets/Datalet.aspx?UseSearch=no&amp;mode=sales&amp;pin=0832116003","sales record")</f>
        <v>sales record</v>
      </c>
      <c r="AC3255" t="s">
        <v>3</v>
      </c>
      <c r="AD3255">
        <v>41.735385</v>
      </c>
      <c r="AE3255">
        <v>-88.11923400000001</v>
      </c>
      <c r="AF3255" s="5" t="str">
        <f>HYPERLINK("https://www.google.com/maps/search/?api=1&amp;query=41.735385,-88.119234","map")</f>
        <v>map</v>
      </c>
    </row>
    <row r="3256" spans="1:32">
      <c r="A3256" t="s">
        <v>3306</v>
      </c>
      <c r="B3256" t="s">
        <v>10839</v>
      </c>
      <c r="C3256" t="s">
        <v>15557</v>
      </c>
      <c r="D3256" t="s">
        <v>16206</v>
      </c>
      <c r="E3256" t="s">
        <v>16218</v>
      </c>
      <c r="F3256" t="s">
        <v>16220</v>
      </c>
      <c r="G3256" t="s">
        <v>16275</v>
      </c>
      <c r="H3256" t="s">
        <v>16276</v>
      </c>
      <c r="I3256" t="s">
        <v>16352</v>
      </c>
      <c r="J3256" t="s">
        <v>16386</v>
      </c>
      <c r="K3256">
        <v>0.2</v>
      </c>
      <c r="L3256">
        <v>8708</v>
      </c>
      <c r="M3256">
        <v>1814</v>
      </c>
      <c r="N3256" t="s">
        <v>16393</v>
      </c>
      <c r="O3256" s="4">
        <v>49444</v>
      </c>
      <c r="P3256" s="4">
        <v>138065</v>
      </c>
      <c r="Q3256" s="4">
        <v>187509</v>
      </c>
      <c r="R3256" s="4">
        <v>562527</v>
      </c>
      <c r="S3256" t="s">
        <v>19568</v>
      </c>
      <c r="T3256" s="6">
        <v>42856</v>
      </c>
      <c r="U3256" s="4">
        <v>369900</v>
      </c>
      <c r="V3256" t="s">
        <v>23739</v>
      </c>
      <c r="W3256" t="s">
        <v>25351</v>
      </c>
      <c r="X3256" t="s">
        <v>3</v>
      </c>
      <c r="AA3256" s="5" t="str">
        <f>HYPERLINK("https://www.zillow.com/homes/1212-ANDRIA-CT-NAPERVILLE-IL-605400982_rb/","check listing")</f>
        <v>check listing</v>
      </c>
      <c r="AB3256" s="5" t="str">
        <f>HYPERLINK("https://propertylookup.dupagecounty.gov/Datalets/Datalet.aspx?UseSearch=no&amp;mode=sales&amp;pin=0727201022","sales record")</f>
        <v>sales record</v>
      </c>
      <c r="AC3256" t="s">
        <v>3</v>
      </c>
      <c r="AD3256">
        <v>41.748726</v>
      </c>
      <c r="AE3256">
        <v>-88.18823</v>
      </c>
      <c r="AF3256" s="5" t="str">
        <f>HYPERLINK("https://www.google.com/maps/search/?api=1&amp;query=41.748726,-88.18823","map")</f>
        <v>map</v>
      </c>
    </row>
    <row r="3257" spans="1:32">
      <c r="A3257" t="s">
        <v>3307</v>
      </c>
      <c r="B3257" t="s">
        <v>10840</v>
      </c>
      <c r="C3257" t="s">
        <v>15475</v>
      </c>
      <c r="D3257" t="s">
        <v>16206</v>
      </c>
      <c r="E3257" t="s">
        <v>16218</v>
      </c>
      <c r="F3257" t="s">
        <v>16220</v>
      </c>
      <c r="G3257" t="s">
        <v>16275</v>
      </c>
      <c r="H3257" t="s">
        <v>16276</v>
      </c>
      <c r="I3257" t="s">
        <v>16352</v>
      </c>
      <c r="J3257" t="s">
        <v>16386</v>
      </c>
      <c r="K3257">
        <v>0.2</v>
      </c>
      <c r="L3257">
        <v>8696</v>
      </c>
      <c r="M3257">
        <v>2226</v>
      </c>
      <c r="N3257" t="s">
        <v>16393</v>
      </c>
      <c r="O3257" s="4">
        <v>55655</v>
      </c>
      <c r="P3257" s="4">
        <v>114156</v>
      </c>
      <c r="Q3257" s="4">
        <v>169811</v>
      </c>
      <c r="R3257" s="4">
        <v>509433</v>
      </c>
      <c r="S3257" t="s">
        <v>19569</v>
      </c>
      <c r="T3257" s="6">
        <v>34547</v>
      </c>
      <c r="U3257" s="4">
        <v>186630</v>
      </c>
      <c r="X3257" t="s">
        <v>3</v>
      </c>
      <c r="AA3257" s="5" t="str">
        <f>HYPERLINK("https://www.zillow.com/homes/1104-NATALIE-CT-NAPERVILLE-IL-60540_rb/","check listing")</f>
        <v>check listing</v>
      </c>
      <c r="AB3257" s="5" t="str">
        <f>HYPERLINK("https://propertylookup.dupagecounty.gov/Datalets/Datalet.aspx?UseSearch=no&amp;mode=sales&amp;pin=0727206040","sales record")</f>
        <v>sales record</v>
      </c>
      <c r="AC3257" t="s">
        <v>3</v>
      </c>
      <c r="AD3257">
        <v>41.750001</v>
      </c>
      <c r="AE3257">
        <v>-88.19306400000001</v>
      </c>
      <c r="AF3257" s="5" t="str">
        <f>HYPERLINK("https://www.google.com/maps/search/?api=1&amp;query=41.750001,-88.193064","map")</f>
        <v>map</v>
      </c>
    </row>
    <row r="3258" spans="1:32">
      <c r="A3258" t="s">
        <v>3308</v>
      </c>
      <c r="B3258" t="s">
        <v>10841</v>
      </c>
      <c r="C3258" t="s">
        <v>15558</v>
      </c>
      <c r="D3258" t="s">
        <v>16206</v>
      </c>
      <c r="E3258" t="s">
        <v>16218</v>
      </c>
      <c r="F3258" t="s">
        <v>16220</v>
      </c>
      <c r="G3258" t="s">
        <v>16274</v>
      </c>
      <c r="H3258" t="s">
        <v>16269</v>
      </c>
      <c r="I3258" t="s">
        <v>16352</v>
      </c>
      <c r="J3258" t="s">
        <v>16386</v>
      </c>
      <c r="K3258">
        <v>0.2</v>
      </c>
      <c r="L3258">
        <v>8694</v>
      </c>
      <c r="M3258">
        <v>2375</v>
      </c>
      <c r="N3258" t="s">
        <v>16393</v>
      </c>
      <c r="O3258" s="4">
        <v>48576</v>
      </c>
      <c r="P3258" s="4">
        <v>125493</v>
      </c>
      <c r="Q3258" s="4">
        <v>174069</v>
      </c>
      <c r="R3258" s="4">
        <v>522207</v>
      </c>
      <c r="S3258" t="s">
        <v>19570</v>
      </c>
      <c r="T3258" s="6">
        <v>36220</v>
      </c>
      <c r="U3258" s="4">
        <v>235000</v>
      </c>
      <c r="X3258" t="s">
        <v>3</v>
      </c>
      <c r="AA3258" s="5" t="str">
        <f>HYPERLINK("https://www.zillow.com/homes/1615-LOIS-ANN-LN-NAPERVILLE-IL-605630467_rb/","check listing")</f>
        <v>check listing</v>
      </c>
      <c r="AB3258" s="5" t="str">
        <f>HYPERLINK("https://propertylookup.dupagecounty.gov/Datalets/Datalet.aspx?UseSearch=no&amp;mode=sales&amp;pin=0715203017","sales record")</f>
        <v>sales record</v>
      </c>
      <c r="AC3258" t="s">
        <v>3</v>
      </c>
      <c r="AD3258">
        <v>41.782747</v>
      </c>
      <c r="AE3258">
        <v>-88.192037</v>
      </c>
      <c r="AF3258" s="5" t="str">
        <f>HYPERLINK("https://www.google.com/maps/search/?api=1&amp;query=41.782747,-88.192037","map")</f>
        <v>map</v>
      </c>
    </row>
    <row r="3259" spans="1:32">
      <c r="A3259" t="s">
        <v>3309</v>
      </c>
      <c r="B3259" t="s">
        <v>10842</v>
      </c>
      <c r="C3259" t="s">
        <v>15507</v>
      </c>
      <c r="D3259" t="s">
        <v>16206</v>
      </c>
      <c r="E3259" t="s">
        <v>16218</v>
      </c>
      <c r="F3259" t="s">
        <v>16220</v>
      </c>
      <c r="G3259" t="s">
        <v>16269</v>
      </c>
      <c r="H3259" t="s">
        <v>16269</v>
      </c>
      <c r="I3259" t="s">
        <v>16352</v>
      </c>
      <c r="J3259" t="s">
        <v>16386</v>
      </c>
      <c r="K3259">
        <v>0.199</v>
      </c>
      <c r="L3259">
        <v>8689</v>
      </c>
      <c r="M3259">
        <v>2462</v>
      </c>
      <c r="N3259" t="s">
        <v>16393</v>
      </c>
      <c r="O3259" s="4">
        <v>74156</v>
      </c>
      <c r="P3259" s="4">
        <v>114397</v>
      </c>
      <c r="Q3259" s="4">
        <v>188553</v>
      </c>
      <c r="R3259" s="4">
        <v>565659</v>
      </c>
      <c r="S3259" t="s">
        <v>19571</v>
      </c>
      <c r="T3259" s="6">
        <v>33451</v>
      </c>
      <c r="U3259" s="4">
        <v>192908</v>
      </c>
      <c r="X3259" t="s">
        <v>3</v>
      </c>
      <c r="AA3259" s="5" t="str">
        <f>HYPERLINK("https://www.zillow.com/homes/1720-CHALMETTE-CT-NAPERVILLE-IL-605654403_rb/","check listing")</f>
        <v>check listing</v>
      </c>
      <c r="AB3259" s="5" t="str">
        <f>HYPERLINK("https://propertylookup.dupagecounty.gov/Datalets/Datalet.aspx?UseSearch=no&amp;mode=sales&amp;pin=0832114074","sales record")</f>
        <v>sales record</v>
      </c>
      <c r="AC3259" t="s">
        <v>3</v>
      </c>
      <c r="AD3259">
        <v>41.735475</v>
      </c>
      <c r="AE3259">
        <v>-88.12165299999999</v>
      </c>
      <c r="AF3259" s="5" t="str">
        <f>HYPERLINK("https://www.google.com/maps/search/?api=1&amp;query=41.735475,-88.121653","map")</f>
        <v>map</v>
      </c>
    </row>
    <row r="3260" spans="1:32">
      <c r="A3260" t="s">
        <v>3310</v>
      </c>
      <c r="B3260" t="s">
        <v>10843</v>
      </c>
      <c r="C3260" t="s">
        <v>15475</v>
      </c>
      <c r="D3260" t="s">
        <v>16206</v>
      </c>
      <c r="E3260" t="s">
        <v>16218</v>
      </c>
      <c r="F3260" t="s">
        <v>16220</v>
      </c>
      <c r="G3260" t="s">
        <v>16273</v>
      </c>
      <c r="H3260" t="s">
        <v>16254</v>
      </c>
      <c r="I3260" t="s">
        <v>16351</v>
      </c>
      <c r="J3260" t="s">
        <v>16386</v>
      </c>
      <c r="K3260">
        <v>0.199</v>
      </c>
      <c r="L3260">
        <v>8686</v>
      </c>
      <c r="M3260">
        <v>2202</v>
      </c>
      <c r="N3260" t="s">
        <v>16393</v>
      </c>
      <c r="O3260" s="4">
        <v>52800</v>
      </c>
      <c r="P3260" s="4">
        <v>90941</v>
      </c>
      <c r="Q3260" s="4">
        <v>143741</v>
      </c>
      <c r="R3260" s="4">
        <v>431223</v>
      </c>
      <c r="S3260" t="s">
        <v>19572</v>
      </c>
      <c r="T3260" s="6">
        <v>35796</v>
      </c>
      <c r="U3260" s="4">
        <v>211845</v>
      </c>
      <c r="X3260" t="s">
        <v>3</v>
      </c>
      <c r="AA3260" s="5" t="str">
        <f>HYPERLINK("https://www.zillow.com/homes/1009-MANDALAY-CT-NAPERVILLE-IL-60540_rb/","check listing")</f>
        <v>check listing</v>
      </c>
      <c r="AB3260" s="5" t="str">
        <f>HYPERLINK("https://propertylookup.dupagecounty.gov/Datalets/Datalet.aspx?UseSearch=no&amp;mode=sales&amp;pin=0709410013","sales record")</f>
        <v>sales record</v>
      </c>
      <c r="AC3260" t="s">
        <v>3</v>
      </c>
      <c r="AD3260">
        <v>41.786992</v>
      </c>
      <c r="AE3260">
        <v>-88.21535799999999</v>
      </c>
      <c r="AF3260" s="5" t="str">
        <f>HYPERLINK("https://www.google.com/maps/search/?api=1&amp;query=41.786992,-88.215358","map")</f>
        <v>map</v>
      </c>
    </row>
    <row r="3261" spans="1:32">
      <c r="A3261" t="s">
        <v>3311</v>
      </c>
      <c r="B3261" t="s">
        <v>10844</v>
      </c>
      <c r="C3261" t="s">
        <v>15559</v>
      </c>
      <c r="D3261" t="s">
        <v>16206</v>
      </c>
      <c r="E3261" t="s">
        <v>16218</v>
      </c>
      <c r="F3261" t="s">
        <v>16220</v>
      </c>
      <c r="G3261" t="s">
        <v>16269</v>
      </c>
      <c r="H3261" t="s">
        <v>16269</v>
      </c>
      <c r="I3261" t="s">
        <v>16352</v>
      </c>
      <c r="J3261" t="s">
        <v>16386</v>
      </c>
      <c r="K3261">
        <v>0.198</v>
      </c>
      <c r="L3261">
        <v>8636</v>
      </c>
      <c r="M3261">
        <v>2473</v>
      </c>
      <c r="N3261" t="s">
        <v>16393</v>
      </c>
      <c r="O3261" s="4">
        <v>74929</v>
      </c>
      <c r="P3261" s="4">
        <v>104789</v>
      </c>
      <c r="Q3261" s="4">
        <v>179718</v>
      </c>
      <c r="R3261" s="4">
        <v>539154</v>
      </c>
      <c r="S3261" t="s">
        <v>19573</v>
      </c>
      <c r="T3261" s="6">
        <v>44652</v>
      </c>
      <c r="U3261" s="4">
        <v>501000</v>
      </c>
      <c r="V3261" t="s">
        <v>23739</v>
      </c>
      <c r="W3261" t="s">
        <v>25352</v>
      </c>
      <c r="X3261" t="s">
        <v>3</v>
      </c>
      <c r="AA3261" s="5" t="str">
        <f>HYPERLINK("https://www.zillow.com/homes/464-BOURBON-LN-NAPERVILLE-IL-605652497_rb/","check listing")</f>
        <v>check listing</v>
      </c>
      <c r="AB3261" s="5" t="str">
        <f>HYPERLINK("https://propertylookup.dupagecounty.gov/Datalets/Datalet.aspx?UseSearch=no&amp;mode=sales&amp;pin=0832117016","sales record")</f>
        <v>sales record</v>
      </c>
      <c r="AC3261" t="s">
        <v>3</v>
      </c>
      <c r="AD3261">
        <v>41.734708</v>
      </c>
      <c r="AE3261">
        <v>-88.119759</v>
      </c>
      <c r="AF3261" s="5" t="str">
        <f>HYPERLINK("https://www.google.com/maps/search/?api=1&amp;query=41.734708,-88.119759","map")</f>
        <v>map</v>
      </c>
    </row>
    <row r="3262" spans="1:32">
      <c r="A3262" t="s">
        <v>3312</v>
      </c>
      <c r="B3262" t="s">
        <v>10845</v>
      </c>
      <c r="C3262" t="s">
        <v>15560</v>
      </c>
      <c r="D3262" t="s">
        <v>16206</v>
      </c>
      <c r="E3262" t="s">
        <v>16218</v>
      </c>
      <c r="F3262" t="s">
        <v>16220</v>
      </c>
      <c r="G3262" t="s">
        <v>16274</v>
      </c>
      <c r="H3262" t="s">
        <v>16269</v>
      </c>
      <c r="I3262" t="s">
        <v>16352</v>
      </c>
      <c r="J3262" t="s">
        <v>16386</v>
      </c>
      <c r="K3262">
        <v>0.198</v>
      </c>
      <c r="L3262">
        <v>8635</v>
      </c>
      <c r="M3262">
        <v>1996</v>
      </c>
      <c r="N3262" t="s">
        <v>16393</v>
      </c>
      <c r="O3262" s="4">
        <v>48576</v>
      </c>
      <c r="P3262" s="4">
        <v>116523</v>
      </c>
      <c r="Q3262" s="4">
        <v>165099</v>
      </c>
      <c r="R3262" s="4">
        <v>495297</v>
      </c>
      <c r="S3262" t="s">
        <v>19574</v>
      </c>
      <c r="T3262" s="6">
        <v>43252</v>
      </c>
      <c r="U3262" s="4">
        <v>434000</v>
      </c>
      <c r="V3262" t="s">
        <v>23739</v>
      </c>
      <c r="W3262" t="s">
        <v>25353</v>
      </c>
      <c r="X3262" t="s">
        <v>3</v>
      </c>
      <c r="AA3262" s="5" t="str">
        <f>HYPERLINK("https://www.zillow.com/homes/1675-HINTERLONG-LN-NAPERVILLE-IL-605630459_rb/","check listing")</f>
        <v>check listing</v>
      </c>
      <c r="AB3262" s="5" t="str">
        <f>HYPERLINK("https://propertylookup.dupagecounty.gov/Datalets/Datalet.aspx?UseSearch=no&amp;mode=sales&amp;pin=0715203001","sales record")</f>
        <v>sales record</v>
      </c>
      <c r="AC3262" t="s">
        <v>3</v>
      </c>
      <c r="AD3262">
        <v>41.782196</v>
      </c>
      <c r="AE3262">
        <v>-88.194574</v>
      </c>
      <c r="AF3262" s="5" t="str">
        <f>HYPERLINK("https://www.google.com/maps/search/?api=1&amp;query=41.782196,-88.194574","map")</f>
        <v>map</v>
      </c>
    </row>
    <row r="3263" spans="1:32">
      <c r="A3263" t="s">
        <v>3313</v>
      </c>
      <c r="B3263" t="s">
        <v>10846</v>
      </c>
      <c r="C3263" t="s">
        <v>15475</v>
      </c>
      <c r="D3263" t="s">
        <v>16206</v>
      </c>
      <c r="E3263" t="s">
        <v>16218</v>
      </c>
      <c r="F3263" t="s">
        <v>16220</v>
      </c>
      <c r="G3263" t="s">
        <v>16275</v>
      </c>
      <c r="H3263" t="s">
        <v>16276</v>
      </c>
      <c r="I3263" t="s">
        <v>16352</v>
      </c>
      <c r="J3263" t="s">
        <v>16386</v>
      </c>
      <c r="K3263">
        <v>0.198</v>
      </c>
      <c r="L3263">
        <v>8632</v>
      </c>
      <c r="M3263">
        <v>1649</v>
      </c>
      <c r="N3263" t="s">
        <v>16393</v>
      </c>
      <c r="O3263" s="4">
        <v>46367</v>
      </c>
      <c r="P3263" s="4">
        <v>85876</v>
      </c>
      <c r="Q3263" s="4">
        <v>132243</v>
      </c>
      <c r="R3263" s="4">
        <v>396729</v>
      </c>
      <c r="S3263" t="s">
        <v>19575</v>
      </c>
      <c r="T3263" s="6">
        <v>39264</v>
      </c>
      <c r="U3263" s="4">
        <v>268000</v>
      </c>
      <c r="V3263" t="s">
        <v>23739</v>
      </c>
      <c r="W3263" t="s">
        <v>25354</v>
      </c>
      <c r="X3263" t="s">
        <v>3</v>
      </c>
      <c r="AA3263" s="5" t="str">
        <f>HYPERLINK("https://www.zillow.com/homes/2012-THREE-FARMS-AVE-NAPERVILLE-IL-60540_rb/","check listing")</f>
        <v>check listing</v>
      </c>
      <c r="AB3263" s="5" t="str">
        <f>HYPERLINK("https://propertylookup.dupagecounty.gov/Datalets/Datalet.aspx?UseSearch=no&amp;mode=sales&amp;pin=0727201018","sales record")</f>
        <v>sales record</v>
      </c>
      <c r="AC3263" t="s">
        <v>3</v>
      </c>
      <c r="AD3263">
        <v>41.749151</v>
      </c>
      <c r="AE3263">
        <v>-88.187935</v>
      </c>
      <c r="AF3263" s="5" t="str">
        <f>HYPERLINK("https://www.google.com/maps/search/?api=1&amp;query=41.749151,-88.187935","map")</f>
        <v>map</v>
      </c>
    </row>
    <row r="3264" spans="1:32">
      <c r="A3264" t="s">
        <v>3314</v>
      </c>
      <c r="B3264" t="s">
        <v>10847</v>
      </c>
      <c r="C3264" t="s">
        <v>15478</v>
      </c>
      <c r="D3264" t="s">
        <v>16206</v>
      </c>
      <c r="E3264" t="s">
        <v>16218</v>
      </c>
      <c r="F3264" t="s">
        <v>16220</v>
      </c>
      <c r="G3264" t="s">
        <v>16273</v>
      </c>
      <c r="H3264" t="s">
        <v>16254</v>
      </c>
      <c r="I3264" t="s">
        <v>16351</v>
      </c>
      <c r="J3264" t="s">
        <v>16386</v>
      </c>
      <c r="K3264">
        <v>0.198</v>
      </c>
      <c r="L3264">
        <v>8619</v>
      </c>
      <c r="M3264">
        <v>2309</v>
      </c>
      <c r="N3264" t="s">
        <v>16393</v>
      </c>
      <c r="O3264" s="4">
        <v>40728</v>
      </c>
      <c r="P3264" s="4">
        <v>113777</v>
      </c>
      <c r="Q3264" s="4">
        <v>154505</v>
      </c>
      <c r="R3264" s="4">
        <v>463515</v>
      </c>
      <c r="S3264" t="s">
        <v>19576</v>
      </c>
      <c r="T3264" s="6">
        <v>41334</v>
      </c>
      <c r="U3264" s="4">
        <v>318800</v>
      </c>
      <c r="V3264" t="s">
        <v>23739</v>
      </c>
      <c r="W3264" t="s">
        <v>25355</v>
      </c>
      <c r="X3264" t="s">
        <v>3</v>
      </c>
      <c r="AA3264" s="5" t="str">
        <f>HYPERLINK("https://www.zillow.com/homes/2140-COUNTRY-LAKES-DR-NAPERVILLE-IL-60563_rb/","check listing")</f>
        <v>check listing</v>
      </c>
      <c r="AB3264" s="5" t="str">
        <f>HYPERLINK("https://propertylookup.dupagecounty.gov/Datalets/Datalet.aspx?UseSearch=no&amp;mode=sales&amp;pin=0709221018","sales record")</f>
        <v>sales record</v>
      </c>
      <c r="AC3264" t="s">
        <v>3</v>
      </c>
      <c r="AD3264">
        <v>41.794766</v>
      </c>
      <c r="AE3264">
        <v>-88.212902</v>
      </c>
      <c r="AF3264" s="5" t="str">
        <f>HYPERLINK("https://www.google.com/maps/search/?api=1&amp;query=41.794766,-88.212902","map")</f>
        <v>map</v>
      </c>
    </row>
    <row r="3265" spans="1:32">
      <c r="A3265" t="s">
        <v>3315</v>
      </c>
      <c r="B3265" t="s">
        <v>10848</v>
      </c>
      <c r="C3265" t="s">
        <v>15478</v>
      </c>
      <c r="D3265" t="s">
        <v>16206</v>
      </c>
      <c r="E3265" t="s">
        <v>16218</v>
      </c>
      <c r="F3265" t="s">
        <v>16220</v>
      </c>
      <c r="G3265" t="s">
        <v>16273</v>
      </c>
      <c r="H3265" t="s">
        <v>16254</v>
      </c>
      <c r="I3265" t="s">
        <v>16351</v>
      </c>
      <c r="J3265" t="s">
        <v>16386</v>
      </c>
      <c r="K3265">
        <v>0.198</v>
      </c>
      <c r="L3265">
        <v>8615</v>
      </c>
      <c r="M3265">
        <v>2144</v>
      </c>
      <c r="N3265" t="s">
        <v>16393</v>
      </c>
      <c r="O3265" s="4">
        <v>51225</v>
      </c>
      <c r="P3265" s="4">
        <v>125567</v>
      </c>
      <c r="Q3265" s="4">
        <v>176792</v>
      </c>
      <c r="R3265" s="4">
        <v>530376</v>
      </c>
      <c r="S3265" t="s">
        <v>19577</v>
      </c>
      <c r="T3265" s="6">
        <v>38869</v>
      </c>
      <c r="U3265" s="4">
        <v>389000</v>
      </c>
      <c r="V3265" t="s">
        <v>23739</v>
      </c>
      <c r="W3265" t="s">
        <v>25356</v>
      </c>
      <c r="X3265" t="s">
        <v>3</v>
      </c>
      <c r="AA3265" s="5" t="str">
        <f>HYPERLINK("https://www.zillow.com/homes/959-CAMPBELL-RD-NAPERVILLE-IL-60563_rb/","check listing")</f>
        <v>check listing</v>
      </c>
      <c r="AB3265" s="5" t="str">
        <f>HYPERLINK("https://propertylookup.dupagecounty.gov/Datalets/Datalet.aspx?UseSearch=no&amp;mode=sales&amp;pin=0709410038","sales record")</f>
        <v>sales record</v>
      </c>
      <c r="AC3265" t="s">
        <v>3</v>
      </c>
      <c r="AD3265">
        <v>41.785978</v>
      </c>
      <c r="AE3265">
        <v>-88.212013</v>
      </c>
      <c r="AF3265" s="5" t="str">
        <f>HYPERLINK("https://www.google.com/maps/search/?api=1&amp;query=41.785978,-88.212013","map")</f>
        <v>map</v>
      </c>
    </row>
    <row r="3266" spans="1:32">
      <c r="A3266" t="s">
        <v>3316</v>
      </c>
      <c r="B3266" t="s">
        <v>10849</v>
      </c>
      <c r="C3266" t="s">
        <v>15561</v>
      </c>
      <c r="D3266" t="s">
        <v>16206</v>
      </c>
      <c r="E3266" t="s">
        <v>16218</v>
      </c>
      <c r="F3266" t="s">
        <v>16220</v>
      </c>
      <c r="G3266" t="s">
        <v>16273</v>
      </c>
      <c r="H3266" t="s">
        <v>16254</v>
      </c>
      <c r="I3266" t="s">
        <v>16351</v>
      </c>
      <c r="J3266" t="s">
        <v>16386</v>
      </c>
      <c r="K3266">
        <v>0.198</v>
      </c>
      <c r="L3266">
        <v>8615</v>
      </c>
      <c r="M3266">
        <v>2770</v>
      </c>
      <c r="N3266" t="s">
        <v>16393</v>
      </c>
      <c r="O3266" s="4">
        <v>51225</v>
      </c>
      <c r="P3266" s="4">
        <v>120574</v>
      </c>
      <c r="Q3266" s="4">
        <v>171799</v>
      </c>
      <c r="R3266" s="4">
        <v>515397</v>
      </c>
      <c r="S3266" t="s">
        <v>19578</v>
      </c>
      <c r="T3266" s="6">
        <v>39753</v>
      </c>
      <c r="U3266" s="4">
        <v>377500</v>
      </c>
      <c r="V3266" t="s">
        <v>23739</v>
      </c>
      <c r="W3266" t="s">
        <v>25199</v>
      </c>
      <c r="X3266" t="s">
        <v>3</v>
      </c>
      <c r="AA3266" s="5" t="str">
        <f>HYPERLINK("https://www.zillow.com/homes/1001-CAMPBELL-DR-NAPERVILLE-IL-605631984_rb/","check listing")</f>
        <v>check listing</v>
      </c>
      <c r="AB3266" s="5" t="str">
        <f>HYPERLINK("https://propertylookup.dupagecounty.gov/Datalets/Datalet.aspx?UseSearch=no&amp;mode=sales&amp;pin=0709410036","sales record")</f>
        <v>sales record</v>
      </c>
      <c r="AC3266" t="s">
        <v>3</v>
      </c>
      <c r="AD3266">
        <v>41.786331</v>
      </c>
      <c r="AE3266">
        <v>-88.211884</v>
      </c>
      <c r="AF3266" s="5" t="str">
        <f>HYPERLINK("https://www.google.com/maps/search/?api=1&amp;query=41.786331,-88.211884","map")</f>
        <v>map</v>
      </c>
    </row>
    <row r="3267" spans="1:32">
      <c r="A3267" t="s">
        <v>3317</v>
      </c>
      <c r="B3267" t="s">
        <v>10850</v>
      </c>
      <c r="C3267" t="s">
        <v>15562</v>
      </c>
      <c r="D3267" t="s">
        <v>16206</v>
      </c>
      <c r="E3267" t="s">
        <v>16218</v>
      </c>
      <c r="F3267" t="s">
        <v>16220</v>
      </c>
      <c r="G3267" t="s">
        <v>16273</v>
      </c>
      <c r="H3267" t="s">
        <v>16254</v>
      </c>
      <c r="I3267" t="s">
        <v>16351</v>
      </c>
      <c r="J3267" t="s">
        <v>16386</v>
      </c>
      <c r="K3267">
        <v>0.198</v>
      </c>
      <c r="L3267">
        <v>8612</v>
      </c>
      <c r="M3267">
        <v>2375</v>
      </c>
      <c r="N3267" t="s">
        <v>16393</v>
      </c>
      <c r="O3267" s="4">
        <v>51225</v>
      </c>
      <c r="P3267" s="4">
        <v>147768</v>
      </c>
      <c r="Q3267" s="4">
        <v>198993</v>
      </c>
      <c r="R3267" s="4">
        <v>596979</v>
      </c>
      <c r="S3267" t="s">
        <v>19579</v>
      </c>
      <c r="T3267" s="6">
        <v>45191</v>
      </c>
      <c r="U3267" s="4">
        <v>550000</v>
      </c>
      <c r="V3267" t="s">
        <v>23739</v>
      </c>
      <c r="W3267" t="s">
        <v>25357</v>
      </c>
      <c r="X3267" t="s">
        <v>3</v>
      </c>
      <c r="AA3267" s="5" t="str">
        <f>HYPERLINK("https://www.zillow.com/homes/963-CAMPBELL-DR-NAPERVILLE-IL-605631985_rb/","check listing")</f>
        <v>check listing</v>
      </c>
      <c r="AB3267" s="5" t="str">
        <f>HYPERLINK("https://propertylookup.dupagecounty.gov/Datalets/Datalet.aspx?UseSearch=no&amp;mode=sales&amp;pin=0709410037","sales record")</f>
        <v>sales record</v>
      </c>
      <c r="AC3267" t="s">
        <v>3</v>
      </c>
      <c r="AD3267">
        <v>41.786186</v>
      </c>
      <c r="AE3267">
        <v>-88.21193700000001</v>
      </c>
      <c r="AF3267" s="5" t="str">
        <f>HYPERLINK("https://www.google.com/maps/search/?api=1&amp;query=41.786186,-88.211937","map")</f>
        <v>map</v>
      </c>
    </row>
    <row r="3268" spans="1:32">
      <c r="A3268" t="s">
        <v>3318</v>
      </c>
      <c r="B3268" t="s">
        <v>10851</v>
      </c>
      <c r="C3268" t="s">
        <v>15478</v>
      </c>
      <c r="D3268" t="s">
        <v>16206</v>
      </c>
      <c r="E3268" t="s">
        <v>16218</v>
      </c>
      <c r="F3268" t="s">
        <v>16220</v>
      </c>
      <c r="G3268" t="s">
        <v>16273</v>
      </c>
      <c r="H3268" t="s">
        <v>16254</v>
      </c>
      <c r="I3268" t="s">
        <v>16351</v>
      </c>
      <c r="J3268" t="s">
        <v>16386</v>
      </c>
      <c r="K3268">
        <v>0.198</v>
      </c>
      <c r="L3268">
        <v>8611</v>
      </c>
      <c r="M3268">
        <v>2420</v>
      </c>
      <c r="N3268" t="s">
        <v>16393</v>
      </c>
      <c r="O3268" s="4">
        <v>40728</v>
      </c>
      <c r="P3268" s="4">
        <v>101266</v>
      </c>
      <c r="Q3268" s="4">
        <v>141994</v>
      </c>
      <c r="R3268" s="4">
        <v>425982</v>
      </c>
      <c r="S3268" t="s">
        <v>19580</v>
      </c>
      <c r="T3268" s="6">
        <v>33208</v>
      </c>
      <c r="U3268" s="4">
        <v>151500</v>
      </c>
      <c r="X3268" t="s">
        <v>3</v>
      </c>
      <c r="AA3268" s="5" t="str">
        <f>HYPERLINK("https://www.zillow.com/homes/2136-COUNTRY-LAKES-DR-NAPERVILLE-IL-60563_rb/","check listing")</f>
        <v>check listing</v>
      </c>
      <c r="AB3268" s="5" t="str">
        <f>HYPERLINK("https://propertylookup.dupagecounty.gov/Datalets/Datalet.aspx?UseSearch=no&amp;mode=sales&amp;pin=0709221017","sales record")</f>
        <v>sales record</v>
      </c>
      <c r="AC3268" t="s">
        <v>3</v>
      </c>
      <c r="AD3268">
        <v>41.794803</v>
      </c>
      <c r="AE3268">
        <v>-88.212627</v>
      </c>
      <c r="AF3268" s="5" t="str">
        <f>HYPERLINK("https://www.google.com/maps/search/?api=1&amp;query=41.794803,-88.212627","map")</f>
        <v>map</v>
      </c>
    </row>
    <row r="3269" spans="1:32">
      <c r="A3269" t="s">
        <v>3319</v>
      </c>
      <c r="B3269" t="s">
        <v>10852</v>
      </c>
      <c r="C3269" t="s">
        <v>15543</v>
      </c>
      <c r="D3269" t="s">
        <v>16206</v>
      </c>
      <c r="E3269" t="s">
        <v>16218</v>
      </c>
      <c r="F3269" t="s">
        <v>16220</v>
      </c>
      <c r="G3269" t="s">
        <v>16273</v>
      </c>
      <c r="H3269" t="s">
        <v>16254</v>
      </c>
      <c r="I3269" t="s">
        <v>16351</v>
      </c>
      <c r="J3269" t="s">
        <v>16386</v>
      </c>
      <c r="K3269">
        <v>0.198</v>
      </c>
      <c r="L3269">
        <v>8606</v>
      </c>
      <c r="M3269">
        <v>1978</v>
      </c>
      <c r="N3269" t="s">
        <v>16393</v>
      </c>
      <c r="O3269" s="4">
        <v>40728</v>
      </c>
      <c r="P3269" s="4">
        <v>103036</v>
      </c>
      <c r="Q3269" s="4">
        <v>143764</v>
      </c>
      <c r="R3269" s="4">
        <v>431292</v>
      </c>
      <c r="S3269" t="s">
        <v>19581</v>
      </c>
      <c r="T3269" s="6">
        <v>33756</v>
      </c>
      <c r="U3269" s="4">
        <v>161500</v>
      </c>
      <c r="X3269" t="s">
        <v>3</v>
      </c>
      <c r="AA3269" s="5" t="str">
        <f>HYPERLINK("https://www.zillow.com/homes/2132-COUNTRY-LAKES-DR-NAPERVILLE-IL-605631895_rb/","check listing")</f>
        <v>check listing</v>
      </c>
      <c r="AB3269" s="5" t="str">
        <f>HYPERLINK("https://propertylookup.dupagecounty.gov/Datalets/Datalet.aspx?UseSearch=no&amp;mode=sales&amp;pin=0709221016","sales record")</f>
        <v>sales record</v>
      </c>
      <c r="AC3269" t="s">
        <v>3</v>
      </c>
      <c r="AD3269">
        <v>41.794805</v>
      </c>
      <c r="AE3269">
        <v>-88.212352</v>
      </c>
      <c r="AF3269" s="5" t="str">
        <f>HYPERLINK("https://www.google.com/maps/search/?api=1&amp;query=41.794805,-88.212352","map")</f>
        <v>map</v>
      </c>
    </row>
    <row r="3270" spans="1:32">
      <c r="A3270" t="s">
        <v>3320</v>
      </c>
      <c r="B3270" t="s">
        <v>10853</v>
      </c>
      <c r="C3270" t="s">
        <v>15475</v>
      </c>
      <c r="D3270" t="s">
        <v>16206</v>
      </c>
      <c r="E3270" t="s">
        <v>16218</v>
      </c>
      <c r="F3270" t="s">
        <v>16220</v>
      </c>
      <c r="G3270" t="s">
        <v>16275</v>
      </c>
      <c r="H3270" t="s">
        <v>16276</v>
      </c>
      <c r="I3270" t="s">
        <v>16352</v>
      </c>
      <c r="J3270" t="s">
        <v>16386</v>
      </c>
      <c r="K3270">
        <v>0.197</v>
      </c>
      <c r="L3270">
        <v>8598</v>
      </c>
      <c r="M3270">
        <v>1929</v>
      </c>
      <c r="N3270" t="s">
        <v>16393</v>
      </c>
      <c r="O3270" s="4">
        <v>49444</v>
      </c>
      <c r="P3270" s="4">
        <v>122649</v>
      </c>
      <c r="Q3270" s="4">
        <v>172093</v>
      </c>
      <c r="R3270" s="4">
        <v>516279</v>
      </c>
      <c r="S3270" t="s">
        <v>19582</v>
      </c>
      <c r="T3270" s="6">
        <v>38078</v>
      </c>
      <c r="U3270" s="4">
        <v>293000</v>
      </c>
      <c r="V3270" t="s">
        <v>23739</v>
      </c>
      <c r="W3270" t="s">
        <v>25358</v>
      </c>
      <c r="X3270" t="s">
        <v>3</v>
      </c>
      <c r="AA3270" s="5" t="str">
        <f>HYPERLINK("https://www.zillow.com/homes/1216-SAMUEL-CT-NAPERVILLE-IL-60540_rb/","check listing")</f>
        <v>check listing</v>
      </c>
      <c r="AB3270" s="5" t="str">
        <f>HYPERLINK("https://propertylookup.dupagecounty.gov/Datalets/Datalet.aspx?UseSearch=no&amp;mode=sales&amp;pin=0727201063","sales record")</f>
        <v>sales record</v>
      </c>
      <c r="AC3270" t="s">
        <v>3</v>
      </c>
      <c r="AD3270">
        <v>41.74805</v>
      </c>
      <c r="AE3270">
        <v>-88.193777</v>
      </c>
      <c r="AF3270" s="5" t="str">
        <f>HYPERLINK("https://www.google.com/maps/search/?api=1&amp;query=41.74805,-88.193777","map")</f>
        <v>map</v>
      </c>
    </row>
    <row r="3271" spans="1:32">
      <c r="A3271" t="s">
        <v>3321</v>
      </c>
      <c r="B3271" t="s">
        <v>10854</v>
      </c>
      <c r="C3271" t="s">
        <v>15475</v>
      </c>
      <c r="D3271" t="s">
        <v>16206</v>
      </c>
      <c r="E3271" t="s">
        <v>16218</v>
      </c>
      <c r="F3271" t="s">
        <v>16220</v>
      </c>
      <c r="G3271" t="s">
        <v>16276</v>
      </c>
      <c r="H3271" t="s">
        <v>16276</v>
      </c>
      <c r="I3271" t="s">
        <v>16352</v>
      </c>
      <c r="J3271" t="s">
        <v>16386</v>
      </c>
      <c r="K3271">
        <v>0.197</v>
      </c>
      <c r="L3271">
        <v>8598</v>
      </c>
      <c r="M3271">
        <v>1929</v>
      </c>
      <c r="N3271" t="s">
        <v>16393</v>
      </c>
      <c r="O3271" s="4">
        <v>58706</v>
      </c>
      <c r="P3271" s="4">
        <v>117609</v>
      </c>
      <c r="Q3271" s="4">
        <v>176315</v>
      </c>
      <c r="R3271" s="4">
        <v>528945</v>
      </c>
      <c r="S3271" t="s">
        <v>19583</v>
      </c>
      <c r="T3271" s="6">
        <v>40330</v>
      </c>
      <c r="U3271" s="4">
        <v>312500</v>
      </c>
      <c r="V3271" t="s">
        <v>23739</v>
      </c>
      <c r="W3271" t="s">
        <v>25359</v>
      </c>
      <c r="X3271" t="s">
        <v>3</v>
      </c>
      <c r="AA3271" s="5" t="str">
        <f>HYPERLINK("https://www.zillow.com/homes/2007-CHANG-CT-NAPERVILLE-IL-60540_rb/","check listing")</f>
        <v>check listing</v>
      </c>
      <c r="AB3271" s="5" t="str">
        <f>HYPERLINK("https://propertylookup.dupagecounty.gov/Datalets/Datalet.aspx?UseSearch=no&amp;mode=sales&amp;pin=0727203033","sales record")</f>
        <v>sales record</v>
      </c>
      <c r="AC3271" t="s">
        <v>3</v>
      </c>
      <c r="AD3271">
        <v>41.751814</v>
      </c>
      <c r="AE3271">
        <v>-88.187567</v>
      </c>
      <c r="AF3271" s="5" t="str">
        <f>HYPERLINK("https://www.google.com/maps/search/?api=1&amp;query=41.751814,-88.187567","map")</f>
        <v>map</v>
      </c>
    </row>
    <row r="3272" spans="1:32">
      <c r="A3272" t="s">
        <v>3322</v>
      </c>
      <c r="B3272" t="s">
        <v>10855</v>
      </c>
      <c r="C3272" t="s">
        <v>15554</v>
      </c>
      <c r="D3272" t="s">
        <v>16206</v>
      </c>
      <c r="E3272" t="s">
        <v>16218</v>
      </c>
      <c r="F3272" t="s">
        <v>16220</v>
      </c>
      <c r="G3272" t="s">
        <v>16276</v>
      </c>
      <c r="H3272" t="s">
        <v>16276</v>
      </c>
      <c r="I3272" t="s">
        <v>16352</v>
      </c>
      <c r="J3272" t="s">
        <v>16386</v>
      </c>
      <c r="K3272">
        <v>0.197</v>
      </c>
      <c r="L3272">
        <v>8597</v>
      </c>
      <c r="M3272">
        <v>1846</v>
      </c>
      <c r="N3272" t="s">
        <v>16393</v>
      </c>
      <c r="O3272" s="4">
        <v>58706</v>
      </c>
      <c r="P3272" s="4">
        <v>114009</v>
      </c>
      <c r="Q3272" s="4">
        <v>172715</v>
      </c>
      <c r="R3272" s="4">
        <v>518145</v>
      </c>
      <c r="S3272" t="s">
        <v>19584</v>
      </c>
      <c r="T3272" s="6">
        <v>43252</v>
      </c>
      <c r="U3272" s="4">
        <v>332500</v>
      </c>
      <c r="V3272" t="s">
        <v>23739</v>
      </c>
      <c r="W3272" t="s">
        <v>19584</v>
      </c>
      <c r="X3272" t="s">
        <v>3</v>
      </c>
      <c r="AA3272" s="5" t="str">
        <f>HYPERLINK("https://www.zillow.com/homes/2003-CHANG-CT-NAPERVILLE-IL-605400935_rb/","check listing")</f>
        <v>check listing</v>
      </c>
      <c r="AB3272" s="5" t="str">
        <f>HYPERLINK("https://propertylookup.dupagecounty.gov/Datalets/Datalet.aspx?UseSearch=no&amp;mode=sales&amp;pin=0727203032","sales record")</f>
        <v>sales record</v>
      </c>
      <c r="AC3272" t="s">
        <v>3</v>
      </c>
      <c r="AD3272">
        <v>41.751554</v>
      </c>
      <c r="AE3272">
        <v>-88.187513</v>
      </c>
      <c r="AF3272" s="5" t="str">
        <f>HYPERLINK("https://www.google.com/maps/search/?api=1&amp;query=41.751554,-88.187513","map")</f>
        <v>map</v>
      </c>
    </row>
    <row r="3273" spans="1:32">
      <c r="A3273" t="s">
        <v>3323</v>
      </c>
      <c r="B3273" t="s">
        <v>10856</v>
      </c>
      <c r="C3273" t="s">
        <v>15478</v>
      </c>
      <c r="D3273" t="s">
        <v>16206</v>
      </c>
      <c r="E3273" t="s">
        <v>16218</v>
      </c>
      <c r="F3273" t="s">
        <v>16220</v>
      </c>
      <c r="G3273" t="s">
        <v>16273</v>
      </c>
      <c r="H3273" t="s">
        <v>16254</v>
      </c>
      <c r="I3273" t="s">
        <v>16351</v>
      </c>
      <c r="J3273" t="s">
        <v>16386</v>
      </c>
      <c r="K3273">
        <v>0.197</v>
      </c>
      <c r="L3273">
        <v>8593</v>
      </c>
      <c r="M3273">
        <v>1847</v>
      </c>
      <c r="N3273" t="s">
        <v>16393</v>
      </c>
      <c r="O3273" s="4">
        <v>40728</v>
      </c>
      <c r="P3273" s="4">
        <v>99008</v>
      </c>
      <c r="Q3273" s="4">
        <v>139736</v>
      </c>
      <c r="R3273" s="4">
        <v>419208</v>
      </c>
      <c r="S3273" t="s">
        <v>19585</v>
      </c>
      <c r="T3273" s="6">
        <v>38596</v>
      </c>
      <c r="U3273" s="4">
        <v>316000</v>
      </c>
      <c r="V3273" t="s">
        <v>23739</v>
      </c>
      <c r="W3273" t="s">
        <v>25360</v>
      </c>
      <c r="X3273" t="s">
        <v>3</v>
      </c>
      <c r="AA3273" s="5" t="str">
        <f>HYPERLINK("https://www.zillow.com/homes/2116-COUNTRY-LAKES-DR-NAPERVILLE-IL-60563_rb/","check listing")</f>
        <v>check listing</v>
      </c>
      <c r="AB3273" s="5" t="str">
        <f>HYPERLINK("https://propertylookup.dupagecounty.gov/Datalets/Datalet.aspx?UseSearch=no&amp;mode=sales&amp;pin=0709221012","sales record")</f>
        <v>sales record</v>
      </c>
      <c r="AC3273" t="s">
        <v>3</v>
      </c>
      <c r="AD3273">
        <v>41.794783</v>
      </c>
      <c r="AE3273">
        <v>-88.211281</v>
      </c>
      <c r="AF3273" s="5" t="str">
        <f>HYPERLINK("https://www.google.com/maps/search/?api=1&amp;query=41.794783,-88.211281","map")</f>
        <v>map</v>
      </c>
    </row>
    <row r="3274" spans="1:32">
      <c r="A3274" t="s">
        <v>3324</v>
      </c>
      <c r="B3274" t="s">
        <v>10857</v>
      </c>
      <c r="C3274" t="s">
        <v>15475</v>
      </c>
      <c r="D3274" t="s">
        <v>16206</v>
      </c>
      <c r="E3274" t="s">
        <v>16218</v>
      </c>
      <c r="F3274" t="s">
        <v>16220</v>
      </c>
      <c r="G3274" t="s">
        <v>16275</v>
      </c>
      <c r="H3274" t="s">
        <v>16276</v>
      </c>
      <c r="I3274" t="s">
        <v>16352</v>
      </c>
      <c r="J3274" t="s">
        <v>16386</v>
      </c>
      <c r="K3274">
        <v>0.197</v>
      </c>
      <c r="L3274">
        <v>8591</v>
      </c>
      <c r="M3274">
        <v>2347</v>
      </c>
      <c r="N3274" t="s">
        <v>16393</v>
      </c>
      <c r="O3274" s="4">
        <v>49444</v>
      </c>
      <c r="P3274" s="4">
        <v>129546</v>
      </c>
      <c r="Q3274" s="4">
        <v>178990</v>
      </c>
      <c r="R3274" s="4">
        <v>536970</v>
      </c>
      <c r="S3274" t="s">
        <v>19586</v>
      </c>
      <c r="T3274" s="6">
        <v>34547</v>
      </c>
      <c r="U3274" s="4">
        <v>212265</v>
      </c>
      <c r="X3274" t="s">
        <v>3</v>
      </c>
      <c r="AA3274" s="5" t="str">
        <f>HYPERLINK("https://www.zillow.com/homes/1043-LAKEWOOD-CIR-NAPERVILLE-IL-60540_rb/","check listing")</f>
        <v>check listing</v>
      </c>
      <c r="AB3274" s="5" t="str">
        <f>HYPERLINK("https://propertylookup.dupagecounty.gov/Datalets/Datalet.aspx?UseSearch=no&amp;mode=sales&amp;pin=0727207013","sales record")</f>
        <v>sales record</v>
      </c>
      <c r="AC3274" t="s">
        <v>3</v>
      </c>
      <c r="AD3274">
        <v>41.750804</v>
      </c>
      <c r="AE3274">
        <v>-88.193388</v>
      </c>
      <c r="AF3274" s="5" t="str">
        <f>HYPERLINK("https://www.google.com/maps/search/?api=1&amp;query=41.750804,-88.193388","map")</f>
        <v>map</v>
      </c>
    </row>
    <row r="3275" spans="1:32">
      <c r="A3275" t="s">
        <v>3325</v>
      </c>
      <c r="B3275" t="s">
        <v>10858</v>
      </c>
      <c r="C3275" t="s">
        <v>15563</v>
      </c>
      <c r="D3275" t="s">
        <v>16206</v>
      </c>
      <c r="E3275" t="s">
        <v>16218</v>
      </c>
      <c r="F3275" t="s">
        <v>16220</v>
      </c>
      <c r="G3275" t="s">
        <v>16269</v>
      </c>
      <c r="H3275" t="s">
        <v>16269</v>
      </c>
      <c r="I3275" t="s">
        <v>16352</v>
      </c>
      <c r="J3275" t="s">
        <v>16386</v>
      </c>
      <c r="K3275">
        <v>0.197</v>
      </c>
      <c r="L3275">
        <v>8575</v>
      </c>
      <c r="M3275">
        <v>2071</v>
      </c>
      <c r="N3275" t="s">
        <v>16393</v>
      </c>
      <c r="O3275" s="4">
        <v>74156</v>
      </c>
      <c r="P3275" s="4">
        <v>85858</v>
      </c>
      <c r="Q3275" s="4">
        <v>160014</v>
      </c>
      <c r="R3275" s="4">
        <v>480042</v>
      </c>
      <c r="S3275" t="s">
        <v>19587</v>
      </c>
      <c r="T3275" s="6">
        <v>41091</v>
      </c>
      <c r="U3275" s="4">
        <v>247000</v>
      </c>
      <c r="V3275" t="s">
        <v>23740</v>
      </c>
      <c r="W3275" t="s">
        <v>25361</v>
      </c>
      <c r="X3275" t="s">
        <v>3</v>
      </c>
      <c r="AA3275" s="5" t="str">
        <f>HYPERLINK("https://www.zillow.com/homes/1740-NAPOLEON-DR-NAPERVILLE-IL-605652641_rb/","check listing")</f>
        <v>check listing</v>
      </c>
      <c r="AB3275" s="5" t="str">
        <f>HYPERLINK("https://propertylookup.dupagecounty.gov/Datalets/Datalet.aspx?UseSearch=no&amp;mode=sales&amp;pin=0832115029","sales record")</f>
        <v>sales record</v>
      </c>
      <c r="AC3275" t="s">
        <v>27873</v>
      </c>
      <c r="AD3275">
        <v>41.73569</v>
      </c>
      <c r="AE3275">
        <v>-88.120251</v>
      </c>
      <c r="AF3275" s="5" t="str">
        <f>HYPERLINK("https://www.google.com/maps/search/?api=1&amp;query=41.73569,-88.120251","map")</f>
        <v>map</v>
      </c>
    </row>
    <row r="3276" spans="1:32">
      <c r="A3276" t="s">
        <v>3326</v>
      </c>
      <c r="B3276" t="s">
        <v>10859</v>
      </c>
      <c r="C3276" t="s">
        <v>15560</v>
      </c>
      <c r="D3276" t="s">
        <v>16206</v>
      </c>
      <c r="E3276" t="s">
        <v>16218</v>
      </c>
      <c r="F3276" t="s">
        <v>16220</v>
      </c>
      <c r="G3276" t="s">
        <v>16274</v>
      </c>
      <c r="H3276" t="s">
        <v>16269</v>
      </c>
      <c r="I3276" t="s">
        <v>16352</v>
      </c>
      <c r="J3276" t="s">
        <v>16386</v>
      </c>
      <c r="K3276">
        <v>0.196</v>
      </c>
      <c r="L3276">
        <v>8556</v>
      </c>
      <c r="M3276">
        <v>2534</v>
      </c>
      <c r="N3276" t="s">
        <v>16393</v>
      </c>
      <c r="O3276" s="4">
        <v>48576</v>
      </c>
      <c r="P3276" s="4">
        <v>122125</v>
      </c>
      <c r="Q3276" s="4">
        <v>170701</v>
      </c>
      <c r="R3276" s="4">
        <v>512103</v>
      </c>
      <c r="S3276" t="s">
        <v>19588</v>
      </c>
      <c r="T3276" s="6">
        <v>36495</v>
      </c>
      <c r="U3276" s="4">
        <v>240000</v>
      </c>
      <c r="V3276" t="s">
        <v>23739</v>
      </c>
      <c r="W3276" t="s">
        <v>25362</v>
      </c>
      <c r="X3276" t="s">
        <v>3</v>
      </c>
      <c r="AA3276" s="5" t="str">
        <f>HYPERLINK("https://www.zillow.com/homes/1667-HINTERLONG-LN-NAPERVILLE-IL-605630459_rb/","check listing")</f>
        <v>check listing</v>
      </c>
      <c r="AB3276" s="5" t="str">
        <f>HYPERLINK("https://propertylookup.dupagecounty.gov/Datalets/Datalet.aspx?UseSearch=no&amp;mode=sales&amp;pin=0715203003","sales record")</f>
        <v>sales record</v>
      </c>
      <c r="AC3276" t="s">
        <v>3</v>
      </c>
      <c r="AD3276">
        <v>41.782302</v>
      </c>
      <c r="AE3276">
        <v>-88.19413900000001</v>
      </c>
      <c r="AF3276" s="5" t="str">
        <f>HYPERLINK("https://www.google.com/maps/search/?api=1&amp;query=41.782302,-88.194139","map")</f>
        <v>map</v>
      </c>
    </row>
    <row r="3277" spans="1:32">
      <c r="A3277" t="s">
        <v>3327</v>
      </c>
      <c r="B3277" t="s">
        <v>10860</v>
      </c>
      <c r="C3277" t="s">
        <v>15564</v>
      </c>
      <c r="D3277" t="s">
        <v>16206</v>
      </c>
      <c r="E3277" t="s">
        <v>16218</v>
      </c>
      <c r="F3277" t="s">
        <v>16220</v>
      </c>
      <c r="G3277" t="s">
        <v>16275</v>
      </c>
      <c r="H3277" t="s">
        <v>16276</v>
      </c>
      <c r="I3277" t="s">
        <v>16352</v>
      </c>
      <c r="J3277" t="s">
        <v>16386</v>
      </c>
      <c r="K3277">
        <v>0.196</v>
      </c>
      <c r="L3277">
        <v>8555</v>
      </c>
      <c r="M3277">
        <v>1973</v>
      </c>
      <c r="N3277" t="s">
        <v>16393</v>
      </c>
      <c r="O3277" s="4">
        <v>55655</v>
      </c>
      <c r="P3277" s="4">
        <v>119172</v>
      </c>
      <c r="Q3277" s="4">
        <v>174827</v>
      </c>
      <c r="R3277" s="4">
        <v>524481</v>
      </c>
      <c r="S3277" t="s">
        <v>19589</v>
      </c>
      <c r="T3277" s="6">
        <v>44682</v>
      </c>
      <c r="U3277" s="4">
        <v>485000</v>
      </c>
      <c r="V3277" t="s">
        <v>23739</v>
      </c>
      <c r="W3277" t="s">
        <v>19589</v>
      </c>
      <c r="X3277" t="s">
        <v>3</v>
      </c>
      <c r="AA3277" s="5" t="str">
        <f>HYPERLINK("https://www.zillow.com/homes/1115-NATALIE-CT-NAPERVILLE-IL-605401907_rb/","check listing")</f>
        <v>check listing</v>
      </c>
      <c r="AB3277" s="5" t="str">
        <f>HYPERLINK("https://propertylookup.dupagecounty.gov/Datalets/Datalet.aspx?UseSearch=no&amp;mode=sales&amp;pin=0727206043","sales record")</f>
        <v>sales record</v>
      </c>
      <c r="AC3277" t="s">
        <v>3</v>
      </c>
      <c r="AD3277">
        <v>41.749502</v>
      </c>
      <c r="AE3277">
        <v>-88.193296</v>
      </c>
      <c r="AF3277" s="5" t="str">
        <f>HYPERLINK("https://www.google.com/maps/search/?api=1&amp;query=41.749502,-88.193296","map")</f>
        <v>map</v>
      </c>
    </row>
    <row r="3278" spans="1:32">
      <c r="A3278" t="s">
        <v>3328</v>
      </c>
      <c r="B3278" t="s">
        <v>10861</v>
      </c>
      <c r="C3278" t="s">
        <v>15475</v>
      </c>
      <c r="D3278" t="s">
        <v>16206</v>
      </c>
      <c r="E3278" t="s">
        <v>16218</v>
      </c>
      <c r="F3278" t="s">
        <v>16220</v>
      </c>
      <c r="G3278" t="s">
        <v>16275</v>
      </c>
      <c r="H3278" t="s">
        <v>16276</v>
      </c>
      <c r="I3278" t="s">
        <v>16352</v>
      </c>
      <c r="J3278" t="s">
        <v>16386</v>
      </c>
      <c r="K3278">
        <v>0.196</v>
      </c>
      <c r="L3278">
        <v>8554</v>
      </c>
      <c r="M3278">
        <v>2541</v>
      </c>
      <c r="N3278" t="s">
        <v>16393</v>
      </c>
      <c r="O3278" s="4">
        <v>51103</v>
      </c>
      <c r="P3278" s="4">
        <v>144729</v>
      </c>
      <c r="Q3278" s="4">
        <v>195832</v>
      </c>
      <c r="R3278" s="4">
        <v>587496</v>
      </c>
      <c r="S3278" t="s">
        <v>19590</v>
      </c>
      <c r="T3278" s="6">
        <v>38718</v>
      </c>
      <c r="U3278" s="4">
        <v>373000</v>
      </c>
      <c r="V3278" t="s">
        <v>23739</v>
      </c>
      <c r="W3278" t="s">
        <v>19590</v>
      </c>
      <c r="X3278" t="s">
        <v>3</v>
      </c>
      <c r="AA3278" s="5" t="str">
        <f>HYPERLINK("https://www.zillow.com/homes/760-WILDFLOWER-CIR-NAPERVILLE-IL-60540_rb/","check listing")</f>
        <v>check listing</v>
      </c>
      <c r="AB3278" s="5" t="str">
        <f>HYPERLINK("https://propertylookup.dupagecounty.gov/Datalets/Datalet.aspx?UseSearch=no&amp;mode=sales&amp;pin=0722406007","sales record")</f>
        <v>sales record</v>
      </c>
      <c r="AC3278" t="s">
        <v>3</v>
      </c>
      <c r="AD3278">
        <v>41.757974</v>
      </c>
      <c r="AE3278">
        <v>-88.195347</v>
      </c>
      <c r="AF3278" s="5" t="str">
        <f>HYPERLINK("https://www.google.com/maps/search/?api=1&amp;query=41.757974,-88.195347","map")</f>
        <v>map</v>
      </c>
    </row>
    <row r="3279" spans="1:32">
      <c r="A3279" t="s">
        <v>3329</v>
      </c>
      <c r="B3279" t="s">
        <v>10862</v>
      </c>
      <c r="C3279" t="s">
        <v>15475</v>
      </c>
      <c r="D3279" t="s">
        <v>16206</v>
      </c>
      <c r="E3279" t="s">
        <v>16218</v>
      </c>
      <c r="F3279" t="s">
        <v>16220</v>
      </c>
      <c r="G3279" t="s">
        <v>16274</v>
      </c>
      <c r="H3279" t="s">
        <v>16269</v>
      </c>
      <c r="I3279" t="s">
        <v>16352</v>
      </c>
      <c r="J3279" t="s">
        <v>16386</v>
      </c>
      <c r="K3279">
        <v>0.196</v>
      </c>
      <c r="L3279">
        <v>8552</v>
      </c>
      <c r="M3279">
        <v>1946</v>
      </c>
      <c r="N3279" t="s">
        <v>16393</v>
      </c>
      <c r="O3279" s="4">
        <v>48576</v>
      </c>
      <c r="P3279" s="4">
        <v>96067</v>
      </c>
      <c r="Q3279" s="4">
        <v>144643</v>
      </c>
      <c r="R3279" s="4">
        <v>433929</v>
      </c>
      <c r="S3279" t="s">
        <v>19591</v>
      </c>
      <c r="T3279" s="6">
        <v>43983</v>
      </c>
      <c r="U3279" s="4">
        <v>290000</v>
      </c>
      <c r="V3279" t="s">
        <v>23740</v>
      </c>
      <c r="W3279" t="s">
        <v>25363</v>
      </c>
      <c r="X3279" t="s">
        <v>3</v>
      </c>
      <c r="AA3279" s="5" t="str">
        <f>HYPERLINK("https://www.zillow.com/homes/1591-LOIS-ANN-LN-NAPERVILLE-IL-60540_rb/","check listing")</f>
        <v>check listing</v>
      </c>
      <c r="AB3279" s="5" t="str">
        <f>HYPERLINK("https://propertylookup.dupagecounty.gov/Datalets/Datalet.aspx?UseSearch=no&amp;mode=sales&amp;pin=0715203023","sales record")</f>
        <v>sales record</v>
      </c>
      <c r="AC3279" t="s">
        <v>3</v>
      </c>
      <c r="AD3279">
        <v>41.783135</v>
      </c>
      <c r="AE3279">
        <v>-88.190775</v>
      </c>
      <c r="AF3279" s="5" t="str">
        <f>HYPERLINK("https://www.google.com/maps/search/?api=1&amp;query=41.783135,-88.190775","map")</f>
        <v>map</v>
      </c>
    </row>
    <row r="3280" spans="1:32">
      <c r="A3280" t="s">
        <v>3330</v>
      </c>
      <c r="B3280" t="s">
        <v>10863</v>
      </c>
      <c r="C3280" t="s">
        <v>15475</v>
      </c>
      <c r="D3280" t="s">
        <v>16206</v>
      </c>
      <c r="E3280" t="s">
        <v>16218</v>
      </c>
      <c r="F3280" t="s">
        <v>16220</v>
      </c>
      <c r="G3280" t="s">
        <v>16275</v>
      </c>
      <c r="H3280" t="s">
        <v>16276</v>
      </c>
      <c r="I3280" t="s">
        <v>16352</v>
      </c>
      <c r="J3280" t="s">
        <v>16386</v>
      </c>
      <c r="K3280">
        <v>0.196</v>
      </c>
      <c r="L3280">
        <v>8549</v>
      </c>
      <c r="M3280">
        <v>2349</v>
      </c>
      <c r="N3280" t="s">
        <v>16393</v>
      </c>
      <c r="O3280" s="4">
        <v>54289</v>
      </c>
      <c r="P3280" s="4">
        <v>107467</v>
      </c>
      <c r="Q3280" s="4">
        <v>161756</v>
      </c>
      <c r="R3280" s="4">
        <v>485268</v>
      </c>
      <c r="S3280" t="s">
        <v>19592</v>
      </c>
      <c r="T3280" s="6">
        <v>43252</v>
      </c>
      <c r="U3280" s="4">
        <v>336900</v>
      </c>
      <c r="V3280" t="s">
        <v>23739</v>
      </c>
      <c r="W3280" t="s">
        <v>19592</v>
      </c>
      <c r="X3280" t="s">
        <v>3</v>
      </c>
      <c r="AA3280" s="5" t="str">
        <f>HYPERLINK("https://www.zillow.com/homes/2315-PERIWINKLE-CT-NAPERVILLE-IL-60540_rb/","check listing")</f>
        <v>check listing</v>
      </c>
      <c r="AB3280" s="5" t="str">
        <f>HYPERLINK("https://propertylookup.dupagecounty.gov/Datalets/Datalet.aspx?UseSearch=no&amp;mode=sales&amp;pin=0722407031","sales record")</f>
        <v>sales record</v>
      </c>
      <c r="AC3280" t="s">
        <v>3</v>
      </c>
      <c r="AD3280">
        <v>41.75825</v>
      </c>
      <c r="AE3280">
        <v>-88.192815</v>
      </c>
      <c r="AF3280" s="5" t="str">
        <f>HYPERLINK("https://www.google.com/maps/search/?api=1&amp;query=41.75825,-88.192815","map")</f>
        <v>map</v>
      </c>
    </row>
    <row r="3281" spans="1:32">
      <c r="A3281" t="s">
        <v>3331</v>
      </c>
      <c r="B3281" t="s">
        <v>10864</v>
      </c>
      <c r="C3281" t="s">
        <v>15565</v>
      </c>
      <c r="D3281" t="s">
        <v>16206</v>
      </c>
      <c r="E3281" t="s">
        <v>16218</v>
      </c>
      <c r="F3281" t="s">
        <v>16220</v>
      </c>
      <c r="G3281" t="s">
        <v>16269</v>
      </c>
      <c r="H3281" t="s">
        <v>16269</v>
      </c>
      <c r="I3281" t="s">
        <v>16352</v>
      </c>
      <c r="J3281" t="s">
        <v>16386</v>
      </c>
      <c r="K3281">
        <v>0.196</v>
      </c>
      <c r="L3281">
        <v>8537</v>
      </c>
      <c r="M3281">
        <v>1583</v>
      </c>
      <c r="N3281" t="s">
        <v>16393</v>
      </c>
      <c r="O3281" s="4">
        <v>75072</v>
      </c>
      <c r="P3281" s="4">
        <v>95870</v>
      </c>
      <c r="Q3281" s="4">
        <v>170942</v>
      </c>
      <c r="R3281" s="4">
        <v>512826</v>
      </c>
      <c r="S3281" t="s">
        <v>19593</v>
      </c>
      <c r="T3281" s="6">
        <v>43983</v>
      </c>
      <c r="U3281" s="4">
        <v>364500</v>
      </c>
      <c r="V3281" t="s">
        <v>23740</v>
      </c>
      <c r="W3281" t="s">
        <v>25364</v>
      </c>
      <c r="X3281" t="s">
        <v>3</v>
      </c>
      <c r="AA3281" s="5" t="str">
        <f>HYPERLINK("https://www.zillow.com/homes/511-BOURBON-LN-NAPERVILLE-IL-605654402_rb/","check listing")</f>
        <v>check listing</v>
      </c>
      <c r="AB3281" s="5" t="str">
        <f>HYPERLINK("https://propertylookup.dupagecounty.gov/Datalets/Datalet.aspx?UseSearch=no&amp;mode=sales&amp;pin=0832115043","sales record")</f>
        <v>sales record</v>
      </c>
      <c r="AC3281" t="s">
        <v>3</v>
      </c>
      <c r="AD3281">
        <v>41.735844</v>
      </c>
      <c r="AE3281">
        <v>-88.119562</v>
      </c>
      <c r="AF3281" s="5" t="str">
        <f>HYPERLINK("https://www.google.com/maps/search/?api=1&amp;query=41.735844,-88.119562","map")</f>
        <v>map</v>
      </c>
    </row>
    <row r="3282" spans="1:32">
      <c r="A3282" t="s">
        <v>3332</v>
      </c>
      <c r="B3282" t="s">
        <v>10865</v>
      </c>
      <c r="C3282" t="s">
        <v>15476</v>
      </c>
      <c r="D3282" t="s">
        <v>16206</v>
      </c>
      <c r="E3282" t="s">
        <v>16218</v>
      </c>
      <c r="F3282" t="s">
        <v>16220</v>
      </c>
      <c r="G3282" t="s">
        <v>16269</v>
      </c>
      <c r="H3282" t="s">
        <v>16269</v>
      </c>
      <c r="I3282" t="s">
        <v>16352</v>
      </c>
      <c r="J3282" t="s">
        <v>16386</v>
      </c>
      <c r="K3282">
        <v>0.196</v>
      </c>
      <c r="L3282">
        <v>8535</v>
      </c>
      <c r="M3282">
        <v>2309</v>
      </c>
      <c r="N3282" t="s">
        <v>16393</v>
      </c>
      <c r="O3282" s="4">
        <v>75072</v>
      </c>
      <c r="P3282" s="4">
        <v>88807</v>
      </c>
      <c r="Q3282" s="4">
        <v>163879</v>
      </c>
      <c r="R3282" s="4">
        <v>491637</v>
      </c>
      <c r="S3282" t="s">
        <v>19594</v>
      </c>
      <c r="T3282" s="6">
        <v>36312</v>
      </c>
      <c r="U3282" s="4">
        <v>220000</v>
      </c>
      <c r="X3282" t="s">
        <v>3</v>
      </c>
      <c r="AA3282" s="5" t="str">
        <f>HYPERLINK("https://www.zillow.com/homes/512-BOURBON-LN-NAPERVILLE-IL-60565_rb/","check listing")</f>
        <v>check listing</v>
      </c>
      <c r="AB3282" s="5" t="str">
        <f>HYPERLINK("https://propertylookup.dupagecounty.gov/Datalets/Datalet.aspx?UseSearch=no&amp;mode=sales&amp;pin=0832116005","sales record")</f>
        <v>sales record</v>
      </c>
      <c r="AC3282" t="s">
        <v>3</v>
      </c>
      <c r="AD3282">
        <v>41.73571</v>
      </c>
      <c r="AE3282">
        <v>-88.118894</v>
      </c>
      <c r="AF3282" s="5" t="str">
        <f>HYPERLINK("https://www.google.com/maps/search/?api=1&amp;query=41.73571,-88.118894","map")</f>
        <v>map</v>
      </c>
    </row>
    <row r="3283" spans="1:32">
      <c r="A3283" t="s">
        <v>3333</v>
      </c>
      <c r="B3283" t="s">
        <v>10866</v>
      </c>
      <c r="C3283" t="s">
        <v>15475</v>
      </c>
      <c r="D3283" t="s">
        <v>16206</v>
      </c>
      <c r="E3283" t="s">
        <v>16218</v>
      </c>
      <c r="F3283" t="s">
        <v>16220</v>
      </c>
      <c r="G3283" t="s">
        <v>16275</v>
      </c>
      <c r="H3283" t="s">
        <v>16276</v>
      </c>
      <c r="I3283" t="s">
        <v>16352</v>
      </c>
      <c r="J3283" t="s">
        <v>16386</v>
      </c>
      <c r="K3283">
        <v>0.196</v>
      </c>
      <c r="L3283">
        <v>8517</v>
      </c>
      <c r="M3283">
        <v>1978</v>
      </c>
      <c r="N3283" t="s">
        <v>16393</v>
      </c>
      <c r="O3283" s="4">
        <v>47905</v>
      </c>
      <c r="P3283" s="4">
        <v>111775</v>
      </c>
      <c r="Q3283" s="4">
        <v>159680</v>
      </c>
      <c r="R3283" s="4">
        <v>479040</v>
      </c>
      <c r="S3283" t="s">
        <v>19595</v>
      </c>
      <c r="T3283" s="6">
        <v>36647</v>
      </c>
      <c r="U3283" s="4">
        <v>232000</v>
      </c>
      <c r="V3283" t="s">
        <v>23739</v>
      </c>
      <c r="W3283" t="s">
        <v>25365</v>
      </c>
      <c r="X3283" t="s">
        <v>3</v>
      </c>
      <c r="AA3283" s="5" t="str">
        <f>HYPERLINK("https://www.zillow.com/homes/2303-PERIWINKLE-CT-NAPERVILLE-IL-60540_rb/","check listing")</f>
        <v>check listing</v>
      </c>
      <c r="AB3283" s="5" t="str">
        <f>HYPERLINK("https://propertylookup.dupagecounty.gov/Datalets/Datalet.aspx?UseSearch=no&amp;mode=sales&amp;pin=0722407028","sales record")</f>
        <v>sales record</v>
      </c>
      <c r="AC3283" t="s">
        <v>3</v>
      </c>
      <c r="AD3283">
        <v>41.7588</v>
      </c>
      <c r="AE3283">
        <v>-88.192538</v>
      </c>
      <c r="AF3283" s="5" t="str">
        <f>HYPERLINK("https://www.google.com/maps/search/?api=1&amp;query=41.7588,-88.192538","map")</f>
        <v>map</v>
      </c>
    </row>
    <row r="3284" spans="1:32">
      <c r="A3284" t="s">
        <v>3334</v>
      </c>
      <c r="B3284" t="s">
        <v>10867</v>
      </c>
      <c r="C3284" t="s">
        <v>15478</v>
      </c>
      <c r="D3284" t="s">
        <v>16206</v>
      </c>
      <c r="E3284" t="s">
        <v>16218</v>
      </c>
      <c r="F3284" t="s">
        <v>16220</v>
      </c>
      <c r="G3284" t="s">
        <v>16274</v>
      </c>
      <c r="H3284" t="s">
        <v>16269</v>
      </c>
      <c r="I3284" t="s">
        <v>16352</v>
      </c>
      <c r="J3284" t="s">
        <v>16386</v>
      </c>
      <c r="K3284">
        <v>0.195</v>
      </c>
      <c r="L3284">
        <v>8505</v>
      </c>
      <c r="M3284">
        <v>2143</v>
      </c>
      <c r="N3284" t="s">
        <v>16393</v>
      </c>
      <c r="O3284" s="4">
        <v>60269</v>
      </c>
      <c r="P3284" s="4">
        <v>97703</v>
      </c>
      <c r="Q3284" s="4">
        <v>157972</v>
      </c>
      <c r="R3284" s="4">
        <v>473916</v>
      </c>
      <c r="S3284" t="s">
        <v>19596</v>
      </c>
      <c r="T3284" s="6">
        <v>35462</v>
      </c>
      <c r="U3284" s="4">
        <v>169990</v>
      </c>
      <c r="X3284" t="s">
        <v>3</v>
      </c>
      <c r="AA3284" s="5" t="str">
        <f>HYPERLINK("https://www.zillow.com/homes/1698-LISA-CT-NAPERVILLE-IL-60563_rb/","check listing")</f>
        <v>check listing</v>
      </c>
      <c r="AB3284" s="5" t="str">
        <f>HYPERLINK("https://propertylookup.dupagecounty.gov/Datalets/Datalet.aspx?UseSearch=no&amp;mode=sales&amp;pin=0715206046","sales record")</f>
        <v>sales record</v>
      </c>
      <c r="AC3284" t="s">
        <v>3</v>
      </c>
      <c r="AD3284">
        <v>41.780824</v>
      </c>
      <c r="AE3284">
        <v>-88.19429700000001</v>
      </c>
      <c r="AF3284" s="5" t="str">
        <f>HYPERLINK("https://www.google.com/maps/search/?api=1&amp;query=41.780824,-88.194297","map")</f>
        <v>map</v>
      </c>
    </row>
    <row r="3285" spans="1:32">
      <c r="A3285" t="s">
        <v>3335</v>
      </c>
      <c r="B3285" t="s">
        <v>10868</v>
      </c>
      <c r="C3285" t="s">
        <v>15475</v>
      </c>
      <c r="D3285" t="s">
        <v>16206</v>
      </c>
      <c r="E3285" t="s">
        <v>16218</v>
      </c>
      <c r="F3285" t="s">
        <v>16220</v>
      </c>
      <c r="G3285" t="s">
        <v>16275</v>
      </c>
      <c r="H3285" t="s">
        <v>16276</v>
      </c>
      <c r="I3285" t="s">
        <v>16352</v>
      </c>
      <c r="J3285" t="s">
        <v>16386</v>
      </c>
      <c r="K3285">
        <v>0.194</v>
      </c>
      <c r="L3285">
        <v>8471</v>
      </c>
      <c r="M3285">
        <v>2079</v>
      </c>
      <c r="N3285" t="s">
        <v>16393</v>
      </c>
      <c r="O3285" s="4">
        <v>49444</v>
      </c>
      <c r="P3285" s="4">
        <v>119770</v>
      </c>
      <c r="Q3285" s="4">
        <v>169214</v>
      </c>
      <c r="R3285" s="4">
        <v>507642</v>
      </c>
      <c r="S3285" t="s">
        <v>19597</v>
      </c>
      <c r="T3285" s="6">
        <v>40695</v>
      </c>
      <c r="U3285" s="4">
        <v>275000</v>
      </c>
      <c r="V3285" t="s">
        <v>23739</v>
      </c>
      <c r="W3285" t="s">
        <v>25366</v>
      </c>
      <c r="X3285" t="s">
        <v>3</v>
      </c>
      <c r="AA3285" s="5" t="str">
        <f>HYPERLINK("https://www.zillow.com/homes/2116-JESSICA-CT-NAPERVILLE-IL-60540_rb/","check listing")</f>
        <v>check listing</v>
      </c>
      <c r="AB3285" s="5" t="str">
        <f>HYPERLINK("https://propertylookup.dupagecounty.gov/Datalets/Datalet.aspx?UseSearch=no&amp;mode=sales&amp;pin=0727201042","sales record")</f>
        <v>sales record</v>
      </c>
      <c r="AC3285" t="s">
        <v>3</v>
      </c>
      <c r="AD3285">
        <v>41.747933</v>
      </c>
      <c r="AE3285">
        <v>-88.190583</v>
      </c>
      <c r="AF3285" s="5" t="str">
        <f>HYPERLINK("https://www.google.com/maps/search/?api=1&amp;query=41.747933,-88.190583","map")</f>
        <v>map</v>
      </c>
    </row>
    <row r="3286" spans="1:32">
      <c r="A3286" t="s">
        <v>3336</v>
      </c>
      <c r="B3286" t="s">
        <v>10869</v>
      </c>
      <c r="C3286" t="s">
        <v>15566</v>
      </c>
      <c r="D3286" t="s">
        <v>16206</v>
      </c>
      <c r="E3286" t="s">
        <v>16218</v>
      </c>
      <c r="F3286" t="s">
        <v>16220</v>
      </c>
      <c r="G3286" t="s">
        <v>16275</v>
      </c>
      <c r="H3286" t="s">
        <v>16276</v>
      </c>
      <c r="I3286" t="s">
        <v>16352</v>
      </c>
      <c r="J3286" t="s">
        <v>16386</v>
      </c>
      <c r="K3286">
        <v>0.194</v>
      </c>
      <c r="L3286">
        <v>8469</v>
      </c>
      <c r="M3286">
        <v>2143</v>
      </c>
      <c r="N3286" t="s">
        <v>16393</v>
      </c>
      <c r="O3286" s="4">
        <v>49444</v>
      </c>
      <c r="P3286" s="4">
        <v>139029</v>
      </c>
      <c r="Q3286" s="4">
        <v>188473</v>
      </c>
      <c r="R3286" s="4">
        <v>565419</v>
      </c>
      <c r="S3286" t="s">
        <v>19598</v>
      </c>
      <c r="T3286" s="6">
        <v>42917</v>
      </c>
      <c r="U3286" s="4">
        <v>377250</v>
      </c>
      <c r="V3286" t="s">
        <v>23739</v>
      </c>
      <c r="W3286" t="s">
        <v>25367</v>
      </c>
      <c r="X3286" t="s">
        <v>3</v>
      </c>
      <c r="AA3286" s="5" t="str">
        <f>HYPERLINK("https://www.zillow.com/homes/1256-LAKEWOOD-CIR-NAPERVILLE-IL-605400996_rb/","check listing")</f>
        <v>check listing</v>
      </c>
      <c r="AB3286" s="5" t="str">
        <f>HYPERLINK("https://propertylookup.dupagecounty.gov/Datalets/Datalet.aspx?UseSearch=no&amp;mode=sales&amp;pin=0727202011","sales record")</f>
        <v>sales record</v>
      </c>
      <c r="AC3286" t="s">
        <v>3</v>
      </c>
      <c r="AD3286">
        <v>41.748324</v>
      </c>
      <c r="AE3286">
        <v>-88.192553</v>
      </c>
      <c r="AF3286" s="5" t="str">
        <f>HYPERLINK("https://www.google.com/maps/search/?api=1&amp;query=41.748324,-88.192553","map")</f>
        <v>map</v>
      </c>
    </row>
    <row r="3287" spans="1:32">
      <c r="A3287" t="s">
        <v>3337</v>
      </c>
      <c r="B3287" t="s">
        <v>10870</v>
      </c>
      <c r="C3287" t="s">
        <v>15475</v>
      </c>
      <c r="D3287" t="s">
        <v>16206</v>
      </c>
      <c r="E3287" t="s">
        <v>16218</v>
      </c>
      <c r="F3287" t="s">
        <v>16220</v>
      </c>
      <c r="G3287" t="s">
        <v>16275</v>
      </c>
      <c r="H3287" t="s">
        <v>16276</v>
      </c>
      <c r="I3287" t="s">
        <v>16352</v>
      </c>
      <c r="J3287" t="s">
        <v>16386</v>
      </c>
      <c r="K3287">
        <v>0.194</v>
      </c>
      <c r="L3287">
        <v>8461</v>
      </c>
      <c r="M3287">
        <v>2144</v>
      </c>
      <c r="N3287" t="s">
        <v>16393</v>
      </c>
      <c r="O3287" s="4">
        <v>55655</v>
      </c>
      <c r="P3287" s="4">
        <v>132414</v>
      </c>
      <c r="Q3287" s="4">
        <v>188069</v>
      </c>
      <c r="R3287" s="4">
        <v>564207</v>
      </c>
      <c r="S3287" t="s">
        <v>19599</v>
      </c>
      <c r="T3287" s="6">
        <v>34547</v>
      </c>
      <c r="U3287" s="4">
        <v>211610</v>
      </c>
      <c r="X3287" t="s">
        <v>3</v>
      </c>
      <c r="AA3287" s="5" t="str">
        <f>HYPERLINK("https://www.zillow.com/homes/1111-NATALIE-CT-NAPERVILLE-IL-60540_rb/","check listing")</f>
        <v>check listing</v>
      </c>
      <c r="AB3287" s="5" t="str">
        <f>HYPERLINK("https://propertylookup.dupagecounty.gov/Datalets/Datalet.aspx?UseSearch=no&amp;mode=sales&amp;pin=0727206042","sales record")</f>
        <v>sales record</v>
      </c>
      <c r="AC3287" t="s">
        <v>3</v>
      </c>
      <c r="AD3287">
        <v>41.749678</v>
      </c>
      <c r="AE3287">
        <v>-88.19331200000001</v>
      </c>
      <c r="AF3287" s="5" t="str">
        <f>HYPERLINK("https://www.google.com/maps/search/?api=1&amp;query=41.749678,-88.193312","map")</f>
        <v>map</v>
      </c>
    </row>
    <row r="3288" spans="1:32">
      <c r="A3288" t="s">
        <v>3338</v>
      </c>
      <c r="B3288" t="s">
        <v>10871</v>
      </c>
      <c r="C3288" t="s">
        <v>15501</v>
      </c>
      <c r="D3288" t="s">
        <v>16206</v>
      </c>
      <c r="E3288" t="s">
        <v>16218</v>
      </c>
      <c r="F3288" t="s">
        <v>16220</v>
      </c>
      <c r="G3288" t="s">
        <v>16274</v>
      </c>
      <c r="H3288" t="s">
        <v>16269</v>
      </c>
      <c r="I3288" t="s">
        <v>16352</v>
      </c>
      <c r="J3288" t="s">
        <v>16386</v>
      </c>
      <c r="K3288">
        <v>0.194</v>
      </c>
      <c r="L3288">
        <v>8444</v>
      </c>
      <c r="M3288">
        <v>2968</v>
      </c>
      <c r="N3288" t="s">
        <v>16393</v>
      </c>
      <c r="O3288" s="4">
        <v>84716</v>
      </c>
      <c r="P3288" s="4">
        <v>134768</v>
      </c>
      <c r="Q3288" s="4">
        <v>219484</v>
      </c>
      <c r="R3288" s="4">
        <v>658452</v>
      </c>
      <c r="S3288" t="s">
        <v>19600</v>
      </c>
      <c r="T3288" s="6">
        <v>42339</v>
      </c>
      <c r="U3288" s="4">
        <v>423000</v>
      </c>
      <c r="V3288" t="s">
        <v>23739</v>
      </c>
      <c r="W3288" t="s">
        <v>25368</v>
      </c>
      <c r="X3288" t="s">
        <v>3</v>
      </c>
      <c r="AA3288" s="5" t="str">
        <f>HYPERLINK("https://www.zillow.com/homes/1156-DICKENS-AVE-NAPERVILLE-IL-605634301_rb/","check listing")</f>
        <v>check listing</v>
      </c>
      <c r="AB3288" s="5" t="str">
        <f>HYPERLINK("https://propertylookup.dupagecounty.gov/Datalets/Datalet.aspx?UseSearch=no&amp;mode=sales&amp;pin=0808314015","sales record")</f>
        <v>sales record</v>
      </c>
      <c r="AC3288" t="s">
        <v>3</v>
      </c>
      <c r="AD3288">
        <v>41.790828</v>
      </c>
      <c r="AE3288">
        <v>-88.125758</v>
      </c>
      <c r="AF3288" s="5" t="str">
        <f>HYPERLINK("https://www.google.com/maps/search/?api=1&amp;query=41.790828,-88.125758","map")</f>
        <v>map</v>
      </c>
    </row>
    <row r="3289" spans="1:32">
      <c r="A3289" t="s">
        <v>3339</v>
      </c>
      <c r="B3289" t="s">
        <v>10872</v>
      </c>
      <c r="C3289" t="s">
        <v>15478</v>
      </c>
      <c r="D3289" t="s">
        <v>16206</v>
      </c>
      <c r="E3289" t="s">
        <v>16218</v>
      </c>
      <c r="F3289" t="s">
        <v>16220</v>
      </c>
      <c r="G3289" t="s">
        <v>16274</v>
      </c>
      <c r="H3289" t="s">
        <v>16269</v>
      </c>
      <c r="I3289" t="s">
        <v>16352</v>
      </c>
      <c r="J3289" t="s">
        <v>16386</v>
      </c>
      <c r="K3289">
        <v>0.194</v>
      </c>
      <c r="L3289">
        <v>8441</v>
      </c>
      <c r="M3289">
        <v>2358</v>
      </c>
      <c r="N3289" t="s">
        <v>16393</v>
      </c>
      <c r="O3289" s="4">
        <v>55448</v>
      </c>
      <c r="P3289" s="4">
        <v>127446</v>
      </c>
      <c r="Q3289" s="4">
        <v>182894</v>
      </c>
      <c r="R3289" s="4">
        <v>548682</v>
      </c>
      <c r="S3289" t="s">
        <v>19601</v>
      </c>
      <c r="T3289" s="6">
        <v>36130</v>
      </c>
      <c r="U3289" s="4">
        <v>229900</v>
      </c>
      <c r="X3289" t="s">
        <v>3</v>
      </c>
      <c r="AA3289" s="5" t="str">
        <f>HYPERLINK("https://www.zillow.com/homes/709-SMALL-CT-NAPERVILLE-IL-60563_rb/","check listing")</f>
        <v>check listing</v>
      </c>
      <c r="AB3289" s="5" t="str">
        <f>HYPERLINK("https://propertylookup.dupagecounty.gov/Datalets/Datalet.aspx?UseSearch=no&amp;mode=sales&amp;pin=0715206003","sales record")</f>
        <v>sales record</v>
      </c>
      <c r="AC3289" t="s">
        <v>3</v>
      </c>
      <c r="AD3289">
        <v>41.781499</v>
      </c>
      <c r="AE3289">
        <v>-88.188813</v>
      </c>
      <c r="AF3289" s="5" t="str">
        <f>HYPERLINK("https://www.google.com/maps/search/?api=1&amp;query=41.781499,-88.188813","map")</f>
        <v>map</v>
      </c>
    </row>
    <row r="3290" spans="1:32">
      <c r="A3290" t="s">
        <v>3340</v>
      </c>
      <c r="B3290" t="s">
        <v>10873</v>
      </c>
      <c r="C3290" t="s">
        <v>15535</v>
      </c>
      <c r="D3290" t="s">
        <v>16206</v>
      </c>
      <c r="E3290" t="s">
        <v>16218</v>
      </c>
      <c r="F3290" t="s">
        <v>16220</v>
      </c>
      <c r="G3290" t="s">
        <v>16275</v>
      </c>
      <c r="H3290" t="s">
        <v>16276</v>
      </c>
      <c r="I3290" t="s">
        <v>16352</v>
      </c>
      <c r="J3290" t="s">
        <v>16386</v>
      </c>
      <c r="K3290">
        <v>0.194</v>
      </c>
      <c r="L3290">
        <v>8439</v>
      </c>
      <c r="M3290">
        <v>1930</v>
      </c>
      <c r="N3290" t="s">
        <v>16393</v>
      </c>
      <c r="O3290" s="4">
        <v>55655</v>
      </c>
      <c r="P3290" s="4">
        <v>117487</v>
      </c>
      <c r="Q3290" s="4">
        <v>173142</v>
      </c>
      <c r="R3290" s="4">
        <v>519426</v>
      </c>
      <c r="S3290" t="s">
        <v>19602</v>
      </c>
      <c r="T3290" s="6">
        <v>43800</v>
      </c>
      <c r="U3290" s="4">
        <v>359000</v>
      </c>
      <c r="V3290" t="s">
        <v>23739</v>
      </c>
      <c r="W3290" t="s">
        <v>25369</v>
      </c>
      <c r="X3290" t="s">
        <v>3</v>
      </c>
      <c r="AA3290" s="5" t="str">
        <f>HYPERLINK("https://www.zillow.com/homes/1123-HANNAH-CT-NAPERVILLE-IL-605400978_rb/","check listing")</f>
        <v>check listing</v>
      </c>
      <c r="AB3290" s="5" t="str">
        <f>HYPERLINK("https://propertylookup.dupagecounty.gov/Datalets/Datalet.aspx?UseSearch=no&amp;mode=sales&amp;pin=0727204020","sales record")</f>
        <v>sales record</v>
      </c>
      <c r="AC3290" t="s">
        <v>3</v>
      </c>
      <c r="AD3290">
        <v>41.749654</v>
      </c>
      <c r="AE3290">
        <v>-88.18875199999999</v>
      </c>
      <c r="AF3290" s="5" t="str">
        <f>HYPERLINK("https://www.google.com/maps/search/?api=1&amp;query=41.749654,-88.188752","map")</f>
        <v>map</v>
      </c>
    </row>
    <row r="3291" spans="1:32">
      <c r="A3291" t="s">
        <v>3341</v>
      </c>
      <c r="B3291" t="s">
        <v>10874</v>
      </c>
      <c r="C3291" t="s">
        <v>15501</v>
      </c>
      <c r="D3291" t="s">
        <v>16206</v>
      </c>
      <c r="E3291" t="s">
        <v>16218</v>
      </c>
      <c r="F3291" t="s">
        <v>16220</v>
      </c>
      <c r="G3291" t="s">
        <v>16274</v>
      </c>
      <c r="H3291" t="s">
        <v>16269</v>
      </c>
      <c r="I3291" t="s">
        <v>16352</v>
      </c>
      <c r="J3291" t="s">
        <v>16386</v>
      </c>
      <c r="K3291">
        <v>0.194</v>
      </c>
      <c r="L3291">
        <v>8437</v>
      </c>
      <c r="M3291">
        <v>2474</v>
      </c>
      <c r="N3291" t="s">
        <v>16393</v>
      </c>
      <c r="O3291" s="4">
        <v>84716</v>
      </c>
      <c r="P3291" s="4">
        <v>129060</v>
      </c>
      <c r="Q3291" s="4">
        <v>213776</v>
      </c>
      <c r="R3291" s="4">
        <v>641328</v>
      </c>
      <c r="S3291" t="s">
        <v>19603</v>
      </c>
      <c r="T3291" s="6">
        <v>43160</v>
      </c>
      <c r="U3291" s="4">
        <v>475000</v>
      </c>
      <c r="V3291" t="s">
        <v>23739</v>
      </c>
      <c r="W3291" t="s">
        <v>25370</v>
      </c>
      <c r="X3291" t="s">
        <v>3</v>
      </c>
      <c r="AA3291" s="5" t="str">
        <f>HYPERLINK("https://www.zillow.com/homes/1152-DICKENS-AVE-NAPERVILLE-IL-605634301_rb/","check listing")</f>
        <v>check listing</v>
      </c>
      <c r="AB3291" s="5" t="str">
        <f>HYPERLINK("https://propertylookup.dupagecounty.gov/Datalets/Datalet.aspx?UseSearch=no&amp;mode=sales&amp;pin=0808314014","sales record")</f>
        <v>sales record</v>
      </c>
      <c r="AC3291" t="s">
        <v>3</v>
      </c>
      <c r="AD3291">
        <v>41.79066</v>
      </c>
      <c r="AE3291">
        <v>-88.12591</v>
      </c>
      <c r="AF3291" s="5" t="str">
        <f>HYPERLINK("https://www.google.com/maps/search/?api=1&amp;query=41.79066,-88.12591","map")</f>
        <v>map</v>
      </c>
    </row>
    <row r="3292" spans="1:32">
      <c r="A3292" t="s">
        <v>3342</v>
      </c>
      <c r="B3292" t="s">
        <v>10875</v>
      </c>
      <c r="C3292" t="s">
        <v>15478</v>
      </c>
      <c r="D3292" t="s">
        <v>16206</v>
      </c>
      <c r="E3292" t="s">
        <v>16218</v>
      </c>
      <c r="F3292" t="s">
        <v>16220</v>
      </c>
      <c r="G3292" t="s">
        <v>16274</v>
      </c>
      <c r="H3292" t="s">
        <v>16269</v>
      </c>
      <c r="I3292" t="s">
        <v>16352</v>
      </c>
      <c r="J3292" t="s">
        <v>16386</v>
      </c>
      <c r="K3292">
        <v>0.194</v>
      </c>
      <c r="L3292">
        <v>8437</v>
      </c>
      <c r="M3292">
        <v>2720</v>
      </c>
      <c r="N3292" t="s">
        <v>16393</v>
      </c>
      <c r="O3292" s="4">
        <v>48576</v>
      </c>
      <c r="P3292" s="4">
        <v>95371</v>
      </c>
      <c r="Q3292" s="4">
        <v>143947</v>
      </c>
      <c r="R3292" s="4">
        <v>431841</v>
      </c>
      <c r="S3292" t="s">
        <v>19604</v>
      </c>
      <c r="T3292" s="6">
        <v>45912</v>
      </c>
      <c r="U3292" s="4">
        <v>657000</v>
      </c>
      <c r="V3292" t="s">
        <v>23739</v>
      </c>
      <c r="W3292" t="s">
        <v>25371</v>
      </c>
      <c r="X3292" t="s">
        <v>3</v>
      </c>
      <c r="AA3292" s="5" t="str">
        <f>HYPERLINK("https://www.zillow.com/homes/712-STACIE-CT-NAPERVILLE-IL-60563_rb/","check listing")</f>
        <v>check listing</v>
      </c>
      <c r="AB3292" s="5" t="str">
        <f>HYPERLINK("https://propertylookup.dupagecounty.gov/Datalets/Datalet.aspx?UseSearch=no&amp;mode=sales&amp;pin=0715205014","sales record")</f>
        <v>sales record</v>
      </c>
      <c r="AC3292" t="s">
        <v>3</v>
      </c>
      <c r="AD3292">
        <v>41.781538</v>
      </c>
      <c r="AE3292">
        <v>-88.190648</v>
      </c>
      <c r="AF3292" s="5" t="str">
        <f>HYPERLINK("https://www.google.com/maps/search/?api=1&amp;query=41.781538,-88.190648","map")</f>
        <v>map</v>
      </c>
    </row>
    <row r="3293" spans="1:32">
      <c r="A3293" t="s">
        <v>3343</v>
      </c>
      <c r="B3293" t="s">
        <v>10876</v>
      </c>
      <c r="C3293" t="s">
        <v>15475</v>
      </c>
      <c r="D3293" t="s">
        <v>16206</v>
      </c>
      <c r="E3293" t="s">
        <v>16218</v>
      </c>
      <c r="F3293" t="s">
        <v>16220</v>
      </c>
      <c r="G3293" t="s">
        <v>16275</v>
      </c>
      <c r="H3293" t="s">
        <v>16276</v>
      </c>
      <c r="I3293" t="s">
        <v>16352</v>
      </c>
      <c r="J3293" t="s">
        <v>16386</v>
      </c>
      <c r="K3293">
        <v>0.193</v>
      </c>
      <c r="L3293">
        <v>8424</v>
      </c>
      <c r="M3293">
        <v>1930</v>
      </c>
      <c r="N3293" t="s">
        <v>16393</v>
      </c>
      <c r="O3293" s="4">
        <v>46367</v>
      </c>
      <c r="P3293" s="4">
        <v>118793</v>
      </c>
      <c r="Q3293" s="4">
        <v>165160</v>
      </c>
      <c r="R3293" s="4">
        <v>495480</v>
      </c>
      <c r="S3293" t="s">
        <v>19605</v>
      </c>
      <c r="T3293" s="6">
        <v>41699</v>
      </c>
      <c r="U3293" s="4">
        <v>290000</v>
      </c>
      <c r="V3293" t="s">
        <v>23739</v>
      </c>
      <c r="W3293" t="s">
        <v>25372</v>
      </c>
      <c r="X3293" t="s">
        <v>3</v>
      </c>
      <c r="AA3293" s="5" t="str">
        <f>HYPERLINK("https://www.zillow.com/homes/1179-LAKEWOOD-CIR-NAPERVILLE-IL-60540_rb/","check listing")</f>
        <v>check listing</v>
      </c>
      <c r="AB3293" s="5" t="str">
        <f>HYPERLINK("https://propertylookup.dupagecounty.gov/Datalets/Datalet.aspx?UseSearch=no&amp;mode=sales&amp;pin=0727205013","sales record")</f>
        <v>sales record</v>
      </c>
      <c r="AC3293" t="s">
        <v>3</v>
      </c>
      <c r="AD3293">
        <v>41.74924</v>
      </c>
      <c r="AE3293">
        <v>-88.190161</v>
      </c>
      <c r="AF3293" s="5" t="str">
        <f>HYPERLINK("https://www.google.com/maps/search/?api=1&amp;query=41.74924,-88.190161","map")</f>
        <v>map</v>
      </c>
    </row>
    <row r="3294" spans="1:32">
      <c r="A3294" t="s">
        <v>3344</v>
      </c>
      <c r="B3294" t="s">
        <v>10877</v>
      </c>
      <c r="C3294" t="s">
        <v>15514</v>
      </c>
      <c r="D3294" t="s">
        <v>16206</v>
      </c>
      <c r="E3294" t="s">
        <v>16218</v>
      </c>
      <c r="F3294" t="s">
        <v>16220</v>
      </c>
      <c r="G3294" t="s">
        <v>16275</v>
      </c>
      <c r="H3294" t="s">
        <v>16276</v>
      </c>
      <c r="I3294" t="s">
        <v>16352</v>
      </c>
      <c r="J3294" t="s">
        <v>16386</v>
      </c>
      <c r="K3294">
        <v>0.193</v>
      </c>
      <c r="L3294">
        <v>8420</v>
      </c>
      <c r="M3294">
        <v>1791</v>
      </c>
      <c r="N3294" t="s">
        <v>16393</v>
      </c>
      <c r="O3294" s="4">
        <v>54289</v>
      </c>
      <c r="P3294" s="4">
        <v>119110</v>
      </c>
      <c r="Q3294" s="4">
        <v>173399</v>
      </c>
      <c r="R3294" s="4">
        <v>520197</v>
      </c>
      <c r="S3294" t="s">
        <v>19606</v>
      </c>
      <c r="T3294" s="6">
        <v>41426</v>
      </c>
      <c r="U3294" s="4">
        <v>315000</v>
      </c>
      <c r="V3294" t="s">
        <v>23739</v>
      </c>
      <c r="W3294" t="s">
        <v>25373</v>
      </c>
      <c r="X3294" t="s">
        <v>3</v>
      </c>
      <c r="AA3294" s="5" t="str">
        <f>HYPERLINK("https://www.zillow.com/homes/712-MARIGOLD-CT-NAPERVILLE-IL-605409219_rb/","check listing")</f>
        <v>check listing</v>
      </c>
      <c r="AB3294" s="5" t="str">
        <f>HYPERLINK("https://propertylookup.dupagecounty.gov/Datalets/Datalet.aspx?UseSearch=no&amp;mode=sales&amp;pin=0722410008","sales record")</f>
        <v>sales record</v>
      </c>
      <c r="AC3294" t="s">
        <v>3</v>
      </c>
      <c r="AD3294">
        <v>41.75998</v>
      </c>
      <c r="AE3294">
        <v>-88.19016999999999</v>
      </c>
      <c r="AF3294" s="5" t="str">
        <f>HYPERLINK("https://www.google.com/maps/search/?api=1&amp;query=41.75998,-88.19017","map")</f>
        <v>map</v>
      </c>
    </row>
    <row r="3295" spans="1:32">
      <c r="A3295" t="s">
        <v>3345</v>
      </c>
      <c r="B3295" t="s">
        <v>10878</v>
      </c>
      <c r="C3295" t="s">
        <v>15567</v>
      </c>
      <c r="D3295" t="s">
        <v>16206</v>
      </c>
      <c r="E3295" t="s">
        <v>16218</v>
      </c>
      <c r="F3295" t="s">
        <v>16220</v>
      </c>
      <c r="G3295" t="s">
        <v>16275</v>
      </c>
      <c r="H3295" t="s">
        <v>16276</v>
      </c>
      <c r="I3295" t="s">
        <v>16352</v>
      </c>
      <c r="J3295" t="s">
        <v>16386</v>
      </c>
      <c r="K3295">
        <v>0.193</v>
      </c>
      <c r="L3295">
        <v>8419</v>
      </c>
      <c r="M3295">
        <v>2144</v>
      </c>
      <c r="N3295" t="s">
        <v>16393</v>
      </c>
      <c r="O3295" s="4">
        <v>55655</v>
      </c>
      <c r="P3295" s="4">
        <v>137198</v>
      </c>
      <c r="Q3295" s="4">
        <v>192853</v>
      </c>
      <c r="R3295" s="4">
        <v>578559</v>
      </c>
      <c r="S3295" t="s">
        <v>19607</v>
      </c>
      <c r="T3295" s="6">
        <v>36312</v>
      </c>
      <c r="U3295" s="4">
        <v>211000</v>
      </c>
      <c r="X3295" t="s">
        <v>3</v>
      </c>
      <c r="AA3295" s="5" t="str">
        <f>HYPERLINK("https://www.zillow.com/homes/1904-CROSSING-CT-NAPERVILLE-IL-605400983_rb/","check listing")</f>
        <v>check listing</v>
      </c>
      <c r="AB3295" s="5" t="str">
        <f>HYPERLINK("https://propertylookup.dupagecounty.gov/Datalets/Datalet.aspx?UseSearch=no&amp;mode=sales&amp;pin=0727201010","sales record")</f>
        <v>sales record</v>
      </c>
      <c r="AC3295" t="s">
        <v>3</v>
      </c>
      <c r="AD3295">
        <v>41.748183</v>
      </c>
      <c r="AE3295">
        <v>-88.18756500000001</v>
      </c>
      <c r="AF3295" s="5" t="str">
        <f>HYPERLINK("https://www.google.com/maps/search/?api=1&amp;query=41.748183,-88.187565","map")</f>
        <v>map</v>
      </c>
    </row>
    <row r="3296" spans="1:32">
      <c r="A3296" t="s">
        <v>3346</v>
      </c>
      <c r="B3296" t="s">
        <v>10879</v>
      </c>
      <c r="C3296" t="s">
        <v>15568</v>
      </c>
      <c r="D3296" t="s">
        <v>16206</v>
      </c>
      <c r="E3296" t="s">
        <v>16218</v>
      </c>
      <c r="F3296" t="s">
        <v>16220</v>
      </c>
      <c r="G3296" t="s">
        <v>16274</v>
      </c>
      <c r="H3296" t="s">
        <v>16269</v>
      </c>
      <c r="I3296" t="s">
        <v>16352</v>
      </c>
      <c r="J3296" t="s">
        <v>16386</v>
      </c>
      <c r="K3296">
        <v>0.193</v>
      </c>
      <c r="L3296">
        <v>8416</v>
      </c>
      <c r="M3296">
        <v>2539</v>
      </c>
      <c r="N3296" t="s">
        <v>16393</v>
      </c>
      <c r="O3296" s="4">
        <v>60269</v>
      </c>
      <c r="P3296" s="4">
        <v>141727</v>
      </c>
      <c r="Q3296" s="4">
        <v>201996</v>
      </c>
      <c r="R3296" s="4">
        <v>605988</v>
      </c>
      <c r="S3296" t="s">
        <v>19608</v>
      </c>
      <c r="T3296" s="6">
        <v>42826</v>
      </c>
      <c r="U3296" s="4">
        <v>330000</v>
      </c>
      <c r="V3296" t="s">
        <v>23739</v>
      </c>
      <c r="W3296" t="s">
        <v>25374</v>
      </c>
      <c r="X3296" t="s">
        <v>3</v>
      </c>
      <c r="AA3296" s="5" t="str">
        <f>HYPERLINK("https://www.zillow.com/homes/704-MIKE-CT-NAPERVILLE-IL-605630449_rb/","check listing")</f>
        <v>check listing</v>
      </c>
      <c r="AB3296" s="5" t="str">
        <f>HYPERLINK("https://propertylookup.dupagecounty.gov/Datalets/Datalet.aspx?UseSearch=no&amp;mode=sales&amp;pin=0715206029","sales record")</f>
        <v>sales record</v>
      </c>
      <c r="AC3296" t="s">
        <v>3</v>
      </c>
      <c r="AD3296">
        <v>41.780681</v>
      </c>
      <c r="AE3296">
        <v>-88.192903</v>
      </c>
      <c r="AF3296" s="5" t="str">
        <f>HYPERLINK("https://www.google.com/maps/search/?api=1&amp;query=41.780681,-88.192903","map")</f>
        <v>map</v>
      </c>
    </row>
    <row r="3297" spans="1:32">
      <c r="A3297" t="s">
        <v>3347</v>
      </c>
      <c r="B3297" t="s">
        <v>10880</v>
      </c>
      <c r="C3297" t="s">
        <v>15475</v>
      </c>
      <c r="D3297" t="s">
        <v>16206</v>
      </c>
      <c r="E3297" t="s">
        <v>16218</v>
      </c>
      <c r="F3297" t="s">
        <v>16220</v>
      </c>
      <c r="G3297" t="s">
        <v>16275</v>
      </c>
      <c r="H3297" t="s">
        <v>16276</v>
      </c>
      <c r="I3297" t="s">
        <v>16352</v>
      </c>
      <c r="J3297" t="s">
        <v>16386</v>
      </c>
      <c r="K3297">
        <v>0.193</v>
      </c>
      <c r="L3297">
        <v>8416</v>
      </c>
      <c r="M3297">
        <v>2358</v>
      </c>
      <c r="N3297" t="s">
        <v>16393</v>
      </c>
      <c r="O3297" s="4">
        <v>55655</v>
      </c>
      <c r="P3297" s="4">
        <v>111629</v>
      </c>
      <c r="Q3297" s="4">
        <v>167284</v>
      </c>
      <c r="R3297" s="4">
        <v>501852</v>
      </c>
      <c r="S3297" t="s">
        <v>19609</v>
      </c>
      <c r="T3297" s="6">
        <v>35765</v>
      </c>
      <c r="U3297" s="4">
        <v>190000</v>
      </c>
      <c r="X3297" t="s">
        <v>3</v>
      </c>
      <c r="AA3297" s="5" t="str">
        <f>HYPERLINK("https://www.zillow.com/homes/1903-CROSSING-CT-NAPERVILLE-IL-60540_rb/","check listing")</f>
        <v>check listing</v>
      </c>
      <c r="AB3297" s="5" t="str">
        <f>HYPERLINK("https://propertylookup.dupagecounty.gov/Datalets/Datalet.aspx?UseSearch=no&amp;mode=sales&amp;pin=0727201009","sales record")</f>
        <v>sales record</v>
      </c>
      <c r="AC3297" t="s">
        <v>3</v>
      </c>
      <c r="AD3297">
        <v>41.748149</v>
      </c>
      <c r="AE3297">
        <v>-88.18727699999999</v>
      </c>
      <c r="AF3297" s="5" t="str">
        <f>HYPERLINK("https://www.google.com/maps/search/?api=1&amp;query=41.748149,-88.187277","map")</f>
        <v>map</v>
      </c>
    </row>
    <row r="3298" spans="1:32">
      <c r="A3298" t="s">
        <v>3348</v>
      </c>
      <c r="B3298" t="s">
        <v>10881</v>
      </c>
      <c r="C3298" t="s">
        <v>15475</v>
      </c>
      <c r="D3298" t="s">
        <v>16206</v>
      </c>
      <c r="E3298" t="s">
        <v>16218</v>
      </c>
      <c r="F3298" t="s">
        <v>16220</v>
      </c>
      <c r="G3298" t="s">
        <v>16275</v>
      </c>
      <c r="H3298" t="s">
        <v>16276</v>
      </c>
      <c r="I3298" t="s">
        <v>16352</v>
      </c>
      <c r="J3298" t="s">
        <v>16386</v>
      </c>
      <c r="K3298">
        <v>0.193</v>
      </c>
      <c r="L3298">
        <v>8405</v>
      </c>
      <c r="M3298">
        <v>2144</v>
      </c>
      <c r="N3298" t="s">
        <v>16393</v>
      </c>
      <c r="O3298" s="4">
        <v>43255</v>
      </c>
      <c r="P3298" s="4">
        <v>134488</v>
      </c>
      <c r="Q3298" s="4">
        <v>177743</v>
      </c>
      <c r="R3298" s="4">
        <v>533229</v>
      </c>
      <c r="S3298" t="s">
        <v>19610</v>
      </c>
      <c r="T3298" s="6">
        <v>34608</v>
      </c>
      <c r="U3298" s="4">
        <v>201055</v>
      </c>
      <c r="X3298" t="s">
        <v>3</v>
      </c>
      <c r="AA3298" s="5" t="str">
        <f>HYPERLINK("https://www.zillow.com/homes/1204-SAMUEL-CT-NAPERVILLE-IL-60540_rb/","check listing")</f>
        <v>check listing</v>
      </c>
      <c r="AB3298" s="5" t="str">
        <f>HYPERLINK("https://propertylookup.dupagecounty.gov/Datalets/Datalet.aspx?UseSearch=no&amp;mode=sales&amp;pin=0727201060","sales record")</f>
        <v>sales record</v>
      </c>
      <c r="AC3298" t="s">
        <v>3</v>
      </c>
      <c r="AD3298">
        <v>41.748578</v>
      </c>
      <c r="AE3298">
        <v>-88.194002</v>
      </c>
      <c r="AF3298" s="5" t="str">
        <f>HYPERLINK("https://www.google.com/maps/search/?api=1&amp;query=41.748578,-88.194002","map")</f>
        <v>map</v>
      </c>
    </row>
    <row r="3299" spans="1:32">
      <c r="A3299" t="s">
        <v>3349</v>
      </c>
      <c r="B3299" t="s">
        <v>10882</v>
      </c>
      <c r="C3299" t="s">
        <v>15478</v>
      </c>
      <c r="D3299" t="s">
        <v>16206</v>
      </c>
      <c r="E3299" t="s">
        <v>16218</v>
      </c>
      <c r="F3299" t="s">
        <v>16220</v>
      </c>
      <c r="G3299" t="s">
        <v>16274</v>
      </c>
      <c r="H3299" t="s">
        <v>16269</v>
      </c>
      <c r="I3299" t="s">
        <v>16352</v>
      </c>
      <c r="J3299" t="s">
        <v>16386</v>
      </c>
      <c r="K3299">
        <v>0.193</v>
      </c>
      <c r="L3299">
        <v>8401</v>
      </c>
      <c r="M3299">
        <v>2969</v>
      </c>
      <c r="N3299" t="s">
        <v>16393</v>
      </c>
      <c r="O3299" s="4">
        <v>84716</v>
      </c>
      <c r="P3299" s="4">
        <v>135291</v>
      </c>
      <c r="Q3299" s="4">
        <v>220007</v>
      </c>
      <c r="R3299" s="4">
        <v>660021</v>
      </c>
      <c r="S3299" t="s">
        <v>19611</v>
      </c>
      <c r="T3299" s="6">
        <v>35643</v>
      </c>
      <c r="U3299" s="4">
        <v>257150</v>
      </c>
      <c r="X3299" t="s">
        <v>3</v>
      </c>
      <c r="AA3299" s="5" t="str">
        <f>HYPERLINK("https://www.zillow.com/homes/1128-DICKENS-AVE-NAPERVILLE-IL-60563_rb/","check listing")</f>
        <v>check listing</v>
      </c>
      <c r="AB3299" s="5" t="str">
        <f>HYPERLINK("https://propertylookup.dupagecounty.gov/Datalets/Datalet.aspx?UseSearch=no&amp;mode=sales&amp;pin=0808314008","sales record")</f>
        <v>sales record</v>
      </c>
      <c r="AC3299" t="s">
        <v>3</v>
      </c>
      <c r="AD3299">
        <v>41.789991</v>
      </c>
      <c r="AE3299">
        <v>-88.127201</v>
      </c>
      <c r="AF3299" s="5" t="str">
        <f>HYPERLINK("https://www.google.com/maps/search/?api=1&amp;query=41.789991,-88.127201","map")</f>
        <v>map</v>
      </c>
    </row>
    <row r="3300" spans="1:32">
      <c r="A3300" t="s">
        <v>3350</v>
      </c>
      <c r="B3300" t="s">
        <v>10883</v>
      </c>
      <c r="C3300" t="s">
        <v>15501</v>
      </c>
      <c r="D3300" t="s">
        <v>16206</v>
      </c>
      <c r="E3300" t="s">
        <v>16218</v>
      </c>
      <c r="F3300" t="s">
        <v>16220</v>
      </c>
      <c r="G3300" t="s">
        <v>16274</v>
      </c>
      <c r="H3300" t="s">
        <v>16269</v>
      </c>
      <c r="I3300" t="s">
        <v>16352</v>
      </c>
      <c r="J3300" t="s">
        <v>16386</v>
      </c>
      <c r="K3300">
        <v>0.193</v>
      </c>
      <c r="L3300">
        <v>8401</v>
      </c>
      <c r="M3300">
        <v>2770</v>
      </c>
      <c r="N3300" t="s">
        <v>16393</v>
      </c>
      <c r="O3300" s="4">
        <v>84716</v>
      </c>
      <c r="P3300" s="4">
        <v>141903</v>
      </c>
      <c r="Q3300" s="4">
        <v>226619</v>
      </c>
      <c r="R3300" s="4">
        <v>679857</v>
      </c>
      <c r="S3300" t="s">
        <v>19612</v>
      </c>
      <c r="T3300" s="6">
        <v>43282</v>
      </c>
      <c r="U3300" s="4">
        <v>520000</v>
      </c>
      <c r="V3300" t="s">
        <v>23739</v>
      </c>
      <c r="W3300" t="s">
        <v>25375</v>
      </c>
      <c r="X3300" t="s">
        <v>3</v>
      </c>
      <c r="AA3300" s="5" t="str">
        <f>HYPERLINK("https://www.zillow.com/homes/1132-DICKENS-AVE-NAPERVILLE-IL-605634301_rb/","check listing")</f>
        <v>check listing</v>
      </c>
      <c r="AB3300" s="5" t="str">
        <f>HYPERLINK("https://propertylookup.dupagecounty.gov/Datalets/Datalet.aspx?UseSearch=no&amp;mode=sales&amp;pin=0808314009","sales record")</f>
        <v>sales record</v>
      </c>
      <c r="AC3300" t="s">
        <v>3</v>
      </c>
      <c r="AD3300">
        <v>41.790079</v>
      </c>
      <c r="AE3300">
        <v>-88.12697300000001</v>
      </c>
      <c r="AF3300" s="5" t="str">
        <f>HYPERLINK("https://www.google.com/maps/search/?api=1&amp;query=41.790079,-88.126973","map")</f>
        <v>map</v>
      </c>
    </row>
    <row r="3301" spans="1:32">
      <c r="A3301" t="s">
        <v>3351</v>
      </c>
      <c r="B3301" t="s">
        <v>10884</v>
      </c>
      <c r="C3301" t="s">
        <v>15478</v>
      </c>
      <c r="D3301" t="s">
        <v>16206</v>
      </c>
      <c r="E3301" t="s">
        <v>16218</v>
      </c>
      <c r="F3301" t="s">
        <v>16220</v>
      </c>
      <c r="G3301" t="s">
        <v>16274</v>
      </c>
      <c r="H3301" t="s">
        <v>16269</v>
      </c>
      <c r="I3301" t="s">
        <v>16352</v>
      </c>
      <c r="J3301" t="s">
        <v>16386</v>
      </c>
      <c r="K3301">
        <v>0.193</v>
      </c>
      <c r="L3301">
        <v>8401</v>
      </c>
      <c r="M3301">
        <v>2471</v>
      </c>
      <c r="N3301" t="s">
        <v>16393</v>
      </c>
      <c r="O3301" s="4">
        <v>84716</v>
      </c>
      <c r="P3301" s="4">
        <v>127942</v>
      </c>
      <c r="Q3301" s="4">
        <v>212658</v>
      </c>
      <c r="R3301" s="4">
        <v>637974</v>
      </c>
      <c r="S3301" t="s">
        <v>19613</v>
      </c>
      <c r="T3301" s="6">
        <v>38108</v>
      </c>
      <c r="U3301" s="4">
        <v>410000</v>
      </c>
      <c r="V3301" t="s">
        <v>23739</v>
      </c>
      <c r="W3301" t="s">
        <v>19613</v>
      </c>
      <c r="X3301" t="s">
        <v>3</v>
      </c>
      <c r="AA3301" s="5" t="str">
        <f>HYPERLINK("https://www.zillow.com/homes/1136-DICKENS-AVE-NAPERVILLE-IL-60563_rb/","check listing")</f>
        <v>check listing</v>
      </c>
      <c r="AB3301" s="5" t="str">
        <f>HYPERLINK("https://propertylookup.dupagecounty.gov/Datalets/Datalet.aspx?UseSearch=no&amp;mode=sales&amp;pin=0808314010","sales record")</f>
        <v>sales record</v>
      </c>
      <c r="AC3301" t="s">
        <v>3</v>
      </c>
      <c r="AD3301">
        <v>41.790167</v>
      </c>
      <c r="AE3301">
        <v>-88.126744</v>
      </c>
      <c r="AF3301" s="5" t="str">
        <f>HYPERLINK("https://www.google.com/maps/search/?api=1&amp;query=41.790167,-88.126744","map")</f>
        <v>map</v>
      </c>
    </row>
    <row r="3302" spans="1:32">
      <c r="A3302" t="s">
        <v>3352</v>
      </c>
      <c r="B3302" t="s">
        <v>10885</v>
      </c>
      <c r="C3302" t="s">
        <v>15478</v>
      </c>
      <c r="D3302" t="s">
        <v>16206</v>
      </c>
      <c r="E3302" t="s">
        <v>16218</v>
      </c>
      <c r="F3302" t="s">
        <v>16220</v>
      </c>
      <c r="G3302" t="s">
        <v>16274</v>
      </c>
      <c r="H3302" t="s">
        <v>16269</v>
      </c>
      <c r="I3302" t="s">
        <v>16352</v>
      </c>
      <c r="J3302" t="s">
        <v>16386</v>
      </c>
      <c r="K3302">
        <v>0.193</v>
      </c>
      <c r="L3302">
        <v>8401</v>
      </c>
      <c r="M3302">
        <v>2473</v>
      </c>
      <c r="N3302" t="s">
        <v>16393</v>
      </c>
      <c r="O3302" s="4">
        <v>84716</v>
      </c>
      <c r="P3302" s="4">
        <v>110544</v>
      </c>
      <c r="Q3302" s="4">
        <v>195260</v>
      </c>
      <c r="R3302" s="4">
        <v>585780</v>
      </c>
      <c r="S3302" t="s">
        <v>19614</v>
      </c>
      <c r="T3302" s="6">
        <v>33025</v>
      </c>
      <c r="U3302" s="4">
        <v>210000</v>
      </c>
      <c r="X3302" t="s">
        <v>3</v>
      </c>
      <c r="AA3302" s="5" t="str">
        <f>HYPERLINK("https://www.zillow.com/homes/1108-DICKENS-AVE-NAPERVILLE-IL-60563_rb/","check listing")</f>
        <v>check listing</v>
      </c>
      <c r="AB3302" s="5" t="str">
        <f>HYPERLINK("https://propertylookup.dupagecounty.gov/Datalets/Datalet.aspx?UseSearch=no&amp;mode=sales&amp;pin=0808314003","sales record")</f>
        <v>sales record</v>
      </c>
      <c r="AC3302" t="s">
        <v>3</v>
      </c>
      <c r="AD3302">
        <v>41.789553</v>
      </c>
      <c r="AE3302">
        <v>-88.128343</v>
      </c>
      <c r="AF3302" s="5" t="str">
        <f>HYPERLINK("https://www.google.com/maps/search/?api=1&amp;query=41.789553,-88.128343","map")</f>
        <v>map</v>
      </c>
    </row>
    <row r="3303" spans="1:32">
      <c r="A3303" t="s">
        <v>3353</v>
      </c>
      <c r="B3303" t="s">
        <v>10886</v>
      </c>
      <c r="C3303" t="s">
        <v>15478</v>
      </c>
      <c r="D3303" t="s">
        <v>16206</v>
      </c>
      <c r="E3303" t="s">
        <v>16218</v>
      </c>
      <c r="F3303" t="s">
        <v>16220</v>
      </c>
      <c r="G3303" t="s">
        <v>16274</v>
      </c>
      <c r="H3303" t="s">
        <v>16269</v>
      </c>
      <c r="I3303" t="s">
        <v>16352</v>
      </c>
      <c r="J3303" t="s">
        <v>16386</v>
      </c>
      <c r="K3303">
        <v>0.193</v>
      </c>
      <c r="L3303">
        <v>8399</v>
      </c>
      <c r="M3303">
        <v>1980</v>
      </c>
      <c r="N3303" t="s">
        <v>16393</v>
      </c>
      <c r="O3303" s="4">
        <v>84716</v>
      </c>
      <c r="P3303" s="4">
        <v>111484</v>
      </c>
      <c r="Q3303" s="4">
        <v>196200</v>
      </c>
      <c r="R3303" s="4">
        <v>588600</v>
      </c>
      <c r="S3303" t="s">
        <v>19615</v>
      </c>
      <c r="T3303" s="6">
        <v>41852</v>
      </c>
      <c r="U3303" s="4">
        <v>430000</v>
      </c>
      <c r="V3303" t="s">
        <v>23739</v>
      </c>
      <c r="W3303" t="s">
        <v>25376</v>
      </c>
      <c r="X3303" t="s">
        <v>3</v>
      </c>
      <c r="AA3303" s="5" t="str">
        <f>HYPERLINK("https://www.zillow.com/homes/1140-DICKENS-AVE-NAPERVILLE-IL-60563_rb/","check listing")</f>
        <v>check listing</v>
      </c>
      <c r="AB3303" s="5" t="str">
        <f>HYPERLINK("https://propertylookup.dupagecounty.gov/Datalets/Datalet.aspx?UseSearch=no&amp;mode=sales&amp;pin=0808314011","sales record")</f>
        <v>sales record</v>
      </c>
      <c r="AC3303" t="s">
        <v>3</v>
      </c>
      <c r="AD3303">
        <v>41.790255</v>
      </c>
      <c r="AE3303">
        <v>-88.126516</v>
      </c>
      <c r="AF3303" s="5" t="str">
        <f>HYPERLINK("https://www.google.com/maps/search/?api=1&amp;query=41.790255,-88.126516","map")</f>
        <v>map</v>
      </c>
    </row>
    <row r="3304" spans="1:32">
      <c r="A3304" t="s">
        <v>3354</v>
      </c>
      <c r="B3304" t="s">
        <v>10887</v>
      </c>
      <c r="C3304" t="s">
        <v>15475</v>
      </c>
      <c r="D3304" t="s">
        <v>16206</v>
      </c>
      <c r="E3304" t="s">
        <v>16218</v>
      </c>
      <c r="F3304" t="s">
        <v>16220</v>
      </c>
      <c r="G3304" t="s">
        <v>16275</v>
      </c>
      <c r="H3304" t="s">
        <v>16276</v>
      </c>
      <c r="I3304" t="s">
        <v>16352</v>
      </c>
      <c r="J3304" t="s">
        <v>16386</v>
      </c>
      <c r="K3304">
        <v>0.193</v>
      </c>
      <c r="L3304">
        <v>8399</v>
      </c>
      <c r="M3304">
        <v>2308</v>
      </c>
      <c r="N3304" t="s">
        <v>16393</v>
      </c>
      <c r="O3304" s="4">
        <v>43255</v>
      </c>
      <c r="P3304" s="4">
        <v>89648</v>
      </c>
      <c r="Q3304" s="4">
        <v>132903</v>
      </c>
      <c r="R3304" s="4">
        <v>398709</v>
      </c>
      <c r="S3304" t="s">
        <v>19616</v>
      </c>
      <c r="T3304" s="6">
        <v>36373</v>
      </c>
      <c r="U3304" s="4">
        <v>182500</v>
      </c>
      <c r="X3304" t="s">
        <v>3</v>
      </c>
      <c r="AA3304" s="5" t="str">
        <f>HYPERLINK("https://www.zillow.com/homes/2027-THREE-FARMS-AVE-NAPERVILLE-IL-60540_rb/","check listing")</f>
        <v>check listing</v>
      </c>
      <c r="AB3304" s="5" t="str">
        <f>HYPERLINK("https://propertylookup.dupagecounty.gov/Datalets/Datalet.aspx?UseSearch=no&amp;mode=sales&amp;pin=0727204025","sales record")</f>
        <v>sales record</v>
      </c>
      <c r="AC3304" t="s">
        <v>3</v>
      </c>
      <c r="AD3304">
        <v>41.749276</v>
      </c>
      <c r="AE3304">
        <v>-88.189151</v>
      </c>
      <c r="AF3304" s="5" t="str">
        <f>HYPERLINK("https://www.google.com/maps/search/?api=1&amp;query=41.749276,-88.189151","map")</f>
        <v>map</v>
      </c>
    </row>
    <row r="3305" spans="1:32">
      <c r="A3305" t="s">
        <v>3355</v>
      </c>
      <c r="B3305" t="s">
        <v>10888</v>
      </c>
      <c r="C3305" t="s">
        <v>15475</v>
      </c>
      <c r="D3305" t="s">
        <v>16206</v>
      </c>
      <c r="E3305" t="s">
        <v>16218</v>
      </c>
      <c r="F3305" t="s">
        <v>16220</v>
      </c>
      <c r="G3305" t="s">
        <v>16274</v>
      </c>
      <c r="H3305" t="s">
        <v>16269</v>
      </c>
      <c r="I3305" t="s">
        <v>16352</v>
      </c>
      <c r="J3305" t="s">
        <v>16386</v>
      </c>
      <c r="K3305">
        <v>0.193</v>
      </c>
      <c r="L3305">
        <v>8399</v>
      </c>
      <c r="M3305">
        <v>2771</v>
      </c>
      <c r="N3305" t="s">
        <v>16393</v>
      </c>
      <c r="O3305" s="4">
        <v>84716</v>
      </c>
      <c r="P3305" s="4">
        <v>67449</v>
      </c>
      <c r="Q3305" s="4">
        <v>152165</v>
      </c>
      <c r="R3305" s="4">
        <v>456495</v>
      </c>
      <c r="S3305" t="s">
        <v>19617</v>
      </c>
      <c r="T3305" s="6">
        <v>33270</v>
      </c>
      <c r="U3305" s="4">
        <v>42500</v>
      </c>
      <c r="X3305" t="s">
        <v>3</v>
      </c>
      <c r="AA3305" s="5" t="str">
        <f>HYPERLINK("https://www.zillow.com/homes/1124-DICKENS-AVE-NAPERVILLE-IL-60540_rb/","check listing")</f>
        <v>check listing</v>
      </c>
      <c r="AB3305" s="5" t="str">
        <f>HYPERLINK("https://propertylookup.dupagecounty.gov/Datalets/Datalet.aspx?UseSearch=no&amp;mode=sales&amp;pin=0808314007","sales record")</f>
        <v>sales record</v>
      </c>
      <c r="AC3305" t="s">
        <v>3</v>
      </c>
      <c r="AD3305">
        <v>41.789904</v>
      </c>
      <c r="AE3305">
        <v>-88.12742900000001</v>
      </c>
      <c r="AF3305" s="5" t="str">
        <f>HYPERLINK("https://www.google.com/maps/search/?api=1&amp;query=41.789904,-88.127429","map")</f>
        <v>map</v>
      </c>
    </row>
    <row r="3306" spans="1:32">
      <c r="A3306" t="s">
        <v>3356</v>
      </c>
      <c r="B3306" t="s">
        <v>10889</v>
      </c>
      <c r="C3306" t="s">
        <v>15478</v>
      </c>
      <c r="D3306" t="s">
        <v>16206</v>
      </c>
      <c r="E3306" t="s">
        <v>16218</v>
      </c>
      <c r="F3306" t="s">
        <v>16220</v>
      </c>
      <c r="G3306" t="s">
        <v>16274</v>
      </c>
      <c r="H3306" t="s">
        <v>16269</v>
      </c>
      <c r="I3306" t="s">
        <v>16352</v>
      </c>
      <c r="J3306" t="s">
        <v>16386</v>
      </c>
      <c r="K3306">
        <v>0.193</v>
      </c>
      <c r="L3306">
        <v>8399</v>
      </c>
      <c r="M3306">
        <v>2637</v>
      </c>
      <c r="N3306" t="s">
        <v>16393</v>
      </c>
      <c r="O3306" s="4">
        <v>84716</v>
      </c>
      <c r="P3306" s="4">
        <v>121568</v>
      </c>
      <c r="Q3306" s="4">
        <v>206284</v>
      </c>
      <c r="R3306" s="4">
        <v>618852</v>
      </c>
      <c r="S3306" t="s">
        <v>19618</v>
      </c>
      <c r="T3306" s="6">
        <v>38991</v>
      </c>
      <c r="U3306" s="4">
        <v>465000</v>
      </c>
      <c r="V3306" t="s">
        <v>23739</v>
      </c>
      <c r="W3306" t="s">
        <v>25377</v>
      </c>
      <c r="X3306" t="s">
        <v>3</v>
      </c>
      <c r="AA3306" s="5" t="str">
        <f>HYPERLINK("https://www.zillow.com/homes/1112-DICKENS-AVE-NAPERVILLE-IL-60563_rb/","check listing")</f>
        <v>check listing</v>
      </c>
      <c r="AB3306" s="5" t="str">
        <f>HYPERLINK("https://propertylookup.dupagecounty.gov/Datalets/Datalet.aspx?UseSearch=no&amp;mode=sales&amp;pin=0808314004","sales record")</f>
        <v>sales record</v>
      </c>
      <c r="AC3306" t="s">
        <v>3</v>
      </c>
      <c r="AD3306">
        <v>41.78964</v>
      </c>
      <c r="AE3306">
        <v>-88.128114</v>
      </c>
      <c r="AF3306" s="5" t="str">
        <f>HYPERLINK("https://www.google.com/maps/search/?api=1&amp;query=41.78964,-88.128114","map")</f>
        <v>map</v>
      </c>
    </row>
    <row r="3307" spans="1:32">
      <c r="A3307" t="s">
        <v>3357</v>
      </c>
      <c r="B3307" t="s">
        <v>10890</v>
      </c>
      <c r="C3307" t="s">
        <v>15475</v>
      </c>
      <c r="D3307" t="s">
        <v>16206</v>
      </c>
      <c r="E3307" t="s">
        <v>16218</v>
      </c>
      <c r="F3307" t="s">
        <v>16220</v>
      </c>
      <c r="G3307" t="s">
        <v>16275</v>
      </c>
      <c r="H3307" t="s">
        <v>16276</v>
      </c>
      <c r="I3307" t="s">
        <v>16352</v>
      </c>
      <c r="J3307" t="s">
        <v>16386</v>
      </c>
      <c r="K3307">
        <v>0.192</v>
      </c>
      <c r="L3307">
        <v>8380</v>
      </c>
      <c r="M3307">
        <v>1814</v>
      </c>
      <c r="N3307" t="s">
        <v>16393</v>
      </c>
      <c r="O3307" s="4">
        <v>47905</v>
      </c>
      <c r="P3307" s="4">
        <v>113337</v>
      </c>
      <c r="Q3307" s="4">
        <v>161242</v>
      </c>
      <c r="R3307" s="4">
        <v>483726</v>
      </c>
      <c r="S3307" t="s">
        <v>19619</v>
      </c>
      <c r="T3307" s="6">
        <v>34851</v>
      </c>
      <c r="U3307" s="4">
        <v>179083</v>
      </c>
      <c r="X3307" t="s">
        <v>3</v>
      </c>
      <c r="AA3307" s="5" t="str">
        <f>HYPERLINK("https://www.zillow.com/homes/859-VIOLET-CIR-NAPERVILLE-IL-60540_rb/","check listing")</f>
        <v>check listing</v>
      </c>
      <c r="AB3307" s="5" t="str">
        <f>HYPERLINK("https://propertylookup.dupagecounty.gov/Datalets/Datalet.aspx?UseSearch=no&amp;mode=sales&amp;pin=0722407025","sales record")</f>
        <v>sales record</v>
      </c>
      <c r="AC3307" t="s">
        <v>3</v>
      </c>
      <c r="AD3307">
        <v>41.759137</v>
      </c>
      <c r="AE3307">
        <v>-88.1931</v>
      </c>
      <c r="AF3307" s="5" t="str">
        <f>HYPERLINK("https://www.google.com/maps/search/?api=1&amp;query=41.759137,-88.1931","map")</f>
        <v>map</v>
      </c>
    </row>
    <row r="3308" spans="1:32">
      <c r="A3308" t="s">
        <v>3358</v>
      </c>
      <c r="B3308" t="s">
        <v>10891</v>
      </c>
      <c r="C3308" t="s">
        <v>15475</v>
      </c>
      <c r="D3308" t="s">
        <v>16206</v>
      </c>
      <c r="E3308" t="s">
        <v>16218</v>
      </c>
      <c r="F3308" t="s">
        <v>16220</v>
      </c>
      <c r="G3308" t="s">
        <v>16275</v>
      </c>
      <c r="H3308" t="s">
        <v>16276</v>
      </c>
      <c r="I3308" t="s">
        <v>16352</v>
      </c>
      <c r="J3308" t="s">
        <v>16386</v>
      </c>
      <c r="K3308">
        <v>0.192</v>
      </c>
      <c r="L3308">
        <v>8361</v>
      </c>
      <c r="M3308">
        <v>2473</v>
      </c>
      <c r="N3308" t="s">
        <v>16393</v>
      </c>
      <c r="O3308" s="4">
        <v>54289</v>
      </c>
      <c r="P3308" s="4">
        <v>144497</v>
      </c>
      <c r="Q3308" s="4">
        <v>198786</v>
      </c>
      <c r="R3308" s="4">
        <v>596358</v>
      </c>
      <c r="S3308" t="s">
        <v>19620</v>
      </c>
      <c r="T3308" s="6">
        <v>34669</v>
      </c>
      <c r="U3308" s="4">
        <v>224840</v>
      </c>
      <c r="X3308" t="s">
        <v>3</v>
      </c>
      <c r="AA3308" s="5" t="str">
        <f>HYPERLINK("https://www.zillow.com/homes/611-CARAWAY-CT-NAPERVILLE-IL-60540_rb/","check listing")</f>
        <v>check listing</v>
      </c>
      <c r="AB3308" s="5" t="str">
        <f>HYPERLINK("https://propertylookup.dupagecounty.gov/Datalets/Datalet.aspx?UseSearch=no&amp;mode=sales&amp;pin=0722405010","sales record")</f>
        <v>sales record</v>
      </c>
      <c r="AC3308" t="s">
        <v>3</v>
      </c>
      <c r="AD3308">
        <v>41.75977</v>
      </c>
      <c r="AE3308">
        <v>-88.193978</v>
      </c>
      <c r="AF3308" s="5" t="str">
        <f>HYPERLINK("https://www.google.com/maps/search/?api=1&amp;query=41.75977,-88.193978","map")</f>
        <v>map</v>
      </c>
    </row>
    <row r="3309" spans="1:32">
      <c r="A3309" t="s">
        <v>3359</v>
      </c>
      <c r="B3309" t="s">
        <v>10892</v>
      </c>
      <c r="C3309" t="s">
        <v>15475</v>
      </c>
      <c r="D3309" t="s">
        <v>16206</v>
      </c>
      <c r="E3309" t="s">
        <v>16218</v>
      </c>
      <c r="F3309" t="s">
        <v>16220</v>
      </c>
      <c r="G3309" t="s">
        <v>16275</v>
      </c>
      <c r="H3309" t="s">
        <v>16276</v>
      </c>
      <c r="I3309" t="s">
        <v>16352</v>
      </c>
      <c r="J3309" t="s">
        <v>16386</v>
      </c>
      <c r="K3309">
        <v>0.192</v>
      </c>
      <c r="L3309">
        <v>8359</v>
      </c>
      <c r="M3309">
        <v>2144</v>
      </c>
      <c r="N3309" t="s">
        <v>16393</v>
      </c>
      <c r="O3309" s="4">
        <v>55655</v>
      </c>
      <c r="P3309" s="4">
        <v>120612</v>
      </c>
      <c r="Q3309" s="4">
        <v>176267</v>
      </c>
      <c r="R3309" s="4">
        <v>528801</v>
      </c>
      <c r="S3309" t="s">
        <v>19621</v>
      </c>
      <c r="T3309" s="6">
        <v>38018</v>
      </c>
      <c r="U3309" s="4">
        <v>298000</v>
      </c>
      <c r="V3309" t="s">
        <v>23739</v>
      </c>
      <c r="W3309" t="s">
        <v>19621</v>
      </c>
      <c r="X3309" t="s">
        <v>3</v>
      </c>
      <c r="AA3309" s="5" t="str">
        <f>HYPERLINK("https://www.zillow.com/homes/1104-WILLARD-CT-NAPERVILLE-IL-60540_rb/","check listing")</f>
        <v>check listing</v>
      </c>
      <c r="AB3309" s="5" t="str">
        <f>HYPERLINK("https://propertylookup.dupagecounty.gov/Datalets/Datalet.aspx?UseSearch=no&amp;mode=sales&amp;pin=0727203014","sales record")</f>
        <v>sales record</v>
      </c>
      <c r="AC3309" t="s">
        <v>3</v>
      </c>
      <c r="AD3309">
        <v>41.750851</v>
      </c>
      <c r="AE3309">
        <v>-88.18678300000001</v>
      </c>
      <c r="AF3309" s="5" t="str">
        <f>HYPERLINK("https://www.google.com/maps/search/?api=1&amp;query=41.750851,-88.186783","map")</f>
        <v>map</v>
      </c>
    </row>
    <row r="3310" spans="1:32">
      <c r="A3310" t="s">
        <v>3360</v>
      </c>
      <c r="B3310" t="s">
        <v>10893</v>
      </c>
      <c r="C3310" t="s">
        <v>15569</v>
      </c>
      <c r="D3310" t="s">
        <v>16206</v>
      </c>
      <c r="E3310" t="s">
        <v>16218</v>
      </c>
      <c r="F3310" t="s">
        <v>16220</v>
      </c>
      <c r="G3310" t="s">
        <v>16275</v>
      </c>
      <c r="H3310" t="s">
        <v>16276</v>
      </c>
      <c r="I3310" t="s">
        <v>16352</v>
      </c>
      <c r="J3310" t="s">
        <v>16386</v>
      </c>
      <c r="K3310">
        <v>0.192</v>
      </c>
      <c r="L3310">
        <v>8350</v>
      </c>
      <c r="M3310">
        <v>1979</v>
      </c>
      <c r="N3310" t="s">
        <v>16393</v>
      </c>
      <c r="O3310" s="4">
        <v>52690</v>
      </c>
      <c r="P3310" s="4">
        <v>113337</v>
      </c>
      <c r="Q3310" s="4">
        <v>166027</v>
      </c>
      <c r="R3310" s="4">
        <v>498081</v>
      </c>
      <c r="S3310" t="s">
        <v>19622</v>
      </c>
      <c r="T3310" s="6">
        <v>35125</v>
      </c>
      <c r="U3310" s="4">
        <v>177000</v>
      </c>
      <c r="X3310" t="s">
        <v>3</v>
      </c>
      <c r="AA3310" s="5" t="str">
        <f>HYPERLINK("https://www.zillow.com/homes/2136-PERIWINKLE-LN-NAPERVILLE-IL-605409223_rb/","check listing")</f>
        <v>check listing</v>
      </c>
      <c r="AB3310" s="5" t="str">
        <f>HYPERLINK("https://propertylookup.dupagecounty.gov/Datalets/Datalet.aspx?UseSearch=no&amp;mode=sales&amp;pin=0722410011","sales record")</f>
        <v>sales record</v>
      </c>
      <c r="AC3310" t="s">
        <v>3</v>
      </c>
      <c r="AD3310">
        <v>41.760344</v>
      </c>
      <c r="AE3310">
        <v>-88.190229</v>
      </c>
      <c r="AF3310" s="5" t="str">
        <f>HYPERLINK("https://www.google.com/maps/search/?api=1&amp;query=41.760344,-88.190229","map")</f>
        <v>map</v>
      </c>
    </row>
    <row r="3311" spans="1:32">
      <c r="A3311" t="s">
        <v>3361</v>
      </c>
      <c r="B3311" t="s">
        <v>10894</v>
      </c>
      <c r="C3311" t="s">
        <v>15475</v>
      </c>
      <c r="D3311" t="s">
        <v>16206</v>
      </c>
      <c r="E3311" t="s">
        <v>16218</v>
      </c>
      <c r="F3311" t="s">
        <v>16220</v>
      </c>
      <c r="G3311" t="s">
        <v>16275</v>
      </c>
      <c r="H3311" t="s">
        <v>16276</v>
      </c>
      <c r="I3311" t="s">
        <v>16352</v>
      </c>
      <c r="J3311" t="s">
        <v>16386</v>
      </c>
      <c r="K3311">
        <v>0.192</v>
      </c>
      <c r="L3311">
        <v>8345</v>
      </c>
      <c r="M3311">
        <v>2176</v>
      </c>
      <c r="N3311" t="s">
        <v>16393</v>
      </c>
      <c r="O3311" s="4">
        <v>49444</v>
      </c>
      <c r="P3311" s="4">
        <v>90367</v>
      </c>
      <c r="Q3311" s="4">
        <v>139811</v>
      </c>
      <c r="R3311" s="4">
        <v>419433</v>
      </c>
      <c r="S3311" t="s">
        <v>19623</v>
      </c>
      <c r="T3311" s="6">
        <v>45476</v>
      </c>
      <c r="U3311" s="4">
        <v>450000</v>
      </c>
      <c r="V3311" t="s">
        <v>23739</v>
      </c>
      <c r="W3311" t="s">
        <v>25378</v>
      </c>
      <c r="X3311" t="s">
        <v>3</v>
      </c>
      <c r="AA3311" s="5" t="str">
        <f>HYPERLINK("https://www.zillow.com/homes/2303-THREE-FARMS-AVE-NAPERVILLE-IL-60540_rb/","check listing")</f>
        <v>check listing</v>
      </c>
      <c r="AB3311" s="5" t="str">
        <f>HYPERLINK("https://propertylookup.dupagecounty.gov/Datalets/Datalet.aspx?UseSearch=no&amp;mode=sales&amp;pin=0727206044","sales record")</f>
        <v>sales record</v>
      </c>
      <c r="AC3311" t="s">
        <v>3</v>
      </c>
      <c r="AD3311">
        <v>41.749372</v>
      </c>
      <c r="AE3311">
        <v>-88.19292900000001</v>
      </c>
      <c r="AF3311" s="5" t="str">
        <f>HYPERLINK("https://www.google.com/maps/search/?api=1&amp;query=41.749372,-88.192929","map")</f>
        <v>map</v>
      </c>
    </row>
    <row r="3312" spans="1:32">
      <c r="A3312" t="s">
        <v>3362</v>
      </c>
      <c r="B3312" t="s">
        <v>10895</v>
      </c>
      <c r="C3312" t="s">
        <v>15475</v>
      </c>
      <c r="D3312" t="s">
        <v>16206</v>
      </c>
      <c r="E3312" t="s">
        <v>16218</v>
      </c>
      <c r="F3312" t="s">
        <v>16220</v>
      </c>
      <c r="G3312" t="s">
        <v>16275</v>
      </c>
      <c r="H3312" t="s">
        <v>16276</v>
      </c>
      <c r="I3312" t="s">
        <v>16352</v>
      </c>
      <c r="J3312" t="s">
        <v>16386</v>
      </c>
      <c r="K3312">
        <v>0.191</v>
      </c>
      <c r="L3312">
        <v>8339</v>
      </c>
      <c r="M3312">
        <v>1782</v>
      </c>
      <c r="N3312" t="s">
        <v>16393</v>
      </c>
      <c r="O3312" s="4">
        <v>55655</v>
      </c>
      <c r="P3312" s="4">
        <v>128398</v>
      </c>
      <c r="Q3312" s="4">
        <v>184053</v>
      </c>
      <c r="R3312" s="4">
        <v>552159</v>
      </c>
      <c r="S3312" t="s">
        <v>19624</v>
      </c>
      <c r="T3312" s="6">
        <v>40269</v>
      </c>
      <c r="U3312" s="4">
        <v>315000</v>
      </c>
      <c r="V3312" t="s">
        <v>23739</v>
      </c>
      <c r="W3312" t="s">
        <v>25379</v>
      </c>
      <c r="X3312" t="s">
        <v>3</v>
      </c>
      <c r="AA3312" s="5" t="str">
        <f>HYPERLINK("https://www.zillow.com/homes/1219-ANDRIA-CT-NAPERVILLE-IL-60540_rb/","check listing")</f>
        <v>check listing</v>
      </c>
      <c r="AB3312" s="5" t="str">
        <f>HYPERLINK("https://propertylookup.dupagecounty.gov/Datalets/Datalet.aspx?UseSearch=no&amp;mode=sales&amp;pin=0727201027","sales record")</f>
        <v>sales record</v>
      </c>
      <c r="AC3312" t="s">
        <v>3</v>
      </c>
      <c r="AD3312">
        <v>41.748061</v>
      </c>
      <c r="AE3312">
        <v>-88.188892</v>
      </c>
      <c r="AF3312" s="5" t="str">
        <f>HYPERLINK("https://www.google.com/maps/search/?api=1&amp;query=41.748061,-88.188892","map")</f>
        <v>map</v>
      </c>
    </row>
    <row r="3313" spans="1:32">
      <c r="A3313" t="s">
        <v>3363</v>
      </c>
      <c r="B3313" t="s">
        <v>10896</v>
      </c>
      <c r="C3313" t="s">
        <v>15475</v>
      </c>
      <c r="D3313" t="s">
        <v>16206</v>
      </c>
      <c r="E3313" t="s">
        <v>16218</v>
      </c>
      <c r="F3313" t="s">
        <v>16220</v>
      </c>
      <c r="G3313" t="s">
        <v>16275</v>
      </c>
      <c r="H3313" t="s">
        <v>16276</v>
      </c>
      <c r="I3313" t="s">
        <v>16352</v>
      </c>
      <c r="J3313" t="s">
        <v>16386</v>
      </c>
      <c r="K3313">
        <v>0.191</v>
      </c>
      <c r="L3313">
        <v>8338</v>
      </c>
      <c r="M3313">
        <v>1978</v>
      </c>
      <c r="N3313" t="s">
        <v>16393</v>
      </c>
      <c r="O3313" s="4">
        <v>55655</v>
      </c>
      <c r="P3313" s="4">
        <v>124700</v>
      </c>
      <c r="Q3313" s="4">
        <v>180355</v>
      </c>
      <c r="R3313" s="4">
        <v>541065</v>
      </c>
      <c r="S3313" t="s">
        <v>19625</v>
      </c>
      <c r="T3313" s="6">
        <v>45453</v>
      </c>
      <c r="U3313" s="4">
        <v>475000</v>
      </c>
      <c r="V3313" t="s">
        <v>23739</v>
      </c>
      <c r="W3313" t="s">
        <v>25380</v>
      </c>
      <c r="X3313" t="s">
        <v>3</v>
      </c>
      <c r="AA3313" s="5" t="str">
        <f>HYPERLINK("https://www.zillow.com/homes/1223-ANDRIA-CT-NAPERVILLE-IL-60540_rb/","check listing")</f>
        <v>check listing</v>
      </c>
      <c r="AB3313" s="5" t="str">
        <f>HYPERLINK("https://propertylookup.dupagecounty.gov/Datalets/Datalet.aspx?UseSearch=no&amp;mode=sales&amp;pin=0727201026","sales record")</f>
        <v>sales record</v>
      </c>
      <c r="AC3313" t="s">
        <v>3</v>
      </c>
      <c r="AD3313">
        <v>41.748107</v>
      </c>
      <c r="AE3313">
        <v>-88.188621</v>
      </c>
      <c r="AF3313" s="5" t="str">
        <f>HYPERLINK("https://www.google.com/maps/search/?api=1&amp;query=41.748107,-88.188621","map")</f>
        <v>map</v>
      </c>
    </row>
    <row r="3314" spans="1:32">
      <c r="A3314" t="s">
        <v>3364</v>
      </c>
      <c r="B3314" t="s">
        <v>10897</v>
      </c>
      <c r="C3314" t="s">
        <v>15557</v>
      </c>
      <c r="D3314" t="s">
        <v>16206</v>
      </c>
      <c r="E3314" t="s">
        <v>16218</v>
      </c>
      <c r="F3314" t="s">
        <v>16220</v>
      </c>
      <c r="G3314" t="s">
        <v>16275</v>
      </c>
      <c r="H3314" t="s">
        <v>16276</v>
      </c>
      <c r="I3314" t="s">
        <v>16352</v>
      </c>
      <c r="J3314" t="s">
        <v>16386</v>
      </c>
      <c r="K3314">
        <v>0.191</v>
      </c>
      <c r="L3314">
        <v>8336</v>
      </c>
      <c r="M3314">
        <v>2375</v>
      </c>
      <c r="N3314" t="s">
        <v>16393</v>
      </c>
      <c r="O3314" s="4">
        <v>55655</v>
      </c>
      <c r="P3314" s="4">
        <v>133353</v>
      </c>
      <c r="Q3314" s="4">
        <v>189008</v>
      </c>
      <c r="R3314" s="4">
        <v>567024</v>
      </c>
      <c r="S3314" t="s">
        <v>19626</v>
      </c>
      <c r="T3314" s="6">
        <v>34213</v>
      </c>
      <c r="U3314" s="4">
        <v>203575</v>
      </c>
      <c r="X3314" t="s">
        <v>3</v>
      </c>
      <c r="AA3314" s="5" t="str">
        <f>HYPERLINK("https://www.zillow.com/homes/1224-ANDRIA-CT-NAPERVILLE-IL-605400982_rb/","check listing")</f>
        <v>check listing</v>
      </c>
      <c r="AB3314" s="5" t="str">
        <f>HYPERLINK("https://propertylookup.dupagecounty.gov/Datalets/Datalet.aspx?UseSearch=no&amp;mode=sales&amp;pin=0727201025","sales record")</f>
        <v>sales record</v>
      </c>
      <c r="AC3314" t="s">
        <v>3</v>
      </c>
      <c r="AD3314">
        <v>41.748053</v>
      </c>
      <c r="AE3314">
        <v>-88.18835</v>
      </c>
      <c r="AF3314" s="5" t="str">
        <f>HYPERLINK("https://www.google.com/maps/search/?api=1&amp;query=41.748053,-88.18835","map")</f>
        <v>map</v>
      </c>
    </row>
    <row r="3315" spans="1:32">
      <c r="A3315" t="s">
        <v>3365</v>
      </c>
      <c r="B3315" t="s">
        <v>10898</v>
      </c>
      <c r="C3315" t="s">
        <v>15475</v>
      </c>
      <c r="D3315" t="s">
        <v>16206</v>
      </c>
      <c r="E3315" t="s">
        <v>16218</v>
      </c>
      <c r="F3315" t="s">
        <v>16220</v>
      </c>
      <c r="G3315" t="s">
        <v>16275</v>
      </c>
      <c r="H3315" t="s">
        <v>16276</v>
      </c>
      <c r="I3315" t="s">
        <v>16352</v>
      </c>
      <c r="J3315" t="s">
        <v>16386</v>
      </c>
      <c r="K3315">
        <v>0.191</v>
      </c>
      <c r="L3315">
        <v>8328</v>
      </c>
      <c r="M3315">
        <v>2144</v>
      </c>
      <c r="N3315" t="s">
        <v>16393</v>
      </c>
      <c r="O3315" s="4">
        <v>54289</v>
      </c>
      <c r="P3315" s="4">
        <v>154933</v>
      </c>
      <c r="Q3315" s="4">
        <v>209222</v>
      </c>
      <c r="R3315" s="4">
        <v>627666</v>
      </c>
      <c r="S3315" t="s">
        <v>19627</v>
      </c>
      <c r="T3315" s="6">
        <v>35004</v>
      </c>
      <c r="U3315" s="4">
        <v>240162</v>
      </c>
      <c r="X3315" t="s">
        <v>3</v>
      </c>
      <c r="AA3315" s="5" t="str">
        <f>HYPERLINK("https://www.zillow.com/homes/611-AZALEA-CT-NAPERVILLE-IL-60540_rb/","check listing")</f>
        <v>check listing</v>
      </c>
      <c r="AB3315" s="5" t="str">
        <f>HYPERLINK("https://propertylookup.dupagecounty.gov/Datalets/Datalet.aspx?UseSearch=no&amp;mode=sales&amp;pin=0722404030","sales record")</f>
        <v>sales record</v>
      </c>
      <c r="AC3315" t="s">
        <v>3</v>
      </c>
      <c r="AD3315">
        <v>41.760871</v>
      </c>
      <c r="AE3315">
        <v>-88.192404</v>
      </c>
      <c r="AF3315" s="5" t="str">
        <f>HYPERLINK("https://www.google.com/maps/search/?api=1&amp;query=41.760871,-88.192404","map")</f>
        <v>map</v>
      </c>
    </row>
    <row r="3316" spans="1:32">
      <c r="A3316" t="s">
        <v>3366</v>
      </c>
      <c r="B3316" t="s">
        <v>10899</v>
      </c>
      <c r="C3316" t="s">
        <v>15475</v>
      </c>
      <c r="D3316" t="s">
        <v>16206</v>
      </c>
      <c r="E3316" t="s">
        <v>16218</v>
      </c>
      <c r="F3316" t="s">
        <v>16220</v>
      </c>
      <c r="G3316" t="s">
        <v>16275</v>
      </c>
      <c r="H3316" t="s">
        <v>16276</v>
      </c>
      <c r="I3316" t="s">
        <v>16352</v>
      </c>
      <c r="J3316" t="s">
        <v>16386</v>
      </c>
      <c r="K3316">
        <v>0.191</v>
      </c>
      <c r="L3316">
        <v>8325</v>
      </c>
      <c r="M3316">
        <v>1650</v>
      </c>
      <c r="N3316" t="s">
        <v>16393</v>
      </c>
      <c r="O3316" s="4">
        <v>47905</v>
      </c>
      <c r="P3316" s="4">
        <v>105538</v>
      </c>
      <c r="Q3316" s="4">
        <v>153443</v>
      </c>
      <c r="R3316" s="4">
        <v>460329</v>
      </c>
      <c r="S3316" t="s">
        <v>19628</v>
      </c>
      <c r="T3316" s="6">
        <v>35034</v>
      </c>
      <c r="U3316" s="4">
        <v>171792</v>
      </c>
      <c r="X3316" t="s">
        <v>3</v>
      </c>
      <c r="AA3316" s="5" t="str">
        <f>HYPERLINK("https://www.zillow.com/homes/779-VIOLET-CIR-NAPERVILLE-IL-60540_rb/","check listing")</f>
        <v>check listing</v>
      </c>
      <c r="AB3316" s="5" t="str">
        <f>HYPERLINK("https://propertylookup.dupagecounty.gov/Datalets/Datalet.aspx?UseSearch=no&amp;mode=sales&amp;pin=0722407047","sales record")</f>
        <v>sales record</v>
      </c>
      <c r="AC3316" t="s">
        <v>3</v>
      </c>
      <c r="AD3316">
        <v>41.758917</v>
      </c>
      <c r="AE3316">
        <v>-88.18969</v>
      </c>
      <c r="AF3316" s="5" t="str">
        <f>HYPERLINK("https://www.google.com/maps/search/?api=1&amp;query=41.758917,-88.18969","map")</f>
        <v>map</v>
      </c>
    </row>
    <row r="3317" spans="1:32">
      <c r="A3317" t="s">
        <v>3367</v>
      </c>
      <c r="B3317" t="s">
        <v>10900</v>
      </c>
      <c r="C3317" t="s">
        <v>15570</v>
      </c>
      <c r="D3317" t="s">
        <v>16206</v>
      </c>
      <c r="E3317" t="s">
        <v>16218</v>
      </c>
      <c r="F3317" t="s">
        <v>16220</v>
      </c>
      <c r="G3317" t="s">
        <v>16275</v>
      </c>
      <c r="H3317" t="s">
        <v>16276</v>
      </c>
      <c r="I3317" t="s">
        <v>16352</v>
      </c>
      <c r="J3317" t="s">
        <v>16386</v>
      </c>
      <c r="K3317">
        <v>0.191</v>
      </c>
      <c r="L3317">
        <v>8304</v>
      </c>
      <c r="M3317">
        <v>2376</v>
      </c>
      <c r="N3317" t="s">
        <v>16393</v>
      </c>
      <c r="O3317" s="4">
        <v>49444</v>
      </c>
      <c r="P3317" s="4">
        <v>114277</v>
      </c>
      <c r="Q3317" s="4">
        <v>163721</v>
      </c>
      <c r="R3317" s="4">
        <v>491163</v>
      </c>
      <c r="S3317" t="s">
        <v>19629</v>
      </c>
      <c r="T3317" s="6">
        <v>43922</v>
      </c>
      <c r="U3317" s="4">
        <v>350000</v>
      </c>
      <c r="V3317" t="s">
        <v>23739</v>
      </c>
      <c r="W3317" t="s">
        <v>25381</v>
      </c>
      <c r="X3317" t="s">
        <v>3</v>
      </c>
      <c r="AA3317" s="5" t="str">
        <f>HYPERLINK("https://www.zillow.com/homes/1220-LAKEWOOD-CIR-NAPERVILLE-IL-605400975_rb/","check listing")</f>
        <v>check listing</v>
      </c>
      <c r="AB3317" s="5" t="str">
        <f>HYPERLINK("https://propertylookup.dupagecounty.gov/Datalets/Datalet.aspx?UseSearch=no&amp;mode=sales&amp;pin=0727202005","sales record")</f>
        <v>sales record</v>
      </c>
      <c r="AC3317" t="s">
        <v>3</v>
      </c>
      <c r="AD3317">
        <v>41.748359</v>
      </c>
      <c r="AE3317">
        <v>-88.19114500000001</v>
      </c>
      <c r="AF3317" s="5" t="str">
        <f>HYPERLINK("https://www.google.com/maps/search/?api=1&amp;query=41.748359,-88.191145","map")</f>
        <v>map</v>
      </c>
    </row>
    <row r="3318" spans="1:32">
      <c r="A3318" t="s">
        <v>3368</v>
      </c>
      <c r="B3318" t="s">
        <v>10901</v>
      </c>
      <c r="C3318" t="s">
        <v>15475</v>
      </c>
      <c r="D3318" t="s">
        <v>16206</v>
      </c>
      <c r="E3318" t="s">
        <v>16218</v>
      </c>
      <c r="F3318" t="s">
        <v>16220</v>
      </c>
      <c r="G3318" t="s">
        <v>16275</v>
      </c>
      <c r="H3318" t="s">
        <v>16276</v>
      </c>
      <c r="I3318" t="s">
        <v>16352</v>
      </c>
      <c r="J3318" t="s">
        <v>16386</v>
      </c>
      <c r="K3318">
        <v>0.19</v>
      </c>
      <c r="L3318">
        <v>8296</v>
      </c>
      <c r="M3318">
        <v>1951</v>
      </c>
      <c r="N3318" t="s">
        <v>16393</v>
      </c>
      <c r="O3318" s="4">
        <v>43255</v>
      </c>
      <c r="P3318" s="4">
        <v>110286</v>
      </c>
      <c r="Q3318" s="4">
        <v>153541</v>
      </c>
      <c r="R3318" s="4">
        <v>460623</v>
      </c>
      <c r="S3318" t="s">
        <v>19630</v>
      </c>
      <c r="T3318" s="6">
        <v>34608</v>
      </c>
      <c r="U3318" s="4">
        <v>154955</v>
      </c>
      <c r="X3318" t="s">
        <v>3</v>
      </c>
      <c r="AA3318" s="5" t="str">
        <f>HYPERLINK("https://www.zillow.com/homes/1227-LAKEWOOD-CIR-NAPERVILLE-IL-60540_rb/","check listing")</f>
        <v>check listing</v>
      </c>
      <c r="AB3318" s="5" t="str">
        <f>HYPERLINK("https://propertylookup.dupagecounty.gov/Datalets/Datalet.aspx?UseSearch=no&amp;mode=sales&amp;pin=0727201045","sales record")</f>
        <v>sales record</v>
      </c>
      <c r="AC3318" t="s">
        <v>3</v>
      </c>
      <c r="AD3318">
        <v>41.747795</v>
      </c>
      <c r="AE3318">
        <v>-88.191265</v>
      </c>
      <c r="AF3318" s="5" t="str">
        <f>HYPERLINK("https://www.google.com/maps/search/?api=1&amp;query=41.747795,-88.191265","map")</f>
        <v>map</v>
      </c>
    </row>
    <row r="3319" spans="1:32">
      <c r="A3319" t="s">
        <v>3369</v>
      </c>
      <c r="B3319" t="s">
        <v>10902</v>
      </c>
      <c r="C3319" t="s">
        <v>15571</v>
      </c>
      <c r="D3319" t="s">
        <v>16206</v>
      </c>
      <c r="E3319" t="s">
        <v>16218</v>
      </c>
      <c r="F3319" t="s">
        <v>16220</v>
      </c>
      <c r="G3319" t="s">
        <v>16276</v>
      </c>
      <c r="H3319" t="s">
        <v>16276</v>
      </c>
      <c r="I3319" t="s">
        <v>16352</v>
      </c>
      <c r="J3319" t="s">
        <v>16386</v>
      </c>
      <c r="K3319">
        <v>0.19</v>
      </c>
      <c r="L3319">
        <v>8293</v>
      </c>
      <c r="M3319">
        <v>1847</v>
      </c>
      <c r="N3319" t="s">
        <v>16393</v>
      </c>
      <c r="O3319" s="4">
        <v>50993</v>
      </c>
      <c r="P3319" s="4">
        <v>83630</v>
      </c>
      <c r="Q3319" s="4">
        <v>134623</v>
      </c>
      <c r="R3319" s="4">
        <v>403869</v>
      </c>
      <c r="S3319" t="s">
        <v>19631</v>
      </c>
      <c r="T3319" s="6">
        <v>42948</v>
      </c>
      <c r="U3319" s="4">
        <v>280000</v>
      </c>
      <c r="V3319" t="s">
        <v>23739</v>
      </c>
      <c r="W3319" t="s">
        <v>25382</v>
      </c>
      <c r="X3319" t="s">
        <v>3</v>
      </c>
      <c r="AA3319" s="5" t="str">
        <f>HYPERLINK("https://www.zillow.com/homes/2055-SCHUMACHER-DR-NAPERVILLE-IL-605401930_rb/","check listing")</f>
        <v>check listing</v>
      </c>
      <c r="AB3319" s="5" t="str">
        <f>HYPERLINK("https://propertylookup.dupagecounty.gov/Datalets/Datalet.aspx?UseSearch=no&amp;mode=sales&amp;pin=0727210015","sales record")</f>
        <v>sales record</v>
      </c>
      <c r="AC3319" t="s">
        <v>3</v>
      </c>
      <c r="AD3319">
        <v>41.754027</v>
      </c>
      <c r="AE3319">
        <v>-88.187504</v>
      </c>
      <c r="AF3319" s="5" t="str">
        <f>HYPERLINK("https://www.google.com/maps/search/?api=1&amp;query=41.754027,-88.187504","map")</f>
        <v>map</v>
      </c>
    </row>
    <row r="3320" spans="1:32">
      <c r="A3320" t="s">
        <v>3370</v>
      </c>
      <c r="B3320" t="s">
        <v>10903</v>
      </c>
      <c r="C3320" t="s">
        <v>15572</v>
      </c>
      <c r="D3320" t="s">
        <v>16206</v>
      </c>
      <c r="E3320" t="s">
        <v>16218</v>
      </c>
      <c r="F3320" t="s">
        <v>16220</v>
      </c>
      <c r="G3320" t="s">
        <v>16275</v>
      </c>
      <c r="H3320" t="s">
        <v>16276</v>
      </c>
      <c r="I3320" t="s">
        <v>16352</v>
      </c>
      <c r="J3320" t="s">
        <v>16386</v>
      </c>
      <c r="K3320">
        <v>0.19</v>
      </c>
      <c r="L3320">
        <v>8283</v>
      </c>
      <c r="M3320">
        <v>3530</v>
      </c>
      <c r="N3320" t="s">
        <v>16393</v>
      </c>
      <c r="O3320" s="4">
        <v>51103</v>
      </c>
      <c r="P3320" s="4">
        <v>133012</v>
      </c>
      <c r="Q3320" s="4">
        <v>184115</v>
      </c>
      <c r="R3320" s="4">
        <v>552345</v>
      </c>
      <c r="S3320" t="s">
        <v>19632</v>
      </c>
      <c r="T3320" s="6">
        <v>43678</v>
      </c>
      <c r="U3320" s="4">
        <v>386000</v>
      </c>
      <c r="V3320" t="s">
        <v>23739</v>
      </c>
      <c r="W3320" t="s">
        <v>25383</v>
      </c>
      <c r="X3320" t="s">
        <v>3</v>
      </c>
      <c r="AA3320" s="5" t="str">
        <f>HYPERLINK("https://www.zillow.com/homes/2211-FELDOTT-LN-NAPERVILLE-IL-605409211_rb/","check listing")</f>
        <v>check listing</v>
      </c>
      <c r="AB3320" s="5" t="str">
        <f>HYPERLINK("https://propertylookup.dupagecounty.gov/Datalets/Datalet.aspx?UseSearch=no&amp;mode=sales&amp;pin=0722404028","sales record")</f>
        <v>sales record</v>
      </c>
      <c r="AC3320" t="s">
        <v>3</v>
      </c>
      <c r="AD3320">
        <v>41.760643</v>
      </c>
      <c r="AE3320">
        <v>-88.192071</v>
      </c>
      <c r="AF3320" s="5" t="str">
        <f>HYPERLINK("https://www.google.com/maps/search/?api=1&amp;query=41.760643,-88.192071","map")</f>
        <v>map</v>
      </c>
    </row>
    <row r="3321" spans="1:32">
      <c r="A3321" t="s">
        <v>3371</v>
      </c>
      <c r="B3321" t="s">
        <v>10904</v>
      </c>
      <c r="C3321" t="s">
        <v>15573</v>
      </c>
      <c r="D3321" t="s">
        <v>16206</v>
      </c>
      <c r="E3321" t="s">
        <v>16218</v>
      </c>
      <c r="F3321" t="s">
        <v>16220</v>
      </c>
      <c r="G3321" t="s">
        <v>16274</v>
      </c>
      <c r="H3321" t="s">
        <v>16269</v>
      </c>
      <c r="I3321" t="s">
        <v>16352</v>
      </c>
      <c r="J3321" t="s">
        <v>16386</v>
      </c>
      <c r="K3321">
        <v>0.19</v>
      </c>
      <c r="L3321">
        <v>8283</v>
      </c>
      <c r="M3321">
        <v>2374</v>
      </c>
      <c r="N3321" t="s">
        <v>16393</v>
      </c>
      <c r="O3321" s="4">
        <v>60269</v>
      </c>
      <c r="P3321" s="4">
        <v>93796</v>
      </c>
      <c r="Q3321" s="4">
        <v>154065</v>
      </c>
      <c r="R3321" s="4">
        <v>462195</v>
      </c>
      <c r="S3321" t="s">
        <v>19633</v>
      </c>
      <c r="T3321" s="6">
        <v>39600</v>
      </c>
      <c r="U3321" s="4">
        <v>253000</v>
      </c>
      <c r="V3321" t="s">
        <v>23739</v>
      </c>
      <c r="W3321" t="s">
        <v>25384</v>
      </c>
      <c r="X3321" t="s">
        <v>3</v>
      </c>
      <c r="AA3321" s="5" t="str">
        <f>HYPERLINK("https://www.zillow.com/homes/805-ANTHONY-CT-NAPERVILLE-IL-605630448_rb/","check listing")</f>
        <v>check listing</v>
      </c>
      <c r="AB3321" s="5" t="str">
        <f>HYPERLINK("https://propertylookup.dupagecounty.gov/Datalets/Datalet.aspx?UseSearch=no&amp;mode=sales&amp;pin=0715203012","sales record")</f>
        <v>sales record</v>
      </c>
      <c r="AC3321" t="s">
        <v>3</v>
      </c>
      <c r="AD3321">
        <v>41.782335</v>
      </c>
      <c r="AE3321">
        <v>-88.19300200000001</v>
      </c>
      <c r="AF3321" s="5" t="str">
        <f>HYPERLINK("https://www.google.com/maps/search/?api=1&amp;query=41.782335,-88.193002","map")</f>
        <v>map</v>
      </c>
    </row>
    <row r="3322" spans="1:32">
      <c r="A3322" t="s">
        <v>3372</v>
      </c>
      <c r="B3322" t="s">
        <v>10905</v>
      </c>
      <c r="C3322" t="s">
        <v>15475</v>
      </c>
      <c r="D3322" t="s">
        <v>16206</v>
      </c>
      <c r="E3322" t="s">
        <v>16218</v>
      </c>
      <c r="F3322" t="s">
        <v>16220</v>
      </c>
      <c r="G3322" t="s">
        <v>16275</v>
      </c>
      <c r="H3322" t="s">
        <v>16276</v>
      </c>
      <c r="I3322" t="s">
        <v>16352</v>
      </c>
      <c r="J3322" t="s">
        <v>16386</v>
      </c>
      <c r="K3322">
        <v>0.19</v>
      </c>
      <c r="L3322">
        <v>8274</v>
      </c>
      <c r="M3322">
        <v>1794</v>
      </c>
      <c r="N3322" t="s">
        <v>16393</v>
      </c>
      <c r="O3322" s="4">
        <v>47905</v>
      </c>
      <c r="P3322" s="4">
        <v>97373</v>
      </c>
      <c r="Q3322" s="4">
        <v>145278</v>
      </c>
      <c r="R3322" s="4">
        <v>435834</v>
      </c>
      <c r="S3322" t="s">
        <v>19634</v>
      </c>
      <c r="T3322" s="6">
        <v>34912</v>
      </c>
      <c r="U3322" s="4">
        <v>161165</v>
      </c>
      <c r="X3322" t="s">
        <v>3</v>
      </c>
      <c r="AA3322" s="5" t="str">
        <f>HYPERLINK("https://www.zillow.com/homes/755-WILDFLOWER-CIR-NAPERVILLE-IL-60540_rb/","check listing")</f>
        <v>check listing</v>
      </c>
      <c r="AB3322" s="5" t="str">
        <f>HYPERLINK("https://propertylookup.dupagecounty.gov/Datalets/Datalet.aspx?UseSearch=no&amp;mode=sales&amp;pin=0722407007","sales record")</f>
        <v>sales record</v>
      </c>
      <c r="AC3322" t="s">
        <v>3</v>
      </c>
      <c r="AD3322">
        <v>41.75732</v>
      </c>
      <c r="AE3322">
        <v>-88.194925</v>
      </c>
      <c r="AF3322" s="5" t="str">
        <f>HYPERLINK("https://www.google.com/maps/search/?api=1&amp;query=41.75732,-88.194925","map")</f>
        <v>map</v>
      </c>
    </row>
    <row r="3323" spans="1:32">
      <c r="A3323" t="s">
        <v>3373</v>
      </c>
      <c r="B3323" t="s">
        <v>10906</v>
      </c>
      <c r="C3323" t="s">
        <v>15574</v>
      </c>
      <c r="D3323" t="s">
        <v>16206</v>
      </c>
      <c r="E3323" t="s">
        <v>16218</v>
      </c>
      <c r="F3323" t="s">
        <v>16220</v>
      </c>
      <c r="G3323" t="s">
        <v>16274</v>
      </c>
      <c r="H3323" t="s">
        <v>16269</v>
      </c>
      <c r="I3323" t="s">
        <v>16352</v>
      </c>
      <c r="J3323" t="s">
        <v>16386</v>
      </c>
      <c r="K3323">
        <v>0.19</v>
      </c>
      <c r="L3323">
        <v>8264</v>
      </c>
      <c r="M3323">
        <v>2349</v>
      </c>
      <c r="N3323" t="s">
        <v>16393</v>
      </c>
      <c r="O3323" s="4">
        <v>48576</v>
      </c>
      <c r="P3323" s="4">
        <v>84240</v>
      </c>
      <c r="Q3323" s="4">
        <v>132816</v>
      </c>
      <c r="R3323" s="4">
        <v>398448</v>
      </c>
      <c r="S3323" t="s">
        <v>19635</v>
      </c>
      <c r="T3323" s="6">
        <v>43678</v>
      </c>
      <c r="U3323" s="4">
        <v>300000</v>
      </c>
      <c r="V3323" t="s">
        <v>16232</v>
      </c>
      <c r="W3323" t="s">
        <v>25385</v>
      </c>
      <c r="X3323" t="s">
        <v>3</v>
      </c>
      <c r="AA3323" s="5" t="str">
        <f>HYPERLINK("https://www.zillow.com/homes/1699-LISA-CT-NAPERVILLE-IL-605630452_rb/","check listing")</f>
        <v>check listing</v>
      </c>
      <c r="AB3323" s="5" t="str">
        <f>HYPERLINK("https://propertylookup.dupagecounty.gov/Datalets/Datalet.aspx?UseSearch=no&amp;mode=sales&amp;pin=0715206040","sales record")</f>
        <v>sales record</v>
      </c>
      <c r="AC3323" t="s">
        <v>3</v>
      </c>
      <c r="AD3323">
        <v>41.781472</v>
      </c>
      <c r="AE3323">
        <v>-88.19434099999999</v>
      </c>
      <c r="AF3323" s="5" t="str">
        <f>HYPERLINK("https://www.google.com/maps/search/?api=1&amp;query=41.781472,-88.194341","map")</f>
        <v>map</v>
      </c>
    </row>
    <row r="3324" spans="1:32">
      <c r="A3324" t="s">
        <v>3374</v>
      </c>
      <c r="B3324" t="s">
        <v>10907</v>
      </c>
      <c r="C3324" t="s">
        <v>15476</v>
      </c>
      <c r="D3324" t="s">
        <v>16206</v>
      </c>
      <c r="E3324" t="s">
        <v>16218</v>
      </c>
      <c r="F3324" t="s">
        <v>16220</v>
      </c>
      <c r="G3324" t="s">
        <v>16269</v>
      </c>
      <c r="H3324" t="s">
        <v>16269</v>
      </c>
      <c r="I3324" t="s">
        <v>16352</v>
      </c>
      <c r="J3324" t="s">
        <v>16386</v>
      </c>
      <c r="K3324">
        <v>0.19</v>
      </c>
      <c r="L3324">
        <v>8258</v>
      </c>
      <c r="M3324">
        <v>2071</v>
      </c>
      <c r="N3324" t="s">
        <v>16393</v>
      </c>
      <c r="O3324" s="4">
        <v>74156</v>
      </c>
      <c r="P3324" s="4">
        <v>110556</v>
      </c>
      <c r="Q3324" s="4">
        <v>184712</v>
      </c>
      <c r="R3324" s="4">
        <v>554136</v>
      </c>
      <c r="S3324" t="s">
        <v>19636</v>
      </c>
      <c r="T3324" s="6">
        <v>37438</v>
      </c>
      <c r="U3324" s="4">
        <v>310000</v>
      </c>
      <c r="V3324" t="s">
        <v>23740</v>
      </c>
      <c r="W3324" t="s">
        <v>25386</v>
      </c>
      <c r="X3324" t="s">
        <v>3</v>
      </c>
      <c r="AA3324" s="5" t="str">
        <f>HYPERLINK("https://www.zillow.com/homes/516-BOURBON-LN-NAPERVILLE-IL-60565_rb/","check listing")</f>
        <v>check listing</v>
      </c>
      <c r="AB3324" s="5" t="str">
        <f>HYPERLINK("https://propertylookup.dupagecounty.gov/Datalets/Datalet.aspx?UseSearch=no&amp;mode=sales&amp;pin=0832116006","sales record")</f>
        <v>sales record</v>
      </c>
      <c r="AC3324" t="s">
        <v>3</v>
      </c>
      <c r="AD3324">
        <v>41.735869</v>
      </c>
      <c r="AE3324">
        <v>-88.118861</v>
      </c>
      <c r="AF3324" s="5" t="str">
        <f>HYPERLINK("https://www.google.com/maps/search/?api=1&amp;query=41.735869,-88.118861","map")</f>
        <v>map</v>
      </c>
    </row>
    <row r="3325" spans="1:32">
      <c r="A3325" t="s">
        <v>3375</v>
      </c>
      <c r="B3325" t="s">
        <v>10908</v>
      </c>
      <c r="C3325" t="s">
        <v>15475</v>
      </c>
      <c r="D3325" t="s">
        <v>16206</v>
      </c>
      <c r="E3325" t="s">
        <v>16218</v>
      </c>
      <c r="F3325" t="s">
        <v>16220</v>
      </c>
      <c r="G3325" t="s">
        <v>16276</v>
      </c>
      <c r="H3325" t="s">
        <v>16276</v>
      </c>
      <c r="I3325" t="s">
        <v>16352</v>
      </c>
      <c r="J3325" t="s">
        <v>16386</v>
      </c>
      <c r="K3325">
        <v>0.189</v>
      </c>
      <c r="L3325">
        <v>8238</v>
      </c>
      <c r="M3325">
        <v>2458</v>
      </c>
      <c r="N3325" t="s">
        <v>16393</v>
      </c>
      <c r="O3325" s="4">
        <v>55655</v>
      </c>
      <c r="P3325" s="4">
        <v>130059</v>
      </c>
      <c r="Q3325" s="4">
        <v>185714</v>
      </c>
      <c r="R3325" s="4">
        <v>557142</v>
      </c>
      <c r="S3325" t="s">
        <v>19637</v>
      </c>
      <c r="T3325" s="6">
        <v>42522</v>
      </c>
      <c r="U3325" s="4">
        <v>345000</v>
      </c>
      <c r="V3325" t="s">
        <v>23739</v>
      </c>
      <c r="W3325" t="s">
        <v>25387</v>
      </c>
      <c r="X3325" t="s">
        <v>3</v>
      </c>
      <c r="AA3325" s="5" t="str">
        <f>HYPERLINK("https://www.zillow.com/homes/2011-CHANG-CT-NAPERVILLE-IL-60540_rb/","check listing")</f>
        <v>check listing</v>
      </c>
      <c r="AB3325" s="5" t="str">
        <f>HYPERLINK("https://propertylookup.dupagecounty.gov/Datalets/Datalet.aspx?UseSearch=no&amp;mode=sales&amp;pin=0727203034","sales record")</f>
        <v>sales record</v>
      </c>
      <c r="AC3325" t="s">
        <v>3</v>
      </c>
      <c r="AD3325">
        <v>41.75182</v>
      </c>
      <c r="AE3325">
        <v>-88.187834</v>
      </c>
      <c r="AF3325" s="5" t="str">
        <f>HYPERLINK("https://www.google.com/maps/search/?api=1&amp;query=41.75182,-88.187834","map")</f>
        <v>map</v>
      </c>
    </row>
    <row r="3326" spans="1:32">
      <c r="A3326" t="s">
        <v>3376</v>
      </c>
      <c r="B3326" t="s">
        <v>10909</v>
      </c>
      <c r="C3326" t="s">
        <v>15575</v>
      </c>
      <c r="D3326" t="s">
        <v>16206</v>
      </c>
      <c r="E3326" t="s">
        <v>16218</v>
      </c>
      <c r="F3326" t="s">
        <v>16220</v>
      </c>
      <c r="G3326" t="s">
        <v>16275</v>
      </c>
      <c r="H3326" t="s">
        <v>16276</v>
      </c>
      <c r="I3326" t="s">
        <v>16352</v>
      </c>
      <c r="J3326" t="s">
        <v>16386</v>
      </c>
      <c r="K3326">
        <v>0.189</v>
      </c>
      <c r="L3326">
        <v>8227</v>
      </c>
      <c r="M3326">
        <v>1805</v>
      </c>
      <c r="N3326" t="s">
        <v>16393</v>
      </c>
      <c r="O3326" s="4">
        <v>47905</v>
      </c>
      <c r="P3326" s="4">
        <v>123980</v>
      </c>
      <c r="Q3326" s="4">
        <v>171885</v>
      </c>
      <c r="R3326" s="4">
        <v>515655</v>
      </c>
      <c r="S3326" t="s">
        <v>19638</v>
      </c>
      <c r="T3326" s="6">
        <v>44841</v>
      </c>
      <c r="U3326" s="4">
        <v>470000</v>
      </c>
      <c r="V3326" t="s">
        <v>23739</v>
      </c>
      <c r="W3326" t="s">
        <v>25388</v>
      </c>
      <c r="X3326" t="s">
        <v>3</v>
      </c>
      <c r="AA3326" s="5" t="str">
        <f>HYPERLINK("https://www.zillow.com/homes/727-WILDFLOWER-CIR-NAPERVILLE-IL-605409241_rb/","check listing")</f>
        <v>check listing</v>
      </c>
      <c r="AB3326" s="5" t="str">
        <f>HYPERLINK("https://propertylookup.dupagecounty.gov/Datalets/Datalet.aspx?UseSearch=no&amp;mode=sales&amp;pin=0722407014","sales record")</f>
        <v>sales record</v>
      </c>
      <c r="AC3326" t="s">
        <v>3</v>
      </c>
      <c r="AD3326">
        <v>41.757693</v>
      </c>
      <c r="AE3326">
        <v>-88.193631</v>
      </c>
      <c r="AF3326" s="5" t="str">
        <f>HYPERLINK("https://www.google.com/maps/search/?api=1&amp;query=41.757693,-88.193631","map")</f>
        <v>map</v>
      </c>
    </row>
    <row r="3327" spans="1:32">
      <c r="A3327" t="s">
        <v>3377</v>
      </c>
      <c r="B3327" t="s">
        <v>10910</v>
      </c>
      <c r="C3327" t="s">
        <v>15574</v>
      </c>
      <c r="D3327" t="s">
        <v>16206</v>
      </c>
      <c r="E3327" t="s">
        <v>16218</v>
      </c>
      <c r="F3327" t="s">
        <v>16220</v>
      </c>
      <c r="G3327" t="s">
        <v>16274</v>
      </c>
      <c r="H3327" t="s">
        <v>16269</v>
      </c>
      <c r="I3327" t="s">
        <v>16352</v>
      </c>
      <c r="J3327" t="s">
        <v>16386</v>
      </c>
      <c r="K3327">
        <v>0.189</v>
      </c>
      <c r="L3327">
        <v>8227</v>
      </c>
      <c r="M3327">
        <v>1812</v>
      </c>
      <c r="N3327" t="s">
        <v>16393</v>
      </c>
      <c r="O3327" s="4">
        <v>60269</v>
      </c>
      <c r="P3327" s="4">
        <v>118537</v>
      </c>
      <c r="Q3327" s="4">
        <v>178806</v>
      </c>
      <c r="R3327" s="4">
        <v>536418</v>
      </c>
      <c r="S3327" t="s">
        <v>19639</v>
      </c>
      <c r="T3327" s="6">
        <v>44256</v>
      </c>
      <c r="U3327" s="4">
        <v>420000</v>
      </c>
      <c r="V3327" t="s">
        <v>23739</v>
      </c>
      <c r="W3327" t="s">
        <v>25389</v>
      </c>
      <c r="X3327" t="s">
        <v>3</v>
      </c>
      <c r="AA3327" s="5" t="str">
        <f>HYPERLINK("https://www.zillow.com/homes/1686-LISA-CT-NAPERVILLE-IL-605630452_rb/","check listing")</f>
        <v>check listing</v>
      </c>
      <c r="AB3327" s="5" t="str">
        <f>HYPERLINK("https://propertylookup.dupagecounty.gov/Datalets/Datalet.aspx?UseSearch=no&amp;mode=sales&amp;pin=0715206043","sales record")</f>
        <v>sales record</v>
      </c>
      <c r="AC3327" t="s">
        <v>3</v>
      </c>
      <c r="AD3327">
        <v>41.781179</v>
      </c>
      <c r="AE3327">
        <v>-88.193715</v>
      </c>
      <c r="AF3327" s="5" t="str">
        <f>HYPERLINK("https://www.google.com/maps/search/?api=1&amp;query=41.781179,-88.193715","map")</f>
        <v>map</v>
      </c>
    </row>
    <row r="3328" spans="1:32">
      <c r="A3328" t="s">
        <v>3378</v>
      </c>
      <c r="B3328" t="s">
        <v>10911</v>
      </c>
      <c r="C3328" t="s">
        <v>15478</v>
      </c>
      <c r="D3328" t="s">
        <v>16206</v>
      </c>
      <c r="E3328" t="s">
        <v>16218</v>
      </c>
      <c r="F3328" t="s">
        <v>16220</v>
      </c>
      <c r="G3328" t="s">
        <v>16274</v>
      </c>
      <c r="H3328" t="s">
        <v>16269</v>
      </c>
      <c r="I3328" t="s">
        <v>16352</v>
      </c>
      <c r="J3328" t="s">
        <v>16386</v>
      </c>
      <c r="K3328">
        <v>0.189</v>
      </c>
      <c r="L3328">
        <v>8227</v>
      </c>
      <c r="M3328">
        <v>2375</v>
      </c>
      <c r="N3328" t="s">
        <v>16393</v>
      </c>
      <c r="O3328" s="4">
        <v>48576</v>
      </c>
      <c r="P3328" s="4">
        <v>122186</v>
      </c>
      <c r="Q3328" s="4">
        <v>170762</v>
      </c>
      <c r="R3328" s="4">
        <v>512286</v>
      </c>
      <c r="S3328" t="s">
        <v>19640</v>
      </c>
      <c r="T3328" s="6">
        <v>32843</v>
      </c>
      <c r="U3328" s="4">
        <v>173125</v>
      </c>
      <c r="X3328" t="s">
        <v>3</v>
      </c>
      <c r="AA3328" s="5" t="str">
        <f>HYPERLINK("https://www.zillow.com/homes/705-MIKE-CT-NAPERVILLE-IL-60563_rb/","check listing")</f>
        <v>check listing</v>
      </c>
      <c r="AB3328" s="5" t="str">
        <f>HYPERLINK("https://propertylookup.dupagecounty.gov/Datalets/Datalet.aspx?UseSearch=no&amp;mode=sales&amp;pin=0715206032","sales record")</f>
        <v>sales record</v>
      </c>
      <c r="AC3328" t="s">
        <v>3</v>
      </c>
      <c r="AD3328">
        <v>41.781162</v>
      </c>
      <c r="AE3328">
        <v>-88.19338999999999</v>
      </c>
      <c r="AF3328" s="5" t="str">
        <f>HYPERLINK("https://www.google.com/maps/search/?api=1&amp;query=41.781162,-88.19339","map")</f>
        <v>map</v>
      </c>
    </row>
    <row r="3329" spans="1:32">
      <c r="A3329" t="s">
        <v>3379</v>
      </c>
      <c r="B3329" t="s">
        <v>10912</v>
      </c>
      <c r="C3329" t="s">
        <v>15478</v>
      </c>
      <c r="D3329" t="s">
        <v>16206</v>
      </c>
      <c r="E3329" t="s">
        <v>16218</v>
      </c>
      <c r="F3329" t="s">
        <v>16220</v>
      </c>
      <c r="G3329" t="s">
        <v>16274</v>
      </c>
      <c r="H3329" t="s">
        <v>16269</v>
      </c>
      <c r="I3329" t="s">
        <v>16352</v>
      </c>
      <c r="J3329" t="s">
        <v>16386</v>
      </c>
      <c r="K3329">
        <v>0.189</v>
      </c>
      <c r="L3329">
        <v>8222</v>
      </c>
      <c r="M3329">
        <v>2358</v>
      </c>
      <c r="N3329" t="s">
        <v>16393</v>
      </c>
      <c r="O3329" s="4">
        <v>48576</v>
      </c>
      <c r="P3329" s="4">
        <v>127910</v>
      </c>
      <c r="Q3329" s="4">
        <v>176486</v>
      </c>
      <c r="R3329" s="4">
        <v>529458</v>
      </c>
      <c r="S3329" t="s">
        <v>19641</v>
      </c>
      <c r="T3329" s="6">
        <v>36617</v>
      </c>
      <c r="U3329" s="4">
        <v>245000</v>
      </c>
      <c r="V3329" t="s">
        <v>23739</v>
      </c>
      <c r="W3329" t="s">
        <v>19641</v>
      </c>
      <c r="X3329" t="s">
        <v>3</v>
      </c>
      <c r="AA3329" s="5" t="str">
        <f>HYPERLINK("https://www.zillow.com/homes/701-SMALL-CT-NAPERVILLE-IL-60563_rb/","check listing")</f>
        <v>check listing</v>
      </c>
      <c r="AB3329" s="5" t="str">
        <f>HYPERLINK("https://propertylookup.dupagecounty.gov/Datalets/Datalet.aspx?UseSearch=no&amp;mode=sales&amp;pin=0715206001","sales record")</f>
        <v>sales record</v>
      </c>
      <c r="AC3329" t="s">
        <v>3</v>
      </c>
      <c r="AD3329">
        <v>41.781549</v>
      </c>
      <c r="AE3329">
        <v>-88.18934</v>
      </c>
      <c r="AF3329" s="5" t="str">
        <f>HYPERLINK("https://www.google.com/maps/search/?api=1&amp;query=41.781549,-88.18934","map")</f>
        <v>map</v>
      </c>
    </row>
    <row r="3330" spans="1:32">
      <c r="A3330" t="s">
        <v>3380</v>
      </c>
      <c r="B3330" t="s">
        <v>10913</v>
      </c>
      <c r="C3330" t="s">
        <v>15475</v>
      </c>
      <c r="D3330" t="s">
        <v>16206</v>
      </c>
      <c r="E3330" t="s">
        <v>16218</v>
      </c>
      <c r="F3330" t="s">
        <v>16220</v>
      </c>
      <c r="G3330" t="s">
        <v>16275</v>
      </c>
      <c r="H3330" t="s">
        <v>16276</v>
      </c>
      <c r="I3330" t="s">
        <v>16352</v>
      </c>
      <c r="J3330" t="s">
        <v>16386</v>
      </c>
      <c r="K3330">
        <v>0.189</v>
      </c>
      <c r="L3330">
        <v>8220</v>
      </c>
      <c r="M3330">
        <v>2144</v>
      </c>
      <c r="N3330" t="s">
        <v>16393</v>
      </c>
      <c r="O3330" s="4">
        <v>49444</v>
      </c>
      <c r="P3330" s="4">
        <v>119562</v>
      </c>
      <c r="Q3330" s="4">
        <v>169006</v>
      </c>
      <c r="R3330" s="4">
        <v>507018</v>
      </c>
      <c r="S3330" t="s">
        <v>19642</v>
      </c>
      <c r="T3330" s="6">
        <v>34881</v>
      </c>
      <c r="U3330" s="4">
        <v>195000</v>
      </c>
      <c r="X3330" t="s">
        <v>3</v>
      </c>
      <c r="AA3330" s="5" t="str">
        <f>HYPERLINK("https://www.zillow.com/homes/2119-JESSICA-CT-NAPERVILLE-IL-60540_rb/","check listing")</f>
        <v>check listing</v>
      </c>
      <c r="AB3330" s="5" t="str">
        <f>HYPERLINK("https://propertylookup.dupagecounty.gov/Datalets/Datalet.aspx?UseSearch=no&amp;mode=sales&amp;pin=0727201034","sales record")</f>
        <v>sales record</v>
      </c>
      <c r="AC3330" t="s">
        <v>3</v>
      </c>
      <c r="AD3330">
        <v>41.748523</v>
      </c>
      <c r="AE3330">
        <v>-88.19051399999999</v>
      </c>
      <c r="AF3330" s="5" t="str">
        <f>HYPERLINK("https://www.google.com/maps/search/?api=1&amp;query=41.748523,-88.190514","map")</f>
        <v>map</v>
      </c>
    </row>
    <row r="3331" spans="1:32">
      <c r="A3331" t="s">
        <v>3381</v>
      </c>
      <c r="B3331" t="s">
        <v>10914</v>
      </c>
      <c r="C3331" t="s">
        <v>15475</v>
      </c>
      <c r="D3331" t="s">
        <v>16206</v>
      </c>
      <c r="E3331" t="s">
        <v>16218</v>
      </c>
      <c r="F3331" t="s">
        <v>16220</v>
      </c>
      <c r="G3331" t="s">
        <v>16275</v>
      </c>
      <c r="H3331" t="s">
        <v>16276</v>
      </c>
      <c r="I3331" t="s">
        <v>16352</v>
      </c>
      <c r="J3331" t="s">
        <v>16386</v>
      </c>
      <c r="K3331">
        <v>0.189</v>
      </c>
      <c r="L3331">
        <v>8219</v>
      </c>
      <c r="M3331">
        <v>2178</v>
      </c>
      <c r="N3331" t="s">
        <v>16393</v>
      </c>
      <c r="O3331" s="4">
        <v>55655</v>
      </c>
      <c r="P3331" s="4">
        <v>109994</v>
      </c>
      <c r="Q3331" s="4">
        <v>165649</v>
      </c>
      <c r="R3331" s="4">
        <v>496947</v>
      </c>
      <c r="S3331" t="s">
        <v>19643</v>
      </c>
      <c r="T3331" s="6">
        <v>35521</v>
      </c>
      <c r="U3331" s="4">
        <v>181990</v>
      </c>
      <c r="X3331" t="s">
        <v>3</v>
      </c>
      <c r="AA3331" s="5" t="str">
        <f>HYPERLINK("https://www.zillow.com/homes/1908-CROSSING-CT-NAPERVILLE-IL-60540_rb/","check listing")</f>
        <v>check listing</v>
      </c>
      <c r="AB3331" s="5" t="str">
        <f>HYPERLINK("https://propertylookup.dupagecounty.gov/Datalets/Datalet.aspx?UseSearch=no&amp;mode=sales&amp;pin=0727201011","sales record")</f>
        <v>sales record</v>
      </c>
      <c r="AC3331" t="s">
        <v>3</v>
      </c>
      <c r="AD3331">
        <v>41.748207</v>
      </c>
      <c r="AE3331">
        <v>-88.187792</v>
      </c>
      <c r="AF3331" s="5" t="str">
        <f>HYPERLINK("https://www.google.com/maps/search/?api=1&amp;query=41.748207,-88.187792","map")</f>
        <v>map</v>
      </c>
    </row>
    <row r="3332" spans="1:32">
      <c r="A3332" t="s">
        <v>3382</v>
      </c>
      <c r="B3332" t="s">
        <v>10915</v>
      </c>
      <c r="C3332" t="s">
        <v>15475</v>
      </c>
      <c r="D3332" t="s">
        <v>16206</v>
      </c>
      <c r="E3332" t="s">
        <v>16218</v>
      </c>
      <c r="F3332" t="s">
        <v>16220</v>
      </c>
      <c r="G3332" t="s">
        <v>16275</v>
      </c>
      <c r="H3332" t="s">
        <v>16276</v>
      </c>
      <c r="I3332" t="s">
        <v>16352</v>
      </c>
      <c r="J3332" t="s">
        <v>16386</v>
      </c>
      <c r="K3332">
        <v>0.188</v>
      </c>
      <c r="L3332">
        <v>8200</v>
      </c>
      <c r="M3332">
        <v>1978</v>
      </c>
      <c r="N3332" t="s">
        <v>16393</v>
      </c>
      <c r="O3332" s="4">
        <v>46367</v>
      </c>
      <c r="P3332" s="4">
        <v>104964</v>
      </c>
      <c r="Q3332" s="4">
        <v>151331</v>
      </c>
      <c r="R3332" s="4">
        <v>453993</v>
      </c>
      <c r="S3332" t="s">
        <v>19644</v>
      </c>
      <c r="T3332" s="6">
        <v>37987</v>
      </c>
      <c r="U3332" s="4">
        <v>245000</v>
      </c>
      <c r="V3332" t="s">
        <v>23739</v>
      </c>
      <c r="W3332" t="s">
        <v>25390</v>
      </c>
      <c r="X3332" t="s">
        <v>3</v>
      </c>
      <c r="AA3332" s="5" t="str">
        <f>HYPERLINK("https://www.zillow.com/homes/1176-LAKEWOOD-CIR-NAPERVILLE-IL-60540_rb/","check listing")</f>
        <v>check listing</v>
      </c>
      <c r="AB3332" s="5" t="str">
        <f>HYPERLINK("https://propertylookup.dupagecounty.gov/Datalets/Datalet.aspx?UseSearch=no&amp;mode=sales&amp;pin=0727206025","sales record")</f>
        <v>sales record</v>
      </c>
      <c r="AC3332" t="s">
        <v>3</v>
      </c>
      <c r="AD3332">
        <v>41.749405</v>
      </c>
      <c r="AE3332">
        <v>-88.190814</v>
      </c>
      <c r="AF3332" s="5" t="str">
        <f>HYPERLINK("https://www.google.com/maps/search/?api=1&amp;query=41.749405,-88.190814","map")</f>
        <v>map</v>
      </c>
    </row>
    <row r="3333" spans="1:32">
      <c r="A3333" t="s">
        <v>3383</v>
      </c>
      <c r="B3333" t="s">
        <v>10916</v>
      </c>
      <c r="C3333" t="s">
        <v>15576</v>
      </c>
      <c r="D3333" t="s">
        <v>16206</v>
      </c>
      <c r="E3333" t="s">
        <v>16218</v>
      </c>
      <c r="F3333" t="s">
        <v>16220</v>
      </c>
      <c r="G3333" t="s">
        <v>16275</v>
      </c>
      <c r="H3333" t="s">
        <v>16276</v>
      </c>
      <c r="I3333" t="s">
        <v>16352</v>
      </c>
      <c r="J3333" t="s">
        <v>16386</v>
      </c>
      <c r="K3333">
        <v>0.188</v>
      </c>
      <c r="L3333">
        <v>8177</v>
      </c>
      <c r="M3333">
        <v>1649</v>
      </c>
      <c r="N3333" t="s">
        <v>16393</v>
      </c>
      <c r="O3333" s="4">
        <v>51103</v>
      </c>
      <c r="P3333" s="4">
        <v>111141</v>
      </c>
      <c r="Q3333" s="4">
        <v>162244</v>
      </c>
      <c r="R3333" s="4">
        <v>486732</v>
      </c>
      <c r="S3333" t="s">
        <v>19645</v>
      </c>
      <c r="T3333" s="6">
        <v>44440</v>
      </c>
      <c r="U3333" s="4">
        <v>408000</v>
      </c>
      <c r="V3333" t="s">
        <v>23739</v>
      </c>
      <c r="W3333" t="s">
        <v>19645</v>
      </c>
      <c r="X3333" t="s">
        <v>3</v>
      </c>
      <c r="AA3333" s="5" t="str">
        <f>HYPERLINK("https://www.zillow.com/homes/2103-PERIWINKLE-LN-NAPERVILLE-IL-605409221_rb/","check listing")</f>
        <v>check listing</v>
      </c>
      <c r="AB3333" s="5" t="str">
        <f>HYPERLINK("https://propertylookup.dupagecounty.gov/Datalets/Datalet.aspx?UseSearch=no&amp;mode=sales&amp;pin=0722409020","sales record")</f>
        <v>sales record</v>
      </c>
      <c r="AC3333" t="s">
        <v>3</v>
      </c>
      <c r="AD3333">
        <v>41.761257</v>
      </c>
      <c r="AE3333">
        <v>-88.18969199999999</v>
      </c>
      <c r="AF3333" s="5" t="str">
        <f>HYPERLINK("https://www.google.com/maps/search/?api=1&amp;query=41.761257,-88.189692","map")</f>
        <v>map</v>
      </c>
    </row>
    <row r="3334" spans="1:32">
      <c r="A3334" t="s">
        <v>3384</v>
      </c>
      <c r="B3334" t="s">
        <v>10917</v>
      </c>
      <c r="C3334" t="s">
        <v>15475</v>
      </c>
      <c r="D3334" t="s">
        <v>16206</v>
      </c>
      <c r="E3334" t="s">
        <v>16218</v>
      </c>
      <c r="F3334" t="s">
        <v>16220</v>
      </c>
      <c r="G3334" t="s">
        <v>16275</v>
      </c>
      <c r="H3334" t="s">
        <v>16276</v>
      </c>
      <c r="I3334" t="s">
        <v>16352</v>
      </c>
      <c r="J3334" t="s">
        <v>16386</v>
      </c>
      <c r="K3334">
        <v>0.188</v>
      </c>
      <c r="L3334">
        <v>8168</v>
      </c>
      <c r="M3334">
        <v>2472</v>
      </c>
      <c r="N3334" t="s">
        <v>16393</v>
      </c>
      <c r="O3334" s="4">
        <v>51096</v>
      </c>
      <c r="P3334" s="4">
        <v>147536</v>
      </c>
      <c r="Q3334" s="4">
        <v>198632</v>
      </c>
      <c r="R3334" s="4">
        <v>595896</v>
      </c>
      <c r="S3334" t="s">
        <v>19646</v>
      </c>
      <c r="T3334" s="6">
        <v>35490</v>
      </c>
      <c r="U3334" s="4">
        <v>212000</v>
      </c>
      <c r="X3334" t="s">
        <v>3</v>
      </c>
      <c r="AA3334" s="5" t="str">
        <f>HYPERLINK("https://www.zillow.com/homes/2315-FELDOTT-LN-NAPERVILLE-IL-60540_rb/","check listing")</f>
        <v>check listing</v>
      </c>
      <c r="AB3334" s="5" t="str">
        <f>HYPERLINK("https://propertylookup.dupagecounty.gov/Datalets/Datalet.aspx?UseSearch=no&amp;mode=sales&amp;pin=0722405016","sales record")</f>
        <v>sales record</v>
      </c>
      <c r="AC3334" t="s">
        <v>3</v>
      </c>
      <c r="AD3334">
        <v>41.759893</v>
      </c>
      <c r="AE3334">
        <v>-88.192876</v>
      </c>
      <c r="AF3334" s="5" t="str">
        <f>HYPERLINK("https://www.google.com/maps/search/?api=1&amp;query=41.759893,-88.192876","map")</f>
        <v>map</v>
      </c>
    </row>
    <row r="3335" spans="1:32">
      <c r="A3335" t="s">
        <v>3385</v>
      </c>
      <c r="B3335" t="s">
        <v>10918</v>
      </c>
      <c r="C3335" t="s">
        <v>15475</v>
      </c>
      <c r="D3335" t="s">
        <v>16206</v>
      </c>
      <c r="E3335" t="s">
        <v>16218</v>
      </c>
      <c r="F3335" t="s">
        <v>16220</v>
      </c>
      <c r="G3335" t="s">
        <v>16275</v>
      </c>
      <c r="H3335" t="s">
        <v>16276</v>
      </c>
      <c r="I3335" t="s">
        <v>16352</v>
      </c>
      <c r="J3335" t="s">
        <v>16386</v>
      </c>
      <c r="K3335">
        <v>0.187</v>
      </c>
      <c r="L3335">
        <v>8166</v>
      </c>
      <c r="M3335">
        <v>1813</v>
      </c>
      <c r="N3335" t="s">
        <v>16393</v>
      </c>
      <c r="O3335" s="4">
        <v>46367</v>
      </c>
      <c r="P3335" s="4">
        <v>115900</v>
      </c>
      <c r="Q3335" s="4">
        <v>162267</v>
      </c>
      <c r="R3335" s="4">
        <v>486801</v>
      </c>
      <c r="S3335" t="s">
        <v>19647</v>
      </c>
      <c r="T3335" s="6">
        <v>38047</v>
      </c>
      <c r="U3335" s="4">
        <v>309500</v>
      </c>
      <c r="V3335" t="s">
        <v>23739</v>
      </c>
      <c r="W3335" t="s">
        <v>25391</v>
      </c>
      <c r="X3335" t="s">
        <v>3</v>
      </c>
      <c r="AA3335" s="5" t="str">
        <f>HYPERLINK("https://www.zillow.com/homes/1911-CROSSING-CT-NAPERVILLE-IL-60540_rb/","check listing")</f>
        <v>check listing</v>
      </c>
      <c r="AB3335" s="5" t="str">
        <f>HYPERLINK("https://propertylookup.dupagecounty.gov/Datalets/Datalet.aspx?UseSearch=no&amp;mode=sales&amp;pin=0727201007","sales record")</f>
        <v>sales record</v>
      </c>
      <c r="AC3335" t="s">
        <v>3</v>
      </c>
      <c r="AD3335">
        <v>41.748394</v>
      </c>
      <c r="AE3335">
        <v>-88.186932</v>
      </c>
      <c r="AF3335" s="5" t="str">
        <f>HYPERLINK("https://www.google.com/maps/search/?api=1&amp;query=41.748394,-88.186932","map")</f>
        <v>map</v>
      </c>
    </row>
    <row r="3336" spans="1:32">
      <c r="A3336" t="s">
        <v>3386</v>
      </c>
      <c r="B3336" t="s">
        <v>10919</v>
      </c>
      <c r="C3336" t="s">
        <v>15514</v>
      </c>
      <c r="D3336" t="s">
        <v>16206</v>
      </c>
      <c r="E3336" t="s">
        <v>16218</v>
      </c>
      <c r="F3336" t="s">
        <v>16220</v>
      </c>
      <c r="G3336" t="s">
        <v>16275</v>
      </c>
      <c r="H3336" t="s">
        <v>16276</v>
      </c>
      <c r="I3336" t="s">
        <v>16352</v>
      </c>
      <c r="J3336" t="s">
        <v>16386</v>
      </c>
      <c r="K3336">
        <v>0.187</v>
      </c>
      <c r="L3336">
        <v>8162</v>
      </c>
      <c r="M3336">
        <v>2176</v>
      </c>
      <c r="N3336" t="s">
        <v>16393</v>
      </c>
      <c r="O3336" s="4">
        <v>51103</v>
      </c>
      <c r="P3336" s="4">
        <v>110835</v>
      </c>
      <c r="Q3336" s="4">
        <v>161938</v>
      </c>
      <c r="R3336" s="4">
        <v>485814</v>
      </c>
      <c r="S3336" t="s">
        <v>19648</v>
      </c>
      <c r="T3336" s="6">
        <v>44256</v>
      </c>
      <c r="U3336" s="4">
        <v>380000</v>
      </c>
      <c r="V3336" t="s">
        <v>23739</v>
      </c>
      <c r="W3336" t="s">
        <v>25392</v>
      </c>
      <c r="X3336" t="s">
        <v>3</v>
      </c>
      <c r="AA3336" s="5" t="str">
        <f>HYPERLINK("https://www.zillow.com/homes/703-MARIGOLD-CT-NAPERVILLE-IL-605409219_rb/","check listing")</f>
        <v>check listing</v>
      </c>
      <c r="AB3336" s="5" t="str">
        <f>HYPERLINK("https://propertylookup.dupagecounty.gov/Datalets/Datalet.aspx?UseSearch=no&amp;mode=sales&amp;pin=0722410004","sales record")</f>
        <v>sales record</v>
      </c>
      <c r="AC3336" t="s">
        <v>3</v>
      </c>
      <c r="AD3336">
        <v>41.75962</v>
      </c>
      <c r="AE3336">
        <v>-88.190978</v>
      </c>
      <c r="AF3336" s="5" t="str">
        <f>HYPERLINK("https://www.google.com/maps/search/?api=1&amp;query=41.75962,-88.190978","map")</f>
        <v>map</v>
      </c>
    </row>
    <row r="3337" spans="1:32">
      <c r="A3337" t="s">
        <v>3387</v>
      </c>
      <c r="B3337" t="s">
        <v>10920</v>
      </c>
      <c r="C3337" t="s">
        <v>15525</v>
      </c>
      <c r="D3337" t="s">
        <v>16206</v>
      </c>
      <c r="E3337" t="s">
        <v>16218</v>
      </c>
      <c r="F3337" t="s">
        <v>16220</v>
      </c>
      <c r="G3337" t="s">
        <v>16275</v>
      </c>
      <c r="H3337" t="s">
        <v>16276</v>
      </c>
      <c r="I3337" t="s">
        <v>16352</v>
      </c>
      <c r="J3337" t="s">
        <v>16386</v>
      </c>
      <c r="K3337">
        <v>0.187</v>
      </c>
      <c r="L3337">
        <v>8160</v>
      </c>
      <c r="M3337">
        <v>2144</v>
      </c>
      <c r="N3337" t="s">
        <v>16393</v>
      </c>
      <c r="O3337" s="4">
        <v>49444</v>
      </c>
      <c r="P3337" s="4">
        <v>136417</v>
      </c>
      <c r="Q3337" s="4">
        <v>185861</v>
      </c>
      <c r="R3337" s="4">
        <v>557583</v>
      </c>
      <c r="S3337" t="s">
        <v>19649</v>
      </c>
      <c r="T3337" s="6">
        <v>44789</v>
      </c>
      <c r="U3337" s="4">
        <v>510000</v>
      </c>
      <c r="V3337" t="s">
        <v>23739</v>
      </c>
      <c r="W3337" t="s">
        <v>25393</v>
      </c>
      <c r="X3337" t="s">
        <v>3</v>
      </c>
      <c r="AA3337" s="5" t="str">
        <f>HYPERLINK("https://www.zillow.com/homes/1267-LAKEWOOD-CIR-NAPERVILLE-IL-605400997_rb/","check listing")</f>
        <v>check listing</v>
      </c>
      <c r="AB3337" s="5" t="str">
        <f>HYPERLINK("https://propertylookup.dupagecounty.gov/Datalets/Datalet.aspx?UseSearch=no&amp;mode=sales&amp;pin=0727201055","sales record")</f>
        <v>sales record</v>
      </c>
      <c r="AC3337" t="s">
        <v>3</v>
      </c>
      <c r="AD3337">
        <v>41.74808</v>
      </c>
      <c r="AE3337">
        <v>-88.19336699999999</v>
      </c>
      <c r="AF3337" s="5" t="str">
        <f>HYPERLINK("https://www.google.com/maps/search/?api=1&amp;query=41.74808,-88.193367","map")</f>
        <v>map</v>
      </c>
    </row>
    <row r="3338" spans="1:32">
      <c r="A3338" t="s">
        <v>3388</v>
      </c>
      <c r="B3338" t="s">
        <v>10921</v>
      </c>
      <c r="C3338" t="s">
        <v>15475</v>
      </c>
      <c r="D3338" t="s">
        <v>16206</v>
      </c>
      <c r="E3338" t="s">
        <v>16218</v>
      </c>
      <c r="F3338" t="s">
        <v>16220</v>
      </c>
      <c r="G3338" t="s">
        <v>16276</v>
      </c>
      <c r="H3338" t="s">
        <v>16276</v>
      </c>
      <c r="I3338" t="s">
        <v>16352</v>
      </c>
      <c r="J3338" t="s">
        <v>16386</v>
      </c>
      <c r="K3338">
        <v>0.187</v>
      </c>
      <c r="L3338">
        <v>8157</v>
      </c>
      <c r="M3338">
        <v>2358</v>
      </c>
      <c r="N3338" t="s">
        <v>16393</v>
      </c>
      <c r="O3338" s="4">
        <v>58706</v>
      </c>
      <c r="P3338" s="4">
        <v>109761</v>
      </c>
      <c r="Q3338" s="4">
        <v>168467</v>
      </c>
      <c r="R3338" s="4">
        <v>505401</v>
      </c>
      <c r="S3338" t="s">
        <v>19650</v>
      </c>
      <c r="T3338" s="6">
        <v>38991</v>
      </c>
      <c r="U3338" s="4">
        <v>332000</v>
      </c>
      <c r="V3338" t="s">
        <v>23739</v>
      </c>
      <c r="W3338" t="s">
        <v>25394</v>
      </c>
      <c r="X3338" t="s">
        <v>3</v>
      </c>
      <c r="AA3338" s="5" t="str">
        <f>HYPERLINK("https://www.zillow.com/homes/2004-CHANG-CT-NAPERVILLE-IL-60540_rb/","check listing")</f>
        <v>check listing</v>
      </c>
      <c r="AB3338" s="5" t="str">
        <f>HYPERLINK("https://propertylookup.dupagecounty.gov/Datalets/Datalet.aspx?UseSearch=no&amp;mode=sales&amp;pin=0727203031","sales record")</f>
        <v>sales record</v>
      </c>
      <c r="AC3338" t="s">
        <v>3</v>
      </c>
      <c r="AD3338">
        <v>41.751277</v>
      </c>
      <c r="AE3338">
        <v>-88.18755400000001</v>
      </c>
      <c r="AF3338" s="5" t="str">
        <f>HYPERLINK("https://www.google.com/maps/search/?api=1&amp;query=41.751277,-88.187554","map")</f>
        <v>map</v>
      </c>
    </row>
    <row r="3339" spans="1:32">
      <c r="A3339" t="s">
        <v>3389</v>
      </c>
      <c r="B3339" t="s">
        <v>10922</v>
      </c>
      <c r="C3339" t="s">
        <v>15540</v>
      </c>
      <c r="D3339" t="s">
        <v>16206</v>
      </c>
      <c r="E3339" t="s">
        <v>16218</v>
      </c>
      <c r="F3339" t="s">
        <v>16220</v>
      </c>
      <c r="G3339" t="s">
        <v>16275</v>
      </c>
      <c r="H3339" t="s">
        <v>16276</v>
      </c>
      <c r="I3339" t="s">
        <v>16352</v>
      </c>
      <c r="J3339" t="s">
        <v>16386</v>
      </c>
      <c r="K3339">
        <v>0.187</v>
      </c>
      <c r="L3339">
        <v>8151</v>
      </c>
      <c r="M3339">
        <v>2143</v>
      </c>
      <c r="N3339" t="s">
        <v>16393</v>
      </c>
      <c r="O3339" s="4">
        <v>52616</v>
      </c>
      <c r="P3339" s="4">
        <v>118915</v>
      </c>
      <c r="Q3339" s="4">
        <v>171531</v>
      </c>
      <c r="R3339" s="4">
        <v>514593</v>
      </c>
      <c r="S3339" t="s">
        <v>19651</v>
      </c>
      <c r="T3339" s="6">
        <v>36951</v>
      </c>
      <c r="U3339" s="4">
        <v>248689</v>
      </c>
      <c r="V3339" t="s">
        <v>23739</v>
      </c>
      <c r="W3339" t="s">
        <v>25395</v>
      </c>
      <c r="X3339" t="s">
        <v>3</v>
      </c>
      <c r="AA3339" s="5" t="str">
        <f>HYPERLINK("https://www.zillow.com/homes/727-WOODEWIND-DR-NAPERVILLE-IL-605634046_rb/","check listing")</f>
        <v>check listing</v>
      </c>
      <c r="AB3339" s="5" t="str">
        <f>HYPERLINK("https://propertylookup.dupagecounty.gov/Datalets/Datalet.aspx?UseSearch=no&amp;mode=sales&amp;pin=0716106009","sales record")</f>
        <v>sales record</v>
      </c>
      <c r="AC3339" t="s">
        <v>3</v>
      </c>
      <c r="AD3339">
        <v>41.783397</v>
      </c>
      <c r="AE3339">
        <v>-88.22121</v>
      </c>
      <c r="AF3339" s="5" t="str">
        <f>HYPERLINK("https://www.google.com/maps/search/?api=1&amp;query=41.783397,-88.22121","map")</f>
        <v>map</v>
      </c>
    </row>
    <row r="3340" spans="1:32">
      <c r="A3340" t="s">
        <v>3390</v>
      </c>
      <c r="B3340" t="s">
        <v>10923</v>
      </c>
      <c r="C3340" t="s">
        <v>15568</v>
      </c>
      <c r="D3340" t="s">
        <v>16206</v>
      </c>
      <c r="E3340" t="s">
        <v>16218</v>
      </c>
      <c r="F3340" t="s">
        <v>16220</v>
      </c>
      <c r="G3340" t="s">
        <v>16274</v>
      </c>
      <c r="H3340" t="s">
        <v>16269</v>
      </c>
      <c r="I3340" t="s">
        <v>16352</v>
      </c>
      <c r="J3340" t="s">
        <v>16386</v>
      </c>
      <c r="K3340">
        <v>0.187</v>
      </c>
      <c r="L3340">
        <v>8131</v>
      </c>
      <c r="M3340">
        <v>1814</v>
      </c>
      <c r="N3340" t="s">
        <v>16393</v>
      </c>
      <c r="O3340" s="4">
        <v>55448</v>
      </c>
      <c r="P3340" s="4">
        <v>92149</v>
      </c>
      <c r="Q3340" s="4">
        <v>147597</v>
      </c>
      <c r="R3340" s="4">
        <v>442791</v>
      </c>
      <c r="S3340" t="s">
        <v>19652</v>
      </c>
      <c r="T3340" s="6">
        <v>36557</v>
      </c>
      <c r="U3340" s="4">
        <v>187500</v>
      </c>
      <c r="V3340" t="s">
        <v>23739</v>
      </c>
      <c r="W3340" t="s">
        <v>25396</v>
      </c>
      <c r="X3340" t="s">
        <v>3</v>
      </c>
      <c r="AA3340" s="5" t="str">
        <f>HYPERLINK("https://www.zillow.com/homes/709-MIKE-CT-NAPERVILLE-IL-605630449_rb/","check listing")</f>
        <v>check listing</v>
      </c>
      <c r="AB3340" s="5" t="str">
        <f>HYPERLINK("https://propertylookup.dupagecounty.gov/Datalets/Datalet.aspx?UseSearch=no&amp;mode=sales&amp;pin=0715206033","sales record")</f>
        <v>sales record</v>
      </c>
      <c r="AC3340" t="s">
        <v>3</v>
      </c>
      <c r="AD3340">
        <v>41.781232</v>
      </c>
      <c r="AE3340">
        <v>-88.193185</v>
      </c>
      <c r="AF3340" s="5" t="str">
        <f>HYPERLINK("https://www.google.com/maps/search/?api=1&amp;query=41.781232,-88.193185","map")</f>
        <v>map</v>
      </c>
    </row>
    <row r="3341" spans="1:32">
      <c r="A3341" t="s">
        <v>3391</v>
      </c>
      <c r="B3341" t="s">
        <v>10924</v>
      </c>
      <c r="C3341" t="s">
        <v>15577</v>
      </c>
      <c r="D3341" t="s">
        <v>16206</v>
      </c>
      <c r="E3341" t="s">
        <v>16218</v>
      </c>
      <c r="F3341" t="s">
        <v>16220</v>
      </c>
      <c r="G3341" t="s">
        <v>16269</v>
      </c>
      <c r="H3341" t="s">
        <v>16269</v>
      </c>
      <c r="I3341" t="s">
        <v>16352</v>
      </c>
      <c r="J3341" t="s">
        <v>16386</v>
      </c>
      <c r="K3341">
        <v>0.186</v>
      </c>
      <c r="L3341">
        <v>8122</v>
      </c>
      <c r="M3341">
        <v>1319</v>
      </c>
      <c r="N3341" t="s">
        <v>16393</v>
      </c>
      <c r="O3341" s="4">
        <v>76630</v>
      </c>
      <c r="P3341" s="4">
        <v>104028</v>
      </c>
      <c r="Q3341" s="4">
        <v>180658</v>
      </c>
      <c r="R3341" s="4">
        <v>541974</v>
      </c>
      <c r="S3341" t="s">
        <v>19653</v>
      </c>
      <c r="T3341" s="6">
        <v>45042</v>
      </c>
      <c r="U3341" s="4">
        <v>450000</v>
      </c>
      <c r="V3341" t="s">
        <v>23741</v>
      </c>
      <c r="W3341" t="s">
        <v>25397</v>
      </c>
      <c r="X3341" t="s">
        <v>3</v>
      </c>
      <c r="AA3341" s="5" t="str">
        <f>HYPERLINK("https://www.zillow.com/homes/459-BOURBON-LN-NAPERVILLE-IL-605654401_rb/","check listing")</f>
        <v>check listing</v>
      </c>
      <c r="AB3341" s="5" t="str">
        <f>HYPERLINK("https://propertylookup.dupagecounty.gov/Datalets/Datalet.aspx?UseSearch=no&amp;mode=sales&amp;pin=0832115036","sales record")</f>
        <v>sales record</v>
      </c>
      <c r="AC3341" t="s">
        <v>3</v>
      </c>
      <c r="AD3341">
        <v>41.734832</v>
      </c>
      <c r="AE3341">
        <v>-88.120341</v>
      </c>
      <c r="AF3341" s="5" t="str">
        <f>HYPERLINK("https://www.google.com/maps/search/?api=1&amp;query=41.734832,-88.120341","map")</f>
        <v>map</v>
      </c>
    </row>
    <row r="3342" spans="1:32">
      <c r="A3342" t="s">
        <v>3392</v>
      </c>
      <c r="B3342" t="s">
        <v>10925</v>
      </c>
      <c r="C3342" t="s">
        <v>15544</v>
      </c>
      <c r="D3342" t="s">
        <v>16206</v>
      </c>
      <c r="E3342" t="s">
        <v>16218</v>
      </c>
      <c r="F3342" t="s">
        <v>16220</v>
      </c>
      <c r="G3342" t="s">
        <v>16275</v>
      </c>
      <c r="H3342" t="s">
        <v>16276</v>
      </c>
      <c r="I3342" t="s">
        <v>16352</v>
      </c>
      <c r="J3342" t="s">
        <v>16386</v>
      </c>
      <c r="K3342">
        <v>0.186</v>
      </c>
      <c r="L3342">
        <v>8118</v>
      </c>
      <c r="M3342">
        <v>3133</v>
      </c>
      <c r="N3342" t="s">
        <v>16393</v>
      </c>
      <c r="O3342" s="4">
        <v>57462</v>
      </c>
      <c r="P3342" s="4">
        <v>142557</v>
      </c>
      <c r="Q3342" s="4">
        <v>200019</v>
      </c>
      <c r="R3342" s="4">
        <v>600057</v>
      </c>
      <c r="S3342" t="s">
        <v>19654</v>
      </c>
      <c r="T3342" s="6">
        <v>38626</v>
      </c>
      <c r="U3342" s="4">
        <v>371000</v>
      </c>
      <c r="V3342" t="s">
        <v>23739</v>
      </c>
      <c r="W3342" t="s">
        <v>19654</v>
      </c>
      <c r="X3342" t="s">
        <v>3</v>
      </c>
      <c r="AA3342" s="5" t="str">
        <f>HYPERLINK("https://www.zillow.com/homes/655-WINTERGREEN-CIR-NAPERVILLE-IL-605409202_rb/","check listing")</f>
        <v>check listing</v>
      </c>
      <c r="AB3342" s="5" t="str">
        <f>HYPERLINK("https://propertylookup.dupagecounty.gov/Datalets/Datalet.aspx?UseSearch=no&amp;mode=sales&amp;pin=0722404014","sales record")</f>
        <v>sales record</v>
      </c>
      <c r="AC3342" t="s">
        <v>3</v>
      </c>
      <c r="AD3342">
        <v>41.760637</v>
      </c>
      <c r="AE3342">
        <v>-88.194649</v>
      </c>
      <c r="AF3342" s="5" t="str">
        <f>HYPERLINK("https://www.google.com/maps/search/?api=1&amp;query=41.760637,-88.194649","map")</f>
        <v>map</v>
      </c>
    </row>
    <row r="3343" spans="1:32">
      <c r="A3343" t="s">
        <v>3393</v>
      </c>
      <c r="B3343" t="s">
        <v>10926</v>
      </c>
      <c r="C3343" t="s">
        <v>15478</v>
      </c>
      <c r="D3343" t="s">
        <v>16206</v>
      </c>
      <c r="E3343" t="s">
        <v>16218</v>
      </c>
      <c r="F3343" t="s">
        <v>16220</v>
      </c>
      <c r="G3343" t="s">
        <v>16274</v>
      </c>
      <c r="H3343" t="s">
        <v>16269</v>
      </c>
      <c r="I3343" t="s">
        <v>16352</v>
      </c>
      <c r="J3343" t="s">
        <v>16386</v>
      </c>
      <c r="K3343">
        <v>0.186</v>
      </c>
      <c r="L3343">
        <v>8115</v>
      </c>
      <c r="M3343">
        <v>2359</v>
      </c>
      <c r="N3343" t="s">
        <v>16393</v>
      </c>
      <c r="O3343" s="4">
        <v>55448</v>
      </c>
      <c r="P3343" s="4">
        <v>81457</v>
      </c>
      <c r="Q3343" s="4">
        <v>136905</v>
      </c>
      <c r="R3343" s="4">
        <v>410715</v>
      </c>
      <c r="S3343" t="s">
        <v>19655</v>
      </c>
      <c r="T3343" s="6">
        <v>33543</v>
      </c>
      <c r="U3343" s="4">
        <v>128990</v>
      </c>
      <c r="X3343" t="s">
        <v>3</v>
      </c>
      <c r="AA3343" s="5" t="str">
        <f>HYPERLINK("https://www.zillow.com/homes/1695-LISA-CT-NAPERVILLE-IL-60563_rb/","check listing")</f>
        <v>check listing</v>
      </c>
      <c r="AB3343" s="5" t="str">
        <f>HYPERLINK("https://propertylookup.dupagecounty.gov/Datalets/Datalet.aspx?UseSearch=no&amp;mode=sales&amp;pin=0715206041","sales record")</f>
        <v>sales record</v>
      </c>
      <c r="AC3343" t="s">
        <v>3</v>
      </c>
      <c r="AD3343">
        <v>41.781443</v>
      </c>
      <c r="AE3343">
        <v>-88.194058</v>
      </c>
      <c r="AF3343" s="5" t="str">
        <f>HYPERLINK("https://www.google.com/maps/search/?api=1&amp;query=41.781443,-88.194058","map")</f>
        <v>map</v>
      </c>
    </row>
    <row r="3344" spans="1:32">
      <c r="A3344" t="s">
        <v>3394</v>
      </c>
      <c r="B3344" t="s">
        <v>10927</v>
      </c>
      <c r="C3344" t="s">
        <v>15475</v>
      </c>
      <c r="D3344" t="s">
        <v>16206</v>
      </c>
      <c r="E3344" t="s">
        <v>16218</v>
      </c>
      <c r="F3344" t="s">
        <v>16220</v>
      </c>
      <c r="G3344" t="s">
        <v>16275</v>
      </c>
      <c r="H3344" t="s">
        <v>16276</v>
      </c>
      <c r="I3344" t="s">
        <v>16352</v>
      </c>
      <c r="J3344" t="s">
        <v>16386</v>
      </c>
      <c r="K3344">
        <v>0.186</v>
      </c>
      <c r="L3344">
        <v>8084</v>
      </c>
      <c r="M3344">
        <v>1649</v>
      </c>
      <c r="N3344" t="s">
        <v>16393</v>
      </c>
      <c r="O3344" s="4">
        <v>47905</v>
      </c>
      <c r="P3344" s="4">
        <v>103267</v>
      </c>
      <c r="Q3344" s="4">
        <v>151172</v>
      </c>
      <c r="R3344" s="4">
        <v>453516</v>
      </c>
      <c r="S3344" t="s">
        <v>19656</v>
      </c>
      <c r="T3344" s="6">
        <v>42887</v>
      </c>
      <c r="U3344" s="4">
        <v>340000</v>
      </c>
      <c r="V3344" t="s">
        <v>16232</v>
      </c>
      <c r="W3344" t="s">
        <v>25398</v>
      </c>
      <c r="X3344" t="s">
        <v>3</v>
      </c>
      <c r="AA3344" s="5" t="str">
        <f>HYPERLINK("https://www.zillow.com/homes/860-VIOLET-CIR-NAPERVILLE-IL-60540_rb/","check listing")</f>
        <v>check listing</v>
      </c>
      <c r="AB3344" s="5" t="str">
        <f>HYPERLINK("https://propertylookup.dupagecounty.gov/Datalets/Datalet.aspx?UseSearch=no&amp;mode=sales&amp;pin=0722409041","sales record")</f>
        <v>sales record</v>
      </c>
      <c r="AC3344" t="s">
        <v>27873</v>
      </c>
      <c r="AD3344">
        <v>41.759481</v>
      </c>
      <c r="AE3344">
        <v>-88.19249499999999</v>
      </c>
      <c r="AF3344" s="5" t="str">
        <f>HYPERLINK("https://www.google.com/maps/search/?api=1&amp;query=41.759481,-88.192495","map")</f>
        <v>map</v>
      </c>
    </row>
    <row r="3345" spans="1:32">
      <c r="A3345" t="s">
        <v>3395</v>
      </c>
      <c r="B3345" t="s">
        <v>10928</v>
      </c>
      <c r="C3345" t="s">
        <v>15524</v>
      </c>
      <c r="D3345" t="s">
        <v>16206</v>
      </c>
      <c r="E3345" t="s">
        <v>16218</v>
      </c>
      <c r="F3345" t="s">
        <v>16220</v>
      </c>
      <c r="G3345" t="s">
        <v>16274</v>
      </c>
      <c r="H3345" t="s">
        <v>16269</v>
      </c>
      <c r="I3345" t="s">
        <v>16352</v>
      </c>
      <c r="J3345" t="s">
        <v>16386</v>
      </c>
      <c r="K3345">
        <v>0.185</v>
      </c>
      <c r="L3345">
        <v>8069</v>
      </c>
      <c r="M3345">
        <v>2357</v>
      </c>
      <c r="N3345" t="s">
        <v>16393</v>
      </c>
      <c r="O3345" s="4">
        <v>48576</v>
      </c>
      <c r="P3345" s="4">
        <v>80762</v>
      </c>
      <c r="Q3345" s="4">
        <v>129338</v>
      </c>
      <c r="R3345" s="4">
        <v>388014</v>
      </c>
      <c r="S3345" t="s">
        <v>19657</v>
      </c>
      <c r="T3345" s="6">
        <v>44562</v>
      </c>
      <c r="U3345" s="4">
        <v>340000</v>
      </c>
      <c r="V3345" t="s">
        <v>23739</v>
      </c>
      <c r="W3345" t="s">
        <v>25399</v>
      </c>
      <c r="X3345" t="s">
        <v>3</v>
      </c>
      <c r="AA3345" s="5" t="str">
        <f>HYPERLINK("https://www.zillow.com/homes/728-SMALL-CT-NAPERVILLE-IL-605630451_rb/","check listing")</f>
        <v>check listing</v>
      </c>
      <c r="AB3345" s="5" t="str">
        <f>HYPERLINK("https://propertylookup.dupagecounty.gov/Datalets/Datalet.aspx?UseSearch=no&amp;mode=sales&amp;pin=0715206009","sales record")</f>
        <v>sales record</v>
      </c>
      <c r="AC3345" t="s">
        <v>3</v>
      </c>
      <c r="AD3345">
        <v>41.780605</v>
      </c>
      <c r="AE3345">
        <v>-88.18856700000001</v>
      </c>
      <c r="AF3345" s="5" t="str">
        <f>HYPERLINK("https://www.google.com/maps/search/?api=1&amp;query=41.780605,-88.188567","map")</f>
        <v>map</v>
      </c>
    </row>
    <row r="3346" spans="1:32">
      <c r="A3346" t="s">
        <v>3396</v>
      </c>
      <c r="B3346" t="s">
        <v>10929</v>
      </c>
      <c r="C3346" t="s">
        <v>15518</v>
      </c>
      <c r="D3346" t="s">
        <v>16206</v>
      </c>
      <c r="E3346" t="s">
        <v>16218</v>
      </c>
      <c r="F3346" t="s">
        <v>16220</v>
      </c>
      <c r="G3346" t="s">
        <v>16275</v>
      </c>
      <c r="H3346" t="s">
        <v>16276</v>
      </c>
      <c r="I3346" t="s">
        <v>16352</v>
      </c>
      <c r="J3346" t="s">
        <v>16386</v>
      </c>
      <c r="K3346">
        <v>0.185</v>
      </c>
      <c r="L3346">
        <v>8067</v>
      </c>
      <c r="M3346">
        <v>2639</v>
      </c>
      <c r="N3346" t="s">
        <v>16393</v>
      </c>
      <c r="O3346" s="4">
        <v>47905</v>
      </c>
      <c r="P3346" s="4">
        <v>134794</v>
      </c>
      <c r="Q3346" s="4">
        <v>182699</v>
      </c>
      <c r="R3346" s="4">
        <v>548097</v>
      </c>
      <c r="S3346" t="s">
        <v>19658</v>
      </c>
      <c r="T3346" s="6">
        <v>44409</v>
      </c>
      <c r="U3346" s="4">
        <v>455001</v>
      </c>
      <c r="V3346" t="s">
        <v>23739</v>
      </c>
      <c r="W3346" t="s">
        <v>19658</v>
      </c>
      <c r="X3346" t="s">
        <v>3</v>
      </c>
      <c r="AA3346" s="5" t="str">
        <f>HYPERLINK("https://www.zillow.com/homes/703-BONESET-CT-NAPERVILLE-IL-605406286_rb/","check listing")</f>
        <v>check listing</v>
      </c>
      <c r="AB3346" s="5" t="str">
        <f>HYPERLINK("https://propertylookup.dupagecounty.gov/Datalets/Datalet.aspx?UseSearch=no&amp;mode=sales&amp;pin=0722406028","sales record")</f>
        <v>sales record</v>
      </c>
      <c r="AC3346" t="s">
        <v>3</v>
      </c>
      <c r="AD3346">
        <v>41.758817</v>
      </c>
      <c r="AE3346">
        <v>-88.195224</v>
      </c>
      <c r="AF3346" s="5" t="str">
        <f>HYPERLINK("https://www.google.com/maps/search/?api=1&amp;query=41.758817,-88.195224","map")</f>
        <v>map</v>
      </c>
    </row>
    <row r="3347" spans="1:32">
      <c r="A3347" t="s">
        <v>3397</v>
      </c>
      <c r="B3347" t="s">
        <v>10930</v>
      </c>
      <c r="C3347" t="s">
        <v>15520</v>
      </c>
      <c r="D3347" t="s">
        <v>16206</v>
      </c>
      <c r="E3347" t="s">
        <v>16218</v>
      </c>
      <c r="F3347" t="s">
        <v>16220</v>
      </c>
      <c r="G3347" t="s">
        <v>16276</v>
      </c>
      <c r="H3347" t="s">
        <v>16276</v>
      </c>
      <c r="I3347" t="s">
        <v>16352</v>
      </c>
      <c r="J3347" t="s">
        <v>16386</v>
      </c>
      <c r="K3347">
        <v>0.185</v>
      </c>
      <c r="L3347">
        <v>8064</v>
      </c>
      <c r="M3347">
        <v>1978</v>
      </c>
      <c r="N3347" t="s">
        <v>16393</v>
      </c>
      <c r="O3347" s="4">
        <v>43255</v>
      </c>
      <c r="P3347" s="4">
        <v>98288</v>
      </c>
      <c r="Q3347" s="4">
        <v>141543</v>
      </c>
      <c r="R3347" s="4">
        <v>424629</v>
      </c>
      <c r="S3347" t="s">
        <v>19659</v>
      </c>
      <c r="T3347" s="6">
        <v>45191</v>
      </c>
      <c r="U3347" s="4">
        <v>390000</v>
      </c>
      <c r="V3347" t="s">
        <v>23739</v>
      </c>
      <c r="W3347" t="s">
        <v>25400</v>
      </c>
      <c r="X3347" t="s">
        <v>3</v>
      </c>
      <c r="AA3347" s="5" t="str">
        <f>HYPERLINK("https://www.zillow.com/homes/936-MATTHEW-CT-NAPERVILLE-IL-605401958_rb/","check listing")</f>
        <v>check listing</v>
      </c>
      <c r="AB3347" s="5" t="str">
        <f>HYPERLINK("https://propertylookup.dupagecounty.gov/Datalets/Datalet.aspx?UseSearch=no&amp;mode=sales&amp;pin=0727209018","sales record")</f>
        <v>sales record</v>
      </c>
      <c r="AC3347" t="s">
        <v>3</v>
      </c>
      <c r="AD3347">
        <v>41.75275</v>
      </c>
      <c r="AE3347">
        <v>-88.190529</v>
      </c>
      <c r="AF3347" s="5" t="str">
        <f>HYPERLINK("https://www.google.com/maps/search/?api=1&amp;query=41.75275,-88.190529","map")</f>
        <v>map</v>
      </c>
    </row>
    <row r="3348" spans="1:32">
      <c r="A3348" t="s">
        <v>3398</v>
      </c>
      <c r="B3348" t="s">
        <v>10931</v>
      </c>
      <c r="C3348" t="s">
        <v>15475</v>
      </c>
      <c r="D3348" t="s">
        <v>16206</v>
      </c>
      <c r="E3348" t="s">
        <v>16218</v>
      </c>
      <c r="F3348" t="s">
        <v>16220</v>
      </c>
      <c r="G3348" t="s">
        <v>16275</v>
      </c>
      <c r="H3348" t="s">
        <v>16276</v>
      </c>
      <c r="I3348" t="s">
        <v>16352</v>
      </c>
      <c r="J3348" t="s">
        <v>16386</v>
      </c>
      <c r="K3348">
        <v>0.185</v>
      </c>
      <c r="L3348">
        <v>8054</v>
      </c>
      <c r="M3348">
        <v>2308</v>
      </c>
      <c r="N3348" t="s">
        <v>16393</v>
      </c>
      <c r="O3348" s="4">
        <v>52690</v>
      </c>
      <c r="P3348" s="4">
        <v>144863</v>
      </c>
      <c r="Q3348" s="4">
        <v>197553</v>
      </c>
      <c r="R3348" s="4">
        <v>592659</v>
      </c>
      <c r="S3348" t="s">
        <v>19660</v>
      </c>
      <c r="T3348" s="6">
        <v>37865</v>
      </c>
      <c r="U3348" s="4">
        <v>315000</v>
      </c>
      <c r="V3348" t="s">
        <v>23739</v>
      </c>
      <c r="W3348" t="s">
        <v>25401</v>
      </c>
      <c r="X3348" t="s">
        <v>3</v>
      </c>
      <c r="AA3348" s="5" t="str">
        <f>HYPERLINK("https://www.zillow.com/homes/612-CARAWAY-CT-NAPERVILLE-IL-60540_rb/","check listing")</f>
        <v>check listing</v>
      </c>
      <c r="AB3348" s="5" t="str">
        <f>HYPERLINK("https://propertylookup.dupagecounty.gov/Datalets/Datalet.aspx?UseSearch=no&amp;mode=sales&amp;pin=0722405014","sales record")</f>
        <v>sales record</v>
      </c>
      <c r="AC3348" t="s">
        <v>3</v>
      </c>
      <c r="AD3348">
        <v>41.76001</v>
      </c>
      <c r="AE3348">
        <v>-88.193192</v>
      </c>
      <c r="AF3348" s="5" t="str">
        <f>HYPERLINK("https://www.google.com/maps/search/?api=1&amp;query=41.76001,-88.193192","map")</f>
        <v>map</v>
      </c>
    </row>
    <row r="3349" spans="1:32">
      <c r="A3349" t="s">
        <v>3399</v>
      </c>
      <c r="B3349" t="s">
        <v>10932</v>
      </c>
      <c r="C3349" t="s">
        <v>15578</v>
      </c>
      <c r="D3349" t="s">
        <v>16206</v>
      </c>
      <c r="E3349" t="s">
        <v>16218</v>
      </c>
      <c r="F3349" t="s">
        <v>16220</v>
      </c>
      <c r="G3349" t="s">
        <v>16273</v>
      </c>
      <c r="H3349" t="s">
        <v>16254</v>
      </c>
      <c r="I3349" t="s">
        <v>16351</v>
      </c>
      <c r="J3349" t="s">
        <v>16386</v>
      </c>
      <c r="K3349">
        <v>0.184</v>
      </c>
      <c r="L3349">
        <v>8029</v>
      </c>
      <c r="M3349">
        <v>2144</v>
      </c>
      <c r="N3349" t="s">
        <v>16393</v>
      </c>
      <c r="O3349" s="4">
        <v>45366</v>
      </c>
      <c r="P3349" s="4">
        <v>133024</v>
      </c>
      <c r="Q3349" s="4">
        <v>178390</v>
      </c>
      <c r="R3349" s="4">
        <v>535170</v>
      </c>
      <c r="S3349" t="s">
        <v>19661</v>
      </c>
      <c r="T3349" s="6">
        <v>44562</v>
      </c>
      <c r="U3349" s="4">
        <v>428000</v>
      </c>
      <c r="V3349" t="s">
        <v>23739</v>
      </c>
      <c r="W3349" t="s">
        <v>25402</v>
      </c>
      <c r="X3349" t="s">
        <v>3</v>
      </c>
      <c r="AA3349" s="5" t="str">
        <f>HYPERLINK("https://www.zillow.com/homes/1027-BURKE-CT-NAPERVILLE-IL-605639342_rb/","check listing")</f>
        <v>check listing</v>
      </c>
      <c r="AB3349" s="5" t="str">
        <f>HYPERLINK("https://propertylookup.dupagecounty.gov/Datalets/Datalet.aspx?UseSearch=no&amp;mode=sales&amp;pin=0709304006","sales record")</f>
        <v>sales record</v>
      </c>
      <c r="AC3349" t="s">
        <v>3</v>
      </c>
      <c r="AD3349">
        <v>41.787368</v>
      </c>
      <c r="AE3349">
        <v>-88.21647400000001</v>
      </c>
      <c r="AF3349" s="5" t="str">
        <f>HYPERLINK("https://www.google.com/maps/search/?api=1&amp;query=41.787368,-88.216474","map")</f>
        <v>map</v>
      </c>
    </row>
    <row r="3350" spans="1:32">
      <c r="A3350" t="s">
        <v>3400</v>
      </c>
      <c r="B3350" t="s">
        <v>10933</v>
      </c>
      <c r="C3350" t="s">
        <v>15475</v>
      </c>
      <c r="D3350" t="s">
        <v>16206</v>
      </c>
      <c r="E3350" t="s">
        <v>16218</v>
      </c>
      <c r="F3350" t="s">
        <v>16220</v>
      </c>
      <c r="G3350" t="s">
        <v>16275</v>
      </c>
      <c r="H3350" t="s">
        <v>16276</v>
      </c>
      <c r="I3350" t="s">
        <v>16352</v>
      </c>
      <c r="J3350" t="s">
        <v>16386</v>
      </c>
      <c r="K3350">
        <v>0.184</v>
      </c>
      <c r="L3350">
        <v>8023</v>
      </c>
      <c r="M3350">
        <v>3122</v>
      </c>
      <c r="N3350" t="s">
        <v>16393</v>
      </c>
      <c r="O3350" s="4">
        <v>51103</v>
      </c>
      <c r="P3350" s="4">
        <v>149123</v>
      </c>
      <c r="Q3350" s="4">
        <v>200226</v>
      </c>
      <c r="R3350" s="4">
        <v>600678</v>
      </c>
      <c r="S3350" t="s">
        <v>19662</v>
      </c>
      <c r="T3350" s="6">
        <v>37104</v>
      </c>
      <c r="U3350" s="4">
        <v>278000</v>
      </c>
      <c r="V3350" t="s">
        <v>23739</v>
      </c>
      <c r="W3350" t="s">
        <v>25403</v>
      </c>
      <c r="X3350" t="s">
        <v>3</v>
      </c>
      <c r="AA3350" s="5" t="str">
        <f>HYPERLINK("https://www.zillow.com/homes/603-WINTERGREEN-CIR-NAPERVILLE-IL-60540_rb/","check listing")</f>
        <v>check listing</v>
      </c>
      <c r="AB3350" s="5" t="str">
        <f>HYPERLINK("https://propertylookup.dupagecounty.gov/Datalets/Datalet.aspx?UseSearch=no&amp;mode=sales&amp;pin=0722404027","sales record")</f>
        <v>sales record</v>
      </c>
      <c r="AC3350" t="s">
        <v>3</v>
      </c>
      <c r="AD3350">
        <v>41.760432</v>
      </c>
      <c r="AE3350">
        <v>-88.19216900000001</v>
      </c>
      <c r="AF3350" s="5" t="str">
        <f>HYPERLINK("https://www.google.com/maps/search/?api=1&amp;query=41.760432,-88.192169","map")</f>
        <v>map</v>
      </c>
    </row>
    <row r="3351" spans="1:32">
      <c r="A3351" t="s">
        <v>3401</v>
      </c>
      <c r="B3351" t="s">
        <v>10934</v>
      </c>
      <c r="C3351" t="s">
        <v>15478</v>
      </c>
      <c r="D3351" t="s">
        <v>16206</v>
      </c>
      <c r="E3351" t="s">
        <v>16218</v>
      </c>
      <c r="F3351" t="s">
        <v>16220</v>
      </c>
      <c r="G3351" t="s">
        <v>16274</v>
      </c>
      <c r="H3351" t="s">
        <v>16269</v>
      </c>
      <c r="I3351" t="s">
        <v>16352</v>
      </c>
      <c r="J3351" t="s">
        <v>16386</v>
      </c>
      <c r="K3351">
        <v>0.184</v>
      </c>
      <c r="L3351">
        <v>8018</v>
      </c>
      <c r="M3351">
        <v>2144</v>
      </c>
      <c r="N3351" t="s">
        <v>16393</v>
      </c>
      <c r="O3351" s="4">
        <v>48576</v>
      </c>
      <c r="P3351" s="4">
        <v>122406</v>
      </c>
      <c r="Q3351" s="4">
        <v>170982</v>
      </c>
      <c r="R3351" s="4">
        <v>512946</v>
      </c>
      <c r="S3351" t="s">
        <v>19663</v>
      </c>
      <c r="T3351" s="6">
        <v>40787</v>
      </c>
      <c r="U3351" s="4">
        <v>322000</v>
      </c>
      <c r="V3351" t="s">
        <v>16232</v>
      </c>
      <c r="W3351" t="s">
        <v>25404</v>
      </c>
      <c r="X3351" t="s">
        <v>3</v>
      </c>
      <c r="AA3351" s="5" t="str">
        <f>HYPERLINK("https://www.zillow.com/homes/1594-HINTERLONG-LN-NAPERVILLE-IL-60563_rb/","check listing")</f>
        <v>check listing</v>
      </c>
      <c r="AB3351" s="5" t="str">
        <f>HYPERLINK("https://propertylookup.dupagecounty.gov/Datalets/Datalet.aspx?UseSearch=no&amp;mode=sales&amp;pin=0715206017","sales record")</f>
        <v>sales record</v>
      </c>
      <c r="AC3351" t="s">
        <v>3</v>
      </c>
      <c r="AD3351">
        <v>41.780537</v>
      </c>
      <c r="AE3351">
        <v>-88.190111</v>
      </c>
      <c r="AF3351" s="5" t="str">
        <f>HYPERLINK("https://www.google.com/maps/search/?api=1&amp;query=41.780537,-88.190111","map")</f>
        <v>map</v>
      </c>
    </row>
    <row r="3352" spans="1:32">
      <c r="A3352" t="s">
        <v>3402</v>
      </c>
      <c r="B3352" t="s">
        <v>10935</v>
      </c>
      <c r="C3352" t="s">
        <v>15475</v>
      </c>
      <c r="D3352" t="s">
        <v>16206</v>
      </c>
      <c r="E3352" t="s">
        <v>16218</v>
      </c>
      <c r="F3352" t="s">
        <v>16220</v>
      </c>
      <c r="G3352" t="s">
        <v>16275</v>
      </c>
      <c r="H3352" t="s">
        <v>16276</v>
      </c>
      <c r="I3352" t="s">
        <v>16352</v>
      </c>
      <c r="J3352" t="s">
        <v>16386</v>
      </c>
      <c r="K3352">
        <v>0.184</v>
      </c>
      <c r="L3352">
        <v>8017</v>
      </c>
      <c r="M3352">
        <v>1979</v>
      </c>
      <c r="N3352" t="s">
        <v>16393</v>
      </c>
      <c r="O3352" s="4">
        <v>47905</v>
      </c>
      <c r="P3352" s="4">
        <v>108724</v>
      </c>
      <c r="Q3352" s="4">
        <v>156629</v>
      </c>
      <c r="R3352" s="4">
        <v>469887</v>
      </c>
      <c r="S3352" t="s">
        <v>19664</v>
      </c>
      <c r="T3352" s="6">
        <v>41426</v>
      </c>
      <c r="U3352" s="4">
        <v>283000</v>
      </c>
      <c r="V3352" t="s">
        <v>23739</v>
      </c>
      <c r="W3352" t="s">
        <v>25405</v>
      </c>
      <c r="X3352" t="s">
        <v>3</v>
      </c>
      <c r="AA3352" s="5" t="str">
        <f>HYPERLINK("https://www.zillow.com/homes/831-VIOLET-CIR-NAPERVILLE-IL-60540_rb/","check listing")</f>
        <v>check listing</v>
      </c>
      <c r="AB3352" s="5" t="str">
        <f>HYPERLINK("https://propertylookup.dupagecounty.gov/Datalets/Datalet.aspx?UseSearch=no&amp;mode=sales&amp;pin=0722407039","sales record")</f>
        <v>sales record</v>
      </c>
      <c r="AC3352" t="s">
        <v>3</v>
      </c>
      <c r="AD3352">
        <v>41.758456</v>
      </c>
      <c r="AE3352">
        <v>-88.191171</v>
      </c>
      <c r="AF3352" s="5" t="str">
        <f>HYPERLINK("https://www.google.com/maps/search/?api=1&amp;query=41.758456,-88.191171","map")</f>
        <v>map</v>
      </c>
    </row>
    <row r="3353" spans="1:32">
      <c r="A3353" t="s">
        <v>3403</v>
      </c>
      <c r="B3353" t="s">
        <v>10936</v>
      </c>
      <c r="C3353" t="s">
        <v>15478</v>
      </c>
      <c r="D3353" t="s">
        <v>16206</v>
      </c>
      <c r="E3353" t="s">
        <v>16218</v>
      </c>
      <c r="F3353" t="s">
        <v>16220</v>
      </c>
      <c r="G3353" t="s">
        <v>16274</v>
      </c>
      <c r="H3353" t="s">
        <v>16269</v>
      </c>
      <c r="I3353" t="s">
        <v>16352</v>
      </c>
      <c r="J3353" t="s">
        <v>16386</v>
      </c>
      <c r="K3353">
        <v>0.184</v>
      </c>
      <c r="L3353">
        <v>8010</v>
      </c>
      <c r="M3353">
        <v>2358</v>
      </c>
      <c r="N3353" t="s">
        <v>16393</v>
      </c>
      <c r="O3353" s="4">
        <v>60269</v>
      </c>
      <c r="P3353" s="4">
        <v>130326</v>
      </c>
      <c r="Q3353" s="4">
        <v>190595</v>
      </c>
      <c r="R3353" s="4">
        <v>571785</v>
      </c>
      <c r="S3353" t="s">
        <v>19665</v>
      </c>
      <c r="T3353" s="6">
        <v>39326</v>
      </c>
      <c r="U3353" s="4">
        <v>355000</v>
      </c>
      <c r="V3353" t="s">
        <v>23739</v>
      </c>
      <c r="W3353" t="s">
        <v>25406</v>
      </c>
      <c r="X3353" t="s">
        <v>3</v>
      </c>
      <c r="AA3353" s="5" t="str">
        <f>HYPERLINK("https://www.zillow.com/homes/1691-LISA-CT-NAPERVILLE-IL-60563_rb/","check listing")</f>
        <v>check listing</v>
      </c>
      <c r="AB3353" s="5" t="str">
        <f>HYPERLINK("https://propertylookup.dupagecounty.gov/Datalets/Datalet.aspx?UseSearch=no&amp;mode=sales&amp;pin=0715206042","sales record")</f>
        <v>sales record</v>
      </c>
      <c r="AC3353" t="s">
        <v>3</v>
      </c>
      <c r="AD3353">
        <v>41.781444</v>
      </c>
      <c r="AE3353">
        <v>-88.193793</v>
      </c>
      <c r="AF3353" s="5" t="str">
        <f>HYPERLINK("https://www.google.com/maps/search/?api=1&amp;query=41.781444,-88.193793","map")</f>
        <v>map</v>
      </c>
    </row>
    <row r="3354" spans="1:32">
      <c r="A3354" t="s">
        <v>3404</v>
      </c>
      <c r="B3354" t="s">
        <v>10937</v>
      </c>
      <c r="C3354" t="s">
        <v>15515</v>
      </c>
      <c r="D3354" t="s">
        <v>16206</v>
      </c>
      <c r="E3354" t="s">
        <v>16218</v>
      </c>
      <c r="F3354" t="s">
        <v>16220</v>
      </c>
      <c r="G3354" t="s">
        <v>16276</v>
      </c>
      <c r="H3354" t="s">
        <v>16276</v>
      </c>
      <c r="I3354" t="s">
        <v>16352</v>
      </c>
      <c r="J3354" t="s">
        <v>16386</v>
      </c>
      <c r="K3354">
        <v>0.184</v>
      </c>
      <c r="L3354">
        <v>8008</v>
      </c>
      <c r="M3354">
        <v>1979</v>
      </c>
      <c r="N3354" t="s">
        <v>16393</v>
      </c>
      <c r="O3354" s="4">
        <v>55655</v>
      </c>
      <c r="P3354" s="4">
        <v>121759</v>
      </c>
      <c r="Q3354" s="4">
        <v>177414</v>
      </c>
      <c r="R3354" s="4">
        <v>532242</v>
      </c>
      <c r="S3354" t="s">
        <v>19666</v>
      </c>
      <c r="T3354" s="6">
        <v>42948</v>
      </c>
      <c r="U3354" s="4">
        <v>340000</v>
      </c>
      <c r="V3354" t="s">
        <v>23739</v>
      </c>
      <c r="W3354" t="s">
        <v>25407</v>
      </c>
      <c r="X3354" t="s">
        <v>3</v>
      </c>
      <c r="AA3354" s="5" t="str">
        <f>HYPERLINK("https://www.zillow.com/homes/904-JOAN-CT-NAPERVILLE-IL-605401931_rb/","check listing")</f>
        <v>check listing</v>
      </c>
      <c r="AB3354" s="5" t="str">
        <f>HYPERLINK("https://propertylookup.dupagecounty.gov/Datalets/Datalet.aspx?UseSearch=no&amp;mode=sales&amp;pin=0727210021","sales record")</f>
        <v>sales record</v>
      </c>
      <c r="AC3354" t="s">
        <v>3</v>
      </c>
      <c r="AD3354">
        <v>41.753859</v>
      </c>
      <c r="AE3354">
        <v>-88.188473</v>
      </c>
      <c r="AF3354" s="5" t="str">
        <f>HYPERLINK("https://www.google.com/maps/search/?api=1&amp;query=41.753859,-88.188473","map")</f>
        <v>map</v>
      </c>
    </row>
    <row r="3355" spans="1:32">
      <c r="A3355" t="s">
        <v>3405</v>
      </c>
      <c r="B3355" t="s">
        <v>10938</v>
      </c>
      <c r="C3355" t="s">
        <v>15475</v>
      </c>
      <c r="D3355" t="s">
        <v>16206</v>
      </c>
      <c r="E3355" t="s">
        <v>16218</v>
      </c>
      <c r="F3355" t="s">
        <v>16220</v>
      </c>
      <c r="G3355" t="s">
        <v>16275</v>
      </c>
      <c r="H3355" t="s">
        <v>16276</v>
      </c>
      <c r="I3355" t="s">
        <v>16352</v>
      </c>
      <c r="J3355" t="s">
        <v>16386</v>
      </c>
      <c r="K3355">
        <v>0.184</v>
      </c>
      <c r="L3355">
        <v>8004</v>
      </c>
      <c r="M3355">
        <v>2144</v>
      </c>
      <c r="N3355" t="s">
        <v>16393</v>
      </c>
      <c r="O3355" s="4">
        <v>55655</v>
      </c>
      <c r="P3355" s="4">
        <v>118317</v>
      </c>
      <c r="Q3355" s="4">
        <v>173972</v>
      </c>
      <c r="R3355" s="4">
        <v>521916</v>
      </c>
      <c r="S3355" t="s">
        <v>19667</v>
      </c>
      <c r="T3355" s="6">
        <v>37926</v>
      </c>
      <c r="U3355" s="4">
        <v>268000</v>
      </c>
      <c r="V3355" t="s">
        <v>23739</v>
      </c>
      <c r="W3355" t="s">
        <v>25408</v>
      </c>
      <c r="X3355" t="s">
        <v>3</v>
      </c>
      <c r="AA3355" s="5" t="str">
        <f>HYPERLINK("https://www.zillow.com/homes/1220-ANDRIA-CT-NAPERVILLE-IL-60540_rb/","check listing")</f>
        <v>check listing</v>
      </c>
      <c r="AB3355" s="5" t="str">
        <f>HYPERLINK("https://propertylookup.dupagecounty.gov/Datalets/Datalet.aspx?UseSearch=no&amp;mode=sales&amp;pin=0727201024","sales record")</f>
        <v>sales record</v>
      </c>
      <c r="AC3355" t="s">
        <v>3</v>
      </c>
      <c r="AD3355">
        <v>41.748236</v>
      </c>
      <c r="AE3355">
        <v>-88.188151</v>
      </c>
      <c r="AF3355" s="5" t="str">
        <f>HYPERLINK("https://www.google.com/maps/search/?api=1&amp;query=41.748236,-88.188151","map")</f>
        <v>map</v>
      </c>
    </row>
    <row r="3356" spans="1:32">
      <c r="A3356" t="s">
        <v>3406</v>
      </c>
      <c r="B3356" t="s">
        <v>10939</v>
      </c>
      <c r="C3356" t="s">
        <v>15475</v>
      </c>
      <c r="D3356" t="s">
        <v>16206</v>
      </c>
      <c r="E3356" t="s">
        <v>16218</v>
      </c>
      <c r="F3356" t="s">
        <v>16220</v>
      </c>
      <c r="G3356" t="s">
        <v>16275</v>
      </c>
      <c r="H3356" t="s">
        <v>16276</v>
      </c>
      <c r="I3356" t="s">
        <v>16352</v>
      </c>
      <c r="J3356" t="s">
        <v>16386</v>
      </c>
      <c r="K3356">
        <v>0.183</v>
      </c>
      <c r="L3356">
        <v>7993</v>
      </c>
      <c r="M3356">
        <v>1979</v>
      </c>
      <c r="N3356" t="s">
        <v>16393</v>
      </c>
      <c r="O3356" s="4">
        <v>43255</v>
      </c>
      <c r="P3356" s="4">
        <v>91124</v>
      </c>
      <c r="Q3356" s="4">
        <v>134379</v>
      </c>
      <c r="R3356" s="4">
        <v>403137</v>
      </c>
      <c r="S3356" t="s">
        <v>19668</v>
      </c>
      <c r="T3356" s="6">
        <v>42064</v>
      </c>
      <c r="U3356" s="4">
        <v>235000</v>
      </c>
      <c r="V3356" t="s">
        <v>23739</v>
      </c>
      <c r="W3356" t="s">
        <v>25409</v>
      </c>
      <c r="X3356" t="s">
        <v>3</v>
      </c>
      <c r="AA3356" s="5" t="str">
        <f>HYPERLINK("https://www.zillow.com/homes/1003-LAKEWOOD-CIR-NAPERVILLE-IL-60540_rb/","check listing")</f>
        <v>check listing</v>
      </c>
      <c r="AB3356" s="5" t="str">
        <f>HYPERLINK("https://propertylookup.dupagecounty.gov/Datalets/Datalet.aspx?UseSearch=no&amp;mode=sales&amp;pin=0727207004","sales record")</f>
        <v>sales record</v>
      </c>
      <c r="AC3356" t="s">
        <v>3</v>
      </c>
      <c r="AD3356">
        <v>41.748891</v>
      </c>
      <c r="AE3356">
        <v>-88.19429599999999</v>
      </c>
      <c r="AF3356" s="5" t="str">
        <f>HYPERLINK("https://www.google.com/maps/search/?api=1&amp;query=41.748891,-88.194296","map")</f>
        <v>map</v>
      </c>
    </row>
    <row r="3357" spans="1:32">
      <c r="A3357" t="s">
        <v>3407</v>
      </c>
      <c r="B3357" t="s">
        <v>10940</v>
      </c>
      <c r="C3357" t="s">
        <v>15475</v>
      </c>
      <c r="D3357" t="s">
        <v>16206</v>
      </c>
      <c r="E3357" t="s">
        <v>16218</v>
      </c>
      <c r="F3357" t="s">
        <v>16220</v>
      </c>
      <c r="G3357" t="s">
        <v>16275</v>
      </c>
      <c r="H3357" t="s">
        <v>16276</v>
      </c>
      <c r="I3357" t="s">
        <v>16352</v>
      </c>
      <c r="J3357" t="s">
        <v>16386</v>
      </c>
      <c r="K3357">
        <v>0.183</v>
      </c>
      <c r="L3357">
        <v>7990</v>
      </c>
      <c r="M3357">
        <v>2639</v>
      </c>
      <c r="N3357" t="s">
        <v>16393</v>
      </c>
      <c r="O3357" s="4">
        <v>57462</v>
      </c>
      <c r="P3357" s="4">
        <v>140275</v>
      </c>
      <c r="Q3357" s="4">
        <v>197737</v>
      </c>
      <c r="R3357" s="4">
        <v>593211</v>
      </c>
      <c r="S3357" t="s">
        <v>19669</v>
      </c>
      <c r="T3357" s="6">
        <v>38047</v>
      </c>
      <c r="U3357" s="4">
        <v>335000</v>
      </c>
      <c r="V3357" t="s">
        <v>23739</v>
      </c>
      <c r="W3357" t="s">
        <v>25410</v>
      </c>
      <c r="X3357" t="s">
        <v>3</v>
      </c>
      <c r="AA3357" s="5" t="str">
        <f>HYPERLINK("https://www.zillow.com/homes/667-WINTERGREEN-CIR-NAPERVILLE-IL-60540_rb/","check listing")</f>
        <v>check listing</v>
      </c>
      <c r="AB3357" s="5" t="str">
        <f>HYPERLINK("https://propertylookup.dupagecounty.gov/Datalets/Datalet.aspx?UseSearch=no&amp;mode=sales&amp;pin=0722404011","sales record")</f>
        <v>sales record</v>
      </c>
      <c r="AC3357" t="s">
        <v>3</v>
      </c>
      <c r="AD3357">
        <v>41.760195</v>
      </c>
      <c r="AE3357">
        <v>-88.195049</v>
      </c>
      <c r="AF3357" s="5" t="str">
        <f>HYPERLINK("https://www.google.com/maps/search/?api=1&amp;query=41.760195,-88.195049","map")</f>
        <v>map</v>
      </c>
    </row>
    <row r="3358" spans="1:32">
      <c r="A3358" t="s">
        <v>3408</v>
      </c>
      <c r="B3358" t="s">
        <v>10941</v>
      </c>
      <c r="C3358" t="s">
        <v>15567</v>
      </c>
      <c r="D3358" t="s">
        <v>16206</v>
      </c>
      <c r="E3358" t="s">
        <v>16218</v>
      </c>
      <c r="F3358" t="s">
        <v>16220</v>
      </c>
      <c r="G3358" t="s">
        <v>16275</v>
      </c>
      <c r="H3358" t="s">
        <v>16276</v>
      </c>
      <c r="I3358" t="s">
        <v>16352</v>
      </c>
      <c r="J3358" t="s">
        <v>16386</v>
      </c>
      <c r="K3358">
        <v>0.183</v>
      </c>
      <c r="L3358">
        <v>7968</v>
      </c>
      <c r="M3358">
        <v>1979</v>
      </c>
      <c r="N3358" t="s">
        <v>16393</v>
      </c>
      <c r="O3358" s="4">
        <v>46367</v>
      </c>
      <c r="P3358" s="4">
        <v>103085</v>
      </c>
      <c r="Q3358" s="4">
        <v>149452</v>
      </c>
      <c r="R3358" s="4">
        <v>448356</v>
      </c>
      <c r="S3358" t="s">
        <v>19670</v>
      </c>
      <c r="T3358" s="6">
        <v>42917</v>
      </c>
      <c r="U3358" s="4">
        <v>345000</v>
      </c>
      <c r="V3358" t="s">
        <v>23739</v>
      </c>
      <c r="W3358" t="s">
        <v>19670</v>
      </c>
      <c r="X3358" t="s">
        <v>3</v>
      </c>
      <c r="AA3358" s="5" t="str">
        <f>HYPERLINK("https://www.zillow.com/homes/1923-CROSSING-CT-NAPERVILLE-IL-605400983_rb/","check listing")</f>
        <v>check listing</v>
      </c>
      <c r="AB3358" s="5" t="str">
        <f>HYPERLINK("https://propertylookup.dupagecounty.gov/Datalets/Datalet.aspx?UseSearch=no&amp;mode=sales&amp;pin=0727201004","sales record")</f>
        <v>sales record</v>
      </c>
      <c r="AC3358" t="s">
        <v>3</v>
      </c>
      <c r="AD3358">
        <v>41.74891</v>
      </c>
      <c r="AE3358">
        <v>-88.186947</v>
      </c>
      <c r="AF3358" s="5" t="str">
        <f>HYPERLINK("https://www.google.com/maps/search/?api=1&amp;query=41.74891,-88.186947","map")</f>
        <v>map</v>
      </c>
    </row>
    <row r="3359" spans="1:32">
      <c r="A3359" t="s">
        <v>3409</v>
      </c>
      <c r="B3359" t="s">
        <v>10942</v>
      </c>
      <c r="C3359" t="s">
        <v>15478</v>
      </c>
      <c r="D3359" t="s">
        <v>16206</v>
      </c>
      <c r="E3359" t="s">
        <v>16218</v>
      </c>
      <c r="F3359" t="s">
        <v>16220</v>
      </c>
      <c r="G3359" t="s">
        <v>16274</v>
      </c>
      <c r="H3359" t="s">
        <v>16269</v>
      </c>
      <c r="I3359" t="s">
        <v>16352</v>
      </c>
      <c r="J3359" t="s">
        <v>16386</v>
      </c>
      <c r="K3359">
        <v>0.183</v>
      </c>
      <c r="L3359">
        <v>7966</v>
      </c>
      <c r="M3359">
        <v>1979</v>
      </c>
      <c r="N3359" t="s">
        <v>16393</v>
      </c>
      <c r="O3359" s="4">
        <v>48576</v>
      </c>
      <c r="P3359" s="4">
        <v>125530</v>
      </c>
      <c r="Q3359" s="4">
        <v>174106</v>
      </c>
      <c r="R3359" s="4">
        <v>522318</v>
      </c>
      <c r="S3359" t="s">
        <v>19671</v>
      </c>
      <c r="T3359" s="6">
        <v>40969</v>
      </c>
      <c r="U3359" s="4">
        <v>260000</v>
      </c>
      <c r="V3359" t="s">
        <v>23739</v>
      </c>
      <c r="W3359" t="s">
        <v>25411</v>
      </c>
      <c r="X3359" t="s">
        <v>3</v>
      </c>
      <c r="AA3359" s="5" t="str">
        <f>HYPERLINK("https://www.zillow.com/homes/1642-LOIS-ANN-LN-NAPERVILLE-IL-60563_rb/","check listing")</f>
        <v>check listing</v>
      </c>
      <c r="AB3359" s="5" t="str">
        <f>HYPERLINK("https://propertylookup.dupagecounty.gov/Datalets/Datalet.aspx?UseSearch=no&amp;mode=sales&amp;pin=0715204013","sales record")</f>
        <v>sales record</v>
      </c>
      <c r="AC3359" t="s">
        <v>3</v>
      </c>
      <c r="AD3359">
        <v>41.781433</v>
      </c>
      <c r="AE3359">
        <v>-88.19268099999999</v>
      </c>
      <c r="AF3359" s="5" t="str">
        <f>HYPERLINK("https://www.google.com/maps/search/?api=1&amp;query=41.781433,-88.192681","map")</f>
        <v>map</v>
      </c>
    </row>
    <row r="3360" spans="1:32">
      <c r="A3360" t="s">
        <v>3410</v>
      </c>
      <c r="B3360" t="s">
        <v>10943</v>
      </c>
      <c r="C3360" t="s">
        <v>15475</v>
      </c>
      <c r="D3360" t="s">
        <v>16206</v>
      </c>
      <c r="E3360" t="s">
        <v>16218</v>
      </c>
      <c r="F3360" t="s">
        <v>16220</v>
      </c>
      <c r="G3360" t="s">
        <v>16276</v>
      </c>
      <c r="H3360" t="s">
        <v>16276</v>
      </c>
      <c r="I3360" t="s">
        <v>16352</v>
      </c>
      <c r="J3360" t="s">
        <v>16386</v>
      </c>
      <c r="K3360">
        <v>0.183</v>
      </c>
      <c r="L3360">
        <v>7955</v>
      </c>
      <c r="M3360">
        <v>1814</v>
      </c>
      <c r="N3360" t="s">
        <v>16393</v>
      </c>
      <c r="O3360" s="4">
        <v>50993</v>
      </c>
      <c r="P3360" s="4">
        <v>122687</v>
      </c>
      <c r="Q3360" s="4">
        <v>173680</v>
      </c>
      <c r="R3360" s="4">
        <v>521040</v>
      </c>
      <c r="S3360" t="s">
        <v>19672</v>
      </c>
      <c r="T3360" s="6">
        <v>41244</v>
      </c>
      <c r="U3360" s="4">
        <v>327500</v>
      </c>
      <c r="V3360" t="s">
        <v>23740</v>
      </c>
      <c r="W3360" t="s">
        <v>25412</v>
      </c>
      <c r="X3360" t="s">
        <v>3</v>
      </c>
      <c r="AA3360" s="5" t="str">
        <f>HYPERLINK("https://www.zillow.com/homes/927-LOWELL-LN-NAPERVILLE-IL-60540_rb/","check listing")</f>
        <v>check listing</v>
      </c>
      <c r="AB3360" s="5" t="str">
        <f>HYPERLINK("https://propertylookup.dupagecounty.gov/Datalets/Datalet.aspx?UseSearch=no&amp;mode=sales&amp;pin=0727209024","sales record")</f>
        <v>sales record</v>
      </c>
      <c r="AC3360" t="s">
        <v>3</v>
      </c>
      <c r="AD3360">
        <v>41.753364</v>
      </c>
      <c r="AE3360">
        <v>-88.189919</v>
      </c>
      <c r="AF3360" s="5" t="str">
        <f>HYPERLINK("https://www.google.com/maps/search/?api=1&amp;query=41.753364,-88.189919","map")</f>
        <v>map</v>
      </c>
    </row>
    <row r="3361" spans="1:32">
      <c r="A3361" t="s">
        <v>3411</v>
      </c>
      <c r="B3361" t="s">
        <v>10944</v>
      </c>
      <c r="C3361" t="s">
        <v>15475</v>
      </c>
      <c r="D3361" t="s">
        <v>16206</v>
      </c>
      <c r="E3361" t="s">
        <v>16218</v>
      </c>
      <c r="F3361" t="s">
        <v>16220</v>
      </c>
      <c r="G3361" t="s">
        <v>16275</v>
      </c>
      <c r="H3361" t="s">
        <v>16276</v>
      </c>
      <c r="I3361" t="s">
        <v>16352</v>
      </c>
      <c r="J3361" t="s">
        <v>16386</v>
      </c>
      <c r="K3361">
        <v>0.182</v>
      </c>
      <c r="L3361">
        <v>7944</v>
      </c>
      <c r="M3361">
        <v>1583</v>
      </c>
      <c r="N3361" t="s">
        <v>16393</v>
      </c>
      <c r="O3361" s="4">
        <v>49444</v>
      </c>
      <c r="P3361" s="4">
        <v>129607</v>
      </c>
      <c r="Q3361" s="4">
        <v>179051</v>
      </c>
      <c r="R3361" s="4">
        <v>537153</v>
      </c>
      <c r="S3361" t="s">
        <v>19673</v>
      </c>
      <c r="T3361" s="6">
        <v>40695</v>
      </c>
      <c r="U3361" s="4">
        <v>318000</v>
      </c>
      <c r="V3361" t="s">
        <v>23739</v>
      </c>
      <c r="W3361" t="s">
        <v>25413</v>
      </c>
      <c r="X3361" t="s">
        <v>3</v>
      </c>
      <c r="AA3361" s="5" t="str">
        <f>HYPERLINK("https://www.zillow.com/homes/1203-ANDRIA-CT-NAPERVILLE-IL-60540_rb/","check listing")</f>
        <v>check listing</v>
      </c>
      <c r="AB3361" s="5" t="str">
        <f>HYPERLINK("https://propertylookup.dupagecounty.gov/Datalets/Datalet.aspx?UseSearch=no&amp;mode=sales&amp;pin=0727201031","sales record")</f>
        <v>sales record</v>
      </c>
      <c r="AC3361" t="s">
        <v>3</v>
      </c>
      <c r="AD3361">
        <v>41.748847</v>
      </c>
      <c r="AE3361">
        <v>-88.18913999999999</v>
      </c>
      <c r="AF3361" s="5" t="str">
        <f>HYPERLINK("https://www.google.com/maps/search/?api=1&amp;query=41.748847,-88.18914","map")</f>
        <v>map</v>
      </c>
    </row>
    <row r="3362" spans="1:32">
      <c r="A3362" t="s">
        <v>3412</v>
      </c>
      <c r="B3362" t="s">
        <v>10945</v>
      </c>
      <c r="C3362" t="s">
        <v>15475</v>
      </c>
      <c r="D3362" t="s">
        <v>16206</v>
      </c>
      <c r="E3362" t="s">
        <v>16218</v>
      </c>
      <c r="F3362" t="s">
        <v>16220</v>
      </c>
      <c r="G3362" t="s">
        <v>16276</v>
      </c>
      <c r="H3362" t="s">
        <v>16276</v>
      </c>
      <c r="I3362" t="s">
        <v>16352</v>
      </c>
      <c r="J3362" t="s">
        <v>16386</v>
      </c>
      <c r="K3362">
        <v>0.182</v>
      </c>
      <c r="L3362">
        <v>7918</v>
      </c>
      <c r="M3362">
        <v>1979</v>
      </c>
      <c r="N3362" t="s">
        <v>16393</v>
      </c>
      <c r="O3362" s="4">
        <v>43255</v>
      </c>
      <c r="P3362" s="4">
        <v>91819</v>
      </c>
      <c r="Q3362" s="4">
        <v>135074</v>
      </c>
      <c r="R3362" s="4">
        <v>405222</v>
      </c>
      <c r="S3362" t="s">
        <v>19674</v>
      </c>
      <c r="T3362" s="6">
        <v>43922</v>
      </c>
      <c r="U3362" s="4">
        <v>296000</v>
      </c>
      <c r="V3362" t="s">
        <v>23739</v>
      </c>
      <c r="W3362" t="s">
        <v>19674</v>
      </c>
      <c r="X3362" t="s">
        <v>3</v>
      </c>
      <c r="AA3362" s="5" t="str">
        <f>HYPERLINK("https://www.zillow.com/homes/2063-SCHUMACHER-DR-NAPERVILLE-IL-60540_rb/","check listing")</f>
        <v>check listing</v>
      </c>
      <c r="AB3362" s="5" t="str">
        <f>HYPERLINK("https://propertylookup.dupagecounty.gov/Datalets/Datalet.aspx?UseSearch=no&amp;mode=sales&amp;pin=0727210017","sales record")</f>
        <v>sales record</v>
      </c>
      <c r="AC3362" t="s">
        <v>3</v>
      </c>
      <c r="AD3362">
        <v>41.75357</v>
      </c>
      <c r="AE3362">
        <v>-88.187606</v>
      </c>
      <c r="AF3362" s="5" t="str">
        <f>HYPERLINK("https://www.google.com/maps/search/?api=1&amp;query=41.75357,-88.187606","map")</f>
        <v>map</v>
      </c>
    </row>
    <row r="3363" spans="1:32">
      <c r="A3363" t="s">
        <v>3413</v>
      </c>
      <c r="B3363" t="s">
        <v>10946</v>
      </c>
      <c r="C3363" t="s">
        <v>15560</v>
      </c>
      <c r="D3363" t="s">
        <v>16206</v>
      </c>
      <c r="E3363" t="s">
        <v>16218</v>
      </c>
      <c r="F3363" t="s">
        <v>16220</v>
      </c>
      <c r="G3363" t="s">
        <v>16274</v>
      </c>
      <c r="H3363" t="s">
        <v>16269</v>
      </c>
      <c r="I3363" t="s">
        <v>16352</v>
      </c>
      <c r="J3363" t="s">
        <v>16386</v>
      </c>
      <c r="K3363">
        <v>0.182</v>
      </c>
      <c r="L3363">
        <v>7911</v>
      </c>
      <c r="M3363">
        <v>2114</v>
      </c>
      <c r="N3363" t="s">
        <v>16393</v>
      </c>
      <c r="O3363" s="4">
        <v>48576</v>
      </c>
      <c r="P3363" s="4">
        <v>108431</v>
      </c>
      <c r="Q3363" s="4">
        <v>157007</v>
      </c>
      <c r="R3363" s="4">
        <v>471021</v>
      </c>
      <c r="S3363" t="s">
        <v>19675</v>
      </c>
      <c r="T3363" s="6">
        <v>42917</v>
      </c>
      <c r="U3363" s="4">
        <v>309000</v>
      </c>
      <c r="V3363" t="s">
        <v>23739</v>
      </c>
      <c r="W3363" t="s">
        <v>19675</v>
      </c>
      <c r="X3363" t="s">
        <v>3</v>
      </c>
      <c r="AA3363" s="5" t="str">
        <f>HYPERLINK("https://www.zillow.com/homes/1671-HINTERLONG-LN-NAPERVILLE-IL-605630459_rb/","check listing")</f>
        <v>check listing</v>
      </c>
      <c r="AB3363" s="5" t="str">
        <f>HYPERLINK("https://propertylookup.dupagecounty.gov/Datalets/Datalet.aspx?UseSearch=no&amp;mode=sales&amp;pin=0715203002","sales record")</f>
        <v>sales record</v>
      </c>
      <c r="AC3363" t="s">
        <v>3</v>
      </c>
      <c r="AD3363">
        <v>41.782241</v>
      </c>
      <c r="AE3363">
        <v>-88.194346</v>
      </c>
      <c r="AF3363" s="5" t="str">
        <f>HYPERLINK("https://www.google.com/maps/search/?api=1&amp;query=41.782241,-88.194346","map")</f>
        <v>map</v>
      </c>
    </row>
    <row r="3364" spans="1:32">
      <c r="A3364" t="s">
        <v>3414</v>
      </c>
      <c r="B3364" t="s">
        <v>10947</v>
      </c>
      <c r="C3364" t="s">
        <v>15563</v>
      </c>
      <c r="D3364" t="s">
        <v>16206</v>
      </c>
      <c r="E3364" t="s">
        <v>16218</v>
      </c>
      <c r="F3364" t="s">
        <v>16220</v>
      </c>
      <c r="G3364" t="s">
        <v>16269</v>
      </c>
      <c r="H3364" t="s">
        <v>16269</v>
      </c>
      <c r="I3364" t="s">
        <v>16352</v>
      </c>
      <c r="J3364" t="s">
        <v>16386</v>
      </c>
      <c r="K3364">
        <v>0.182</v>
      </c>
      <c r="L3364">
        <v>7910</v>
      </c>
      <c r="M3364">
        <v>2494</v>
      </c>
      <c r="N3364" t="s">
        <v>16393</v>
      </c>
      <c r="O3364" s="4">
        <v>73336</v>
      </c>
      <c r="P3364" s="4">
        <v>108095</v>
      </c>
      <c r="Q3364" s="4">
        <v>181431</v>
      </c>
      <c r="R3364" s="4">
        <v>544293</v>
      </c>
      <c r="S3364" t="s">
        <v>19676</v>
      </c>
      <c r="T3364" s="6">
        <v>44621</v>
      </c>
      <c r="U3364" s="4">
        <v>475000</v>
      </c>
      <c r="V3364" t="s">
        <v>23739</v>
      </c>
      <c r="W3364" t="s">
        <v>19676</v>
      </c>
      <c r="X3364" t="s">
        <v>3</v>
      </c>
      <c r="AA3364" s="5" t="str">
        <f>HYPERLINK("https://www.zillow.com/homes/1744-NAPOLEON-DR-NAPERVILLE-IL-605652641_rb/","check listing")</f>
        <v>check listing</v>
      </c>
      <c r="AB3364" s="5" t="str">
        <f>HYPERLINK("https://propertylookup.dupagecounty.gov/Datalets/Datalet.aspx?UseSearch=no&amp;mode=sales&amp;pin=0832115030","sales record")</f>
        <v>sales record</v>
      </c>
      <c r="AC3364" t="s">
        <v>27873</v>
      </c>
      <c r="AD3364">
        <v>41.735484</v>
      </c>
      <c r="AE3364">
        <v>-88.12033599999999</v>
      </c>
      <c r="AF3364" s="5" t="str">
        <f>HYPERLINK("https://www.google.com/maps/search/?api=1&amp;query=41.735484,-88.120336","map")</f>
        <v>map</v>
      </c>
    </row>
    <row r="3365" spans="1:32">
      <c r="A3365" t="s">
        <v>3415</v>
      </c>
      <c r="B3365" t="s">
        <v>10948</v>
      </c>
      <c r="C3365" t="s">
        <v>15475</v>
      </c>
      <c r="D3365" t="s">
        <v>16206</v>
      </c>
      <c r="E3365" t="s">
        <v>16218</v>
      </c>
      <c r="F3365" t="s">
        <v>16220</v>
      </c>
      <c r="G3365" t="s">
        <v>16275</v>
      </c>
      <c r="H3365" t="s">
        <v>16276</v>
      </c>
      <c r="I3365" t="s">
        <v>16352</v>
      </c>
      <c r="J3365" t="s">
        <v>16386</v>
      </c>
      <c r="K3365">
        <v>0.182</v>
      </c>
      <c r="L3365">
        <v>7910</v>
      </c>
      <c r="M3365">
        <v>1979</v>
      </c>
      <c r="N3365" t="s">
        <v>16393</v>
      </c>
      <c r="O3365" s="4">
        <v>47905</v>
      </c>
      <c r="P3365" s="4">
        <v>93430</v>
      </c>
      <c r="Q3365" s="4">
        <v>141335</v>
      </c>
      <c r="R3365" s="4">
        <v>424005</v>
      </c>
      <c r="S3365" t="s">
        <v>19677</v>
      </c>
      <c r="T3365" s="6">
        <v>41456</v>
      </c>
      <c r="U3365" s="4">
        <v>275000</v>
      </c>
      <c r="V3365" t="s">
        <v>23739</v>
      </c>
      <c r="W3365" t="s">
        <v>19677</v>
      </c>
      <c r="X3365" t="s">
        <v>3</v>
      </c>
      <c r="AA3365" s="5" t="str">
        <f>HYPERLINK("https://www.zillow.com/homes/844-VIOLET-CIR-NAPERVILLE-IL-60540_rb/","check listing")</f>
        <v>check listing</v>
      </c>
      <c r="AB3365" s="5" t="str">
        <f>HYPERLINK("https://propertylookup.dupagecounty.gov/Datalets/Datalet.aspx?UseSearch=no&amp;mode=sales&amp;pin=0722410033","sales record")</f>
        <v>sales record</v>
      </c>
      <c r="AC3365" t="s">
        <v>3</v>
      </c>
      <c r="AD3365">
        <v>41.758966</v>
      </c>
      <c r="AE3365">
        <v>-88.191722</v>
      </c>
      <c r="AF3365" s="5" t="str">
        <f>HYPERLINK("https://www.google.com/maps/search/?api=1&amp;query=41.758966,-88.191722","map")</f>
        <v>map</v>
      </c>
    </row>
    <row r="3366" spans="1:32">
      <c r="A3366" t="s">
        <v>3416</v>
      </c>
      <c r="B3366" t="s">
        <v>10949</v>
      </c>
      <c r="C3366" t="s">
        <v>15475</v>
      </c>
      <c r="D3366" t="s">
        <v>16206</v>
      </c>
      <c r="E3366" t="s">
        <v>16218</v>
      </c>
      <c r="F3366" t="s">
        <v>16220</v>
      </c>
      <c r="G3366" t="s">
        <v>16275</v>
      </c>
      <c r="H3366" t="s">
        <v>16276</v>
      </c>
      <c r="I3366" t="s">
        <v>16352</v>
      </c>
      <c r="J3366" t="s">
        <v>16386</v>
      </c>
      <c r="K3366">
        <v>0.181</v>
      </c>
      <c r="L3366">
        <v>7902</v>
      </c>
      <c r="M3366">
        <v>1649</v>
      </c>
      <c r="N3366" t="s">
        <v>16393</v>
      </c>
      <c r="O3366" s="4">
        <v>47905</v>
      </c>
      <c r="P3366" s="4">
        <v>101352</v>
      </c>
      <c r="Q3366" s="4">
        <v>149257</v>
      </c>
      <c r="R3366" s="4">
        <v>447771</v>
      </c>
      <c r="S3366" t="s">
        <v>19678</v>
      </c>
      <c r="T3366" s="6">
        <v>40118</v>
      </c>
      <c r="U3366" s="4">
        <v>260000</v>
      </c>
      <c r="V3366" t="s">
        <v>23739</v>
      </c>
      <c r="W3366" t="s">
        <v>25414</v>
      </c>
      <c r="X3366" t="s">
        <v>3</v>
      </c>
      <c r="AA3366" s="5" t="str">
        <f>HYPERLINK("https://www.zillow.com/homes/791-WILDFLOWER-CIR-NAPERVILLE-IL-60540_rb/","check listing")</f>
        <v>check listing</v>
      </c>
      <c r="AB3366" s="5" t="str">
        <f>HYPERLINK("https://propertylookup.dupagecounty.gov/Datalets/Datalet.aspx?UseSearch=no&amp;mode=sales&amp;pin=0722305002","sales record")</f>
        <v>sales record</v>
      </c>
      <c r="AC3366" t="s">
        <v>3</v>
      </c>
      <c r="AD3366">
        <v>41.758785</v>
      </c>
      <c r="AE3366">
        <v>-88.19637</v>
      </c>
      <c r="AF3366" s="5" t="str">
        <f>HYPERLINK("https://www.google.com/maps/search/?api=1&amp;query=41.758785,-88.19637","map")</f>
        <v>map</v>
      </c>
    </row>
    <row r="3367" spans="1:32">
      <c r="A3367" t="s">
        <v>3417</v>
      </c>
      <c r="B3367" t="s">
        <v>10950</v>
      </c>
      <c r="C3367" t="s">
        <v>15475</v>
      </c>
      <c r="D3367" t="s">
        <v>16206</v>
      </c>
      <c r="E3367" t="s">
        <v>16218</v>
      </c>
      <c r="F3367" t="s">
        <v>16220</v>
      </c>
      <c r="G3367" t="s">
        <v>16276</v>
      </c>
      <c r="H3367" t="s">
        <v>16276</v>
      </c>
      <c r="I3367" t="s">
        <v>16352</v>
      </c>
      <c r="J3367" t="s">
        <v>16386</v>
      </c>
      <c r="K3367">
        <v>0.181</v>
      </c>
      <c r="L3367">
        <v>7899</v>
      </c>
      <c r="M3367">
        <v>1977</v>
      </c>
      <c r="N3367" t="s">
        <v>16393</v>
      </c>
      <c r="O3367" s="4">
        <v>52555</v>
      </c>
      <c r="P3367" s="4">
        <v>109847</v>
      </c>
      <c r="Q3367" s="4">
        <v>162402</v>
      </c>
      <c r="R3367" s="4">
        <v>487206</v>
      </c>
      <c r="S3367" t="s">
        <v>19679</v>
      </c>
      <c r="T3367" s="6">
        <v>37834</v>
      </c>
      <c r="U3367" s="4">
        <v>235000</v>
      </c>
      <c r="V3367" t="s">
        <v>23739</v>
      </c>
      <c r="W3367" t="s">
        <v>25415</v>
      </c>
      <c r="X3367" t="s">
        <v>3</v>
      </c>
      <c r="AA3367" s="5" t="str">
        <f>HYPERLINK("https://www.zillow.com/homes/2151-SCHUMACHER-DR-NAPERVILLE-IL-60540_rb/","check listing")</f>
        <v>check listing</v>
      </c>
      <c r="AB3367" s="5" t="str">
        <f>HYPERLINK("https://propertylookup.dupagecounty.gov/Datalets/Datalet.aspx?UseSearch=no&amp;mode=sales&amp;pin=0727208018","sales record")</f>
        <v>sales record</v>
      </c>
      <c r="AC3367" t="s">
        <v>3</v>
      </c>
      <c r="AD3367">
        <v>41.752186</v>
      </c>
      <c r="AE3367">
        <v>-88.18897200000001</v>
      </c>
      <c r="AF3367" s="5" t="str">
        <f>HYPERLINK("https://www.google.com/maps/search/?api=1&amp;query=41.752186,-88.188972","map")</f>
        <v>map</v>
      </c>
    </row>
    <row r="3368" spans="1:32">
      <c r="A3368" t="s">
        <v>3418</v>
      </c>
      <c r="B3368" t="s">
        <v>10951</v>
      </c>
      <c r="C3368" t="s">
        <v>15567</v>
      </c>
      <c r="D3368" t="s">
        <v>16206</v>
      </c>
      <c r="E3368" t="s">
        <v>16218</v>
      </c>
      <c r="F3368" t="s">
        <v>16220</v>
      </c>
      <c r="G3368" t="s">
        <v>16275</v>
      </c>
      <c r="H3368" t="s">
        <v>16276</v>
      </c>
      <c r="I3368" t="s">
        <v>16352</v>
      </c>
      <c r="J3368" t="s">
        <v>16386</v>
      </c>
      <c r="K3368">
        <v>0.181</v>
      </c>
      <c r="L3368">
        <v>7894</v>
      </c>
      <c r="M3368">
        <v>2047</v>
      </c>
      <c r="N3368" t="s">
        <v>16393</v>
      </c>
      <c r="O3368" s="4">
        <v>38995</v>
      </c>
      <c r="P3368" s="4">
        <v>125664</v>
      </c>
      <c r="Q3368" s="4">
        <v>164659</v>
      </c>
      <c r="R3368" s="4">
        <v>493977</v>
      </c>
      <c r="S3368" t="s">
        <v>19680</v>
      </c>
      <c r="T3368" s="6">
        <v>42583</v>
      </c>
      <c r="U3368" s="4">
        <v>368000</v>
      </c>
      <c r="V3368" t="s">
        <v>23739</v>
      </c>
      <c r="W3368" t="s">
        <v>25416</v>
      </c>
      <c r="X3368" t="s">
        <v>3</v>
      </c>
      <c r="AA3368" s="5" t="str">
        <f>HYPERLINK("https://www.zillow.com/homes/1916-CROSSING-CT-NAPERVILLE-IL-605400983_rb/","check listing")</f>
        <v>check listing</v>
      </c>
      <c r="AB3368" s="5" t="str">
        <f>HYPERLINK("https://propertylookup.dupagecounty.gov/Datalets/Datalet.aspx?UseSearch=no&amp;mode=sales&amp;pin=0727201013","sales record")</f>
        <v>sales record</v>
      </c>
      <c r="AC3368" t="s">
        <v>3</v>
      </c>
      <c r="AD3368">
        <v>41.748635</v>
      </c>
      <c r="AE3368">
        <v>-88.18776</v>
      </c>
      <c r="AF3368" s="5" t="str">
        <f>HYPERLINK("https://www.google.com/maps/search/?api=1&amp;query=41.748635,-88.18776","map")</f>
        <v>map</v>
      </c>
    </row>
    <row r="3369" spans="1:32">
      <c r="A3369" t="s">
        <v>3419</v>
      </c>
      <c r="B3369" t="s">
        <v>10952</v>
      </c>
      <c r="C3369" t="s">
        <v>15579</v>
      </c>
      <c r="D3369" t="s">
        <v>16206</v>
      </c>
      <c r="E3369" t="s">
        <v>16218</v>
      </c>
      <c r="F3369" t="s">
        <v>16220</v>
      </c>
      <c r="G3369" t="s">
        <v>16274</v>
      </c>
      <c r="H3369" t="s">
        <v>16269</v>
      </c>
      <c r="I3369" t="s">
        <v>16352</v>
      </c>
      <c r="J3369" t="s">
        <v>16386</v>
      </c>
      <c r="K3369">
        <v>0.181</v>
      </c>
      <c r="L3369">
        <v>7892</v>
      </c>
      <c r="M3369">
        <v>1996</v>
      </c>
      <c r="N3369" t="s">
        <v>16393</v>
      </c>
      <c r="O3369" s="4">
        <v>48576</v>
      </c>
      <c r="P3369" s="4">
        <v>97251</v>
      </c>
      <c r="Q3369" s="4">
        <v>145827</v>
      </c>
      <c r="R3369" s="4">
        <v>437481</v>
      </c>
      <c r="S3369" t="s">
        <v>19681</v>
      </c>
      <c r="T3369" s="6">
        <v>45082</v>
      </c>
      <c r="U3369" s="4">
        <v>436000</v>
      </c>
      <c r="V3369" t="s">
        <v>23741</v>
      </c>
      <c r="W3369" t="s">
        <v>25417</v>
      </c>
      <c r="X3369" t="s">
        <v>3</v>
      </c>
      <c r="AA3369" s="5" t="str">
        <f>HYPERLINK("https://www.zillow.com/homes/1561-HINTERLONG-LN-NAPERVILLE-IL-605630463_rb/","check listing")</f>
        <v>check listing</v>
      </c>
      <c r="AB3369" s="5" t="str">
        <f>HYPERLINK("https://propertylookup.dupagecounty.gov/Datalets/Datalet.aspx?UseSearch=no&amp;mode=sales&amp;pin=0715205001","sales record")</f>
        <v>sales record</v>
      </c>
      <c r="AC3369" t="s">
        <v>3</v>
      </c>
      <c r="AD3369">
        <v>41.781946</v>
      </c>
      <c r="AE3369">
        <v>-88.190395</v>
      </c>
      <c r="AF3369" s="5" t="str">
        <f>HYPERLINK("https://www.google.com/maps/search/?api=1&amp;query=41.781946,-88.190395","map")</f>
        <v>map</v>
      </c>
    </row>
    <row r="3370" spans="1:32">
      <c r="A3370" t="s">
        <v>3420</v>
      </c>
      <c r="B3370" t="s">
        <v>10953</v>
      </c>
      <c r="C3370" t="s">
        <v>15513</v>
      </c>
      <c r="D3370" t="s">
        <v>16206</v>
      </c>
      <c r="E3370" t="s">
        <v>16218</v>
      </c>
      <c r="F3370" t="s">
        <v>16220</v>
      </c>
      <c r="G3370" t="s">
        <v>16269</v>
      </c>
      <c r="H3370" t="s">
        <v>16269</v>
      </c>
      <c r="I3370" t="s">
        <v>16352</v>
      </c>
      <c r="J3370" t="s">
        <v>16386</v>
      </c>
      <c r="K3370">
        <v>0.181</v>
      </c>
      <c r="L3370">
        <v>7882</v>
      </c>
      <c r="M3370">
        <v>2144</v>
      </c>
      <c r="N3370" t="s">
        <v>16393</v>
      </c>
      <c r="O3370" s="4">
        <v>96810</v>
      </c>
      <c r="P3370" s="4">
        <v>51086</v>
      </c>
      <c r="Q3370" s="4">
        <v>147896</v>
      </c>
      <c r="R3370" s="4">
        <v>443688</v>
      </c>
      <c r="S3370" t="s">
        <v>19682</v>
      </c>
      <c r="T3370" s="6">
        <v>44075</v>
      </c>
      <c r="U3370" s="4">
        <v>410000</v>
      </c>
      <c r="V3370" t="s">
        <v>23740</v>
      </c>
      <c r="W3370" t="s">
        <v>25418</v>
      </c>
      <c r="X3370" t="s">
        <v>3</v>
      </c>
      <c r="AA3370" s="5" t="str">
        <f>HYPERLINK("https://www.zillow.com/homes/626-E-5TH-AVE-NAPERVILLE-IL-605633203_rb/","check listing")</f>
        <v>check listing</v>
      </c>
      <c r="AB3370" s="5" t="str">
        <f>HYPERLINK("https://propertylookup.dupagecounty.gov/Datalets/Datalet.aspx?UseSearch=no&amp;mode=sales&amp;pin=0818202003","sales record")</f>
        <v>sales record</v>
      </c>
      <c r="AC3370" t="s">
        <v>3</v>
      </c>
      <c r="AD3370">
        <v>41.780393</v>
      </c>
      <c r="AE3370">
        <v>-88.138097</v>
      </c>
      <c r="AF3370" s="5" t="str">
        <f>HYPERLINK("https://www.google.com/maps/search/?api=1&amp;query=41.780393,-88.138097","map")</f>
        <v>map</v>
      </c>
    </row>
    <row r="3371" spans="1:32">
      <c r="A3371" t="s">
        <v>3421</v>
      </c>
      <c r="B3371" t="s">
        <v>10954</v>
      </c>
      <c r="C3371" t="s">
        <v>15580</v>
      </c>
      <c r="D3371" t="s">
        <v>16206</v>
      </c>
      <c r="E3371" t="s">
        <v>16218</v>
      </c>
      <c r="F3371" t="s">
        <v>16220</v>
      </c>
      <c r="G3371" t="s">
        <v>16274</v>
      </c>
      <c r="H3371" t="s">
        <v>16269</v>
      </c>
      <c r="I3371" t="s">
        <v>16352</v>
      </c>
      <c r="J3371" t="s">
        <v>16386</v>
      </c>
      <c r="K3371">
        <v>0.181</v>
      </c>
      <c r="L3371">
        <v>7877</v>
      </c>
      <c r="M3371">
        <v>2721</v>
      </c>
      <c r="N3371" t="s">
        <v>16393</v>
      </c>
      <c r="O3371" s="4">
        <v>48576</v>
      </c>
      <c r="P3371" s="4">
        <v>96530</v>
      </c>
      <c r="Q3371" s="4">
        <v>145106</v>
      </c>
      <c r="R3371" s="4">
        <v>435318</v>
      </c>
      <c r="S3371" t="s">
        <v>19683</v>
      </c>
      <c r="T3371" s="6">
        <v>42522</v>
      </c>
      <c r="U3371" s="4">
        <v>295000</v>
      </c>
      <c r="V3371" t="s">
        <v>23739</v>
      </c>
      <c r="W3371" t="s">
        <v>19683</v>
      </c>
      <c r="X3371" t="s">
        <v>3</v>
      </c>
      <c r="AA3371" s="5" t="str">
        <f>HYPERLINK("https://www.zillow.com/homes/1640-TERRI-CIR-NAPERVILLE-IL-605630453_rb/","check listing")</f>
        <v>check listing</v>
      </c>
      <c r="AB3371" s="5" t="str">
        <f>HYPERLINK("https://propertylookup.dupagecounty.gov/Datalets/Datalet.aspx?UseSearch=no&amp;mode=sales&amp;pin=0715205007","sales record")</f>
        <v>sales record</v>
      </c>
      <c r="AC3371" t="s">
        <v>3</v>
      </c>
      <c r="AD3371">
        <v>41.781306</v>
      </c>
      <c r="AE3371">
        <v>-88.19149400000001</v>
      </c>
      <c r="AF3371" s="5" t="str">
        <f>HYPERLINK("https://www.google.com/maps/search/?api=1&amp;query=41.781306,-88.191494","map")</f>
        <v>map</v>
      </c>
    </row>
    <row r="3372" spans="1:32">
      <c r="A3372" t="s">
        <v>3422</v>
      </c>
      <c r="B3372" t="s">
        <v>10955</v>
      </c>
      <c r="C3372" t="s">
        <v>15475</v>
      </c>
      <c r="D3372" t="s">
        <v>16206</v>
      </c>
      <c r="E3372" t="s">
        <v>16218</v>
      </c>
      <c r="F3372" t="s">
        <v>16220</v>
      </c>
      <c r="G3372" t="s">
        <v>16275</v>
      </c>
      <c r="H3372" t="s">
        <v>16276</v>
      </c>
      <c r="I3372" t="s">
        <v>16352</v>
      </c>
      <c r="J3372" t="s">
        <v>16386</v>
      </c>
      <c r="K3372">
        <v>0.181</v>
      </c>
      <c r="L3372">
        <v>7876</v>
      </c>
      <c r="M3372">
        <v>2176</v>
      </c>
      <c r="N3372" t="s">
        <v>16393</v>
      </c>
      <c r="O3372" s="4">
        <v>43109</v>
      </c>
      <c r="P3372" s="4">
        <v>111141</v>
      </c>
      <c r="Q3372" s="4">
        <v>154250</v>
      </c>
      <c r="R3372" s="4">
        <v>462750</v>
      </c>
      <c r="S3372" t="s">
        <v>19684</v>
      </c>
      <c r="T3372" s="6">
        <v>42156</v>
      </c>
      <c r="U3372" s="4">
        <v>295000</v>
      </c>
      <c r="V3372" t="s">
        <v>23739</v>
      </c>
      <c r="W3372" t="s">
        <v>25419</v>
      </c>
      <c r="X3372" t="s">
        <v>3</v>
      </c>
      <c r="AA3372" s="5" t="str">
        <f>HYPERLINK("https://www.zillow.com/homes/703-VIOLET-CIR-NAPERVILLE-IL-60540_rb/","check listing")</f>
        <v>check listing</v>
      </c>
      <c r="AB3372" s="5" t="str">
        <f>HYPERLINK("https://propertylookup.dupagecounty.gov/Datalets/Datalet.aspx?UseSearch=no&amp;mode=sales&amp;pin=0722407066","sales record")</f>
        <v>sales record</v>
      </c>
      <c r="AC3372" t="s">
        <v>3</v>
      </c>
      <c r="AD3372">
        <v>41.761689</v>
      </c>
      <c r="AE3372">
        <v>-88.189099</v>
      </c>
      <c r="AF3372" s="5" t="str">
        <f>HYPERLINK("https://www.google.com/maps/search/?api=1&amp;query=41.761689,-88.189099","map")</f>
        <v>map</v>
      </c>
    </row>
    <row r="3373" spans="1:32">
      <c r="A3373" t="s">
        <v>3423</v>
      </c>
      <c r="B3373" t="s">
        <v>10956</v>
      </c>
      <c r="C3373" t="s">
        <v>15475</v>
      </c>
      <c r="D3373" t="s">
        <v>16206</v>
      </c>
      <c r="E3373" t="s">
        <v>16218</v>
      </c>
      <c r="F3373" t="s">
        <v>16220</v>
      </c>
      <c r="G3373" t="s">
        <v>16275</v>
      </c>
      <c r="H3373" t="s">
        <v>16276</v>
      </c>
      <c r="I3373" t="s">
        <v>16352</v>
      </c>
      <c r="J3373" t="s">
        <v>16386</v>
      </c>
      <c r="K3373">
        <v>0.181</v>
      </c>
      <c r="L3373">
        <v>7869</v>
      </c>
      <c r="M3373">
        <v>2225</v>
      </c>
      <c r="N3373" t="s">
        <v>16393</v>
      </c>
      <c r="O3373" s="4">
        <v>55655</v>
      </c>
      <c r="P3373" s="4">
        <v>115924</v>
      </c>
      <c r="Q3373" s="4">
        <v>171579</v>
      </c>
      <c r="R3373" s="4">
        <v>514737</v>
      </c>
      <c r="S3373" t="s">
        <v>19685</v>
      </c>
      <c r="T3373" s="6">
        <v>34243</v>
      </c>
      <c r="U3373" s="4">
        <v>180785</v>
      </c>
      <c r="X3373" t="s">
        <v>3</v>
      </c>
      <c r="AA3373" s="5" t="str">
        <f>HYPERLINK("https://www.zillow.com/homes/1120-HANNAH-CT-NAPERVILLE-IL-60540_rb/","check listing")</f>
        <v>check listing</v>
      </c>
      <c r="AB3373" s="5" t="str">
        <f>HYPERLINK("https://propertylookup.dupagecounty.gov/Datalets/Datalet.aspx?UseSearch=no&amp;mode=sales&amp;pin=0727204017","sales record")</f>
        <v>sales record</v>
      </c>
      <c r="AC3373" t="s">
        <v>3</v>
      </c>
      <c r="AD3373">
        <v>41.750113</v>
      </c>
      <c r="AE3373">
        <v>-88.188203</v>
      </c>
      <c r="AF3373" s="5" t="str">
        <f>HYPERLINK("https://www.google.com/maps/search/?api=1&amp;query=41.750113,-88.188203","map")</f>
        <v>map</v>
      </c>
    </row>
    <row r="3374" spans="1:32">
      <c r="A3374" t="s">
        <v>3424</v>
      </c>
      <c r="B3374" t="s">
        <v>10957</v>
      </c>
      <c r="C3374" t="s">
        <v>15475</v>
      </c>
      <c r="D3374" t="s">
        <v>16206</v>
      </c>
      <c r="E3374" t="s">
        <v>16218</v>
      </c>
      <c r="F3374" t="s">
        <v>16220</v>
      </c>
      <c r="G3374" t="s">
        <v>16275</v>
      </c>
      <c r="H3374" t="s">
        <v>16276</v>
      </c>
      <c r="I3374" t="s">
        <v>16352</v>
      </c>
      <c r="J3374" t="s">
        <v>16386</v>
      </c>
      <c r="K3374">
        <v>0.18</v>
      </c>
      <c r="L3374">
        <v>7857</v>
      </c>
      <c r="M3374">
        <v>2309</v>
      </c>
      <c r="N3374" t="s">
        <v>16393</v>
      </c>
      <c r="O3374" s="4">
        <v>43255</v>
      </c>
      <c r="P3374" s="4">
        <v>106465</v>
      </c>
      <c r="Q3374" s="4">
        <v>149720</v>
      </c>
      <c r="R3374" s="4">
        <v>449160</v>
      </c>
      <c r="S3374" t="s">
        <v>19686</v>
      </c>
      <c r="T3374" s="6">
        <v>37803</v>
      </c>
      <c r="U3374" s="4">
        <v>275000</v>
      </c>
      <c r="V3374" t="s">
        <v>23739</v>
      </c>
      <c r="W3374" t="s">
        <v>25420</v>
      </c>
      <c r="X3374" t="s">
        <v>3</v>
      </c>
      <c r="AA3374" s="5" t="str">
        <f>HYPERLINK("https://www.zillow.com/homes/2060-CROSSING-LN-NAPERVILLE-IL-60540_rb/","check listing")</f>
        <v>check listing</v>
      </c>
      <c r="AB3374" s="5" t="str">
        <f>HYPERLINK("https://propertylookup.dupagecounty.gov/Datalets/Datalet.aspx?UseSearch=no&amp;mode=sales&amp;pin=0727204001","sales record")</f>
        <v>sales record</v>
      </c>
      <c r="AC3374" t="s">
        <v>3</v>
      </c>
      <c r="AD3374">
        <v>41.750381</v>
      </c>
      <c r="AE3374">
        <v>-88.189256</v>
      </c>
      <c r="AF3374" s="5" t="str">
        <f>HYPERLINK("https://www.google.com/maps/search/?api=1&amp;query=41.750381,-88.189256","map")</f>
        <v>map</v>
      </c>
    </row>
    <row r="3375" spans="1:32">
      <c r="A3375" t="s">
        <v>3425</v>
      </c>
      <c r="B3375" t="s">
        <v>10958</v>
      </c>
      <c r="C3375" t="s">
        <v>15581</v>
      </c>
      <c r="D3375" t="s">
        <v>16206</v>
      </c>
      <c r="E3375" t="s">
        <v>16218</v>
      </c>
      <c r="F3375" t="s">
        <v>16220</v>
      </c>
      <c r="G3375" t="s">
        <v>16275</v>
      </c>
      <c r="H3375" t="s">
        <v>16276</v>
      </c>
      <c r="I3375" t="s">
        <v>16352</v>
      </c>
      <c r="J3375" t="s">
        <v>16386</v>
      </c>
      <c r="K3375">
        <v>0.18</v>
      </c>
      <c r="L3375">
        <v>7839</v>
      </c>
      <c r="M3375">
        <v>1781</v>
      </c>
      <c r="N3375" t="s">
        <v>16393</v>
      </c>
      <c r="O3375" s="4">
        <v>52555</v>
      </c>
      <c r="P3375" s="4">
        <v>121514</v>
      </c>
      <c r="Q3375" s="4">
        <v>174069</v>
      </c>
      <c r="R3375" s="4">
        <v>522207</v>
      </c>
      <c r="S3375" t="s">
        <v>19687</v>
      </c>
      <c r="T3375" s="6">
        <v>43525</v>
      </c>
      <c r="U3375" s="4">
        <v>360000</v>
      </c>
      <c r="V3375" t="s">
        <v>23739</v>
      </c>
      <c r="W3375" t="s">
        <v>25421</v>
      </c>
      <c r="X3375" t="s">
        <v>3</v>
      </c>
      <c r="AA3375" s="5" t="str">
        <f>HYPERLINK("https://www.zillow.com/homes/1147-LAKEWOOD-CIR-NAPERVILLE-IL-605400999_rb/","check listing")</f>
        <v>check listing</v>
      </c>
      <c r="AB3375" s="5" t="str">
        <f>HYPERLINK("https://propertylookup.dupagecounty.gov/Datalets/Datalet.aspx?UseSearch=no&amp;mode=sales&amp;pin=0727205021","sales record")</f>
        <v>sales record</v>
      </c>
      <c r="AC3375" t="s">
        <v>3</v>
      </c>
      <c r="AD3375">
        <v>41.750738</v>
      </c>
      <c r="AE3375">
        <v>-88.190242</v>
      </c>
      <c r="AF3375" s="5" t="str">
        <f>HYPERLINK("https://www.google.com/maps/search/?api=1&amp;query=41.750738,-88.190242","map")</f>
        <v>map</v>
      </c>
    </row>
    <row r="3376" spans="1:32">
      <c r="A3376" t="s">
        <v>3426</v>
      </c>
      <c r="B3376" t="s">
        <v>10959</v>
      </c>
      <c r="C3376" t="s">
        <v>15478</v>
      </c>
      <c r="D3376" t="s">
        <v>16206</v>
      </c>
      <c r="E3376" t="s">
        <v>16218</v>
      </c>
      <c r="F3376" t="s">
        <v>16220</v>
      </c>
      <c r="G3376" t="s">
        <v>16274</v>
      </c>
      <c r="H3376" t="s">
        <v>16269</v>
      </c>
      <c r="I3376" t="s">
        <v>16352</v>
      </c>
      <c r="J3376" t="s">
        <v>16386</v>
      </c>
      <c r="K3376">
        <v>0.18</v>
      </c>
      <c r="L3376">
        <v>7839</v>
      </c>
      <c r="M3376">
        <v>2117</v>
      </c>
      <c r="N3376" t="s">
        <v>16393</v>
      </c>
      <c r="O3376" s="4">
        <v>60269</v>
      </c>
      <c r="P3376" s="4">
        <v>116438</v>
      </c>
      <c r="Q3376" s="4">
        <v>176707</v>
      </c>
      <c r="R3376" s="4">
        <v>530121</v>
      </c>
      <c r="S3376" t="s">
        <v>19688</v>
      </c>
      <c r="T3376" s="6">
        <v>40118</v>
      </c>
      <c r="U3376" s="4">
        <v>340000</v>
      </c>
      <c r="V3376" t="s">
        <v>23740</v>
      </c>
      <c r="W3376" t="s">
        <v>19688</v>
      </c>
      <c r="X3376" t="s">
        <v>3</v>
      </c>
      <c r="AA3376" s="5" t="str">
        <f>HYPERLINK("https://www.zillow.com/homes/708-STACIE-CT-NAPERVILLE-IL-60563_rb/","check listing")</f>
        <v>check listing</v>
      </c>
      <c r="AB3376" s="5" t="str">
        <f>HYPERLINK("https://propertylookup.dupagecounty.gov/Datalets/Datalet.aspx?UseSearch=no&amp;mode=sales&amp;pin=0715205015","sales record")</f>
        <v>sales record</v>
      </c>
      <c r="AC3376" t="s">
        <v>3</v>
      </c>
      <c r="AD3376">
        <v>41.781546</v>
      </c>
      <c r="AE3376">
        <v>-88.190369</v>
      </c>
      <c r="AF3376" s="5" t="str">
        <f>HYPERLINK("https://www.google.com/maps/search/?api=1&amp;query=41.781546,-88.190369","map")</f>
        <v>map</v>
      </c>
    </row>
    <row r="3377" spans="1:32">
      <c r="A3377" t="s">
        <v>3427</v>
      </c>
      <c r="B3377" t="s">
        <v>10960</v>
      </c>
      <c r="C3377" t="s">
        <v>15478</v>
      </c>
      <c r="D3377" t="s">
        <v>16206</v>
      </c>
      <c r="E3377" t="s">
        <v>16218</v>
      </c>
      <c r="F3377" t="s">
        <v>16220</v>
      </c>
      <c r="G3377" t="s">
        <v>16274</v>
      </c>
      <c r="H3377" t="s">
        <v>16269</v>
      </c>
      <c r="I3377" t="s">
        <v>16352</v>
      </c>
      <c r="J3377" t="s">
        <v>16386</v>
      </c>
      <c r="K3377">
        <v>0.18</v>
      </c>
      <c r="L3377">
        <v>7838</v>
      </c>
      <c r="M3377">
        <v>1815</v>
      </c>
      <c r="N3377" t="s">
        <v>16393</v>
      </c>
      <c r="O3377" s="4">
        <v>55448</v>
      </c>
      <c r="P3377" s="4">
        <v>94151</v>
      </c>
      <c r="Q3377" s="4">
        <v>149599</v>
      </c>
      <c r="R3377" s="4">
        <v>448797</v>
      </c>
      <c r="S3377" t="s">
        <v>19689</v>
      </c>
      <c r="T3377" s="6">
        <v>43831</v>
      </c>
      <c r="U3377" s="4">
        <v>360000</v>
      </c>
      <c r="V3377" t="s">
        <v>23739</v>
      </c>
      <c r="W3377" t="s">
        <v>19689</v>
      </c>
      <c r="X3377" t="s">
        <v>3</v>
      </c>
      <c r="AA3377" s="5" t="str">
        <f>HYPERLINK("https://www.zillow.com/homes/808-ANTHONY-CT-NAPERVILLE-IL-60563_rb/","check listing")</f>
        <v>check listing</v>
      </c>
      <c r="AB3377" s="5" t="str">
        <f>HYPERLINK("https://propertylookup.dupagecounty.gov/Datalets/Datalet.aspx?UseSearch=no&amp;mode=sales&amp;pin=0715203014","sales record")</f>
        <v>sales record</v>
      </c>
      <c r="AC3377" t="s">
        <v>3</v>
      </c>
      <c r="AD3377">
        <v>41.782666</v>
      </c>
      <c r="AE3377">
        <v>-88.192763</v>
      </c>
      <c r="AF3377" s="5" t="str">
        <f>HYPERLINK("https://www.google.com/maps/search/?api=1&amp;query=41.782666,-88.192763","map")</f>
        <v>map</v>
      </c>
    </row>
    <row r="3378" spans="1:32">
      <c r="A3378" t="s">
        <v>3428</v>
      </c>
      <c r="B3378" t="s">
        <v>10961</v>
      </c>
      <c r="C3378" t="s">
        <v>15525</v>
      </c>
      <c r="D3378" t="s">
        <v>16206</v>
      </c>
      <c r="E3378" t="s">
        <v>16218</v>
      </c>
      <c r="F3378" t="s">
        <v>16220</v>
      </c>
      <c r="G3378" t="s">
        <v>16275</v>
      </c>
      <c r="H3378" t="s">
        <v>16276</v>
      </c>
      <c r="I3378" t="s">
        <v>16352</v>
      </c>
      <c r="J3378" t="s">
        <v>16386</v>
      </c>
      <c r="K3378">
        <v>0.18</v>
      </c>
      <c r="L3378">
        <v>7826</v>
      </c>
      <c r="M3378">
        <v>2102</v>
      </c>
      <c r="N3378" t="s">
        <v>16393</v>
      </c>
      <c r="O3378" s="4">
        <v>40168</v>
      </c>
      <c r="P3378" s="4">
        <v>121930</v>
      </c>
      <c r="Q3378" s="4">
        <v>162098</v>
      </c>
      <c r="R3378" s="4">
        <v>486294</v>
      </c>
      <c r="S3378" t="s">
        <v>19690</v>
      </c>
      <c r="T3378" s="6">
        <v>44652</v>
      </c>
      <c r="U3378" s="4">
        <v>469000</v>
      </c>
      <c r="V3378" t="s">
        <v>23739</v>
      </c>
      <c r="W3378" t="s">
        <v>25422</v>
      </c>
      <c r="X3378" t="s">
        <v>3</v>
      </c>
      <c r="AA3378" s="5" t="str">
        <f>HYPERLINK("https://www.zillow.com/homes/1255-LAKEWOOD-CIR-NAPERVILLE-IL-605400997_rb/","check listing")</f>
        <v>check listing</v>
      </c>
      <c r="AB3378" s="5" t="str">
        <f>HYPERLINK("https://propertylookup.dupagecounty.gov/Datalets/Datalet.aspx?UseSearch=no&amp;mode=sales&amp;pin=0727201052","sales record")</f>
        <v>sales record</v>
      </c>
      <c r="AC3378" t="s">
        <v>3</v>
      </c>
      <c r="AD3378">
        <v>41.747779</v>
      </c>
      <c r="AE3378">
        <v>-88.192767</v>
      </c>
      <c r="AF3378" s="5" t="str">
        <f>HYPERLINK("https://www.google.com/maps/search/?api=1&amp;query=41.747779,-88.192767","map")</f>
        <v>map</v>
      </c>
    </row>
    <row r="3379" spans="1:32">
      <c r="A3379" t="s">
        <v>3429</v>
      </c>
      <c r="B3379" t="s">
        <v>10962</v>
      </c>
      <c r="C3379" t="s">
        <v>15476</v>
      </c>
      <c r="D3379" t="s">
        <v>16206</v>
      </c>
      <c r="E3379" t="s">
        <v>16218</v>
      </c>
      <c r="F3379" t="s">
        <v>16220</v>
      </c>
      <c r="G3379" t="s">
        <v>16269</v>
      </c>
      <c r="H3379" t="s">
        <v>16269</v>
      </c>
      <c r="I3379" t="s">
        <v>16352</v>
      </c>
      <c r="J3379" t="s">
        <v>16386</v>
      </c>
      <c r="K3379">
        <v>0.18</v>
      </c>
      <c r="L3379">
        <v>7825</v>
      </c>
      <c r="M3379">
        <v>1715</v>
      </c>
      <c r="N3379" t="s">
        <v>16393</v>
      </c>
      <c r="O3379" s="4">
        <v>75083</v>
      </c>
      <c r="P3379" s="4">
        <v>102708</v>
      </c>
      <c r="Q3379" s="4">
        <v>177791</v>
      </c>
      <c r="R3379" s="4">
        <v>533373</v>
      </c>
      <c r="S3379" t="s">
        <v>19691</v>
      </c>
      <c r="T3379" s="6">
        <v>36130</v>
      </c>
      <c r="U3379" s="4">
        <v>182000</v>
      </c>
      <c r="X3379" t="s">
        <v>3</v>
      </c>
      <c r="AA3379" s="5" t="str">
        <f>HYPERLINK("https://www.zillow.com/homes/472-BOURBON-LN-NAPERVILLE-IL-60565_rb/","check listing")</f>
        <v>check listing</v>
      </c>
      <c r="AB3379" s="5" t="str">
        <f>HYPERLINK("https://propertylookup.dupagecounty.gov/Datalets/Datalet.aspx?UseSearch=no&amp;mode=sales&amp;pin=0832117018","sales record")</f>
        <v>sales record</v>
      </c>
      <c r="AC3379" t="s">
        <v>3</v>
      </c>
      <c r="AD3379">
        <v>41.735012</v>
      </c>
      <c r="AE3379">
        <v>-88.119495</v>
      </c>
      <c r="AF3379" s="5" t="str">
        <f>HYPERLINK("https://www.google.com/maps/search/?api=1&amp;query=41.735012,-88.119495","map")</f>
        <v>map</v>
      </c>
    </row>
    <row r="3380" spans="1:32">
      <c r="A3380" t="s">
        <v>3430</v>
      </c>
      <c r="B3380" t="s">
        <v>10963</v>
      </c>
      <c r="C3380" t="s">
        <v>15475</v>
      </c>
      <c r="D3380" t="s">
        <v>16206</v>
      </c>
      <c r="E3380" t="s">
        <v>16218</v>
      </c>
      <c r="F3380" t="s">
        <v>16220</v>
      </c>
      <c r="G3380" t="s">
        <v>16275</v>
      </c>
      <c r="H3380" t="s">
        <v>16276</v>
      </c>
      <c r="I3380" t="s">
        <v>16352</v>
      </c>
      <c r="J3380" t="s">
        <v>16386</v>
      </c>
      <c r="K3380">
        <v>0.179</v>
      </c>
      <c r="L3380">
        <v>7812</v>
      </c>
      <c r="M3380">
        <v>2169</v>
      </c>
      <c r="N3380" t="s">
        <v>16393</v>
      </c>
      <c r="O3380" s="4">
        <v>51103</v>
      </c>
      <c r="P3380" s="4">
        <v>132108</v>
      </c>
      <c r="Q3380" s="4">
        <v>183211</v>
      </c>
      <c r="R3380" s="4">
        <v>549633</v>
      </c>
      <c r="S3380" t="s">
        <v>19692</v>
      </c>
      <c r="T3380" s="6">
        <v>36465</v>
      </c>
      <c r="U3380" s="4">
        <v>246000</v>
      </c>
      <c r="X3380" t="s">
        <v>3</v>
      </c>
      <c r="AA3380" s="5" t="str">
        <f>HYPERLINK("https://www.zillow.com/homes/624-WINTERGREEN-CIR-NAPERVILLE-IL-60540_rb/","check listing")</f>
        <v>check listing</v>
      </c>
      <c r="AB3380" s="5" t="str">
        <f>HYPERLINK("https://propertylookup.dupagecounty.gov/Datalets/Datalet.aspx?UseSearch=no&amp;mode=sales&amp;pin=0722405021","sales record")</f>
        <v>sales record</v>
      </c>
      <c r="AC3380" t="s">
        <v>3</v>
      </c>
      <c r="AD3380">
        <v>41.760415</v>
      </c>
      <c r="AE3380">
        <v>-88.193287</v>
      </c>
      <c r="AF3380" s="5" t="str">
        <f>HYPERLINK("https://www.google.com/maps/search/?api=1&amp;query=41.760415,-88.193287","map")</f>
        <v>map</v>
      </c>
    </row>
    <row r="3381" spans="1:32">
      <c r="A3381" t="s">
        <v>3431</v>
      </c>
      <c r="B3381" t="s">
        <v>10964</v>
      </c>
      <c r="C3381" t="s">
        <v>15478</v>
      </c>
      <c r="D3381" t="s">
        <v>16206</v>
      </c>
      <c r="E3381" t="s">
        <v>16218</v>
      </c>
      <c r="F3381" t="s">
        <v>16220</v>
      </c>
      <c r="G3381" t="s">
        <v>16274</v>
      </c>
      <c r="H3381" t="s">
        <v>16269</v>
      </c>
      <c r="I3381" t="s">
        <v>16352</v>
      </c>
      <c r="J3381" t="s">
        <v>16386</v>
      </c>
      <c r="K3381">
        <v>0.179</v>
      </c>
      <c r="L3381">
        <v>7808</v>
      </c>
      <c r="M3381">
        <v>2126</v>
      </c>
      <c r="N3381" t="s">
        <v>16393</v>
      </c>
      <c r="O3381" s="4">
        <v>60269</v>
      </c>
      <c r="P3381" s="4">
        <v>96604</v>
      </c>
      <c r="Q3381" s="4">
        <v>156873</v>
      </c>
      <c r="R3381" s="4">
        <v>470619</v>
      </c>
      <c r="S3381" t="s">
        <v>19693</v>
      </c>
      <c r="T3381" s="6">
        <v>45026</v>
      </c>
      <c r="U3381" s="4">
        <v>430000</v>
      </c>
      <c r="V3381" t="s">
        <v>23739</v>
      </c>
      <c r="W3381" t="s">
        <v>25423</v>
      </c>
      <c r="X3381" t="s">
        <v>3</v>
      </c>
      <c r="AA3381" s="5" t="str">
        <f>HYPERLINK("https://www.zillow.com/homes/713-STACIE-CT-NAPERVILLE-IL-60563_rb/","check listing")</f>
        <v>check listing</v>
      </c>
      <c r="AB3381" s="5" t="str">
        <f>HYPERLINK("https://propertylookup.dupagecounty.gov/Datalets/Datalet.aspx?UseSearch=no&amp;mode=sales&amp;pin=0715205013","sales record")</f>
        <v>sales record</v>
      </c>
      <c r="AC3381" t="s">
        <v>3</v>
      </c>
      <c r="AD3381">
        <v>41.781526</v>
      </c>
      <c r="AE3381">
        <v>-88.19094800000001</v>
      </c>
      <c r="AF3381" s="5" t="str">
        <f>HYPERLINK("https://www.google.com/maps/search/?api=1&amp;query=41.781526,-88.190948","map")</f>
        <v>map</v>
      </c>
    </row>
    <row r="3382" spans="1:32">
      <c r="A3382" t="s">
        <v>3432</v>
      </c>
      <c r="B3382" t="s">
        <v>10965</v>
      </c>
      <c r="C3382" t="s">
        <v>15475</v>
      </c>
      <c r="D3382" t="s">
        <v>16206</v>
      </c>
      <c r="E3382" t="s">
        <v>16218</v>
      </c>
      <c r="F3382" t="s">
        <v>16220</v>
      </c>
      <c r="G3382" t="s">
        <v>16269</v>
      </c>
      <c r="H3382" t="s">
        <v>16269</v>
      </c>
      <c r="I3382" t="s">
        <v>16352</v>
      </c>
      <c r="J3382" t="s">
        <v>16386</v>
      </c>
      <c r="K3382">
        <v>0.179</v>
      </c>
      <c r="L3382">
        <v>7805</v>
      </c>
      <c r="M3382">
        <v>1781</v>
      </c>
      <c r="N3382" t="s">
        <v>16393</v>
      </c>
      <c r="O3382" s="4">
        <v>75072</v>
      </c>
      <c r="P3382" s="4">
        <v>96155</v>
      </c>
      <c r="Q3382" s="4">
        <v>171227</v>
      </c>
      <c r="R3382" s="4">
        <v>513681</v>
      </c>
      <c r="S3382" t="s">
        <v>19694</v>
      </c>
      <c r="T3382" s="6">
        <v>36008</v>
      </c>
      <c r="U3382" s="4">
        <v>217500</v>
      </c>
      <c r="X3382" t="s">
        <v>3</v>
      </c>
      <c r="AA3382" s="5" t="str">
        <f>HYPERLINK("https://www.zillow.com/homes/1716-CHALMETTE-CT-NAPERVILLE-IL-60540_rb/","check listing")</f>
        <v>check listing</v>
      </c>
      <c r="AB3382" s="5" t="str">
        <f>HYPERLINK("https://propertylookup.dupagecounty.gov/Datalets/Datalet.aspx?UseSearch=no&amp;mode=sales&amp;pin=0832114073","sales record")</f>
        <v>sales record</v>
      </c>
      <c r="AC3382" t="s">
        <v>3</v>
      </c>
      <c r="AD3382">
        <v>41.735534</v>
      </c>
      <c r="AE3382">
        <v>-88.121441</v>
      </c>
      <c r="AF3382" s="5" t="str">
        <f>HYPERLINK("https://www.google.com/maps/search/?api=1&amp;query=41.735534,-88.121441","map")</f>
        <v>map</v>
      </c>
    </row>
    <row r="3383" spans="1:32">
      <c r="A3383" t="s">
        <v>3433</v>
      </c>
      <c r="B3383" t="s">
        <v>10966</v>
      </c>
      <c r="C3383" t="s">
        <v>15476</v>
      </c>
      <c r="D3383" t="s">
        <v>16206</v>
      </c>
      <c r="E3383" t="s">
        <v>16218</v>
      </c>
      <c r="F3383" t="s">
        <v>16220</v>
      </c>
      <c r="G3383" t="s">
        <v>16269</v>
      </c>
      <c r="H3383" t="s">
        <v>16269</v>
      </c>
      <c r="I3383" t="s">
        <v>16352</v>
      </c>
      <c r="J3383" t="s">
        <v>16386</v>
      </c>
      <c r="K3383">
        <v>0.179</v>
      </c>
      <c r="L3383">
        <v>7804</v>
      </c>
      <c r="M3383">
        <v>1647</v>
      </c>
      <c r="N3383" t="s">
        <v>16393</v>
      </c>
      <c r="O3383" s="4">
        <v>74156</v>
      </c>
      <c r="P3383" s="4">
        <v>95383</v>
      </c>
      <c r="Q3383" s="4">
        <v>169539</v>
      </c>
      <c r="R3383" s="4">
        <v>508617</v>
      </c>
      <c r="S3383" t="s">
        <v>19695</v>
      </c>
      <c r="T3383" s="6">
        <v>37469</v>
      </c>
      <c r="U3383" s="4">
        <v>285000</v>
      </c>
      <c r="V3383" t="s">
        <v>23739</v>
      </c>
      <c r="W3383" t="s">
        <v>25424</v>
      </c>
      <c r="X3383" t="s">
        <v>3</v>
      </c>
      <c r="AA3383" s="5" t="str">
        <f>HYPERLINK("https://www.zillow.com/homes/507-BOURBON-LN-NAPERVILLE-IL-60565_rb/","check listing")</f>
        <v>check listing</v>
      </c>
      <c r="AB3383" s="5" t="str">
        <f>HYPERLINK("https://propertylookup.dupagecounty.gov/Datalets/Datalet.aspx?UseSearch=no&amp;mode=sales&amp;pin=0832115042","sales record")</f>
        <v>sales record</v>
      </c>
      <c r="AC3383" t="s">
        <v>3</v>
      </c>
      <c r="AD3383">
        <v>41.735716</v>
      </c>
      <c r="AE3383">
        <v>-88.119696</v>
      </c>
      <c r="AF3383" s="5" t="str">
        <f>HYPERLINK("https://www.google.com/maps/search/?api=1&amp;query=41.735716,-88.119696","map")</f>
        <v>map</v>
      </c>
    </row>
    <row r="3384" spans="1:32">
      <c r="A3384" t="s">
        <v>3434</v>
      </c>
      <c r="B3384" t="s">
        <v>10967</v>
      </c>
      <c r="C3384" t="s">
        <v>15475</v>
      </c>
      <c r="D3384" t="s">
        <v>16206</v>
      </c>
      <c r="E3384" t="s">
        <v>16218</v>
      </c>
      <c r="F3384" t="s">
        <v>16220</v>
      </c>
      <c r="G3384" t="s">
        <v>16275</v>
      </c>
      <c r="H3384" t="s">
        <v>16276</v>
      </c>
      <c r="I3384" t="s">
        <v>16352</v>
      </c>
      <c r="J3384" t="s">
        <v>16386</v>
      </c>
      <c r="K3384">
        <v>0.179</v>
      </c>
      <c r="L3384">
        <v>7798</v>
      </c>
      <c r="M3384">
        <v>2803</v>
      </c>
      <c r="N3384" t="s">
        <v>16393</v>
      </c>
      <c r="O3384" s="4">
        <v>51103</v>
      </c>
      <c r="P3384" s="4">
        <v>143350</v>
      </c>
      <c r="Q3384" s="4">
        <v>194453</v>
      </c>
      <c r="R3384" s="4">
        <v>583359</v>
      </c>
      <c r="S3384" t="s">
        <v>19696</v>
      </c>
      <c r="T3384" s="6">
        <v>36281</v>
      </c>
      <c r="U3384" s="4">
        <v>250000</v>
      </c>
      <c r="X3384" t="s">
        <v>3</v>
      </c>
      <c r="AA3384" s="5" t="str">
        <f>HYPERLINK("https://www.zillow.com/homes/756-WILDFLOWER-CIR-NAPERVILLE-IL-60540_rb/","check listing")</f>
        <v>check listing</v>
      </c>
      <c r="AB3384" s="5" t="str">
        <f>HYPERLINK("https://propertylookup.dupagecounty.gov/Datalets/Datalet.aspx?UseSearch=no&amp;mode=sales&amp;pin=0722406008","sales record")</f>
        <v>sales record</v>
      </c>
      <c r="AC3384" t="s">
        <v>3</v>
      </c>
      <c r="AD3384">
        <v>41.757892</v>
      </c>
      <c r="AE3384">
        <v>-88.195149</v>
      </c>
      <c r="AF3384" s="5" t="str">
        <f>HYPERLINK("https://www.google.com/maps/search/?api=1&amp;query=41.757892,-88.195149","map")</f>
        <v>map</v>
      </c>
    </row>
    <row r="3385" spans="1:32">
      <c r="A3385" t="s">
        <v>3435</v>
      </c>
      <c r="B3385" t="s">
        <v>10968</v>
      </c>
      <c r="C3385" t="s">
        <v>15475</v>
      </c>
      <c r="D3385" t="s">
        <v>16206</v>
      </c>
      <c r="E3385" t="s">
        <v>16218</v>
      </c>
      <c r="F3385" t="s">
        <v>16220</v>
      </c>
      <c r="G3385" t="s">
        <v>16275</v>
      </c>
      <c r="H3385" t="s">
        <v>16276</v>
      </c>
      <c r="I3385" t="s">
        <v>16352</v>
      </c>
      <c r="J3385" t="s">
        <v>16386</v>
      </c>
      <c r="K3385">
        <v>0.179</v>
      </c>
      <c r="L3385">
        <v>7788</v>
      </c>
      <c r="M3385">
        <v>1815</v>
      </c>
      <c r="N3385" t="s">
        <v>16393</v>
      </c>
      <c r="O3385" s="4">
        <v>51103</v>
      </c>
      <c r="P3385" s="4">
        <v>101572</v>
      </c>
      <c r="Q3385" s="4">
        <v>152675</v>
      </c>
      <c r="R3385" s="4">
        <v>458025</v>
      </c>
      <c r="S3385" t="s">
        <v>19697</v>
      </c>
      <c r="T3385" s="6">
        <v>34912</v>
      </c>
      <c r="U3385" s="4">
        <v>162218</v>
      </c>
      <c r="X3385" t="s">
        <v>3</v>
      </c>
      <c r="AA3385" s="5" t="str">
        <f>HYPERLINK("https://www.zillow.com/homes/704-MARIGOLD-CT-NAPERVILLE-IL-60540_rb/","check listing")</f>
        <v>check listing</v>
      </c>
      <c r="AB3385" s="5" t="str">
        <f>HYPERLINK("https://propertylookup.dupagecounty.gov/Datalets/Datalet.aspx?UseSearch=no&amp;mode=sales&amp;pin=0722410010","sales record")</f>
        <v>sales record</v>
      </c>
      <c r="AC3385" t="s">
        <v>3</v>
      </c>
      <c r="AD3385">
        <v>41.760211</v>
      </c>
      <c r="AE3385">
        <v>-88.190532</v>
      </c>
      <c r="AF3385" s="5" t="str">
        <f>HYPERLINK("https://www.google.com/maps/search/?api=1&amp;query=41.760211,-88.190532","map")</f>
        <v>map</v>
      </c>
    </row>
    <row r="3386" spans="1:32">
      <c r="A3386" t="s">
        <v>3436</v>
      </c>
      <c r="B3386" t="s">
        <v>10969</v>
      </c>
      <c r="C3386" t="s">
        <v>15475</v>
      </c>
      <c r="D3386" t="s">
        <v>16206</v>
      </c>
      <c r="E3386" t="s">
        <v>16218</v>
      </c>
      <c r="F3386" t="s">
        <v>16220</v>
      </c>
      <c r="G3386" t="s">
        <v>16275</v>
      </c>
      <c r="H3386" t="s">
        <v>16276</v>
      </c>
      <c r="I3386" t="s">
        <v>16352</v>
      </c>
      <c r="J3386" t="s">
        <v>16386</v>
      </c>
      <c r="K3386">
        <v>0.179</v>
      </c>
      <c r="L3386">
        <v>7787</v>
      </c>
      <c r="M3386">
        <v>1971</v>
      </c>
      <c r="N3386" t="s">
        <v>16393</v>
      </c>
      <c r="O3386" s="4">
        <v>51103</v>
      </c>
      <c r="P3386" s="4">
        <v>117072</v>
      </c>
      <c r="Q3386" s="4">
        <v>168175</v>
      </c>
      <c r="R3386" s="4">
        <v>504525</v>
      </c>
      <c r="S3386" t="s">
        <v>19698</v>
      </c>
      <c r="T3386" s="6">
        <v>37469</v>
      </c>
      <c r="U3386" s="4">
        <v>262000</v>
      </c>
      <c r="V3386" t="s">
        <v>23739</v>
      </c>
      <c r="W3386" t="s">
        <v>25425</v>
      </c>
      <c r="X3386" t="s">
        <v>3</v>
      </c>
      <c r="AA3386" s="5" t="str">
        <f>HYPERLINK("https://www.zillow.com/homes/2107-PERIWINKLE-LN-NAPERVILLE-IL-60540_rb/","check listing")</f>
        <v>check listing</v>
      </c>
      <c r="AB3386" s="5" t="str">
        <f>HYPERLINK("https://propertylookup.dupagecounty.gov/Datalets/Datalet.aspx?UseSearch=no&amp;mode=sales&amp;pin=0722409021","sales record")</f>
        <v>sales record</v>
      </c>
      <c r="AC3386" t="s">
        <v>3</v>
      </c>
      <c r="AD3386">
        <v>41.761243</v>
      </c>
      <c r="AE3386">
        <v>-88.18991800000001</v>
      </c>
      <c r="AF3386" s="5" t="str">
        <f>HYPERLINK("https://www.google.com/maps/search/?api=1&amp;query=41.761243,-88.189918","map")</f>
        <v>map</v>
      </c>
    </row>
    <row r="3387" spans="1:32">
      <c r="A3387" t="s">
        <v>3437</v>
      </c>
      <c r="B3387" t="s">
        <v>10970</v>
      </c>
      <c r="C3387" t="s">
        <v>15475</v>
      </c>
      <c r="D3387" t="s">
        <v>16206</v>
      </c>
      <c r="E3387" t="s">
        <v>16218</v>
      </c>
      <c r="F3387" t="s">
        <v>16220</v>
      </c>
      <c r="G3387" t="s">
        <v>16275</v>
      </c>
      <c r="H3387" t="s">
        <v>16276</v>
      </c>
      <c r="I3387" t="s">
        <v>16352</v>
      </c>
      <c r="J3387" t="s">
        <v>16386</v>
      </c>
      <c r="K3387">
        <v>0.179</v>
      </c>
      <c r="L3387">
        <v>7782</v>
      </c>
      <c r="M3387">
        <v>2309</v>
      </c>
      <c r="N3387" t="s">
        <v>16393</v>
      </c>
      <c r="O3387" s="4">
        <v>52690</v>
      </c>
      <c r="P3387" s="4">
        <v>137991</v>
      </c>
      <c r="Q3387" s="4">
        <v>190681</v>
      </c>
      <c r="R3387" s="4">
        <v>572043</v>
      </c>
      <c r="S3387" t="s">
        <v>19699</v>
      </c>
      <c r="T3387" s="6">
        <v>38838</v>
      </c>
      <c r="U3387" s="4">
        <v>380000</v>
      </c>
      <c r="V3387" t="s">
        <v>23739</v>
      </c>
      <c r="W3387" t="s">
        <v>25426</v>
      </c>
      <c r="X3387" t="s">
        <v>3</v>
      </c>
      <c r="AA3387" s="5" t="str">
        <f>HYPERLINK("https://www.zillow.com/homes/636-WINTERGREEN-CIR-NAPERVILLE-IL-60540_rb/","check listing")</f>
        <v>check listing</v>
      </c>
      <c r="AB3387" s="5" t="str">
        <f>HYPERLINK("https://propertylookup.dupagecounty.gov/Datalets/Datalet.aspx?UseSearch=no&amp;mode=sales&amp;pin=0722405022","sales record")</f>
        <v>sales record</v>
      </c>
      <c r="AC3387" t="s">
        <v>3</v>
      </c>
      <c r="AD3387">
        <v>41.760464</v>
      </c>
      <c r="AE3387">
        <v>-88.19353</v>
      </c>
      <c r="AF3387" s="5" t="str">
        <f>HYPERLINK("https://www.google.com/maps/search/?api=1&amp;query=41.760464,-88.19353","map")</f>
        <v>map</v>
      </c>
    </row>
    <row r="3388" spans="1:32">
      <c r="A3388" t="s">
        <v>3438</v>
      </c>
      <c r="B3388" t="s">
        <v>10971</v>
      </c>
      <c r="C3388" t="s">
        <v>15475</v>
      </c>
      <c r="D3388" t="s">
        <v>16206</v>
      </c>
      <c r="E3388" t="s">
        <v>16218</v>
      </c>
      <c r="F3388" t="s">
        <v>16220</v>
      </c>
      <c r="G3388" t="s">
        <v>16275</v>
      </c>
      <c r="H3388" t="s">
        <v>16276</v>
      </c>
      <c r="I3388" t="s">
        <v>16352</v>
      </c>
      <c r="J3388" t="s">
        <v>16386</v>
      </c>
      <c r="K3388">
        <v>0.178</v>
      </c>
      <c r="L3388">
        <v>7759</v>
      </c>
      <c r="M3388">
        <v>2475</v>
      </c>
      <c r="N3388" t="s">
        <v>16393</v>
      </c>
      <c r="O3388" s="4">
        <v>51103</v>
      </c>
      <c r="P3388" s="4">
        <v>141299</v>
      </c>
      <c r="Q3388" s="4">
        <v>192402</v>
      </c>
      <c r="R3388" s="4">
        <v>577206</v>
      </c>
      <c r="S3388" t="s">
        <v>19700</v>
      </c>
      <c r="T3388" s="6">
        <v>42186</v>
      </c>
      <c r="U3388" s="4">
        <v>373999</v>
      </c>
      <c r="V3388" t="s">
        <v>23739</v>
      </c>
      <c r="W3388" t="s">
        <v>25427</v>
      </c>
      <c r="X3388" t="s">
        <v>3</v>
      </c>
      <c r="AA3388" s="5" t="str">
        <f>HYPERLINK("https://www.zillow.com/homes/672-WINTERGREEN-CIR-NAPERVILLE-IL-60540_rb/","check listing")</f>
        <v>check listing</v>
      </c>
      <c r="AB3388" s="5" t="str">
        <f>HYPERLINK("https://propertylookup.dupagecounty.gov/Datalets/Datalet.aspx?UseSearch=no&amp;mode=sales&amp;pin=0722405003","sales record")</f>
        <v>sales record</v>
      </c>
      <c r="AC3388" t="s">
        <v>3</v>
      </c>
      <c r="AD3388">
        <v>41.760018</v>
      </c>
      <c r="AE3388">
        <v>-88.19439300000001</v>
      </c>
      <c r="AF3388" s="5" t="str">
        <f>HYPERLINK("https://www.google.com/maps/search/?api=1&amp;query=41.760018,-88.194393","map")</f>
        <v>map</v>
      </c>
    </row>
    <row r="3389" spans="1:32">
      <c r="A3389" t="s">
        <v>3439</v>
      </c>
      <c r="B3389" t="s">
        <v>10972</v>
      </c>
      <c r="C3389" t="s">
        <v>15475</v>
      </c>
      <c r="D3389" t="s">
        <v>16206</v>
      </c>
      <c r="E3389" t="s">
        <v>16218</v>
      </c>
      <c r="F3389" t="s">
        <v>16220</v>
      </c>
      <c r="G3389" t="s">
        <v>16275</v>
      </c>
      <c r="H3389" t="s">
        <v>16276</v>
      </c>
      <c r="I3389" t="s">
        <v>16352</v>
      </c>
      <c r="J3389" t="s">
        <v>16386</v>
      </c>
      <c r="K3389">
        <v>0.178</v>
      </c>
      <c r="L3389">
        <v>7758</v>
      </c>
      <c r="M3389">
        <v>2309</v>
      </c>
      <c r="N3389" t="s">
        <v>16393</v>
      </c>
      <c r="O3389" s="4">
        <v>51103</v>
      </c>
      <c r="P3389" s="4">
        <v>133829</v>
      </c>
      <c r="Q3389" s="4">
        <v>184932</v>
      </c>
      <c r="R3389" s="4">
        <v>554796</v>
      </c>
      <c r="S3389" t="s">
        <v>19701</v>
      </c>
      <c r="T3389" s="6">
        <v>38473</v>
      </c>
      <c r="U3389" s="4">
        <v>342500</v>
      </c>
      <c r="V3389" t="s">
        <v>23739</v>
      </c>
      <c r="W3389" t="s">
        <v>19701</v>
      </c>
      <c r="X3389" t="s">
        <v>3</v>
      </c>
      <c r="AA3389" s="5" t="str">
        <f>HYPERLINK("https://www.zillow.com/homes/664-WINTERGREEN-CIR-NAPERVILLE-IL-60540_rb/","check listing")</f>
        <v>check listing</v>
      </c>
      <c r="AB3389" s="5" t="str">
        <f>HYPERLINK("https://propertylookup.dupagecounty.gov/Datalets/Datalet.aspx?UseSearch=no&amp;mode=sales&amp;pin=0722405002","sales record")</f>
        <v>sales record</v>
      </c>
      <c r="AC3389" t="s">
        <v>3</v>
      </c>
      <c r="AD3389">
        <v>41.760163</v>
      </c>
      <c r="AE3389">
        <v>-88.194361</v>
      </c>
      <c r="AF3389" s="5" t="str">
        <f>HYPERLINK("https://www.google.com/maps/search/?api=1&amp;query=41.760163,-88.194361","map")</f>
        <v>map</v>
      </c>
    </row>
    <row r="3390" spans="1:32">
      <c r="A3390" t="s">
        <v>3440</v>
      </c>
      <c r="B3390" t="s">
        <v>10973</v>
      </c>
      <c r="C3390" t="s">
        <v>15478</v>
      </c>
      <c r="D3390" t="s">
        <v>16206</v>
      </c>
      <c r="E3390" t="s">
        <v>16218</v>
      </c>
      <c r="F3390" t="s">
        <v>16220</v>
      </c>
      <c r="G3390" t="s">
        <v>16274</v>
      </c>
      <c r="H3390" t="s">
        <v>16269</v>
      </c>
      <c r="I3390" t="s">
        <v>16352</v>
      </c>
      <c r="J3390" t="s">
        <v>16386</v>
      </c>
      <c r="K3390">
        <v>0.178</v>
      </c>
      <c r="L3390">
        <v>7758</v>
      </c>
      <c r="M3390">
        <v>2143</v>
      </c>
      <c r="N3390" t="s">
        <v>16393</v>
      </c>
      <c r="O3390" s="4">
        <v>60269</v>
      </c>
      <c r="P3390" s="4">
        <v>95140</v>
      </c>
      <c r="Q3390" s="4">
        <v>155409</v>
      </c>
      <c r="R3390" s="4">
        <v>466227</v>
      </c>
      <c r="S3390" t="s">
        <v>19702</v>
      </c>
      <c r="T3390" s="6">
        <v>45296</v>
      </c>
      <c r="U3390" s="4">
        <v>451000</v>
      </c>
      <c r="V3390" t="s">
        <v>23739</v>
      </c>
      <c r="W3390" t="s">
        <v>25428</v>
      </c>
      <c r="X3390" t="s">
        <v>3</v>
      </c>
      <c r="AA3390" s="5" t="str">
        <f>HYPERLINK("https://www.zillow.com/homes/709-STACIE-CT-NAPERVILLE-IL-60563_rb/","check listing")</f>
        <v>check listing</v>
      </c>
      <c r="AB3390" s="5" t="str">
        <f>HYPERLINK("https://propertylookup.dupagecounty.gov/Datalets/Datalet.aspx?UseSearch=no&amp;mode=sales&amp;pin=0715205012","sales record")</f>
        <v>sales record</v>
      </c>
      <c r="AC3390" t="s">
        <v>3</v>
      </c>
      <c r="AD3390">
        <v>41.781401</v>
      </c>
      <c r="AE3390">
        <v>-88.191107</v>
      </c>
      <c r="AF3390" s="5" t="str">
        <f>HYPERLINK("https://www.google.com/maps/search/?api=1&amp;query=41.781401,-88.191107","map")</f>
        <v>map</v>
      </c>
    </row>
    <row r="3391" spans="1:32">
      <c r="A3391" t="s">
        <v>3441</v>
      </c>
      <c r="B3391" t="s">
        <v>10974</v>
      </c>
      <c r="C3391" t="s">
        <v>15478</v>
      </c>
      <c r="D3391" t="s">
        <v>16206</v>
      </c>
      <c r="E3391" t="s">
        <v>16218</v>
      </c>
      <c r="F3391" t="s">
        <v>16220</v>
      </c>
      <c r="G3391" t="s">
        <v>16274</v>
      </c>
      <c r="H3391" t="s">
        <v>16269</v>
      </c>
      <c r="I3391" t="s">
        <v>16352</v>
      </c>
      <c r="J3391" t="s">
        <v>16386</v>
      </c>
      <c r="K3391">
        <v>0.178</v>
      </c>
      <c r="L3391">
        <v>7758</v>
      </c>
      <c r="M3391">
        <v>2144</v>
      </c>
      <c r="N3391" t="s">
        <v>16393</v>
      </c>
      <c r="O3391" s="4">
        <v>48576</v>
      </c>
      <c r="P3391" s="4">
        <v>118939</v>
      </c>
      <c r="Q3391" s="4">
        <v>167515</v>
      </c>
      <c r="R3391" s="4">
        <v>502545</v>
      </c>
      <c r="S3391" t="s">
        <v>19703</v>
      </c>
      <c r="T3391" s="6">
        <v>40756</v>
      </c>
      <c r="U3391" s="4">
        <v>322000</v>
      </c>
      <c r="V3391" t="s">
        <v>23739</v>
      </c>
      <c r="W3391" t="s">
        <v>25429</v>
      </c>
      <c r="X3391" t="s">
        <v>3</v>
      </c>
      <c r="AA3391" s="5" t="str">
        <f>HYPERLINK("https://www.zillow.com/homes/1573-HINTERLONG-LN-NAPERVILLE-IL-60563_rb/","check listing")</f>
        <v>check listing</v>
      </c>
      <c r="AB3391" s="5" t="str">
        <f>HYPERLINK("https://propertylookup.dupagecounty.gov/Datalets/Datalet.aspx?UseSearch=no&amp;mode=sales&amp;pin=0715205021","sales record")</f>
        <v>sales record</v>
      </c>
      <c r="AC3391" t="s">
        <v>3</v>
      </c>
      <c r="AD3391">
        <v>41.781508</v>
      </c>
      <c r="AE3391">
        <v>-88.189926</v>
      </c>
      <c r="AF3391" s="5" t="str">
        <f>HYPERLINK("https://www.google.com/maps/search/?api=1&amp;query=41.781508,-88.189926","map")</f>
        <v>map</v>
      </c>
    </row>
    <row r="3392" spans="1:32">
      <c r="A3392" t="s">
        <v>3442</v>
      </c>
      <c r="B3392" t="s">
        <v>10975</v>
      </c>
      <c r="C3392" t="s">
        <v>15475</v>
      </c>
      <c r="D3392" t="s">
        <v>16206</v>
      </c>
      <c r="E3392" t="s">
        <v>16218</v>
      </c>
      <c r="F3392" t="s">
        <v>16220</v>
      </c>
      <c r="G3392" t="s">
        <v>16275</v>
      </c>
      <c r="H3392" t="s">
        <v>16276</v>
      </c>
      <c r="I3392" t="s">
        <v>16352</v>
      </c>
      <c r="J3392" t="s">
        <v>16386</v>
      </c>
      <c r="K3392">
        <v>0.178</v>
      </c>
      <c r="L3392">
        <v>7743</v>
      </c>
      <c r="M3392">
        <v>2177</v>
      </c>
      <c r="N3392" t="s">
        <v>16393</v>
      </c>
      <c r="O3392" s="4">
        <v>47905</v>
      </c>
      <c r="P3392" s="4">
        <v>111421</v>
      </c>
      <c r="Q3392" s="4">
        <v>159326</v>
      </c>
      <c r="R3392" s="4">
        <v>477978</v>
      </c>
      <c r="S3392" t="s">
        <v>19704</v>
      </c>
      <c r="T3392" s="6">
        <v>34578</v>
      </c>
      <c r="U3392" s="4">
        <v>172703</v>
      </c>
      <c r="X3392" t="s">
        <v>3</v>
      </c>
      <c r="AA3392" s="5" t="str">
        <f>HYPERLINK("https://www.zillow.com/homes/2308-JONQUIL-CT-NAPERVILLE-IL-60540_rb/","check listing")</f>
        <v>check listing</v>
      </c>
      <c r="AB3392" s="5" t="str">
        <f>HYPERLINK("https://propertylookup.dupagecounty.gov/Datalets/Datalet.aspx?UseSearch=no&amp;mode=sales&amp;pin=0722407015","sales record")</f>
        <v>sales record</v>
      </c>
      <c r="AC3392" t="s">
        <v>3</v>
      </c>
      <c r="AD3392">
        <v>41.757756</v>
      </c>
      <c r="AE3392">
        <v>-88.19344599999999</v>
      </c>
      <c r="AF3392" s="5" t="str">
        <f>HYPERLINK("https://www.google.com/maps/search/?api=1&amp;query=41.757756,-88.193446","map")</f>
        <v>map</v>
      </c>
    </row>
    <row r="3393" spans="1:32">
      <c r="A3393" t="s">
        <v>3443</v>
      </c>
      <c r="B3393" t="s">
        <v>10976</v>
      </c>
      <c r="C3393" t="s">
        <v>15475</v>
      </c>
      <c r="D3393" t="s">
        <v>16206</v>
      </c>
      <c r="E3393" t="s">
        <v>16218</v>
      </c>
      <c r="F3393" t="s">
        <v>16220</v>
      </c>
      <c r="G3393" t="s">
        <v>16276</v>
      </c>
      <c r="H3393" t="s">
        <v>16276</v>
      </c>
      <c r="I3393" t="s">
        <v>16352</v>
      </c>
      <c r="J3393" t="s">
        <v>16386</v>
      </c>
      <c r="K3393">
        <v>0.178</v>
      </c>
      <c r="L3393">
        <v>7741</v>
      </c>
      <c r="M3393">
        <v>2144</v>
      </c>
      <c r="N3393" t="s">
        <v>16393</v>
      </c>
      <c r="O3393" s="4">
        <v>43255</v>
      </c>
      <c r="P3393" s="4">
        <v>99021</v>
      </c>
      <c r="Q3393" s="4">
        <v>142276</v>
      </c>
      <c r="R3393" s="4">
        <v>426828</v>
      </c>
      <c r="S3393" t="s">
        <v>19705</v>
      </c>
      <c r="T3393" s="6">
        <v>43221</v>
      </c>
      <c r="U3393" s="4">
        <v>325600</v>
      </c>
      <c r="V3393" t="s">
        <v>23739</v>
      </c>
      <c r="W3393" t="s">
        <v>25430</v>
      </c>
      <c r="X3393" t="s">
        <v>3</v>
      </c>
      <c r="AA3393" s="5" t="str">
        <f>HYPERLINK("https://www.zillow.com/homes/2175-SCHUMACHER-LN-NAPERVILLE-IL-60540_rb/","check listing")</f>
        <v>check listing</v>
      </c>
      <c r="AB3393" s="5" t="str">
        <f>HYPERLINK("https://propertylookup.dupagecounty.gov/Datalets/Datalet.aspx?UseSearch=no&amp;mode=sales&amp;pin=0727208022","sales record")</f>
        <v>sales record</v>
      </c>
      <c r="AC3393" t="s">
        <v>3</v>
      </c>
      <c r="AD3393">
        <v>41.751625</v>
      </c>
      <c r="AE3393">
        <v>-88.189408</v>
      </c>
      <c r="AF3393" s="5" t="str">
        <f>HYPERLINK("https://www.google.com/maps/search/?api=1&amp;query=41.751625,-88.189408","map")</f>
        <v>map</v>
      </c>
    </row>
    <row r="3394" spans="1:32">
      <c r="A3394" t="s">
        <v>3444</v>
      </c>
      <c r="B3394" t="s">
        <v>10977</v>
      </c>
      <c r="C3394" t="s">
        <v>15500</v>
      </c>
      <c r="D3394" t="s">
        <v>16206</v>
      </c>
      <c r="E3394" t="s">
        <v>16218</v>
      </c>
      <c r="F3394" t="s">
        <v>16220</v>
      </c>
      <c r="G3394" t="s">
        <v>16275</v>
      </c>
      <c r="H3394" t="s">
        <v>16276</v>
      </c>
      <c r="I3394" t="s">
        <v>16352</v>
      </c>
      <c r="J3394" t="s">
        <v>16386</v>
      </c>
      <c r="K3394">
        <v>0.178</v>
      </c>
      <c r="L3394">
        <v>7734</v>
      </c>
      <c r="M3394">
        <v>1995</v>
      </c>
      <c r="N3394" t="s">
        <v>16393</v>
      </c>
      <c r="O3394" s="4">
        <v>43255</v>
      </c>
      <c r="P3394" s="4">
        <v>120783</v>
      </c>
      <c r="Q3394" s="4">
        <v>164038</v>
      </c>
      <c r="R3394" s="4">
        <v>492114</v>
      </c>
      <c r="S3394" t="s">
        <v>19706</v>
      </c>
      <c r="T3394" s="6">
        <v>43800</v>
      </c>
      <c r="U3394" s="4">
        <v>315000</v>
      </c>
      <c r="V3394" t="s">
        <v>23739</v>
      </c>
      <c r="W3394" t="s">
        <v>19706</v>
      </c>
      <c r="X3394" t="s">
        <v>3</v>
      </c>
      <c r="AA3394" s="5" t="str">
        <f>HYPERLINK("https://www.zillow.com/homes/1203-SAMUEL-CT-NAPERVILLE-IL-605401910_rb/","check listing")</f>
        <v>check listing</v>
      </c>
      <c r="AB3394" s="5" t="str">
        <f>HYPERLINK("https://propertylookup.dupagecounty.gov/Datalets/Datalet.aspx?UseSearch=no&amp;mode=sales&amp;pin=0727201070","sales record")</f>
        <v>sales record</v>
      </c>
      <c r="AC3394" t="s">
        <v>3</v>
      </c>
      <c r="AD3394">
        <v>41.748474</v>
      </c>
      <c r="AE3394">
        <v>-88.194636</v>
      </c>
      <c r="AF3394" s="5" t="str">
        <f>HYPERLINK("https://www.google.com/maps/search/?api=1&amp;query=41.748474,-88.194636","map")</f>
        <v>map</v>
      </c>
    </row>
    <row r="3395" spans="1:32">
      <c r="A3395" t="s">
        <v>3445</v>
      </c>
      <c r="B3395" t="s">
        <v>10978</v>
      </c>
      <c r="C3395" t="s">
        <v>15475</v>
      </c>
      <c r="D3395" t="s">
        <v>16206</v>
      </c>
      <c r="E3395" t="s">
        <v>16218</v>
      </c>
      <c r="F3395" t="s">
        <v>16220</v>
      </c>
      <c r="G3395" t="s">
        <v>16276</v>
      </c>
      <c r="H3395" t="s">
        <v>16276</v>
      </c>
      <c r="I3395" t="s">
        <v>16352</v>
      </c>
      <c r="J3395" t="s">
        <v>16386</v>
      </c>
      <c r="K3395">
        <v>0.178</v>
      </c>
      <c r="L3395">
        <v>7733</v>
      </c>
      <c r="M3395">
        <v>2144</v>
      </c>
      <c r="N3395" t="s">
        <v>16393</v>
      </c>
      <c r="O3395" s="4">
        <v>43255</v>
      </c>
      <c r="P3395" s="4">
        <v>121490</v>
      </c>
      <c r="Q3395" s="4">
        <v>164745</v>
      </c>
      <c r="R3395" s="4">
        <v>494235</v>
      </c>
      <c r="S3395" t="s">
        <v>19707</v>
      </c>
      <c r="T3395" s="6">
        <v>37742</v>
      </c>
      <c r="U3395" s="4">
        <v>290000</v>
      </c>
      <c r="V3395" t="s">
        <v>23739</v>
      </c>
      <c r="W3395" t="s">
        <v>25431</v>
      </c>
      <c r="X3395" t="s">
        <v>3</v>
      </c>
      <c r="AA3395" s="5" t="str">
        <f>HYPERLINK("https://www.zillow.com/homes/2176-SCHUMACHER-LN-NAPERVILLE-IL-60540_rb/","check listing")</f>
        <v>check listing</v>
      </c>
      <c r="AB3395" s="5" t="str">
        <f>HYPERLINK("https://propertylookup.dupagecounty.gov/Datalets/Datalet.aspx?UseSearch=no&amp;mode=sales&amp;pin=0727203023","sales record")</f>
        <v>sales record</v>
      </c>
      <c r="AC3395" t="s">
        <v>3</v>
      </c>
      <c r="AD3395">
        <v>41.751171</v>
      </c>
      <c r="AE3395">
        <v>-88.18939399999999</v>
      </c>
      <c r="AF3395" s="5" t="str">
        <f>HYPERLINK("https://www.google.com/maps/search/?api=1&amp;query=41.751171,-88.189394","map")</f>
        <v>map</v>
      </c>
    </row>
    <row r="3396" spans="1:32">
      <c r="A3396" t="s">
        <v>3446</v>
      </c>
      <c r="B3396" t="s">
        <v>10979</v>
      </c>
      <c r="C3396" t="s">
        <v>15478</v>
      </c>
      <c r="D3396" t="s">
        <v>16206</v>
      </c>
      <c r="E3396" t="s">
        <v>16218</v>
      </c>
      <c r="F3396" t="s">
        <v>16220</v>
      </c>
      <c r="G3396" t="s">
        <v>16274</v>
      </c>
      <c r="H3396" t="s">
        <v>16269</v>
      </c>
      <c r="I3396" t="s">
        <v>16352</v>
      </c>
      <c r="J3396" t="s">
        <v>16386</v>
      </c>
      <c r="K3396">
        <v>0.177</v>
      </c>
      <c r="L3396">
        <v>7729</v>
      </c>
      <c r="M3396">
        <v>2375</v>
      </c>
      <c r="N3396" t="s">
        <v>16393</v>
      </c>
      <c r="O3396" s="4">
        <v>48576</v>
      </c>
      <c r="P3396" s="4">
        <v>122942</v>
      </c>
      <c r="Q3396" s="4">
        <v>171518</v>
      </c>
      <c r="R3396" s="4">
        <v>514554</v>
      </c>
      <c r="S3396" t="s">
        <v>19708</v>
      </c>
      <c r="T3396" s="6">
        <v>42248</v>
      </c>
      <c r="U3396" s="4">
        <v>331500</v>
      </c>
      <c r="V3396" t="s">
        <v>23739</v>
      </c>
      <c r="W3396" t="s">
        <v>19708</v>
      </c>
      <c r="X3396" t="s">
        <v>3</v>
      </c>
      <c r="AA3396" s="5" t="str">
        <f>HYPERLINK("https://www.zillow.com/homes/1633-LOIS-ANN-LN-NAPERVILLE-IL-60563_rb/","check listing")</f>
        <v>check listing</v>
      </c>
      <c r="AB3396" s="5" t="str">
        <f>HYPERLINK("https://propertylookup.dupagecounty.gov/Datalets/Datalet.aspx?UseSearch=no&amp;mode=sales&amp;pin=0715203010","sales record")</f>
        <v>sales record</v>
      </c>
      <c r="AC3396" t="s">
        <v>3</v>
      </c>
      <c r="AD3396">
        <v>41.782063</v>
      </c>
      <c r="AE3396">
        <v>-88.192942</v>
      </c>
      <c r="AF3396" s="5" t="str">
        <f>HYPERLINK("https://www.google.com/maps/search/?api=1&amp;query=41.782063,-88.192942","map")</f>
        <v>map</v>
      </c>
    </row>
    <row r="3397" spans="1:32">
      <c r="A3397" t="s">
        <v>3447</v>
      </c>
      <c r="B3397" t="s">
        <v>10980</v>
      </c>
      <c r="C3397" t="s">
        <v>15475</v>
      </c>
      <c r="D3397" t="s">
        <v>16206</v>
      </c>
      <c r="E3397" t="s">
        <v>16218</v>
      </c>
      <c r="F3397" t="s">
        <v>16220</v>
      </c>
      <c r="G3397" t="s">
        <v>16275</v>
      </c>
      <c r="H3397" t="s">
        <v>16276</v>
      </c>
      <c r="I3397" t="s">
        <v>16352</v>
      </c>
      <c r="J3397" t="s">
        <v>16386</v>
      </c>
      <c r="K3397">
        <v>0.177</v>
      </c>
      <c r="L3397">
        <v>7726</v>
      </c>
      <c r="M3397">
        <v>2144</v>
      </c>
      <c r="N3397" t="s">
        <v>16393</v>
      </c>
      <c r="O3397" s="4">
        <v>46367</v>
      </c>
      <c r="P3397" s="4">
        <v>119745</v>
      </c>
      <c r="Q3397" s="4">
        <v>166112</v>
      </c>
      <c r="R3397" s="4">
        <v>498336</v>
      </c>
      <c r="S3397" t="s">
        <v>19709</v>
      </c>
      <c r="T3397" s="6">
        <v>34455</v>
      </c>
      <c r="U3397" s="4">
        <v>180910</v>
      </c>
      <c r="X3397" t="s">
        <v>3</v>
      </c>
      <c r="AA3397" s="5" t="str">
        <f>HYPERLINK("https://www.zillow.com/homes/1112-WILLARD-CT-NAPERVILLE-IL-60540_rb/","check listing")</f>
        <v>check listing</v>
      </c>
      <c r="AB3397" s="5" t="str">
        <f>HYPERLINK("https://propertylookup.dupagecounty.gov/Datalets/Datalet.aspx?UseSearch=no&amp;mode=sales&amp;pin=0727203016","sales record")</f>
        <v>sales record</v>
      </c>
      <c r="AC3397" t="s">
        <v>3</v>
      </c>
      <c r="AD3397">
        <v>41.750425</v>
      </c>
      <c r="AE3397">
        <v>-88.18679</v>
      </c>
      <c r="AF3397" s="5" t="str">
        <f>HYPERLINK("https://www.google.com/maps/search/?api=1&amp;query=41.750425,-88.18679","map")</f>
        <v>map</v>
      </c>
    </row>
    <row r="3398" spans="1:32">
      <c r="A3398" t="s">
        <v>3448</v>
      </c>
      <c r="B3398" t="s">
        <v>10981</v>
      </c>
      <c r="C3398" t="s">
        <v>15475</v>
      </c>
      <c r="D3398" t="s">
        <v>16206</v>
      </c>
      <c r="E3398" t="s">
        <v>16218</v>
      </c>
      <c r="F3398" t="s">
        <v>16220</v>
      </c>
      <c r="G3398" t="s">
        <v>16275</v>
      </c>
      <c r="H3398" t="s">
        <v>16276</v>
      </c>
      <c r="I3398" t="s">
        <v>16352</v>
      </c>
      <c r="J3398" t="s">
        <v>16386</v>
      </c>
      <c r="K3398">
        <v>0.177</v>
      </c>
      <c r="L3398">
        <v>7725</v>
      </c>
      <c r="M3398">
        <v>2308</v>
      </c>
      <c r="N3398" t="s">
        <v>16393</v>
      </c>
      <c r="O3398" s="4">
        <v>51103</v>
      </c>
      <c r="P3398" s="4">
        <v>130326</v>
      </c>
      <c r="Q3398" s="4">
        <v>181429</v>
      </c>
      <c r="R3398" s="4">
        <v>544287</v>
      </c>
      <c r="S3398" t="s">
        <v>19710</v>
      </c>
      <c r="T3398" s="6">
        <v>34669</v>
      </c>
      <c r="U3398" s="4">
        <v>187348</v>
      </c>
      <c r="X3398" t="s">
        <v>3</v>
      </c>
      <c r="AA3398" s="5" t="str">
        <f>HYPERLINK("https://www.zillow.com/homes/656-WINTERGREEN-CIR-NAPERVILLE-IL-60540_rb/","check listing")</f>
        <v>check listing</v>
      </c>
      <c r="AB3398" s="5" t="str">
        <f>HYPERLINK("https://propertylookup.dupagecounty.gov/Datalets/Datalet.aspx?UseSearch=no&amp;mode=sales&amp;pin=0722405001","sales record")</f>
        <v>sales record</v>
      </c>
      <c r="AC3398" t="s">
        <v>3</v>
      </c>
      <c r="AD3398">
        <v>41.76027</v>
      </c>
      <c r="AE3398">
        <v>-88.194164</v>
      </c>
      <c r="AF3398" s="5" t="str">
        <f>HYPERLINK("https://www.google.com/maps/search/?api=1&amp;query=41.76027,-88.194164","map")</f>
        <v>map</v>
      </c>
    </row>
    <row r="3399" spans="1:32">
      <c r="A3399" t="s">
        <v>3449</v>
      </c>
      <c r="B3399" t="s">
        <v>10982</v>
      </c>
      <c r="C3399" t="s">
        <v>15582</v>
      </c>
      <c r="D3399" t="s">
        <v>16206</v>
      </c>
      <c r="E3399" t="s">
        <v>16218</v>
      </c>
      <c r="F3399" t="s">
        <v>16220</v>
      </c>
      <c r="G3399" t="s">
        <v>16275</v>
      </c>
      <c r="H3399" t="s">
        <v>16276</v>
      </c>
      <c r="I3399" t="s">
        <v>16352</v>
      </c>
      <c r="J3399" t="s">
        <v>16386</v>
      </c>
      <c r="K3399">
        <v>0.177</v>
      </c>
      <c r="L3399">
        <v>7723</v>
      </c>
      <c r="M3399">
        <v>2139</v>
      </c>
      <c r="N3399" t="s">
        <v>16393</v>
      </c>
      <c r="O3399" s="4">
        <v>49444</v>
      </c>
      <c r="P3399" s="4">
        <v>113764</v>
      </c>
      <c r="Q3399" s="4">
        <v>163208</v>
      </c>
      <c r="R3399" s="4">
        <v>489624</v>
      </c>
      <c r="S3399" t="s">
        <v>19711</v>
      </c>
      <c r="T3399" s="6">
        <v>44013</v>
      </c>
      <c r="U3399" s="4">
        <v>365000</v>
      </c>
      <c r="V3399" t="s">
        <v>23739</v>
      </c>
      <c r="W3399" t="s">
        <v>25432</v>
      </c>
      <c r="X3399" t="s">
        <v>3</v>
      </c>
      <c r="AA3399" s="5" t="str">
        <f>HYPERLINK("https://www.zillow.com/homes/1044-LAKEWOOD-CIR-NAPERVILLE-IL-605401900_rb/","check listing")</f>
        <v>check listing</v>
      </c>
      <c r="AB3399" s="5" t="str">
        <f>HYPERLINK("https://propertylookup.dupagecounty.gov/Datalets/Datalet.aspx?UseSearch=no&amp;mode=sales&amp;pin=0727206009","sales record")</f>
        <v>sales record</v>
      </c>
      <c r="AC3399" t="s">
        <v>3</v>
      </c>
      <c r="AD3399">
        <v>41.750303</v>
      </c>
      <c r="AE3399">
        <v>-88.19323</v>
      </c>
      <c r="AF3399" s="5" t="str">
        <f>HYPERLINK("https://www.google.com/maps/search/?api=1&amp;query=41.750303,-88.19323","map")</f>
        <v>map</v>
      </c>
    </row>
    <row r="3400" spans="1:32">
      <c r="A3400" t="s">
        <v>3450</v>
      </c>
      <c r="B3400" t="s">
        <v>10983</v>
      </c>
      <c r="C3400" t="s">
        <v>15583</v>
      </c>
      <c r="D3400" t="s">
        <v>16206</v>
      </c>
      <c r="E3400" t="s">
        <v>16218</v>
      </c>
      <c r="F3400" t="s">
        <v>16220</v>
      </c>
      <c r="G3400" t="s">
        <v>16275</v>
      </c>
      <c r="H3400" t="s">
        <v>16276</v>
      </c>
      <c r="I3400" t="s">
        <v>16352</v>
      </c>
      <c r="J3400" t="s">
        <v>16386</v>
      </c>
      <c r="K3400">
        <v>0.177</v>
      </c>
      <c r="L3400">
        <v>7719</v>
      </c>
      <c r="M3400">
        <v>2307</v>
      </c>
      <c r="N3400" t="s">
        <v>16393</v>
      </c>
      <c r="O3400" s="4">
        <v>55058</v>
      </c>
      <c r="P3400" s="4">
        <v>141055</v>
      </c>
      <c r="Q3400" s="4">
        <v>196113</v>
      </c>
      <c r="R3400" s="4">
        <v>588339</v>
      </c>
      <c r="S3400" t="s">
        <v>19712</v>
      </c>
      <c r="T3400" s="6">
        <v>43344</v>
      </c>
      <c r="U3400" s="4">
        <v>379000</v>
      </c>
      <c r="V3400" t="s">
        <v>23739</v>
      </c>
      <c r="W3400" t="s">
        <v>25433</v>
      </c>
      <c r="X3400" t="s">
        <v>3</v>
      </c>
      <c r="AA3400" s="5" t="str">
        <f>HYPERLINK("https://www.zillow.com/homes/2119-FELDOTT-LN-NAPERVILLE-IL-605409212_rb/","check listing")</f>
        <v>check listing</v>
      </c>
      <c r="AB3400" s="5" t="str">
        <f>HYPERLINK("https://propertylookup.dupagecounty.gov/Datalets/Datalet.aspx?UseSearch=no&amp;mode=sales&amp;pin=0722404044","sales record")</f>
        <v>sales record</v>
      </c>
      <c r="AC3400" t="s">
        <v>3</v>
      </c>
      <c r="AD3400">
        <v>41.762137</v>
      </c>
      <c r="AE3400">
        <v>-88.18991200000001</v>
      </c>
      <c r="AF3400" s="5" t="str">
        <f>HYPERLINK("https://www.google.com/maps/search/?api=1&amp;query=41.762137,-88.189912","map")</f>
        <v>map</v>
      </c>
    </row>
    <row r="3401" spans="1:32">
      <c r="A3401" t="s">
        <v>3451</v>
      </c>
      <c r="B3401" t="s">
        <v>10984</v>
      </c>
      <c r="C3401" t="s">
        <v>15476</v>
      </c>
      <c r="D3401" t="s">
        <v>16206</v>
      </c>
      <c r="E3401" t="s">
        <v>16218</v>
      </c>
      <c r="F3401" t="s">
        <v>16220</v>
      </c>
      <c r="G3401" t="s">
        <v>16269</v>
      </c>
      <c r="H3401" t="s">
        <v>16269</v>
      </c>
      <c r="I3401" t="s">
        <v>16352</v>
      </c>
      <c r="J3401" t="s">
        <v>16386</v>
      </c>
      <c r="K3401">
        <v>0.177</v>
      </c>
      <c r="L3401">
        <v>7718</v>
      </c>
      <c r="M3401">
        <v>2177</v>
      </c>
      <c r="N3401" t="s">
        <v>16393</v>
      </c>
      <c r="O3401" s="4">
        <v>73336</v>
      </c>
      <c r="P3401" s="4">
        <v>116609</v>
      </c>
      <c r="Q3401" s="4">
        <v>189945</v>
      </c>
      <c r="R3401" s="4">
        <v>569835</v>
      </c>
      <c r="S3401" t="s">
        <v>19713</v>
      </c>
      <c r="T3401" s="6">
        <v>38353</v>
      </c>
      <c r="U3401" s="4">
        <v>330000</v>
      </c>
      <c r="V3401" t="s">
        <v>23739</v>
      </c>
      <c r="W3401" t="s">
        <v>25434</v>
      </c>
      <c r="X3401" t="s">
        <v>3</v>
      </c>
      <c r="AA3401" s="5" t="str">
        <f>HYPERLINK("https://www.zillow.com/homes/1756-NAPOLEON-DR-NAPERVILLE-IL-60565_rb/","check listing")</f>
        <v>check listing</v>
      </c>
      <c r="AB3401" s="5" t="str">
        <f>HYPERLINK("https://propertylookup.dupagecounty.gov/Datalets/Datalet.aspx?UseSearch=no&amp;mode=sales&amp;pin=0832115033","sales record")</f>
        <v>sales record</v>
      </c>
      <c r="AC3401" t="s">
        <v>3</v>
      </c>
      <c r="AD3401">
        <v>41.73505</v>
      </c>
      <c r="AE3401">
        <v>-88.120683</v>
      </c>
      <c r="AF3401" s="5" t="str">
        <f>HYPERLINK("https://www.google.com/maps/search/?api=1&amp;query=41.73505,-88.120683","map")</f>
        <v>map</v>
      </c>
    </row>
    <row r="3402" spans="1:32">
      <c r="A3402" t="s">
        <v>3452</v>
      </c>
      <c r="B3402" t="s">
        <v>10985</v>
      </c>
      <c r="C3402" t="s">
        <v>15476</v>
      </c>
      <c r="D3402" t="s">
        <v>16206</v>
      </c>
      <c r="E3402" t="s">
        <v>16218</v>
      </c>
      <c r="F3402" t="s">
        <v>16220</v>
      </c>
      <c r="G3402" t="s">
        <v>16269</v>
      </c>
      <c r="H3402" t="s">
        <v>16269</v>
      </c>
      <c r="I3402" t="s">
        <v>16352</v>
      </c>
      <c r="J3402" t="s">
        <v>16386</v>
      </c>
      <c r="K3402">
        <v>0.177</v>
      </c>
      <c r="L3402">
        <v>7717</v>
      </c>
      <c r="M3402">
        <v>1814</v>
      </c>
      <c r="N3402" t="s">
        <v>16393</v>
      </c>
      <c r="O3402" s="4">
        <v>75095</v>
      </c>
      <c r="P3402" s="4">
        <v>107750</v>
      </c>
      <c r="Q3402" s="4">
        <v>182845</v>
      </c>
      <c r="R3402" s="4">
        <v>548535</v>
      </c>
      <c r="S3402" t="s">
        <v>19714</v>
      </c>
      <c r="T3402" s="6">
        <v>33451</v>
      </c>
      <c r="U3402" s="4">
        <v>150750</v>
      </c>
      <c r="X3402" t="s">
        <v>3</v>
      </c>
      <c r="AA3402" s="5" t="str">
        <f>HYPERLINK("https://www.zillow.com/homes/1767-NAPOLEON-DR-NAPERVILLE-IL-60565_rb/","check listing")</f>
        <v>check listing</v>
      </c>
      <c r="AB3402" s="5" t="str">
        <f>HYPERLINK("https://propertylookup.dupagecounty.gov/Datalets/Datalet.aspx?UseSearch=no&amp;mode=sales&amp;pin=0832114080","sales record")</f>
        <v>sales record</v>
      </c>
      <c r="AC3402" t="s">
        <v>3</v>
      </c>
      <c r="AD3402">
        <v>41.734616</v>
      </c>
      <c r="AE3402">
        <v>-88.121343</v>
      </c>
      <c r="AF3402" s="5" t="str">
        <f>HYPERLINK("https://www.google.com/maps/search/?api=1&amp;query=41.734616,-88.121343","map")</f>
        <v>map</v>
      </c>
    </row>
    <row r="3403" spans="1:32">
      <c r="A3403" t="s">
        <v>3453</v>
      </c>
      <c r="B3403" t="s">
        <v>10986</v>
      </c>
      <c r="C3403" t="s">
        <v>15475</v>
      </c>
      <c r="D3403" t="s">
        <v>16206</v>
      </c>
      <c r="E3403" t="s">
        <v>16218</v>
      </c>
      <c r="F3403" t="s">
        <v>16220</v>
      </c>
      <c r="G3403" t="s">
        <v>16275</v>
      </c>
      <c r="H3403" t="s">
        <v>16276</v>
      </c>
      <c r="I3403" t="s">
        <v>16352</v>
      </c>
      <c r="J3403" t="s">
        <v>16386</v>
      </c>
      <c r="K3403">
        <v>0.177</v>
      </c>
      <c r="L3403">
        <v>7716</v>
      </c>
      <c r="M3403">
        <v>2471</v>
      </c>
      <c r="N3403" t="s">
        <v>16393</v>
      </c>
      <c r="O3403" s="4">
        <v>57462</v>
      </c>
      <c r="P3403" s="4">
        <v>172679</v>
      </c>
      <c r="Q3403" s="4">
        <v>230141</v>
      </c>
      <c r="R3403" s="4">
        <v>690423</v>
      </c>
      <c r="S3403" t="s">
        <v>19715</v>
      </c>
      <c r="T3403" s="6">
        <v>34669</v>
      </c>
      <c r="U3403" s="4">
        <v>241243</v>
      </c>
      <c r="X3403" t="s">
        <v>3</v>
      </c>
      <c r="AA3403" s="5" t="str">
        <f>HYPERLINK("https://www.zillow.com/homes/671-WINTERGREEN-CIR-NAPERVILLE-IL-60540_rb/","check listing")</f>
        <v>check listing</v>
      </c>
      <c r="AB3403" s="5" t="str">
        <f>HYPERLINK("https://propertylookup.dupagecounty.gov/Datalets/Datalet.aspx?UseSearch=no&amp;mode=sales&amp;pin=0722404010","sales record")</f>
        <v>sales record</v>
      </c>
      <c r="AC3403" t="s">
        <v>3</v>
      </c>
      <c r="AD3403">
        <v>41.76005</v>
      </c>
      <c r="AE3403">
        <v>-88.19508399999999</v>
      </c>
      <c r="AF3403" s="5" t="str">
        <f>HYPERLINK("https://www.google.com/maps/search/?api=1&amp;query=41.76005,-88.195084","map")</f>
        <v>map</v>
      </c>
    </row>
    <row r="3404" spans="1:32">
      <c r="A3404" t="s">
        <v>3454</v>
      </c>
      <c r="B3404" t="s">
        <v>10987</v>
      </c>
      <c r="C3404" t="s">
        <v>15581</v>
      </c>
      <c r="D3404" t="s">
        <v>16206</v>
      </c>
      <c r="E3404" t="s">
        <v>16218</v>
      </c>
      <c r="F3404" t="s">
        <v>16220</v>
      </c>
      <c r="G3404" t="s">
        <v>16275</v>
      </c>
      <c r="H3404" t="s">
        <v>16276</v>
      </c>
      <c r="I3404" t="s">
        <v>16352</v>
      </c>
      <c r="J3404" t="s">
        <v>16386</v>
      </c>
      <c r="K3404">
        <v>0.177</v>
      </c>
      <c r="L3404">
        <v>7716</v>
      </c>
      <c r="M3404">
        <v>2122</v>
      </c>
      <c r="N3404" t="s">
        <v>16393</v>
      </c>
      <c r="O3404" s="4">
        <v>52555</v>
      </c>
      <c r="P3404" s="4">
        <v>118573</v>
      </c>
      <c r="Q3404" s="4">
        <v>171128</v>
      </c>
      <c r="R3404" s="4">
        <v>513384</v>
      </c>
      <c r="S3404" t="s">
        <v>19716</v>
      </c>
      <c r="T3404" s="6">
        <v>43617</v>
      </c>
      <c r="U3404" s="4">
        <v>385000</v>
      </c>
      <c r="V3404" t="s">
        <v>23739</v>
      </c>
      <c r="W3404" t="s">
        <v>25435</v>
      </c>
      <c r="X3404" t="s">
        <v>3</v>
      </c>
      <c r="AA3404" s="5" t="str">
        <f>HYPERLINK("https://www.zillow.com/homes/1139-LAKEWOOD-CIR-NAPERVILLE-IL-605400999_rb/","check listing")</f>
        <v>check listing</v>
      </c>
      <c r="AB3404" s="5" t="str">
        <f>HYPERLINK("https://propertylookup.dupagecounty.gov/Datalets/Datalet.aspx?UseSearch=no&amp;mode=sales&amp;pin=0727205023","sales record")</f>
        <v>sales record</v>
      </c>
      <c r="AC3404" t="s">
        <v>3</v>
      </c>
      <c r="AD3404">
        <v>41.750865</v>
      </c>
      <c r="AE3404">
        <v>-88.19070499999999</v>
      </c>
      <c r="AF3404" s="5" t="str">
        <f>HYPERLINK("https://www.google.com/maps/search/?api=1&amp;query=41.750865,-88.190705","map")</f>
        <v>map</v>
      </c>
    </row>
    <row r="3405" spans="1:32">
      <c r="A3405" t="s">
        <v>3455</v>
      </c>
      <c r="B3405" t="s">
        <v>10988</v>
      </c>
      <c r="C3405" t="s">
        <v>15512</v>
      </c>
      <c r="D3405" t="s">
        <v>16206</v>
      </c>
      <c r="E3405" t="s">
        <v>16218</v>
      </c>
      <c r="F3405" t="s">
        <v>16220</v>
      </c>
      <c r="G3405" t="s">
        <v>16275</v>
      </c>
      <c r="H3405" t="s">
        <v>16276</v>
      </c>
      <c r="I3405" t="s">
        <v>16352</v>
      </c>
      <c r="J3405" t="s">
        <v>16386</v>
      </c>
      <c r="K3405">
        <v>0.177</v>
      </c>
      <c r="L3405">
        <v>7693</v>
      </c>
      <c r="M3405">
        <v>1447</v>
      </c>
      <c r="N3405" t="s">
        <v>16393</v>
      </c>
      <c r="O3405" s="4">
        <v>47905</v>
      </c>
      <c r="P3405" s="4">
        <v>102817</v>
      </c>
      <c r="Q3405" s="4">
        <v>150722</v>
      </c>
      <c r="R3405" s="4">
        <v>452166</v>
      </c>
      <c r="S3405" t="s">
        <v>19717</v>
      </c>
      <c r="T3405" s="6">
        <v>44682</v>
      </c>
      <c r="U3405" s="4">
        <v>420000</v>
      </c>
      <c r="V3405" t="s">
        <v>23739</v>
      </c>
      <c r="W3405" t="s">
        <v>25436</v>
      </c>
      <c r="X3405" t="s">
        <v>3</v>
      </c>
      <c r="AA3405" s="5" t="str">
        <f>HYPERLINK("https://www.zillow.com/homes/759-VIOLET-CIR-NAPERVILLE-IL-605409225_rb/","check listing")</f>
        <v>check listing</v>
      </c>
      <c r="AB3405" s="5" t="str">
        <f>HYPERLINK("https://propertylookup.dupagecounty.gov/Datalets/Datalet.aspx?UseSearch=no&amp;mode=sales&amp;pin=0722407052","sales record")</f>
        <v>sales record</v>
      </c>
      <c r="AC3405" t="s">
        <v>3</v>
      </c>
      <c r="AD3405">
        <v>41.759581</v>
      </c>
      <c r="AE3405">
        <v>-88.18913499999999</v>
      </c>
      <c r="AF3405" s="5" t="str">
        <f>HYPERLINK("https://www.google.com/maps/search/?api=1&amp;query=41.759581,-88.189135","map")</f>
        <v>map</v>
      </c>
    </row>
    <row r="3406" spans="1:32">
      <c r="A3406" t="s">
        <v>3456</v>
      </c>
      <c r="B3406" t="s">
        <v>10989</v>
      </c>
      <c r="C3406" t="s">
        <v>15475</v>
      </c>
      <c r="D3406" t="s">
        <v>16206</v>
      </c>
      <c r="E3406" t="s">
        <v>16218</v>
      </c>
      <c r="F3406" t="s">
        <v>16220</v>
      </c>
      <c r="G3406" t="s">
        <v>16275</v>
      </c>
      <c r="H3406" t="s">
        <v>16276</v>
      </c>
      <c r="I3406" t="s">
        <v>16352</v>
      </c>
      <c r="J3406" t="s">
        <v>16386</v>
      </c>
      <c r="K3406">
        <v>0.177</v>
      </c>
      <c r="L3406">
        <v>7690</v>
      </c>
      <c r="M3406">
        <v>2639</v>
      </c>
      <c r="N3406" t="s">
        <v>16393</v>
      </c>
      <c r="O3406" s="4">
        <v>57462</v>
      </c>
      <c r="P3406" s="4">
        <v>141129</v>
      </c>
      <c r="Q3406" s="4">
        <v>198591</v>
      </c>
      <c r="R3406" s="4">
        <v>595773</v>
      </c>
      <c r="S3406" t="s">
        <v>19718</v>
      </c>
      <c r="T3406" s="6">
        <v>40330</v>
      </c>
      <c r="U3406" s="4">
        <v>331000</v>
      </c>
      <c r="V3406" t="s">
        <v>23739</v>
      </c>
      <c r="W3406" t="s">
        <v>25437</v>
      </c>
      <c r="X3406" t="s">
        <v>3</v>
      </c>
      <c r="AA3406" s="5" t="str">
        <f>HYPERLINK("https://www.zillow.com/homes/2147-FELDOTT-LN-NAPERVILLE-IL-60540_rb/","check listing")</f>
        <v>check listing</v>
      </c>
      <c r="AB3406" s="5" t="str">
        <f>HYPERLINK("https://propertylookup.dupagecounty.gov/Datalets/Datalet.aspx?UseSearch=no&amp;mode=sales&amp;pin=0722404037","sales record")</f>
        <v>sales record</v>
      </c>
      <c r="AC3406" t="s">
        <v>3</v>
      </c>
      <c r="AD3406">
        <v>41.761703</v>
      </c>
      <c r="AE3406">
        <v>-88.191372</v>
      </c>
      <c r="AF3406" s="5" t="str">
        <f>HYPERLINK("https://www.google.com/maps/search/?api=1&amp;query=41.761703,-88.191372","map")</f>
        <v>map</v>
      </c>
    </row>
    <row r="3407" spans="1:32">
      <c r="A3407" t="s">
        <v>3457</v>
      </c>
      <c r="B3407" t="s">
        <v>10990</v>
      </c>
      <c r="C3407" t="s">
        <v>15478</v>
      </c>
      <c r="D3407" t="s">
        <v>16206</v>
      </c>
      <c r="E3407" t="s">
        <v>16218</v>
      </c>
      <c r="F3407" t="s">
        <v>16220</v>
      </c>
      <c r="G3407" t="s">
        <v>16274</v>
      </c>
      <c r="H3407" t="s">
        <v>16269</v>
      </c>
      <c r="I3407" t="s">
        <v>16352</v>
      </c>
      <c r="J3407" t="s">
        <v>16386</v>
      </c>
      <c r="K3407">
        <v>0.176</v>
      </c>
      <c r="L3407">
        <v>7688</v>
      </c>
      <c r="M3407">
        <v>2291</v>
      </c>
      <c r="N3407" t="s">
        <v>16393</v>
      </c>
      <c r="O3407" s="4">
        <v>60269</v>
      </c>
      <c r="P3407" s="4">
        <v>101291</v>
      </c>
      <c r="Q3407" s="4">
        <v>161560</v>
      </c>
      <c r="R3407" s="4">
        <v>484680</v>
      </c>
      <c r="S3407" t="s">
        <v>19719</v>
      </c>
      <c r="T3407" s="6">
        <v>41153</v>
      </c>
      <c r="U3407" s="4">
        <v>275000</v>
      </c>
      <c r="V3407" t="s">
        <v>23739</v>
      </c>
      <c r="W3407" t="s">
        <v>19719</v>
      </c>
      <c r="X3407" t="s">
        <v>3</v>
      </c>
      <c r="AA3407" s="5" t="str">
        <f>HYPERLINK("https://www.zillow.com/homes/704-STACIE-CT-NAPERVILLE-IL-60563_rb/","check listing")</f>
        <v>check listing</v>
      </c>
      <c r="AB3407" s="5" t="str">
        <f>HYPERLINK("https://propertylookup.dupagecounty.gov/Datalets/Datalet.aspx?UseSearch=no&amp;mode=sales&amp;pin=0715205016","sales record")</f>
        <v>sales record</v>
      </c>
      <c r="AC3407" t="s">
        <v>3</v>
      </c>
      <c r="AD3407">
        <v>41.781344</v>
      </c>
      <c r="AE3407">
        <v>-88.19024400000001</v>
      </c>
      <c r="AF3407" s="5" t="str">
        <f>HYPERLINK("https://www.google.com/maps/search/?api=1&amp;query=41.781344,-88.190244","map")</f>
        <v>map</v>
      </c>
    </row>
    <row r="3408" spans="1:32">
      <c r="A3408" t="s">
        <v>3458</v>
      </c>
      <c r="B3408" t="s">
        <v>10991</v>
      </c>
      <c r="C3408" t="s">
        <v>15475</v>
      </c>
      <c r="D3408" t="s">
        <v>16206</v>
      </c>
      <c r="E3408" t="s">
        <v>16218</v>
      </c>
      <c r="F3408" t="s">
        <v>16220</v>
      </c>
      <c r="G3408" t="s">
        <v>16275</v>
      </c>
      <c r="H3408" t="s">
        <v>16276</v>
      </c>
      <c r="I3408" t="s">
        <v>16352</v>
      </c>
      <c r="J3408" t="s">
        <v>16386</v>
      </c>
      <c r="K3408">
        <v>0.176</v>
      </c>
      <c r="L3408">
        <v>7681</v>
      </c>
      <c r="M3408">
        <v>2471</v>
      </c>
      <c r="N3408" t="s">
        <v>16393</v>
      </c>
      <c r="O3408" s="4">
        <v>51103</v>
      </c>
      <c r="P3408" s="4">
        <v>140249</v>
      </c>
      <c r="Q3408" s="4">
        <v>191352</v>
      </c>
      <c r="R3408" s="4">
        <v>574056</v>
      </c>
      <c r="S3408" t="s">
        <v>19720</v>
      </c>
      <c r="T3408" s="6">
        <v>38808</v>
      </c>
      <c r="U3408" s="4">
        <v>360000</v>
      </c>
      <c r="V3408" t="s">
        <v>23739</v>
      </c>
      <c r="W3408" t="s">
        <v>25438</v>
      </c>
      <c r="X3408" t="s">
        <v>3</v>
      </c>
      <c r="AA3408" s="5" t="str">
        <f>HYPERLINK("https://www.zillow.com/homes/752-WILDFLOWER-CIR-NAPERVILLE-IL-60540_rb/","check listing")</f>
        <v>check listing</v>
      </c>
      <c r="AB3408" s="5" t="str">
        <f>HYPERLINK("https://propertylookup.dupagecounty.gov/Datalets/Datalet.aspx?UseSearch=no&amp;mode=sales&amp;pin=0722406009","sales record")</f>
        <v>sales record</v>
      </c>
      <c r="AC3408" t="s">
        <v>3</v>
      </c>
      <c r="AD3408">
        <v>41.757876</v>
      </c>
      <c r="AE3408">
        <v>-88.194936</v>
      </c>
      <c r="AF3408" s="5" t="str">
        <f>HYPERLINK("https://www.google.com/maps/search/?api=1&amp;query=41.757876,-88.194936","map")</f>
        <v>map</v>
      </c>
    </row>
    <row r="3409" spans="1:32">
      <c r="A3409" t="s">
        <v>3459</v>
      </c>
      <c r="B3409" t="s">
        <v>10992</v>
      </c>
      <c r="C3409" t="s">
        <v>15475</v>
      </c>
      <c r="D3409" t="s">
        <v>16206</v>
      </c>
      <c r="E3409" t="s">
        <v>16218</v>
      </c>
      <c r="F3409" t="s">
        <v>16220</v>
      </c>
      <c r="G3409" t="s">
        <v>16275</v>
      </c>
      <c r="H3409" t="s">
        <v>16276</v>
      </c>
      <c r="I3409" t="s">
        <v>16352</v>
      </c>
      <c r="J3409" t="s">
        <v>16386</v>
      </c>
      <c r="K3409">
        <v>0.176</v>
      </c>
      <c r="L3409">
        <v>7681</v>
      </c>
      <c r="M3409">
        <v>2529</v>
      </c>
      <c r="N3409" t="s">
        <v>16393</v>
      </c>
      <c r="O3409" s="4">
        <v>47905</v>
      </c>
      <c r="P3409" s="4">
        <v>152369</v>
      </c>
      <c r="Q3409" s="4">
        <v>200274</v>
      </c>
      <c r="R3409" s="4">
        <v>600822</v>
      </c>
      <c r="S3409" t="s">
        <v>19721</v>
      </c>
      <c r="T3409" s="6">
        <v>45800</v>
      </c>
      <c r="U3409" s="4">
        <v>625000</v>
      </c>
      <c r="V3409" t="s">
        <v>23739</v>
      </c>
      <c r="W3409" t="s">
        <v>25439</v>
      </c>
      <c r="X3409" t="s">
        <v>3</v>
      </c>
      <c r="AA3409" s="5" t="str">
        <f>HYPERLINK("https://www.zillow.com/homes/691-WINTERGREEN-CIR-NAPERVILLE-IL-60540_rb/","check listing")</f>
        <v>check listing</v>
      </c>
      <c r="AB3409" s="5" t="str">
        <f>HYPERLINK("https://propertylookup.dupagecounty.gov/Datalets/Datalet.aspx?UseSearch=no&amp;mode=sales&amp;pin=0722404005","sales record")</f>
        <v>sales record</v>
      </c>
      <c r="AC3409" t="s">
        <v>3</v>
      </c>
      <c r="AD3409">
        <v>41.759208</v>
      </c>
      <c r="AE3409">
        <v>-88.194856</v>
      </c>
      <c r="AF3409" s="5" t="str">
        <f>HYPERLINK("https://www.google.com/maps/search/?api=1&amp;query=41.759208,-88.194856","map")</f>
        <v>map</v>
      </c>
    </row>
    <row r="3410" spans="1:32">
      <c r="A3410" t="s">
        <v>3460</v>
      </c>
      <c r="B3410" t="s">
        <v>10993</v>
      </c>
      <c r="C3410" t="s">
        <v>15478</v>
      </c>
      <c r="D3410" t="s">
        <v>16206</v>
      </c>
      <c r="E3410" t="s">
        <v>16218</v>
      </c>
      <c r="F3410" t="s">
        <v>16220</v>
      </c>
      <c r="G3410" t="s">
        <v>16274</v>
      </c>
      <c r="H3410" t="s">
        <v>16269</v>
      </c>
      <c r="I3410" t="s">
        <v>16352</v>
      </c>
      <c r="J3410" t="s">
        <v>16386</v>
      </c>
      <c r="K3410">
        <v>0.176</v>
      </c>
      <c r="L3410">
        <v>7675</v>
      </c>
      <c r="M3410">
        <v>2358</v>
      </c>
      <c r="N3410" t="s">
        <v>16393</v>
      </c>
      <c r="O3410" s="4">
        <v>48576</v>
      </c>
      <c r="P3410" s="4">
        <v>83947</v>
      </c>
      <c r="Q3410" s="4">
        <v>132523</v>
      </c>
      <c r="R3410" s="4">
        <v>397569</v>
      </c>
      <c r="S3410" t="s">
        <v>19722</v>
      </c>
      <c r="T3410" s="6">
        <v>43983</v>
      </c>
      <c r="U3410" s="4">
        <v>290000</v>
      </c>
      <c r="V3410" t="s">
        <v>23739</v>
      </c>
      <c r="W3410" t="s">
        <v>25440</v>
      </c>
      <c r="X3410" t="s">
        <v>3</v>
      </c>
      <c r="AA3410" s="5" t="str">
        <f>HYPERLINK("https://www.zillow.com/homes/1634-HINTERLONG-LN-NAPERVILLE-IL-60563_rb/","check listing")</f>
        <v>check listing</v>
      </c>
      <c r="AB3410" s="5" t="str">
        <f>HYPERLINK("https://propertylookup.dupagecounty.gov/Datalets/Datalet.aspx?UseSearch=no&amp;mode=sales&amp;pin=0715206027","sales record")</f>
        <v>sales record</v>
      </c>
      <c r="AC3410" t="s">
        <v>3</v>
      </c>
      <c r="AD3410">
        <v>41.780627</v>
      </c>
      <c r="AE3410">
        <v>-88.192367</v>
      </c>
      <c r="AF3410" s="5" t="str">
        <f>HYPERLINK("https://www.google.com/maps/search/?api=1&amp;query=41.780627,-88.192367","map")</f>
        <v>map</v>
      </c>
    </row>
    <row r="3411" spans="1:32">
      <c r="A3411" t="s">
        <v>3461</v>
      </c>
      <c r="B3411" t="s">
        <v>10994</v>
      </c>
      <c r="C3411" t="s">
        <v>15584</v>
      </c>
      <c r="D3411" t="s">
        <v>16206</v>
      </c>
      <c r="E3411" t="s">
        <v>16218</v>
      </c>
      <c r="F3411" t="s">
        <v>16220</v>
      </c>
      <c r="G3411" t="s">
        <v>16274</v>
      </c>
      <c r="H3411" t="s">
        <v>16269</v>
      </c>
      <c r="I3411" t="s">
        <v>16352</v>
      </c>
      <c r="J3411" t="s">
        <v>16386</v>
      </c>
      <c r="K3411">
        <v>0.176</v>
      </c>
      <c r="L3411">
        <v>7674</v>
      </c>
      <c r="M3411">
        <v>2266</v>
      </c>
      <c r="N3411" t="s">
        <v>16393</v>
      </c>
      <c r="O3411" s="4">
        <v>48576</v>
      </c>
      <c r="P3411" s="4">
        <v>137064</v>
      </c>
      <c r="Q3411" s="4">
        <v>185640</v>
      </c>
      <c r="R3411" s="4">
        <v>556920</v>
      </c>
      <c r="S3411" t="s">
        <v>19723</v>
      </c>
      <c r="T3411" s="6">
        <v>34608</v>
      </c>
      <c r="U3411" s="4">
        <v>182000</v>
      </c>
      <c r="X3411" t="s">
        <v>3</v>
      </c>
      <c r="AA3411" s="5" t="str">
        <f>HYPERLINK("https://www.zillow.com/homes/1590-LOIS-ANN-LN-NAPERVILLE-IL-605630470_rb/","check listing")</f>
        <v>check listing</v>
      </c>
      <c r="AB3411" s="5" t="str">
        <f>HYPERLINK("https://propertylookup.dupagecounty.gov/Datalets/Datalet.aspx?UseSearch=no&amp;mode=sales&amp;pin=0715204001","sales record")</f>
        <v>sales record</v>
      </c>
      <c r="AC3411" t="s">
        <v>3</v>
      </c>
      <c r="AD3411">
        <v>41.782653</v>
      </c>
      <c r="AE3411">
        <v>-88.190624</v>
      </c>
      <c r="AF3411" s="5" t="str">
        <f>HYPERLINK("https://www.google.com/maps/search/?api=1&amp;query=41.782653,-88.190624","map")</f>
        <v>map</v>
      </c>
    </row>
    <row r="3412" spans="1:32">
      <c r="A3412" t="s">
        <v>3462</v>
      </c>
      <c r="B3412" t="s">
        <v>10995</v>
      </c>
      <c r="C3412" t="s">
        <v>15476</v>
      </c>
      <c r="D3412" t="s">
        <v>16206</v>
      </c>
      <c r="E3412" t="s">
        <v>16218</v>
      </c>
      <c r="F3412" t="s">
        <v>16220</v>
      </c>
      <c r="G3412" t="s">
        <v>16269</v>
      </c>
      <c r="H3412" t="s">
        <v>16269</v>
      </c>
      <c r="I3412" t="s">
        <v>16352</v>
      </c>
      <c r="J3412" t="s">
        <v>16386</v>
      </c>
      <c r="K3412">
        <v>0.176</v>
      </c>
      <c r="L3412">
        <v>7674</v>
      </c>
      <c r="M3412">
        <v>1962</v>
      </c>
      <c r="N3412" t="s">
        <v>16393</v>
      </c>
      <c r="O3412" s="4">
        <v>74156</v>
      </c>
      <c r="P3412" s="4">
        <v>99010</v>
      </c>
      <c r="Q3412" s="4">
        <v>173166</v>
      </c>
      <c r="R3412" s="4">
        <v>519498</v>
      </c>
      <c r="S3412" t="s">
        <v>19724</v>
      </c>
      <c r="T3412" s="6">
        <v>39600</v>
      </c>
      <c r="U3412" s="4">
        <v>363000</v>
      </c>
      <c r="V3412" t="s">
        <v>23739</v>
      </c>
      <c r="W3412" t="s">
        <v>25441</v>
      </c>
      <c r="X3412" t="s">
        <v>3</v>
      </c>
      <c r="AA3412" s="5" t="str">
        <f>HYPERLINK("https://www.zillow.com/homes/1711-CHALMETTE-CT-NAPERVILLE-IL-60565_rb/","check listing")</f>
        <v>check listing</v>
      </c>
      <c r="AB3412" s="5" t="str">
        <f>HYPERLINK("https://propertylookup.dupagecounty.gov/Datalets/Datalet.aspx?UseSearch=no&amp;mode=sales&amp;pin=0832114067","sales record")</f>
        <v>sales record</v>
      </c>
      <c r="AC3412" t="s">
        <v>3</v>
      </c>
      <c r="AD3412">
        <v>41.735822</v>
      </c>
      <c r="AE3412">
        <v>-88.122355</v>
      </c>
      <c r="AF3412" s="5" t="str">
        <f>HYPERLINK("https://www.google.com/maps/search/?api=1&amp;query=41.735822,-88.122355","map")</f>
        <v>map</v>
      </c>
    </row>
    <row r="3413" spans="1:32">
      <c r="A3413" t="s">
        <v>3463</v>
      </c>
      <c r="B3413" t="s">
        <v>10996</v>
      </c>
      <c r="C3413" t="s">
        <v>15476</v>
      </c>
      <c r="D3413" t="s">
        <v>16206</v>
      </c>
      <c r="E3413" t="s">
        <v>16218</v>
      </c>
      <c r="F3413" t="s">
        <v>16220</v>
      </c>
      <c r="G3413" t="s">
        <v>16269</v>
      </c>
      <c r="H3413" t="s">
        <v>16269</v>
      </c>
      <c r="I3413" t="s">
        <v>16352</v>
      </c>
      <c r="J3413" t="s">
        <v>16386</v>
      </c>
      <c r="K3413">
        <v>0.176</v>
      </c>
      <c r="L3413">
        <v>7669</v>
      </c>
      <c r="M3413">
        <v>2292</v>
      </c>
      <c r="N3413" t="s">
        <v>16393</v>
      </c>
      <c r="O3413" s="4">
        <v>74156</v>
      </c>
      <c r="P3413" s="4">
        <v>107025</v>
      </c>
      <c r="Q3413" s="4">
        <v>181181</v>
      </c>
      <c r="R3413" s="4">
        <v>543543</v>
      </c>
      <c r="S3413" t="s">
        <v>19725</v>
      </c>
      <c r="T3413" s="6">
        <v>37408</v>
      </c>
      <c r="U3413" s="4">
        <v>289000</v>
      </c>
      <c r="V3413" t="s">
        <v>23739</v>
      </c>
      <c r="W3413" t="s">
        <v>25442</v>
      </c>
      <c r="X3413" t="s">
        <v>3</v>
      </c>
      <c r="AA3413" s="5" t="str">
        <f>HYPERLINK("https://www.zillow.com/homes/452-BOURBON-LN-NAPERVILLE-IL-60565_rb/","check listing")</f>
        <v>check listing</v>
      </c>
      <c r="AB3413" s="5" t="str">
        <f>HYPERLINK("https://propertylookup.dupagecounty.gov/Datalets/Datalet.aspx?UseSearch=no&amp;mode=sales&amp;pin=0832117013","sales record")</f>
        <v>sales record</v>
      </c>
      <c r="AC3413" t="s">
        <v>3</v>
      </c>
      <c r="AD3413">
        <v>41.734227</v>
      </c>
      <c r="AE3413">
        <v>-88.120136</v>
      </c>
      <c r="AF3413" s="5" t="str">
        <f>HYPERLINK("https://www.google.com/maps/search/?api=1&amp;query=41.734227,-88.120136","map")</f>
        <v>map</v>
      </c>
    </row>
    <row r="3414" spans="1:32">
      <c r="A3414" t="s">
        <v>3464</v>
      </c>
      <c r="B3414" t="s">
        <v>10997</v>
      </c>
      <c r="C3414" t="s">
        <v>15475</v>
      </c>
      <c r="D3414" t="s">
        <v>16206</v>
      </c>
      <c r="E3414" t="s">
        <v>16218</v>
      </c>
      <c r="F3414" t="s">
        <v>16220</v>
      </c>
      <c r="G3414" t="s">
        <v>16276</v>
      </c>
      <c r="H3414" t="s">
        <v>16276</v>
      </c>
      <c r="I3414" t="s">
        <v>16352</v>
      </c>
      <c r="J3414" t="s">
        <v>16386</v>
      </c>
      <c r="K3414">
        <v>0.176</v>
      </c>
      <c r="L3414">
        <v>7645</v>
      </c>
      <c r="M3414">
        <v>1979</v>
      </c>
      <c r="N3414" t="s">
        <v>16393</v>
      </c>
      <c r="O3414" s="4">
        <v>43255</v>
      </c>
      <c r="P3414" s="4">
        <v>101023</v>
      </c>
      <c r="Q3414" s="4">
        <v>144278</v>
      </c>
      <c r="R3414" s="4">
        <v>432834</v>
      </c>
      <c r="S3414" t="s">
        <v>19726</v>
      </c>
      <c r="T3414" s="6">
        <v>39722</v>
      </c>
      <c r="U3414" s="4">
        <v>313000</v>
      </c>
      <c r="V3414" t="s">
        <v>23739</v>
      </c>
      <c r="W3414" t="s">
        <v>25443</v>
      </c>
      <c r="X3414" t="s">
        <v>3</v>
      </c>
      <c r="AA3414" s="5" t="str">
        <f>HYPERLINK("https://www.zillow.com/homes/1004-MEAGAN-CT-NAPERVILLE-IL-60540_rb/","check listing")</f>
        <v>check listing</v>
      </c>
      <c r="AB3414" s="5" t="str">
        <f>HYPERLINK("https://propertylookup.dupagecounty.gov/Datalets/Datalet.aspx?UseSearch=no&amp;mode=sales&amp;pin=0727205041","sales record")</f>
        <v>sales record</v>
      </c>
      <c r="AC3414" t="s">
        <v>3</v>
      </c>
      <c r="AD3414">
        <v>41.752311</v>
      </c>
      <c r="AE3414">
        <v>-88.19054199999999</v>
      </c>
      <c r="AF3414" s="5" t="str">
        <f>HYPERLINK("https://www.google.com/maps/search/?api=1&amp;query=41.752311,-88.190542","map")</f>
        <v>map</v>
      </c>
    </row>
    <row r="3415" spans="1:32">
      <c r="A3415" t="s">
        <v>3465</v>
      </c>
      <c r="B3415" t="s">
        <v>10998</v>
      </c>
      <c r="C3415" t="s">
        <v>15476</v>
      </c>
      <c r="D3415" t="s">
        <v>16206</v>
      </c>
      <c r="E3415" t="s">
        <v>16218</v>
      </c>
      <c r="F3415" t="s">
        <v>16220</v>
      </c>
      <c r="G3415" t="s">
        <v>16269</v>
      </c>
      <c r="H3415" t="s">
        <v>16269</v>
      </c>
      <c r="I3415" t="s">
        <v>16352</v>
      </c>
      <c r="J3415" t="s">
        <v>16386</v>
      </c>
      <c r="K3415">
        <v>0.175</v>
      </c>
      <c r="L3415">
        <v>7638</v>
      </c>
      <c r="M3415">
        <v>2145</v>
      </c>
      <c r="N3415" t="s">
        <v>16393</v>
      </c>
      <c r="O3415" s="4">
        <v>75072</v>
      </c>
      <c r="P3415" s="4">
        <v>96013</v>
      </c>
      <c r="Q3415" s="4">
        <v>171085</v>
      </c>
      <c r="R3415" s="4">
        <v>513255</v>
      </c>
      <c r="S3415" t="s">
        <v>19727</v>
      </c>
      <c r="T3415" s="6">
        <v>38473</v>
      </c>
      <c r="U3415" s="4">
        <v>322000</v>
      </c>
      <c r="V3415" t="s">
        <v>23739</v>
      </c>
      <c r="W3415" t="s">
        <v>25444</v>
      </c>
      <c r="X3415" t="s">
        <v>3</v>
      </c>
      <c r="AA3415" s="5" t="str">
        <f>HYPERLINK("https://www.zillow.com/homes/1819-RAMPART-CT-NAPERVILLE-IL-60565_rb/","check listing")</f>
        <v>check listing</v>
      </c>
      <c r="AB3415" s="5" t="str">
        <f>HYPERLINK("https://propertylookup.dupagecounty.gov/Datalets/Datalet.aspx?UseSearch=no&amp;mode=sales&amp;pin=0832117023","sales record")</f>
        <v>sales record</v>
      </c>
      <c r="AC3415" t="s">
        <v>3</v>
      </c>
      <c r="AD3415">
        <v>41.734256</v>
      </c>
      <c r="AE3415">
        <v>-88.119007</v>
      </c>
      <c r="AF3415" s="5" t="str">
        <f>HYPERLINK("https://www.google.com/maps/search/?api=1&amp;query=41.734256,-88.119007","map")</f>
        <v>map</v>
      </c>
    </row>
    <row r="3416" spans="1:32">
      <c r="A3416" t="s">
        <v>3466</v>
      </c>
      <c r="B3416" t="s">
        <v>10999</v>
      </c>
      <c r="C3416" t="s">
        <v>15475</v>
      </c>
      <c r="D3416" t="s">
        <v>16206</v>
      </c>
      <c r="E3416" t="s">
        <v>16218</v>
      </c>
      <c r="F3416" t="s">
        <v>16220</v>
      </c>
      <c r="G3416" t="s">
        <v>16276</v>
      </c>
      <c r="H3416" t="s">
        <v>16276</v>
      </c>
      <c r="I3416" t="s">
        <v>16352</v>
      </c>
      <c r="J3416" t="s">
        <v>16386</v>
      </c>
      <c r="K3416">
        <v>0.175</v>
      </c>
      <c r="L3416">
        <v>7631</v>
      </c>
      <c r="M3416">
        <v>1780</v>
      </c>
      <c r="N3416" t="s">
        <v>16393</v>
      </c>
      <c r="O3416" s="4">
        <v>50993</v>
      </c>
      <c r="P3416" s="4">
        <v>88232</v>
      </c>
      <c r="Q3416" s="4">
        <v>139225</v>
      </c>
      <c r="R3416" s="4">
        <v>417675</v>
      </c>
      <c r="S3416" t="s">
        <v>19728</v>
      </c>
      <c r="T3416" s="6">
        <v>34943</v>
      </c>
      <c r="U3416" s="4">
        <v>153360</v>
      </c>
      <c r="X3416" t="s">
        <v>3</v>
      </c>
      <c r="AA3416" s="5" t="str">
        <f>HYPERLINK("https://www.zillow.com/homes/2027-SCHUMACHER-LN-NAPERVILLE-IL-60540_rb/","check listing")</f>
        <v>check listing</v>
      </c>
      <c r="AB3416" s="5" t="str">
        <f>HYPERLINK("https://propertylookup.dupagecounty.gov/Datalets/Datalet.aspx?UseSearch=no&amp;mode=sales&amp;pin=0727210013","sales record")</f>
        <v>sales record</v>
      </c>
      <c r="AC3416" t="s">
        <v>3</v>
      </c>
      <c r="AD3416">
        <v>41.754156</v>
      </c>
      <c r="AE3416">
        <v>-88.187969</v>
      </c>
      <c r="AF3416" s="5" t="str">
        <f>HYPERLINK("https://www.google.com/maps/search/?api=1&amp;query=41.754156,-88.187969","map")</f>
        <v>map</v>
      </c>
    </row>
    <row r="3417" spans="1:32">
      <c r="A3417" t="s">
        <v>3467</v>
      </c>
      <c r="B3417" t="s">
        <v>11000</v>
      </c>
      <c r="C3417" t="s">
        <v>15475</v>
      </c>
      <c r="D3417" t="s">
        <v>16206</v>
      </c>
      <c r="E3417" t="s">
        <v>16218</v>
      </c>
      <c r="F3417" t="s">
        <v>16220</v>
      </c>
      <c r="G3417" t="s">
        <v>16275</v>
      </c>
      <c r="H3417" t="s">
        <v>16276</v>
      </c>
      <c r="I3417" t="s">
        <v>16352</v>
      </c>
      <c r="J3417" t="s">
        <v>16386</v>
      </c>
      <c r="K3417">
        <v>0.175</v>
      </c>
      <c r="L3417">
        <v>7625</v>
      </c>
      <c r="M3417">
        <v>1583</v>
      </c>
      <c r="N3417" t="s">
        <v>16393</v>
      </c>
      <c r="O3417" s="4">
        <v>49444</v>
      </c>
      <c r="P3417" s="4">
        <v>79639</v>
      </c>
      <c r="Q3417" s="4">
        <v>129083</v>
      </c>
      <c r="R3417" s="4">
        <v>387249</v>
      </c>
      <c r="S3417" t="s">
        <v>19729</v>
      </c>
      <c r="T3417" s="6">
        <v>42522</v>
      </c>
      <c r="U3417" s="4">
        <v>259000</v>
      </c>
      <c r="V3417" t="s">
        <v>23739</v>
      </c>
      <c r="W3417" t="s">
        <v>25445</v>
      </c>
      <c r="X3417" t="s">
        <v>3</v>
      </c>
      <c r="AA3417" s="5" t="str">
        <f>HYPERLINK("https://www.zillow.com/homes/2020-CROSSING-LN-NAPERVILLE-IL-60540_rb/","check listing")</f>
        <v>check listing</v>
      </c>
      <c r="AB3417" s="5" t="str">
        <f>HYPERLINK("https://propertylookup.dupagecounty.gov/Datalets/Datalet.aspx?UseSearch=no&amp;mode=sales&amp;pin=0727204010","sales record")</f>
        <v>sales record</v>
      </c>
      <c r="AC3417" t="s">
        <v>3</v>
      </c>
      <c r="AD3417">
        <v>41.750235</v>
      </c>
      <c r="AE3417">
        <v>-88.18737299999999</v>
      </c>
      <c r="AF3417" s="5" t="str">
        <f>HYPERLINK("https://www.google.com/maps/search/?api=1&amp;query=41.750235,-88.187373","map")</f>
        <v>map</v>
      </c>
    </row>
    <row r="3418" spans="1:32">
      <c r="A3418" t="s">
        <v>3468</v>
      </c>
      <c r="B3418" t="s">
        <v>11001</v>
      </c>
      <c r="C3418" t="s">
        <v>15475</v>
      </c>
      <c r="D3418" t="s">
        <v>16206</v>
      </c>
      <c r="E3418" t="s">
        <v>16218</v>
      </c>
      <c r="F3418" t="s">
        <v>16220</v>
      </c>
      <c r="G3418" t="s">
        <v>16275</v>
      </c>
      <c r="H3418" t="s">
        <v>16276</v>
      </c>
      <c r="I3418" t="s">
        <v>16352</v>
      </c>
      <c r="J3418" t="s">
        <v>16386</v>
      </c>
      <c r="K3418">
        <v>0.175</v>
      </c>
      <c r="L3418">
        <v>7616</v>
      </c>
      <c r="M3418">
        <v>2307</v>
      </c>
      <c r="N3418" t="s">
        <v>16393</v>
      </c>
      <c r="O3418" s="4">
        <v>54289</v>
      </c>
      <c r="P3418" s="4">
        <v>140006</v>
      </c>
      <c r="Q3418" s="4">
        <v>194295</v>
      </c>
      <c r="R3418" s="4">
        <v>582885</v>
      </c>
      <c r="S3418" t="s">
        <v>19730</v>
      </c>
      <c r="T3418" s="6">
        <v>41306</v>
      </c>
      <c r="U3418" s="4">
        <v>328000</v>
      </c>
      <c r="V3418" t="s">
        <v>23739</v>
      </c>
      <c r="W3418" t="s">
        <v>25446</v>
      </c>
      <c r="X3418" t="s">
        <v>3</v>
      </c>
      <c r="AA3418" s="5" t="str">
        <f>HYPERLINK("https://www.zillow.com/homes/615-CARAWAY-CT-NAPERVILLE-IL-60540_rb/","check listing")</f>
        <v>check listing</v>
      </c>
      <c r="AB3418" s="5" t="str">
        <f>HYPERLINK("https://propertylookup.dupagecounty.gov/Datalets/Datalet.aspx?UseSearch=no&amp;mode=sales&amp;pin=0722405009","sales record")</f>
        <v>sales record</v>
      </c>
      <c r="AC3418" t="s">
        <v>3</v>
      </c>
      <c r="AD3418">
        <v>41.759607</v>
      </c>
      <c r="AE3418">
        <v>-88.19386900000001</v>
      </c>
      <c r="AF3418" s="5" t="str">
        <f>HYPERLINK("https://www.google.com/maps/search/?api=1&amp;query=41.759607,-88.193869","map")</f>
        <v>map</v>
      </c>
    </row>
    <row r="3419" spans="1:32">
      <c r="A3419" t="s">
        <v>3469</v>
      </c>
      <c r="B3419" t="s">
        <v>11002</v>
      </c>
      <c r="C3419" t="s">
        <v>15475</v>
      </c>
      <c r="D3419" t="s">
        <v>16206</v>
      </c>
      <c r="E3419" t="s">
        <v>16218</v>
      </c>
      <c r="F3419" t="s">
        <v>16220</v>
      </c>
      <c r="G3419" t="s">
        <v>16276</v>
      </c>
      <c r="H3419" t="s">
        <v>16276</v>
      </c>
      <c r="I3419" t="s">
        <v>16352</v>
      </c>
      <c r="J3419" t="s">
        <v>16386</v>
      </c>
      <c r="K3419">
        <v>0.175</v>
      </c>
      <c r="L3419">
        <v>7609</v>
      </c>
      <c r="M3419">
        <v>2321</v>
      </c>
      <c r="N3419" t="s">
        <v>16393</v>
      </c>
      <c r="O3419" s="4">
        <v>43255</v>
      </c>
      <c r="P3419" s="4">
        <v>116705</v>
      </c>
      <c r="Q3419" s="4">
        <v>159960</v>
      </c>
      <c r="R3419" s="4">
        <v>479880</v>
      </c>
      <c r="S3419" t="s">
        <v>19731</v>
      </c>
      <c r="T3419" s="6">
        <v>37834</v>
      </c>
      <c r="U3419" s="4">
        <v>278500</v>
      </c>
      <c r="V3419" t="s">
        <v>23739</v>
      </c>
      <c r="W3419" t="s">
        <v>25447</v>
      </c>
      <c r="X3419" t="s">
        <v>3</v>
      </c>
      <c r="AA3419" s="5" t="str">
        <f>HYPERLINK("https://www.zillow.com/homes/2103-SCHUMACHER-LN-NAPERVILLE-IL-60540_rb/","check listing")</f>
        <v>check listing</v>
      </c>
      <c r="AB3419" s="5" t="str">
        <f>HYPERLINK("https://propertylookup.dupagecounty.gov/Datalets/Datalet.aspx?UseSearch=no&amp;mode=sales&amp;pin=0727208009","sales record")</f>
        <v>sales record</v>
      </c>
      <c r="AC3419" t="s">
        <v>3</v>
      </c>
      <c r="AD3419">
        <v>41.753132</v>
      </c>
      <c r="AE3419">
        <v>-88.187613</v>
      </c>
      <c r="AF3419" s="5" t="str">
        <f>HYPERLINK("https://www.google.com/maps/search/?api=1&amp;query=41.753132,-88.187613","map")</f>
        <v>map</v>
      </c>
    </row>
    <row r="3420" spans="1:32">
      <c r="A3420" t="s">
        <v>3470</v>
      </c>
      <c r="B3420" t="s">
        <v>11003</v>
      </c>
      <c r="C3420" t="s">
        <v>15475</v>
      </c>
      <c r="D3420" t="s">
        <v>16206</v>
      </c>
      <c r="E3420" t="s">
        <v>16218</v>
      </c>
      <c r="F3420" t="s">
        <v>16220</v>
      </c>
      <c r="G3420" t="s">
        <v>16275</v>
      </c>
      <c r="H3420" t="s">
        <v>16276</v>
      </c>
      <c r="I3420" t="s">
        <v>16352</v>
      </c>
      <c r="J3420" t="s">
        <v>16386</v>
      </c>
      <c r="K3420">
        <v>0.175</v>
      </c>
      <c r="L3420">
        <v>7606</v>
      </c>
      <c r="M3420">
        <v>2759</v>
      </c>
      <c r="N3420" t="s">
        <v>16393</v>
      </c>
      <c r="O3420" s="4">
        <v>46367</v>
      </c>
      <c r="P3420" s="4">
        <v>115900</v>
      </c>
      <c r="Q3420" s="4">
        <v>162267</v>
      </c>
      <c r="R3420" s="4">
        <v>486801</v>
      </c>
      <c r="S3420" t="s">
        <v>19732</v>
      </c>
      <c r="T3420" s="6">
        <v>45470</v>
      </c>
      <c r="U3420" s="4">
        <v>485000</v>
      </c>
      <c r="V3420" t="s">
        <v>23739</v>
      </c>
      <c r="W3420" t="s">
        <v>25448</v>
      </c>
      <c r="X3420" t="s">
        <v>3</v>
      </c>
      <c r="AA3420" s="5" t="str">
        <f>HYPERLINK("https://www.zillow.com/homes/1204-LAKEWOOD-CIR-NAPERVILLE-IL-60540_rb/","check listing")</f>
        <v>check listing</v>
      </c>
      <c r="AB3420" s="5" t="str">
        <f>HYPERLINK("https://propertylookup.dupagecounty.gov/Datalets/Datalet.aspx?UseSearch=no&amp;mode=sales&amp;pin=0727202001","sales record")</f>
        <v>sales record</v>
      </c>
      <c r="AC3420" t="s">
        <v>3</v>
      </c>
      <c r="AD3420">
        <v>41.749026</v>
      </c>
      <c r="AE3420">
        <v>-88.19092000000001</v>
      </c>
      <c r="AF3420" s="5" t="str">
        <f>HYPERLINK("https://www.google.com/maps/search/?api=1&amp;query=41.749026,-88.19092","map")</f>
        <v>map</v>
      </c>
    </row>
    <row r="3421" spans="1:32">
      <c r="A3421" t="s">
        <v>3471</v>
      </c>
      <c r="B3421" t="s">
        <v>11004</v>
      </c>
      <c r="C3421" t="s">
        <v>15478</v>
      </c>
      <c r="D3421" t="s">
        <v>16206</v>
      </c>
      <c r="E3421" t="s">
        <v>16218</v>
      </c>
      <c r="F3421" t="s">
        <v>16220</v>
      </c>
      <c r="G3421" t="s">
        <v>16274</v>
      </c>
      <c r="H3421" t="s">
        <v>16269</v>
      </c>
      <c r="I3421" t="s">
        <v>16352</v>
      </c>
      <c r="J3421" t="s">
        <v>16386</v>
      </c>
      <c r="K3421">
        <v>0.175</v>
      </c>
      <c r="L3421">
        <v>7605</v>
      </c>
      <c r="M3421">
        <v>1978</v>
      </c>
      <c r="N3421" t="s">
        <v>16393</v>
      </c>
      <c r="O3421" s="4">
        <v>48576</v>
      </c>
      <c r="P3421" s="4">
        <v>142043</v>
      </c>
      <c r="Q3421" s="4">
        <v>190619</v>
      </c>
      <c r="R3421" s="4">
        <v>571857</v>
      </c>
      <c r="S3421" t="s">
        <v>19733</v>
      </c>
      <c r="T3421" s="6">
        <v>37438</v>
      </c>
      <c r="U3421" s="4">
        <v>315000</v>
      </c>
      <c r="V3421" t="s">
        <v>23739</v>
      </c>
      <c r="W3421" t="s">
        <v>25449</v>
      </c>
      <c r="X3421" t="s">
        <v>3</v>
      </c>
      <c r="AA3421" s="5" t="str">
        <f>HYPERLINK("https://www.zillow.com/homes/1628-TERRI-CIR-NAPERVILLE-IL-60563_rb/","check listing")</f>
        <v>check listing</v>
      </c>
      <c r="AB3421" s="5" t="str">
        <f>HYPERLINK("https://propertylookup.dupagecounty.gov/Datalets/Datalet.aspx?UseSearch=no&amp;mode=sales&amp;pin=0715205005","sales record")</f>
        <v>sales record</v>
      </c>
      <c r="AC3421" t="s">
        <v>3</v>
      </c>
      <c r="AD3421">
        <v>41.781622</v>
      </c>
      <c r="AE3421">
        <v>-88.191343</v>
      </c>
      <c r="AF3421" s="5" t="str">
        <f>HYPERLINK("https://www.google.com/maps/search/?api=1&amp;query=41.781622,-88.191343","map")</f>
        <v>map</v>
      </c>
    </row>
    <row r="3422" spans="1:32">
      <c r="A3422" t="s">
        <v>3472</v>
      </c>
      <c r="B3422" t="s">
        <v>11005</v>
      </c>
      <c r="C3422" t="s">
        <v>15475</v>
      </c>
      <c r="D3422" t="s">
        <v>16206</v>
      </c>
      <c r="E3422" t="s">
        <v>16218</v>
      </c>
      <c r="F3422" t="s">
        <v>16220</v>
      </c>
      <c r="G3422" t="s">
        <v>16275</v>
      </c>
      <c r="H3422" t="s">
        <v>16276</v>
      </c>
      <c r="I3422" t="s">
        <v>16352</v>
      </c>
      <c r="J3422" t="s">
        <v>16386</v>
      </c>
      <c r="K3422">
        <v>0.175</v>
      </c>
      <c r="L3422">
        <v>7604</v>
      </c>
      <c r="M3422">
        <v>1927</v>
      </c>
      <c r="N3422" t="s">
        <v>16393</v>
      </c>
      <c r="O3422" s="4">
        <v>49444</v>
      </c>
      <c r="P3422" s="4">
        <v>117157</v>
      </c>
      <c r="Q3422" s="4">
        <v>166601</v>
      </c>
      <c r="R3422" s="4">
        <v>499803</v>
      </c>
      <c r="S3422" t="s">
        <v>19734</v>
      </c>
      <c r="T3422" s="6">
        <v>35947</v>
      </c>
      <c r="U3422" s="4">
        <v>223000</v>
      </c>
      <c r="X3422" t="s">
        <v>3</v>
      </c>
      <c r="AA3422" s="5" t="str">
        <f>HYPERLINK("https://www.zillow.com/homes/1268-LAKEWOOD-CIR-NAPERVILLE-IL-60540_rb/","check listing")</f>
        <v>check listing</v>
      </c>
      <c r="AB3422" s="5" t="str">
        <f>HYPERLINK("https://propertylookup.dupagecounty.gov/Datalets/Datalet.aspx?UseSearch=no&amp;mode=sales&amp;pin=0727202012","sales record")</f>
        <v>sales record</v>
      </c>
      <c r="AC3422" t="s">
        <v>3</v>
      </c>
      <c r="AD3422">
        <v>41.748399</v>
      </c>
      <c r="AE3422">
        <v>-88.192791</v>
      </c>
      <c r="AF3422" s="5" t="str">
        <f>HYPERLINK("https://www.google.com/maps/search/?api=1&amp;query=41.748399,-88.192791","map")</f>
        <v>map</v>
      </c>
    </row>
    <row r="3423" spans="1:32">
      <c r="A3423" t="s">
        <v>3473</v>
      </c>
      <c r="B3423" t="s">
        <v>11006</v>
      </c>
      <c r="C3423" t="s">
        <v>15475</v>
      </c>
      <c r="D3423" t="s">
        <v>16206</v>
      </c>
      <c r="E3423" t="s">
        <v>16218</v>
      </c>
      <c r="F3423" t="s">
        <v>16220</v>
      </c>
      <c r="G3423" t="s">
        <v>16275</v>
      </c>
      <c r="H3423" t="s">
        <v>16276</v>
      </c>
      <c r="I3423" t="s">
        <v>16352</v>
      </c>
      <c r="J3423" t="s">
        <v>16386</v>
      </c>
      <c r="K3423">
        <v>0.174</v>
      </c>
      <c r="L3423">
        <v>7597</v>
      </c>
      <c r="M3423">
        <v>2078</v>
      </c>
      <c r="N3423" t="s">
        <v>16393</v>
      </c>
      <c r="O3423" s="4">
        <v>43255</v>
      </c>
      <c r="P3423" s="4">
        <v>94957</v>
      </c>
      <c r="Q3423" s="4">
        <v>138212</v>
      </c>
      <c r="R3423" s="4">
        <v>414636</v>
      </c>
      <c r="S3423" t="s">
        <v>19735</v>
      </c>
      <c r="T3423" s="6">
        <v>38899</v>
      </c>
      <c r="U3423" s="4">
        <v>283000</v>
      </c>
      <c r="V3423" t="s">
        <v>23739</v>
      </c>
      <c r="W3423" t="s">
        <v>25450</v>
      </c>
      <c r="X3423" t="s">
        <v>3</v>
      </c>
      <c r="AA3423" s="5" t="str">
        <f>HYPERLINK("https://www.zillow.com/homes/2063-CROSSING-LN-NAPERVILLE-IL-60540_rb/","check listing")</f>
        <v>check listing</v>
      </c>
      <c r="AB3423" s="5" t="str">
        <f>HYPERLINK("https://propertylookup.dupagecounty.gov/Datalets/Datalet.aspx?UseSearch=no&amp;mode=sales&amp;pin=0727203001","sales record")</f>
        <v>sales record</v>
      </c>
      <c r="AC3423" t="s">
        <v>3</v>
      </c>
      <c r="AD3423">
        <v>41.750921</v>
      </c>
      <c r="AE3423">
        <v>-88.189403</v>
      </c>
      <c r="AF3423" s="5" t="str">
        <f>HYPERLINK("https://www.google.com/maps/search/?api=1&amp;query=41.750921,-88.189403","map")</f>
        <v>map</v>
      </c>
    </row>
    <row r="3424" spans="1:32">
      <c r="A3424" t="s">
        <v>3474</v>
      </c>
      <c r="B3424" t="s">
        <v>11007</v>
      </c>
      <c r="C3424" t="s">
        <v>15475</v>
      </c>
      <c r="D3424" t="s">
        <v>16206</v>
      </c>
      <c r="E3424" t="s">
        <v>16218</v>
      </c>
      <c r="F3424" t="s">
        <v>16220</v>
      </c>
      <c r="G3424" t="s">
        <v>16276</v>
      </c>
      <c r="H3424" t="s">
        <v>16276</v>
      </c>
      <c r="I3424" t="s">
        <v>16352</v>
      </c>
      <c r="J3424" t="s">
        <v>16386</v>
      </c>
      <c r="K3424">
        <v>0.174</v>
      </c>
      <c r="L3424">
        <v>7593</v>
      </c>
      <c r="M3424">
        <v>1814</v>
      </c>
      <c r="N3424" t="s">
        <v>16393</v>
      </c>
      <c r="O3424" s="4">
        <v>54056</v>
      </c>
      <c r="P3424" s="4">
        <v>114142</v>
      </c>
      <c r="Q3424" s="4">
        <v>168198</v>
      </c>
      <c r="R3424" s="4">
        <v>504594</v>
      </c>
      <c r="S3424" t="s">
        <v>19736</v>
      </c>
      <c r="T3424" s="6">
        <v>44756</v>
      </c>
      <c r="U3424" s="4">
        <v>440000</v>
      </c>
      <c r="V3424" t="s">
        <v>23739</v>
      </c>
      <c r="W3424" t="s">
        <v>25451</v>
      </c>
      <c r="X3424" t="s">
        <v>3</v>
      </c>
      <c r="AA3424" s="5" t="str">
        <f>HYPERLINK("https://www.zillow.com/homes/912-MATTHEW-CT-NAPERVILLE-IL-60540_rb/","check listing")</f>
        <v>check listing</v>
      </c>
      <c r="AB3424" s="5" t="str">
        <f>HYPERLINK("https://propertylookup.dupagecounty.gov/Datalets/Datalet.aspx?UseSearch=no&amp;mode=sales&amp;pin=0727209012","sales record")</f>
        <v>sales record</v>
      </c>
      <c r="AC3424" t="s">
        <v>3</v>
      </c>
      <c r="AD3424">
        <v>41.753781</v>
      </c>
      <c r="AE3424">
        <v>-88.190242</v>
      </c>
      <c r="AF3424" s="5" t="str">
        <f>HYPERLINK("https://www.google.com/maps/search/?api=1&amp;query=41.753781,-88.190242","map")</f>
        <v>map</v>
      </c>
    </row>
    <row r="3425" spans="1:32">
      <c r="A3425" t="s">
        <v>3475</v>
      </c>
      <c r="B3425" t="s">
        <v>11008</v>
      </c>
      <c r="C3425" t="s">
        <v>15478</v>
      </c>
      <c r="D3425" t="s">
        <v>16206</v>
      </c>
      <c r="E3425" t="s">
        <v>16218</v>
      </c>
      <c r="F3425" t="s">
        <v>16220</v>
      </c>
      <c r="G3425" t="s">
        <v>16274</v>
      </c>
      <c r="H3425" t="s">
        <v>16269</v>
      </c>
      <c r="I3425" t="s">
        <v>16352</v>
      </c>
      <c r="J3425" t="s">
        <v>16386</v>
      </c>
      <c r="K3425">
        <v>0.174</v>
      </c>
      <c r="L3425">
        <v>7590</v>
      </c>
      <c r="M3425">
        <v>2569</v>
      </c>
      <c r="N3425" t="s">
        <v>16393</v>
      </c>
      <c r="O3425" s="4">
        <v>48576</v>
      </c>
      <c r="P3425" s="4">
        <v>122955</v>
      </c>
      <c r="Q3425" s="4">
        <v>171531</v>
      </c>
      <c r="R3425" s="4">
        <v>514593</v>
      </c>
      <c r="S3425" t="s">
        <v>19737</v>
      </c>
      <c r="T3425" s="6">
        <v>37196</v>
      </c>
      <c r="U3425" s="4">
        <v>259000</v>
      </c>
      <c r="V3425" t="s">
        <v>23739</v>
      </c>
      <c r="W3425" t="s">
        <v>25452</v>
      </c>
      <c r="X3425" t="s">
        <v>3</v>
      </c>
      <c r="AA3425" s="5" t="str">
        <f>HYPERLINK("https://www.zillow.com/homes/1611-LOIS-ANN-LN-NAPERVILLE-IL-60563_rb/","check listing")</f>
        <v>check listing</v>
      </c>
      <c r="AB3425" s="5" t="str">
        <f>HYPERLINK("https://propertylookup.dupagecounty.gov/Datalets/Datalet.aspx?UseSearch=no&amp;mode=sales&amp;pin=0715203018","sales record")</f>
        <v>sales record</v>
      </c>
      <c r="AC3425" t="s">
        <v>3</v>
      </c>
      <c r="AD3425">
        <v>41.782879</v>
      </c>
      <c r="AE3425">
        <v>-88.191874</v>
      </c>
      <c r="AF3425" s="5" t="str">
        <f>HYPERLINK("https://www.google.com/maps/search/?api=1&amp;query=41.782879,-88.191874","map")</f>
        <v>map</v>
      </c>
    </row>
    <row r="3426" spans="1:32">
      <c r="A3426" t="s">
        <v>3476</v>
      </c>
      <c r="B3426" t="s">
        <v>11009</v>
      </c>
      <c r="C3426" t="s">
        <v>15475</v>
      </c>
      <c r="D3426" t="s">
        <v>16206</v>
      </c>
      <c r="E3426" t="s">
        <v>16218</v>
      </c>
      <c r="F3426" t="s">
        <v>16220</v>
      </c>
      <c r="G3426" t="s">
        <v>16275</v>
      </c>
      <c r="H3426" t="s">
        <v>16276</v>
      </c>
      <c r="I3426" t="s">
        <v>16352</v>
      </c>
      <c r="J3426" t="s">
        <v>16386</v>
      </c>
      <c r="K3426">
        <v>0.174</v>
      </c>
      <c r="L3426">
        <v>7589</v>
      </c>
      <c r="M3426">
        <v>1781</v>
      </c>
      <c r="N3426" t="s">
        <v>16393</v>
      </c>
      <c r="O3426" s="4">
        <v>46367</v>
      </c>
      <c r="P3426" s="4">
        <v>117023</v>
      </c>
      <c r="Q3426" s="4">
        <v>163390</v>
      </c>
      <c r="R3426" s="4">
        <v>490170</v>
      </c>
      <c r="S3426" t="s">
        <v>19738</v>
      </c>
      <c r="T3426" s="6">
        <v>34425</v>
      </c>
      <c r="U3426" s="4">
        <v>192830</v>
      </c>
      <c r="X3426" t="s">
        <v>3</v>
      </c>
      <c r="AA3426" s="5" t="str">
        <f>HYPERLINK("https://www.zillow.com/homes/1284-LAKEWOOD-CIR-NAPERVILLE-IL-60540_rb/","check listing")</f>
        <v>check listing</v>
      </c>
      <c r="AB3426" s="5" t="str">
        <f>HYPERLINK("https://propertylookup.dupagecounty.gov/Datalets/Datalet.aspx?UseSearch=no&amp;mode=sales&amp;pin=0727202015","sales record")</f>
        <v>sales record</v>
      </c>
      <c r="AC3426" t="s">
        <v>3</v>
      </c>
      <c r="AD3426">
        <v>41.748884</v>
      </c>
      <c r="AE3426">
        <v>-88.193033</v>
      </c>
      <c r="AF3426" s="5" t="str">
        <f>HYPERLINK("https://www.google.com/maps/search/?api=1&amp;query=41.748884,-88.193033","map")</f>
        <v>map</v>
      </c>
    </row>
    <row r="3427" spans="1:32">
      <c r="A3427" t="s">
        <v>3477</v>
      </c>
      <c r="B3427" t="s">
        <v>11010</v>
      </c>
      <c r="C3427" t="s">
        <v>15475</v>
      </c>
      <c r="D3427" t="s">
        <v>16206</v>
      </c>
      <c r="E3427" t="s">
        <v>16218</v>
      </c>
      <c r="F3427" t="s">
        <v>16220</v>
      </c>
      <c r="G3427" t="s">
        <v>16275</v>
      </c>
      <c r="H3427" t="s">
        <v>16276</v>
      </c>
      <c r="I3427" t="s">
        <v>16352</v>
      </c>
      <c r="J3427" t="s">
        <v>16386</v>
      </c>
      <c r="K3427">
        <v>0.174</v>
      </c>
      <c r="L3427">
        <v>7587</v>
      </c>
      <c r="M3427">
        <v>1979</v>
      </c>
      <c r="N3427" t="s">
        <v>16393</v>
      </c>
      <c r="O3427" s="4">
        <v>51103</v>
      </c>
      <c r="P3427" s="4">
        <v>99411</v>
      </c>
      <c r="Q3427" s="4">
        <v>150514</v>
      </c>
      <c r="R3427" s="4">
        <v>451542</v>
      </c>
      <c r="S3427" t="s">
        <v>19739</v>
      </c>
      <c r="T3427" s="6">
        <v>36373</v>
      </c>
      <c r="U3427" s="4">
        <v>199900</v>
      </c>
      <c r="X3427" t="s">
        <v>3</v>
      </c>
      <c r="AA3427" s="5" t="str">
        <f>HYPERLINK("https://www.zillow.com/homes/2123-PERIWINKLE-LN-NAPERVILLE-IL-60540_rb/","check listing")</f>
        <v>check listing</v>
      </c>
      <c r="AB3427" s="5" t="str">
        <f>HYPERLINK("https://propertylookup.dupagecounty.gov/Datalets/Datalet.aspx?UseSearch=no&amp;mode=sales&amp;pin=0722409025","sales record")</f>
        <v>sales record</v>
      </c>
      <c r="AC3427" t="s">
        <v>3</v>
      </c>
      <c r="AD3427">
        <v>41.760947</v>
      </c>
      <c r="AE3427">
        <v>-88.19067699999999</v>
      </c>
      <c r="AF3427" s="5" t="str">
        <f>HYPERLINK("https://www.google.com/maps/search/?api=1&amp;query=41.760947,-88.190677","map")</f>
        <v>map</v>
      </c>
    </row>
    <row r="3428" spans="1:32">
      <c r="A3428" t="s">
        <v>3478</v>
      </c>
      <c r="B3428" t="s">
        <v>11011</v>
      </c>
      <c r="C3428" t="s">
        <v>15498</v>
      </c>
      <c r="D3428" t="s">
        <v>16206</v>
      </c>
      <c r="E3428" t="s">
        <v>16218</v>
      </c>
      <c r="F3428" t="s">
        <v>16220</v>
      </c>
      <c r="G3428" t="s">
        <v>16275</v>
      </c>
      <c r="H3428" t="s">
        <v>16276</v>
      </c>
      <c r="I3428" t="s">
        <v>16352</v>
      </c>
      <c r="J3428" t="s">
        <v>16386</v>
      </c>
      <c r="K3428">
        <v>0.174</v>
      </c>
      <c r="L3428">
        <v>7583</v>
      </c>
      <c r="M3428">
        <v>2097</v>
      </c>
      <c r="N3428" t="s">
        <v>16393</v>
      </c>
      <c r="O3428" s="4">
        <v>47905</v>
      </c>
      <c r="P3428" s="4">
        <v>113202</v>
      </c>
      <c r="Q3428" s="4">
        <v>161107</v>
      </c>
      <c r="R3428" s="4">
        <v>483321</v>
      </c>
      <c r="S3428" t="s">
        <v>19740</v>
      </c>
      <c r="T3428" s="6">
        <v>44409</v>
      </c>
      <c r="U3428" s="4">
        <v>400000</v>
      </c>
      <c r="V3428" t="s">
        <v>23739</v>
      </c>
      <c r="W3428" t="s">
        <v>19740</v>
      </c>
      <c r="X3428" t="s">
        <v>3</v>
      </c>
      <c r="AA3428" s="5" t="str">
        <f>HYPERLINK("https://www.zillow.com/homes/2403-ORCHID-CT-NAPERVILLE-IL-605409239_rb/","check listing")</f>
        <v>check listing</v>
      </c>
      <c r="AB3428" s="5" t="str">
        <f>HYPERLINK("https://propertylookup.dupagecounty.gov/Datalets/Datalet.aspx?UseSearch=no&amp;mode=sales&amp;pin=0722407002","sales record")</f>
        <v>sales record</v>
      </c>
      <c r="AC3428" t="s">
        <v>3</v>
      </c>
      <c r="AD3428">
        <v>41.757437</v>
      </c>
      <c r="AE3428">
        <v>-88.195909</v>
      </c>
      <c r="AF3428" s="5" t="str">
        <f>HYPERLINK("https://www.google.com/maps/search/?api=1&amp;query=41.757437,-88.195909","map")</f>
        <v>map</v>
      </c>
    </row>
    <row r="3429" spans="1:32">
      <c r="A3429" t="s">
        <v>3479</v>
      </c>
      <c r="B3429" t="s">
        <v>11012</v>
      </c>
      <c r="C3429" t="s">
        <v>15585</v>
      </c>
      <c r="D3429" t="s">
        <v>16206</v>
      </c>
      <c r="E3429" t="s">
        <v>16218</v>
      </c>
      <c r="F3429" t="s">
        <v>16220</v>
      </c>
      <c r="G3429" t="s">
        <v>16275</v>
      </c>
      <c r="H3429" t="s">
        <v>16276</v>
      </c>
      <c r="I3429" t="s">
        <v>16352</v>
      </c>
      <c r="J3429" t="s">
        <v>16386</v>
      </c>
      <c r="K3429">
        <v>0.174</v>
      </c>
      <c r="L3429">
        <v>7581</v>
      </c>
      <c r="M3429">
        <v>1645</v>
      </c>
      <c r="N3429" t="s">
        <v>16393</v>
      </c>
      <c r="O3429" s="4">
        <v>51103</v>
      </c>
      <c r="P3429" s="4">
        <v>104074</v>
      </c>
      <c r="Q3429" s="4">
        <v>155177</v>
      </c>
      <c r="R3429" s="4">
        <v>465531</v>
      </c>
      <c r="S3429" t="s">
        <v>19741</v>
      </c>
      <c r="T3429" s="6">
        <v>42887</v>
      </c>
      <c r="U3429" s="4">
        <v>318100</v>
      </c>
      <c r="V3429" t="s">
        <v>23739</v>
      </c>
      <c r="W3429" t="s">
        <v>25453</v>
      </c>
      <c r="X3429" t="s">
        <v>3</v>
      </c>
      <c r="AA3429" s="5" t="str">
        <f>HYPERLINK("https://www.zillow.com/homes/855-VIOLET-CIR-NAPERVILLE-IL-605409227_rb/","check listing")</f>
        <v>check listing</v>
      </c>
      <c r="AB3429" s="5" t="str">
        <f>HYPERLINK("https://propertylookup.dupagecounty.gov/Datalets/Datalet.aspx?UseSearch=no&amp;mode=sales&amp;pin=0722407026","sales record")</f>
        <v>sales record</v>
      </c>
      <c r="AC3429" t="s">
        <v>3</v>
      </c>
      <c r="AD3429">
        <v>41.759042</v>
      </c>
      <c r="AE3429">
        <v>-88.19295099999999</v>
      </c>
      <c r="AF3429" s="5" t="str">
        <f>HYPERLINK("https://www.google.com/maps/search/?api=1&amp;query=41.759042,-88.192951","map")</f>
        <v>map</v>
      </c>
    </row>
    <row r="3430" spans="1:32">
      <c r="A3430" t="s">
        <v>3480</v>
      </c>
      <c r="B3430" t="s">
        <v>11013</v>
      </c>
      <c r="C3430" t="s">
        <v>15475</v>
      </c>
      <c r="D3430" t="s">
        <v>16206</v>
      </c>
      <c r="E3430" t="s">
        <v>16218</v>
      </c>
      <c r="F3430" t="s">
        <v>16220</v>
      </c>
      <c r="G3430" t="s">
        <v>16275</v>
      </c>
      <c r="H3430" t="s">
        <v>16276</v>
      </c>
      <c r="I3430" t="s">
        <v>16352</v>
      </c>
      <c r="J3430" t="s">
        <v>16386</v>
      </c>
      <c r="K3430">
        <v>0.174</v>
      </c>
      <c r="L3430">
        <v>7576</v>
      </c>
      <c r="M3430">
        <v>2178</v>
      </c>
      <c r="N3430" t="s">
        <v>16393</v>
      </c>
      <c r="O3430" s="4">
        <v>52690</v>
      </c>
      <c r="P3430" s="4">
        <v>111958</v>
      </c>
      <c r="Q3430" s="4">
        <v>164648</v>
      </c>
      <c r="R3430" s="4">
        <v>493944</v>
      </c>
      <c r="S3430" t="s">
        <v>19742</v>
      </c>
      <c r="T3430" s="6">
        <v>43344</v>
      </c>
      <c r="U3430" s="4">
        <v>330000</v>
      </c>
      <c r="V3430" t="s">
        <v>23739</v>
      </c>
      <c r="W3430" t="s">
        <v>25454</v>
      </c>
      <c r="X3430" t="s">
        <v>3</v>
      </c>
      <c r="AA3430" s="5" t="str">
        <f>HYPERLINK("https://www.zillow.com/homes/2212-PERIWINKLE-LN-NAPERVILLE-IL-60540_rb/","check listing")</f>
        <v>check listing</v>
      </c>
      <c r="AB3430" s="5" t="str">
        <f>HYPERLINK("https://propertylookup.dupagecounty.gov/Datalets/Datalet.aspx?UseSearch=no&amp;mode=sales&amp;pin=0722410003","sales record")</f>
        <v>sales record</v>
      </c>
      <c r="AC3430" t="s">
        <v>3</v>
      </c>
      <c r="AD3430">
        <v>41.759359</v>
      </c>
      <c r="AE3430">
        <v>-88.191006</v>
      </c>
      <c r="AF3430" s="5" t="str">
        <f>HYPERLINK("https://www.google.com/maps/search/?api=1&amp;query=41.759359,-88.191006","map")</f>
        <v>map</v>
      </c>
    </row>
    <row r="3431" spans="1:32">
      <c r="A3431" t="s">
        <v>3481</v>
      </c>
      <c r="B3431" t="s">
        <v>11014</v>
      </c>
      <c r="C3431" t="s">
        <v>15475</v>
      </c>
      <c r="D3431" t="s">
        <v>16206</v>
      </c>
      <c r="E3431" t="s">
        <v>16218</v>
      </c>
      <c r="F3431" t="s">
        <v>16220</v>
      </c>
      <c r="G3431" t="s">
        <v>16275</v>
      </c>
      <c r="H3431" t="s">
        <v>16276</v>
      </c>
      <c r="I3431" t="s">
        <v>16352</v>
      </c>
      <c r="J3431" t="s">
        <v>16386</v>
      </c>
      <c r="K3431">
        <v>0.174</v>
      </c>
      <c r="L3431">
        <v>7574</v>
      </c>
      <c r="M3431">
        <v>1979</v>
      </c>
      <c r="N3431" t="s">
        <v>16393</v>
      </c>
      <c r="O3431" s="4">
        <v>51103</v>
      </c>
      <c r="P3431" s="4">
        <v>113032</v>
      </c>
      <c r="Q3431" s="4">
        <v>164135</v>
      </c>
      <c r="R3431" s="4">
        <v>492405</v>
      </c>
      <c r="S3431" t="s">
        <v>19743</v>
      </c>
      <c r="T3431" s="6">
        <v>43160</v>
      </c>
      <c r="U3431" s="4">
        <v>340000</v>
      </c>
      <c r="V3431" t="s">
        <v>23739</v>
      </c>
      <c r="W3431" t="s">
        <v>25455</v>
      </c>
      <c r="X3431" t="s">
        <v>3</v>
      </c>
      <c r="AA3431" s="5" t="str">
        <f>HYPERLINK("https://www.zillow.com/homes/724-WILDFLOWER-CIR-NAPERVILLE-IL-60540_rb/","check listing")</f>
        <v>check listing</v>
      </c>
      <c r="AB3431" s="5" t="str">
        <f>HYPERLINK("https://propertylookup.dupagecounty.gov/Datalets/Datalet.aspx?UseSearch=no&amp;mode=sales&amp;pin=0722406015","sales record")</f>
        <v>sales record</v>
      </c>
      <c r="AC3431" t="s">
        <v>3</v>
      </c>
      <c r="AD3431">
        <v>41.758296</v>
      </c>
      <c r="AE3431">
        <v>-88.19388600000001</v>
      </c>
      <c r="AF3431" s="5" t="str">
        <f>HYPERLINK("https://www.google.com/maps/search/?api=1&amp;query=41.758296,-88.193886","map")</f>
        <v>map</v>
      </c>
    </row>
    <row r="3432" spans="1:32">
      <c r="A3432" t="s">
        <v>3482</v>
      </c>
      <c r="B3432" t="s">
        <v>11015</v>
      </c>
      <c r="C3432" t="s">
        <v>15476</v>
      </c>
      <c r="D3432" t="s">
        <v>16206</v>
      </c>
      <c r="E3432" t="s">
        <v>16218</v>
      </c>
      <c r="F3432" t="s">
        <v>16220</v>
      </c>
      <c r="G3432" t="s">
        <v>16269</v>
      </c>
      <c r="H3432" t="s">
        <v>16269</v>
      </c>
      <c r="I3432" t="s">
        <v>16352</v>
      </c>
      <c r="J3432" t="s">
        <v>16386</v>
      </c>
      <c r="K3432">
        <v>0.174</v>
      </c>
      <c r="L3432">
        <v>7573</v>
      </c>
      <c r="M3432">
        <v>2684</v>
      </c>
      <c r="N3432" t="s">
        <v>16393</v>
      </c>
      <c r="O3432" s="4">
        <v>73336</v>
      </c>
      <c r="P3432" s="4">
        <v>76939</v>
      </c>
      <c r="Q3432" s="4">
        <v>150275</v>
      </c>
      <c r="R3432" s="4">
        <v>450825</v>
      </c>
      <c r="S3432" t="s">
        <v>19744</v>
      </c>
      <c r="T3432" s="6">
        <v>36800</v>
      </c>
      <c r="U3432" s="4">
        <v>215000</v>
      </c>
      <c r="V3432" t="s">
        <v>23739</v>
      </c>
      <c r="W3432" t="s">
        <v>19744</v>
      </c>
      <c r="X3432" t="s">
        <v>3</v>
      </c>
      <c r="AA3432" s="5" t="str">
        <f>HYPERLINK("https://www.zillow.com/homes/503-BOURBON-LN-NAPERVILLE-IL-60565_rb/","check listing")</f>
        <v>check listing</v>
      </c>
      <c r="AB3432" s="5" t="str">
        <f>HYPERLINK("https://propertylookup.dupagecounty.gov/Datalets/Datalet.aspx?UseSearch=no&amp;mode=sales&amp;pin=0832115041","sales record")</f>
        <v>sales record</v>
      </c>
      <c r="AC3432" t="s">
        <v>3</v>
      </c>
      <c r="AD3432">
        <v>41.735571</v>
      </c>
      <c r="AE3432">
        <v>-88.119809</v>
      </c>
      <c r="AF3432" s="5" t="str">
        <f>HYPERLINK("https://www.google.com/maps/search/?api=1&amp;query=41.735571,-88.119809","map")</f>
        <v>map</v>
      </c>
    </row>
    <row r="3433" spans="1:32">
      <c r="A3433" t="s">
        <v>3483</v>
      </c>
      <c r="B3433" t="s">
        <v>11016</v>
      </c>
      <c r="C3433" t="s">
        <v>15475</v>
      </c>
      <c r="D3433" t="s">
        <v>16206</v>
      </c>
      <c r="E3433" t="s">
        <v>16218</v>
      </c>
      <c r="F3433" t="s">
        <v>16220</v>
      </c>
      <c r="G3433" t="s">
        <v>16275</v>
      </c>
      <c r="H3433" t="s">
        <v>16276</v>
      </c>
      <c r="I3433" t="s">
        <v>16352</v>
      </c>
      <c r="J3433" t="s">
        <v>16386</v>
      </c>
      <c r="K3433">
        <v>0.174</v>
      </c>
      <c r="L3433">
        <v>7568</v>
      </c>
      <c r="M3433">
        <v>1979</v>
      </c>
      <c r="N3433" t="s">
        <v>16393</v>
      </c>
      <c r="O3433" s="4">
        <v>51103</v>
      </c>
      <c r="P3433" s="4">
        <v>137882</v>
      </c>
      <c r="Q3433" s="4">
        <v>188985</v>
      </c>
      <c r="R3433" s="4">
        <v>566955</v>
      </c>
      <c r="S3433" t="s">
        <v>19745</v>
      </c>
      <c r="T3433" s="6">
        <v>35247</v>
      </c>
      <c r="U3433" s="4">
        <v>204050</v>
      </c>
      <c r="X3433" t="s">
        <v>3</v>
      </c>
      <c r="AA3433" s="5" t="str">
        <f>HYPERLINK("https://www.zillow.com/homes/2152-FELDOTT-LN-NAPERVILLE-IL-60540_rb/","check listing")</f>
        <v>check listing</v>
      </c>
      <c r="AB3433" s="5" t="str">
        <f>HYPERLINK("https://propertylookup.dupagecounty.gov/Datalets/Datalet.aspx?UseSearch=no&amp;mode=sales&amp;pin=0722409012","sales record")</f>
        <v>sales record</v>
      </c>
      <c r="AC3433" t="s">
        <v>3</v>
      </c>
      <c r="AD3433">
        <v>41.761124</v>
      </c>
      <c r="AE3433">
        <v>-88.191079</v>
      </c>
      <c r="AF3433" s="5" t="str">
        <f>HYPERLINK("https://www.google.com/maps/search/?api=1&amp;query=41.761124,-88.191079","map")</f>
        <v>map</v>
      </c>
    </row>
    <row r="3434" spans="1:32">
      <c r="A3434" t="s">
        <v>3484</v>
      </c>
      <c r="B3434" t="s">
        <v>11017</v>
      </c>
      <c r="C3434" t="s">
        <v>15475</v>
      </c>
      <c r="D3434" t="s">
        <v>16206</v>
      </c>
      <c r="E3434" t="s">
        <v>16218</v>
      </c>
      <c r="F3434" t="s">
        <v>16220</v>
      </c>
      <c r="G3434" t="s">
        <v>16274</v>
      </c>
      <c r="H3434" t="s">
        <v>16269</v>
      </c>
      <c r="I3434" t="s">
        <v>16352</v>
      </c>
      <c r="J3434" t="s">
        <v>16386</v>
      </c>
      <c r="K3434">
        <v>0.174</v>
      </c>
      <c r="L3434">
        <v>7568</v>
      </c>
      <c r="M3434">
        <v>2000</v>
      </c>
      <c r="N3434" t="s">
        <v>16393</v>
      </c>
      <c r="O3434" s="4">
        <v>60269</v>
      </c>
      <c r="P3434" s="4">
        <v>120429</v>
      </c>
      <c r="Q3434" s="4">
        <v>180698</v>
      </c>
      <c r="R3434" s="4">
        <v>542094</v>
      </c>
      <c r="S3434" t="s">
        <v>19746</v>
      </c>
      <c r="T3434" s="6">
        <v>39264</v>
      </c>
      <c r="U3434" s="4">
        <v>335000</v>
      </c>
      <c r="V3434" t="s">
        <v>23739</v>
      </c>
      <c r="W3434" t="s">
        <v>19746</v>
      </c>
      <c r="X3434" t="s">
        <v>3</v>
      </c>
      <c r="AA3434" s="5" t="str">
        <f>HYPERLINK("https://www.zillow.com/homes/801-ANTHONY-CT-NAPERVILLE-IL-60540_rb/","check listing")</f>
        <v>check listing</v>
      </c>
      <c r="AB3434" s="5" t="str">
        <f>HYPERLINK("https://propertylookup.dupagecounty.gov/Datalets/Datalet.aspx?UseSearch=no&amp;mode=sales&amp;pin=0715203011","sales record")</f>
        <v>sales record</v>
      </c>
      <c r="AC3434" t="s">
        <v>3</v>
      </c>
      <c r="AD3434">
        <v>41.782143</v>
      </c>
      <c r="AE3434">
        <v>-88.19276600000001</v>
      </c>
      <c r="AF3434" s="5" t="str">
        <f>HYPERLINK("https://www.google.com/maps/search/?api=1&amp;query=41.782143,-88.192766","map")</f>
        <v>map</v>
      </c>
    </row>
    <row r="3435" spans="1:32">
      <c r="A3435" t="s">
        <v>3485</v>
      </c>
      <c r="B3435" t="s">
        <v>11018</v>
      </c>
      <c r="C3435" t="s">
        <v>15478</v>
      </c>
      <c r="D3435" t="s">
        <v>16206</v>
      </c>
      <c r="E3435" t="s">
        <v>16218</v>
      </c>
      <c r="F3435" t="s">
        <v>16220</v>
      </c>
      <c r="G3435" t="s">
        <v>16274</v>
      </c>
      <c r="H3435" t="s">
        <v>16269</v>
      </c>
      <c r="I3435" t="s">
        <v>16352</v>
      </c>
      <c r="J3435" t="s">
        <v>16386</v>
      </c>
      <c r="K3435">
        <v>0.174</v>
      </c>
      <c r="L3435">
        <v>7563</v>
      </c>
      <c r="M3435">
        <v>2144</v>
      </c>
      <c r="N3435" t="s">
        <v>16393</v>
      </c>
      <c r="O3435" s="4">
        <v>48576</v>
      </c>
      <c r="P3435" s="4">
        <v>119660</v>
      </c>
      <c r="Q3435" s="4">
        <v>168236</v>
      </c>
      <c r="R3435" s="4">
        <v>504708</v>
      </c>
      <c r="S3435" t="s">
        <v>19747</v>
      </c>
      <c r="T3435" s="6">
        <v>33664</v>
      </c>
      <c r="U3435" s="4">
        <v>169490</v>
      </c>
      <c r="X3435" t="s">
        <v>3</v>
      </c>
      <c r="AA3435" s="5" t="str">
        <f>HYPERLINK("https://www.zillow.com/homes/717-SMALL-CT-NAPERVILLE-IL-60563_rb/","check listing")</f>
        <v>check listing</v>
      </c>
      <c r="AB3435" s="5" t="str">
        <f>HYPERLINK("https://propertylookup.dupagecounty.gov/Datalets/Datalet.aspx?UseSearch=no&amp;mode=sales&amp;pin=0715206005","sales record")</f>
        <v>sales record</v>
      </c>
      <c r="AC3435" t="s">
        <v>3</v>
      </c>
      <c r="AD3435">
        <v>41.781343</v>
      </c>
      <c r="AE3435">
        <v>-88.188388</v>
      </c>
      <c r="AF3435" s="5" t="str">
        <f>HYPERLINK("https://www.google.com/maps/search/?api=1&amp;query=41.781343,-88.188388","map")</f>
        <v>map</v>
      </c>
    </row>
    <row r="3436" spans="1:32">
      <c r="A3436" t="s">
        <v>3486</v>
      </c>
      <c r="B3436" t="s">
        <v>11019</v>
      </c>
      <c r="C3436" t="s">
        <v>15475</v>
      </c>
      <c r="D3436" t="s">
        <v>16206</v>
      </c>
      <c r="E3436" t="s">
        <v>16218</v>
      </c>
      <c r="F3436" t="s">
        <v>16220</v>
      </c>
      <c r="G3436" t="s">
        <v>16276</v>
      </c>
      <c r="H3436" t="s">
        <v>16276</v>
      </c>
      <c r="I3436" t="s">
        <v>16352</v>
      </c>
      <c r="J3436" t="s">
        <v>16386</v>
      </c>
      <c r="K3436">
        <v>0.174</v>
      </c>
      <c r="L3436">
        <v>7559</v>
      </c>
      <c r="M3436">
        <v>1979</v>
      </c>
      <c r="N3436" t="s">
        <v>16393</v>
      </c>
      <c r="O3436" s="4">
        <v>49444</v>
      </c>
      <c r="P3436" s="4">
        <v>89476</v>
      </c>
      <c r="Q3436" s="4">
        <v>138920</v>
      </c>
      <c r="R3436" s="4">
        <v>416760</v>
      </c>
      <c r="S3436" t="s">
        <v>19748</v>
      </c>
      <c r="T3436" s="6">
        <v>37742</v>
      </c>
      <c r="U3436" s="4">
        <v>226000</v>
      </c>
      <c r="V3436" t="s">
        <v>23740</v>
      </c>
      <c r="W3436" t="s">
        <v>25456</v>
      </c>
      <c r="X3436" t="s">
        <v>3</v>
      </c>
      <c r="AA3436" s="5" t="str">
        <f>HYPERLINK("https://www.zillow.com/homes/2172-SCHUMACHER-LN-NAPERVILLE-IL-60540_rb/","check listing")</f>
        <v>check listing</v>
      </c>
      <c r="AB3436" s="5" t="str">
        <f>HYPERLINK("https://propertylookup.dupagecounty.gov/Datalets/Datalet.aspx?UseSearch=no&amp;mode=sales&amp;pin=0727203024","sales record")</f>
        <v>sales record</v>
      </c>
      <c r="AC3436" t="s">
        <v>3</v>
      </c>
      <c r="AD3436">
        <v>41.751179</v>
      </c>
      <c r="AE3436">
        <v>-88.189138</v>
      </c>
      <c r="AF3436" s="5" t="str">
        <f>HYPERLINK("https://www.google.com/maps/search/?api=1&amp;query=41.751179,-88.189138","map")</f>
        <v>map</v>
      </c>
    </row>
    <row r="3437" spans="1:32">
      <c r="A3437" t="s">
        <v>3487</v>
      </c>
      <c r="B3437" t="s">
        <v>11020</v>
      </c>
      <c r="C3437" t="s">
        <v>15475</v>
      </c>
      <c r="D3437" t="s">
        <v>16206</v>
      </c>
      <c r="E3437" t="s">
        <v>16218</v>
      </c>
      <c r="F3437" t="s">
        <v>16220</v>
      </c>
      <c r="G3437" t="s">
        <v>16275</v>
      </c>
      <c r="H3437" t="s">
        <v>16276</v>
      </c>
      <c r="I3437" t="s">
        <v>16352</v>
      </c>
      <c r="J3437" t="s">
        <v>16386</v>
      </c>
      <c r="K3437">
        <v>0.173</v>
      </c>
      <c r="L3437">
        <v>7557</v>
      </c>
      <c r="M3437">
        <v>1484</v>
      </c>
      <c r="N3437" t="s">
        <v>16393</v>
      </c>
      <c r="O3437" s="4">
        <v>51103</v>
      </c>
      <c r="P3437" s="4">
        <v>91905</v>
      </c>
      <c r="Q3437" s="4">
        <v>143008</v>
      </c>
      <c r="R3437" s="4">
        <v>429024</v>
      </c>
      <c r="S3437" t="s">
        <v>19749</v>
      </c>
      <c r="T3437" s="6">
        <v>34578</v>
      </c>
      <c r="U3437" s="4">
        <v>143445</v>
      </c>
      <c r="X3437" t="s">
        <v>3</v>
      </c>
      <c r="AA3437" s="5" t="str">
        <f>HYPERLINK("https://www.zillow.com/homes/728-WILDFLOWER-CIR-NAPERVILLE-IL-60540_rb/","check listing")</f>
        <v>check listing</v>
      </c>
      <c r="AB3437" s="5" t="str">
        <f>HYPERLINK("https://propertylookup.dupagecounty.gov/Datalets/Datalet.aspx?UseSearch=no&amp;mode=sales&amp;pin=0722406014","sales record")</f>
        <v>sales record</v>
      </c>
      <c r="AC3437" t="s">
        <v>3</v>
      </c>
      <c r="AD3437">
        <v>41.758178</v>
      </c>
      <c r="AE3437">
        <v>-88.19396399999999</v>
      </c>
      <c r="AF3437" s="5" t="str">
        <f>HYPERLINK("https://www.google.com/maps/search/?api=1&amp;query=41.758178,-88.193964","map")</f>
        <v>map</v>
      </c>
    </row>
    <row r="3438" spans="1:32">
      <c r="A3438" t="s">
        <v>3488</v>
      </c>
      <c r="B3438" t="s">
        <v>11021</v>
      </c>
      <c r="C3438" t="s">
        <v>15475</v>
      </c>
      <c r="D3438" t="s">
        <v>16206</v>
      </c>
      <c r="E3438" t="s">
        <v>16218</v>
      </c>
      <c r="F3438" t="s">
        <v>16220</v>
      </c>
      <c r="G3438" t="s">
        <v>16275</v>
      </c>
      <c r="H3438" t="s">
        <v>16276</v>
      </c>
      <c r="I3438" t="s">
        <v>16352</v>
      </c>
      <c r="J3438" t="s">
        <v>16386</v>
      </c>
      <c r="K3438">
        <v>0.173</v>
      </c>
      <c r="L3438">
        <v>7546</v>
      </c>
      <c r="M3438">
        <v>1583</v>
      </c>
      <c r="N3438" t="s">
        <v>16393</v>
      </c>
      <c r="O3438" s="4">
        <v>52555</v>
      </c>
      <c r="P3438" s="4">
        <v>94431</v>
      </c>
      <c r="Q3438" s="4">
        <v>146986</v>
      </c>
      <c r="R3438" s="4">
        <v>440958</v>
      </c>
      <c r="S3438" t="s">
        <v>19750</v>
      </c>
      <c r="T3438" s="6">
        <v>37012</v>
      </c>
      <c r="U3438" s="4">
        <v>194000</v>
      </c>
      <c r="V3438" t="s">
        <v>23739</v>
      </c>
      <c r="W3438" t="s">
        <v>25457</v>
      </c>
      <c r="X3438" t="s">
        <v>3</v>
      </c>
      <c r="AA3438" s="5" t="str">
        <f>HYPERLINK("https://www.zillow.com/homes/2027-CROSSING-LN-NAPERVILLE-IL-60540_rb/","check listing")</f>
        <v>check listing</v>
      </c>
      <c r="AB3438" s="5" t="str">
        <f>HYPERLINK("https://propertylookup.dupagecounty.gov/Datalets/Datalet.aspx?UseSearch=no&amp;mode=sales&amp;pin=0727203010","sales record")</f>
        <v>sales record</v>
      </c>
      <c r="AC3438" t="s">
        <v>3</v>
      </c>
      <c r="AD3438">
        <v>41.75088</v>
      </c>
      <c r="AE3438">
        <v>-88.187489</v>
      </c>
      <c r="AF3438" s="5" t="str">
        <f>HYPERLINK("https://www.google.com/maps/search/?api=1&amp;query=41.75088,-88.187489","map")</f>
        <v>map</v>
      </c>
    </row>
    <row r="3439" spans="1:32">
      <c r="A3439" t="s">
        <v>3489</v>
      </c>
      <c r="B3439" t="s">
        <v>11022</v>
      </c>
      <c r="C3439" t="s">
        <v>15475</v>
      </c>
      <c r="D3439" t="s">
        <v>16206</v>
      </c>
      <c r="E3439" t="s">
        <v>16218</v>
      </c>
      <c r="F3439" t="s">
        <v>16220</v>
      </c>
      <c r="G3439" t="s">
        <v>16275</v>
      </c>
      <c r="H3439" t="s">
        <v>16276</v>
      </c>
      <c r="I3439" t="s">
        <v>16352</v>
      </c>
      <c r="J3439" t="s">
        <v>16386</v>
      </c>
      <c r="K3439">
        <v>0.173</v>
      </c>
      <c r="L3439">
        <v>7544</v>
      </c>
      <c r="M3439">
        <v>2152</v>
      </c>
      <c r="N3439" t="s">
        <v>16393</v>
      </c>
      <c r="O3439" s="4">
        <v>57169</v>
      </c>
      <c r="P3439" s="4">
        <v>111396</v>
      </c>
      <c r="Q3439" s="4">
        <v>168565</v>
      </c>
      <c r="R3439" s="4">
        <v>505695</v>
      </c>
      <c r="S3439" t="s">
        <v>19751</v>
      </c>
      <c r="T3439" s="6">
        <v>43191</v>
      </c>
      <c r="U3439" s="4">
        <v>365000</v>
      </c>
      <c r="V3439" t="s">
        <v>23739</v>
      </c>
      <c r="W3439" t="s">
        <v>25458</v>
      </c>
      <c r="X3439" t="s">
        <v>3</v>
      </c>
      <c r="AA3439" s="5" t="str">
        <f>HYPERLINK("https://www.zillow.com/homes/2111-JESSICA-CT-NAPERVILLE-IL-60540_rb/","check listing")</f>
        <v>check listing</v>
      </c>
      <c r="AB3439" s="5" t="str">
        <f>HYPERLINK("https://propertylookup.dupagecounty.gov/Datalets/Datalet.aspx?UseSearch=no&amp;mode=sales&amp;pin=0727201036","sales record")</f>
        <v>sales record</v>
      </c>
      <c r="AC3439" t="s">
        <v>3</v>
      </c>
      <c r="AD3439">
        <v>41.748428</v>
      </c>
      <c r="AE3439">
        <v>-88.190061</v>
      </c>
      <c r="AF3439" s="5" t="str">
        <f>HYPERLINK("https://www.google.com/maps/search/?api=1&amp;query=41.748428,-88.190061","map")</f>
        <v>map</v>
      </c>
    </row>
    <row r="3440" spans="1:32">
      <c r="A3440" t="s">
        <v>3490</v>
      </c>
      <c r="B3440" t="s">
        <v>11023</v>
      </c>
      <c r="C3440" t="s">
        <v>15586</v>
      </c>
      <c r="D3440" t="s">
        <v>16206</v>
      </c>
      <c r="E3440" t="s">
        <v>16218</v>
      </c>
      <c r="F3440" t="s">
        <v>16220</v>
      </c>
      <c r="G3440" t="s">
        <v>16275</v>
      </c>
      <c r="H3440" t="s">
        <v>16276</v>
      </c>
      <c r="I3440" t="s">
        <v>16352</v>
      </c>
      <c r="J3440" t="s">
        <v>16386</v>
      </c>
      <c r="K3440">
        <v>0.173</v>
      </c>
      <c r="L3440">
        <v>7528</v>
      </c>
      <c r="M3440">
        <v>1649</v>
      </c>
      <c r="N3440" t="s">
        <v>16393</v>
      </c>
      <c r="O3440" s="4">
        <v>47905</v>
      </c>
      <c r="P3440" s="4">
        <v>113972</v>
      </c>
      <c r="Q3440" s="4">
        <v>161877</v>
      </c>
      <c r="R3440" s="4">
        <v>485631</v>
      </c>
      <c r="S3440" t="s">
        <v>19752</v>
      </c>
      <c r="T3440" s="6">
        <v>38200</v>
      </c>
      <c r="U3440" s="4">
        <v>288000</v>
      </c>
      <c r="V3440" t="s">
        <v>23739</v>
      </c>
      <c r="W3440" t="s">
        <v>25459</v>
      </c>
      <c r="X3440" t="s">
        <v>3</v>
      </c>
      <c r="AA3440" s="5" t="str">
        <f>HYPERLINK("https://www.zillow.com/homes/787-WILDFLOWER-CIR-NAPERVILLE-IL-605406223_rb/","check listing")</f>
        <v>check listing</v>
      </c>
      <c r="AB3440" s="5" t="str">
        <f>HYPERLINK("https://propertylookup.dupagecounty.gov/Datalets/Datalet.aspx?UseSearch=no&amp;mode=sales&amp;pin=0722305003","sales record")</f>
        <v>sales record</v>
      </c>
      <c r="AC3440" t="s">
        <v>3</v>
      </c>
      <c r="AD3440">
        <v>41.758645</v>
      </c>
      <c r="AE3440">
        <v>-88.19638399999999</v>
      </c>
      <c r="AF3440" s="5" t="str">
        <f>HYPERLINK("https://www.google.com/maps/search/?api=1&amp;query=41.758645,-88.196384","map")</f>
        <v>map</v>
      </c>
    </row>
    <row r="3441" spans="1:32">
      <c r="A3441" t="s">
        <v>3491</v>
      </c>
      <c r="B3441" t="s">
        <v>11024</v>
      </c>
      <c r="C3441" t="s">
        <v>15541</v>
      </c>
      <c r="D3441" t="s">
        <v>16206</v>
      </c>
      <c r="E3441" t="s">
        <v>16218</v>
      </c>
      <c r="F3441" t="s">
        <v>16220</v>
      </c>
      <c r="G3441" t="s">
        <v>16276</v>
      </c>
      <c r="H3441" t="s">
        <v>16276</v>
      </c>
      <c r="I3441" t="s">
        <v>16352</v>
      </c>
      <c r="J3441" t="s">
        <v>16386</v>
      </c>
      <c r="K3441">
        <v>0.173</v>
      </c>
      <c r="L3441">
        <v>7525</v>
      </c>
      <c r="M3441">
        <v>1980</v>
      </c>
      <c r="N3441" t="s">
        <v>16393</v>
      </c>
      <c r="O3441" s="4">
        <v>49444</v>
      </c>
      <c r="P3441" s="4">
        <v>89598</v>
      </c>
      <c r="Q3441" s="4">
        <v>139042</v>
      </c>
      <c r="R3441" s="4">
        <v>417126</v>
      </c>
      <c r="S3441" t="s">
        <v>19753</v>
      </c>
      <c r="T3441" s="6">
        <v>43191</v>
      </c>
      <c r="U3441" s="4">
        <v>315000</v>
      </c>
      <c r="V3441" t="s">
        <v>23739</v>
      </c>
      <c r="W3441" t="s">
        <v>25460</v>
      </c>
      <c r="X3441" t="s">
        <v>3</v>
      </c>
      <c r="AA3441" s="5" t="str">
        <f>HYPERLINK("https://www.zillow.com/homes/2167-SCHUMACHER-DR-NAPERVILLE-IL-605401911_rb/","check listing")</f>
        <v>check listing</v>
      </c>
      <c r="AB3441" s="5" t="str">
        <f>HYPERLINK("https://propertylookup.dupagecounty.gov/Datalets/Datalet.aspx?UseSearch=no&amp;mode=sales&amp;pin=0727208021","sales record")</f>
        <v>sales record</v>
      </c>
      <c r="AC3441" t="s">
        <v>3</v>
      </c>
      <c r="AD3441">
        <v>41.751742</v>
      </c>
      <c r="AE3441">
        <v>-88.189161</v>
      </c>
      <c r="AF3441" s="5" t="str">
        <f>HYPERLINK("https://www.google.com/maps/search/?api=1&amp;query=41.751742,-88.189161","map")</f>
        <v>map</v>
      </c>
    </row>
    <row r="3442" spans="1:32">
      <c r="A3442" t="s">
        <v>3492</v>
      </c>
      <c r="B3442" t="s">
        <v>11025</v>
      </c>
      <c r="C3442" t="s">
        <v>15476</v>
      </c>
      <c r="D3442" t="s">
        <v>16206</v>
      </c>
      <c r="E3442" t="s">
        <v>16218</v>
      </c>
      <c r="F3442" t="s">
        <v>16220</v>
      </c>
      <c r="G3442" t="s">
        <v>16269</v>
      </c>
      <c r="H3442" t="s">
        <v>16269</v>
      </c>
      <c r="I3442" t="s">
        <v>16352</v>
      </c>
      <c r="J3442" t="s">
        <v>16386</v>
      </c>
      <c r="K3442">
        <v>0.173</v>
      </c>
      <c r="L3442">
        <v>7523</v>
      </c>
      <c r="M3442">
        <v>2233</v>
      </c>
      <c r="N3442" t="s">
        <v>16393</v>
      </c>
      <c r="O3442" s="4">
        <v>73336</v>
      </c>
      <c r="P3442" s="4">
        <v>95383</v>
      </c>
      <c r="Q3442" s="4">
        <v>168719</v>
      </c>
      <c r="R3442" s="4">
        <v>506157</v>
      </c>
      <c r="S3442" t="s">
        <v>19754</v>
      </c>
      <c r="T3442" s="6">
        <v>37347</v>
      </c>
      <c r="U3442" s="4">
        <v>260000</v>
      </c>
      <c r="V3442" t="s">
        <v>23739</v>
      </c>
      <c r="W3442" t="s">
        <v>25461</v>
      </c>
      <c r="X3442" t="s">
        <v>3</v>
      </c>
      <c r="AA3442" s="5" t="str">
        <f>HYPERLINK("https://www.zillow.com/homes/1752-NAPOLEON-DR-NAPERVILLE-IL-60565_rb/","check listing")</f>
        <v>check listing</v>
      </c>
      <c r="AB3442" s="5" t="str">
        <f>HYPERLINK("https://propertylookup.dupagecounty.gov/Datalets/Datalet.aspx?UseSearch=no&amp;mode=sales&amp;pin=0832115032","sales record")</f>
        <v>sales record</v>
      </c>
      <c r="AC3442" t="s">
        <v>3</v>
      </c>
      <c r="AD3442">
        <v>41.735226</v>
      </c>
      <c r="AE3442">
        <v>-88.120598</v>
      </c>
      <c r="AF3442" s="5" t="str">
        <f>HYPERLINK("https://www.google.com/maps/search/?api=1&amp;query=41.735226,-88.120598","map")</f>
        <v>map</v>
      </c>
    </row>
    <row r="3443" spans="1:32">
      <c r="A3443" t="s">
        <v>3493</v>
      </c>
      <c r="B3443" t="s">
        <v>11026</v>
      </c>
      <c r="C3443" t="s">
        <v>15475</v>
      </c>
      <c r="D3443" t="s">
        <v>16206</v>
      </c>
      <c r="E3443" t="s">
        <v>16218</v>
      </c>
      <c r="F3443" t="s">
        <v>16220</v>
      </c>
      <c r="G3443" t="s">
        <v>16275</v>
      </c>
      <c r="H3443" t="s">
        <v>16276</v>
      </c>
      <c r="I3443" t="s">
        <v>16352</v>
      </c>
      <c r="J3443" t="s">
        <v>16386</v>
      </c>
      <c r="K3443">
        <v>0.172</v>
      </c>
      <c r="L3443">
        <v>7512</v>
      </c>
      <c r="M3443">
        <v>1980</v>
      </c>
      <c r="N3443" t="s">
        <v>16393</v>
      </c>
      <c r="O3443" s="4">
        <v>47905</v>
      </c>
      <c r="P3443" s="4">
        <v>114704</v>
      </c>
      <c r="Q3443" s="4">
        <v>162609</v>
      </c>
      <c r="R3443" s="4">
        <v>487827</v>
      </c>
      <c r="S3443" t="s">
        <v>19755</v>
      </c>
      <c r="T3443" s="6">
        <v>35034</v>
      </c>
      <c r="U3443" s="4">
        <v>174991</v>
      </c>
      <c r="X3443" t="s">
        <v>3</v>
      </c>
      <c r="AA3443" s="5" t="str">
        <f>HYPERLINK("https://www.zillow.com/homes/803-VIOLET-CIR-NAPERVILLE-IL-60540_rb/","check listing")</f>
        <v>check listing</v>
      </c>
      <c r="AB3443" s="5" t="str">
        <f>HYPERLINK("https://propertylookup.dupagecounty.gov/Datalets/Datalet.aspx?UseSearch=no&amp;mode=sales&amp;pin=0722407046","sales record")</f>
        <v>sales record</v>
      </c>
      <c r="AC3443" t="s">
        <v>3</v>
      </c>
      <c r="AD3443">
        <v>41.758845</v>
      </c>
      <c r="AE3443">
        <v>-88.18988899999999</v>
      </c>
      <c r="AF3443" s="5" t="str">
        <f>HYPERLINK("https://www.google.com/maps/search/?api=1&amp;query=41.758845,-88.189889","map")</f>
        <v>map</v>
      </c>
    </row>
    <row r="3444" spans="1:32">
      <c r="A3444" t="s">
        <v>3494</v>
      </c>
      <c r="B3444" t="s">
        <v>11027</v>
      </c>
      <c r="C3444" t="s">
        <v>15475</v>
      </c>
      <c r="D3444" t="s">
        <v>16206</v>
      </c>
      <c r="E3444" t="s">
        <v>16218</v>
      </c>
      <c r="F3444" t="s">
        <v>16220</v>
      </c>
      <c r="G3444" t="s">
        <v>16275</v>
      </c>
      <c r="H3444" t="s">
        <v>16276</v>
      </c>
      <c r="I3444" t="s">
        <v>16352</v>
      </c>
      <c r="J3444" t="s">
        <v>16386</v>
      </c>
      <c r="K3444">
        <v>0.172</v>
      </c>
      <c r="L3444">
        <v>7508</v>
      </c>
      <c r="M3444">
        <v>2356</v>
      </c>
      <c r="N3444" t="s">
        <v>16393</v>
      </c>
      <c r="O3444" s="4">
        <v>51103</v>
      </c>
      <c r="P3444" s="4">
        <v>130925</v>
      </c>
      <c r="Q3444" s="4">
        <v>182028</v>
      </c>
      <c r="R3444" s="4">
        <v>546084</v>
      </c>
      <c r="S3444" t="s">
        <v>19756</v>
      </c>
      <c r="T3444" s="6">
        <v>39873</v>
      </c>
      <c r="U3444" s="4">
        <v>350000</v>
      </c>
      <c r="V3444" t="s">
        <v>23739</v>
      </c>
      <c r="W3444" t="s">
        <v>25462</v>
      </c>
      <c r="X3444" t="s">
        <v>3</v>
      </c>
      <c r="AA3444" s="5" t="str">
        <f>HYPERLINK("https://www.zillow.com/homes/2148-FELDOTT-LN-NAPERVILLE-IL-60540_rb/","check listing")</f>
        <v>check listing</v>
      </c>
      <c r="AB3444" s="5" t="str">
        <f>HYPERLINK("https://propertylookup.dupagecounty.gov/Datalets/Datalet.aspx?UseSearch=no&amp;mode=sales&amp;pin=0722409013","sales record")</f>
        <v>sales record</v>
      </c>
      <c r="AC3444" t="s">
        <v>3</v>
      </c>
      <c r="AD3444">
        <v>41.761245</v>
      </c>
      <c r="AE3444">
        <v>-88.190917</v>
      </c>
      <c r="AF3444" s="5" t="str">
        <f>HYPERLINK("https://www.google.com/maps/search/?api=1&amp;query=41.761245,-88.190917","map")</f>
        <v>map</v>
      </c>
    </row>
    <row r="3445" spans="1:32">
      <c r="A3445" t="s">
        <v>3495</v>
      </c>
      <c r="B3445" t="s">
        <v>11028</v>
      </c>
      <c r="C3445" t="s">
        <v>15475</v>
      </c>
      <c r="D3445" t="s">
        <v>16206</v>
      </c>
      <c r="E3445" t="s">
        <v>16218</v>
      </c>
      <c r="F3445" t="s">
        <v>16220</v>
      </c>
      <c r="G3445" t="s">
        <v>16276</v>
      </c>
      <c r="H3445" t="s">
        <v>16276</v>
      </c>
      <c r="I3445" t="s">
        <v>16352</v>
      </c>
      <c r="J3445" t="s">
        <v>16386</v>
      </c>
      <c r="K3445">
        <v>0.172</v>
      </c>
      <c r="L3445">
        <v>7508</v>
      </c>
      <c r="M3445">
        <v>1780</v>
      </c>
      <c r="N3445" t="s">
        <v>16393</v>
      </c>
      <c r="O3445" s="4">
        <v>46367</v>
      </c>
      <c r="P3445" s="4">
        <v>87902</v>
      </c>
      <c r="Q3445" s="4">
        <v>134269</v>
      </c>
      <c r="R3445" s="4">
        <v>402807</v>
      </c>
      <c r="S3445" t="s">
        <v>19757</v>
      </c>
      <c r="T3445" s="6">
        <v>34912</v>
      </c>
      <c r="U3445" s="4">
        <v>149350</v>
      </c>
      <c r="X3445" t="s">
        <v>3</v>
      </c>
      <c r="AA3445" s="5" t="str">
        <f>HYPERLINK("https://www.zillow.com/homes/2004-SCHUMACHER-LN-NAPERVILLE-IL-60540_rb/","check listing")</f>
        <v>check listing</v>
      </c>
      <c r="AB3445" s="5" t="str">
        <f>HYPERLINK("https://propertylookup.dupagecounty.gov/Datalets/Datalet.aspx?UseSearch=no&amp;mode=sales&amp;pin=0727211001","sales record")</f>
        <v>sales record</v>
      </c>
      <c r="AC3445" t="s">
        <v>3</v>
      </c>
      <c r="AD3445">
        <v>41.754577</v>
      </c>
      <c r="AE3445">
        <v>-88.189272</v>
      </c>
      <c r="AF3445" s="5" t="str">
        <f>HYPERLINK("https://www.google.com/maps/search/?api=1&amp;query=41.754577,-88.189272","map")</f>
        <v>map</v>
      </c>
    </row>
    <row r="3446" spans="1:32">
      <c r="A3446" t="s">
        <v>3496</v>
      </c>
      <c r="B3446" t="s">
        <v>11029</v>
      </c>
      <c r="C3446" t="s">
        <v>15475</v>
      </c>
      <c r="D3446" t="s">
        <v>16206</v>
      </c>
      <c r="E3446" t="s">
        <v>16218</v>
      </c>
      <c r="F3446" t="s">
        <v>16220</v>
      </c>
      <c r="G3446" t="s">
        <v>16275</v>
      </c>
      <c r="H3446" t="s">
        <v>16276</v>
      </c>
      <c r="I3446" t="s">
        <v>16352</v>
      </c>
      <c r="J3446" t="s">
        <v>16386</v>
      </c>
      <c r="K3446">
        <v>0.172</v>
      </c>
      <c r="L3446">
        <v>7507</v>
      </c>
      <c r="M3446">
        <v>2475</v>
      </c>
      <c r="N3446" t="s">
        <v>16393</v>
      </c>
      <c r="O3446" s="4">
        <v>52690</v>
      </c>
      <c r="P3446" s="4">
        <v>149135</v>
      </c>
      <c r="Q3446" s="4">
        <v>201825</v>
      </c>
      <c r="R3446" s="4">
        <v>605475</v>
      </c>
      <c r="S3446" t="s">
        <v>19758</v>
      </c>
      <c r="T3446" s="6">
        <v>38534</v>
      </c>
      <c r="U3446" s="4">
        <v>365000</v>
      </c>
      <c r="V3446" t="s">
        <v>23739</v>
      </c>
      <c r="W3446" t="s">
        <v>25463</v>
      </c>
      <c r="X3446" t="s">
        <v>3</v>
      </c>
      <c r="AA3446" s="5" t="str">
        <f>HYPERLINK("https://www.zillow.com/homes/707-BONESET-CT-NAPERVILLE-IL-60540_rb/","check listing")</f>
        <v>check listing</v>
      </c>
      <c r="AB3446" s="5" t="str">
        <f>HYPERLINK("https://propertylookup.dupagecounty.gov/Datalets/Datalet.aspx?UseSearch=no&amp;mode=sales&amp;pin=0722406027","sales record")</f>
        <v>sales record</v>
      </c>
      <c r="AC3446" t="s">
        <v>3</v>
      </c>
      <c r="AD3446">
        <v>41.758631</v>
      </c>
      <c r="AE3446">
        <v>-88.195261</v>
      </c>
      <c r="AF3446" s="5" t="str">
        <f>HYPERLINK("https://www.google.com/maps/search/?api=1&amp;query=41.758631,-88.195261","map")</f>
        <v>map</v>
      </c>
    </row>
    <row r="3447" spans="1:32">
      <c r="A3447" t="s">
        <v>3497</v>
      </c>
      <c r="B3447" t="s">
        <v>11030</v>
      </c>
      <c r="C3447" t="s">
        <v>15478</v>
      </c>
      <c r="D3447" t="s">
        <v>16206</v>
      </c>
      <c r="E3447" t="s">
        <v>16218</v>
      </c>
      <c r="F3447" t="s">
        <v>16220</v>
      </c>
      <c r="G3447" t="s">
        <v>16274</v>
      </c>
      <c r="H3447" t="s">
        <v>16269</v>
      </c>
      <c r="I3447" t="s">
        <v>16352</v>
      </c>
      <c r="J3447" t="s">
        <v>16386</v>
      </c>
      <c r="K3447">
        <v>0.172</v>
      </c>
      <c r="L3447">
        <v>7502</v>
      </c>
      <c r="M3447">
        <v>2357</v>
      </c>
      <c r="N3447" t="s">
        <v>16393</v>
      </c>
      <c r="O3447" s="4">
        <v>48576</v>
      </c>
      <c r="P3447" s="4">
        <v>82873</v>
      </c>
      <c r="Q3447" s="4">
        <v>131449</v>
      </c>
      <c r="R3447" s="4">
        <v>394347</v>
      </c>
      <c r="S3447" t="s">
        <v>19759</v>
      </c>
      <c r="T3447" s="6">
        <v>45210</v>
      </c>
      <c r="U3447" s="4">
        <v>431000</v>
      </c>
      <c r="V3447" t="s">
        <v>23739</v>
      </c>
      <c r="W3447" t="s">
        <v>25464</v>
      </c>
      <c r="X3447" t="s">
        <v>3</v>
      </c>
      <c r="AA3447" s="5" t="str">
        <f>HYPERLINK("https://www.zillow.com/homes/1593-HINTERLONG-LN-NAPERVILLE-IL-60563_rb/","check listing")</f>
        <v>check listing</v>
      </c>
      <c r="AB3447" s="5" t="str">
        <f>HYPERLINK("https://propertylookup.dupagecounty.gov/Datalets/Datalet.aspx?UseSearch=no&amp;mode=sales&amp;pin=0715205018","sales record")</f>
        <v>sales record</v>
      </c>
      <c r="AC3447" t="s">
        <v>3</v>
      </c>
      <c r="AD3447">
        <v>41.781066</v>
      </c>
      <c r="AE3447">
        <v>-88.190166</v>
      </c>
      <c r="AF3447" s="5" t="str">
        <f>HYPERLINK("https://www.google.com/maps/search/?api=1&amp;query=41.781066,-88.190166","map")</f>
        <v>map</v>
      </c>
    </row>
    <row r="3448" spans="1:32">
      <c r="A3448" t="s">
        <v>3498</v>
      </c>
      <c r="B3448" t="s">
        <v>11031</v>
      </c>
      <c r="C3448" t="s">
        <v>15478</v>
      </c>
      <c r="D3448" t="s">
        <v>16206</v>
      </c>
      <c r="E3448" t="s">
        <v>16218</v>
      </c>
      <c r="F3448" t="s">
        <v>16220</v>
      </c>
      <c r="G3448" t="s">
        <v>16274</v>
      </c>
      <c r="H3448" t="s">
        <v>16269</v>
      </c>
      <c r="I3448" t="s">
        <v>16352</v>
      </c>
      <c r="J3448" t="s">
        <v>16386</v>
      </c>
      <c r="K3448">
        <v>0.172</v>
      </c>
      <c r="L3448">
        <v>7490</v>
      </c>
      <c r="M3448">
        <v>2356</v>
      </c>
      <c r="N3448" t="s">
        <v>16393</v>
      </c>
      <c r="O3448" s="4">
        <v>48576</v>
      </c>
      <c r="P3448" s="4">
        <v>89427</v>
      </c>
      <c r="Q3448" s="4">
        <v>138003</v>
      </c>
      <c r="R3448" s="4">
        <v>414009</v>
      </c>
      <c r="S3448" t="s">
        <v>19760</v>
      </c>
      <c r="T3448" s="6">
        <v>36739</v>
      </c>
      <c r="U3448" s="4">
        <v>182000</v>
      </c>
      <c r="V3448" t="s">
        <v>23739</v>
      </c>
      <c r="W3448" t="s">
        <v>25465</v>
      </c>
      <c r="X3448" t="s">
        <v>3</v>
      </c>
      <c r="AA3448" s="5" t="str">
        <f>HYPERLINK("https://www.zillow.com/homes/1674-HINTERLONG-LN-NAPERVILLE-IL-60563_rb/","check listing")</f>
        <v>check listing</v>
      </c>
      <c r="AB3448" s="5" t="str">
        <f>HYPERLINK("https://propertylookup.dupagecounty.gov/Datalets/Datalet.aspx?UseSearch=no&amp;mode=sales&amp;pin=0715206039","sales record")</f>
        <v>sales record</v>
      </c>
      <c r="AC3448" t="s">
        <v>3</v>
      </c>
      <c r="AD3448">
        <v>41.781761</v>
      </c>
      <c r="AE3448">
        <v>-88.194416</v>
      </c>
      <c r="AF3448" s="5" t="str">
        <f>HYPERLINK("https://www.google.com/maps/search/?api=1&amp;query=41.781761,-88.194416","map")</f>
        <v>map</v>
      </c>
    </row>
    <row r="3449" spans="1:32">
      <c r="A3449" t="s">
        <v>3499</v>
      </c>
      <c r="B3449" t="s">
        <v>11032</v>
      </c>
      <c r="C3449" t="s">
        <v>15475</v>
      </c>
      <c r="D3449" t="s">
        <v>16206</v>
      </c>
      <c r="E3449" t="s">
        <v>16218</v>
      </c>
      <c r="F3449" t="s">
        <v>16220</v>
      </c>
      <c r="G3449" t="s">
        <v>16275</v>
      </c>
      <c r="H3449" t="s">
        <v>16276</v>
      </c>
      <c r="I3449" t="s">
        <v>16352</v>
      </c>
      <c r="J3449" t="s">
        <v>16386</v>
      </c>
      <c r="K3449">
        <v>0.172</v>
      </c>
      <c r="L3449">
        <v>7489</v>
      </c>
      <c r="M3449">
        <v>2078</v>
      </c>
      <c r="N3449" t="s">
        <v>16393</v>
      </c>
      <c r="O3449" s="4">
        <v>46367</v>
      </c>
      <c r="P3449" s="4">
        <v>107710</v>
      </c>
      <c r="Q3449" s="4">
        <v>154077</v>
      </c>
      <c r="R3449" s="4">
        <v>462231</v>
      </c>
      <c r="S3449" t="s">
        <v>19761</v>
      </c>
      <c r="T3449" s="6">
        <v>42614</v>
      </c>
      <c r="U3449" s="4">
        <v>294500</v>
      </c>
      <c r="V3449" t="s">
        <v>23740</v>
      </c>
      <c r="W3449" t="s">
        <v>19761</v>
      </c>
      <c r="X3449" t="s">
        <v>3</v>
      </c>
      <c r="AA3449" s="5" t="str">
        <f>HYPERLINK("https://www.zillow.com/homes/1107-LAKEWOOD-CIR-NAPERVILLE-IL-60540_rb/","check listing")</f>
        <v>check listing</v>
      </c>
      <c r="AB3449" s="5" t="str">
        <f>HYPERLINK("https://propertylookup.dupagecounty.gov/Datalets/Datalet.aspx?UseSearch=no&amp;mode=sales&amp;pin=0727205031","sales record")</f>
        <v>sales record</v>
      </c>
      <c r="AC3449" t="s">
        <v>3</v>
      </c>
      <c r="AD3449">
        <v>41.750851</v>
      </c>
      <c r="AE3449">
        <v>-88.192431</v>
      </c>
      <c r="AF3449" s="5" t="str">
        <f>HYPERLINK("https://www.google.com/maps/search/?api=1&amp;query=41.750851,-88.192431","map")</f>
        <v>map</v>
      </c>
    </row>
    <row r="3450" spans="1:32">
      <c r="A3450" t="s">
        <v>3500</v>
      </c>
      <c r="B3450" t="s">
        <v>11033</v>
      </c>
      <c r="C3450" t="s">
        <v>15478</v>
      </c>
      <c r="D3450" t="s">
        <v>16206</v>
      </c>
      <c r="E3450" t="s">
        <v>16218</v>
      </c>
      <c r="F3450" t="s">
        <v>16220</v>
      </c>
      <c r="G3450" t="s">
        <v>16274</v>
      </c>
      <c r="H3450" t="s">
        <v>16269</v>
      </c>
      <c r="I3450" t="s">
        <v>16352</v>
      </c>
      <c r="J3450" t="s">
        <v>16386</v>
      </c>
      <c r="K3450">
        <v>0.172</v>
      </c>
      <c r="L3450">
        <v>7488</v>
      </c>
      <c r="M3450">
        <v>2178</v>
      </c>
      <c r="N3450" t="s">
        <v>16393</v>
      </c>
      <c r="O3450" s="4">
        <v>48576</v>
      </c>
      <c r="P3450" s="4">
        <v>118708</v>
      </c>
      <c r="Q3450" s="4">
        <v>167284</v>
      </c>
      <c r="R3450" s="4">
        <v>501852</v>
      </c>
      <c r="S3450" t="s">
        <v>19762</v>
      </c>
      <c r="T3450" s="6">
        <v>33756</v>
      </c>
      <c r="U3450" s="4">
        <v>168000</v>
      </c>
      <c r="X3450" t="s">
        <v>3</v>
      </c>
      <c r="AA3450" s="5" t="str">
        <f>HYPERLINK("https://www.zillow.com/homes/1639-TERRI-CIR-NAPERVILLE-IL-60563_rb/","check listing")</f>
        <v>check listing</v>
      </c>
      <c r="AB3450" s="5" t="str">
        <f>HYPERLINK("https://propertylookup.dupagecounty.gov/Datalets/Datalet.aspx?UseSearch=no&amp;mode=sales&amp;pin=0715204018","sales record")</f>
        <v>sales record</v>
      </c>
      <c r="AC3450" t="s">
        <v>3</v>
      </c>
      <c r="AD3450">
        <v>41.781495</v>
      </c>
      <c r="AE3450">
        <v>-88.192115</v>
      </c>
      <c r="AF3450" s="5" t="str">
        <f>HYPERLINK("https://www.google.com/maps/search/?api=1&amp;query=41.781495,-88.192115","map")</f>
        <v>map</v>
      </c>
    </row>
    <row r="3451" spans="1:32">
      <c r="A3451" t="s">
        <v>3501</v>
      </c>
      <c r="B3451" t="s">
        <v>11034</v>
      </c>
      <c r="C3451" t="s">
        <v>15541</v>
      </c>
      <c r="D3451" t="s">
        <v>16206</v>
      </c>
      <c r="E3451" t="s">
        <v>16218</v>
      </c>
      <c r="F3451" t="s">
        <v>16220</v>
      </c>
      <c r="G3451" t="s">
        <v>16276</v>
      </c>
      <c r="H3451" t="s">
        <v>16276</v>
      </c>
      <c r="I3451" t="s">
        <v>16352</v>
      </c>
      <c r="J3451" t="s">
        <v>16386</v>
      </c>
      <c r="K3451">
        <v>0.172</v>
      </c>
      <c r="L3451">
        <v>7485</v>
      </c>
      <c r="M3451">
        <v>1979</v>
      </c>
      <c r="N3451" t="s">
        <v>16393</v>
      </c>
      <c r="O3451" s="4">
        <v>52555</v>
      </c>
      <c r="P3451" s="4">
        <v>93870</v>
      </c>
      <c r="Q3451" s="4">
        <v>146425</v>
      </c>
      <c r="R3451" s="4">
        <v>439275</v>
      </c>
      <c r="S3451" t="s">
        <v>19763</v>
      </c>
      <c r="T3451" s="6">
        <v>44256</v>
      </c>
      <c r="U3451" s="4">
        <v>324900</v>
      </c>
      <c r="V3451" t="s">
        <v>23739</v>
      </c>
      <c r="W3451" t="s">
        <v>19763</v>
      </c>
      <c r="X3451" t="s">
        <v>3</v>
      </c>
      <c r="AA3451" s="5" t="str">
        <f>HYPERLINK("https://www.zillow.com/homes/2155-SCHUMACHER-DR-NAPERVILLE-IL-605401911_rb/","check listing")</f>
        <v>check listing</v>
      </c>
      <c r="AB3451" s="5" t="str">
        <f>HYPERLINK("https://propertylookup.dupagecounty.gov/Datalets/Datalet.aspx?UseSearch=no&amp;mode=sales&amp;pin=0727208019","sales record")</f>
        <v>sales record</v>
      </c>
      <c r="AC3451" t="s">
        <v>3</v>
      </c>
      <c r="AD3451">
        <v>41.752019</v>
      </c>
      <c r="AE3451">
        <v>-88.188947</v>
      </c>
      <c r="AF3451" s="5" t="str">
        <f>HYPERLINK("https://www.google.com/maps/search/?api=1&amp;query=41.752019,-88.188947","map")</f>
        <v>map</v>
      </c>
    </row>
    <row r="3452" spans="1:32">
      <c r="A3452" t="s">
        <v>3502</v>
      </c>
      <c r="B3452" t="s">
        <v>11035</v>
      </c>
      <c r="C3452" t="s">
        <v>15475</v>
      </c>
      <c r="D3452" t="s">
        <v>16206</v>
      </c>
      <c r="E3452" t="s">
        <v>16218</v>
      </c>
      <c r="F3452" t="s">
        <v>16220</v>
      </c>
      <c r="G3452" t="s">
        <v>16275</v>
      </c>
      <c r="H3452" t="s">
        <v>16276</v>
      </c>
      <c r="I3452" t="s">
        <v>16352</v>
      </c>
      <c r="J3452" t="s">
        <v>16386</v>
      </c>
      <c r="K3452">
        <v>0.172</v>
      </c>
      <c r="L3452">
        <v>7484</v>
      </c>
      <c r="M3452">
        <v>1583</v>
      </c>
      <c r="N3452" t="s">
        <v>16393</v>
      </c>
      <c r="O3452" s="4">
        <v>42084</v>
      </c>
      <c r="P3452" s="4">
        <v>135258</v>
      </c>
      <c r="Q3452" s="4">
        <v>177342</v>
      </c>
      <c r="R3452" s="4">
        <v>532026</v>
      </c>
      <c r="S3452" t="s">
        <v>19764</v>
      </c>
      <c r="T3452" s="6">
        <v>36923</v>
      </c>
      <c r="U3452" s="4">
        <v>260000</v>
      </c>
      <c r="V3452" t="s">
        <v>23739</v>
      </c>
      <c r="W3452" t="s">
        <v>19764</v>
      </c>
      <c r="X3452" t="s">
        <v>3</v>
      </c>
      <c r="AA3452" s="5" t="str">
        <f>HYPERLINK("https://www.zillow.com/homes/1920-CROSSING-CT-NAPERVILLE-IL-60540_rb/","check listing")</f>
        <v>check listing</v>
      </c>
      <c r="AB3452" s="5" t="str">
        <f>HYPERLINK("https://propertylookup.dupagecounty.gov/Datalets/Datalet.aspx?UseSearch=no&amp;mode=sales&amp;pin=0727201014","sales record")</f>
        <v>sales record</v>
      </c>
      <c r="AC3452" t="s">
        <v>3</v>
      </c>
      <c r="AD3452">
        <v>41.748793</v>
      </c>
      <c r="AE3452">
        <v>-88.18773</v>
      </c>
      <c r="AF3452" s="5" t="str">
        <f>HYPERLINK("https://www.google.com/maps/search/?api=1&amp;query=41.748793,-88.18773","map")</f>
        <v>map</v>
      </c>
    </row>
    <row r="3453" spans="1:32">
      <c r="A3453" t="s">
        <v>3503</v>
      </c>
      <c r="B3453" t="s">
        <v>11036</v>
      </c>
      <c r="C3453" t="s">
        <v>15475</v>
      </c>
      <c r="D3453" t="s">
        <v>16206</v>
      </c>
      <c r="E3453" t="s">
        <v>16218</v>
      </c>
      <c r="F3453" t="s">
        <v>16220</v>
      </c>
      <c r="G3453" t="s">
        <v>16276</v>
      </c>
      <c r="H3453" t="s">
        <v>16276</v>
      </c>
      <c r="I3453" t="s">
        <v>16352</v>
      </c>
      <c r="J3453" t="s">
        <v>16386</v>
      </c>
      <c r="K3453">
        <v>0.172</v>
      </c>
      <c r="L3453">
        <v>7480</v>
      </c>
      <c r="M3453">
        <v>2144</v>
      </c>
      <c r="N3453" t="s">
        <v>16393</v>
      </c>
      <c r="O3453" s="4">
        <v>46367</v>
      </c>
      <c r="P3453" s="4">
        <v>115558</v>
      </c>
      <c r="Q3453" s="4">
        <v>161925</v>
      </c>
      <c r="R3453" s="4">
        <v>485775</v>
      </c>
      <c r="S3453" t="s">
        <v>19765</v>
      </c>
      <c r="T3453" s="6">
        <v>45856</v>
      </c>
      <c r="U3453" s="4">
        <v>565000</v>
      </c>
      <c r="V3453" t="s">
        <v>23739</v>
      </c>
      <c r="W3453" t="s">
        <v>25466</v>
      </c>
      <c r="X3453" t="s">
        <v>3</v>
      </c>
      <c r="AA3453" s="5" t="str">
        <f>HYPERLINK("https://www.zillow.com/homes/2003-SCHUMACHER-LN-NAPERVILLE-IL-60540_rb/","check listing")</f>
        <v>check listing</v>
      </c>
      <c r="AB3453" s="5" t="str">
        <f>HYPERLINK("https://propertylookup.dupagecounty.gov/Datalets/Datalet.aspx?UseSearch=no&amp;mode=sales&amp;pin=0727210007","sales record")</f>
        <v>sales record</v>
      </c>
      <c r="AC3453" t="s">
        <v>3</v>
      </c>
      <c r="AD3453">
        <v>41.754118</v>
      </c>
      <c r="AE3453">
        <v>-88.189263</v>
      </c>
      <c r="AF3453" s="5" t="str">
        <f>HYPERLINK("https://www.google.com/maps/search/?api=1&amp;query=41.754118,-88.189263","map")</f>
        <v>map</v>
      </c>
    </row>
    <row r="3454" spans="1:32">
      <c r="A3454" t="s">
        <v>3504</v>
      </c>
      <c r="B3454" t="s">
        <v>11037</v>
      </c>
      <c r="C3454" t="s">
        <v>15475</v>
      </c>
      <c r="D3454" t="s">
        <v>16206</v>
      </c>
      <c r="E3454" t="s">
        <v>16218</v>
      </c>
      <c r="F3454" t="s">
        <v>16220</v>
      </c>
      <c r="G3454" t="s">
        <v>16276</v>
      </c>
      <c r="H3454" t="s">
        <v>16276</v>
      </c>
      <c r="I3454" t="s">
        <v>16352</v>
      </c>
      <c r="J3454" t="s">
        <v>16386</v>
      </c>
      <c r="K3454">
        <v>0.172</v>
      </c>
      <c r="L3454">
        <v>7474</v>
      </c>
      <c r="M3454">
        <v>1979</v>
      </c>
      <c r="N3454" t="s">
        <v>16393</v>
      </c>
      <c r="O3454" s="4">
        <v>43255</v>
      </c>
      <c r="P3454" s="4">
        <v>89927</v>
      </c>
      <c r="Q3454" s="4">
        <v>133182</v>
      </c>
      <c r="R3454" s="4">
        <v>399546</v>
      </c>
      <c r="S3454" t="s">
        <v>19766</v>
      </c>
      <c r="T3454" s="6">
        <v>35065</v>
      </c>
      <c r="U3454" s="4">
        <v>158580</v>
      </c>
      <c r="X3454" t="s">
        <v>3</v>
      </c>
      <c r="AA3454" s="5" t="str">
        <f>HYPERLINK("https://www.zillow.com/homes/935-MATTHEW-CT-NAPERVILLE-IL-60540_rb/","check listing")</f>
        <v>check listing</v>
      </c>
      <c r="AB3454" s="5" t="str">
        <f>HYPERLINK("https://propertylookup.dupagecounty.gov/Datalets/Datalet.aspx?UseSearch=no&amp;mode=sales&amp;pin=0727209001","sales record")</f>
        <v>sales record</v>
      </c>
      <c r="AC3454" t="s">
        <v>3</v>
      </c>
      <c r="AD3454">
        <v>41.752693</v>
      </c>
      <c r="AE3454">
        <v>-88.191174</v>
      </c>
      <c r="AF3454" s="5" t="str">
        <f>HYPERLINK("https://www.google.com/maps/search/?api=1&amp;query=41.752693,-88.191174","map")</f>
        <v>map</v>
      </c>
    </row>
    <row r="3455" spans="1:32">
      <c r="A3455" t="s">
        <v>3505</v>
      </c>
      <c r="B3455" t="s">
        <v>11038</v>
      </c>
      <c r="C3455" t="s">
        <v>15475</v>
      </c>
      <c r="D3455" t="s">
        <v>16206</v>
      </c>
      <c r="E3455" t="s">
        <v>16218</v>
      </c>
      <c r="F3455" t="s">
        <v>16220</v>
      </c>
      <c r="G3455" t="s">
        <v>16275</v>
      </c>
      <c r="H3455" t="s">
        <v>16276</v>
      </c>
      <c r="I3455" t="s">
        <v>16352</v>
      </c>
      <c r="J3455" t="s">
        <v>16386</v>
      </c>
      <c r="K3455">
        <v>0.171</v>
      </c>
      <c r="L3455">
        <v>7460</v>
      </c>
      <c r="M3455">
        <v>1649</v>
      </c>
      <c r="N3455" t="s">
        <v>16393</v>
      </c>
      <c r="O3455" s="4">
        <v>51103</v>
      </c>
      <c r="P3455" s="4">
        <v>104806</v>
      </c>
      <c r="Q3455" s="4">
        <v>155909</v>
      </c>
      <c r="R3455" s="4">
        <v>467727</v>
      </c>
      <c r="S3455" t="s">
        <v>19767</v>
      </c>
      <c r="T3455" s="6">
        <v>41122</v>
      </c>
      <c r="U3455" s="4">
        <v>268000</v>
      </c>
      <c r="V3455" t="s">
        <v>23739</v>
      </c>
      <c r="W3455" t="s">
        <v>25467</v>
      </c>
      <c r="X3455" t="s">
        <v>3</v>
      </c>
      <c r="AA3455" s="5" t="str">
        <f>HYPERLINK("https://www.zillow.com/homes/723-WILDFLOWER-CIR-NAPERVILLE-IL-60540_rb/","check listing")</f>
        <v>check listing</v>
      </c>
      <c r="AB3455" s="5" t="str">
        <f>HYPERLINK("https://propertylookup.dupagecounty.gov/Datalets/Datalet.aspx?UseSearch=no&amp;mode=sales&amp;pin=0722407019","sales record")</f>
        <v>sales record</v>
      </c>
      <c r="AC3455" t="s">
        <v>3</v>
      </c>
      <c r="AD3455">
        <v>41.758352</v>
      </c>
      <c r="AE3455">
        <v>-88.19323300000001</v>
      </c>
      <c r="AF3455" s="5" t="str">
        <f>HYPERLINK("https://www.google.com/maps/search/?api=1&amp;query=41.758352,-88.193233","map")</f>
        <v>map</v>
      </c>
    </row>
    <row r="3456" spans="1:32">
      <c r="A3456" t="s">
        <v>3506</v>
      </c>
      <c r="B3456" t="s">
        <v>11039</v>
      </c>
      <c r="C3456" t="s">
        <v>15475</v>
      </c>
      <c r="D3456" t="s">
        <v>16206</v>
      </c>
      <c r="E3456" t="s">
        <v>16218</v>
      </c>
      <c r="F3456" t="s">
        <v>16220</v>
      </c>
      <c r="G3456" t="s">
        <v>16275</v>
      </c>
      <c r="H3456" t="s">
        <v>16276</v>
      </c>
      <c r="I3456" t="s">
        <v>16352</v>
      </c>
      <c r="J3456" t="s">
        <v>16386</v>
      </c>
      <c r="K3456">
        <v>0.171</v>
      </c>
      <c r="L3456">
        <v>7453</v>
      </c>
      <c r="M3456">
        <v>2308</v>
      </c>
      <c r="N3456" t="s">
        <v>16393</v>
      </c>
      <c r="O3456" s="4">
        <v>55655</v>
      </c>
      <c r="P3456" s="4">
        <v>131767</v>
      </c>
      <c r="Q3456" s="4">
        <v>187422</v>
      </c>
      <c r="R3456" s="4">
        <v>562266</v>
      </c>
      <c r="S3456" t="s">
        <v>19768</v>
      </c>
      <c r="T3456" s="6">
        <v>34243</v>
      </c>
      <c r="U3456" s="4">
        <v>190695</v>
      </c>
      <c r="X3456" t="s">
        <v>3</v>
      </c>
      <c r="AA3456" s="5" t="str">
        <f>HYPERLINK("https://www.zillow.com/homes/1215-ADRIA-CT-NAPERVILLE-IL-60540_rb/","check listing")</f>
        <v>check listing</v>
      </c>
      <c r="AB3456" s="5" t="str">
        <f>HYPERLINK("https://propertylookup.dupagecounty.gov/Datalets/Datalet.aspx?UseSearch=no&amp;mode=sales&amp;pin=0727201028","sales record")</f>
        <v>sales record</v>
      </c>
      <c r="AC3456" t="s">
        <v>3</v>
      </c>
      <c r="AD3456">
        <v>41.748244</v>
      </c>
      <c r="AE3456">
        <v>-88.18909499999999</v>
      </c>
      <c r="AF3456" s="5" t="str">
        <f>HYPERLINK("https://www.google.com/maps/search/?api=1&amp;query=41.748244,-88.189095","map")</f>
        <v>map</v>
      </c>
    </row>
    <row r="3457" spans="1:32">
      <c r="A3457" t="s">
        <v>3507</v>
      </c>
      <c r="B3457" t="s">
        <v>11040</v>
      </c>
      <c r="C3457" t="s">
        <v>15475</v>
      </c>
      <c r="D3457" t="s">
        <v>16206</v>
      </c>
      <c r="E3457" t="s">
        <v>16218</v>
      </c>
      <c r="F3457" t="s">
        <v>16220</v>
      </c>
      <c r="G3457" t="s">
        <v>16275</v>
      </c>
      <c r="H3457" t="s">
        <v>16276</v>
      </c>
      <c r="I3457" t="s">
        <v>16352</v>
      </c>
      <c r="J3457" t="s">
        <v>16386</v>
      </c>
      <c r="K3457">
        <v>0.171</v>
      </c>
      <c r="L3457">
        <v>7450</v>
      </c>
      <c r="M3457">
        <v>1650</v>
      </c>
      <c r="N3457" t="s">
        <v>16393</v>
      </c>
      <c r="O3457" s="4">
        <v>47893</v>
      </c>
      <c r="P3457" s="4">
        <v>102548</v>
      </c>
      <c r="Q3457" s="4">
        <v>150441</v>
      </c>
      <c r="R3457" s="4">
        <v>451323</v>
      </c>
      <c r="S3457" t="s">
        <v>19769</v>
      </c>
      <c r="T3457" s="6">
        <v>42278</v>
      </c>
      <c r="U3457" s="4">
        <v>290000</v>
      </c>
      <c r="V3457" t="s">
        <v>23739</v>
      </c>
      <c r="W3457" t="s">
        <v>25468</v>
      </c>
      <c r="X3457" t="s">
        <v>3</v>
      </c>
      <c r="AA3457" s="5" t="str">
        <f>HYPERLINK("https://www.zillow.com/homes/731-WILDFLOWER-CIR-NAPERVILLE-IL-60540_rb/","check listing")</f>
        <v>check listing</v>
      </c>
      <c r="AB3457" s="5" t="str">
        <f>HYPERLINK("https://propertylookup.dupagecounty.gov/Datalets/Datalet.aspx?UseSearch=no&amp;mode=sales&amp;pin=0722407013","sales record")</f>
        <v>sales record</v>
      </c>
      <c r="AC3457" t="s">
        <v>3</v>
      </c>
      <c r="AD3457">
        <v>41.757621</v>
      </c>
      <c r="AE3457">
        <v>-88.19380700000001</v>
      </c>
      <c r="AF3457" s="5" t="str">
        <f>HYPERLINK("https://www.google.com/maps/search/?api=1&amp;query=41.757621,-88.193807","map")</f>
        <v>map</v>
      </c>
    </row>
    <row r="3458" spans="1:32">
      <c r="A3458" t="s">
        <v>3508</v>
      </c>
      <c r="B3458" t="s">
        <v>11041</v>
      </c>
      <c r="C3458" t="s">
        <v>15517</v>
      </c>
      <c r="D3458" t="s">
        <v>16206</v>
      </c>
      <c r="E3458" t="s">
        <v>16218</v>
      </c>
      <c r="F3458" t="s">
        <v>16220</v>
      </c>
      <c r="G3458" t="s">
        <v>16276</v>
      </c>
      <c r="H3458" t="s">
        <v>16276</v>
      </c>
      <c r="I3458" t="s">
        <v>16352</v>
      </c>
      <c r="J3458" t="s">
        <v>16386</v>
      </c>
      <c r="K3458">
        <v>0.171</v>
      </c>
      <c r="L3458">
        <v>7443</v>
      </c>
      <c r="M3458">
        <v>2186</v>
      </c>
      <c r="N3458" t="s">
        <v>16393</v>
      </c>
      <c r="O3458" s="4">
        <v>50993</v>
      </c>
      <c r="P3458" s="4">
        <v>109980</v>
      </c>
      <c r="Q3458" s="4">
        <v>160973</v>
      </c>
      <c r="R3458" s="4">
        <v>482919</v>
      </c>
      <c r="S3458" t="s">
        <v>19770</v>
      </c>
      <c r="T3458" s="6">
        <v>42278</v>
      </c>
      <c r="U3458" s="4">
        <v>307900</v>
      </c>
      <c r="V3458" t="s">
        <v>23739</v>
      </c>
      <c r="W3458" t="s">
        <v>25469</v>
      </c>
      <c r="X3458" t="s">
        <v>3</v>
      </c>
      <c r="AA3458" s="5" t="str">
        <f>HYPERLINK("https://www.zillow.com/homes/2040-SCHUMACHER-DR-NAPERVILLE-IL-605401929_rb/","check listing")</f>
        <v>check listing</v>
      </c>
      <c r="AB3458" s="5" t="str">
        <f>HYPERLINK("https://propertylookup.dupagecounty.gov/Datalets/Datalet.aspx?UseSearch=no&amp;mode=sales&amp;pin=0727211010","sales record")</f>
        <v>sales record</v>
      </c>
      <c r="AC3458" t="s">
        <v>3</v>
      </c>
      <c r="AD3458">
        <v>41.754596</v>
      </c>
      <c r="AE3458">
        <v>-88.187365</v>
      </c>
      <c r="AF3458" s="5" t="str">
        <f>HYPERLINK("https://www.google.com/maps/search/?api=1&amp;query=41.754596,-88.187365","map")</f>
        <v>map</v>
      </c>
    </row>
    <row r="3459" spans="1:32">
      <c r="A3459" t="s">
        <v>3509</v>
      </c>
      <c r="B3459" t="s">
        <v>11042</v>
      </c>
      <c r="C3459" t="s">
        <v>15478</v>
      </c>
      <c r="D3459" t="s">
        <v>16206</v>
      </c>
      <c r="E3459" t="s">
        <v>16218</v>
      </c>
      <c r="F3459" t="s">
        <v>16220</v>
      </c>
      <c r="G3459" t="s">
        <v>16274</v>
      </c>
      <c r="H3459" t="s">
        <v>16269</v>
      </c>
      <c r="I3459" t="s">
        <v>16352</v>
      </c>
      <c r="J3459" t="s">
        <v>16386</v>
      </c>
      <c r="K3459">
        <v>0.171</v>
      </c>
      <c r="L3459">
        <v>7442</v>
      </c>
      <c r="M3459">
        <v>2105</v>
      </c>
      <c r="N3459" t="s">
        <v>16393</v>
      </c>
      <c r="O3459" s="4">
        <v>60269</v>
      </c>
      <c r="P3459" s="4">
        <v>117890</v>
      </c>
      <c r="Q3459" s="4">
        <v>178159</v>
      </c>
      <c r="R3459" s="4">
        <v>534477</v>
      </c>
      <c r="S3459" t="s">
        <v>19771</v>
      </c>
      <c r="T3459" s="6">
        <v>35309</v>
      </c>
      <c r="U3459" s="4">
        <v>189600</v>
      </c>
      <c r="X3459" t="s">
        <v>3</v>
      </c>
      <c r="AA3459" s="5" t="str">
        <f>HYPERLINK("https://www.zillow.com/homes/800-ANTHONY-CT-NAPERVILLE-IL-60563_rb/","check listing")</f>
        <v>check listing</v>
      </c>
      <c r="AB3459" s="5" t="str">
        <f>HYPERLINK("https://propertylookup.dupagecounty.gov/Datalets/Datalet.aspx?UseSearch=no&amp;mode=sales&amp;pin=0715203016","sales record")</f>
        <v>sales record</v>
      </c>
      <c r="AC3459" t="s">
        <v>3</v>
      </c>
      <c r="AD3459">
        <v>41.782704</v>
      </c>
      <c r="AE3459">
        <v>-88.192222</v>
      </c>
      <c r="AF3459" s="5" t="str">
        <f>HYPERLINK("https://www.google.com/maps/search/?api=1&amp;query=41.782704,-88.192222","map")</f>
        <v>map</v>
      </c>
    </row>
    <row r="3460" spans="1:32">
      <c r="A3460" t="s">
        <v>3510</v>
      </c>
      <c r="B3460" t="s">
        <v>11043</v>
      </c>
      <c r="C3460" t="s">
        <v>15587</v>
      </c>
      <c r="D3460" t="s">
        <v>16206</v>
      </c>
      <c r="E3460" t="s">
        <v>16218</v>
      </c>
      <c r="F3460" t="s">
        <v>16220</v>
      </c>
      <c r="G3460" t="s">
        <v>16269</v>
      </c>
      <c r="H3460" t="s">
        <v>16269</v>
      </c>
      <c r="I3460" t="s">
        <v>16352</v>
      </c>
      <c r="J3460" t="s">
        <v>16386</v>
      </c>
      <c r="K3460">
        <v>0.171</v>
      </c>
      <c r="L3460">
        <v>7436</v>
      </c>
      <c r="M3460">
        <v>1938</v>
      </c>
      <c r="N3460" t="s">
        <v>16393</v>
      </c>
      <c r="O3460" s="4">
        <v>73336</v>
      </c>
      <c r="P3460" s="4">
        <v>93885</v>
      </c>
      <c r="Q3460" s="4">
        <v>167221</v>
      </c>
      <c r="R3460" s="4">
        <v>501663</v>
      </c>
      <c r="S3460" t="s">
        <v>19772</v>
      </c>
      <c r="T3460" s="6">
        <v>44501</v>
      </c>
      <c r="U3460" s="4">
        <v>380000</v>
      </c>
      <c r="V3460" t="s">
        <v>23739</v>
      </c>
      <c r="W3460" t="s">
        <v>25470</v>
      </c>
      <c r="X3460" t="s">
        <v>3</v>
      </c>
      <c r="AA3460" s="5" t="str">
        <f>HYPERLINK("https://www.zillow.com/homes/1755-NAPOLEON-DR-NAPERVILLE-IL-605652640_rb/","check listing")</f>
        <v>check listing</v>
      </c>
      <c r="AB3460" s="5" t="str">
        <f>HYPERLINK("https://propertylookup.dupagecounty.gov/Datalets/Datalet.aspx?UseSearch=no&amp;mode=sales&amp;pin=0832114083","sales record")</f>
        <v>sales record</v>
      </c>
      <c r="AC3460" t="s">
        <v>3</v>
      </c>
      <c r="AD3460">
        <v>41.73515</v>
      </c>
      <c r="AE3460">
        <v>-88.121324</v>
      </c>
      <c r="AF3460" s="5" t="str">
        <f>HYPERLINK("https://www.google.com/maps/search/?api=1&amp;query=41.73515,-88.121324","map")</f>
        <v>map</v>
      </c>
    </row>
    <row r="3461" spans="1:32">
      <c r="A3461" t="s">
        <v>3511</v>
      </c>
      <c r="B3461" t="s">
        <v>11044</v>
      </c>
      <c r="C3461" t="s">
        <v>15475</v>
      </c>
      <c r="D3461" t="s">
        <v>16206</v>
      </c>
      <c r="E3461" t="s">
        <v>16218</v>
      </c>
      <c r="F3461" t="s">
        <v>16220</v>
      </c>
      <c r="G3461" t="s">
        <v>16275</v>
      </c>
      <c r="H3461" t="s">
        <v>16276</v>
      </c>
      <c r="I3461" t="s">
        <v>16352</v>
      </c>
      <c r="J3461" t="s">
        <v>16386</v>
      </c>
      <c r="K3461">
        <v>0.171</v>
      </c>
      <c r="L3461">
        <v>7432</v>
      </c>
      <c r="M3461">
        <v>1768</v>
      </c>
      <c r="N3461" t="s">
        <v>16393</v>
      </c>
      <c r="O3461" s="4">
        <v>52555</v>
      </c>
      <c r="P3461" s="4">
        <v>129191</v>
      </c>
      <c r="Q3461" s="4">
        <v>181746</v>
      </c>
      <c r="R3461" s="4">
        <v>545238</v>
      </c>
      <c r="S3461" t="s">
        <v>19773</v>
      </c>
      <c r="T3461" s="6">
        <v>39295</v>
      </c>
      <c r="U3461" s="4">
        <v>390000</v>
      </c>
      <c r="V3461" t="s">
        <v>23739</v>
      </c>
      <c r="W3461" t="s">
        <v>25471</v>
      </c>
      <c r="X3461" t="s">
        <v>3</v>
      </c>
      <c r="AA3461" s="5" t="str">
        <f>HYPERLINK("https://www.zillow.com/homes/1216-ANDRIA-CT-NAPERVILLE-IL-60540_rb/","check listing")</f>
        <v>check listing</v>
      </c>
      <c r="AB3461" s="5" t="str">
        <f>HYPERLINK("https://propertylookup.dupagecounty.gov/Datalets/Datalet.aspx?UseSearch=no&amp;mode=sales&amp;pin=0727201023","sales record")</f>
        <v>sales record</v>
      </c>
      <c r="AC3461" t="s">
        <v>3</v>
      </c>
      <c r="AD3461">
        <v>41.748543</v>
      </c>
      <c r="AE3461">
        <v>-88.188231</v>
      </c>
      <c r="AF3461" s="5" t="str">
        <f>HYPERLINK("https://www.google.com/maps/search/?api=1&amp;query=41.748543,-88.188231","map")</f>
        <v>map</v>
      </c>
    </row>
    <row r="3462" spans="1:32">
      <c r="A3462" t="s">
        <v>3512</v>
      </c>
      <c r="B3462" t="s">
        <v>11045</v>
      </c>
      <c r="C3462" t="s">
        <v>15476</v>
      </c>
      <c r="D3462" t="s">
        <v>16206</v>
      </c>
      <c r="E3462" t="s">
        <v>16218</v>
      </c>
      <c r="F3462" t="s">
        <v>16220</v>
      </c>
      <c r="G3462" t="s">
        <v>16269</v>
      </c>
      <c r="H3462" t="s">
        <v>16269</v>
      </c>
      <c r="I3462" t="s">
        <v>16352</v>
      </c>
      <c r="J3462" t="s">
        <v>16386</v>
      </c>
      <c r="K3462">
        <v>0.171</v>
      </c>
      <c r="L3462">
        <v>7427</v>
      </c>
      <c r="M3462">
        <v>2132</v>
      </c>
      <c r="N3462" t="s">
        <v>16393</v>
      </c>
      <c r="O3462" s="4">
        <v>75095</v>
      </c>
      <c r="P3462" s="4">
        <v>109855</v>
      </c>
      <c r="Q3462" s="4">
        <v>184950</v>
      </c>
      <c r="R3462" s="4">
        <v>554850</v>
      </c>
      <c r="S3462" t="s">
        <v>19774</v>
      </c>
      <c r="T3462" s="6">
        <v>36100</v>
      </c>
      <c r="U3462" s="4">
        <v>215000</v>
      </c>
      <c r="X3462" t="s">
        <v>3</v>
      </c>
      <c r="AA3462" s="5" t="str">
        <f>HYPERLINK("https://www.zillow.com/homes/1811-RAMPART-CT-NAPERVILLE-IL-60565_rb/","check listing")</f>
        <v>check listing</v>
      </c>
      <c r="AB3462" s="5" t="str">
        <f>HYPERLINK("https://propertylookup.dupagecounty.gov/Datalets/Datalet.aspx?UseSearch=no&amp;mode=sales&amp;pin=0832117021","sales record")</f>
        <v>sales record</v>
      </c>
      <c r="AC3462" t="s">
        <v>3</v>
      </c>
      <c r="AD3462">
        <v>41.734404</v>
      </c>
      <c r="AE3462">
        <v>-88.11941299999999</v>
      </c>
      <c r="AF3462" s="5" t="str">
        <f>HYPERLINK("https://www.google.com/maps/search/?api=1&amp;query=41.734404,-88.119413","map")</f>
        <v>map</v>
      </c>
    </row>
    <row r="3463" spans="1:32">
      <c r="A3463" t="s">
        <v>3513</v>
      </c>
      <c r="B3463" t="s">
        <v>11046</v>
      </c>
      <c r="C3463" t="s">
        <v>15588</v>
      </c>
      <c r="D3463" t="s">
        <v>16206</v>
      </c>
      <c r="E3463" t="s">
        <v>16218</v>
      </c>
      <c r="F3463" t="s">
        <v>16220</v>
      </c>
      <c r="G3463" t="s">
        <v>16276</v>
      </c>
      <c r="H3463" t="s">
        <v>16276</v>
      </c>
      <c r="I3463" t="s">
        <v>16352</v>
      </c>
      <c r="J3463" t="s">
        <v>16386</v>
      </c>
      <c r="K3463">
        <v>0.17</v>
      </c>
      <c r="L3463">
        <v>7420</v>
      </c>
      <c r="M3463">
        <v>2143</v>
      </c>
      <c r="N3463" t="s">
        <v>16393</v>
      </c>
      <c r="O3463" s="4">
        <v>43255</v>
      </c>
      <c r="P3463" s="4">
        <v>115339</v>
      </c>
      <c r="Q3463" s="4">
        <v>158594</v>
      </c>
      <c r="R3463" s="4">
        <v>475782</v>
      </c>
      <c r="S3463" t="s">
        <v>19775</v>
      </c>
      <c r="T3463" s="6">
        <v>42401</v>
      </c>
      <c r="U3463" s="4">
        <v>305000</v>
      </c>
      <c r="V3463" t="s">
        <v>23739</v>
      </c>
      <c r="W3463" t="s">
        <v>25472</v>
      </c>
      <c r="X3463" t="s">
        <v>3</v>
      </c>
      <c r="AA3463" s="5" t="str">
        <f>HYPERLINK("https://www.zillow.com/homes/1052-SELMA-LN-NAPERVILLE-IL-605401913_rb/","check listing")</f>
        <v>check listing</v>
      </c>
      <c r="AB3463" s="5" t="str">
        <f>HYPERLINK("https://propertylookup.dupagecounty.gov/Datalets/Datalet.aspx?UseSearch=no&amp;mode=sales&amp;pin=0727208027","sales record")</f>
        <v>sales record</v>
      </c>
      <c r="AC3463" t="s">
        <v>3</v>
      </c>
      <c r="AD3463">
        <v>41.75253</v>
      </c>
      <c r="AE3463">
        <v>-88.18956300000001</v>
      </c>
      <c r="AF3463" s="5" t="str">
        <f>HYPERLINK("https://www.google.com/maps/search/?api=1&amp;query=41.75253,-88.189563","map")</f>
        <v>map</v>
      </c>
    </row>
    <row r="3464" spans="1:32">
      <c r="A3464" t="s">
        <v>3514</v>
      </c>
      <c r="B3464" t="s">
        <v>11047</v>
      </c>
      <c r="C3464" t="s">
        <v>15475</v>
      </c>
      <c r="D3464" t="s">
        <v>16206</v>
      </c>
      <c r="E3464" t="s">
        <v>16218</v>
      </c>
      <c r="F3464" t="s">
        <v>16220</v>
      </c>
      <c r="G3464" t="s">
        <v>16275</v>
      </c>
      <c r="H3464" t="s">
        <v>16276</v>
      </c>
      <c r="I3464" t="s">
        <v>16352</v>
      </c>
      <c r="J3464" t="s">
        <v>16386</v>
      </c>
      <c r="K3464">
        <v>0.17</v>
      </c>
      <c r="L3464">
        <v>7416</v>
      </c>
      <c r="M3464">
        <v>2770</v>
      </c>
      <c r="N3464" t="s">
        <v>16393</v>
      </c>
      <c r="O3464" s="4">
        <v>51103</v>
      </c>
      <c r="P3464" s="4">
        <v>168053</v>
      </c>
      <c r="Q3464" s="4">
        <v>219156</v>
      </c>
      <c r="R3464" s="4">
        <v>657468</v>
      </c>
      <c r="S3464" t="s">
        <v>19776</v>
      </c>
      <c r="T3464" s="6">
        <v>35004</v>
      </c>
      <c r="U3464" s="4">
        <v>229498</v>
      </c>
      <c r="X3464" t="s">
        <v>3</v>
      </c>
      <c r="AA3464" s="5" t="str">
        <f>HYPERLINK("https://www.zillow.com/homes/2156-FELDOTT-LN-NAPERVILLE-IL-60540_rb/","check listing")</f>
        <v>check listing</v>
      </c>
      <c r="AB3464" s="5" t="str">
        <f>HYPERLINK("https://propertylookup.dupagecounty.gov/Datalets/Datalet.aspx?UseSearch=no&amp;mode=sales&amp;pin=0722409011","sales record")</f>
        <v>sales record</v>
      </c>
      <c r="AC3464" t="s">
        <v>3</v>
      </c>
      <c r="AD3464">
        <v>41.761011</v>
      </c>
      <c r="AE3464">
        <v>-88.191219</v>
      </c>
      <c r="AF3464" s="5" t="str">
        <f>HYPERLINK("https://www.google.com/maps/search/?api=1&amp;query=41.761011,-88.191219","map")</f>
        <v>map</v>
      </c>
    </row>
    <row r="3465" spans="1:32">
      <c r="A3465" t="s">
        <v>3515</v>
      </c>
      <c r="B3465" t="s">
        <v>11048</v>
      </c>
      <c r="C3465" t="s">
        <v>15476</v>
      </c>
      <c r="D3465" t="s">
        <v>16206</v>
      </c>
      <c r="E3465" t="s">
        <v>16218</v>
      </c>
      <c r="F3465" t="s">
        <v>16220</v>
      </c>
      <c r="G3465" t="s">
        <v>16269</v>
      </c>
      <c r="H3465" t="s">
        <v>16269</v>
      </c>
      <c r="I3465" t="s">
        <v>16352</v>
      </c>
      <c r="J3465" t="s">
        <v>16386</v>
      </c>
      <c r="K3465">
        <v>0.17</v>
      </c>
      <c r="L3465">
        <v>7415</v>
      </c>
      <c r="M3465">
        <v>1930</v>
      </c>
      <c r="N3465" t="s">
        <v>16393</v>
      </c>
      <c r="O3465" s="4">
        <v>73336</v>
      </c>
      <c r="P3465" s="4">
        <v>114481</v>
      </c>
      <c r="Q3465" s="4">
        <v>187817</v>
      </c>
      <c r="R3465" s="4">
        <v>563451</v>
      </c>
      <c r="S3465" t="s">
        <v>19777</v>
      </c>
      <c r="T3465" s="6">
        <v>46070</v>
      </c>
      <c r="U3465" s="4">
        <v>450000</v>
      </c>
      <c r="V3465" t="s">
        <v>23739</v>
      </c>
      <c r="W3465" t="s">
        <v>19777</v>
      </c>
      <c r="X3465" t="s">
        <v>3</v>
      </c>
      <c r="AA3465" s="5" t="str">
        <f>HYPERLINK("https://www.zillow.com/homes/475-BOURBON-LN-NAPERVILLE-IL-60565_rb/","check listing")</f>
        <v>check listing</v>
      </c>
      <c r="AB3465" s="5" t="str">
        <f>HYPERLINK("https://propertylookup.dupagecounty.gov/Datalets/Datalet.aspx?UseSearch=no&amp;mode=sales&amp;pin=0832115040","sales record")</f>
        <v>sales record</v>
      </c>
      <c r="AC3465" t="s">
        <v>3</v>
      </c>
      <c r="AD3465">
        <v>41.735429</v>
      </c>
      <c r="AE3465">
        <v>-88.119922</v>
      </c>
      <c r="AF3465" s="5" t="str">
        <f>HYPERLINK("https://www.google.com/maps/search/?api=1&amp;query=41.735429,-88.119922","map")</f>
        <v>map</v>
      </c>
    </row>
    <row r="3466" spans="1:32">
      <c r="A3466" t="s">
        <v>3516</v>
      </c>
      <c r="B3466" t="s">
        <v>11049</v>
      </c>
      <c r="C3466" t="s">
        <v>15475</v>
      </c>
      <c r="D3466" t="s">
        <v>16206</v>
      </c>
      <c r="E3466" t="s">
        <v>16218</v>
      </c>
      <c r="F3466" t="s">
        <v>16220</v>
      </c>
      <c r="G3466" t="s">
        <v>16275</v>
      </c>
      <c r="H3466" t="s">
        <v>16276</v>
      </c>
      <c r="I3466" t="s">
        <v>16352</v>
      </c>
      <c r="J3466" t="s">
        <v>16386</v>
      </c>
      <c r="K3466">
        <v>0.17</v>
      </c>
      <c r="L3466">
        <v>7414</v>
      </c>
      <c r="M3466">
        <v>1979</v>
      </c>
      <c r="N3466" t="s">
        <v>16393</v>
      </c>
      <c r="O3466" s="4">
        <v>47905</v>
      </c>
      <c r="P3466" s="4">
        <v>115498</v>
      </c>
      <c r="Q3466" s="4">
        <v>163403</v>
      </c>
      <c r="R3466" s="4">
        <v>490209</v>
      </c>
      <c r="S3466" t="s">
        <v>19778</v>
      </c>
      <c r="T3466" s="6">
        <v>37257</v>
      </c>
      <c r="U3466" s="4">
        <v>258000</v>
      </c>
      <c r="V3466" t="s">
        <v>23739</v>
      </c>
      <c r="W3466" t="s">
        <v>25473</v>
      </c>
      <c r="X3466" t="s">
        <v>3</v>
      </c>
      <c r="AA3466" s="5" t="str">
        <f>HYPERLINK("https://www.zillow.com/homes/704-WILDFLOWER-CIR-NAPERVILLE-IL-60540_rb/","check listing")</f>
        <v>check listing</v>
      </c>
      <c r="AB3466" s="5" t="str">
        <f>HYPERLINK("https://propertylookup.dupagecounty.gov/Datalets/Datalet.aspx?UseSearch=no&amp;mode=sales&amp;pin=0722406019","sales record")</f>
        <v>sales record</v>
      </c>
      <c r="AC3466" t="s">
        <v>3</v>
      </c>
      <c r="AD3466">
        <v>41.758962</v>
      </c>
      <c r="AE3466">
        <v>-88.194093</v>
      </c>
      <c r="AF3466" s="5" t="str">
        <f>HYPERLINK("https://www.google.com/maps/search/?api=1&amp;query=41.758962,-88.194093","map")</f>
        <v>map</v>
      </c>
    </row>
    <row r="3467" spans="1:32">
      <c r="A3467" t="s">
        <v>3517</v>
      </c>
      <c r="B3467" t="s">
        <v>11050</v>
      </c>
      <c r="C3467" t="s">
        <v>15569</v>
      </c>
      <c r="D3467" t="s">
        <v>16206</v>
      </c>
      <c r="E3467" t="s">
        <v>16218</v>
      </c>
      <c r="F3467" t="s">
        <v>16220</v>
      </c>
      <c r="G3467" t="s">
        <v>16275</v>
      </c>
      <c r="H3467" t="s">
        <v>16276</v>
      </c>
      <c r="I3467" t="s">
        <v>16352</v>
      </c>
      <c r="J3467" t="s">
        <v>16386</v>
      </c>
      <c r="K3467">
        <v>0.17</v>
      </c>
      <c r="L3467">
        <v>7414</v>
      </c>
      <c r="M3467">
        <v>1649</v>
      </c>
      <c r="N3467" t="s">
        <v>16393</v>
      </c>
      <c r="O3467" s="4">
        <v>51103</v>
      </c>
      <c r="P3467" s="4">
        <v>98008</v>
      </c>
      <c r="Q3467" s="4">
        <v>149111</v>
      </c>
      <c r="R3467" s="4">
        <v>447333</v>
      </c>
      <c r="S3467" t="s">
        <v>19779</v>
      </c>
      <c r="T3467" s="6">
        <v>44256</v>
      </c>
      <c r="U3467" s="4">
        <v>356000</v>
      </c>
      <c r="V3467" t="s">
        <v>23739</v>
      </c>
      <c r="W3467" t="s">
        <v>25474</v>
      </c>
      <c r="X3467" t="s">
        <v>3</v>
      </c>
      <c r="AA3467" s="5" t="str">
        <f>HYPERLINK("https://www.zillow.com/homes/2128-PERIWINKLE-LN-NAPERVILLE-IL-605409223_rb/","check listing")</f>
        <v>check listing</v>
      </c>
      <c r="AB3467" s="5" t="str">
        <f>HYPERLINK("https://propertylookup.dupagecounty.gov/Datalets/Datalet.aspx?UseSearch=no&amp;mode=sales&amp;pin=0722410012","sales record")</f>
        <v>sales record</v>
      </c>
      <c r="AC3467" t="s">
        <v>3</v>
      </c>
      <c r="AD3467">
        <v>41.760546</v>
      </c>
      <c r="AE3467">
        <v>-88.190308</v>
      </c>
      <c r="AF3467" s="5" t="str">
        <f>HYPERLINK("https://www.google.com/maps/search/?api=1&amp;query=41.760546,-88.190308","map")</f>
        <v>map</v>
      </c>
    </row>
    <row r="3468" spans="1:32">
      <c r="A3468" t="s">
        <v>3518</v>
      </c>
      <c r="B3468" t="s">
        <v>11051</v>
      </c>
      <c r="C3468" t="s">
        <v>15475</v>
      </c>
      <c r="D3468" t="s">
        <v>16206</v>
      </c>
      <c r="E3468" t="s">
        <v>16218</v>
      </c>
      <c r="F3468" t="s">
        <v>16220</v>
      </c>
      <c r="G3468" t="s">
        <v>16275</v>
      </c>
      <c r="H3468" t="s">
        <v>16276</v>
      </c>
      <c r="I3468" t="s">
        <v>16352</v>
      </c>
      <c r="J3468" t="s">
        <v>16386</v>
      </c>
      <c r="K3468">
        <v>0.17</v>
      </c>
      <c r="L3468">
        <v>7414</v>
      </c>
      <c r="M3468">
        <v>1814</v>
      </c>
      <c r="N3468" t="s">
        <v>16393</v>
      </c>
      <c r="O3468" s="4">
        <v>46367</v>
      </c>
      <c r="P3468" s="4">
        <v>109883</v>
      </c>
      <c r="Q3468" s="4">
        <v>156250</v>
      </c>
      <c r="R3468" s="4">
        <v>468750</v>
      </c>
      <c r="S3468" t="s">
        <v>19780</v>
      </c>
      <c r="T3468" s="6">
        <v>34243</v>
      </c>
      <c r="U3468" s="4">
        <v>151875</v>
      </c>
      <c r="X3468" t="s">
        <v>3</v>
      </c>
      <c r="AA3468" s="5" t="str">
        <f>HYPERLINK("https://www.zillow.com/homes/1132-HANNAH-CT-NAPERVILLE-IL-60540_rb/","check listing")</f>
        <v>check listing</v>
      </c>
      <c r="AB3468" s="5" t="str">
        <f>HYPERLINK("https://propertylookup.dupagecounty.gov/Datalets/Datalet.aspx?UseSearch=no&amp;mode=sales&amp;pin=0727204014","sales record")</f>
        <v>sales record</v>
      </c>
      <c r="AC3468" t="s">
        <v>3</v>
      </c>
      <c r="AD3468">
        <v>41.749684</v>
      </c>
      <c r="AE3468">
        <v>-88.187827</v>
      </c>
      <c r="AF3468" s="5" t="str">
        <f>HYPERLINK("https://www.google.com/maps/search/?api=1&amp;query=41.749684,-88.187827","map")</f>
        <v>map</v>
      </c>
    </row>
    <row r="3469" spans="1:32">
      <c r="A3469" t="s">
        <v>3519</v>
      </c>
      <c r="B3469" t="s">
        <v>11052</v>
      </c>
      <c r="C3469" t="s">
        <v>15476</v>
      </c>
      <c r="D3469" t="s">
        <v>16206</v>
      </c>
      <c r="E3469" t="s">
        <v>16218</v>
      </c>
      <c r="F3469" t="s">
        <v>16220</v>
      </c>
      <c r="G3469" t="s">
        <v>16269</v>
      </c>
      <c r="H3469" t="s">
        <v>16269</v>
      </c>
      <c r="I3469" t="s">
        <v>16352</v>
      </c>
      <c r="J3469" t="s">
        <v>16386</v>
      </c>
      <c r="K3469">
        <v>0.17</v>
      </c>
      <c r="L3469">
        <v>7404</v>
      </c>
      <c r="M3469">
        <v>1901</v>
      </c>
      <c r="N3469" t="s">
        <v>16393</v>
      </c>
      <c r="O3469" s="4">
        <v>74156</v>
      </c>
      <c r="P3469" s="4">
        <v>105705</v>
      </c>
      <c r="Q3469" s="4">
        <v>179861</v>
      </c>
      <c r="R3469" s="4">
        <v>539583</v>
      </c>
      <c r="S3469" t="s">
        <v>19781</v>
      </c>
      <c r="T3469" s="6">
        <v>36708</v>
      </c>
      <c r="U3469" s="4">
        <v>242000</v>
      </c>
      <c r="V3469" t="s">
        <v>23739</v>
      </c>
      <c r="W3469" t="s">
        <v>25475</v>
      </c>
      <c r="X3469" t="s">
        <v>3</v>
      </c>
      <c r="AA3469" s="5" t="str">
        <f>HYPERLINK("https://www.zillow.com/homes/1804-RAMPART-CT-NAPERVILLE-IL-60565_rb/","check listing")</f>
        <v>check listing</v>
      </c>
      <c r="AB3469" s="5" t="str">
        <f>HYPERLINK("https://propertylookup.dupagecounty.gov/Datalets/Datalet.aspx?UseSearch=no&amp;mode=sales&amp;pin=0832117028","sales record")</f>
        <v>sales record</v>
      </c>
      <c r="AC3469" t="s">
        <v>3</v>
      </c>
      <c r="AD3469">
        <v>41.734881</v>
      </c>
      <c r="AE3469">
        <v>-88.1185</v>
      </c>
      <c r="AF3469" s="5" t="str">
        <f>HYPERLINK("https://www.google.com/maps/search/?api=1&amp;query=41.734881,-88.1185","map")</f>
        <v>map</v>
      </c>
    </row>
    <row r="3470" spans="1:32">
      <c r="A3470" t="s">
        <v>3520</v>
      </c>
      <c r="B3470" t="s">
        <v>11053</v>
      </c>
      <c r="C3470" t="s">
        <v>15563</v>
      </c>
      <c r="D3470" t="s">
        <v>16206</v>
      </c>
      <c r="E3470" t="s">
        <v>16218</v>
      </c>
      <c r="F3470" t="s">
        <v>16220</v>
      </c>
      <c r="G3470" t="s">
        <v>16269</v>
      </c>
      <c r="H3470" t="s">
        <v>16269</v>
      </c>
      <c r="I3470" t="s">
        <v>16352</v>
      </c>
      <c r="J3470" t="s">
        <v>16386</v>
      </c>
      <c r="K3470">
        <v>0.169</v>
      </c>
      <c r="L3470">
        <v>7382</v>
      </c>
      <c r="M3470">
        <v>2422</v>
      </c>
      <c r="N3470" t="s">
        <v>16393</v>
      </c>
      <c r="O3470" s="4">
        <v>73336</v>
      </c>
      <c r="P3470" s="4">
        <v>115812</v>
      </c>
      <c r="Q3470" s="4">
        <v>189148</v>
      </c>
      <c r="R3470" s="4">
        <v>567444</v>
      </c>
      <c r="S3470" t="s">
        <v>19782</v>
      </c>
      <c r="T3470" s="6">
        <v>44317</v>
      </c>
      <c r="U3470" s="4">
        <v>465000</v>
      </c>
      <c r="V3470" t="s">
        <v>23740</v>
      </c>
      <c r="W3470" t="s">
        <v>25476</v>
      </c>
      <c r="X3470" t="s">
        <v>3</v>
      </c>
      <c r="AA3470" s="5" t="str">
        <f>HYPERLINK("https://www.zillow.com/homes/1748-NAPOLEON-DR-NAPERVILLE-IL-605652641_rb/","check listing")</f>
        <v>check listing</v>
      </c>
      <c r="AB3470" s="5" t="str">
        <f>HYPERLINK("https://propertylookup.dupagecounty.gov/Datalets/Datalet.aspx?UseSearch=no&amp;mode=sales&amp;pin=0832115031","sales record")</f>
        <v>sales record</v>
      </c>
      <c r="AC3470" t="s">
        <v>3</v>
      </c>
      <c r="AD3470">
        <v>41.735337</v>
      </c>
      <c r="AE3470">
        <v>-88.12045000000001</v>
      </c>
      <c r="AF3470" s="5" t="str">
        <f>HYPERLINK("https://www.google.com/maps/search/?api=1&amp;query=41.735337,-88.12045","map")</f>
        <v>map</v>
      </c>
    </row>
    <row r="3471" spans="1:32">
      <c r="A3471" t="s">
        <v>3521</v>
      </c>
      <c r="B3471" t="s">
        <v>11054</v>
      </c>
      <c r="C3471" t="s">
        <v>15475</v>
      </c>
      <c r="D3471" t="s">
        <v>16206</v>
      </c>
      <c r="E3471" t="s">
        <v>16218</v>
      </c>
      <c r="F3471" t="s">
        <v>16220</v>
      </c>
      <c r="G3471" t="s">
        <v>16275</v>
      </c>
      <c r="H3471" t="s">
        <v>16276</v>
      </c>
      <c r="I3471" t="s">
        <v>16352</v>
      </c>
      <c r="J3471" t="s">
        <v>16386</v>
      </c>
      <c r="K3471">
        <v>0.169</v>
      </c>
      <c r="L3471">
        <v>7362</v>
      </c>
      <c r="M3471">
        <v>2064</v>
      </c>
      <c r="N3471" t="s">
        <v>16393</v>
      </c>
      <c r="O3471" s="4">
        <v>42950</v>
      </c>
      <c r="P3471" s="4">
        <v>135478</v>
      </c>
      <c r="Q3471" s="4">
        <v>178428</v>
      </c>
      <c r="R3471" s="4">
        <v>535284</v>
      </c>
      <c r="S3471" t="s">
        <v>19783</v>
      </c>
      <c r="T3471" s="6">
        <v>37012</v>
      </c>
      <c r="U3471" s="4">
        <v>244500</v>
      </c>
      <c r="V3471" t="s">
        <v>23739</v>
      </c>
      <c r="W3471" t="s">
        <v>25477</v>
      </c>
      <c r="X3471" t="s">
        <v>3</v>
      </c>
      <c r="AA3471" s="5" t="str">
        <f>HYPERLINK("https://www.zillow.com/homes/1912-CROSSING-CT-NAPERVILLE-IL-60540_rb/","check listing")</f>
        <v>check listing</v>
      </c>
      <c r="AB3471" s="5" t="str">
        <f>HYPERLINK("https://propertylookup.dupagecounty.gov/Datalets/Datalet.aspx?UseSearch=no&amp;mode=sales&amp;pin=0727201012","sales record")</f>
        <v>sales record</v>
      </c>
      <c r="AC3471" t="s">
        <v>3</v>
      </c>
      <c r="AD3471">
        <v>41.748491</v>
      </c>
      <c r="AE3471">
        <v>-88.187799</v>
      </c>
      <c r="AF3471" s="5" t="str">
        <f>HYPERLINK("https://www.google.com/maps/search/?api=1&amp;query=41.748491,-88.187799","map")</f>
        <v>map</v>
      </c>
    </row>
    <row r="3472" spans="1:32">
      <c r="A3472" t="s">
        <v>3522</v>
      </c>
      <c r="B3472" t="s">
        <v>11055</v>
      </c>
      <c r="C3472" t="s">
        <v>15475</v>
      </c>
      <c r="D3472" t="s">
        <v>16206</v>
      </c>
      <c r="E3472" t="s">
        <v>16218</v>
      </c>
      <c r="F3472" t="s">
        <v>16220</v>
      </c>
      <c r="G3472" t="s">
        <v>16275</v>
      </c>
      <c r="H3472" t="s">
        <v>16276</v>
      </c>
      <c r="I3472" t="s">
        <v>16352</v>
      </c>
      <c r="J3472" t="s">
        <v>16386</v>
      </c>
      <c r="K3472">
        <v>0.169</v>
      </c>
      <c r="L3472">
        <v>7362</v>
      </c>
      <c r="M3472">
        <v>1973</v>
      </c>
      <c r="N3472" t="s">
        <v>16393</v>
      </c>
      <c r="O3472" s="4">
        <v>47905</v>
      </c>
      <c r="P3472" s="4">
        <v>120001</v>
      </c>
      <c r="Q3472" s="4">
        <v>167906</v>
      </c>
      <c r="R3472" s="4">
        <v>503718</v>
      </c>
      <c r="S3472" t="s">
        <v>19784</v>
      </c>
      <c r="T3472" s="6">
        <v>36465</v>
      </c>
      <c r="U3472" s="4">
        <v>235000</v>
      </c>
      <c r="X3472" t="s">
        <v>3</v>
      </c>
      <c r="AA3472" s="5" t="str">
        <f>HYPERLINK("https://www.zillow.com/homes/751-WILDFLOWER-CIR-NAPERVILLE-IL-60540_rb/","check listing")</f>
        <v>check listing</v>
      </c>
      <c r="AB3472" s="5" t="str">
        <f>HYPERLINK("https://propertylookup.dupagecounty.gov/Datalets/Datalet.aspx?UseSearch=no&amp;mode=sales&amp;pin=0722407008","sales record")</f>
        <v>sales record</v>
      </c>
      <c r="AC3472" t="s">
        <v>3</v>
      </c>
      <c r="AD3472">
        <v>41.75735</v>
      </c>
      <c r="AE3472">
        <v>-88.194727</v>
      </c>
      <c r="AF3472" s="5" t="str">
        <f>HYPERLINK("https://www.google.com/maps/search/?api=1&amp;query=41.75735,-88.194727","map")</f>
        <v>map</v>
      </c>
    </row>
    <row r="3473" spans="1:32">
      <c r="A3473" t="s">
        <v>3523</v>
      </c>
      <c r="B3473" t="s">
        <v>11056</v>
      </c>
      <c r="C3473" t="s">
        <v>15589</v>
      </c>
      <c r="D3473" t="s">
        <v>16206</v>
      </c>
      <c r="E3473" t="s">
        <v>16218</v>
      </c>
      <c r="F3473" t="s">
        <v>16220</v>
      </c>
      <c r="G3473" t="s">
        <v>16274</v>
      </c>
      <c r="H3473" t="s">
        <v>16269</v>
      </c>
      <c r="I3473" t="s">
        <v>16352</v>
      </c>
      <c r="J3473" t="s">
        <v>16386</v>
      </c>
      <c r="K3473">
        <v>0.169</v>
      </c>
      <c r="L3473">
        <v>7359</v>
      </c>
      <c r="M3473">
        <v>2185</v>
      </c>
      <c r="N3473" t="s">
        <v>16393</v>
      </c>
      <c r="O3473" s="4">
        <v>48576</v>
      </c>
      <c r="P3473" s="4">
        <v>124029</v>
      </c>
      <c r="Q3473" s="4">
        <v>172605</v>
      </c>
      <c r="R3473" s="4">
        <v>517815</v>
      </c>
      <c r="S3473" t="s">
        <v>19785</v>
      </c>
      <c r="T3473" s="6">
        <v>38169</v>
      </c>
      <c r="U3473" s="4">
        <v>355000</v>
      </c>
      <c r="V3473" t="s">
        <v>23739</v>
      </c>
      <c r="W3473" t="s">
        <v>25478</v>
      </c>
      <c r="X3473" t="s">
        <v>3</v>
      </c>
      <c r="AA3473" s="5" t="str">
        <f>HYPERLINK("https://www.zillow.com/homes/1633-HINTERLONG-LN-NAPERVILLE-IL-605630461_rb/","check listing")</f>
        <v>check listing</v>
      </c>
      <c r="AB3473" s="5" t="str">
        <f>HYPERLINK("https://propertylookup.dupagecounty.gov/Datalets/Datalet.aspx?UseSearch=no&amp;mode=sales&amp;pin=0715204016","sales record")</f>
        <v>sales record</v>
      </c>
      <c r="AC3473" t="s">
        <v>3</v>
      </c>
      <c r="AD3473">
        <v>41.781091</v>
      </c>
      <c r="AE3473">
        <v>-88.19211199999999</v>
      </c>
      <c r="AF3473" s="5" t="str">
        <f>HYPERLINK("https://www.google.com/maps/search/?api=1&amp;query=41.781091,-88.192112","map")</f>
        <v>map</v>
      </c>
    </row>
    <row r="3474" spans="1:32">
      <c r="A3474" t="s">
        <v>3524</v>
      </c>
      <c r="B3474" t="s">
        <v>11057</v>
      </c>
      <c r="C3474" t="s">
        <v>15586</v>
      </c>
      <c r="D3474" t="s">
        <v>16206</v>
      </c>
      <c r="E3474" t="s">
        <v>16218</v>
      </c>
      <c r="F3474" t="s">
        <v>16220</v>
      </c>
      <c r="G3474" t="s">
        <v>16275</v>
      </c>
      <c r="H3474" t="s">
        <v>16276</v>
      </c>
      <c r="I3474" t="s">
        <v>16352</v>
      </c>
      <c r="J3474" t="s">
        <v>16386</v>
      </c>
      <c r="K3474">
        <v>0.169</v>
      </c>
      <c r="L3474">
        <v>7353</v>
      </c>
      <c r="M3474">
        <v>1780</v>
      </c>
      <c r="N3474" t="s">
        <v>16393</v>
      </c>
      <c r="O3474" s="4">
        <v>47905</v>
      </c>
      <c r="P3474" s="4">
        <v>98752</v>
      </c>
      <c r="Q3474" s="4">
        <v>146657</v>
      </c>
      <c r="R3474" s="4">
        <v>439971</v>
      </c>
      <c r="S3474" t="s">
        <v>19786</v>
      </c>
      <c r="T3474" s="6">
        <v>34669</v>
      </c>
      <c r="U3474" s="4">
        <v>160470</v>
      </c>
      <c r="X3474" t="s">
        <v>3</v>
      </c>
      <c r="AA3474" s="5" t="str">
        <f>HYPERLINK("https://www.zillow.com/homes/775-WILDFLOWER-CIR-NAPERVILLE-IL-605406223_rb/","check listing")</f>
        <v>check listing</v>
      </c>
      <c r="AB3474" s="5" t="str">
        <f>HYPERLINK("https://propertylookup.dupagecounty.gov/Datalets/Datalet.aspx?UseSearch=no&amp;mode=sales&amp;pin=0722305006","sales record")</f>
        <v>sales record</v>
      </c>
      <c r="AC3474" t="s">
        <v>3</v>
      </c>
      <c r="AD3474">
        <v>41.758145</v>
      </c>
      <c r="AE3474">
        <v>-88.196299</v>
      </c>
      <c r="AF3474" s="5" t="str">
        <f>HYPERLINK("https://www.google.com/maps/search/?api=1&amp;query=41.758145,-88.196299","map")</f>
        <v>map</v>
      </c>
    </row>
    <row r="3475" spans="1:32">
      <c r="A3475" t="s">
        <v>3525</v>
      </c>
      <c r="B3475" t="s">
        <v>11058</v>
      </c>
      <c r="C3475" t="s">
        <v>15475</v>
      </c>
      <c r="D3475" t="s">
        <v>16206</v>
      </c>
      <c r="E3475" t="s">
        <v>16218</v>
      </c>
      <c r="F3475" t="s">
        <v>16220</v>
      </c>
      <c r="G3475" t="s">
        <v>16275</v>
      </c>
      <c r="H3475" t="s">
        <v>16276</v>
      </c>
      <c r="I3475" t="s">
        <v>16352</v>
      </c>
      <c r="J3475" t="s">
        <v>16386</v>
      </c>
      <c r="K3475">
        <v>0.169</v>
      </c>
      <c r="L3475">
        <v>7352</v>
      </c>
      <c r="M3475">
        <v>1978</v>
      </c>
      <c r="N3475" t="s">
        <v>16393</v>
      </c>
      <c r="O3475" s="4">
        <v>51103</v>
      </c>
      <c r="P3475" s="4">
        <v>119562</v>
      </c>
      <c r="Q3475" s="4">
        <v>170665</v>
      </c>
      <c r="R3475" s="4">
        <v>511995</v>
      </c>
      <c r="S3475" t="s">
        <v>19787</v>
      </c>
      <c r="T3475" s="6">
        <v>34578</v>
      </c>
      <c r="U3475" s="4">
        <v>183034</v>
      </c>
      <c r="X3475" t="s">
        <v>3</v>
      </c>
      <c r="AA3475" s="5" t="str">
        <f>HYPERLINK("https://www.zillow.com/homes/716-WILDFLOWER-CIR-NAPERVILLE-IL-60540_rb/","check listing")</f>
        <v>check listing</v>
      </c>
      <c r="AB3475" s="5" t="str">
        <f>HYPERLINK("https://propertylookup.dupagecounty.gov/Datalets/Datalet.aspx?UseSearch=no&amp;mode=sales&amp;pin=0722406016","sales record")</f>
        <v>sales record</v>
      </c>
      <c r="AC3475" t="s">
        <v>3</v>
      </c>
      <c r="AD3475">
        <v>41.758518</v>
      </c>
      <c r="AE3475">
        <v>-88.193929</v>
      </c>
      <c r="AF3475" s="5" t="str">
        <f>HYPERLINK("https://www.google.com/maps/search/?api=1&amp;query=41.758518,-88.193929","map")</f>
        <v>map</v>
      </c>
    </row>
    <row r="3476" spans="1:32">
      <c r="A3476" t="s">
        <v>3526</v>
      </c>
      <c r="B3476" t="s">
        <v>11059</v>
      </c>
      <c r="C3476" t="s">
        <v>15475</v>
      </c>
      <c r="D3476" t="s">
        <v>16206</v>
      </c>
      <c r="E3476" t="s">
        <v>16218</v>
      </c>
      <c r="F3476" t="s">
        <v>16220</v>
      </c>
      <c r="G3476" t="s">
        <v>16269</v>
      </c>
      <c r="H3476" t="s">
        <v>16269</v>
      </c>
      <c r="I3476" t="s">
        <v>16352</v>
      </c>
      <c r="J3476" t="s">
        <v>16386</v>
      </c>
      <c r="K3476">
        <v>0.169</v>
      </c>
      <c r="L3476">
        <v>7349</v>
      </c>
      <c r="M3476">
        <v>1980</v>
      </c>
      <c r="N3476" t="s">
        <v>16393</v>
      </c>
      <c r="O3476" s="4">
        <v>75072</v>
      </c>
      <c r="P3476" s="4">
        <v>99022</v>
      </c>
      <c r="Q3476" s="4">
        <v>174094</v>
      </c>
      <c r="R3476" s="4">
        <v>522282</v>
      </c>
      <c r="S3476" t="s">
        <v>19788</v>
      </c>
      <c r="T3476" s="6">
        <v>35735</v>
      </c>
      <c r="U3476" s="4">
        <v>207000</v>
      </c>
      <c r="X3476" t="s">
        <v>3</v>
      </c>
      <c r="AA3476" s="5" t="str">
        <f>HYPERLINK("https://www.zillow.com/homes/1739-CHALMETTE-CT-NAPERVILLE-IL-60540_rb/","check listing")</f>
        <v>check listing</v>
      </c>
      <c r="AB3476" s="5" t="str">
        <f>HYPERLINK("https://propertylookup.dupagecounty.gov/Datalets/Datalet.aspx?UseSearch=no&amp;mode=sales&amp;pin=0832114060","sales record")</f>
        <v>sales record</v>
      </c>
      <c r="AC3476" t="s">
        <v>3</v>
      </c>
      <c r="AD3476">
        <v>41.734618</v>
      </c>
      <c r="AE3476">
        <v>-88.122364</v>
      </c>
      <c r="AF3476" s="5" t="str">
        <f>HYPERLINK("https://www.google.com/maps/search/?api=1&amp;query=41.734618,-88.122364","map")</f>
        <v>map</v>
      </c>
    </row>
    <row r="3477" spans="1:32">
      <c r="A3477" t="s">
        <v>3527</v>
      </c>
      <c r="B3477" t="s">
        <v>11060</v>
      </c>
      <c r="C3477" t="s">
        <v>15476</v>
      </c>
      <c r="D3477" t="s">
        <v>16206</v>
      </c>
      <c r="E3477" t="s">
        <v>16218</v>
      </c>
      <c r="F3477" t="s">
        <v>16220</v>
      </c>
      <c r="G3477" t="s">
        <v>16269</v>
      </c>
      <c r="H3477" t="s">
        <v>16269</v>
      </c>
      <c r="I3477" t="s">
        <v>16352</v>
      </c>
      <c r="J3477" t="s">
        <v>16386</v>
      </c>
      <c r="K3477">
        <v>0.169</v>
      </c>
      <c r="L3477">
        <v>7349</v>
      </c>
      <c r="M3477">
        <v>1979</v>
      </c>
      <c r="N3477" t="s">
        <v>16393</v>
      </c>
      <c r="O3477" s="4">
        <v>71707</v>
      </c>
      <c r="P3477" s="4">
        <v>74418</v>
      </c>
      <c r="Q3477" s="4">
        <v>146125</v>
      </c>
      <c r="R3477" s="4">
        <v>438375</v>
      </c>
      <c r="S3477" t="s">
        <v>19789</v>
      </c>
      <c r="T3477" s="6">
        <v>45940</v>
      </c>
      <c r="U3477" s="4">
        <v>455000</v>
      </c>
      <c r="V3477" t="s">
        <v>23739</v>
      </c>
      <c r="W3477" t="s">
        <v>25479</v>
      </c>
      <c r="X3477" t="s">
        <v>3</v>
      </c>
      <c r="AA3477" s="5" t="str">
        <f>HYPERLINK("https://www.zillow.com/homes/1768-COACH-DR-NAPERVILLE-IL-60565_rb/","check listing")</f>
        <v>check listing</v>
      </c>
      <c r="AB3477" s="5" t="str">
        <f>HYPERLINK("https://propertylookup.dupagecounty.gov/Datalets/Datalet.aspx?UseSearch=no&amp;mode=sales&amp;pin=0832114059","sales record")</f>
        <v>sales record</v>
      </c>
      <c r="AC3477" t="s">
        <v>3</v>
      </c>
      <c r="AD3477">
        <v>41.734622</v>
      </c>
      <c r="AE3477">
        <v>-88.122749</v>
      </c>
      <c r="AF3477" s="5" t="str">
        <f>HYPERLINK("https://www.google.com/maps/search/?api=1&amp;query=41.734622,-88.122749","map")</f>
        <v>map</v>
      </c>
    </row>
    <row r="3478" spans="1:32">
      <c r="A3478" t="s">
        <v>3528</v>
      </c>
      <c r="B3478" t="s">
        <v>11061</v>
      </c>
      <c r="C3478" t="s">
        <v>15476</v>
      </c>
      <c r="D3478" t="s">
        <v>16206</v>
      </c>
      <c r="E3478" t="s">
        <v>16218</v>
      </c>
      <c r="F3478" t="s">
        <v>16220</v>
      </c>
      <c r="G3478" t="s">
        <v>16269</v>
      </c>
      <c r="H3478" t="s">
        <v>16269</v>
      </c>
      <c r="I3478" t="s">
        <v>16352</v>
      </c>
      <c r="J3478" t="s">
        <v>16386</v>
      </c>
      <c r="K3478">
        <v>0.169</v>
      </c>
      <c r="L3478">
        <v>7345</v>
      </c>
      <c r="M3478">
        <v>2357</v>
      </c>
      <c r="N3478" t="s">
        <v>16393</v>
      </c>
      <c r="O3478" s="4">
        <v>75072</v>
      </c>
      <c r="P3478" s="4">
        <v>100876</v>
      </c>
      <c r="Q3478" s="4">
        <v>175948</v>
      </c>
      <c r="R3478" s="4">
        <v>527844</v>
      </c>
      <c r="S3478" t="s">
        <v>19790</v>
      </c>
      <c r="T3478" s="6">
        <v>35247</v>
      </c>
      <c r="U3478" s="4">
        <v>201500</v>
      </c>
      <c r="X3478" t="s">
        <v>3</v>
      </c>
      <c r="AA3478" s="5" t="str">
        <f>HYPERLINK("https://www.zillow.com/homes/1740-CHALMETTE-CT-NAPERVILLE-IL-60565_rb/","check listing")</f>
        <v>check listing</v>
      </c>
      <c r="AB3478" s="5" t="str">
        <f>HYPERLINK("https://propertylookup.dupagecounty.gov/Datalets/Datalet.aspx?UseSearch=no&amp;mode=sales&amp;pin=0832114079","sales record")</f>
        <v>sales record</v>
      </c>
      <c r="AC3478" t="s">
        <v>3</v>
      </c>
      <c r="AD3478">
        <v>41.734612</v>
      </c>
      <c r="AE3478">
        <v>-88.121736</v>
      </c>
      <c r="AF3478" s="5" t="str">
        <f>HYPERLINK("https://www.google.com/maps/search/?api=1&amp;query=41.734612,-88.121736","map")</f>
        <v>map</v>
      </c>
    </row>
    <row r="3479" spans="1:32">
      <c r="A3479" t="s">
        <v>3529</v>
      </c>
      <c r="B3479" t="s">
        <v>11062</v>
      </c>
      <c r="C3479" t="s">
        <v>15478</v>
      </c>
      <c r="D3479" t="s">
        <v>16206</v>
      </c>
      <c r="E3479" t="s">
        <v>16218</v>
      </c>
      <c r="F3479" t="s">
        <v>16220</v>
      </c>
      <c r="G3479" t="s">
        <v>16274</v>
      </c>
      <c r="H3479" t="s">
        <v>16269</v>
      </c>
      <c r="I3479" t="s">
        <v>16352</v>
      </c>
      <c r="J3479" t="s">
        <v>16386</v>
      </c>
      <c r="K3479">
        <v>0.168</v>
      </c>
      <c r="L3479">
        <v>7338</v>
      </c>
      <c r="M3479">
        <v>1979</v>
      </c>
      <c r="N3479" t="s">
        <v>16393</v>
      </c>
      <c r="O3479" s="4">
        <v>48576</v>
      </c>
      <c r="P3479" s="4">
        <v>98715</v>
      </c>
      <c r="Q3479" s="4">
        <v>147291</v>
      </c>
      <c r="R3479" s="4">
        <v>441873</v>
      </c>
      <c r="S3479" t="s">
        <v>19791</v>
      </c>
      <c r="T3479" s="6">
        <v>38504</v>
      </c>
      <c r="U3479" s="4">
        <v>310450</v>
      </c>
      <c r="V3479" t="s">
        <v>23739</v>
      </c>
      <c r="W3479" t="s">
        <v>25480</v>
      </c>
      <c r="X3479" t="s">
        <v>3</v>
      </c>
      <c r="AA3479" s="5" t="str">
        <f>HYPERLINK("https://www.zillow.com/homes/1620-TERRI-CIR-NAPERVILLE-IL-60563_rb/","check listing")</f>
        <v>check listing</v>
      </c>
      <c r="AB3479" s="5" t="str">
        <f>HYPERLINK("https://propertylookup.dupagecounty.gov/Datalets/Datalet.aspx?UseSearch=no&amp;mode=sales&amp;pin=0715205004","sales record")</f>
        <v>sales record</v>
      </c>
      <c r="AC3479" t="s">
        <v>3</v>
      </c>
      <c r="AD3479">
        <v>41.781723</v>
      </c>
      <c r="AE3479">
        <v>-88.19113299999999</v>
      </c>
      <c r="AF3479" s="5" t="str">
        <f>HYPERLINK("https://www.google.com/maps/search/?api=1&amp;query=41.781723,-88.191133","map")</f>
        <v>map</v>
      </c>
    </row>
    <row r="3480" spans="1:32">
      <c r="A3480" t="s">
        <v>3530</v>
      </c>
      <c r="B3480" t="s">
        <v>11063</v>
      </c>
      <c r="C3480" t="s">
        <v>15475</v>
      </c>
      <c r="D3480" t="s">
        <v>16206</v>
      </c>
      <c r="E3480" t="s">
        <v>16218</v>
      </c>
      <c r="F3480" t="s">
        <v>16220</v>
      </c>
      <c r="G3480" t="s">
        <v>16275</v>
      </c>
      <c r="H3480" t="s">
        <v>16276</v>
      </c>
      <c r="I3480" t="s">
        <v>16352</v>
      </c>
      <c r="J3480" t="s">
        <v>16386</v>
      </c>
      <c r="K3480">
        <v>0.168</v>
      </c>
      <c r="L3480">
        <v>7328</v>
      </c>
      <c r="M3480">
        <v>1979</v>
      </c>
      <c r="N3480" t="s">
        <v>16393</v>
      </c>
      <c r="O3480" s="4">
        <v>47905</v>
      </c>
      <c r="P3480" s="4">
        <v>101168</v>
      </c>
      <c r="Q3480" s="4">
        <v>149073</v>
      </c>
      <c r="R3480" s="4">
        <v>447219</v>
      </c>
      <c r="S3480" t="s">
        <v>19792</v>
      </c>
      <c r="T3480" s="6">
        <v>35735</v>
      </c>
      <c r="U3480" s="4">
        <v>178000</v>
      </c>
      <c r="X3480" t="s">
        <v>3</v>
      </c>
      <c r="AA3480" s="5" t="str">
        <f>HYPERLINK("https://www.zillow.com/homes/783-WILDFLOWER-CIR-NAPERVILLE-IL-60540_rb/","check listing")</f>
        <v>check listing</v>
      </c>
      <c r="AB3480" s="5" t="str">
        <f>HYPERLINK("https://propertylookup.dupagecounty.gov/Datalets/Datalet.aspx?UseSearch=no&amp;mode=sales&amp;pin=0722305004","sales record")</f>
        <v>sales record</v>
      </c>
      <c r="AC3480" t="s">
        <v>3</v>
      </c>
      <c r="AD3480">
        <v>41.758438</v>
      </c>
      <c r="AE3480">
        <v>-88.196375</v>
      </c>
      <c r="AF3480" s="5" t="str">
        <f>HYPERLINK("https://www.google.com/maps/search/?api=1&amp;query=41.758438,-88.196375","map")</f>
        <v>map</v>
      </c>
    </row>
    <row r="3481" spans="1:32">
      <c r="A3481" t="s">
        <v>3531</v>
      </c>
      <c r="B3481" t="s">
        <v>11064</v>
      </c>
      <c r="C3481" t="s">
        <v>15590</v>
      </c>
      <c r="D3481" t="s">
        <v>16206</v>
      </c>
      <c r="E3481" t="s">
        <v>16218</v>
      </c>
      <c r="F3481" t="s">
        <v>16220</v>
      </c>
      <c r="G3481" t="s">
        <v>16275</v>
      </c>
      <c r="H3481" t="s">
        <v>16276</v>
      </c>
      <c r="I3481" t="s">
        <v>16352</v>
      </c>
      <c r="J3481" t="s">
        <v>16386</v>
      </c>
      <c r="K3481">
        <v>0.168</v>
      </c>
      <c r="L3481">
        <v>7327</v>
      </c>
      <c r="M3481">
        <v>2307</v>
      </c>
      <c r="N3481" t="s">
        <v>16393</v>
      </c>
      <c r="O3481" s="4">
        <v>51103</v>
      </c>
      <c r="P3481" s="4">
        <v>103072</v>
      </c>
      <c r="Q3481" s="4">
        <v>154175</v>
      </c>
      <c r="R3481" s="4">
        <v>462525</v>
      </c>
      <c r="S3481" t="s">
        <v>19793</v>
      </c>
      <c r="T3481" s="6">
        <v>44718</v>
      </c>
      <c r="U3481" s="4">
        <v>379000</v>
      </c>
      <c r="V3481" t="s">
        <v>23739</v>
      </c>
      <c r="W3481" t="s">
        <v>25481</v>
      </c>
      <c r="X3481" t="s">
        <v>3</v>
      </c>
      <c r="AA3481" s="5" t="str">
        <f>HYPERLINK("https://www.zillow.com/homes/732-WILDFLOWER-CIR-NAPERVILLE-IL-605406222_rb/","check listing")</f>
        <v>check listing</v>
      </c>
      <c r="AB3481" s="5" t="str">
        <f>HYPERLINK("https://propertylookup.dupagecounty.gov/Datalets/Datalet.aspx?UseSearch=no&amp;mode=sales&amp;pin=0722406013","sales record")</f>
        <v>sales record</v>
      </c>
      <c r="AC3481" t="s">
        <v>3</v>
      </c>
      <c r="AD3481">
        <v>41.758097</v>
      </c>
      <c r="AE3481">
        <v>-88.194171</v>
      </c>
      <c r="AF3481" s="5" t="str">
        <f>HYPERLINK("https://www.google.com/maps/search/?api=1&amp;query=41.758097,-88.194171","map")</f>
        <v>map</v>
      </c>
    </row>
    <row r="3482" spans="1:32">
      <c r="A3482" t="s">
        <v>3532</v>
      </c>
      <c r="B3482" t="s">
        <v>11065</v>
      </c>
      <c r="C3482" t="s">
        <v>15475</v>
      </c>
      <c r="D3482" t="s">
        <v>16206</v>
      </c>
      <c r="E3482" t="s">
        <v>16218</v>
      </c>
      <c r="F3482" t="s">
        <v>16220</v>
      </c>
      <c r="G3482" t="s">
        <v>16275</v>
      </c>
      <c r="H3482" t="s">
        <v>16276</v>
      </c>
      <c r="I3482" t="s">
        <v>16352</v>
      </c>
      <c r="J3482" t="s">
        <v>16386</v>
      </c>
      <c r="K3482">
        <v>0.168</v>
      </c>
      <c r="L3482">
        <v>7321</v>
      </c>
      <c r="M3482">
        <v>1814</v>
      </c>
      <c r="N3482" t="s">
        <v>16393</v>
      </c>
      <c r="O3482" s="4">
        <v>51103</v>
      </c>
      <c r="P3482" s="4">
        <v>111311</v>
      </c>
      <c r="Q3482" s="4">
        <v>162414</v>
      </c>
      <c r="R3482" s="4">
        <v>487242</v>
      </c>
      <c r="S3482" t="s">
        <v>19794</v>
      </c>
      <c r="T3482" s="6">
        <v>37773</v>
      </c>
      <c r="U3482" s="4">
        <v>269500</v>
      </c>
      <c r="V3482" t="s">
        <v>23739</v>
      </c>
      <c r="W3482" t="s">
        <v>25482</v>
      </c>
      <c r="X3482" t="s">
        <v>3</v>
      </c>
      <c r="AA3482" s="5" t="str">
        <f>HYPERLINK("https://www.zillow.com/homes/2127-PERIWINKLE-LN-NAPERVILLE-IL-60540_rb/","check listing")</f>
        <v>check listing</v>
      </c>
      <c r="AB3482" s="5" t="str">
        <f>HYPERLINK("https://propertylookup.dupagecounty.gov/Datalets/Datalet.aspx?UseSearch=no&amp;mode=sales&amp;pin=0722409026","sales record")</f>
        <v>sales record</v>
      </c>
      <c r="AC3482" t="s">
        <v>3</v>
      </c>
      <c r="AD3482">
        <v>41.760856</v>
      </c>
      <c r="AE3482">
        <v>-88.19087</v>
      </c>
      <c r="AF3482" s="5" t="str">
        <f>HYPERLINK("https://www.google.com/maps/search/?api=1&amp;query=41.760856,-88.19087","map")</f>
        <v>map</v>
      </c>
    </row>
    <row r="3483" spans="1:32">
      <c r="A3483" t="s">
        <v>3533</v>
      </c>
      <c r="B3483" t="s">
        <v>11066</v>
      </c>
      <c r="C3483" t="s">
        <v>15475</v>
      </c>
      <c r="D3483" t="s">
        <v>16206</v>
      </c>
      <c r="E3483" t="s">
        <v>16218</v>
      </c>
      <c r="F3483" t="s">
        <v>16220</v>
      </c>
      <c r="G3483" t="s">
        <v>16275</v>
      </c>
      <c r="H3483" t="s">
        <v>16276</v>
      </c>
      <c r="I3483" t="s">
        <v>16352</v>
      </c>
      <c r="J3483" t="s">
        <v>16386</v>
      </c>
      <c r="K3483">
        <v>0.168</v>
      </c>
      <c r="L3483">
        <v>7319</v>
      </c>
      <c r="M3483">
        <v>1930</v>
      </c>
      <c r="N3483" t="s">
        <v>16393</v>
      </c>
      <c r="O3483" s="4">
        <v>47905</v>
      </c>
      <c r="P3483" s="4">
        <v>102462</v>
      </c>
      <c r="Q3483" s="4">
        <v>150367</v>
      </c>
      <c r="R3483" s="4">
        <v>451101</v>
      </c>
      <c r="S3483" t="s">
        <v>19795</v>
      </c>
      <c r="T3483" s="6">
        <v>36373</v>
      </c>
      <c r="U3483" s="4">
        <v>209000</v>
      </c>
      <c r="X3483" t="s">
        <v>3</v>
      </c>
      <c r="AA3483" s="5" t="str">
        <f>HYPERLINK("https://www.zillow.com/homes/796-WILDFLOWER-CIR-NAPERVILLE-IL-60540_rb/","check listing")</f>
        <v>check listing</v>
      </c>
      <c r="AB3483" s="5" t="str">
        <f>HYPERLINK("https://propertylookup.dupagecounty.gov/Datalets/Datalet.aspx?UseSearch=no&amp;mode=sales&amp;pin=0722406001","sales record")</f>
        <v>sales record</v>
      </c>
      <c r="AC3483" t="s">
        <v>3</v>
      </c>
      <c r="AD3483">
        <v>41.758839</v>
      </c>
      <c r="AE3483">
        <v>-88.195645</v>
      </c>
      <c r="AF3483" s="5" t="str">
        <f>HYPERLINK("https://www.google.com/maps/search/?api=1&amp;query=41.758839,-88.195645","map")</f>
        <v>map</v>
      </c>
    </row>
    <row r="3484" spans="1:32">
      <c r="A3484" t="s">
        <v>3534</v>
      </c>
      <c r="B3484" t="s">
        <v>11067</v>
      </c>
      <c r="C3484" t="s">
        <v>15475</v>
      </c>
      <c r="D3484" t="s">
        <v>16206</v>
      </c>
      <c r="E3484" t="s">
        <v>16218</v>
      </c>
      <c r="F3484" t="s">
        <v>16220</v>
      </c>
      <c r="G3484" t="s">
        <v>16275</v>
      </c>
      <c r="H3484" t="s">
        <v>16276</v>
      </c>
      <c r="I3484" t="s">
        <v>16352</v>
      </c>
      <c r="J3484" t="s">
        <v>16386</v>
      </c>
      <c r="K3484">
        <v>0.168</v>
      </c>
      <c r="L3484">
        <v>7318</v>
      </c>
      <c r="M3484">
        <v>1649</v>
      </c>
      <c r="N3484" t="s">
        <v>16393</v>
      </c>
      <c r="O3484" s="4">
        <v>47905</v>
      </c>
      <c r="P3484" s="4">
        <v>103805</v>
      </c>
      <c r="Q3484" s="4">
        <v>151710</v>
      </c>
      <c r="R3484" s="4">
        <v>455130</v>
      </c>
      <c r="S3484" t="s">
        <v>19796</v>
      </c>
      <c r="T3484" s="6">
        <v>37773</v>
      </c>
      <c r="U3484" s="4">
        <v>251500</v>
      </c>
      <c r="V3484" t="s">
        <v>23739</v>
      </c>
      <c r="W3484" t="s">
        <v>19796</v>
      </c>
      <c r="X3484" t="s">
        <v>3</v>
      </c>
      <c r="AA3484" s="5" t="str">
        <f>HYPERLINK("https://www.zillow.com/homes/779-WILDFLOWER-CIR-NAPERVILLE-IL-60540_rb/","check listing")</f>
        <v>check listing</v>
      </c>
      <c r="AB3484" s="5" t="str">
        <f>HYPERLINK("https://propertylookup.dupagecounty.gov/Datalets/Datalet.aspx?UseSearch=no&amp;mode=sales&amp;pin=0722305005","sales record")</f>
        <v>sales record</v>
      </c>
      <c r="AC3484" t="s">
        <v>3</v>
      </c>
      <c r="AD3484">
        <v>41.758299</v>
      </c>
      <c r="AE3484">
        <v>-88.196348</v>
      </c>
      <c r="AF3484" s="5" t="str">
        <f>HYPERLINK("https://www.google.com/maps/search/?api=1&amp;query=41.758299,-88.196348","map")</f>
        <v>map</v>
      </c>
    </row>
    <row r="3485" spans="1:32">
      <c r="A3485" t="s">
        <v>3535</v>
      </c>
      <c r="B3485" t="s">
        <v>11068</v>
      </c>
      <c r="C3485" t="s">
        <v>15591</v>
      </c>
      <c r="D3485" t="s">
        <v>16206</v>
      </c>
      <c r="E3485" t="s">
        <v>16218</v>
      </c>
      <c r="F3485" t="s">
        <v>16220</v>
      </c>
      <c r="G3485" t="s">
        <v>16275</v>
      </c>
      <c r="H3485" t="s">
        <v>16276</v>
      </c>
      <c r="I3485" t="s">
        <v>16352</v>
      </c>
      <c r="J3485" t="s">
        <v>16386</v>
      </c>
      <c r="K3485">
        <v>0.168</v>
      </c>
      <c r="L3485">
        <v>7316</v>
      </c>
      <c r="M3485">
        <v>1979</v>
      </c>
      <c r="N3485" t="s">
        <v>16393</v>
      </c>
      <c r="O3485" s="4">
        <v>49444</v>
      </c>
      <c r="P3485" s="4">
        <v>102389</v>
      </c>
      <c r="Q3485" s="4">
        <v>151833</v>
      </c>
      <c r="R3485" s="4">
        <v>455499</v>
      </c>
      <c r="S3485" t="s">
        <v>19797</v>
      </c>
      <c r="T3485" s="6">
        <v>43313</v>
      </c>
      <c r="U3485" s="4">
        <v>355000</v>
      </c>
      <c r="V3485" t="s">
        <v>23739</v>
      </c>
      <c r="W3485" t="s">
        <v>25483</v>
      </c>
      <c r="X3485" t="s">
        <v>3</v>
      </c>
      <c r="AA3485" s="5" t="str">
        <f>HYPERLINK("https://www.zillow.com/homes/1051-LAKEWOOD-CIR-NAPERVILLE-IL-605400998_rb/","check listing")</f>
        <v>check listing</v>
      </c>
      <c r="AB3485" s="5" t="str">
        <f>HYPERLINK("https://propertylookup.dupagecounty.gov/Datalets/Datalet.aspx?UseSearch=no&amp;mode=sales&amp;pin=0727207015","sales record")</f>
        <v>sales record</v>
      </c>
      <c r="AC3485" t="s">
        <v>3</v>
      </c>
      <c r="AD3485">
        <v>41.750847</v>
      </c>
      <c r="AE3485">
        <v>-88.192919</v>
      </c>
      <c r="AF3485" s="5" t="str">
        <f>HYPERLINK("https://www.google.com/maps/search/?api=1&amp;query=41.750847,-88.192919","map")</f>
        <v>map</v>
      </c>
    </row>
    <row r="3486" spans="1:32">
      <c r="A3486" t="s">
        <v>3536</v>
      </c>
      <c r="B3486" t="s">
        <v>11069</v>
      </c>
      <c r="C3486" t="s">
        <v>15475</v>
      </c>
      <c r="D3486" t="s">
        <v>16206</v>
      </c>
      <c r="E3486" t="s">
        <v>16218</v>
      </c>
      <c r="F3486" t="s">
        <v>16220</v>
      </c>
      <c r="G3486" t="s">
        <v>16275</v>
      </c>
      <c r="H3486" t="s">
        <v>16276</v>
      </c>
      <c r="I3486" t="s">
        <v>16352</v>
      </c>
      <c r="J3486" t="s">
        <v>16386</v>
      </c>
      <c r="K3486">
        <v>0.168</v>
      </c>
      <c r="L3486">
        <v>7315</v>
      </c>
      <c r="M3486">
        <v>1994</v>
      </c>
      <c r="N3486" t="s">
        <v>16393</v>
      </c>
      <c r="O3486" s="4">
        <v>49444</v>
      </c>
      <c r="P3486" s="4">
        <v>105563</v>
      </c>
      <c r="Q3486" s="4">
        <v>155007</v>
      </c>
      <c r="R3486" s="4">
        <v>465021</v>
      </c>
      <c r="S3486" t="s">
        <v>19798</v>
      </c>
      <c r="T3486" s="6">
        <v>37469</v>
      </c>
      <c r="U3486" s="4">
        <v>240000</v>
      </c>
      <c r="V3486" t="s">
        <v>23739</v>
      </c>
      <c r="W3486" t="s">
        <v>25484</v>
      </c>
      <c r="X3486" t="s">
        <v>3</v>
      </c>
      <c r="AA3486" s="5" t="str">
        <f>HYPERLINK("https://www.zillow.com/homes/1203-LAKEWOOD-CIR-NAPERVILLE-IL-60540_rb/","check listing")</f>
        <v>check listing</v>
      </c>
      <c r="AB3486" s="5" t="str">
        <f>HYPERLINK("https://propertylookup.dupagecounty.gov/Datalets/Datalet.aspx?UseSearch=no&amp;mode=sales&amp;pin=0727201032","sales record")</f>
        <v>sales record</v>
      </c>
      <c r="AC3486" t="s">
        <v>3</v>
      </c>
      <c r="AD3486">
        <v>41.748902</v>
      </c>
      <c r="AE3486">
        <v>-88.190296</v>
      </c>
      <c r="AF3486" s="5" t="str">
        <f>HYPERLINK("https://www.google.com/maps/search/?api=1&amp;query=41.748902,-88.190296","map")</f>
        <v>map</v>
      </c>
    </row>
    <row r="3487" spans="1:32">
      <c r="A3487" t="s">
        <v>3537</v>
      </c>
      <c r="B3487" t="s">
        <v>11070</v>
      </c>
      <c r="C3487" t="s">
        <v>15475</v>
      </c>
      <c r="D3487" t="s">
        <v>16206</v>
      </c>
      <c r="E3487" t="s">
        <v>16218</v>
      </c>
      <c r="F3487" t="s">
        <v>16220</v>
      </c>
      <c r="G3487" t="s">
        <v>16275</v>
      </c>
      <c r="H3487" t="s">
        <v>16276</v>
      </c>
      <c r="I3487" t="s">
        <v>16352</v>
      </c>
      <c r="J3487" t="s">
        <v>16386</v>
      </c>
      <c r="K3487">
        <v>0.168</v>
      </c>
      <c r="L3487">
        <v>7314</v>
      </c>
      <c r="M3487">
        <v>2474</v>
      </c>
      <c r="N3487" t="s">
        <v>16393</v>
      </c>
      <c r="O3487" s="4">
        <v>57462</v>
      </c>
      <c r="P3487" s="4">
        <v>139835</v>
      </c>
      <c r="Q3487" s="4">
        <v>197297</v>
      </c>
      <c r="R3487" s="4">
        <v>591891</v>
      </c>
      <c r="S3487" t="s">
        <v>19799</v>
      </c>
      <c r="T3487" s="6">
        <v>38777</v>
      </c>
      <c r="U3487" s="4">
        <v>358000</v>
      </c>
      <c r="V3487" t="s">
        <v>23739</v>
      </c>
      <c r="W3487" t="s">
        <v>25485</v>
      </c>
      <c r="X3487" t="s">
        <v>3</v>
      </c>
      <c r="AA3487" s="5" t="str">
        <f>HYPERLINK("https://www.zillow.com/homes/659-WINTERGREEN-CIR-NAPERVILLE-IL-60540_rb/","check listing")</f>
        <v>check listing</v>
      </c>
      <c r="AB3487" s="5" t="str">
        <f>HYPERLINK("https://propertylookup.dupagecounty.gov/Datalets/Datalet.aspx?UseSearch=no&amp;mode=sales&amp;pin=0722404013","sales record")</f>
        <v>sales record</v>
      </c>
      <c r="AC3487" t="s">
        <v>3</v>
      </c>
      <c r="AD3487">
        <v>41.76062</v>
      </c>
      <c r="AE3487">
        <v>-88.194872</v>
      </c>
      <c r="AF3487" s="5" t="str">
        <f>HYPERLINK("https://www.google.com/maps/search/?api=1&amp;query=41.76062,-88.194872","map")</f>
        <v>map</v>
      </c>
    </row>
    <row r="3488" spans="1:32">
      <c r="A3488" t="s">
        <v>3538</v>
      </c>
      <c r="B3488" t="s">
        <v>11071</v>
      </c>
      <c r="C3488" t="s">
        <v>15520</v>
      </c>
      <c r="D3488" t="s">
        <v>16206</v>
      </c>
      <c r="E3488" t="s">
        <v>16218</v>
      </c>
      <c r="F3488" t="s">
        <v>16220</v>
      </c>
      <c r="G3488" t="s">
        <v>16276</v>
      </c>
      <c r="H3488" t="s">
        <v>16276</v>
      </c>
      <c r="I3488" t="s">
        <v>16352</v>
      </c>
      <c r="J3488" t="s">
        <v>16386</v>
      </c>
      <c r="K3488">
        <v>0.168</v>
      </c>
      <c r="L3488">
        <v>7308</v>
      </c>
      <c r="M3488">
        <v>1979</v>
      </c>
      <c r="N3488" t="s">
        <v>16393</v>
      </c>
      <c r="O3488" s="4">
        <v>52555</v>
      </c>
      <c r="P3488" s="4">
        <v>116303</v>
      </c>
      <c r="Q3488" s="4">
        <v>168858</v>
      </c>
      <c r="R3488" s="4">
        <v>506574</v>
      </c>
      <c r="S3488" t="s">
        <v>19800</v>
      </c>
      <c r="T3488" s="6">
        <v>44501</v>
      </c>
      <c r="U3488" s="4">
        <v>385000</v>
      </c>
      <c r="V3488" t="s">
        <v>23739</v>
      </c>
      <c r="W3488" t="s">
        <v>25486</v>
      </c>
      <c r="X3488" t="s">
        <v>3</v>
      </c>
      <c r="AA3488" s="5" t="str">
        <f>HYPERLINK("https://www.zillow.com/homes/916-MATTHEW-CT-NAPERVILLE-IL-605401958_rb/","check listing")</f>
        <v>check listing</v>
      </c>
      <c r="AB3488" s="5" t="str">
        <f>HYPERLINK("https://propertylookup.dupagecounty.gov/Datalets/Datalet.aspx?UseSearch=no&amp;mode=sales&amp;pin=0727209013","sales record")</f>
        <v>sales record</v>
      </c>
      <c r="AC3488" t="s">
        <v>3</v>
      </c>
      <c r="AD3488">
        <v>41.75352</v>
      </c>
      <c r="AE3488">
        <v>-88.19037400000001</v>
      </c>
      <c r="AF3488" s="5" t="str">
        <f>HYPERLINK("https://www.google.com/maps/search/?api=1&amp;query=41.75352,-88.190374","map")</f>
        <v>map</v>
      </c>
    </row>
    <row r="3489" spans="1:32">
      <c r="A3489" t="s">
        <v>3539</v>
      </c>
      <c r="B3489" t="s">
        <v>11072</v>
      </c>
      <c r="C3489" t="s">
        <v>15592</v>
      </c>
      <c r="D3489" t="s">
        <v>16206</v>
      </c>
      <c r="E3489" t="s">
        <v>16218</v>
      </c>
      <c r="F3489" t="s">
        <v>16220</v>
      </c>
      <c r="G3489" t="s">
        <v>16274</v>
      </c>
      <c r="H3489" t="s">
        <v>16269</v>
      </c>
      <c r="I3489" t="s">
        <v>16352</v>
      </c>
      <c r="J3489" t="s">
        <v>16386</v>
      </c>
      <c r="K3489">
        <v>0.168</v>
      </c>
      <c r="L3489">
        <v>7303</v>
      </c>
      <c r="M3489">
        <v>2177</v>
      </c>
      <c r="N3489" t="s">
        <v>16393</v>
      </c>
      <c r="O3489" s="4">
        <v>48576</v>
      </c>
      <c r="P3489" s="4">
        <v>128715</v>
      </c>
      <c r="Q3489" s="4">
        <v>177291</v>
      </c>
      <c r="R3489" s="4">
        <v>531873</v>
      </c>
      <c r="S3489" t="s">
        <v>19801</v>
      </c>
      <c r="T3489" s="6">
        <v>44348</v>
      </c>
      <c r="U3489" s="4">
        <v>433500</v>
      </c>
      <c r="V3489" t="s">
        <v>23739</v>
      </c>
      <c r="W3489" t="s">
        <v>25487</v>
      </c>
      <c r="X3489" t="s">
        <v>3</v>
      </c>
      <c r="AA3489" s="5" t="str">
        <f>HYPERLINK("https://www.zillow.com/homes/1638-LOIS-ANN-LN-NAPERVILLE-IL-605630469_rb/","check listing")</f>
        <v>check listing</v>
      </c>
      <c r="AB3489" s="5" t="str">
        <f>HYPERLINK("https://propertylookup.dupagecounty.gov/Datalets/Datalet.aspx?UseSearch=no&amp;mode=sales&amp;pin=0715204012","sales record")</f>
        <v>sales record</v>
      </c>
      <c r="AC3489" t="s">
        <v>3</v>
      </c>
      <c r="AD3489">
        <v>41.781505</v>
      </c>
      <c r="AE3489">
        <v>-88.192463</v>
      </c>
      <c r="AF3489" s="5" t="str">
        <f>HYPERLINK("https://www.google.com/maps/search/?api=1&amp;query=41.781505,-88.192463","map")</f>
        <v>map</v>
      </c>
    </row>
    <row r="3490" spans="1:32">
      <c r="A3490" t="s">
        <v>3540</v>
      </c>
      <c r="B3490" t="s">
        <v>11073</v>
      </c>
      <c r="C3490" t="s">
        <v>15570</v>
      </c>
      <c r="D3490" t="s">
        <v>16206</v>
      </c>
      <c r="E3490" t="s">
        <v>16218</v>
      </c>
      <c r="F3490" t="s">
        <v>16220</v>
      </c>
      <c r="G3490" t="s">
        <v>16275</v>
      </c>
      <c r="H3490" t="s">
        <v>16276</v>
      </c>
      <c r="I3490" t="s">
        <v>16352</v>
      </c>
      <c r="J3490" t="s">
        <v>16386</v>
      </c>
      <c r="K3490">
        <v>0.167</v>
      </c>
      <c r="L3490">
        <v>7294</v>
      </c>
      <c r="M3490">
        <v>2268</v>
      </c>
      <c r="N3490" t="s">
        <v>16393</v>
      </c>
      <c r="O3490" s="4">
        <v>49444</v>
      </c>
      <c r="P3490" s="4">
        <v>115924</v>
      </c>
      <c r="Q3490" s="4">
        <v>165368</v>
      </c>
      <c r="R3490" s="4">
        <v>496104</v>
      </c>
      <c r="S3490" t="s">
        <v>19802</v>
      </c>
      <c r="T3490" s="6">
        <v>44621</v>
      </c>
      <c r="U3490" s="4">
        <v>450000</v>
      </c>
      <c r="V3490" t="s">
        <v>23739</v>
      </c>
      <c r="W3490" t="s">
        <v>19802</v>
      </c>
      <c r="X3490" t="s">
        <v>3</v>
      </c>
      <c r="AA3490" s="5" t="str">
        <f>HYPERLINK("https://www.zillow.com/homes/1228-LAKEWOOD-CIR-NAPERVILLE-IL-605400975_rb/","check listing")</f>
        <v>check listing</v>
      </c>
      <c r="AB3490" s="5" t="str">
        <f>HYPERLINK("https://propertylookup.dupagecounty.gov/Datalets/Datalet.aspx?UseSearch=no&amp;mode=sales&amp;pin=0727202006","sales record")</f>
        <v>sales record</v>
      </c>
      <c r="AC3490" t="s">
        <v>3</v>
      </c>
      <c r="AD3490">
        <v>41.748307</v>
      </c>
      <c r="AE3490">
        <v>-88.19141399999999</v>
      </c>
      <c r="AF3490" s="5" t="str">
        <f>HYPERLINK("https://www.google.com/maps/search/?api=1&amp;query=41.748307,-88.191414","map")</f>
        <v>map</v>
      </c>
    </row>
    <row r="3491" spans="1:32">
      <c r="A3491" t="s">
        <v>3541</v>
      </c>
      <c r="B3491" t="s">
        <v>11074</v>
      </c>
      <c r="C3491" t="s">
        <v>15475</v>
      </c>
      <c r="D3491" t="s">
        <v>16206</v>
      </c>
      <c r="E3491" t="s">
        <v>16218</v>
      </c>
      <c r="F3491" t="s">
        <v>16220</v>
      </c>
      <c r="G3491" t="s">
        <v>16275</v>
      </c>
      <c r="H3491" t="s">
        <v>16276</v>
      </c>
      <c r="I3491" t="s">
        <v>16352</v>
      </c>
      <c r="J3491" t="s">
        <v>16386</v>
      </c>
      <c r="K3491">
        <v>0.167</v>
      </c>
      <c r="L3491">
        <v>7290</v>
      </c>
      <c r="M3491">
        <v>1973</v>
      </c>
      <c r="N3491" t="s">
        <v>16393</v>
      </c>
      <c r="O3491" s="4">
        <v>46367</v>
      </c>
      <c r="P3491" s="4">
        <v>119770</v>
      </c>
      <c r="Q3491" s="4">
        <v>166137</v>
      </c>
      <c r="R3491" s="4">
        <v>498411</v>
      </c>
      <c r="S3491" t="s">
        <v>19803</v>
      </c>
      <c r="T3491" s="6">
        <v>34639</v>
      </c>
      <c r="U3491" s="4">
        <v>175520</v>
      </c>
      <c r="X3491" t="s">
        <v>3</v>
      </c>
      <c r="AA3491" s="5" t="str">
        <f>HYPERLINK("https://www.zillow.com/homes/1208-SAMUEL-CT-NAPERVILLE-IL-60540_rb/","check listing")</f>
        <v>check listing</v>
      </c>
      <c r="AB3491" s="5" t="str">
        <f>HYPERLINK("https://propertylookup.dupagecounty.gov/Datalets/Datalet.aspx?UseSearch=no&amp;mode=sales&amp;pin=0727201061","sales record")</f>
        <v>sales record</v>
      </c>
      <c r="AC3491" t="s">
        <v>3</v>
      </c>
      <c r="AD3491">
        <v>41.748386</v>
      </c>
      <c r="AE3491">
        <v>-88.193918</v>
      </c>
      <c r="AF3491" s="5" t="str">
        <f>HYPERLINK("https://www.google.com/maps/search/?api=1&amp;query=41.748386,-88.193918","map")</f>
        <v>map</v>
      </c>
    </row>
    <row r="3492" spans="1:32">
      <c r="A3492" t="s">
        <v>3542</v>
      </c>
      <c r="B3492" t="s">
        <v>11075</v>
      </c>
      <c r="C3492" t="s">
        <v>15475</v>
      </c>
      <c r="D3492" t="s">
        <v>16206</v>
      </c>
      <c r="E3492" t="s">
        <v>16218</v>
      </c>
      <c r="F3492" t="s">
        <v>16220</v>
      </c>
      <c r="G3492" t="s">
        <v>16275</v>
      </c>
      <c r="H3492" t="s">
        <v>16276</v>
      </c>
      <c r="I3492" t="s">
        <v>16352</v>
      </c>
      <c r="J3492" t="s">
        <v>16386</v>
      </c>
      <c r="K3492">
        <v>0.167</v>
      </c>
      <c r="L3492">
        <v>7289</v>
      </c>
      <c r="M3492">
        <v>2902</v>
      </c>
      <c r="N3492" t="s">
        <v>16393</v>
      </c>
      <c r="O3492" s="4">
        <v>57462</v>
      </c>
      <c r="P3492" s="4">
        <v>160461</v>
      </c>
      <c r="Q3492" s="4">
        <v>217923</v>
      </c>
      <c r="R3492" s="4">
        <v>653769</v>
      </c>
      <c r="S3492" t="s">
        <v>19804</v>
      </c>
      <c r="T3492" s="6">
        <v>37226</v>
      </c>
      <c r="U3492" s="4">
        <v>270000</v>
      </c>
      <c r="V3492" t="s">
        <v>23739</v>
      </c>
      <c r="W3492" t="s">
        <v>25488</v>
      </c>
      <c r="X3492" t="s">
        <v>3</v>
      </c>
      <c r="AA3492" s="5" t="str">
        <f>HYPERLINK("https://www.zillow.com/homes/663-WINTERGREEN-CIR-NAPERVILLE-IL-60540_rb/","check listing")</f>
        <v>check listing</v>
      </c>
      <c r="AB3492" s="5" t="str">
        <f>HYPERLINK("https://propertylookup.dupagecounty.gov/Datalets/Datalet.aspx?UseSearch=no&amp;mode=sales&amp;pin=0722404012","sales record")</f>
        <v>sales record</v>
      </c>
      <c r="AC3492" t="s">
        <v>3</v>
      </c>
      <c r="AD3492">
        <v>41.760446</v>
      </c>
      <c r="AE3492">
        <v>-88.194981</v>
      </c>
      <c r="AF3492" s="5" t="str">
        <f>HYPERLINK("https://www.google.com/maps/search/?api=1&amp;query=41.760446,-88.194981","map")</f>
        <v>map</v>
      </c>
    </row>
    <row r="3493" spans="1:32">
      <c r="A3493" t="s">
        <v>3543</v>
      </c>
      <c r="B3493" t="s">
        <v>11076</v>
      </c>
      <c r="C3493" t="s">
        <v>15475</v>
      </c>
      <c r="D3493" t="s">
        <v>16206</v>
      </c>
      <c r="E3493" t="s">
        <v>16218</v>
      </c>
      <c r="F3493" t="s">
        <v>16220</v>
      </c>
      <c r="G3493" t="s">
        <v>16275</v>
      </c>
      <c r="H3493" t="s">
        <v>16276</v>
      </c>
      <c r="I3493" t="s">
        <v>16352</v>
      </c>
      <c r="J3493" t="s">
        <v>16386</v>
      </c>
      <c r="K3493">
        <v>0.167</v>
      </c>
      <c r="L3493">
        <v>7286</v>
      </c>
      <c r="M3493">
        <v>1647</v>
      </c>
      <c r="N3493" t="s">
        <v>16393</v>
      </c>
      <c r="O3493" s="4">
        <v>51103</v>
      </c>
      <c r="P3493" s="4">
        <v>103036</v>
      </c>
      <c r="Q3493" s="4">
        <v>154139</v>
      </c>
      <c r="R3493" s="4">
        <v>462417</v>
      </c>
      <c r="S3493" t="s">
        <v>19805</v>
      </c>
      <c r="T3493" s="6">
        <v>34943</v>
      </c>
      <c r="U3493" s="4">
        <v>184386</v>
      </c>
      <c r="X3493" t="s">
        <v>3</v>
      </c>
      <c r="AA3493" s="5" t="str">
        <f>HYPERLINK("https://www.zillow.com/homes/2119-PERIWINKLE-LN-NAPERVILLE-IL-60540_rb/","check listing")</f>
        <v>check listing</v>
      </c>
      <c r="AB3493" s="5" t="str">
        <f>HYPERLINK("https://propertylookup.dupagecounty.gov/Datalets/Datalet.aspx?UseSearch=no&amp;mode=sales&amp;pin=0722409024","sales record")</f>
        <v>sales record</v>
      </c>
      <c r="AC3493" t="s">
        <v>3</v>
      </c>
      <c r="AD3493">
        <v>41.761057</v>
      </c>
      <c r="AE3493">
        <v>-88.19051399999999</v>
      </c>
      <c r="AF3493" s="5" t="str">
        <f>HYPERLINK("https://www.google.com/maps/search/?api=1&amp;query=41.761057,-88.190514","map")</f>
        <v>map</v>
      </c>
    </row>
    <row r="3494" spans="1:32">
      <c r="A3494" t="s">
        <v>3544</v>
      </c>
      <c r="B3494" t="s">
        <v>11077</v>
      </c>
      <c r="C3494" t="s">
        <v>15475</v>
      </c>
      <c r="D3494" t="s">
        <v>16206</v>
      </c>
      <c r="E3494" t="s">
        <v>16218</v>
      </c>
      <c r="F3494" t="s">
        <v>16220</v>
      </c>
      <c r="G3494" t="s">
        <v>16275</v>
      </c>
      <c r="H3494" t="s">
        <v>16276</v>
      </c>
      <c r="I3494" t="s">
        <v>16352</v>
      </c>
      <c r="J3494" t="s">
        <v>16386</v>
      </c>
      <c r="K3494">
        <v>0.167</v>
      </c>
      <c r="L3494">
        <v>7282</v>
      </c>
      <c r="M3494">
        <v>2069</v>
      </c>
      <c r="N3494" t="s">
        <v>16393</v>
      </c>
      <c r="O3494" s="4">
        <v>49444</v>
      </c>
      <c r="P3494" s="4">
        <v>114411</v>
      </c>
      <c r="Q3494" s="4">
        <v>163855</v>
      </c>
      <c r="R3494" s="4">
        <v>491565</v>
      </c>
      <c r="S3494" t="s">
        <v>19806</v>
      </c>
      <c r="T3494" s="6">
        <v>41122</v>
      </c>
      <c r="U3494" s="4">
        <v>300000</v>
      </c>
      <c r="V3494" t="s">
        <v>23739</v>
      </c>
      <c r="W3494" t="s">
        <v>25489</v>
      </c>
      <c r="X3494" t="s">
        <v>3</v>
      </c>
      <c r="AA3494" s="5" t="str">
        <f>HYPERLINK("https://www.zillow.com/homes/1128-LAKEWOOD-CIR-NAPERVILLE-IL-60540_rb/","check listing")</f>
        <v>check listing</v>
      </c>
      <c r="AB3494" s="5" t="str">
        <f>HYPERLINK("https://propertylookup.dupagecounty.gov/Datalets/Datalet.aspx?UseSearch=no&amp;mode=sales&amp;pin=0727206018","sales record")</f>
        <v>sales record</v>
      </c>
      <c r="AC3494" t="s">
        <v>3</v>
      </c>
      <c r="AD3494">
        <v>41.750363</v>
      </c>
      <c r="AE3494">
        <v>-88.191289</v>
      </c>
      <c r="AF3494" s="5" t="str">
        <f>HYPERLINK("https://www.google.com/maps/search/?api=1&amp;query=41.750363,-88.191289","map")</f>
        <v>map</v>
      </c>
    </row>
    <row r="3495" spans="1:32">
      <c r="A3495" t="s">
        <v>3545</v>
      </c>
      <c r="B3495" t="s">
        <v>11078</v>
      </c>
      <c r="C3495" t="s">
        <v>15593</v>
      </c>
      <c r="D3495" t="s">
        <v>16206</v>
      </c>
      <c r="E3495" t="s">
        <v>16218</v>
      </c>
      <c r="F3495" t="s">
        <v>16220</v>
      </c>
      <c r="G3495" t="s">
        <v>16276</v>
      </c>
      <c r="H3495" t="s">
        <v>16276</v>
      </c>
      <c r="I3495" t="s">
        <v>16352</v>
      </c>
      <c r="J3495" t="s">
        <v>16386</v>
      </c>
      <c r="K3495">
        <v>0.167</v>
      </c>
      <c r="L3495">
        <v>7280</v>
      </c>
      <c r="M3495">
        <v>2357</v>
      </c>
      <c r="N3495" t="s">
        <v>16393</v>
      </c>
      <c r="O3495" s="4">
        <v>49444</v>
      </c>
      <c r="P3495" s="4">
        <v>105075</v>
      </c>
      <c r="Q3495" s="4">
        <v>154519</v>
      </c>
      <c r="R3495" s="4">
        <v>463557</v>
      </c>
      <c r="S3495" t="s">
        <v>19807</v>
      </c>
      <c r="T3495" s="6">
        <v>44470</v>
      </c>
      <c r="U3495" s="4">
        <v>387500</v>
      </c>
      <c r="V3495" t="s">
        <v>23739</v>
      </c>
      <c r="W3495" t="s">
        <v>19807</v>
      </c>
      <c r="X3495" t="s">
        <v>3</v>
      </c>
      <c r="AA3495" s="5" t="str">
        <f>HYPERLINK("https://www.zillow.com/homes/912-LOWELL-LN-NAPERVILLE-IL-605401932_rb/","check listing")</f>
        <v>check listing</v>
      </c>
      <c r="AB3495" s="5" t="str">
        <f>HYPERLINK("https://propertylookup.dupagecounty.gov/Datalets/Datalet.aspx?UseSearch=no&amp;mode=sales&amp;pin=0727210006","sales record")</f>
        <v>sales record</v>
      </c>
      <c r="AC3495" t="s">
        <v>3</v>
      </c>
      <c r="AD3495">
        <v>41.753904</v>
      </c>
      <c r="AE3495">
        <v>-88.189189</v>
      </c>
      <c r="AF3495" s="5" t="str">
        <f>HYPERLINK("https://www.google.com/maps/search/?api=1&amp;query=41.753904,-88.189189","map")</f>
        <v>map</v>
      </c>
    </row>
    <row r="3496" spans="1:32">
      <c r="A3496" t="s">
        <v>3546</v>
      </c>
      <c r="B3496" t="s">
        <v>11079</v>
      </c>
      <c r="C3496" t="s">
        <v>15594</v>
      </c>
      <c r="D3496" t="s">
        <v>16206</v>
      </c>
      <c r="E3496" t="s">
        <v>16218</v>
      </c>
      <c r="F3496" t="s">
        <v>16220</v>
      </c>
      <c r="G3496" t="s">
        <v>16275</v>
      </c>
      <c r="H3496" t="s">
        <v>16276</v>
      </c>
      <c r="I3496" t="s">
        <v>16352</v>
      </c>
      <c r="J3496" t="s">
        <v>16386</v>
      </c>
      <c r="K3496">
        <v>0.167</v>
      </c>
      <c r="L3496">
        <v>7280</v>
      </c>
      <c r="M3496">
        <v>2374</v>
      </c>
      <c r="N3496" t="s">
        <v>16393</v>
      </c>
      <c r="O3496" s="4">
        <v>43255</v>
      </c>
      <c r="P3496" s="4">
        <v>99716</v>
      </c>
      <c r="Q3496" s="4">
        <v>142971</v>
      </c>
      <c r="R3496" s="4">
        <v>428913</v>
      </c>
      <c r="S3496" t="s">
        <v>19808</v>
      </c>
      <c r="T3496" s="6">
        <v>43525</v>
      </c>
      <c r="U3496" s="4">
        <v>345500</v>
      </c>
      <c r="V3496" t="s">
        <v>23739</v>
      </c>
      <c r="W3496" t="s">
        <v>25490</v>
      </c>
      <c r="X3496" t="s">
        <v>3</v>
      </c>
      <c r="AA3496" s="5" t="str">
        <f>HYPERLINK("https://www.zillow.com/homes/1135-SELMA-LN-NAPERVILLE-IL-605400980_rb/","check listing")</f>
        <v>check listing</v>
      </c>
      <c r="AB3496" s="5" t="str">
        <f>HYPERLINK("https://propertylookup.dupagecounty.gov/Datalets/Datalet.aspx?UseSearch=no&amp;mode=sales&amp;pin=0727205012","sales record")</f>
        <v>sales record</v>
      </c>
      <c r="AC3496" t="s">
        <v>3</v>
      </c>
      <c r="AD3496">
        <v>41.749195</v>
      </c>
      <c r="AE3496">
        <v>-88.189739</v>
      </c>
      <c r="AF3496" s="5" t="str">
        <f>HYPERLINK("https://www.google.com/maps/search/?api=1&amp;query=41.749195,-88.189739","map")</f>
        <v>map</v>
      </c>
    </row>
    <row r="3497" spans="1:32">
      <c r="A3497" t="s">
        <v>3547</v>
      </c>
      <c r="B3497" t="s">
        <v>11080</v>
      </c>
      <c r="C3497" t="s">
        <v>15475</v>
      </c>
      <c r="D3497" t="s">
        <v>16206</v>
      </c>
      <c r="E3497" t="s">
        <v>16218</v>
      </c>
      <c r="F3497" t="s">
        <v>16220</v>
      </c>
      <c r="G3497" t="s">
        <v>16275</v>
      </c>
      <c r="H3497" t="s">
        <v>16276</v>
      </c>
      <c r="I3497" t="s">
        <v>16352</v>
      </c>
      <c r="J3497" t="s">
        <v>16386</v>
      </c>
      <c r="K3497">
        <v>0.167</v>
      </c>
      <c r="L3497">
        <v>7270</v>
      </c>
      <c r="M3497">
        <v>1814</v>
      </c>
      <c r="N3497" t="s">
        <v>16393</v>
      </c>
      <c r="O3497" s="4">
        <v>50993</v>
      </c>
      <c r="P3497" s="4">
        <v>139176</v>
      </c>
      <c r="Q3497" s="4">
        <v>190169</v>
      </c>
      <c r="R3497" s="4">
        <v>570507</v>
      </c>
      <c r="S3497" t="s">
        <v>19809</v>
      </c>
      <c r="T3497" s="6">
        <v>37956</v>
      </c>
      <c r="U3497" s="4">
        <v>293000</v>
      </c>
      <c r="V3497" t="s">
        <v>23739</v>
      </c>
      <c r="W3497" t="s">
        <v>19809</v>
      </c>
      <c r="X3497" t="s">
        <v>3</v>
      </c>
      <c r="AA3497" s="5" t="str">
        <f>HYPERLINK("https://www.zillow.com/homes/1116-MALLORY-CT-NAPERVILLE-IL-60540_rb/","check listing")</f>
        <v>check listing</v>
      </c>
      <c r="AB3497" s="5" t="str">
        <f>HYPERLINK("https://propertylookup.dupagecounty.gov/Datalets/Datalet.aspx?UseSearch=no&amp;mode=sales&amp;pin=0727206027","sales record")</f>
        <v>sales record</v>
      </c>
      <c r="AC3497" t="s">
        <v>3</v>
      </c>
      <c r="AD3497">
        <v>41.749619</v>
      </c>
      <c r="AE3497">
        <v>-88.191213</v>
      </c>
      <c r="AF3497" s="5" t="str">
        <f>HYPERLINK("https://www.google.com/maps/search/?api=1&amp;query=41.749619,-88.191213","map")</f>
        <v>map</v>
      </c>
    </row>
    <row r="3498" spans="1:32">
      <c r="A3498" t="s">
        <v>3548</v>
      </c>
      <c r="B3498" t="s">
        <v>11081</v>
      </c>
      <c r="C3498" t="s">
        <v>15475</v>
      </c>
      <c r="D3498" t="s">
        <v>16206</v>
      </c>
      <c r="E3498" t="s">
        <v>16218</v>
      </c>
      <c r="F3498" t="s">
        <v>16220</v>
      </c>
      <c r="G3498" t="s">
        <v>16275</v>
      </c>
      <c r="H3498" t="s">
        <v>16276</v>
      </c>
      <c r="I3498" t="s">
        <v>16352</v>
      </c>
      <c r="J3498" t="s">
        <v>16386</v>
      </c>
      <c r="K3498">
        <v>0.167</v>
      </c>
      <c r="L3498">
        <v>7266</v>
      </c>
      <c r="M3498">
        <v>1649</v>
      </c>
      <c r="N3498" t="s">
        <v>16393</v>
      </c>
      <c r="O3498" s="4">
        <v>52555</v>
      </c>
      <c r="P3498" s="4">
        <v>123944</v>
      </c>
      <c r="Q3498" s="4">
        <v>176499</v>
      </c>
      <c r="R3498" s="4">
        <v>529497</v>
      </c>
      <c r="S3498" t="s">
        <v>19810</v>
      </c>
      <c r="T3498" s="6">
        <v>35886</v>
      </c>
      <c r="U3498" s="4">
        <v>194000</v>
      </c>
      <c r="X3498" t="s">
        <v>3</v>
      </c>
      <c r="AA3498" s="5" t="str">
        <f>HYPERLINK("https://www.zillow.com/homes/1108-WILLARD-CT-NAPERVILLE-IL-60540_rb/","check listing")</f>
        <v>check listing</v>
      </c>
      <c r="AB3498" s="5" t="str">
        <f>HYPERLINK("https://propertylookup.dupagecounty.gov/Datalets/Datalet.aspx?UseSearch=no&amp;mode=sales&amp;pin=0727203015","sales record")</f>
        <v>sales record</v>
      </c>
      <c r="AC3498" t="s">
        <v>3</v>
      </c>
      <c r="AD3498">
        <v>41.750613</v>
      </c>
      <c r="AE3498">
        <v>-88.186741</v>
      </c>
      <c r="AF3498" s="5" t="str">
        <f>HYPERLINK("https://www.google.com/maps/search/?api=1&amp;query=41.750613,-88.186741","map")</f>
        <v>map</v>
      </c>
    </row>
    <row r="3499" spans="1:32">
      <c r="A3499" t="s">
        <v>3549</v>
      </c>
      <c r="B3499" t="s">
        <v>11082</v>
      </c>
      <c r="C3499" t="s">
        <v>15475</v>
      </c>
      <c r="D3499" t="s">
        <v>16206</v>
      </c>
      <c r="E3499" t="s">
        <v>16218</v>
      </c>
      <c r="F3499" t="s">
        <v>16220</v>
      </c>
      <c r="G3499" t="s">
        <v>16275</v>
      </c>
      <c r="H3499" t="s">
        <v>16276</v>
      </c>
      <c r="I3499" t="s">
        <v>16352</v>
      </c>
      <c r="J3499" t="s">
        <v>16386</v>
      </c>
      <c r="K3499">
        <v>0.167</v>
      </c>
      <c r="L3499">
        <v>7265</v>
      </c>
      <c r="M3499">
        <v>1319</v>
      </c>
      <c r="N3499" t="s">
        <v>16393</v>
      </c>
      <c r="O3499" s="4">
        <v>49444</v>
      </c>
      <c r="P3499" s="4">
        <v>122882</v>
      </c>
      <c r="Q3499" s="4">
        <v>172326</v>
      </c>
      <c r="R3499" s="4">
        <v>516978</v>
      </c>
      <c r="S3499" t="s">
        <v>19811</v>
      </c>
      <c r="T3499" s="6">
        <v>41365</v>
      </c>
      <c r="U3499" s="4">
        <v>280000</v>
      </c>
      <c r="V3499" t="s">
        <v>23739</v>
      </c>
      <c r="W3499" t="s">
        <v>25491</v>
      </c>
      <c r="X3499" t="s">
        <v>3</v>
      </c>
      <c r="AA3499" s="5" t="str">
        <f>HYPERLINK("https://www.zillow.com/homes/1028-LAKEWOOD-CIR-NAPERVILLE-IL-60540_rb/","check listing")</f>
        <v>check listing</v>
      </c>
      <c r="AB3499" s="5" t="str">
        <f>HYPERLINK("https://propertylookup.dupagecounty.gov/Datalets/Datalet.aspx?UseSearch=no&amp;mode=sales&amp;pin=0727206006","sales record")</f>
        <v>sales record</v>
      </c>
      <c r="AC3499" t="s">
        <v>3</v>
      </c>
      <c r="AD3499">
        <v>41.75003</v>
      </c>
      <c r="AE3499">
        <v>-88.19376200000001</v>
      </c>
      <c r="AF3499" s="5" t="str">
        <f>HYPERLINK("https://www.google.com/maps/search/?api=1&amp;query=41.75003,-88.193762","map")</f>
        <v>map</v>
      </c>
    </row>
    <row r="3500" spans="1:32">
      <c r="A3500" t="s">
        <v>3550</v>
      </c>
      <c r="B3500" t="s">
        <v>11083</v>
      </c>
      <c r="C3500" t="s">
        <v>15475</v>
      </c>
      <c r="D3500" t="s">
        <v>16206</v>
      </c>
      <c r="E3500" t="s">
        <v>16218</v>
      </c>
      <c r="F3500" t="s">
        <v>16220</v>
      </c>
      <c r="G3500" t="s">
        <v>16275</v>
      </c>
      <c r="H3500" t="s">
        <v>16276</v>
      </c>
      <c r="I3500" t="s">
        <v>16352</v>
      </c>
      <c r="J3500" t="s">
        <v>16386</v>
      </c>
      <c r="K3500">
        <v>0.167</v>
      </c>
      <c r="L3500">
        <v>7262</v>
      </c>
      <c r="M3500">
        <v>2312</v>
      </c>
      <c r="N3500" t="s">
        <v>16393</v>
      </c>
      <c r="O3500" s="4">
        <v>47905</v>
      </c>
      <c r="P3500" s="4">
        <v>137113</v>
      </c>
      <c r="Q3500" s="4">
        <v>185018</v>
      </c>
      <c r="R3500" s="4">
        <v>555054</v>
      </c>
      <c r="S3500" t="s">
        <v>19812</v>
      </c>
      <c r="T3500" s="6">
        <v>35278</v>
      </c>
      <c r="U3500" s="4">
        <v>215000</v>
      </c>
      <c r="X3500" t="s">
        <v>3</v>
      </c>
      <c r="AA3500" s="5" t="str">
        <f>HYPERLINK("https://www.zillow.com/homes/604-WINTERGREEN-CIR-NAPERVILLE-IL-60540_rb/","check listing")</f>
        <v>check listing</v>
      </c>
      <c r="AB3500" s="5" t="str">
        <f>HYPERLINK("https://propertylookup.dupagecounty.gov/Datalets/Datalet.aspx?UseSearch=no&amp;mode=sales&amp;pin=0722405017","sales record")</f>
        <v>sales record</v>
      </c>
      <c r="AC3500" t="s">
        <v>3</v>
      </c>
      <c r="AD3500">
        <v>41.760034</v>
      </c>
      <c r="AE3500">
        <v>-88.192595</v>
      </c>
      <c r="AF3500" s="5" t="str">
        <f>HYPERLINK("https://www.google.com/maps/search/?api=1&amp;query=41.760034,-88.192595","map")</f>
        <v>map</v>
      </c>
    </row>
    <row r="3501" spans="1:32">
      <c r="A3501" t="s">
        <v>3551</v>
      </c>
      <c r="B3501" t="s">
        <v>11084</v>
      </c>
      <c r="C3501" t="s">
        <v>15475</v>
      </c>
      <c r="D3501" t="s">
        <v>16206</v>
      </c>
      <c r="E3501" t="s">
        <v>16218</v>
      </c>
      <c r="F3501" t="s">
        <v>16220</v>
      </c>
      <c r="G3501" t="s">
        <v>16276</v>
      </c>
      <c r="H3501" t="s">
        <v>16276</v>
      </c>
      <c r="I3501" t="s">
        <v>16352</v>
      </c>
      <c r="J3501" t="s">
        <v>16386</v>
      </c>
      <c r="K3501">
        <v>0.167</v>
      </c>
      <c r="L3501">
        <v>7258</v>
      </c>
      <c r="M3501">
        <v>1995</v>
      </c>
      <c r="N3501" t="s">
        <v>16393</v>
      </c>
      <c r="O3501" s="4">
        <v>43255</v>
      </c>
      <c r="P3501" s="4">
        <v>105832</v>
      </c>
      <c r="Q3501" s="4">
        <v>149087</v>
      </c>
      <c r="R3501" s="4">
        <v>447261</v>
      </c>
      <c r="S3501" t="s">
        <v>19813</v>
      </c>
      <c r="T3501" s="6">
        <v>34912</v>
      </c>
      <c r="U3501" s="4">
        <v>166225</v>
      </c>
      <c r="X3501" t="s">
        <v>3</v>
      </c>
      <c r="AA3501" s="5" t="str">
        <f>HYPERLINK("https://www.zillow.com/homes/1003-MEAGAN-CT-NAPERVILLE-IL-60540_rb/","check listing")</f>
        <v>check listing</v>
      </c>
      <c r="AB3501" s="5" t="str">
        <f>HYPERLINK("https://propertylookup.dupagecounty.gov/Datalets/Datalet.aspx?UseSearch=no&amp;mode=sales&amp;pin=0727205056","sales record")</f>
        <v>sales record</v>
      </c>
      <c r="AC3501" t="s">
        <v>3</v>
      </c>
      <c r="AD3501">
        <v>41.75229</v>
      </c>
      <c r="AE3501">
        <v>-88.191176</v>
      </c>
      <c r="AF3501" s="5" t="str">
        <f>HYPERLINK("https://www.google.com/maps/search/?api=1&amp;query=41.75229,-88.191176","map")</f>
        <v>map</v>
      </c>
    </row>
    <row r="3502" spans="1:32">
      <c r="A3502" t="s">
        <v>3552</v>
      </c>
      <c r="B3502" t="s">
        <v>11085</v>
      </c>
      <c r="C3502" t="s">
        <v>15577</v>
      </c>
      <c r="D3502" t="s">
        <v>16206</v>
      </c>
      <c r="E3502" t="s">
        <v>16218</v>
      </c>
      <c r="F3502" t="s">
        <v>16220</v>
      </c>
      <c r="G3502" t="s">
        <v>16269</v>
      </c>
      <c r="H3502" t="s">
        <v>16269</v>
      </c>
      <c r="I3502" t="s">
        <v>16352</v>
      </c>
      <c r="J3502" t="s">
        <v>16386</v>
      </c>
      <c r="K3502">
        <v>0.167</v>
      </c>
      <c r="L3502">
        <v>7256</v>
      </c>
      <c r="M3502">
        <v>2165</v>
      </c>
      <c r="N3502" t="s">
        <v>16393</v>
      </c>
      <c r="O3502" s="4">
        <v>71707</v>
      </c>
      <c r="P3502" s="4">
        <v>114671</v>
      </c>
      <c r="Q3502" s="4">
        <v>186378</v>
      </c>
      <c r="R3502" s="4">
        <v>559134</v>
      </c>
      <c r="S3502" t="s">
        <v>19814</v>
      </c>
      <c r="T3502" s="6">
        <v>38808</v>
      </c>
      <c r="U3502" s="4">
        <v>395000</v>
      </c>
      <c r="V3502" t="s">
        <v>23739</v>
      </c>
      <c r="W3502" t="s">
        <v>25492</v>
      </c>
      <c r="X3502" t="s">
        <v>3</v>
      </c>
      <c r="AA3502" s="5" t="str">
        <f>HYPERLINK("https://www.zillow.com/homes/471-BOURBON-LN-NAPERVILLE-IL-605654401_rb/","check listing")</f>
        <v>check listing</v>
      </c>
      <c r="AB3502" s="5" t="str">
        <f>HYPERLINK("https://propertylookup.dupagecounty.gov/Datalets/Datalet.aspx?UseSearch=no&amp;mode=sales&amp;pin=0832115039","sales record")</f>
        <v>sales record</v>
      </c>
      <c r="AC3502" t="s">
        <v>3</v>
      </c>
      <c r="AD3502">
        <v>41.735288</v>
      </c>
      <c r="AE3502">
        <v>-88.120035</v>
      </c>
      <c r="AF3502" s="5" t="str">
        <f>HYPERLINK("https://www.google.com/maps/search/?api=1&amp;query=41.735288,-88.120035","map")</f>
        <v>map</v>
      </c>
    </row>
    <row r="3503" spans="1:32">
      <c r="A3503" t="s">
        <v>3553</v>
      </c>
      <c r="B3503" t="s">
        <v>11086</v>
      </c>
      <c r="C3503" t="s">
        <v>15475</v>
      </c>
      <c r="D3503" t="s">
        <v>16206</v>
      </c>
      <c r="E3503" t="s">
        <v>16218</v>
      </c>
      <c r="F3503" t="s">
        <v>16220</v>
      </c>
      <c r="G3503" t="s">
        <v>16276</v>
      </c>
      <c r="H3503" t="s">
        <v>16276</v>
      </c>
      <c r="I3503" t="s">
        <v>16352</v>
      </c>
      <c r="J3503" t="s">
        <v>16386</v>
      </c>
      <c r="K3503">
        <v>0.167</v>
      </c>
      <c r="L3503">
        <v>7255</v>
      </c>
      <c r="M3503">
        <v>1269</v>
      </c>
      <c r="N3503" t="s">
        <v>16393</v>
      </c>
      <c r="O3503" s="4">
        <v>50993</v>
      </c>
      <c r="P3503" s="4">
        <v>100045</v>
      </c>
      <c r="Q3503" s="4">
        <v>151038</v>
      </c>
      <c r="R3503" s="4">
        <v>453114</v>
      </c>
      <c r="S3503" t="s">
        <v>19815</v>
      </c>
      <c r="T3503" s="6">
        <v>34912</v>
      </c>
      <c r="U3503" s="4">
        <v>165385</v>
      </c>
      <c r="X3503" t="s">
        <v>3</v>
      </c>
      <c r="AA3503" s="5" t="str">
        <f>HYPERLINK("https://www.zillow.com/homes/1023-MEAGAN-CT-NAPERVILLE-IL-60540_rb/","check listing")</f>
        <v>check listing</v>
      </c>
      <c r="AB3503" s="5" t="str">
        <f>HYPERLINK("https://propertylookup.dupagecounty.gov/Datalets/Datalet.aspx?UseSearch=no&amp;mode=sales&amp;pin=0727205051","sales record")</f>
        <v>sales record</v>
      </c>
      <c r="AC3503" t="s">
        <v>3</v>
      </c>
      <c r="AD3503">
        <v>41.751474</v>
      </c>
      <c r="AE3503">
        <v>-88.19117799999999</v>
      </c>
      <c r="AF3503" s="5" t="str">
        <f>HYPERLINK("https://www.google.com/maps/search/?api=1&amp;query=41.751474,-88.191178","map")</f>
        <v>map</v>
      </c>
    </row>
    <row r="3504" spans="1:32">
      <c r="A3504" t="s">
        <v>3554</v>
      </c>
      <c r="B3504" t="s">
        <v>11087</v>
      </c>
      <c r="C3504" t="s">
        <v>15535</v>
      </c>
      <c r="D3504" t="s">
        <v>16206</v>
      </c>
      <c r="E3504" t="s">
        <v>16218</v>
      </c>
      <c r="F3504" t="s">
        <v>16220</v>
      </c>
      <c r="G3504" t="s">
        <v>16275</v>
      </c>
      <c r="H3504" t="s">
        <v>16276</v>
      </c>
      <c r="I3504" t="s">
        <v>16352</v>
      </c>
      <c r="J3504" t="s">
        <v>16386</v>
      </c>
      <c r="K3504">
        <v>0.166</v>
      </c>
      <c r="L3504">
        <v>7251</v>
      </c>
      <c r="M3504">
        <v>2233</v>
      </c>
      <c r="N3504" t="s">
        <v>16393</v>
      </c>
      <c r="O3504" s="4">
        <v>46367</v>
      </c>
      <c r="P3504" s="4">
        <v>134208</v>
      </c>
      <c r="Q3504" s="4">
        <v>180575</v>
      </c>
      <c r="R3504" s="4">
        <v>541725</v>
      </c>
      <c r="S3504" t="s">
        <v>19816</v>
      </c>
      <c r="T3504" s="6">
        <v>43221</v>
      </c>
      <c r="U3504" s="4">
        <v>400900</v>
      </c>
      <c r="V3504" t="s">
        <v>23739</v>
      </c>
      <c r="W3504" t="s">
        <v>19816</v>
      </c>
      <c r="X3504" t="s">
        <v>3</v>
      </c>
      <c r="AA3504" s="5" t="str">
        <f>HYPERLINK("https://www.zillow.com/homes/1131-HANNAH-CT-NAPERVILLE-IL-605400978_rb/","check listing")</f>
        <v>check listing</v>
      </c>
      <c r="AB3504" s="5" t="str">
        <f>HYPERLINK("https://propertylookup.dupagecounty.gov/Datalets/Datalet.aspx?UseSearch=no&amp;mode=sales&amp;pin=0727204022","sales record")</f>
        <v>sales record</v>
      </c>
      <c r="AC3504" t="s">
        <v>3</v>
      </c>
      <c r="AD3504">
        <v>41.749378</v>
      </c>
      <c r="AE3504">
        <v>-88.18846000000001</v>
      </c>
      <c r="AF3504" s="5" t="str">
        <f>HYPERLINK("https://www.google.com/maps/search/?api=1&amp;query=41.749378,-88.18846","map")</f>
        <v>map</v>
      </c>
    </row>
    <row r="3505" spans="1:32">
      <c r="A3505" t="s">
        <v>3555</v>
      </c>
      <c r="B3505" t="s">
        <v>11088</v>
      </c>
      <c r="C3505" t="s">
        <v>15579</v>
      </c>
      <c r="D3505" t="s">
        <v>16206</v>
      </c>
      <c r="E3505" t="s">
        <v>16218</v>
      </c>
      <c r="F3505" t="s">
        <v>16220</v>
      </c>
      <c r="G3505" t="s">
        <v>16274</v>
      </c>
      <c r="H3505" t="s">
        <v>16269</v>
      </c>
      <c r="I3505" t="s">
        <v>16352</v>
      </c>
      <c r="J3505" t="s">
        <v>16386</v>
      </c>
      <c r="K3505">
        <v>0.166</v>
      </c>
      <c r="L3505">
        <v>7244</v>
      </c>
      <c r="M3505">
        <v>2143</v>
      </c>
      <c r="N3505" t="s">
        <v>16393</v>
      </c>
      <c r="O3505" s="4">
        <v>48576</v>
      </c>
      <c r="P3505" s="4">
        <v>81738</v>
      </c>
      <c r="Q3505" s="4">
        <v>130314</v>
      </c>
      <c r="R3505" s="4">
        <v>390942</v>
      </c>
      <c r="S3505" t="s">
        <v>19817</v>
      </c>
      <c r="T3505" s="6">
        <v>44348</v>
      </c>
      <c r="U3505" s="4">
        <v>335000</v>
      </c>
      <c r="V3505" t="s">
        <v>23739</v>
      </c>
      <c r="W3505" t="s">
        <v>25493</v>
      </c>
      <c r="X3505" t="s">
        <v>3</v>
      </c>
      <c r="AA3505" s="5" t="str">
        <f>HYPERLINK("https://www.zillow.com/homes/1577-HINTERLONG-LN-NAPERVILLE-IL-605630463_rb/","check listing")</f>
        <v>check listing</v>
      </c>
      <c r="AB3505" s="5" t="str">
        <f>HYPERLINK("https://propertylookup.dupagecounty.gov/Datalets/Datalet.aspx?UseSearch=no&amp;mode=sales&amp;pin=0715205020","sales record")</f>
        <v>sales record</v>
      </c>
      <c r="AC3505" t="s">
        <v>3</v>
      </c>
      <c r="AD3505">
        <v>41.781286</v>
      </c>
      <c r="AE3505">
        <v>-88.189876</v>
      </c>
      <c r="AF3505" s="5" t="str">
        <f>HYPERLINK("https://www.google.com/maps/search/?api=1&amp;query=41.781286,-88.189876","map")</f>
        <v>map</v>
      </c>
    </row>
    <row r="3506" spans="1:32">
      <c r="A3506" t="s">
        <v>3556</v>
      </c>
      <c r="B3506" t="s">
        <v>11089</v>
      </c>
      <c r="C3506" t="s">
        <v>15475</v>
      </c>
      <c r="D3506" t="s">
        <v>16206</v>
      </c>
      <c r="E3506" t="s">
        <v>16218</v>
      </c>
      <c r="F3506" t="s">
        <v>16220</v>
      </c>
      <c r="G3506" t="s">
        <v>16275</v>
      </c>
      <c r="H3506" t="s">
        <v>16276</v>
      </c>
      <c r="I3506" t="s">
        <v>16352</v>
      </c>
      <c r="J3506" t="s">
        <v>16386</v>
      </c>
      <c r="K3506">
        <v>0.166</v>
      </c>
      <c r="L3506">
        <v>7240</v>
      </c>
      <c r="M3506">
        <v>2307</v>
      </c>
      <c r="N3506" t="s">
        <v>16393</v>
      </c>
      <c r="O3506" s="4">
        <v>52690</v>
      </c>
      <c r="P3506" s="4">
        <v>141275</v>
      </c>
      <c r="Q3506" s="4">
        <v>193965</v>
      </c>
      <c r="R3506" s="4">
        <v>581895</v>
      </c>
      <c r="S3506" t="s">
        <v>19818</v>
      </c>
      <c r="T3506" s="6">
        <v>36678</v>
      </c>
      <c r="U3506" s="4">
        <v>257000</v>
      </c>
      <c r="V3506" t="s">
        <v>23739</v>
      </c>
      <c r="W3506" t="s">
        <v>25494</v>
      </c>
      <c r="X3506" t="s">
        <v>3</v>
      </c>
      <c r="AA3506" s="5" t="str">
        <f>HYPERLINK("https://www.zillow.com/homes/708-BONESET-CIR-NAPERVILLE-IL-60540_rb/","check listing")</f>
        <v>check listing</v>
      </c>
      <c r="AB3506" s="5" t="str">
        <f>HYPERLINK("https://propertylookup.dupagecounty.gov/Datalets/Datalet.aspx?UseSearch=no&amp;mode=sales&amp;pin=0722406021","sales record")</f>
        <v>sales record</v>
      </c>
      <c r="AC3506" t="s">
        <v>3</v>
      </c>
      <c r="AD3506">
        <v>41.758706</v>
      </c>
      <c r="AE3506">
        <v>-88.194451</v>
      </c>
      <c r="AF3506" s="5" t="str">
        <f>HYPERLINK("https://www.google.com/maps/search/?api=1&amp;query=41.758706,-88.194451","map")</f>
        <v>map</v>
      </c>
    </row>
    <row r="3507" spans="1:32">
      <c r="A3507" t="s">
        <v>3557</v>
      </c>
      <c r="B3507" t="s">
        <v>11090</v>
      </c>
      <c r="C3507" t="s">
        <v>15475</v>
      </c>
      <c r="D3507" t="s">
        <v>16206</v>
      </c>
      <c r="E3507" t="s">
        <v>16218</v>
      </c>
      <c r="F3507" t="s">
        <v>16220</v>
      </c>
      <c r="G3507" t="s">
        <v>16276</v>
      </c>
      <c r="H3507" t="s">
        <v>16276</v>
      </c>
      <c r="I3507" t="s">
        <v>16352</v>
      </c>
      <c r="J3507" t="s">
        <v>16386</v>
      </c>
      <c r="K3507">
        <v>0.166</v>
      </c>
      <c r="L3507">
        <v>7237</v>
      </c>
      <c r="M3507">
        <v>1583</v>
      </c>
      <c r="N3507" t="s">
        <v>16393</v>
      </c>
      <c r="O3507" s="4">
        <v>43255</v>
      </c>
      <c r="P3507" s="4">
        <v>88232</v>
      </c>
      <c r="Q3507" s="4">
        <v>131487</v>
      </c>
      <c r="R3507" s="4">
        <v>394461</v>
      </c>
      <c r="S3507" t="s">
        <v>19819</v>
      </c>
      <c r="T3507" s="6">
        <v>45952</v>
      </c>
      <c r="U3507" s="4">
        <v>420000</v>
      </c>
      <c r="V3507" t="s">
        <v>23739</v>
      </c>
      <c r="W3507" t="s">
        <v>25495</v>
      </c>
      <c r="X3507" t="s">
        <v>3</v>
      </c>
      <c r="AA3507" s="5" t="str">
        <f>HYPERLINK("https://www.zillow.com/homes/939-LOWELL-LN-NAPERVILLE-IL-60540_rb/","check listing")</f>
        <v>check listing</v>
      </c>
      <c r="AB3507" s="5" t="str">
        <f>HYPERLINK("https://propertylookup.dupagecounty.gov/Datalets/Datalet.aspx?UseSearch=no&amp;mode=sales&amp;pin=0727209021","sales record")</f>
        <v>sales record</v>
      </c>
      <c r="AC3507" t="s">
        <v>3</v>
      </c>
      <c r="AD3507">
        <v>41.752924</v>
      </c>
      <c r="AE3507">
        <v>-88.189674</v>
      </c>
      <c r="AF3507" s="5" t="str">
        <f>HYPERLINK("https://www.google.com/maps/search/?api=1&amp;query=41.752924,-88.189674","map")</f>
        <v>map</v>
      </c>
    </row>
    <row r="3508" spans="1:32">
      <c r="A3508" t="s">
        <v>3558</v>
      </c>
      <c r="B3508" t="s">
        <v>11091</v>
      </c>
      <c r="C3508" t="s">
        <v>15478</v>
      </c>
      <c r="D3508" t="s">
        <v>16206</v>
      </c>
      <c r="E3508" t="s">
        <v>16218</v>
      </c>
      <c r="F3508" t="s">
        <v>16220</v>
      </c>
      <c r="G3508" t="s">
        <v>16274</v>
      </c>
      <c r="H3508" t="s">
        <v>16269</v>
      </c>
      <c r="I3508" t="s">
        <v>16352</v>
      </c>
      <c r="J3508" t="s">
        <v>16386</v>
      </c>
      <c r="K3508">
        <v>0.166</v>
      </c>
      <c r="L3508">
        <v>7236</v>
      </c>
      <c r="M3508">
        <v>1982</v>
      </c>
      <c r="N3508" t="s">
        <v>16393</v>
      </c>
      <c r="O3508" s="4">
        <v>48576</v>
      </c>
      <c r="P3508" s="4">
        <v>118671</v>
      </c>
      <c r="Q3508" s="4">
        <v>167247</v>
      </c>
      <c r="R3508" s="4">
        <v>501741</v>
      </c>
      <c r="S3508" t="s">
        <v>19820</v>
      </c>
      <c r="T3508" s="6">
        <v>44501</v>
      </c>
      <c r="U3508" s="4">
        <v>425900</v>
      </c>
      <c r="V3508" t="s">
        <v>23739</v>
      </c>
      <c r="W3508" t="s">
        <v>19820</v>
      </c>
      <c r="X3508" t="s">
        <v>3</v>
      </c>
      <c r="AA3508" s="5" t="str">
        <f>HYPERLINK("https://www.zillow.com/homes/1581-HINTERLONG-LN-NAPERVILLE-IL-60563_rb/","check listing")</f>
        <v>check listing</v>
      </c>
      <c r="AB3508" s="5" t="str">
        <f>HYPERLINK("https://propertylookup.dupagecounty.gov/Datalets/Datalet.aspx?UseSearch=no&amp;mode=sales&amp;pin=0715205019","sales record")</f>
        <v>sales record</v>
      </c>
      <c r="AC3508" t="s">
        <v>3</v>
      </c>
      <c r="AD3508">
        <v>41.781091</v>
      </c>
      <c r="AE3508">
        <v>-88.18991699999999</v>
      </c>
      <c r="AF3508" s="5" t="str">
        <f>HYPERLINK("https://www.google.com/maps/search/?api=1&amp;query=41.781091,-88.189917","map")</f>
        <v>map</v>
      </c>
    </row>
    <row r="3509" spans="1:32">
      <c r="A3509" t="s">
        <v>3559</v>
      </c>
      <c r="B3509" t="s">
        <v>11092</v>
      </c>
      <c r="C3509" t="s">
        <v>15581</v>
      </c>
      <c r="D3509" t="s">
        <v>16206</v>
      </c>
      <c r="E3509" t="s">
        <v>16218</v>
      </c>
      <c r="F3509" t="s">
        <v>16220</v>
      </c>
      <c r="G3509" t="s">
        <v>16275</v>
      </c>
      <c r="H3509" t="s">
        <v>16276</v>
      </c>
      <c r="I3509" t="s">
        <v>16352</v>
      </c>
      <c r="J3509" t="s">
        <v>16386</v>
      </c>
      <c r="K3509">
        <v>0.166</v>
      </c>
      <c r="L3509">
        <v>7222</v>
      </c>
      <c r="M3509">
        <v>2211</v>
      </c>
      <c r="N3509" t="s">
        <v>16393</v>
      </c>
      <c r="O3509" s="4">
        <v>50993</v>
      </c>
      <c r="P3509" s="4">
        <v>121466</v>
      </c>
      <c r="Q3509" s="4">
        <v>172459</v>
      </c>
      <c r="R3509" s="4">
        <v>517377</v>
      </c>
      <c r="S3509" t="s">
        <v>19821</v>
      </c>
      <c r="T3509" s="6">
        <v>42186</v>
      </c>
      <c r="U3509" s="4">
        <v>365000</v>
      </c>
      <c r="V3509" t="s">
        <v>23739</v>
      </c>
      <c r="W3509" t="s">
        <v>25496</v>
      </c>
      <c r="X3509" t="s">
        <v>3</v>
      </c>
      <c r="AA3509" s="5" t="str">
        <f>HYPERLINK("https://www.zillow.com/homes/1135-LAKEWOOD-CIR-NAPERVILLE-IL-605400999_rb/","check listing")</f>
        <v>check listing</v>
      </c>
      <c r="AB3509" s="5" t="str">
        <f>HYPERLINK("https://propertylookup.dupagecounty.gov/Datalets/Datalet.aspx?UseSearch=no&amp;mode=sales&amp;pin=0727205024","sales record")</f>
        <v>sales record</v>
      </c>
      <c r="AC3509" t="s">
        <v>3</v>
      </c>
      <c r="AD3509">
        <v>41.750858</v>
      </c>
      <c r="AE3509">
        <v>-88.19093599999999</v>
      </c>
      <c r="AF3509" s="5" t="str">
        <f>HYPERLINK("https://www.google.com/maps/search/?api=1&amp;query=41.750858,-88.190936","map")</f>
        <v>map</v>
      </c>
    </row>
    <row r="3510" spans="1:32">
      <c r="A3510" t="s">
        <v>3560</v>
      </c>
      <c r="B3510" t="s">
        <v>11093</v>
      </c>
      <c r="C3510" t="s">
        <v>15478</v>
      </c>
      <c r="D3510" t="s">
        <v>16206</v>
      </c>
      <c r="E3510" t="s">
        <v>16218</v>
      </c>
      <c r="F3510" t="s">
        <v>16220</v>
      </c>
      <c r="G3510" t="s">
        <v>16274</v>
      </c>
      <c r="H3510" t="s">
        <v>16269</v>
      </c>
      <c r="I3510" t="s">
        <v>16352</v>
      </c>
      <c r="J3510" t="s">
        <v>16386</v>
      </c>
      <c r="K3510">
        <v>0.166</v>
      </c>
      <c r="L3510">
        <v>7219</v>
      </c>
      <c r="M3510">
        <v>1994</v>
      </c>
      <c r="N3510" t="s">
        <v>16393</v>
      </c>
      <c r="O3510" s="4">
        <v>48576</v>
      </c>
      <c r="P3510" s="4">
        <v>109285</v>
      </c>
      <c r="Q3510" s="4">
        <v>157861</v>
      </c>
      <c r="R3510" s="4">
        <v>473583</v>
      </c>
      <c r="S3510" t="s">
        <v>19822</v>
      </c>
      <c r="T3510" s="6">
        <v>38108</v>
      </c>
      <c r="U3510" s="4">
        <v>275000</v>
      </c>
      <c r="V3510" t="s">
        <v>23739</v>
      </c>
      <c r="W3510" t="s">
        <v>25497</v>
      </c>
      <c r="X3510" t="s">
        <v>3</v>
      </c>
      <c r="AA3510" s="5" t="str">
        <f>HYPERLINK("https://www.zillow.com/homes/1661-HINTERLONG-LN-NAPERVILLE-IL-60563_rb/","check listing")</f>
        <v>check listing</v>
      </c>
      <c r="AB3510" s="5" t="str">
        <f>HYPERLINK("https://propertylookup.dupagecounty.gov/Datalets/Datalet.aspx?UseSearch=no&amp;mode=sales&amp;pin=0715203008","sales record")</f>
        <v>sales record</v>
      </c>
      <c r="AC3510" t="s">
        <v>3</v>
      </c>
      <c r="AD3510">
        <v>41.781999</v>
      </c>
      <c r="AE3510">
        <v>-88.19330100000001</v>
      </c>
      <c r="AF3510" s="5" t="str">
        <f>HYPERLINK("https://www.google.com/maps/search/?api=1&amp;query=41.781999,-88.193301","map")</f>
        <v>map</v>
      </c>
    </row>
    <row r="3511" spans="1:32">
      <c r="A3511" t="s">
        <v>3561</v>
      </c>
      <c r="B3511" t="s">
        <v>11094</v>
      </c>
      <c r="C3511" t="s">
        <v>15476</v>
      </c>
      <c r="D3511" t="s">
        <v>16206</v>
      </c>
      <c r="E3511" t="s">
        <v>16218</v>
      </c>
      <c r="F3511" t="s">
        <v>16220</v>
      </c>
      <c r="G3511" t="s">
        <v>16269</v>
      </c>
      <c r="H3511" t="s">
        <v>16269</v>
      </c>
      <c r="I3511" t="s">
        <v>16352</v>
      </c>
      <c r="J3511" t="s">
        <v>16386</v>
      </c>
      <c r="K3511">
        <v>0.166</v>
      </c>
      <c r="L3511">
        <v>7210</v>
      </c>
      <c r="M3511">
        <v>1891</v>
      </c>
      <c r="N3511" t="s">
        <v>16393</v>
      </c>
      <c r="O3511" s="4">
        <v>74929</v>
      </c>
      <c r="P3511" s="4">
        <v>99176</v>
      </c>
      <c r="Q3511" s="4">
        <v>174105</v>
      </c>
      <c r="R3511" s="4">
        <v>522315</v>
      </c>
      <c r="S3511" t="s">
        <v>19823</v>
      </c>
      <c r="T3511" s="6">
        <v>44911</v>
      </c>
      <c r="U3511" s="4">
        <v>462500</v>
      </c>
      <c r="V3511" t="s">
        <v>23739</v>
      </c>
      <c r="W3511" t="s">
        <v>25498</v>
      </c>
      <c r="X3511" t="s">
        <v>3</v>
      </c>
      <c r="AA3511" s="5" t="str">
        <f>HYPERLINK("https://www.zillow.com/homes/1807-RAMPART-CT-NAPERVILLE-IL-60565_rb/","check listing")</f>
        <v>check listing</v>
      </c>
      <c r="AB3511" s="5" t="str">
        <f>HYPERLINK("https://propertylookup.dupagecounty.gov/Datalets/Datalet.aspx?UseSearch=no&amp;mode=sales&amp;pin=0832117020","sales record")</f>
        <v>sales record</v>
      </c>
      <c r="AC3511" t="s">
        <v>3</v>
      </c>
      <c r="AD3511">
        <v>41.734773</v>
      </c>
      <c r="AE3511">
        <v>-88.119373</v>
      </c>
      <c r="AF3511" s="5" t="str">
        <f>HYPERLINK("https://www.google.com/maps/search/?api=1&amp;query=41.734773,-88.119373","map")</f>
        <v>map</v>
      </c>
    </row>
    <row r="3512" spans="1:32">
      <c r="A3512" t="s">
        <v>3562</v>
      </c>
      <c r="B3512" t="s">
        <v>11095</v>
      </c>
      <c r="C3512" t="s">
        <v>15475</v>
      </c>
      <c r="D3512" t="s">
        <v>16206</v>
      </c>
      <c r="E3512" t="s">
        <v>16218</v>
      </c>
      <c r="F3512" t="s">
        <v>16220</v>
      </c>
      <c r="G3512" t="s">
        <v>16276</v>
      </c>
      <c r="H3512" t="s">
        <v>16276</v>
      </c>
      <c r="I3512" t="s">
        <v>16352</v>
      </c>
      <c r="J3512" t="s">
        <v>16386</v>
      </c>
      <c r="K3512">
        <v>0.165</v>
      </c>
      <c r="L3512">
        <v>7209</v>
      </c>
      <c r="M3512">
        <v>2078</v>
      </c>
      <c r="N3512" t="s">
        <v>16393</v>
      </c>
      <c r="O3512" s="4">
        <v>49444</v>
      </c>
      <c r="P3512" s="4">
        <v>107723</v>
      </c>
      <c r="Q3512" s="4">
        <v>157167</v>
      </c>
      <c r="R3512" s="4">
        <v>471501</v>
      </c>
      <c r="S3512" t="s">
        <v>19824</v>
      </c>
      <c r="T3512" s="6">
        <v>42156</v>
      </c>
      <c r="U3512" s="4">
        <v>279500</v>
      </c>
      <c r="V3512" t="s">
        <v>23739</v>
      </c>
      <c r="W3512" t="s">
        <v>25499</v>
      </c>
      <c r="X3512" t="s">
        <v>3</v>
      </c>
      <c r="AA3512" s="5" t="str">
        <f>HYPERLINK("https://www.zillow.com/homes/1063-SELMA-LN-NAPERVILLE-IL-60540_rb/","check listing")</f>
        <v>check listing</v>
      </c>
      <c r="AB3512" s="5" t="str">
        <f>HYPERLINK("https://propertylookup.dupagecounty.gov/Datalets/Datalet.aspx?UseSearch=no&amp;mode=sales&amp;pin=0727205037","sales record")</f>
        <v>sales record</v>
      </c>
      <c r="AC3512" t="s">
        <v>3</v>
      </c>
      <c r="AD3512">
        <v>41.7519</v>
      </c>
      <c r="AE3512">
        <v>-88.19002399999999</v>
      </c>
      <c r="AF3512" s="5" t="str">
        <f>HYPERLINK("https://www.google.com/maps/search/?api=1&amp;query=41.7519,-88.190024","map")</f>
        <v>map</v>
      </c>
    </row>
    <row r="3513" spans="1:32">
      <c r="A3513" t="s">
        <v>3563</v>
      </c>
      <c r="B3513" t="s">
        <v>11096</v>
      </c>
      <c r="C3513" t="s">
        <v>15478</v>
      </c>
      <c r="D3513" t="s">
        <v>16206</v>
      </c>
      <c r="E3513" t="s">
        <v>16218</v>
      </c>
      <c r="F3513" t="s">
        <v>16220</v>
      </c>
      <c r="G3513" t="s">
        <v>16274</v>
      </c>
      <c r="H3513" t="s">
        <v>16269</v>
      </c>
      <c r="I3513" t="s">
        <v>16352</v>
      </c>
      <c r="J3513" t="s">
        <v>16386</v>
      </c>
      <c r="K3513">
        <v>0.165</v>
      </c>
      <c r="L3513">
        <v>7200</v>
      </c>
      <c r="M3513">
        <v>2374</v>
      </c>
      <c r="N3513" t="s">
        <v>16393</v>
      </c>
      <c r="O3513" s="4">
        <v>48576</v>
      </c>
      <c r="P3513" s="4">
        <v>115522</v>
      </c>
      <c r="Q3513" s="4">
        <v>164098</v>
      </c>
      <c r="R3513" s="4">
        <v>492294</v>
      </c>
      <c r="S3513" t="s">
        <v>19825</v>
      </c>
      <c r="T3513" s="6">
        <v>33451</v>
      </c>
      <c r="U3513" s="4">
        <v>139565</v>
      </c>
      <c r="X3513" t="s">
        <v>3</v>
      </c>
      <c r="AA3513" s="5" t="str">
        <f>HYPERLINK("https://www.zillow.com/homes/1636-TERRI-CIR-NAPERVILLE-IL-60563_rb/","check listing")</f>
        <v>check listing</v>
      </c>
      <c r="AB3513" s="5" t="str">
        <f>HYPERLINK("https://propertylookup.dupagecounty.gov/Datalets/Datalet.aspx?UseSearch=no&amp;mode=sales&amp;pin=0715205006","sales record")</f>
        <v>sales record</v>
      </c>
      <c r="AC3513" t="s">
        <v>3</v>
      </c>
      <c r="AD3513">
        <v>41.781485</v>
      </c>
      <c r="AE3513">
        <v>-88.19143200000001</v>
      </c>
      <c r="AF3513" s="5" t="str">
        <f>HYPERLINK("https://www.google.com/maps/search/?api=1&amp;query=41.781485,-88.191432","map")</f>
        <v>map</v>
      </c>
    </row>
    <row r="3514" spans="1:32">
      <c r="A3514" t="s">
        <v>3564</v>
      </c>
      <c r="B3514" t="s">
        <v>11097</v>
      </c>
      <c r="C3514" t="s">
        <v>15475</v>
      </c>
      <c r="D3514" t="s">
        <v>16206</v>
      </c>
      <c r="E3514" t="s">
        <v>16218</v>
      </c>
      <c r="F3514" t="s">
        <v>16220</v>
      </c>
      <c r="G3514" t="s">
        <v>16275</v>
      </c>
      <c r="H3514" t="s">
        <v>16276</v>
      </c>
      <c r="I3514" t="s">
        <v>16352</v>
      </c>
      <c r="J3514" t="s">
        <v>16386</v>
      </c>
      <c r="K3514">
        <v>0.165</v>
      </c>
      <c r="L3514">
        <v>7197</v>
      </c>
      <c r="M3514">
        <v>1813</v>
      </c>
      <c r="N3514" t="s">
        <v>16393</v>
      </c>
      <c r="O3514" s="4">
        <v>50993</v>
      </c>
      <c r="P3514" s="4">
        <v>127727</v>
      </c>
      <c r="Q3514" s="4">
        <v>178720</v>
      </c>
      <c r="R3514" s="4">
        <v>536160</v>
      </c>
      <c r="S3514" t="s">
        <v>19826</v>
      </c>
      <c r="T3514" s="6">
        <v>44348</v>
      </c>
      <c r="U3514" s="4">
        <v>425000</v>
      </c>
      <c r="V3514" t="s">
        <v>23739</v>
      </c>
      <c r="W3514" t="s">
        <v>25500</v>
      </c>
      <c r="X3514" t="s">
        <v>3</v>
      </c>
      <c r="AA3514" s="5" t="str">
        <f>HYPERLINK("https://www.zillow.com/homes/1116-NATALIE-CT-NAPERVILLE-IL-60540_rb/","check listing")</f>
        <v>check listing</v>
      </c>
      <c r="AB3514" s="5" t="str">
        <f>HYPERLINK("https://propertylookup.dupagecounty.gov/Datalets/Datalet.aspx?UseSearch=no&amp;mode=sales&amp;pin=0727206037","sales record")</f>
        <v>sales record</v>
      </c>
      <c r="AC3514" t="s">
        <v>3</v>
      </c>
      <c r="AD3514">
        <v>41.749788</v>
      </c>
      <c r="AE3514">
        <v>-88.192459</v>
      </c>
      <c r="AF3514" s="5" t="str">
        <f>HYPERLINK("https://www.google.com/maps/search/?api=1&amp;query=41.749788,-88.192459","map")</f>
        <v>map</v>
      </c>
    </row>
    <row r="3515" spans="1:32">
      <c r="A3515" t="s">
        <v>3565</v>
      </c>
      <c r="B3515" t="s">
        <v>11098</v>
      </c>
      <c r="C3515" t="s">
        <v>15595</v>
      </c>
      <c r="D3515" t="s">
        <v>16206</v>
      </c>
      <c r="E3515" t="s">
        <v>16218</v>
      </c>
      <c r="F3515" t="s">
        <v>16220</v>
      </c>
      <c r="G3515" t="s">
        <v>16275</v>
      </c>
      <c r="H3515" t="s">
        <v>16276</v>
      </c>
      <c r="I3515" t="s">
        <v>16352</v>
      </c>
      <c r="J3515" t="s">
        <v>16386</v>
      </c>
      <c r="K3515">
        <v>0.165</v>
      </c>
      <c r="L3515">
        <v>7193</v>
      </c>
      <c r="M3515">
        <v>1584</v>
      </c>
      <c r="N3515" t="s">
        <v>16393</v>
      </c>
      <c r="O3515" s="4">
        <v>46367</v>
      </c>
      <c r="P3515" s="4">
        <v>96897</v>
      </c>
      <c r="Q3515" s="4">
        <v>143264</v>
      </c>
      <c r="R3515" s="4">
        <v>429792</v>
      </c>
      <c r="S3515" t="s">
        <v>19827</v>
      </c>
      <c r="T3515" s="6">
        <v>44044</v>
      </c>
      <c r="U3515" s="4">
        <v>360000</v>
      </c>
      <c r="V3515" t="s">
        <v>23739</v>
      </c>
      <c r="W3515" t="s">
        <v>25501</v>
      </c>
      <c r="X3515" t="s">
        <v>3</v>
      </c>
      <c r="AA3515" s="5" t="str">
        <f>HYPERLINK("https://www.zillow.com/homes/2011-CROSSING-LN-NAPERVILLE-IL-605400985_rb/","check listing")</f>
        <v>check listing</v>
      </c>
      <c r="AB3515" s="5" t="str">
        <f>HYPERLINK("https://propertylookup.dupagecounty.gov/Datalets/Datalet.aspx?UseSearch=no&amp;mode=sales&amp;pin=0727203019","sales record")</f>
        <v>sales record</v>
      </c>
      <c r="AC3515" t="s">
        <v>3</v>
      </c>
      <c r="AD3515">
        <v>41.749904</v>
      </c>
      <c r="AE3515">
        <v>-88.18676000000001</v>
      </c>
      <c r="AF3515" s="5" t="str">
        <f>HYPERLINK("https://www.google.com/maps/search/?api=1&amp;query=41.749904,-88.18676","map")</f>
        <v>map</v>
      </c>
    </row>
    <row r="3516" spans="1:32">
      <c r="A3516" t="s">
        <v>3566</v>
      </c>
      <c r="B3516" t="s">
        <v>11099</v>
      </c>
      <c r="C3516" t="s">
        <v>15475</v>
      </c>
      <c r="D3516" t="s">
        <v>16206</v>
      </c>
      <c r="E3516" t="s">
        <v>16218</v>
      </c>
      <c r="F3516" t="s">
        <v>16220</v>
      </c>
      <c r="G3516" t="s">
        <v>16275</v>
      </c>
      <c r="H3516" t="s">
        <v>16276</v>
      </c>
      <c r="I3516" t="s">
        <v>16352</v>
      </c>
      <c r="J3516" t="s">
        <v>16386</v>
      </c>
      <c r="K3516">
        <v>0.165</v>
      </c>
      <c r="L3516">
        <v>7193</v>
      </c>
      <c r="M3516">
        <v>2308</v>
      </c>
      <c r="N3516" t="s">
        <v>16393</v>
      </c>
      <c r="O3516" s="4">
        <v>54289</v>
      </c>
      <c r="P3516" s="4">
        <v>137540</v>
      </c>
      <c r="Q3516" s="4">
        <v>191829</v>
      </c>
      <c r="R3516" s="4">
        <v>575487</v>
      </c>
      <c r="S3516" t="s">
        <v>19828</v>
      </c>
      <c r="T3516" s="6">
        <v>34669</v>
      </c>
      <c r="U3516" s="4">
        <v>205949</v>
      </c>
      <c r="X3516" t="s">
        <v>3</v>
      </c>
      <c r="AA3516" s="5" t="str">
        <f>HYPERLINK("https://www.zillow.com/homes/675-WINTERGREEN-CIR-NAPERVILLE-IL-60540_rb/","check listing")</f>
        <v>check listing</v>
      </c>
      <c r="AB3516" s="5" t="str">
        <f>HYPERLINK("https://propertylookup.dupagecounty.gov/Datalets/Datalet.aspx?UseSearch=no&amp;mode=sales&amp;pin=0722404009","sales record")</f>
        <v>sales record</v>
      </c>
      <c r="AC3516" t="s">
        <v>3</v>
      </c>
      <c r="AD3516">
        <v>41.759835</v>
      </c>
      <c r="AE3516">
        <v>-88.19508</v>
      </c>
      <c r="AF3516" s="5" t="str">
        <f>HYPERLINK("https://www.google.com/maps/search/?api=1&amp;query=41.759835,-88.19508","map")</f>
        <v>map</v>
      </c>
    </row>
    <row r="3517" spans="1:32">
      <c r="A3517" t="s">
        <v>3567</v>
      </c>
      <c r="B3517" t="s">
        <v>11100</v>
      </c>
      <c r="C3517" t="s">
        <v>15587</v>
      </c>
      <c r="D3517" t="s">
        <v>16206</v>
      </c>
      <c r="E3517" t="s">
        <v>16218</v>
      </c>
      <c r="F3517" t="s">
        <v>16220</v>
      </c>
      <c r="G3517" t="s">
        <v>16269</v>
      </c>
      <c r="H3517" t="s">
        <v>16269</v>
      </c>
      <c r="I3517" t="s">
        <v>16352</v>
      </c>
      <c r="J3517" t="s">
        <v>16386</v>
      </c>
      <c r="K3517">
        <v>0.165</v>
      </c>
      <c r="L3517">
        <v>7193</v>
      </c>
      <c r="M3517">
        <v>1583</v>
      </c>
      <c r="N3517" t="s">
        <v>16393</v>
      </c>
      <c r="O3517" s="4">
        <v>73336</v>
      </c>
      <c r="P3517" s="4">
        <v>75250</v>
      </c>
      <c r="Q3517" s="4">
        <v>148586</v>
      </c>
      <c r="R3517" s="4">
        <v>445758</v>
      </c>
      <c r="S3517" t="s">
        <v>19829</v>
      </c>
      <c r="T3517" s="6">
        <v>42522</v>
      </c>
      <c r="U3517" s="4">
        <v>226200</v>
      </c>
      <c r="V3517" t="s">
        <v>23739</v>
      </c>
      <c r="W3517" t="s">
        <v>25502</v>
      </c>
      <c r="X3517" t="s">
        <v>3</v>
      </c>
      <c r="AA3517" s="5" t="str">
        <f>HYPERLINK("https://www.zillow.com/homes/1751-NAPOLEON-DR-NAPERVILLE-IL-605652640_rb/","check listing")</f>
        <v>check listing</v>
      </c>
      <c r="AB3517" s="5" t="str">
        <f>HYPERLINK("https://propertylookup.dupagecounty.gov/Datalets/Datalet.aspx?UseSearch=no&amp;mode=sales&amp;pin=0832114084","sales record")</f>
        <v>sales record</v>
      </c>
      <c r="AC3517" t="s">
        <v>3</v>
      </c>
      <c r="AD3517">
        <v>41.735305</v>
      </c>
      <c r="AE3517">
        <v>-88.121256</v>
      </c>
      <c r="AF3517" s="5" t="str">
        <f>HYPERLINK("https://www.google.com/maps/search/?api=1&amp;query=41.735305,-88.121256","map")</f>
        <v>map</v>
      </c>
    </row>
    <row r="3518" spans="1:32">
      <c r="A3518" t="s">
        <v>3568</v>
      </c>
      <c r="B3518" t="s">
        <v>11101</v>
      </c>
      <c r="C3518" t="s">
        <v>15475</v>
      </c>
      <c r="D3518" t="s">
        <v>16206</v>
      </c>
      <c r="E3518" t="s">
        <v>16218</v>
      </c>
      <c r="F3518" t="s">
        <v>16220</v>
      </c>
      <c r="G3518" t="s">
        <v>16275</v>
      </c>
      <c r="H3518" t="s">
        <v>16276</v>
      </c>
      <c r="I3518" t="s">
        <v>16352</v>
      </c>
      <c r="J3518" t="s">
        <v>16386</v>
      </c>
      <c r="K3518">
        <v>0.165</v>
      </c>
      <c r="L3518">
        <v>7185</v>
      </c>
      <c r="M3518">
        <v>1483</v>
      </c>
      <c r="N3518" t="s">
        <v>16393</v>
      </c>
      <c r="O3518" s="4">
        <v>51103</v>
      </c>
      <c r="P3518" s="4">
        <v>102817</v>
      </c>
      <c r="Q3518" s="4">
        <v>153920</v>
      </c>
      <c r="R3518" s="4">
        <v>461760</v>
      </c>
      <c r="S3518" t="s">
        <v>19830</v>
      </c>
      <c r="T3518" s="6">
        <v>45523</v>
      </c>
      <c r="U3518" s="4">
        <v>460000</v>
      </c>
      <c r="V3518" t="s">
        <v>23739</v>
      </c>
      <c r="W3518" t="s">
        <v>25503</v>
      </c>
      <c r="X3518" t="s">
        <v>3</v>
      </c>
      <c r="AA3518" s="5" t="str">
        <f>HYPERLINK("https://www.zillow.com/homes/2111-PERIWINKLE-LN-NAPERVILLE-IL-60540_rb/","check listing")</f>
        <v>check listing</v>
      </c>
      <c r="AB3518" s="5" t="str">
        <f>HYPERLINK("https://propertylookup.dupagecounty.gov/Datalets/Datalet.aspx?UseSearch=no&amp;mode=sales&amp;pin=0722409022","sales record")</f>
        <v>sales record</v>
      </c>
      <c r="AC3518" t="s">
        <v>3</v>
      </c>
      <c r="AD3518">
        <v>41.761198</v>
      </c>
      <c r="AE3518">
        <v>-88.190127</v>
      </c>
      <c r="AF3518" s="5" t="str">
        <f>HYPERLINK("https://www.google.com/maps/search/?api=1&amp;query=41.761198,-88.190127","map")</f>
        <v>map</v>
      </c>
    </row>
    <row r="3519" spans="1:32">
      <c r="A3519" t="s">
        <v>3569</v>
      </c>
      <c r="B3519" t="s">
        <v>11102</v>
      </c>
      <c r="C3519" t="s">
        <v>15475</v>
      </c>
      <c r="D3519" t="s">
        <v>16206</v>
      </c>
      <c r="E3519" t="s">
        <v>16218</v>
      </c>
      <c r="F3519" t="s">
        <v>16220</v>
      </c>
      <c r="G3519" t="s">
        <v>16275</v>
      </c>
      <c r="H3519" t="s">
        <v>16276</v>
      </c>
      <c r="I3519" t="s">
        <v>16352</v>
      </c>
      <c r="J3519" t="s">
        <v>16386</v>
      </c>
      <c r="K3519">
        <v>0.165</v>
      </c>
      <c r="L3519">
        <v>7183</v>
      </c>
      <c r="M3519">
        <v>3332</v>
      </c>
      <c r="N3519" t="s">
        <v>16393</v>
      </c>
      <c r="O3519" s="4">
        <v>57462</v>
      </c>
      <c r="P3519" s="4">
        <v>136576</v>
      </c>
      <c r="Q3519" s="4">
        <v>194038</v>
      </c>
      <c r="R3519" s="4">
        <v>582114</v>
      </c>
      <c r="S3519" t="s">
        <v>19831</v>
      </c>
      <c r="T3519" s="6">
        <v>34669</v>
      </c>
      <c r="U3519" s="4">
        <v>199758</v>
      </c>
      <c r="X3519" t="s">
        <v>3</v>
      </c>
      <c r="AA3519" s="5" t="str">
        <f>HYPERLINK("https://www.zillow.com/homes/651-WINTERGREEN-CIR-NAPERVILLE-IL-60540_rb/","check listing")</f>
        <v>check listing</v>
      </c>
      <c r="AB3519" s="5" t="str">
        <f>HYPERLINK("https://propertylookup.dupagecounty.gov/Datalets/Datalet.aspx?UseSearch=no&amp;mode=sales&amp;pin=0722404015","sales record")</f>
        <v>sales record</v>
      </c>
      <c r="AC3519" t="s">
        <v>3</v>
      </c>
      <c r="AD3519">
        <v>41.760738</v>
      </c>
      <c r="AE3519">
        <v>-88.19445899999999</v>
      </c>
      <c r="AF3519" s="5" t="str">
        <f>HYPERLINK("https://www.google.com/maps/search/?api=1&amp;query=41.760738,-88.194459","map")</f>
        <v>map</v>
      </c>
    </row>
    <row r="3520" spans="1:32">
      <c r="A3520" t="s">
        <v>3570</v>
      </c>
      <c r="B3520" t="s">
        <v>11103</v>
      </c>
      <c r="C3520" t="s">
        <v>15475</v>
      </c>
      <c r="D3520" t="s">
        <v>16206</v>
      </c>
      <c r="E3520" t="s">
        <v>16218</v>
      </c>
      <c r="F3520" t="s">
        <v>16220</v>
      </c>
      <c r="G3520" t="s">
        <v>16276</v>
      </c>
      <c r="H3520" t="s">
        <v>16276</v>
      </c>
      <c r="I3520" t="s">
        <v>16352</v>
      </c>
      <c r="J3520" t="s">
        <v>16386</v>
      </c>
      <c r="K3520">
        <v>0.165</v>
      </c>
      <c r="L3520">
        <v>7173</v>
      </c>
      <c r="M3520">
        <v>1649</v>
      </c>
      <c r="N3520" t="s">
        <v>16393</v>
      </c>
      <c r="O3520" s="4">
        <v>49444</v>
      </c>
      <c r="P3520" s="4">
        <v>104257</v>
      </c>
      <c r="Q3520" s="4">
        <v>153701</v>
      </c>
      <c r="R3520" s="4">
        <v>461103</v>
      </c>
      <c r="S3520" t="s">
        <v>19832</v>
      </c>
      <c r="T3520" s="6">
        <v>35735</v>
      </c>
      <c r="U3520" s="4">
        <v>177000</v>
      </c>
      <c r="X3520" t="s">
        <v>3</v>
      </c>
      <c r="AA3520" s="5" t="str">
        <f>HYPERLINK("https://www.zillow.com/homes/932-LOWELL-LN-NAPERVILLE-IL-60540_rb/","check listing")</f>
        <v>check listing</v>
      </c>
      <c r="AB3520" s="5" t="str">
        <f>HYPERLINK("https://propertylookup.dupagecounty.gov/Datalets/Datalet.aspx?UseSearch=no&amp;mode=sales&amp;pin=0727210003","sales record")</f>
        <v>sales record</v>
      </c>
      <c r="AC3520" t="s">
        <v>3</v>
      </c>
      <c r="AD3520">
        <v>41.753371</v>
      </c>
      <c r="AE3520">
        <v>-88.189288</v>
      </c>
      <c r="AF3520" s="5" t="str">
        <f>HYPERLINK("https://www.google.com/maps/search/?api=1&amp;query=41.753371,-88.189288","map")</f>
        <v>map</v>
      </c>
    </row>
    <row r="3521" spans="1:32">
      <c r="A3521" t="s">
        <v>3571</v>
      </c>
      <c r="B3521" t="s">
        <v>11104</v>
      </c>
      <c r="C3521" t="s">
        <v>15475</v>
      </c>
      <c r="D3521" t="s">
        <v>16206</v>
      </c>
      <c r="E3521" t="s">
        <v>16218</v>
      </c>
      <c r="F3521" t="s">
        <v>16220</v>
      </c>
      <c r="G3521" t="s">
        <v>16275</v>
      </c>
      <c r="H3521" t="s">
        <v>16276</v>
      </c>
      <c r="I3521" t="s">
        <v>16352</v>
      </c>
      <c r="J3521" t="s">
        <v>16386</v>
      </c>
      <c r="K3521">
        <v>0.164</v>
      </c>
      <c r="L3521">
        <v>7159</v>
      </c>
      <c r="M3521">
        <v>2474</v>
      </c>
      <c r="N3521" t="s">
        <v>16393</v>
      </c>
      <c r="O3521" s="4">
        <v>51103</v>
      </c>
      <c r="P3521" s="4">
        <v>134769</v>
      </c>
      <c r="Q3521" s="4">
        <v>185872</v>
      </c>
      <c r="R3521" s="4">
        <v>557616</v>
      </c>
      <c r="S3521" t="s">
        <v>19833</v>
      </c>
      <c r="T3521" s="6">
        <v>36617</v>
      </c>
      <c r="U3521" s="4">
        <v>255000</v>
      </c>
      <c r="V3521" t="s">
        <v>23739</v>
      </c>
      <c r="W3521" t="s">
        <v>25504</v>
      </c>
      <c r="X3521" t="s">
        <v>3</v>
      </c>
      <c r="AA3521" s="5" t="str">
        <f>HYPERLINK("https://www.zillow.com/homes/680-WINTERGREEN-CIR-NAPERVILLE-IL-60540_rb/","check listing")</f>
        <v>check listing</v>
      </c>
      <c r="AB3521" s="5" t="str">
        <f>HYPERLINK("https://propertylookup.dupagecounty.gov/Datalets/Datalet.aspx?UseSearch=no&amp;mode=sales&amp;pin=0722405004","sales record")</f>
        <v>sales record</v>
      </c>
      <c r="AC3521" t="s">
        <v>3</v>
      </c>
      <c r="AD3521">
        <v>41.759815</v>
      </c>
      <c r="AE3521">
        <v>-88.194411</v>
      </c>
      <c r="AF3521" s="5" t="str">
        <f>HYPERLINK("https://www.google.com/maps/search/?api=1&amp;query=41.759815,-88.194411","map")</f>
        <v>map</v>
      </c>
    </row>
    <row r="3522" spans="1:32">
      <c r="A3522" t="s">
        <v>3572</v>
      </c>
      <c r="B3522" t="s">
        <v>11105</v>
      </c>
      <c r="C3522" t="s">
        <v>15475</v>
      </c>
      <c r="D3522" t="s">
        <v>16206</v>
      </c>
      <c r="E3522" t="s">
        <v>16218</v>
      </c>
      <c r="F3522" t="s">
        <v>16220</v>
      </c>
      <c r="G3522" t="s">
        <v>16275</v>
      </c>
      <c r="H3522" t="s">
        <v>16276</v>
      </c>
      <c r="I3522" t="s">
        <v>16352</v>
      </c>
      <c r="J3522" t="s">
        <v>16386</v>
      </c>
      <c r="K3522">
        <v>0.164</v>
      </c>
      <c r="L3522">
        <v>7153</v>
      </c>
      <c r="M3522">
        <v>2176</v>
      </c>
      <c r="N3522" t="s">
        <v>16393</v>
      </c>
      <c r="O3522" s="4">
        <v>47905</v>
      </c>
      <c r="P3522" s="4">
        <v>106893</v>
      </c>
      <c r="Q3522" s="4">
        <v>154798</v>
      </c>
      <c r="R3522" s="4">
        <v>464394</v>
      </c>
      <c r="S3522" t="s">
        <v>19834</v>
      </c>
      <c r="T3522" s="6">
        <v>45952</v>
      </c>
      <c r="U3522" s="4">
        <v>555000</v>
      </c>
      <c r="V3522" t="s">
        <v>23739</v>
      </c>
      <c r="W3522" t="s">
        <v>25505</v>
      </c>
      <c r="X3522" t="s">
        <v>3</v>
      </c>
      <c r="AA3522" s="5" t="str">
        <f>HYPERLINK("https://www.zillow.com/homes/1119-MALLORY-CT-NAPERVILLE-IL-60540_rb/","check listing")</f>
        <v>check listing</v>
      </c>
      <c r="AB3522" s="5" t="str">
        <f>HYPERLINK("https://propertylookup.dupagecounty.gov/Datalets/Datalet.aspx?UseSearch=no&amp;mode=sales&amp;pin=0727206034","sales record")</f>
        <v>sales record</v>
      </c>
      <c r="AC3522" t="s">
        <v>3</v>
      </c>
      <c r="AD3522">
        <v>41.749466</v>
      </c>
      <c r="AE3522">
        <v>-88.191946</v>
      </c>
      <c r="AF3522" s="5" t="str">
        <f>HYPERLINK("https://www.google.com/maps/search/?api=1&amp;query=41.749466,-88.191946","map")</f>
        <v>map</v>
      </c>
    </row>
    <row r="3523" spans="1:32">
      <c r="A3523" t="s">
        <v>3573</v>
      </c>
      <c r="B3523" t="s">
        <v>11106</v>
      </c>
      <c r="C3523" t="s">
        <v>15475</v>
      </c>
      <c r="D3523" t="s">
        <v>16206</v>
      </c>
      <c r="E3523" t="s">
        <v>16218</v>
      </c>
      <c r="F3523" t="s">
        <v>16220</v>
      </c>
      <c r="G3523" t="s">
        <v>16275</v>
      </c>
      <c r="H3523" t="s">
        <v>16276</v>
      </c>
      <c r="I3523" t="s">
        <v>16352</v>
      </c>
      <c r="J3523" t="s">
        <v>16386</v>
      </c>
      <c r="K3523">
        <v>0.164</v>
      </c>
      <c r="L3523">
        <v>7152</v>
      </c>
      <c r="M3523">
        <v>1980</v>
      </c>
      <c r="N3523" t="s">
        <v>16393</v>
      </c>
      <c r="O3523" s="4">
        <v>49444</v>
      </c>
      <c r="P3523" s="4">
        <v>101779</v>
      </c>
      <c r="Q3523" s="4">
        <v>151223</v>
      </c>
      <c r="R3523" s="4">
        <v>453669</v>
      </c>
      <c r="S3523" t="s">
        <v>19835</v>
      </c>
      <c r="T3523" s="6">
        <v>39965</v>
      </c>
      <c r="U3523" s="4">
        <v>325000</v>
      </c>
      <c r="V3523" t="s">
        <v>23739</v>
      </c>
      <c r="W3523" t="s">
        <v>25506</v>
      </c>
      <c r="X3523" t="s">
        <v>3</v>
      </c>
      <c r="AA3523" s="5" t="str">
        <f>HYPERLINK("https://www.zillow.com/homes/1112-SELMA-LN-NAPERVILLE-IL-60540_rb/","check listing")</f>
        <v>check listing</v>
      </c>
      <c r="AB3523" s="5" t="str">
        <f>HYPERLINK("https://propertylookup.dupagecounty.gov/Datalets/Datalet.aspx?UseSearch=no&amp;mode=sales&amp;pin=0727204030","sales record")</f>
        <v>sales record</v>
      </c>
      <c r="AC3523" t="s">
        <v>3</v>
      </c>
      <c r="AD3523">
        <v>41.75017</v>
      </c>
      <c r="AE3523">
        <v>-88.18910200000001</v>
      </c>
      <c r="AF3523" s="5" t="str">
        <f>HYPERLINK("https://www.google.com/maps/search/?api=1&amp;query=41.75017,-88.189102","map")</f>
        <v>map</v>
      </c>
    </row>
    <row r="3524" spans="1:32">
      <c r="A3524" t="s">
        <v>3574</v>
      </c>
      <c r="B3524" t="s">
        <v>11107</v>
      </c>
      <c r="C3524" t="s">
        <v>15596</v>
      </c>
      <c r="D3524" t="s">
        <v>16206</v>
      </c>
      <c r="E3524" t="s">
        <v>16218</v>
      </c>
      <c r="F3524" t="s">
        <v>16220</v>
      </c>
      <c r="G3524" t="s">
        <v>16276</v>
      </c>
      <c r="H3524" t="s">
        <v>16276</v>
      </c>
      <c r="I3524" t="s">
        <v>16352</v>
      </c>
      <c r="J3524" t="s">
        <v>16386</v>
      </c>
      <c r="K3524">
        <v>0.164</v>
      </c>
      <c r="L3524">
        <v>7151</v>
      </c>
      <c r="M3524">
        <v>2375</v>
      </c>
      <c r="N3524" t="s">
        <v>16393</v>
      </c>
      <c r="O3524" s="4">
        <v>49444</v>
      </c>
      <c r="P3524" s="4">
        <v>115962</v>
      </c>
      <c r="Q3524" s="4">
        <v>165406</v>
      </c>
      <c r="R3524" s="4">
        <v>496218</v>
      </c>
      <c r="S3524" t="s">
        <v>19836</v>
      </c>
      <c r="T3524" s="6">
        <v>35004</v>
      </c>
      <c r="U3524" s="4">
        <v>190675</v>
      </c>
      <c r="X3524" t="s">
        <v>3</v>
      </c>
      <c r="AA3524" s="5" t="str">
        <f>HYPERLINK("https://www.zillow.com/homes/1051-SANCTUARY-LN-NAPERVILLE-IL-605401926_rb/","check listing")</f>
        <v>check listing</v>
      </c>
      <c r="AB3524" s="5" t="str">
        <f>HYPERLINK("https://propertylookup.dupagecounty.gov/Datalets/Datalet.aspx?UseSearch=no&amp;mode=sales&amp;pin=0727209019","sales record")</f>
        <v>sales record</v>
      </c>
      <c r="AC3524" t="s">
        <v>3</v>
      </c>
      <c r="AD3524">
        <v>41.752907</v>
      </c>
      <c r="AE3524">
        <v>-88.19022200000001</v>
      </c>
      <c r="AF3524" s="5" t="str">
        <f>HYPERLINK("https://www.google.com/maps/search/?api=1&amp;query=41.752907,-88.190222","map")</f>
        <v>map</v>
      </c>
    </row>
    <row r="3525" spans="1:32">
      <c r="A3525" t="s">
        <v>3575</v>
      </c>
      <c r="B3525" t="s">
        <v>11108</v>
      </c>
      <c r="C3525" t="s">
        <v>15475</v>
      </c>
      <c r="D3525" t="s">
        <v>16206</v>
      </c>
      <c r="E3525" t="s">
        <v>16218</v>
      </c>
      <c r="F3525" t="s">
        <v>16220</v>
      </c>
      <c r="G3525" t="s">
        <v>16275</v>
      </c>
      <c r="H3525" t="s">
        <v>16276</v>
      </c>
      <c r="I3525" t="s">
        <v>16352</v>
      </c>
      <c r="J3525" t="s">
        <v>16386</v>
      </c>
      <c r="K3525">
        <v>0.164</v>
      </c>
      <c r="L3525">
        <v>7149</v>
      </c>
      <c r="M3525">
        <v>1978</v>
      </c>
      <c r="N3525" t="s">
        <v>16393</v>
      </c>
      <c r="O3525" s="4">
        <v>46367</v>
      </c>
      <c r="P3525" s="4">
        <v>106368</v>
      </c>
      <c r="Q3525" s="4">
        <v>152735</v>
      </c>
      <c r="R3525" s="4">
        <v>458205</v>
      </c>
      <c r="S3525" t="s">
        <v>19837</v>
      </c>
      <c r="T3525" s="6">
        <v>41883</v>
      </c>
      <c r="U3525" s="4">
        <v>260000</v>
      </c>
      <c r="V3525" t="s">
        <v>23739</v>
      </c>
      <c r="W3525" t="s">
        <v>25507</v>
      </c>
      <c r="X3525" t="s">
        <v>3</v>
      </c>
      <c r="AA3525" s="5" t="str">
        <f>HYPERLINK("https://www.zillow.com/homes/2019-CROSSING-LN-NAPERVILLE-IL-60540_rb/","check listing")</f>
        <v>check listing</v>
      </c>
      <c r="AB3525" s="5" t="str">
        <f>HYPERLINK("https://propertylookup.dupagecounty.gov/Datalets/Datalet.aspx?UseSearch=no&amp;mode=sales&amp;pin=0727203017","sales record")</f>
        <v>sales record</v>
      </c>
      <c r="AC3525" t="s">
        <v>3</v>
      </c>
      <c r="AD3525">
        <v>41.750257</v>
      </c>
      <c r="AE3525">
        <v>-88.186769</v>
      </c>
      <c r="AF3525" s="5" t="str">
        <f>HYPERLINK("https://www.google.com/maps/search/?api=1&amp;query=41.750257,-88.186769","map")</f>
        <v>map</v>
      </c>
    </row>
    <row r="3526" spans="1:32">
      <c r="A3526" t="s">
        <v>3576</v>
      </c>
      <c r="B3526" t="s">
        <v>11109</v>
      </c>
      <c r="C3526" t="s">
        <v>15475</v>
      </c>
      <c r="D3526" t="s">
        <v>16206</v>
      </c>
      <c r="E3526" t="s">
        <v>16218</v>
      </c>
      <c r="F3526" t="s">
        <v>16220</v>
      </c>
      <c r="G3526" t="s">
        <v>16275</v>
      </c>
      <c r="H3526" t="s">
        <v>16276</v>
      </c>
      <c r="I3526" t="s">
        <v>16352</v>
      </c>
      <c r="J3526" t="s">
        <v>16386</v>
      </c>
      <c r="K3526">
        <v>0.164</v>
      </c>
      <c r="L3526">
        <v>7141</v>
      </c>
      <c r="M3526">
        <v>1979</v>
      </c>
      <c r="N3526" t="s">
        <v>16393</v>
      </c>
      <c r="O3526" s="4">
        <v>46367</v>
      </c>
      <c r="P3526" s="4">
        <v>111800</v>
      </c>
      <c r="Q3526" s="4">
        <v>158167</v>
      </c>
      <c r="R3526" s="4">
        <v>474501</v>
      </c>
      <c r="S3526" t="s">
        <v>19838</v>
      </c>
      <c r="T3526" s="6">
        <v>39173</v>
      </c>
      <c r="U3526" s="4">
        <v>333000</v>
      </c>
      <c r="V3526" t="s">
        <v>23739</v>
      </c>
      <c r="W3526" t="s">
        <v>25508</v>
      </c>
      <c r="X3526" t="s">
        <v>3</v>
      </c>
      <c r="AA3526" s="5" t="str">
        <f>HYPERLINK("https://www.zillow.com/homes/1128-SELMA-LN-NAPERVILLE-IL-60540_rb/","check listing")</f>
        <v>check listing</v>
      </c>
      <c r="AB3526" s="5" t="str">
        <f>HYPERLINK("https://propertylookup.dupagecounty.gov/Datalets/Datalet.aspx?UseSearch=no&amp;mode=sales&amp;pin=0727204026","sales record")</f>
        <v>sales record</v>
      </c>
      <c r="AC3526" t="s">
        <v>3</v>
      </c>
      <c r="AD3526">
        <v>41.749509</v>
      </c>
      <c r="AE3526">
        <v>-88.189065</v>
      </c>
      <c r="AF3526" s="5" t="str">
        <f>HYPERLINK("https://www.google.com/maps/search/?api=1&amp;query=41.749509,-88.189065","map")</f>
        <v>map</v>
      </c>
    </row>
    <row r="3527" spans="1:32">
      <c r="A3527" t="s">
        <v>3577</v>
      </c>
      <c r="B3527" t="s">
        <v>11110</v>
      </c>
      <c r="C3527" t="s">
        <v>15597</v>
      </c>
      <c r="D3527" t="s">
        <v>16206</v>
      </c>
      <c r="E3527" t="s">
        <v>16218</v>
      </c>
      <c r="F3527" t="s">
        <v>16220</v>
      </c>
      <c r="G3527" t="s">
        <v>16276</v>
      </c>
      <c r="H3527" t="s">
        <v>16276</v>
      </c>
      <c r="I3527" t="s">
        <v>16352</v>
      </c>
      <c r="J3527" t="s">
        <v>16386</v>
      </c>
      <c r="K3527">
        <v>0.164</v>
      </c>
      <c r="L3527">
        <v>7138</v>
      </c>
      <c r="M3527">
        <v>1633</v>
      </c>
      <c r="N3527" t="s">
        <v>16393</v>
      </c>
      <c r="O3527" s="4">
        <v>49444</v>
      </c>
      <c r="P3527" s="4">
        <v>77796</v>
      </c>
      <c r="Q3527" s="4">
        <v>127240</v>
      </c>
      <c r="R3527" s="4">
        <v>381720</v>
      </c>
      <c r="S3527" t="s">
        <v>19839</v>
      </c>
      <c r="T3527" s="6">
        <v>43831</v>
      </c>
      <c r="U3527" s="4">
        <v>252500</v>
      </c>
      <c r="V3527" t="s">
        <v>23740</v>
      </c>
      <c r="W3527" t="s">
        <v>19839</v>
      </c>
      <c r="X3527" t="s">
        <v>3</v>
      </c>
      <c r="AA3527" s="5" t="str">
        <f>HYPERLINK("https://www.zillow.com/homes/923-LOWELL-LN-NAPERVILLE-IL-605401934_rb/","check listing")</f>
        <v>check listing</v>
      </c>
      <c r="AB3527" s="5" t="str">
        <f>HYPERLINK("https://propertylookup.dupagecounty.gov/Datalets/Datalet.aspx?UseSearch=no&amp;mode=sales&amp;pin=0727209025","sales record")</f>
        <v>sales record</v>
      </c>
      <c r="AC3527" t="s">
        <v>3</v>
      </c>
      <c r="AD3527">
        <v>41.753582</v>
      </c>
      <c r="AE3527">
        <v>-88.18992</v>
      </c>
      <c r="AF3527" s="5" t="str">
        <f>HYPERLINK("https://www.google.com/maps/search/?api=1&amp;query=41.753582,-88.18992","map")</f>
        <v>map</v>
      </c>
    </row>
    <row r="3528" spans="1:32">
      <c r="A3528" t="s">
        <v>3578</v>
      </c>
      <c r="B3528" t="s">
        <v>11111</v>
      </c>
      <c r="C3528" t="s">
        <v>15476</v>
      </c>
      <c r="D3528" t="s">
        <v>16206</v>
      </c>
      <c r="E3528" t="s">
        <v>16218</v>
      </c>
      <c r="F3528" t="s">
        <v>16220</v>
      </c>
      <c r="G3528" t="s">
        <v>16269</v>
      </c>
      <c r="H3528" t="s">
        <v>16269</v>
      </c>
      <c r="I3528" t="s">
        <v>16352</v>
      </c>
      <c r="J3528" t="s">
        <v>16386</v>
      </c>
      <c r="K3528">
        <v>0.164</v>
      </c>
      <c r="L3528">
        <v>7136</v>
      </c>
      <c r="M3528">
        <v>1715</v>
      </c>
      <c r="N3528" t="s">
        <v>16393</v>
      </c>
      <c r="O3528" s="4">
        <v>74156</v>
      </c>
      <c r="P3528" s="4">
        <v>88687</v>
      </c>
      <c r="Q3528" s="4">
        <v>162843</v>
      </c>
      <c r="R3528" s="4">
        <v>488529</v>
      </c>
      <c r="S3528" t="s">
        <v>19840</v>
      </c>
      <c r="T3528" s="6">
        <v>34820</v>
      </c>
      <c r="U3528" s="4">
        <v>174000</v>
      </c>
      <c r="X3528" t="s">
        <v>3</v>
      </c>
      <c r="AA3528" s="5" t="str">
        <f>HYPERLINK("https://www.zillow.com/homes/507-URSULINE-AVE-NAPERVILLE-IL-60565_rb/","check listing")</f>
        <v>check listing</v>
      </c>
      <c r="AB3528" s="5" t="str">
        <f>HYPERLINK("https://propertylookup.dupagecounty.gov/Datalets/Datalet.aspx?UseSearch=no&amp;mode=sales&amp;pin=0832116002","sales record")</f>
        <v>sales record</v>
      </c>
      <c r="AC3528" t="s">
        <v>3</v>
      </c>
      <c r="AD3528">
        <v>41.73532</v>
      </c>
      <c r="AE3528">
        <v>-88.11897</v>
      </c>
      <c r="AF3528" s="5" t="str">
        <f>HYPERLINK("https://www.google.com/maps/search/?api=1&amp;query=41.73532,-88.11897","map")</f>
        <v>map</v>
      </c>
    </row>
    <row r="3529" spans="1:32">
      <c r="A3529" t="s">
        <v>3579</v>
      </c>
      <c r="B3529" t="s">
        <v>11112</v>
      </c>
      <c r="C3529" t="s">
        <v>15478</v>
      </c>
      <c r="D3529" t="s">
        <v>16206</v>
      </c>
      <c r="E3529" t="s">
        <v>16218</v>
      </c>
      <c r="F3529" t="s">
        <v>16220</v>
      </c>
      <c r="G3529" t="s">
        <v>16274</v>
      </c>
      <c r="H3529" t="s">
        <v>16269</v>
      </c>
      <c r="I3529" t="s">
        <v>16352</v>
      </c>
      <c r="J3529" t="s">
        <v>16386</v>
      </c>
      <c r="K3529">
        <v>0.164</v>
      </c>
      <c r="L3529">
        <v>7134</v>
      </c>
      <c r="M3529">
        <v>2508</v>
      </c>
      <c r="N3529" t="s">
        <v>16393</v>
      </c>
      <c r="O3529" s="4">
        <v>48576</v>
      </c>
      <c r="P3529" s="4">
        <v>117145</v>
      </c>
      <c r="Q3529" s="4">
        <v>165721</v>
      </c>
      <c r="R3529" s="4">
        <v>497163</v>
      </c>
      <c r="S3529" t="s">
        <v>19841</v>
      </c>
      <c r="T3529" s="6">
        <v>43952</v>
      </c>
      <c r="U3529" s="4">
        <v>375000</v>
      </c>
      <c r="V3529" t="s">
        <v>23739</v>
      </c>
      <c r="W3529" t="s">
        <v>25509</v>
      </c>
      <c r="X3529" t="s">
        <v>3</v>
      </c>
      <c r="AA3529" s="5" t="str">
        <f>HYPERLINK("https://www.zillow.com/homes/1615-TERRI-CIR-NAPERVILLE-IL-60563_rb/","check listing")</f>
        <v>check listing</v>
      </c>
      <c r="AB3529" s="5" t="str">
        <f>HYPERLINK("https://propertylookup.dupagecounty.gov/Datalets/Datalet.aspx?UseSearch=no&amp;mode=sales&amp;pin=0715204024","sales record")</f>
        <v>sales record</v>
      </c>
      <c r="AC3529" t="s">
        <v>3</v>
      </c>
      <c r="AD3529">
        <v>41.782238</v>
      </c>
      <c r="AE3529">
        <v>-88.191183</v>
      </c>
      <c r="AF3529" s="5" t="str">
        <f>HYPERLINK("https://www.google.com/maps/search/?api=1&amp;query=41.782238,-88.191183","map")</f>
        <v>map</v>
      </c>
    </row>
    <row r="3530" spans="1:32">
      <c r="A3530" t="s">
        <v>3580</v>
      </c>
      <c r="B3530" t="s">
        <v>11113</v>
      </c>
      <c r="C3530" t="s">
        <v>15567</v>
      </c>
      <c r="D3530" t="s">
        <v>16206</v>
      </c>
      <c r="E3530" t="s">
        <v>16218</v>
      </c>
      <c r="F3530" t="s">
        <v>16220</v>
      </c>
      <c r="G3530" t="s">
        <v>16275</v>
      </c>
      <c r="H3530" t="s">
        <v>16276</v>
      </c>
      <c r="I3530" t="s">
        <v>16352</v>
      </c>
      <c r="J3530" t="s">
        <v>16386</v>
      </c>
      <c r="K3530">
        <v>0.164</v>
      </c>
      <c r="L3530">
        <v>7131</v>
      </c>
      <c r="M3530">
        <v>1913</v>
      </c>
      <c r="N3530" t="s">
        <v>16393</v>
      </c>
      <c r="O3530" s="4">
        <v>46367</v>
      </c>
      <c r="P3530" s="4">
        <v>103195</v>
      </c>
      <c r="Q3530" s="4">
        <v>149562</v>
      </c>
      <c r="R3530" s="4">
        <v>448686</v>
      </c>
      <c r="S3530" t="s">
        <v>19842</v>
      </c>
      <c r="T3530" s="6">
        <v>35704</v>
      </c>
      <c r="U3530" s="4">
        <v>178445</v>
      </c>
      <c r="X3530" t="s">
        <v>3</v>
      </c>
      <c r="AA3530" s="5" t="str">
        <f>HYPERLINK("https://www.zillow.com/homes/1928-CROSSING-CT-NAPERVILLE-IL-605400983_rb/","check listing")</f>
        <v>check listing</v>
      </c>
      <c r="AB3530" s="5" t="str">
        <f>HYPERLINK("https://propertylookup.dupagecounty.gov/Datalets/Datalet.aspx?UseSearch=no&amp;mode=sales&amp;pin=0727201016","sales record")</f>
        <v>sales record</v>
      </c>
      <c r="AC3530" t="s">
        <v>3</v>
      </c>
      <c r="AD3530">
        <v>41.749142</v>
      </c>
      <c r="AE3530">
        <v>-88.18758</v>
      </c>
      <c r="AF3530" s="5" t="str">
        <f>HYPERLINK("https://www.google.com/maps/search/?api=1&amp;query=41.749142,-88.18758","map")</f>
        <v>map</v>
      </c>
    </row>
    <row r="3531" spans="1:32">
      <c r="A3531" t="s">
        <v>3581</v>
      </c>
      <c r="B3531" t="s">
        <v>11114</v>
      </c>
      <c r="C3531" t="s">
        <v>15478</v>
      </c>
      <c r="D3531" t="s">
        <v>16206</v>
      </c>
      <c r="E3531" t="s">
        <v>16218</v>
      </c>
      <c r="F3531" t="s">
        <v>16220</v>
      </c>
      <c r="G3531" t="s">
        <v>16274</v>
      </c>
      <c r="H3531" t="s">
        <v>16269</v>
      </c>
      <c r="I3531" t="s">
        <v>16352</v>
      </c>
      <c r="J3531" t="s">
        <v>16386</v>
      </c>
      <c r="K3531">
        <v>0.164</v>
      </c>
      <c r="L3531">
        <v>7126</v>
      </c>
      <c r="M3531">
        <v>2447</v>
      </c>
      <c r="N3531" t="s">
        <v>16393</v>
      </c>
      <c r="O3531" s="4">
        <v>48576</v>
      </c>
      <c r="P3531" s="4">
        <v>134659</v>
      </c>
      <c r="Q3531" s="4">
        <v>183235</v>
      </c>
      <c r="R3531" s="4">
        <v>549705</v>
      </c>
      <c r="S3531" t="s">
        <v>19843</v>
      </c>
      <c r="T3531" s="6">
        <v>35735</v>
      </c>
      <c r="U3531" s="4">
        <v>190000</v>
      </c>
      <c r="X3531" t="s">
        <v>3</v>
      </c>
      <c r="AA3531" s="5" t="str">
        <f>HYPERLINK("https://www.zillow.com/homes/1603-TERRI-CIR-NAPERVILLE-IL-60563_rb/","check listing")</f>
        <v>check listing</v>
      </c>
      <c r="AB3531" s="5" t="str">
        <f>HYPERLINK("https://propertylookup.dupagecounty.gov/Datalets/Datalet.aspx?UseSearch=no&amp;mode=sales&amp;pin=0715204027","sales record")</f>
        <v>sales record</v>
      </c>
      <c r="AC3531" t="s">
        <v>3</v>
      </c>
      <c r="AD3531">
        <v>41.782367</v>
      </c>
      <c r="AE3531">
        <v>-88.19052499999999</v>
      </c>
      <c r="AF3531" s="5" t="str">
        <f>HYPERLINK("https://www.google.com/maps/search/?api=1&amp;query=41.782367,-88.190525","map")</f>
        <v>map</v>
      </c>
    </row>
    <row r="3532" spans="1:32">
      <c r="A3532" t="s">
        <v>3582</v>
      </c>
      <c r="B3532" t="s">
        <v>11115</v>
      </c>
      <c r="C3532" t="s">
        <v>15475</v>
      </c>
      <c r="D3532" t="s">
        <v>16206</v>
      </c>
      <c r="E3532" t="s">
        <v>16218</v>
      </c>
      <c r="F3532" t="s">
        <v>16220</v>
      </c>
      <c r="G3532" t="s">
        <v>16275</v>
      </c>
      <c r="H3532" t="s">
        <v>16276</v>
      </c>
      <c r="I3532" t="s">
        <v>16352</v>
      </c>
      <c r="J3532" t="s">
        <v>16386</v>
      </c>
      <c r="K3532">
        <v>0.164</v>
      </c>
      <c r="L3532">
        <v>7125</v>
      </c>
      <c r="M3532">
        <v>1634</v>
      </c>
      <c r="N3532" t="s">
        <v>16393</v>
      </c>
      <c r="O3532" s="4">
        <v>48968</v>
      </c>
      <c r="P3532" s="4">
        <v>96030</v>
      </c>
      <c r="Q3532" s="4">
        <v>144998</v>
      </c>
      <c r="R3532" s="4">
        <v>434994</v>
      </c>
      <c r="S3532" t="s">
        <v>19844</v>
      </c>
      <c r="T3532" s="6">
        <v>43922</v>
      </c>
      <c r="U3532" s="4">
        <v>340000</v>
      </c>
      <c r="V3532" t="s">
        <v>23739</v>
      </c>
      <c r="W3532" t="s">
        <v>25510</v>
      </c>
      <c r="X3532" t="s">
        <v>3</v>
      </c>
      <c r="AA3532" s="5" t="str">
        <f>HYPERLINK("https://www.zillow.com/homes/1140-LAKEWOOD-CIR-NAPERVILLE-IL-60540_rb/","check listing")</f>
        <v>check listing</v>
      </c>
      <c r="AB3532" s="5" t="str">
        <f>HYPERLINK("https://propertylookup.dupagecounty.gov/Datalets/Datalet.aspx?UseSearch=no&amp;mode=sales&amp;pin=0727206019","sales record")</f>
        <v>sales record</v>
      </c>
      <c r="AC3532" t="s">
        <v>3</v>
      </c>
      <c r="AD3532">
        <v>41.750282</v>
      </c>
      <c r="AE3532">
        <v>-88.19107700000001</v>
      </c>
      <c r="AF3532" s="5" t="str">
        <f>HYPERLINK("https://www.google.com/maps/search/?api=1&amp;query=41.750282,-88.191077","map")</f>
        <v>map</v>
      </c>
    </row>
    <row r="3533" spans="1:32">
      <c r="A3533" t="s">
        <v>3583</v>
      </c>
      <c r="B3533" t="s">
        <v>11116</v>
      </c>
      <c r="C3533" t="s">
        <v>15475</v>
      </c>
      <c r="D3533" t="s">
        <v>16206</v>
      </c>
      <c r="E3533" t="s">
        <v>16218</v>
      </c>
      <c r="F3533" t="s">
        <v>16220</v>
      </c>
      <c r="G3533" t="s">
        <v>16276</v>
      </c>
      <c r="H3533" t="s">
        <v>16276</v>
      </c>
      <c r="I3533" t="s">
        <v>16352</v>
      </c>
      <c r="J3533" t="s">
        <v>16386</v>
      </c>
      <c r="K3533">
        <v>0.163</v>
      </c>
      <c r="L3533">
        <v>7116</v>
      </c>
      <c r="M3533">
        <v>2210</v>
      </c>
      <c r="N3533" t="s">
        <v>16393</v>
      </c>
      <c r="O3533" s="4">
        <v>49444</v>
      </c>
      <c r="P3533" s="4">
        <v>101278</v>
      </c>
      <c r="Q3533" s="4">
        <v>150722</v>
      </c>
      <c r="R3533" s="4">
        <v>452166</v>
      </c>
      <c r="S3533" t="s">
        <v>19845</v>
      </c>
      <c r="T3533" s="6">
        <v>41426</v>
      </c>
      <c r="U3533" s="4">
        <v>237000</v>
      </c>
      <c r="V3533" t="s">
        <v>23739</v>
      </c>
      <c r="W3533" t="s">
        <v>19845</v>
      </c>
      <c r="X3533" t="s">
        <v>3</v>
      </c>
      <c r="AA3533" s="5" t="str">
        <f>HYPERLINK("https://www.zillow.com/homes/1059-SELMA-LN-NAPERVILLE-IL-60540_rb/","check listing")</f>
        <v>check listing</v>
      </c>
      <c r="AB3533" s="5" t="str">
        <f>HYPERLINK("https://propertylookup.dupagecounty.gov/Datalets/Datalet.aspx?UseSearch=no&amp;mode=sales&amp;pin=0727205038","sales record")</f>
        <v>sales record</v>
      </c>
      <c r="AC3533" t="s">
        <v>3</v>
      </c>
      <c r="AD3533">
        <v>41.752063</v>
      </c>
      <c r="AE3533">
        <v>-88.190066</v>
      </c>
      <c r="AF3533" s="5" t="str">
        <f>HYPERLINK("https://www.google.com/maps/search/?api=1&amp;query=41.752063,-88.190066","map")</f>
        <v>map</v>
      </c>
    </row>
    <row r="3534" spans="1:32">
      <c r="A3534" t="s">
        <v>3584</v>
      </c>
      <c r="B3534" t="s">
        <v>11117</v>
      </c>
      <c r="C3534" t="s">
        <v>15476</v>
      </c>
      <c r="D3534" t="s">
        <v>16206</v>
      </c>
      <c r="E3534" t="s">
        <v>16218</v>
      </c>
      <c r="F3534" t="s">
        <v>16220</v>
      </c>
      <c r="G3534" t="s">
        <v>16269</v>
      </c>
      <c r="H3534" t="s">
        <v>16269</v>
      </c>
      <c r="I3534" t="s">
        <v>16352</v>
      </c>
      <c r="J3534" t="s">
        <v>16386</v>
      </c>
      <c r="K3534">
        <v>0.163</v>
      </c>
      <c r="L3534">
        <v>7101</v>
      </c>
      <c r="M3534">
        <v>1887</v>
      </c>
      <c r="N3534" t="s">
        <v>16393</v>
      </c>
      <c r="O3534" s="4">
        <v>73336</v>
      </c>
      <c r="P3534" s="4">
        <v>110176</v>
      </c>
      <c r="Q3534" s="4">
        <v>183512</v>
      </c>
      <c r="R3534" s="4">
        <v>550536</v>
      </c>
      <c r="S3534" t="s">
        <v>19846</v>
      </c>
      <c r="T3534" s="6">
        <v>45481</v>
      </c>
      <c r="U3534" s="4">
        <v>495000</v>
      </c>
      <c r="V3534" t="s">
        <v>23739</v>
      </c>
      <c r="W3534" t="s">
        <v>25511</v>
      </c>
      <c r="X3534" t="s">
        <v>3</v>
      </c>
      <c r="AA3534" s="5" t="str">
        <f>HYPERLINK("https://www.zillow.com/homes/467-BOURBON-LN-NAPERVILLE-IL-60565_rb/","check listing")</f>
        <v>check listing</v>
      </c>
      <c r="AB3534" s="5" t="str">
        <f>HYPERLINK("https://propertylookup.dupagecounty.gov/Datalets/Datalet.aspx?UseSearch=no&amp;mode=sales&amp;pin=0832115038","sales record")</f>
        <v>sales record</v>
      </c>
      <c r="AC3534" t="s">
        <v>3</v>
      </c>
      <c r="AD3534">
        <v>41.735147</v>
      </c>
      <c r="AE3534">
        <v>-88.120148</v>
      </c>
      <c r="AF3534" s="5" t="str">
        <f>HYPERLINK("https://www.google.com/maps/search/?api=1&amp;query=41.735147,-88.120148","map")</f>
        <v>map</v>
      </c>
    </row>
    <row r="3535" spans="1:32">
      <c r="A3535" t="s">
        <v>3585</v>
      </c>
      <c r="B3535" t="s">
        <v>11118</v>
      </c>
      <c r="C3535" t="s">
        <v>15475</v>
      </c>
      <c r="D3535" t="s">
        <v>16206</v>
      </c>
      <c r="E3535" t="s">
        <v>16218</v>
      </c>
      <c r="F3535" t="s">
        <v>16220</v>
      </c>
      <c r="G3535" t="s">
        <v>16275</v>
      </c>
      <c r="H3535" t="s">
        <v>16276</v>
      </c>
      <c r="I3535" t="s">
        <v>16352</v>
      </c>
      <c r="J3535" t="s">
        <v>16386</v>
      </c>
      <c r="K3535">
        <v>0.163</v>
      </c>
      <c r="L3535">
        <v>7089</v>
      </c>
      <c r="M3535">
        <v>2143</v>
      </c>
      <c r="N3535" t="s">
        <v>16393</v>
      </c>
      <c r="O3535" s="4">
        <v>46367</v>
      </c>
      <c r="P3535" s="4">
        <v>98191</v>
      </c>
      <c r="Q3535" s="4">
        <v>144558</v>
      </c>
      <c r="R3535" s="4">
        <v>433674</v>
      </c>
      <c r="S3535" t="s">
        <v>19847</v>
      </c>
      <c r="T3535" s="6">
        <v>42705</v>
      </c>
      <c r="U3535" s="4">
        <v>262000</v>
      </c>
      <c r="V3535" t="s">
        <v>23739</v>
      </c>
      <c r="W3535" t="s">
        <v>19847</v>
      </c>
      <c r="X3535" t="s">
        <v>3</v>
      </c>
      <c r="AA3535" s="5" t="str">
        <f>HYPERLINK("https://www.zillow.com/homes/2311-THREE-FARMS-AVE-NAPERVILLE-IL-60540_rb/","check listing")</f>
        <v>check listing</v>
      </c>
      <c r="AB3535" s="5" t="str">
        <f>HYPERLINK("https://propertylookup.dupagecounty.gov/Datalets/Datalet.aspx?UseSearch=no&amp;mode=sales&amp;pin=0727206046","sales record")</f>
        <v>sales record</v>
      </c>
      <c r="AC3535" t="s">
        <v>3</v>
      </c>
      <c r="AD3535">
        <v>41.749291</v>
      </c>
      <c r="AE3535">
        <v>-88.193406</v>
      </c>
      <c r="AF3535" s="5" t="str">
        <f>HYPERLINK("https://www.google.com/maps/search/?api=1&amp;query=41.749291,-88.193406","map")</f>
        <v>map</v>
      </c>
    </row>
    <row r="3536" spans="1:32">
      <c r="A3536" t="s">
        <v>3586</v>
      </c>
      <c r="B3536" t="s">
        <v>11119</v>
      </c>
      <c r="C3536" t="s">
        <v>15598</v>
      </c>
      <c r="D3536" t="s">
        <v>16206</v>
      </c>
      <c r="E3536" t="s">
        <v>16218</v>
      </c>
      <c r="F3536" t="s">
        <v>16220</v>
      </c>
      <c r="G3536" t="s">
        <v>16274</v>
      </c>
      <c r="H3536" t="s">
        <v>16269</v>
      </c>
      <c r="I3536" t="s">
        <v>16352</v>
      </c>
      <c r="J3536" t="s">
        <v>16386</v>
      </c>
      <c r="K3536">
        <v>0.163</v>
      </c>
      <c r="L3536">
        <v>7085</v>
      </c>
      <c r="M3536">
        <v>1920</v>
      </c>
      <c r="N3536" t="s">
        <v>16393</v>
      </c>
      <c r="O3536" s="4">
        <v>48576</v>
      </c>
      <c r="P3536" s="4">
        <v>93296</v>
      </c>
      <c r="Q3536" s="4">
        <v>141872</v>
      </c>
      <c r="R3536" s="4">
        <v>425616</v>
      </c>
      <c r="S3536" t="s">
        <v>19848</v>
      </c>
      <c r="T3536" s="6">
        <v>43922</v>
      </c>
      <c r="U3536" s="4">
        <v>336000</v>
      </c>
      <c r="V3536" t="s">
        <v>23739</v>
      </c>
      <c r="W3536" t="s">
        <v>25512</v>
      </c>
      <c r="X3536" t="s">
        <v>3</v>
      </c>
      <c r="AA3536" s="5" t="str">
        <f>HYPERLINK("https://www.zillow.com/homes/1654-HINTERLONG-LN-NAPERVILLE-IL-605630458_rb/","check listing")</f>
        <v>check listing</v>
      </c>
      <c r="AB3536" s="5" t="str">
        <f>HYPERLINK("https://propertylookup.dupagecounty.gov/Datalets/Datalet.aspx?UseSearch=no&amp;mode=sales&amp;pin=0715206034","sales record")</f>
        <v>sales record</v>
      </c>
      <c r="AC3536" t="s">
        <v>3</v>
      </c>
      <c r="AD3536">
        <v>41.781407</v>
      </c>
      <c r="AE3536">
        <v>-88.19337</v>
      </c>
      <c r="AF3536" s="5" t="str">
        <f>HYPERLINK("https://www.google.com/maps/search/?api=1&amp;query=41.781407,-88.19337","map")</f>
        <v>map</v>
      </c>
    </row>
    <row r="3537" spans="1:32">
      <c r="A3537" t="s">
        <v>3587</v>
      </c>
      <c r="B3537" t="s">
        <v>11120</v>
      </c>
      <c r="C3537" t="s">
        <v>15599</v>
      </c>
      <c r="D3537" t="s">
        <v>16206</v>
      </c>
      <c r="E3537" t="s">
        <v>16218</v>
      </c>
      <c r="F3537" t="s">
        <v>16220</v>
      </c>
      <c r="G3537" t="s">
        <v>16275</v>
      </c>
      <c r="H3537" t="s">
        <v>16276</v>
      </c>
      <c r="I3537" t="s">
        <v>16352</v>
      </c>
      <c r="J3537" t="s">
        <v>16386</v>
      </c>
      <c r="K3537">
        <v>0.163</v>
      </c>
      <c r="L3537">
        <v>7083</v>
      </c>
      <c r="M3537">
        <v>1978</v>
      </c>
      <c r="N3537" t="s">
        <v>16393</v>
      </c>
      <c r="O3537" s="4">
        <v>49444</v>
      </c>
      <c r="P3537" s="4">
        <v>106197</v>
      </c>
      <c r="Q3537" s="4">
        <v>155641</v>
      </c>
      <c r="R3537" s="4">
        <v>466923</v>
      </c>
      <c r="S3537" t="s">
        <v>19849</v>
      </c>
      <c r="T3537" s="6">
        <v>44743</v>
      </c>
      <c r="U3537" s="4">
        <v>405000</v>
      </c>
      <c r="V3537" t="s">
        <v>23739</v>
      </c>
      <c r="W3537" t="s">
        <v>25513</v>
      </c>
      <c r="X3537" t="s">
        <v>3</v>
      </c>
      <c r="AA3537" s="5" t="str">
        <f>HYPERLINK("https://www.zillow.com/homes/2028-CROSSING-LN-NAPERVILLE-IL-605400984_rb/","check listing")</f>
        <v>check listing</v>
      </c>
      <c r="AB3537" s="5" t="str">
        <f>HYPERLINK("https://propertylookup.dupagecounty.gov/Datalets/Datalet.aspx?UseSearch=no&amp;mode=sales&amp;pin=0727204008","sales record")</f>
        <v>sales record</v>
      </c>
      <c r="AC3537" t="s">
        <v>3</v>
      </c>
      <c r="AD3537">
        <v>41.750369</v>
      </c>
      <c r="AE3537">
        <v>-88.187748</v>
      </c>
      <c r="AF3537" s="5" t="str">
        <f>HYPERLINK("https://www.google.com/maps/search/?api=1&amp;query=41.750369,-88.187748","map")</f>
        <v>map</v>
      </c>
    </row>
    <row r="3538" spans="1:32">
      <c r="A3538" t="s">
        <v>3588</v>
      </c>
      <c r="B3538" t="s">
        <v>11121</v>
      </c>
      <c r="C3538" t="s">
        <v>15600</v>
      </c>
      <c r="D3538" t="s">
        <v>16206</v>
      </c>
      <c r="E3538" t="s">
        <v>16218</v>
      </c>
      <c r="F3538" t="s">
        <v>16220</v>
      </c>
      <c r="G3538" t="s">
        <v>16275</v>
      </c>
      <c r="H3538" t="s">
        <v>16276</v>
      </c>
      <c r="I3538" t="s">
        <v>16352</v>
      </c>
      <c r="J3538" t="s">
        <v>16386</v>
      </c>
      <c r="K3538">
        <v>0.163</v>
      </c>
      <c r="L3538">
        <v>7079</v>
      </c>
      <c r="M3538">
        <v>1583</v>
      </c>
      <c r="N3538" t="s">
        <v>16393</v>
      </c>
      <c r="O3538" s="4">
        <v>49444</v>
      </c>
      <c r="P3538" s="4">
        <v>92527</v>
      </c>
      <c r="Q3538" s="4">
        <v>141971</v>
      </c>
      <c r="R3538" s="4">
        <v>425913</v>
      </c>
      <c r="S3538" t="s">
        <v>19850</v>
      </c>
      <c r="T3538" s="6">
        <v>45653</v>
      </c>
      <c r="U3538" s="4">
        <v>420000</v>
      </c>
      <c r="V3538" t="s">
        <v>23739</v>
      </c>
      <c r="W3538" t="s">
        <v>25514</v>
      </c>
      <c r="X3538" t="s">
        <v>3</v>
      </c>
      <c r="AA3538" s="5" t="str">
        <f>HYPERLINK("https://www.zillow.com/homes/1156-LAKEWOOD-CIR-NAPERVILLE-IL-605401901_rb/","check listing")</f>
        <v>check listing</v>
      </c>
      <c r="AB3538" s="5" t="str">
        <f>HYPERLINK("https://propertylookup.dupagecounty.gov/Datalets/Datalet.aspx?UseSearch=no&amp;mode=sales&amp;pin=0727206021","sales record")</f>
        <v>sales record</v>
      </c>
      <c r="AC3538" t="s">
        <v>3</v>
      </c>
      <c r="AD3538">
        <v>41.750093</v>
      </c>
      <c r="AE3538">
        <v>-88.190755</v>
      </c>
      <c r="AF3538" s="5" t="str">
        <f>HYPERLINK("https://www.google.com/maps/search/?api=1&amp;query=41.750093,-88.190755","map")</f>
        <v>map</v>
      </c>
    </row>
    <row r="3539" spans="1:32">
      <c r="A3539" t="s">
        <v>3589</v>
      </c>
      <c r="B3539" t="s">
        <v>11122</v>
      </c>
      <c r="C3539" t="s">
        <v>15559</v>
      </c>
      <c r="D3539" t="s">
        <v>16206</v>
      </c>
      <c r="E3539" t="s">
        <v>16218</v>
      </c>
      <c r="F3539" t="s">
        <v>16220</v>
      </c>
      <c r="G3539" t="s">
        <v>16269</v>
      </c>
      <c r="H3539" t="s">
        <v>16269</v>
      </c>
      <c r="I3539" t="s">
        <v>16352</v>
      </c>
      <c r="J3539" t="s">
        <v>16386</v>
      </c>
      <c r="K3539">
        <v>0.163</v>
      </c>
      <c r="L3539">
        <v>7079</v>
      </c>
      <c r="M3539">
        <v>2144</v>
      </c>
      <c r="N3539" t="s">
        <v>16393</v>
      </c>
      <c r="O3539" s="4">
        <v>71777</v>
      </c>
      <c r="P3539" s="4">
        <v>95133</v>
      </c>
      <c r="Q3539" s="4">
        <v>166910</v>
      </c>
      <c r="R3539" s="4">
        <v>500730</v>
      </c>
      <c r="S3539" t="s">
        <v>19851</v>
      </c>
      <c r="T3539" s="6">
        <v>44378</v>
      </c>
      <c r="U3539" s="4">
        <v>420000</v>
      </c>
      <c r="V3539" t="s">
        <v>23739</v>
      </c>
      <c r="W3539" t="s">
        <v>25515</v>
      </c>
      <c r="X3539" t="s">
        <v>3</v>
      </c>
      <c r="AA3539" s="5" t="str">
        <f>HYPERLINK("https://www.zillow.com/homes/408-BOURBON-LN-NAPERVILLE-IL-605652497_rb/","check listing")</f>
        <v>check listing</v>
      </c>
      <c r="AB3539" s="5" t="str">
        <f>HYPERLINK("https://propertylookup.dupagecounty.gov/Datalets/Datalet.aspx?UseSearch=no&amp;mode=sales&amp;pin=0832117002","sales record")</f>
        <v>sales record</v>
      </c>
      <c r="AC3539" t="s">
        <v>3</v>
      </c>
      <c r="AD3539">
        <v>41.734182</v>
      </c>
      <c r="AE3539">
        <v>-88.122573</v>
      </c>
      <c r="AF3539" s="5" t="str">
        <f>HYPERLINK("https://www.google.com/maps/search/?api=1&amp;query=41.734182,-88.122573","map")</f>
        <v>map</v>
      </c>
    </row>
    <row r="3540" spans="1:32">
      <c r="A3540" t="s">
        <v>3590</v>
      </c>
      <c r="B3540" t="s">
        <v>11123</v>
      </c>
      <c r="C3540" t="s">
        <v>15576</v>
      </c>
      <c r="D3540" t="s">
        <v>16206</v>
      </c>
      <c r="E3540" t="s">
        <v>16218</v>
      </c>
      <c r="F3540" t="s">
        <v>16220</v>
      </c>
      <c r="G3540" t="s">
        <v>16275</v>
      </c>
      <c r="H3540" t="s">
        <v>16276</v>
      </c>
      <c r="I3540" t="s">
        <v>16352</v>
      </c>
      <c r="J3540" t="s">
        <v>16386</v>
      </c>
      <c r="K3540">
        <v>0.162</v>
      </c>
      <c r="L3540">
        <v>7076</v>
      </c>
      <c r="M3540">
        <v>2460</v>
      </c>
      <c r="N3540" t="s">
        <v>16393</v>
      </c>
      <c r="O3540" s="4">
        <v>51103</v>
      </c>
      <c r="P3540" s="4">
        <v>113337</v>
      </c>
      <c r="Q3540" s="4">
        <v>164440</v>
      </c>
      <c r="R3540" s="4">
        <v>493320</v>
      </c>
      <c r="S3540" t="s">
        <v>19852</v>
      </c>
      <c r="T3540" s="6">
        <v>45824</v>
      </c>
      <c r="U3540" s="4">
        <v>500000</v>
      </c>
      <c r="V3540" t="s">
        <v>23739</v>
      </c>
      <c r="W3540" t="s">
        <v>25516</v>
      </c>
      <c r="X3540" t="s">
        <v>3</v>
      </c>
      <c r="AA3540" s="5" t="str">
        <f>HYPERLINK("https://www.zillow.com/homes/2115-PERIWINKLE-LN-NAPERVILLE-IL-605409221_rb/","check listing")</f>
        <v>check listing</v>
      </c>
      <c r="AB3540" s="5" t="str">
        <f>HYPERLINK("https://propertylookup.dupagecounty.gov/Datalets/Datalet.aspx?UseSearch=no&amp;mode=sales&amp;pin=0722409023","sales record")</f>
        <v>sales record</v>
      </c>
      <c r="AC3540" t="s">
        <v>3</v>
      </c>
      <c r="AD3540">
        <v>41.761143</v>
      </c>
      <c r="AE3540">
        <v>-88.19033</v>
      </c>
      <c r="AF3540" s="5" t="str">
        <f>HYPERLINK("https://www.google.com/maps/search/?api=1&amp;query=41.761143,-88.19033","map")</f>
        <v>map</v>
      </c>
    </row>
    <row r="3541" spans="1:32">
      <c r="A3541" t="s">
        <v>3591</v>
      </c>
      <c r="B3541" t="s">
        <v>11124</v>
      </c>
      <c r="C3541" t="s">
        <v>15475</v>
      </c>
      <c r="D3541" t="s">
        <v>16206</v>
      </c>
      <c r="E3541" t="s">
        <v>16218</v>
      </c>
      <c r="F3541" t="s">
        <v>16220</v>
      </c>
      <c r="G3541" t="s">
        <v>16276</v>
      </c>
      <c r="H3541" t="s">
        <v>16276</v>
      </c>
      <c r="I3541" t="s">
        <v>16352</v>
      </c>
      <c r="J3541" t="s">
        <v>16386</v>
      </c>
      <c r="K3541">
        <v>0.162</v>
      </c>
      <c r="L3541">
        <v>7076</v>
      </c>
      <c r="M3541">
        <v>2097</v>
      </c>
      <c r="N3541" t="s">
        <v>16393</v>
      </c>
      <c r="O3541" s="4">
        <v>49444</v>
      </c>
      <c r="P3541" s="4">
        <v>123004</v>
      </c>
      <c r="Q3541" s="4">
        <v>172448</v>
      </c>
      <c r="R3541" s="4">
        <v>517344</v>
      </c>
      <c r="S3541" t="s">
        <v>19853</v>
      </c>
      <c r="T3541" s="6">
        <v>45953</v>
      </c>
      <c r="U3541" s="4">
        <v>538000</v>
      </c>
      <c r="V3541" t="s">
        <v>23739</v>
      </c>
      <c r="W3541" t="s">
        <v>25517</v>
      </c>
      <c r="X3541" t="s">
        <v>3</v>
      </c>
      <c r="AA3541" s="5" t="str">
        <f>HYPERLINK("https://www.zillow.com/homes/1040-SANCTUARY-LN-NAPERVILLE-IL-60540_rb/","check listing")</f>
        <v>check listing</v>
      </c>
      <c r="AB3541" s="5" t="str">
        <f>HYPERLINK("https://propertylookup.dupagecounty.gov/Datalets/Datalet.aspx?UseSearch=no&amp;mode=sales&amp;pin=0727208001","sales record")</f>
        <v>sales record</v>
      </c>
      <c r="AC3541" t="s">
        <v>3</v>
      </c>
      <c r="AD3541">
        <v>41.752579</v>
      </c>
      <c r="AE3541">
        <v>-88.189252</v>
      </c>
      <c r="AF3541" s="5" t="str">
        <f>HYPERLINK("https://www.google.com/maps/search/?api=1&amp;query=41.752579,-88.189252","map")</f>
        <v>map</v>
      </c>
    </row>
    <row r="3542" spans="1:32">
      <c r="A3542" t="s">
        <v>3592</v>
      </c>
      <c r="B3542" t="s">
        <v>11125</v>
      </c>
      <c r="C3542" t="s">
        <v>15475</v>
      </c>
      <c r="D3542" t="s">
        <v>16206</v>
      </c>
      <c r="E3542" t="s">
        <v>16218</v>
      </c>
      <c r="F3542" t="s">
        <v>16220</v>
      </c>
      <c r="G3542" t="s">
        <v>16275</v>
      </c>
      <c r="H3542" t="s">
        <v>16276</v>
      </c>
      <c r="I3542" t="s">
        <v>16352</v>
      </c>
      <c r="J3542" t="s">
        <v>16386</v>
      </c>
      <c r="K3542">
        <v>0.162</v>
      </c>
      <c r="L3542">
        <v>7059</v>
      </c>
      <c r="M3542">
        <v>2130</v>
      </c>
      <c r="N3542" t="s">
        <v>16393</v>
      </c>
      <c r="O3542" s="4">
        <v>50993</v>
      </c>
      <c r="P3542" s="4">
        <v>109090</v>
      </c>
      <c r="Q3542" s="4">
        <v>160083</v>
      </c>
      <c r="R3542" s="4">
        <v>480249</v>
      </c>
      <c r="S3542" t="s">
        <v>19854</v>
      </c>
      <c r="T3542" s="6">
        <v>38687</v>
      </c>
      <c r="U3542" s="4">
        <v>310000</v>
      </c>
      <c r="V3542" t="s">
        <v>23739</v>
      </c>
      <c r="W3542" t="s">
        <v>25518</v>
      </c>
      <c r="X3542" t="s">
        <v>3</v>
      </c>
      <c r="AA3542" s="5" t="str">
        <f>HYPERLINK("https://www.zillow.com/homes/1155-LAKEWOOD-CIR-NAPERVILLE-IL-60540_rb/","check listing")</f>
        <v>check listing</v>
      </c>
      <c r="AB3542" s="5" t="str">
        <f>HYPERLINK("https://propertylookup.dupagecounty.gov/Datalets/Datalet.aspx?UseSearch=no&amp;mode=sales&amp;pin=0727205019","sales record")</f>
        <v>sales record</v>
      </c>
      <c r="AC3542" t="s">
        <v>3</v>
      </c>
      <c r="AD3542">
        <v>41.750298</v>
      </c>
      <c r="AE3542">
        <v>-88.19019299999999</v>
      </c>
      <c r="AF3542" s="5" t="str">
        <f>HYPERLINK("https://www.google.com/maps/search/?api=1&amp;query=41.750298,-88.190193","map")</f>
        <v>map</v>
      </c>
    </row>
    <row r="3543" spans="1:32">
      <c r="A3543" t="s">
        <v>3593</v>
      </c>
      <c r="B3543" t="s">
        <v>11126</v>
      </c>
      <c r="C3543" t="s">
        <v>15475</v>
      </c>
      <c r="D3543" t="s">
        <v>16206</v>
      </c>
      <c r="E3543" t="s">
        <v>16218</v>
      </c>
      <c r="F3543" t="s">
        <v>16220</v>
      </c>
      <c r="G3543" t="s">
        <v>16276</v>
      </c>
      <c r="H3543" t="s">
        <v>16276</v>
      </c>
      <c r="I3543" t="s">
        <v>16352</v>
      </c>
      <c r="J3543" t="s">
        <v>16386</v>
      </c>
      <c r="K3543">
        <v>0.162</v>
      </c>
      <c r="L3543">
        <v>7043</v>
      </c>
      <c r="M3543">
        <v>2227</v>
      </c>
      <c r="N3543" t="s">
        <v>16393</v>
      </c>
      <c r="O3543" s="4">
        <v>49444</v>
      </c>
      <c r="P3543" s="4">
        <v>117182</v>
      </c>
      <c r="Q3543" s="4">
        <v>166626</v>
      </c>
      <c r="R3543" s="4">
        <v>499878</v>
      </c>
      <c r="S3543" t="s">
        <v>19855</v>
      </c>
      <c r="T3543" s="6">
        <v>34731</v>
      </c>
      <c r="U3543" s="4">
        <v>186560</v>
      </c>
      <c r="X3543" t="s">
        <v>3</v>
      </c>
      <c r="AA3543" s="5" t="str">
        <f>HYPERLINK("https://www.zillow.com/homes/2127-SCHUMACHER-LN-NAPERVILLE-IL-60540_rb/","check listing")</f>
        <v>check listing</v>
      </c>
      <c r="AB3543" s="5" t="str">
        <f>HYPERLINK("https://propertylookup.dupagecounty.gov/Datalets/Datalet.aspx?UseSearch=no&amp;mode=sales&amp;pin=0727208012","sales record")</f>
        <v>sales record</v>
      </c>
      <c r="AC3543" t="s">
        <v>3</v>
      </c>
      <c r="AD3543">
        <v>41.752718</v>
      </c>
      <c r="AE3543">
        <v>-88.187883</v>
      </c>
      <c r="AF3543" s="5" t="str">
        <f>HYPERLINK("https://www.google.com/maps/search/?api=1&amp;query=41.752718,-88.187883","map")</f>
        <v>map</v>
      </c>
    </row>
    <row r="3544" spans="1:32">
      <c r="A3544" t="s">
        <v>3594</v>
      </c>
      <c r="B3544" t="s">
        <v>11127</v>
      </c>
      <c r="C3544" t="s">
        <v>15475</v>
      </c>
      <c r="D3544" t="s">
        <v>16206</v>
      </c>
      <c r="E3544" t="s">
        <v>16218</v>
      </c>
      <c r="F3544" t="s">
        <v>16220</v>
      </c>
      <c r="G3544" t="s">
        <v>16269</v>
      </c>
      <c r="H3544" t="s">
        <v>16269</v>
      </c>
      <c r="I3544" t="s">
        <v>16352</v>
      </c>
      <c r="J3544" t="s">
        <v>16386</v>
      </c>
      <c r="K3544">
        <v>0.162</v>
      </c>
      <c r="L3544">
        <v>7039</v>
      </c>
      <c r="M3544">
        <v>1319</v>
      </c>
      <c r="N3544" t="s">
        <v>16393</v>
      </c>
      <c r="O3544" s="4">
        <v>72515</v>
      </c>
      <c r="P3544" s="4">
        <v>89544</v>
      </c>
      <c r="Q3544" s="4">
        <v>162059</v>
      </c>
      <c r="R3544" s="4">
        <v>486177</v>
      </c>
      <c r="S3544" t="s">
        <v>19856</v>
      </c>
      <c r="T3544" s="6">
        <v>33451</v>
      </c>
      <c r="U3544" s="4">
        <v>149665</v>
      </c>
      <c r="X3544" t="s">
        <v>3</v>
      </c>
      <c r="AA3544" s="5" t="str">
        <f>HYPERLINK("https://www.zillow.com/homes/1724-CHALMETTE-CT-NAPERVILLE-IL-60540_rb/","check listing")</f>
        <v>check listing</v>
      </c>
      <c r="AB3544" s="5" t="str">
        <f>HYPERLINK("https://propertylookup.dupagecounty.gov/Datalets/Datalet.aspx?UseSearch=no&amp;mode=sales&amp;pin=0832114075","sales record")</f>
        <v>sales record</v>
      </c>
      <c r="AC3544" t="s">
        <v>3</v>
      </c>
      <c r="AD3544">
        <v>41.735316</v>
      </c>
      <c r="AE3544">
        <v>-88.12168800000001</v>
      </c>
      <c r="AF3544" s="5" t="str">
        <f>HYPERLINK("https://www.google.com/maps/search/?api=1&amp;query=41.735316,-88.121688","map")</f>
        <v>map</v>
      </c>
    </row>
    <row r="3545" spans="1:32">
      <c r="A3545" t="s">
        <v>3595</v>
      </c>
      <c r="B3545" t="s">
        <v>11128</v>
      </c>
      <c r="C3545" t="s">
        <v>15575</v>
      </c>
      <c r="D3545" t="s">
        <v>16206</v>
      </c>
      <c r="E3545" t="s">
        <v>16218</v>
      </c>
      <c r="F3545" t="s">
        <v>16220</v>
      </c>
      <c r="G3545" t="s">
        <v>16275</v>
      </c>
      <c r="H3545" t="s">
        <v>16276</v>
      </c>
      <c r="I3545" t="s">
        <v>16352</v>
      </c>
      <c r="J3545" t="s">
        <v>16386</v>
      </c>
      <c r="K3545">
        <v>0.162</v>
      </c>
      <c r="L3545">
        <v>7038</v>
      </c>
      <c r="M3545">
        <v>1648</v>
      </c>
      <c r="N3545" t="s">
        <v>16393</v>
      </c>
      <c r="O3545" s="4">
        <v>47905</v>
      </c>
      <c r="P3545" s="4">
        <v>104305</v>
      </c>
      <c r="Q3545" s="4">
        <v>152210</v>
      </c>
      <c r="R3545" s="4">
        <v>456630</v>
      </c>
      <c r="S3545" t="s">
        <v>19857</v>
      </c>
      <c r="T3545" s="6">
        <v>34851</v>
      </c>
      <c r="U3545" s="4">
        <v>170450</v>
      </c>
      <c r="X3545" t="s">
        <v>3</v>
      </c>
      <c r="AA3545" s="5" t="str">
        <f>HYPERLINK("https://www.zillow.com/homes/747-WILDFLOWER-CIR-NAPERVILLE-IL-605409241_rb/","check listing")</f>
        <v>check listing</v>
      </c>
      <c r="AB3545" s="5" t="str">
        <f>HYPERLINK("https://propertylookup.dupagecounty.gov/Datalets/Datalet.aspx?UseSearch=no&amp;mode=sales&amp;pin=0722407009","sales record")</f>
        <v>sales record</v>
      </c>
      <c r="AC3545" t="s">
        <v>3</v>
      </c>
      <c r="AD3545">
        <v>41.757393</v>
      </c>
      <c r="AE3545">
        <v>-88.194537</v>
      </c>
      <c r="AF3545" s="5" t="str">
        <f>HYPERLINK("https://www.google.com/maps/search/?api=1&amp;query=41.757393,-88.194537","map")</f>
        <v>map</v>
      </c>
    </row>
    <row r="3546" spans="1:32">
      <c r="A3546" t="s">
        <v>3596</v>
      </c>
      <c r="B3546" t="s">
        <v>11129</v>
      </c>
      <c r="C3546" t="s">
        <v>15601</v>
      </c>
      <c r="D3546" t="s">
        <v>16206</v>
      </c>
      <c r="E3546" t="s">
        <v>16218</v>
      </c>
      <c r="F3546" t="s">
        <v>16220</v>
      </c>
      <c r="G3546" t="s">
        <v>16275</v>
      </c>
      <c r="H3546" t="s">
        <v>16276</v>
      </c>
      <c r="I3546" t="s">
        <v>16352</v>
      </c>
      <c r="J3546" t="s">
        <v>16386</v>
      </c>
      <c r="K3546">
        <v>0.161</v>
      </c>
      <c r="L3546">
        <v>7028</v>
      </c>
      <c r="M3546">
        <v>1977</v>
      </c>
      <c r="N3546" t="s">
        <v>16393</v>
      </c>
      <c r="O3546" s="4">
        <v>55655</v>
      </c>
      <c r="P3546" s="4">
        <v>81494</v>
      </c>
      <c r="Q3546" s="4">
        <v>137149</v>
      </c>
      <c r="R3546" s="4">
        <v>411447</v>
      </c>
      <c r="S3546" t="s">
        <v>19858</v>
      </c>
      <c r="T3546" s="6">
        <v>45551</v>
      </c>
      <c r="U3546" s="4">
        <v>437750</v>
      </c>
      <c r="V3546" t="s">
        <v>23739</v>
      </c>
      <c r="W3546" t="s">
        <v>25519</v>
      </c>
      <c r="X3546" t="s">
        <v>3</v>
      </c>
      <c r="AA3546" s="5" t="str">
        <f>HYPERLINK("https://www.zillow.com/homes/1107-WILLARD-CT-NAPERVILLE-IL-605400994_rb/","check listing")</f>
        <v>check listing</v>
      </c>
      <c r="AB3546" s="5" t="str">
        <f>HYPERLINK("https://propertylookup.dupagecounty.gov/Datalets/Datalet.aspx?UseSearch=no&amp;mode=sales&amp;pin=0727203011","sales record")</f>
        <v>sales record</v>
      </c>
      <c r="AC3546" t="s">
        <v>3</v>
      </c>
      <c r="AD3546">
        <v>41.750894</v>
      </c>
      <c r="AE3546">
        <v>-88.187279</v>
      </c>
      <c r="AF3546" s="5" t="str">
        <f>HYPERLINK("https://www.google.com/maps/search/?api=1&amp;query=41.750894,-88.187279","map")</f>
        <v>map</v>
      </c>
    </row>
    <row r="3547" spans="1:32">
      <c r="A3547" t="s">
        <v>3597</v>
      </c>
      <c r="B3547" t="s">
        <v>11130</v>
      </c>
      <c r="C3547" t="s">
        <v>15478</v>
      </c>
      <c r="D3547" t="s">
        <v>16206</v>
      </c>
      <c r="E3547" t="s">
        <v>16218</v>
      </c>
      <c r="F3547" t="s">
        <v>16220</v>
      </c>
      <c r="G3547" t="s">
        <v>16274</v>
      </c>
      <c r="H3547" t="s">
        <v>16269</v>
      </c>
      <c r="I3547" t="s">
        <v>16352</v>
      </c>
      <c r="J3547" t="s">
        <v>16386</v>
      </c>
      <c r="K3547">
        <v>0.161</v>
      </c>
      <c r="L3547">
        <v>7026</v>
      </c>
      <c r="M3547">
        <v>2348</v>
      </c>
      <c r="N3547" t="s">
        <v>16393</v>
      </c>
      <c r="O3547" s="4">
        <v>48576</v>
      </c>
      <c r="P3547" s="4">
        <v>125933</v>
      </c>
      <c r="Q3547" s="4">
        <v>174509</v>
      </c>
      <c r="R3547" s="4">
        <v>523527</v>
      </c>
      <c r="S3547" t="s">
        <v>19859</v>
      </c>
      <c r="T3547" s="6">
        <v>40299</v>
      </c>
      <c r="U3547" s="4">
        <v>322500</v>
      </c>
      <c r="V3547" t="s">
        <v>23739</v>
      </c>
      <c r="W3547" t="s">
        <v>19859</v>
      </c>
      <c r="X3547" t="s">
        <v>3</v>
      </c>
      <c r="AA3547" s="5" t="str">
        <f>HYPERLINK("https://www.zillow.com/homes/1607-LOIS-ANN-LN-NAPERVILLE-IL-60563_rb/","check listing")</f>
        <v>check listing</v>
      </c>
      <c r="AB3547" s="5" t="str">
        <f>HYPERLINK("https://propertylookup.dupagecounty.gov/Datalets/Datalet.aspx?UseSearch=no&amp;mode=sales&amp;pin=0715203019","sales record")</f>
        <v>sales record</v>
      </c>
      <c r="AC3547" t="s">
        <v>3</v>
      </c>
      <c r="AD3547">
        <v>41.782939</v>
      </c>
      <c r="AE3547">
        <v>-88.191654</v>
      </c>
      <c r="AF3547" s="5" t="str">
        <f>HYPERLINK("https://www.google.com/maps/search/?api=1&amp;query=41.782939,-88.191654","map")</f>
        <v>map</v>
      </c>
    </row>
    <row r="3548" spans="1:32">
      <c r="A3548" t="s">
        <v>3598</v>
      </c>
      <c r="B3548" t="s">
        <v>11131</v>
      </c>
      <c r="C3548" t="s">
        <v>15475</v>
      </c>
      <c r="D3548" t="s">
        <v>16206</v>
      </c>
      <c r="E3548" t="s">
        <v>16218</v>
      </c>
      <c r="F3548" t="s">
        <v>16220</v>
      </c>
      <c r="G3548" t="s">
        <v>16275</v>
      </c>
      <c r="H3548" t="s">
        <v>16276</v>
      </c>
      <c r="I3548" t="s">
        <v>16352</v>
      </c>
      <c r="J3548" t="s">
        <v>16386</v>
      </c>
      <c r="K3548">
        <v>0.161</v>
      </c>
      <c r="L3548">
        <v>7024</v>
      </c>
      <c r="M3548">
        <v>2095</v>
      </c>
      <c r="N3548" t="s">
        <v>16393</v>
      </c>
      <c r="O3548" s="4">
        <v>40168</v>
      </c>
      <c r="P3548" s="4">
        <v>102255</v>
      </c>
      <c r="Q3548" s="4">
        <v>142423</v>
      </c>
      <c r="R3548" s="4">
        <v>427269</v>
      </c>
      <c r="S3548" t="s">
        <v>19860</v>
      </c>
      <c r="T3548" s="6">
        <v>34547</v>
      </c>
      <c r="U3548" s="4">
        <v>159160</v>
      </c>
      <c r="X3548" t="s">
        <v>3</v>
      </c>
      <c r="AA3548" s="5" t="str">
        <f>HYPERLINK("https://www.zillow.com/homes/1231-LAKEWOOD-CIR-NAPERVILLE-IL-60540_rb/","check listing")</f>
        <v>check listing</v>
      </c>
      <c r="AB3548" s="5" t="str">
        <f>HYPERLINK("https://propertylookup.dupagecounty.gov/Datalets/Datalet.aspx?UseSearch=no&amp;mode=sales&amp;pin=0727201046","sales record")</f>
        <v>sales record</v>
      </c>
      <c r="AC3548" t="s">
        <v>3</v>
      </c>
      <c r="AD3548">
        <v>41.747792</v>
      </c>
      <c r="AE3548">
        <v>-88.191496</v>
      </c>
      <c r="AF3548" s="5" t="str">
        <f>HYPERLINK("https://www.google.com/maps/search/?api=1&amp;query=41.747792,-88.191496","map")</f>
        <v>map</v>
      </c>
    </row>
    <row r="3549" spans="1:32">
      <c r="A3549" t="s">
        <v>3599</v>
      </c>
      <c r="B3549" t="s">
        <v>11132</v>
      </c>
      <c r="C3549" t="s">
        <v>15475</v>
      </c>
      <c r="D3549" t="s">
        <v>16206</v>
      </c>
      <c r="E3549" t="s">
        <v>16218</v>
      </c>
      <c r="F3549" t="s">
        <v>16220</v>
      </c>
      <c r="G3549" t="s">
        <v>16275</v>
      </c>
      <c r="H3549" t="s">
        <v>16276</v>
      </c>
      <c r="I3549" t="s">
        <v>16352</v>
      </c>
      <c r="J3549" t="s">
        <v>16386</v>
      </c>
      <c r="K3549">
        <v>0.161</v>
      </c>
      <c r="L3549">
        <v>7021</v>
      </c>
      <c r="M3549">
        <v>1978</v>
      </c>
      <c r="N3549" t="s">
        <v>16393</v>
      </c>
      <c r="O3549" s="4">
        <v>47905</v>
      </c>
      <c r="P3549" s="4">
        <v>113032</v>
      </c>
      <c r="Q3549" s="4">
        <v>160937</v>
      </c>
      <c r="R3549" s="4">
        <v>482811</v>
      </c>
      <c r="S3549" t="s">
        <v>19861</v>
      </c>
      <c r="T3549" s="6">
        <v>36739</v>
      </c>
      <c r="U3549" s="4">
        <v>224900</v>
      </c>
      <c r="V3549" t="s">
        <v>23739</v>
      </c>
      <c r="W3549" t="s">
        <v>25520</v>
      </c>
      <c r="X3549" t="s">
        <v>3</v>
      </c>
      <c r="AA3549" s="5" t="str">
        <f>HYPERLINK("https://www.zillow.com/homes/743-WILDFLOWER-CIR-NAPERVILLE-IL-60540_rb/","check listing")</f>
        <v>check listing</v>
      </c>
      <c r="AB3549" s="5" t="str">
        <f>HYPERLINK("https://propertylookup.dupagecounty.gov/Datalets/Datalet.aspx?UseSearch=no&amp;mode=sales&amp;pin=0722407010","sales record")</f>
        <v>sales record</v>
      </c>
      <c r="AC3549" t="s">
        <v>3</v>
      </c>
      <c r="AD3549">
        <v>41.757448</v>
      </c>
      <c r="AE3549">
        <v>-88.19435300000001</v>
      </c>
      <c r="AF3549" s="5" t="str">
        <f>HYPERLINK("https://www.google.com/maps/search/?api=1&amp;query=41.757448,-88.194353","map")</f>
        <v>map</v>
      </c>
    </row>
    <row r="3550" spans="1:32">
      <c r="A3550" t="s">
        <v>3600</v>
      </c>
      <c r="B3550" t="s">
        <v>11133</v>
      </c>
      <c r="C3550" t="s">
        <v>15591</v>
      </c>
      <c r="D3550" t="s">
        <v>16206</v>
      </c>
      <c r="E3550" t="s">
        <v>16218</v>
      </c>
      <c r="F3550" t="s">
        <v>16220</v>
      </c>
      <c r="G3550" t="s">
        <v>16275</v>
      </c>
      <c r="H3550" t="s">
        <v>16276</v>
      </c>
      <c r="I3550" t="s">
        <v>16352</v>
      </c>
      <c r="J3550" t="s">
        <v>16386</v>
      </c>
      <c r="K3550">
        <v>0.161</v>
      </c>
      <c r="L3550">
        <v>7017</v>
      </c>
      <c r="M3550">
        <v>1978</v>
      </c>
      <c r="N3550" t="s">
        <v>16393</v>
      </c>
      <c r="O3550" s="4">
        <v>49444</v>
      </c>
      <c r="P3550" s="4">
        <v>103146</v>
      </c>
      <c r="Q3550" s="4">
        <v>152590</v>
      </c>
      <c r="R3550" s="4">
        <v>457770</v>
      </c>
      <c r="S3550" t="s">
        <v>19862</v>
      </c>
      <c r="T3550" s="6">
        <v>40603</v>
      </c>
      <c r="U3550" s="4">
        <v>278000</v>
      </c>
      <c r="V3550" t="s">
        <v>23739</v>
      </c>
      <c r="W3550" t="s">
        <v>25521</v>
      </c>
      <c r="X3550" t="s">
        <v>3</v>
      </c>
      <c r="AA3550" s="5" t="str">
        <f>HYPERLINK("https://www.zillow.com/homes/1039-LAKEWOOD-CIR-NAPERVILLE-IL-605400998_rb/","check listing")</f>
        <v>check listing</v>
      </c>
      <c r="AB3550" s="5" t="str">
        <f>HYPERLINK("https://propertylookup.dupagecounty.gov/Datalets/Datalet.aspx?UseSearch=no&amp;mode=sales&amp;pin=0727207012","sales record")</f>
        <v>sales record</v>
      </c>
      <c r="AC3550" t="s">
        <v>3</v>
      </c>
      <c r="AD3550">
        <v>41.75072</v>
      </c>
      <c r="AE3550">
        <v>-88.19359300000001</v>
      </c>
      <c r="AF3550" s="5" t="str">
        <f>HYPERLINK("https://www.google.com/maps/search/?api=1&amp;query=41.75072,-88.193593","map")</f>
        <v>map</v>
      </c>
    </row>
    <row r="3551" spans="1:32">
      <c r="A3551" t="s">
        <v>3601</v>
      </c>
      <c r="B3551" t="s">
        <v>11134</v>
      </c>
      <c r="C3551" t="s">
        <v>15475</v>
      </c>
      <c r="D3551" t="s">
        <v>16206</v>
      </c>
      <c r="E3551" t="s">
        <v>16218</v>
      </c>
      <c r="F3551" t="s">
        <v>16220</v>
      </c>
      <c r="G3551" t="s">
        <v>16275</v>
      </c>
      <c r="H3551" t="s">
        <v>16276</v>
      </c>
      <c r="I3551" t="s">
        <v>16352</v>
      </c>
      <c r="J3551" t="s">
        <v>16386</v>
      </c>
      <c r="K3551">
        <v>0.161</v>
      </c>
      <c r="L3551">
        <v>7016</v>
      </c>
      <c r="M3551">
        <v>1980</v>
      </c>
      <c r="N3551" t="s">
        <v>16393</v>
      </c>
      <c r="O3551" s="4">
        <v>37079</v>
      </c>
      <c r="P3551" s="4">
        <v>88829</v>
      </c>
      <c r="Q3551" s="4">
        <v>125908</v>
      </c>
      <c r="R3551" s="4">
        <v>377724</v>
      </c>
      <c r="S3551" t="s">
        <v>19863</v>
      </c>
      <c r="T3551" s="6">
        <v>35855</v>
      </c>
      <c r="U3551" s="4">
        <v>155000</v>
      </c>
      <c r="X3551" t="s">
        <v>3</v>
      </c>
      <c r="AA3551" s="5" t="str">
        <f>HYPERLINK("https://www.zillow.com/homes/2003-CROSSING-LN-NAPERVILLE-IL-60540_rb/","check listing")</f>
        <v>check listing</v>
      </c>
      <c r="AB3551" s="5" t="str">
        <f>HYPERLINK("https://propertylookup.dupagecounty.gov/Datalets/Datalet.aspx?UseSearch=no&amp;mode=sales&amp;pin=0727203021","sales record")</f>
        <v>sales record</v>
      </c>
      <c r="AC3551" t="s">
        <v>3</v>
      </c>
      <c r="AD3551">
        <v>41.749616</v>
      </c>
      <c r="AE3551">
        <v>-88.186825</v>
      </c>
      <c r="AF3551" s="5" t="str">
        <f>HYPERLINK("https://www.google.com/maps/search/?api=1&amp;query=41.749616,-88.186825","map")</f>
        <v>map</v>
      </c>
    </row>
    <row r="3552" spans="1:32">
      <c r="A3552" t="s">
        <v>3602</v>
      </c>
      <c r="B3552" t="s">
        <v>11135</v>
      </c>
      <c r="C3552" t="s">
        <v>15475</v>
      </c>
      <c r="D3552" t="s">
        <v>16206</v>
      </c>
      <c r="E3552" t="s">
        <v>16218</v>
      </c>
      <c r="F3552" t="s">
        <v>16220</v>
      </c>
      <c r="G3552" t="s">
        <v>16275</v>
      </c>
      <c r="H3552" t="s">
        <v>16276</v>
      </c>
      <c r="I3552" t="s">
        <v>16352</v>
      </c>
      <c r="J3552" t="s">
        <v>16386</v>
      </c>
      <c r="K3552">
        <v>0.161</v>
      </c>
      <c r="L3552">
        <v>7001</v>
      </c>
      <c r="M3552">
        <v>1979</v>
      </c>
      <c r="N3552" t="s">
        <v>16393</v>
      </c>
      <c r="O3552" s="4">
        <v>49444</v>
      </c>
      <c r="P3552" s="4">
        <v>108236</v>
      </c>
      <c r="Q3552" s="4">
        <v>157680</v>
      </c>
      <c r="R3552" s="4">
        <v>473040</v>
      </c>
      <c r="S3552" t="s">
        <v>19864</v>
      </c>
      <c r="T3552" s="6">
        <v>41487</v>
      </c>
      <c r="U3552" s="4">
        <v>295000</v>
      </c>
      <c r="V3552" t="s">
        <v>23739</v>
      </c>
      <c r="W3552" t="s">
        <v>25522</v>
      </c>
      <c r="X3552" t="s">
        <v>3</v>
      </c>
      <c r="AA3552" s="5" t="str">
        <f>HYPERLINK("https://www.zillow.com/homes/1172-LAKEWOOD-CIR-NAPERVILLE-IL-60540_rb/","check listing")</f>
        <v>check listing</v>
      </c>
      <c r="AB3552" s="5" t="str">
        <f>HYPERLINK("https://propertylookup.dupagecounty.gov/Datalets/Datalet.aspx?UseSearch=no&amp;mode=sales&amp;pin=0727206024","sales record")</f>
        <v>sales record</v>
      </c>
      <c r="AC3552" t="s">
        <v>3</v>
      </c>
      <c r="AD3552">
        <v>41.749553</v>
      </c>
      <c r="AE3552">
        <v>-88.190787</v>
      </c>
      <c r="AF3552" s="5" t="str">
        <f>HYPERLINK("https://www.google.com/maps/search/?api=1&amp;query=41.749553,-88.190787","map")</f>
        <v>map</v>
      </c>
    </row>
    <row r="3553" spans="1:32">
      <c r="A3553" t="s">
        <v>3603</v>
      </c>
      <c r="B3553" t="s">
        <v>11136</v>
      </c>
      <c r="C3553" t="s">
        <v>15478</v>
      </c>
      <c r="D3553" t="s">
        <v>16206</v>
      </c>
      <c r="E3553" t="s">
        <v>16218</v>
      </c>
      <c r="F3553" t="s">
        <v>16220</v>
      </c>
      <c r="G3553" t="s">
        <v>16274</v>
      </c>
      <c r="H3553" t="s">
        <v>16269</v>
      </c>
      <c r="I3553" t="s">
        <v>16352</v>
      </c>
      <c r="J3553" t="s">
        <v>16386</v>
      </c>
      <c r="K3553">
        <v>0.161</v>
      </c>
      <c r="L3553">
        <v>6997</v>
      </c>
      <c r="M3553">
        <v>2053</v>
      </c>
      <c r="N3553" t="s">
        <v>16393</v>
      </c>
      <c r="O3553" s="4">
        <v>48576</v>
      </c>
      <c r="P3553" s="4">
        <v>94272</v>
      </c>
      <c r="Q3553" s="4">
        <v>142848</v>
      </c>
      <c r="R3553" s="4">
        <v>428544</v>
      </c>
      <c r="S3553" t="s">
        <v>19865</v>
      </c>
      <c r="T3553" s="6">
        <v>38473</v>
      </c>
      <c r="U3553" s="4">
        <v>299000</v>
      </c>
      <c r="V3553" t="s">
        <v>23739</v>
      </c>
      <c r="W3553" t="s">
        <v>25523</v>
      </c>
      <c r="X3553" t="s">
        <v>3</v>
      </c>
      <c r="AA3553" s="5" t="str">
        <f>HYPERLINK("https://www.zillow.com/homes/1619-TERRI-CIR-NAPERVILLE-IL-60563_rb/","check listing")</f>
        <v>check listing</v>
      </c>
      <c r="AB3553" s="5" t="str">
        <f>HYPERLINK("https://propertylookup.dupagecounty.gov/Datalets/Datalet.aspx?UseSearch=no&amp;mode=sales&amp;pin=0715204023","sales record")</f>
        <v>sales record</v>
      </c>
      <c r="AC3553" t="s">
        <v>3</v>
      </c>
      <c r="AD3553">
        <v>41.782163</v>
      </c>
      <c r="AE3553">
        <v>-88.191401</v>
      </c>
      <c r="AF3553" s="5" t="str">
        <f>HYPERLINK("https://www.google.com/maps/search/?api=1&amp;query=41.782163,-88.191401","map")</f>
        <v>map</v>
      </c>
    </row>
    <row r="3554" spans="1:32">
      <c r="A3554" t="s">
        <v>3604</v>
      </c>
      <c r="B3554" t="s">
        <v>11137</v>
      </c>
      <c r="C3554" t="s">
        <v>15478</v>
      </c>
      <c r="D3554" t="s">
        <v>16206</v>
      </c>
      <c r="E3554" t="s">
        <v>16218</v>
      </c>
      <c r="F3554" t="s">
        <v>16220</v>
      </c>
      <c r="G3554" t="s">
        <v>16274</v>
      </c>
      <c r="H3554" t="s">
        <v>16269</v>
      </c>
      <c r="I3554" t="s">
        <v>16352</v>
      </c>
      <c r="J3554" t="s">
        <v>16386</v>
      </c>
      <c r="K3554">
        <v>0.161</v>
      </c>
      <c r="L3554">
        <v>6995</v>
      </c>
      <c r="M3554">
        <v>2119</v>
      </c>
      <c r="N3554" t="s">
        <v>16393</v>
      </c>
      <c r="O3554" s="4">
        <v>48576</v>
      </c>
      <c r="P3554" s="4">
        <v>94272</v>
      </c>
      <c r="Q3554" s="4">
        <v>142848</v>
      </c>
      <c r="R3554" s="4">
        <v>428544</v>
      </c>
      <c r="S3554" t="s">
        <v>19866</v>
      </c>
      <c r="T3554" s="6">
        <v>46098</v>
      </c>
      <c r="U3554" s="4">
        <v>505000</v>
      </c>
      <c r="V3554" t="s">
        <v>23739</v>
      </c>
      <c r="W3554" t="s">
        <v>25524</v>
      </c>
      <c r="X3554" t="s">
        <v>3</v>
      </c>
      <c r="AA3554" s="5" t="str">
        <f>HYPERLINK("https://www.zillow.com/homes/1595-LOIS-ANN-LN-NAPERVILLE-IL-60563_rb/","check listing")</f>
        <v>check listing</v>
      </c>
      <c r="AB3554" s="5" t="str">
        <f>HYPERLINK("https://propertylookup.dupagecounty.gov/Datalets/Datalet.aspx?UseSearch=no&amp;mode=sales&amp;pin=0715203022","sales record")</f>
        <v>sales record</v>
      </c>
      <c r="AC3554" t="s">
        <v>3</v>
      </c>
      <c r="AD3554">
        <v>41.783087</v>
      </c>
      <c r="AE3554">
        <v>-88.191005</v>
      </c>
      <c r="AF3554" s="5" t="str">
        <f>HYPERLINK("https://www.google.com/maps/search/?api=1&amp;query=41.783087,-88.191005","map")</f>
        <v>map</v>
      </c>
    </row>
    <row r="3555" spans="1:32">
      <c r="A3555" t="s">
        <v>3605</v>
      </c>
      <c r="B3555" t="s">
        <v>11138</v>
      </c>
      <c r="C3555" t="s">
        <v>15478</v>
      </c>
      <c r="D3555" t="s">
        <v>16206</v>
      </c>
      <c r="E3555" t="s">
        <v>16218</v>
      </c>
      <c r="F3555" t="s">
        <v>16220</v>
      </c>
      <c r="G3555" t="s">
        <v>16274</v>
      </c>
      <c r="H3555" t="s">
        <v>16269</v>
      </c>
      <c r="I3555" t="s">
        <v>16352</v>
      </c>
      <c r="J3555" t="s">
        <v>16386</v>
      </c>
      <c r="K3555">
        <v>0.16</v>
      </c>
      <c r="L3555">
        <v>6989</v>
      </c>
      <c r="M3555">
        <v>1996</v>
      </c>
      <c r="N3555" t="s">
        <v>16393</v>
      </c>
      <c r="O3555" s="4">
        <v>48576</v>
      </c>
      <c r="P3555" s="4">
        <v>117475</v>
      </c>
      <c r="Q3555" s="4">
        <v>166051</v>
      </c>
      <c r="R3555" s="4">
        <v>498153</v>
      </c>
      <c r="S3555" t="s">
        <v>19867</v>
      </c>
      <c r="T3555" s="6">
        <v>36373</v>
      </c>
      <c r="U3555" s="4">
        <v>229000</v>
      </c>
      <c r="X3555" t="s">
        <v>3</v>
      </c>
      <c r="AA3555" s="5" t="str">
        <f>HYPERLINK("https://www.zillow.com/homes/1662-HINTERLONG-LN-NAPERVILLE-IL-60563_rb/","check listing")</f>
        <v>check listing</v>
      </c>
      <c r="AB3555" s="5" t="str">
        <f>HYPERLINK("https://propertylookup.dupagecounty.gov/Datalets/Datalet.aspx?UseSearch=no&amp;mode=sales&amp;pin=0715206036","sales record")</f>
        <v>sales record</v>
      </c>
      <c r="AC3555" t="s">
        <v>3</v>
      </c>
      <c r="AD3555">
        <v>41.781644</v>
      </c>
      <c r="AE3555">
        <v>-88.193697</v>
      </c>
      <c r="AF3555" s="5" t="str">
        <f>HYPERLINK("https://www.google.com/maps/search/?api=1&amp;query=41.781644,-88.193697","map")</f>
        <v>map</v>
      </c>
    </row>
    <row r="3556" spans="1:32">
      <c r="A3556" t="s">
        <v>3606</v>
      </c>
      <c r="B3556" t="s">
        <v>11139</v>
      </c>
      <c r="C3556" t="s">
        <v>15475</v>
      </c>
      <c r="D3556" t="s">
        <v>16206</v>
      </c>
      <c r="E3556" t="s">
        <v>16218</v>
      </c>
      <c r="F3556" t="s">
        <v>16220</v>
      </c>
      <c r="G3556" t="s">
        <v>16275</v>
      </c>
      <c r="H3556" t="s">
        <v>16276</v>
      </c>
      <c r="I3556" t="s">
        <v>16352</v>
      </c>
      <c r="J3556" t="s">
        <v>16386</v>
      </c>
      <c r="K3556">
        <v>0.16</v>
      </c>
      <c r="L3556">
        <v>6986</v>
      </c>
      <c r="M3556">
        <v>2142</v>
      </c>
      <c r="N3556" t="s">
        <v>16393</v>
      </c>
      <c r="O3556" s="4">
        <v>47905</v>
      </c>
      <c r="P3556" s="4">
        <v>120074</v>
      </c>
      <c r="Q3556" s="4">
        <v>167979</v>
      </c>
      <c r="R3556" s="4">
        <v>503937</v>
      </c>
      <c r="S3556" t="s">
        <v>19868</v>
      </c>
      <c r="T3556" s="6">
        <v>34912</v>
      </c>
      <c r="U3556" s="4">
        <v>202937</v>
      </c>
      <c r="X3556" t="s">
        <v>3</v>
      </c>
      <c r="AA3556" s="5" t="str">
        <f>HYPERLINK("https://www.zillow.com/homes/2104-PERIWINKLE-LN-NAPERVILLE-IL-60540_rb/","check listing")</f>
        <v>check listing</v>
      </c>
      <c r="AB3556" s="5" t="str">
        <f>HYPERLINK("https://propertylookup.dupagecounty.gov/Datalets/Datalet.aspx?UseSearch=no&amp;mode=sales&amp;pin=0722410015","sales record")</f>
        <v>sales record</v>
      </c>
      <c r="AC3556" t="s">
        <v>3</v>
      </c>
      <c r="AD3556">
        <v>41.760748</v>
      </c>
      <c r="AE3556">
        <v>-88.189699</v>
      </c>
      <c r="AF3556" s="5" t="str">
        <f>HYPERLINK("https://www.google.com/maps/search/?api=1&amp;query=41.760748,-88.189699","map")</f>
        <v>map</v>
      </c>
    </row>
    <row r="3557" spans="1:32">
      <c r="A3557" t="s">
        <v>3607</v>
      </c>
      <c r="B3557" t="s">
        <v>11140</v>
      </c>
      <c r="C3557" t="s">
        <v>15475</v>
      </c>
      <c r="D3557" t="s">
        <v>16206</v>
      </c>
      <c r="E3557" t="s">
        <v>16218</v>
      </c>
      <c r="F3557" t="s">
        <v>16220</v>
      </c>
      <c r="G3557" t="s">
        <v>16276</v>
      </c>
      <c r="H3557" t="s">
        <v>16276</v>
      </c>
      <c r="I3557" t="s">
        <v>16352</v>
      </c>
      <c r="J3557" t="s">
        <v>16386</v>
      </c>
      <c r="K3557">
        <v>0.16</v>
      </c>
      <c r="L3557">
        <v>6981</v>
      </c>
      <c r="M3557">
        <v>2163</v>
      </c>
      <c r="N3557" t="s">
        <v>16393</v>
      </c>
      <c r="O3557" s="4">
        <v>49444</v>
      </c>
      <c r="P3557" s="4">
        <v>132756</v>
      </c>
      <c r="Q3557" s="4">
        <v>182200</v>
      </c>
      <c r="R3557" s="4">
        <v>546600</v>
      </c>
      <c r="S3557" t="s">
        <v>19869</v>
      </c>
      <c r="T3557" s="6">
        <v>42552</v>
      </c>
      <c r="U3557" s="4">
        <v>362500</v>
      </c>
      <c r="V3557" t="s">
        <v>23739</v>
      </c>
      <c r="W3557" t="s">
        <v>25525</v>
      </c>
      <c r="X3557" t="s">
        <v>3</v>
      </c>
      <c r="AA3557" s="5" t="str">
        <f>HYPERLINK("https://www.zillow.com/homes/1047-SANCTUARY-LN-NAPERVILLE-IL-60540_rb/","check listing")</f>
        <v>check listing</v>
      </c>
      <c r="AB3557" s="5" t="str">
        <f>HYPERLINK("https://propertylookup.dupagecounty.gov/Datalets/Datalet.aspx?UseSearch=no&amp;mode=sales&amp;pin=0727209020","sales record")</f>
        <v>sales record</v>
      </c>
      <c r="AC3557" t="s">
        <v>3</v>
      </c>
      <c r="AD3557">
        <v>41.752874</v>
      </c>
      <c r="AE3557">
        <v>-88.189984</v>
      </c>
      <c r="AF3557" s="5" t="str">
        <f>HYPERLINK("https://www.google.com/maps/search/?api=1&amp;query=41.752874,-88.189984","map")</f>
        <v>map</v>
      </c>
    </row>
    <row r="3558" spans="1:32">
      <c r="A3558" t="s">
        <v>3608</v>
      </c>
      <c r="B3558" t="s">
        <v>11141</v>
      </c>
      <c r="C3558" t="s">
        <v>15478</v>
      </c>
      <c r="D3558" t="s">
        <v>16206</v>
      </c>
      <c r="E3558" t="s">
        <v>16218</v>
      </c>
      <c r="F3558" t="s">
        <v>16220</v>
      </c>
      <c r="G3558" t="s">
        <v>16274</v>
      </c>
      <c r="H3558" t="s">
        <v>16269</v>
      </c>
      <c r="I3558" t="s">
        <v>16352</v>
      </c>
      <c r="J3558" t="s">
        <v>16386</v>
      </c>
      <c r="K3558">
        <v>0.16</v>
      </c>
      <c r="L3558">
        <v>6978</v>
      </c>
      <c r="M3558">
        <v>2639</v>
      </c>
      <c r="N3558" t="s">
        <v>16393</v>
      </c>
      <c r="O3558" s="4">
        <v>48576</v>
      </c>
      <c r="P3558" s="4">
        <v>99460</v>
      </c>
      <c r="Q3558" s="4">
        <v>148036</v>
      </c>
      <c r="R3558" s="4">
        <v>444108</v>
      </c>
      <c r="S3558" t="s">
        <v>19870</v>
      </c>
      <c r="T3558" s="6">
        <v>42339</v>
      </c>
      <c r="U3558" s="4">
        <v>269000</v>
      </c>
      <c r="V3558" t="s">
        <v>23739</v>
      </c>
      <c r="W3558" t="s">
        <v>25526</v>
      </c>
      <c r="X3558" t="s">
        <v>3</v>
      </c>
      <c r="AA3558" s="5" t="str">
        <f>HYPERLINK("https://www.zillow.com/homes/1630-HINTERLONG-LN-NAPERVILLE-IL-60563_rb/","check listing")</f>
        <v>check listing</v>
      </c>
      <c r="AB3558" s="5" t="str">
        <f>HYPERLINK("https://propertylookup.dupagecounty.gov/Datalets/Datalet.aspx?UseSearch=no&amp;mode=sales&amp;pin=0715206026","sales record")</f>
        <v>sales record</v>
      </c>
      <c r="AC3558" t="s">
        <v>3</v>
      </c>
      <c r="AD3558">
        <v>41.780605</v>
      </c>
      <c r="AE3558">
        <v>-88.192128</v>
      </c>
      <c r="AF3558" s="5" t="str">
        <f>HYPERLINK("https://www.google.com/maps/search/?api=1&amp;query=41.780605,-88.192128","map")</f>
        <v>map</v>
      </c>
    </row>
    <row r="3559" spans="1:32">
      <c r="A3559" t="s">
        <v>3609</v>
      </c>
      <c r="B3559" t="s">
        <v>11142</v>
      </c>
      <c r="C3559" t="s">
        <v>15475</v>
      </c>
      <c r="D3559" t="s">
        <v>16206</v>
      </c>
      <c r="E3559" t="s">
        <v>16218</v>
      </c>
      <c r="F3559" t="s">
        <v>16220</v>
      </c>
      <c r="G3559" t="s">
        <v>16275</v>
      </c>
      <c r="H3559" t="s">
        <v>16276</v>
      </c>
      <c r="I3559" t="s">
        <v>16352</v>
      </c>
      <c r="J3559" t="s">
        <v>16386</v>
      </c>
      <c r="K3559">
        <v>0.16</v>
      </c>
      <c r="L3559">
        <v>6970</v>
      </c>
      <c r="M3559">
        <v>2770</v>
      </c>
      <c r="N3559" t="s">
        <v>16393</v>
      </c>
      <c r="O3559" s="4">
        <v>51103</v>
      </c>
      <c r="P3559" s="4">
        <v>156825</v>
      </c>
      <c r="Q3559" s="4">
        <v>207928</v>
      </c>
      <c r="R3559" s="4">
        <v>623784</v>
      </c>
      <c r="S3559" t="s">
        <v>19871</v>
      </c>
      <c r="T3559" s="6">
        <v>37865</v>
      </c>
      <c r="U3559" s="4">
        <v>300000</v>
      </c>
      <c r="V3559" t="s">
        <v>23739</v>
      </c>
      <c r="W3559" t="s">
        <v>25527</v>
      </c>
      <c r="X3559" t="s">
        <v>3</v>
      </c>
      <c r="AA3559" s="5" t="str">
        <f>HYPERLINK("https://www.zillow.com/homes/2140-FELDOTT-LN-NAPERVILLE-IL-60540_rb/","check listing")</f>
        <v>check listing</v>
      </c>
      <c r="AB3559" s="5" t="str">
        <f>HYPERLINK("https://propertylookup.dupagecounty.gov/Datalets/Datalet.aspx?UseSearch=no&amp;mode=sales&amp;pin=0722409014","sales record")</f>
        <v>sales record</v>
      </c>
      <c r="AC3559" t="s">
        <v>3</v>
      </c>
      <c r="AD3559">
        <v>41.761353</v>
      </c>
      <c r="AE3559">
        <v>-88.190737</v>
      </c>
      <c r="AF3559" s="5" t="str">
        <f>HYPERLINK("https://www.google.com/maps/search/?api=1&amp;query=41.761353,-88.190737","map")</f>
        <v>map</v>
      </c>
    </row>
    <row r="3560" spans="1:32">
      <c r="A3560" t="s">
        <v>3610</v>
      </c>
      <c r="B3560" t="s">
        <v>11143</v>
      </c>
      <c r="C3560" t="s">
        <v>15475</v>
      </c>
      <c r="D3560" t="s">
        <v>16206</v>
      </c>
      <c r="E3560" t="s">
        <v>16218</v>
      </c>
      <c r="F3560" t="s">
        <v>16220</v>
      </c>
      <c r="G3560" t="s">
        <v>16275</v>
      </c>
      <c r="H3560" t="s">
        <v>16276</v>
      </c>
      <c r="I3560" t="s">
        <v>16352</v>
      </c>
      <c r="J3560" t="s">
        <v>16386</v>
      </c>
      <c r="K3560">
        <v>0.16</v>
      </c>
      <c r="L3560">
        <v>6967</v>
      </c>
      <c r="M3560">
        <v>1898</v>
      </c>
      <c r="N3560" t="s">
        <v>16393</v>
      </c>
      <c r="O3560" s="4">
        <v>49444</v>
      </c>
      <c r="P3560" s="4">
        <v>116572</v>
      </c>
      <c r="Q3560" s="4">
        <v>166016</v>
      </c>
      <c r="R3560" s="4">
        <v>498048</v>
      </c>
      <c r="S3560" t="s">
        <v>19872</v>
      </c>
      <c r="T3560" s="6">
        <v>34516</v>
      </c>
      <c r="U3560" s="4">
        <v>195175</v>
      </c>
      <c r="X3560" t="s">
        <v>3</v>
      </c>
      <c r="AA3560" s="5" t="str">
        <f>HYPERLINK("https://www.zillow.com/homes/1047-LAKEWOOD-CIR-NAPERVILLE-IL-60540_rb/","check listing")</f>
        <v>check listing</v>
      </c>
      <c r="AB3560" s="5" t="str">
        <f>HYPERLINK("https://propertylookup.dupagecounty.gov/Datalets/Datalet.aspx?UseSearch=no&amp;mode=sales&amp;pin=0727207014","sales record")</f>
        <v>sales record</v>
      </c>
      <c r="AC3560" t="s">
        <v>3</v>
      </c>
      <c r="AD3560">
        <v>41.750845</v>
      </c>
      <c r="AE3560">
        <v>-88.193157</v>
      </c>
      <c r="AF3560" s="5" t="str">
        <f>HYPERLINK("https://www.google.com/maps/search/?api=1&amp;query=41.750845,-88.193157","map")</f>
        <v>map</v>
      </c>
    </row>
    <row r="3561" spans="1:32">
      <c r="A3561" t="s">
        <v>3611</v>
      </c>
      <c r="B3561" t="s">
        <v>11144</v>
      </c>
      <c r="C3561" t="s">
        <v>15475</v>
      </c>
      <c r="D3561" t="s">
        <v>16206</v>
      </c>
      <c r="E3561" t="s">
        <v>16218</v>
      </c>
      <c r="F3561" t="s">
        <v>16220</v>
      </c>
      <c r="G3561" t="s">
        <v>16275</v>
      </c>
      <c r="H3561" t="s">
        <v>16276</v>
      </c>
      <c r="I3561" t="s">
        <v>16352</v>
      </c>
      <c r="J3561" t="s">
        <v>16386</v>
      </c>
      <c r="K3561">
        <v>0.16</v>
      </c>
      <c r="L3561">
        <v>6964</v>
      </c>
      <c r="M3561">
        <v>2639</v>
      </c>
      <c r="N3561" t="s">
        <v>16393</v>
      </c>
      <c r="O3561" s="4">
        <v>51103</v>
      </c>
      <c r="P3561" s="4">
        <v>134342</v>
      </c>
      <c r="Q3561" s="4">
        <v>185445</v>
      </c>
      <c r="R3561" s="4">
        <v>556335</v>
      </c>
      <c r="S3561" t="s">
        <v>19873</v>
      </c>
      <c r="T3561" s="6">
        <v>38384</v>
      </c>
      <c r="U3561" s="4">
        <v>332000</v>
      </c>
      <c r="V3561" t="s">
        <v>23739</v>
      </c>
      <c r="W3561" t="s">
        <v>25528</v>
      </c>
      <c r="X3561" t="s">
        <v>3</v>
      </c>
      <c r="AA3561" s="5" t="str">
        <f>HYPERLINK("https://www.zillow.com/homes/679-WINTERGREEN-CIR-NAPERVILLE-IL-60540_rb/","check listing")</f>
        <v>check listing</v>
      </c>
      <c r="AB3561" s="5" t="str">
        <f>HYPERLINK("https://propertylookup.dupagecounty.gov/Datalets/Datalet.aspx?UseSearch=no&amp;mode=sales&amp;pin=0722404008","sales record")</f>
        <v>sales record</v>
      </c>
      <c r="AC3561" t="s">
        <v>3</v>
      </c>
      <c r="AD3561">
        <v>41.759684</v>
      </c>
      <c r="AE3561">
        <v>-88.195042</v>
      </c>
      <c r="AF3561" s="5" t="str">
        <f>HYPERLINK("https://www.google.com/maps/search/?api=1&amp;query=41.759684,-88.195042","map")</f>
        <v>map</v>
      </c>
    </row>
    <row r="3562" spans="1:32">
      <c r="A3562" t="s">
        <v>3612</v>
      </c>
      <c r="B3562" t="s">
        <v>11145</v>
      </c>
      <c r="C3562" t="s">
        <v>15519</v>
      </c>
      <c r="D3562" t="s">
        <v>16206</v>
      </c>
      <c r="E3562" t="s">
        <v>16218</v>
      </c>
      <c r="F3562" t="s">
        <v>16220</v>
      </c>
      <c r="G3562" t="s">
        <v>16274</v>
      </c>
      <c r="H3562" t="s">
        <v>16269</v>
      </c>
      <c r="I3562" t="s">
        <v>16352</v>
      </c>
      <c r="J3562" t="s">
        <v>16386</v>
      </c>
      <c r="K3562">
        <v>0.16</v>
      </c>
      <c r="L3562">
        <v>6963</v>
      </c>
      <c r="M3562">
        <v>1995</v>
      </c>
      <c r="N3562" t="s">
        <v>16393</v>
      </c>
      <c r="O3562" s="4">
        <v>60269</v>
      </c>
      <c r="P3562" s="4">
        <v>115900</v>
      </c>
      <c r="Q3562" s="4">
        <v>176169</v>
      </c>
      <c r="R3562" s="4">
        <v>528507</v>
      </c>
      <c r="S3562" t="s">
        <v>19874</v>
      </c>
      <c r="T3562" s="6">
        <v>44470</v>
      </c>
      <c r="U3562" s="4">
        <v>420000</v>
      </c>
      <c r="V3562" t="s">
        <v>23739</v>
      </c>
      <c r="W3562" t="s">
        <v>19874</v>
      </c>
      <c r="X3562" t="s">
        <v>3</v>
      </c>
      <c r="AA3562" s="5" t="str">
        <f>HYPERLINK("https://www.zillow.com/homes/804-BRUNO-CT-NAPERVILLE-IL-605630447_rb/","check listing")</f>
        <v>check listing</v>
      </c>
      <c r="AB3562" s="5" t="str">
        <f>HYPERLINK("https://propertylookup.dupagecounty.gov/Datalets/Datalet.aspx?UseSearch=no&amp;mode=sales&amp;pin=0715203007","sales record")</f>
        <v>sales record</v>
      </c>
      <c r="AC3562" t="s">
        <v>3</v>
      </c>
      <c r="AD3562">
        <v>41.782156</v>
      </c>
      <c r="AE3562">
        <v>-88.193319</v>
      </c>
      <c r="AF3562" s="5" t="str">
        <f>HYPERLINK("https://www.google.com/maps/search/?api=1&amp;query=41.782156,-88.193319","map")</f>
        <v>map</v>
      </c>
    </row>
    <row r="3563" spans="1:32">
      <c r="A3563" t="s">
        <v>3613</v>
      </c>
      <c r="B3563" t="s">
        <v>11146</v>
      </c>
      <c r="C3563" t="s">
        <v>15475</v>
      </c>
      <c r="D3563" t="s">
        <v>16206</v>
      </c>
      <c r="E3563" t="s">
        <v>16218</v>
      </c>
      <c r="F3563" t="s">
        <v>16220</v>
      </c>
      <c r="G3563" t="s">
        <v>16275</v>
      </c>
      <c r="H3563" t="s">
        <v>16276</v>
      </c>
      <c r="I3563" t="s">
        <v>16352</v>
      </c>
      <c r="J3563" t="s">
        <v>16386</v>
      </c>
      <c r="K3563">
        <v>0.16</v>
      </c>
      <c r="L3563">
        <v>6962</v>
      </c>
      <c r="M3563">
        <v>2102</v>
      </c>
      <c r="N3563" t="s">
        <v>16393</v>
      </c>
      <c r="O3563" s="4">
        <v>50993</v>
      </c>
      <c r="P3563" s="4">
        <v>117255</v>
      </c>
      <c r="Q3563" s="4">
        <v>168248</v>
      </c>
      <c r="R3563" s="4">
        <v>504744</v>
      </c>
      <c r="S3563" t="s">
        <v>19875</v>
      </c>
      <c r="T3563" s="6">
        <v>34578</v>
      </c>
      <c r="U3563" s="4">
        <v>199265</v>
      </c>
      <c r="X3563" t="s">
        <v>3</v>
      </c>
      <c r="AA3563" s="5" t="str">
        <f>HYPERLINK("https://www.zillow.com/homes/1120-NATALIE-CT-NAPERVILLE-IL-60540_rb/","check listing")</f>
        <v>check listing</v>
      </c>
      <c r="AB3563" s="5" t="str">
        <f>HYPERLINK("https://propertylookup.dupagecounty.gov/Datalets/Datalet.aspx?UseSearch=no&amp;mode=sales&amp;pin=0727206036","sales record")</f>
        <v>sales record</v>
      </c>
      <c r="AC3563" t="s">
        <v>3</v>
      </c>
      <c r="AD3563">
        <v>41.74962</v>
      </c>
      <c r="AE3563">
        <v>-88.19241599999999</v>
      </c>
      <c r="AF3563" s="5" t="str">
        <f>HYPERLINK("https://www.google.com/maps/search/?api=1&amp;query=41.74962,-88.192416","map")</f>
        <v>map</v>
      </c>
    </row>
    <row r="3564" spans="1:32">
      <c r="A3564" t="s">
        <v>3614</v>
      </c>
      <c r="B3564" t="s">
        <v>11147</v>
      </c>
      <c r="C3564" t="s">
        <v>15500</v>
      </c>
      <c r="D3564" t="s">
        <v>16206</v>
      </c>
      <c r="E3564" t="s">
        <v>16218</v>
      </c>
      <c r="F3564" t="s">
        <v>16220</v>
      </c>
      <c r="G3564" t="s">
        <v>16275</v>
      </c>
      <c r="H3564" t="s">
        <v>16276</v>
      </c>
      <c r="I3564" t="s">
        <v>16352</v>
      </c>
      <c r="J3564" t="s">
        <v>16386</v>
      </c>
      <c r="K3564">
        <v>0.16</v>
      </c>
      <c r="L3564">
        <v>6950</v>
      </c>
      <c r="M3564">
        <v>1979</v>
      </c>
      <c r="N3564" t="s">
        <v>16393</v>
      </c>
      <c r="O3564" s="4">
        <v>46367</v>
      </c>
      <c r="P3564" s="4">
        <v>98325</v>
      </c>
      <c r="Q3564" s="4">
        <v>144692</v>
      </c>
      <c r="R3564" s="4">
        <v>434076</v>
      </c>
      <c r="S3564" t="s">
        <v>19876</v>
      </c>
      <c r="T3564" s="6">
        <v>45170</v>
      </c>
      <c r="U3564" s="4">
        <v>425000</v>
      </c>
      <c r="V3564" t="s">
        <v>23739</v>
      </c>
      <c r="W3564" t="s">
        <v>25529</v>
      </c>
      <c r="X3564" t="s">
        <v>3</v>
      </c>
      <c r="AA3564" s="5" t="str">
        <f>HYPERLINK("https://www.zillow.com/homes/1207-SAMUEL-CT-NAPERVILLE-IL-605401910_rb/","check listing")</f>
        <v>check listing</v>
      </c>
      <c r="AB3564" s="5" t="str">
        <f>HYPERLINK("https://propertylookup.dupagecounty.gov/Datalets/Datalet.aspx?UseSearch=no&amp;mode=sales&amp;pin=0727201069","sales record")</f>
        <v>sales record</v>
      </c>
      <c r="AC3564" t="s">
        <v>3</v>
      </c>
      <c r="AD3564">
        <v>41.748269</v>
      </c>
      <c r="AE3564">
        <v>-88.194614</v>
      </c>
      <c r="AF3564" s="5" t="str">
        <f>HYPERLINK("https://www.google.com/maps/search/?api=1&amp;query=41.748269,-88.194614","map")</f>
        <v>map</v>
      </c>
    </row>
    <row r="3565" spans="1:32">
      <c r="A3565" t="s">
        <v>3615</v>
      </c>
      <c r="B3565" t="s">
        <v>11148</v>
      </c>
      <c r="C3565" t="s">
        <v>15512</v>
      </c>
      <c r="D3565" t="s">
        <v>16206</v>
      </c>
      <c r="E3565" t="s">
        <v>16218</v>
      </c>
      <c r="F3565" t="s">
        <v>16220</v>
      </c>
      <c r="G3565" t="s">
        <v>16275</v>
      </c>
      <c r="H3565" t="s">
        <v>16276</v>
      </c>
      <c r="I3565" t="s">
        <v>16352</v>
      </c>
      <c r="J3565" t="s">
        <v>16386</v>
      </c>
      <c r="K3565">
        <v>0.159</v>
      </c>
      <c r="L3565">
        <v>6937</v>
      </c>
      <c r="M3565">
        <v>1813</v>
      </c>
      <c r="N3565" t="s">
        <v>16393</v>
      </c>
      <c r="O3565" s="4">
        <v>47905</v>
      </c>
      <c r="P3565" s="4">
        <v>113642</v>
      </c>
      <c r="Q3565" s="4">
        <v>161547</v>
      </c>
      <c r="R3565" s="4">
        <v>484641</v>
      </c>
      <c r="S3565" t="s">
        <v>19877</v>
      </c>
      <c r="T3565" s="6">
        <v>43647</v>
      </c>
      <c r="U3565" s="4">
        <v>335500</v>
      </c>
      <c r="V3565" t="s">
        <v>16232</v>
      </c>
      <c r="W3565" t="s">
        <v>19877</v>
      </c>
      <c r="X3565" t="s">
        <v>3</v>
      </c>
      <c r="AA3565" s="5" t="str">
        <f>HYPERLINK("https://www.zillow.com/homes/755-VIOLET-CIR-NAPERVILLE-IL-605409225_rb/","check listing")</f>
        <v>check listing</v>
      </c>
      <c r="AB3565" s="5" t="str">
        <f>HYPERLINK("https://propertylookup.dupagecounty.gov/Datalets/Datalet.aspx?UseSearch=no&amp;mode=sales&amp;pin=0722407053","sales record")</f>
        <v>sales record</v>
      </c>
      <c r="AC3565" t="s">
        <v>3</v>
      </c>
      <c r="AD3565">
        <v>41.759767</v>
      </c>
      <c r="AE3565">
        <v>-88.189125</v>
      </c>
      <c r="AF3565" s="5" t="str">
        <f>HYPERLINK("https://www.google.com/maps/search/?api=1&amp;query=41.759767,-88.189125","map")</f>
        <v>map</v>
      </c>
    </row>
    <row r="3566" spans="1:32">
      <c r="A3566" t="s">
        <v>3616</v>
      </c>
      <c r="B3566" t="s">
        <v>11149</v>
      </c>
      <c r="C3566" t="s">
        <v>15475</v>
      </c>
      <c r="D3566" t="s">
        <v>16206</v>
      </c>
      <c r="E3566" t="s">
        <v>16218</v>
      </c>
      <c r="F3566" t="s">
        <v>16220</v>
      </c>
      <c r="G3566" t="s">
        <v>16276</v>
      </c>
      <c r="H3566" t="s">
        <v>16276</v>
      </c>
      <c r="I3566" t="s">
        <v>16352</v>
      </c>
      <c r="J3566" t="s">
        <v>16386</v>
      </c>
      <c r="K3566">
        <v>0.159</v>
      </c>
      <c r="L3566">
        <v>6933</v>
      </c>
      <c r="M3566">
        <v>1649</v>
      </c>
      <c r="N3566" t="s">
        <v>16393</v>
      </c>
      <c r="O3566" s="4">
        <v>54056</v>
      </c>
      <c r="P3566" s="4">
        <v>91259</v>
      </c>
      <c r="Q3566" s="4">
        <v>145315</v>
      </c>
      <c r="R3566" s="4">
        <v>435945</v>
      </c>
      <c r="S3566" t="s">
        <v>19878</v>
      </c>
      <c r="T3566" s="6">
        <v>36982</v>
      </c>
      <c r="U3566" s="4">
        <v>205000</v>
      </c>
      <c r="V3566" t="s">
        <v>23739</v>
      </c>
      <c r="W3566" t="s">
        <v>19878</v>
      </c>
      <c r="X3566" t="s">
        <v>3</v>
      </c>
      <c r="AA3566" s="5" t="str">
        <f>HYPERLINK("https://www.zillow.com/homes/911-MATTHEW-CT-NAPERVILLE-IL-60540_rb/","check listing")</f>
        <v>check listing</v>
      </c>
      <c r="AB3566" s="5" t="str">
        <f>HYPERLINK("https://propertylookup.dupagecounty.gov/Datalets/Datalet.aspx?UseSearch=no&amp;mode=sales&amp;pin=0727209007","sales record")</f>
        <v>sales record</v>
      </c>
      <c r="AC3566" t="s">
        <v>3</v>
      </c>
      <c r="AD3566">
        <v>41.753622</v>
      </c>
      <c r="AE3566">
        <v>-88.191171</v>
      </c>
      <c r="AF3566" s="5" t="str">
        <f>HYPERLINK("https://www.google.com/maps/search/?api=1&amp;query=41.753622,-88.191171","map")</f>
        <v>map</v>
      </c>
    </row>
    <row r="3567" spans="1:32">
      <c r="A3567" t="s">
        <v>3617</v>
      </c>
      <c r="B3567" t="s">
        <v>11150</v>
      </c>
      <c r="C3567" t="s">
        <v>15582</v>
      </c>
      <c r="D3567" t="s">
        <v>16206</v>
      </c>
      <c r="E3567" t="s">
        <v>16218</v>
      </c>
      <c r="F3567" t="s">
        <v>16220</v>
      </c>
      <c r="G3567" t="s">
        <v>16275</v>
      </c>
      <c r="H3567" t="s">
        <v>16276</v>
      </c>
      <c r="I3567" t="s">
        <v>16352</v>
      </c>
      <c r="J3567" t="s">
        <v>16386</v>
      </c>
      <c r="K3567">
        <v>0.159</v>
      </c>
      <c r="L3567">
        <v>6917</v>
      </c>
      <c r="M3567">
        <v>2139</v>
      </c>
      <c r="N3567" t="s">
        <v>16393</v>
      </c>
      <c r="O3567" s="4">
        <v>49444</v>
      </c>
      <c r="P3567" s="4">
        <v>134550</v>
      </c>
      <c r="Q3567" s="4">
        <v>183994</v>
      </c>
      <c r="R3567" s="4">
        <v>551982</v>
      </c>
      <c r="S3567" t="s">
        <v>19879</v>
      </c>
      <c r="T3567" s="6">
        <v>35582</v>
      </c>
      <c r="U3567" s="4">
        <v>208000</v>
      </c>
      <c r="X3567" t="s">
        <v>3</v>
      </c>
      <c r="AA3567" s="5" t="str">
        <f>HYPERLINK("https://www.zillow.com/homes/1032-LAKEWOOD-CIR-NAPERVILLE-IL-605401900_rb/","check listing")</f>
        <v>check listing</v>
      </c>
      <c r="AB3567" s="5" t="str">
        <f>HYPERLINK("https://propertylookup.dupagecounty.gov/Datalets/Datalet.aspx?UseSearch=no&amp;mode=sales&amp;pin=0727206007","sales record")</f>
        <v>sales record</v>
      </c>
      <c r="AC3567" t="s">
        <v>3</v>
      </c>
      <c r="AD3567">
        <v>41.750114</v>
      </c>
      <c r="AE3567">
        <v>-88.193584</v>
      </c>
      <c r="AF3567" s="5" t="str">
        <f>HYPERLINK("https://www.google.com/maps/search/?api=1&amp;query=41.750114,-88.193584","map")</f>
        <v>map</v>
      </c>
    </row>
    <row r="3568" spans="1:32">
      <c r="A3568" t="s">
        <v>3618</v>
      </c>
      <c r="B3568" t="s">
        <v>11151</v>
      </c>
      <c r="C3568" t="s">
        <v>15475</v>
      </c>
      <c r="D3568" t="s">
        <v>16206</v>
      </c>
      <c r="E3568" t="s">
        <v>16218</v>
      </c>
      <c r="F3568" t="s">
        <v>16220</v>
      </c>
      <c r="G3568" t="s">
        <v>16275</v>
      </c>
      <c r="H3568" t="s">
        <v>16276</v>
      </c>
      <c r="I3568" t="s">
        <v>16352</v>
      </c>
      <c r="J3568" t="s">
        <v>16386</v>
      </c>
      <c r="K3568">
        <v>0.159</v>
      </c>
      <c r="L3568">
        <v>6915</v>
      </c>
      <c r="M3568">
        <v>1814</v>
      </c>
      <c r="N3568" t="s">
        <v>16393</v>
      </c>
      <c r="O3568" s="4">
        <v>46367</v>
      </c>
      <c r="P3568" s="4">
        <v>96092</v>
      </c>
      <c r="Q3568" s="4">
        <v>142459</v>
      </c>
      <c r="R3568" s="4">
        <v>427377</v>
      </c>
      <c r="S3568" t="s">
        <v>19880</v>
      </c>
      <c r="T3568" s="6">
        <v>35643</v>
      </c>
      <c r="U3568" s="4">
        <v>182880</v>
      </c>
      <c r="X3568" t="s">
        <v>3</v>
      </c>
      <c r="AA3568" s="5" t="str">
        <f>HYPERLINK("https://www.zillow.com/homes/1924-CROSSING-CT-NAPERVILLE-IL-60540_rb/","check listing")</f>
        <v>check listing</v>
      </c>
      <c r="AB3568" s="5" t="str">
        <f>HYPERLINK("https://propertylookup.dupagecounty.gov/Datalets/Datalet.aspx?UseSearch=no&amp;mode=sales&amp;pin=0727201015","sales record")</f>
        <v>sales record</v>
      </c>
      <c r="AC3568" t="s">
        <v>3</v>
      </c>
      <c r="AD3568">
        <v>41.748971</v>
      </c>
      <c r="AE3568">
        <v>-88.18763800000001</v>
      </c>
      <c r="AF3568" s="5" t="str">
        <f>HYPERLINK("https://www.google.com/maps/search/?api=1&amp;query=41.748971,-88.187638","map")</f>
        <v>map</v>
      </c>
    </row>
    <row r="3569" spans="1:32">
      <c r="A3569" t="s">
        <v>3619</v>
      </c>
      <c r="B3569" t="s">
        <v>11152</v>
      </c>
      <c r="C3569" t="s">
        <v>15599</v>
      </c>
      <c r="D3569" t="s">
        <v>16206</v>
      </c>
      <c r="E3569" t="s">
        <v>16218</v>
      </c>
      <c r="F3569" t="s">
        <v>16220</v>
      </c>
      <c r="G3569" t="s">
        <v>16275</v>
      </c>
      <c r="H3569" t="s">
        <v>16276</v>
      </c>
      <c r="I3569" t="s">
        <v>16352</v>
      </c>
      <c r="J3569" t="s">
        <v>16386</v>
      </c>
      <c r="K3569">
        <v>0.159</v>
      </c>
      <c r="L3569">
        <v>6912</v>
      </c>
      <c r="M3569">
        <v>2144</v>
      </c>
      <c r="N3569" t="s">
        <v>16393</v>
      </c>
      <c r="O3569" s="4">
        <v>49444</v>
      </c>
      <c r="P3569" s="4">
        <v>105844</v>
      </c>
      <c r="Q3569" s="4">
        <v>155288</v>
      </c>
      <c r="R3569" s="4">
        <v>465864</v>
      </c>
      <c r="S3569" t="s">
        <v>19881</v>
      </c>
      <c r="T3569" s="6">
        <v>43800</v>
      </c>
      <c r="U3569" s="4">
        <v>340000</v>
      </c>
      <c r="V3569" t="s">
        <v>23739</v>
      </c>
      <c r="W3569" t="s">
        <v>25530</v>
      </c>
      <c r="X3569" t="s">
        <v>3</v>
      </c>
      <c r="AA3569" s="5" t="str">
        <f>HYPERLINK("https://www.zillow.com/homes/2024-CROSSING-LN-NAPERVILLE-IL-605400984_rb/","check listing")</f>
        <v>check listing</v>
      </c>
      <c r="AB3569" s="5" t="str">
        <f>HYPERLINK("https://propertylookup.dupagecounty.gov/Datalets/Datalet.aspx?UseSearch=no&amp;mode=sales&amp;pin=0727204009","sales record")</f>
        <v>sales record</v>
      </c>
      <c r="AC3569" t="s">
        <v>3</v>
      </c>
      <c r="AD3569">
        <v>41.750297</v>
      </c>
      <c r="AE3569">
        <v>-88.187569</v>
      </c>
      <c r="AF3569" s="5" t="str">
        <f>HYPERLINK("https://www.google.com/maps/search/?api=1&amp;query=41.750297,-88.187569","map")</f>
        <v>map</v>
      </c>
    </row>
    <row r="3570" spans="1:32">
      <c r="A3570" t="s">
        <v>3620</v>
      </c>
      <c r="B3570" t="s">
        <v>11153</v>
      </c>
      <c r="C3570" t="s">
        <v>15577</v>
      </c>
      <c r="D3570" t="s">
        <v>16206</v>
      </c>
      <c r="E3570" t="s">
        <v>16218</v>
      </c>
      <c r="F3570" t="s">
        <v>16220</v>
      </c>
      <c r="G3570" t="s">
        <v>16269</v>
      </c>
      <c r="H3570" t="s">
        <v>16269</v>
      </c>
      <c r="I3570" t="s">
        <v>16352</v>
      </c>
      <c r="J3570" t="s">
        <v>16386</v>
      </c>
      <c r="K3570">
        <v>0.159</v>
      </c>
      <c r="L3570">
        <v>6910</v>
      </c>
      <c r="M3570">
        <v>1656</v>
      </c>
      <c r="N3570" t="s">
        <v>16393</v>
      </c>
      <c r="O3570" s="4">
        <v>73336</v>
      </c>
      <c r="P3570" s="4">
        <v>92255</v>
      </c>
      <c r="Q3570" s="4">
        <v>165591</v>
      </c>
      <c r="R3570" s="4">
        <v>496773</v>
      </c>
      <c r="S3570" t="s">
        <v>19882</v>
      </c>
      <c r="T3570" s="6">
        <v>45954</v>
      </c>
      <c r="U3570" s="4">
        <v>550000</v>
      </c>
      <c r="V3570" t="s">
        <v>23739</v>
      </c>
      <c r="W3570" t="s">
        <v>25531</v>
      </c>
      <c r="X3570" t="s">
        <v>3</v>
      </c>
      <c r="AA3570" s="5" t="str">
        <f>HYPERLINK("https://www.zillow.com/homes/463-BOURBON-LN-NAPERVILLE-IL-605654401_rb/","check listing")</f>
        <v>check listing</v>
      </c>
      <c r="AB3570" s="5" t="str">
        <f>HYPERLINK("https://propertylookup.dupagecounty.gov/Datalets/Datalet.aspx?UseSearch=no&amp;mode=sales&amp;pin=0832115037","sales record")</f>
        <v>sales record</v>
      </c>
      <c r="AC3570" t="s">
        <v>3</v>
      </c>
      <c r="AD3570">
        <v>41.735003</v>
      </c>
      <c r="AE3570">
        <v>-88.120257</v>
      </c>
      <c r="AF3570" s="5" t="str">
        <f>HYPERLINK("https://www.google.com/maps/search/?api=1&amp;query=41.735003,-88.120257","map")</f>
        <v>map</v>
      </c>
    </row>
    <row r="3571" spans="1:32">
      <c r="A3571" t="s">
        <v>3621</v>
      </c>
      <c r="B3571" t="s">
        <v>11154</v>
      </c>
      <c r="C3571" t="s">
        <v>15602</v>
      </c>
      <c r="D3571" t="s">
        <v>16206</v>
      </c>
      <c r="E3571" t="s">
        <v>16218</v>
      </c>
      <c r="F3571" t="s">
        <v>16220</v>
      </c>
      <c r="G3571" t="s">
        <v>16274</v>
      </c>
      <c r="H3571" t="s">
        <v>16269</v>
      </c>
      <c r="I3571" t="s">
        <v>16352</v>
      </c>
      <c r="J3571" t="s">
        <v>16386</v>
      </c>
      <c r="K3571">
        <v>0.159</v>
      </c>
      <c r="L3571">
        <v>6907</v>
      </c>
      <c r="M3571">
        <v>2114</v>
      </c>
      <c r="N3571" t="s">
        <v>16393</v>
      </c>
      <c r="O3571" s="4">
        <v>48576</v>
      </c>
      <c r="P3571" s="4">
        <v>120855</v>
      </c>
      <c r="Q3571" s="4">
        <v>169431</v>
      </c>
      <c r="R3571" s="4">
        <v>508293</v>
      </c>
      <c r="S3571" t="s">
        <v>19883</v>
      </c>
      <c r="T3571" s="6">
        <v>44287</v>
      </c>
      <c r="U3571" s="4">
        <v>430000</v>
      </c>
      <c r="V3571" t="s">
        <v>23739</v>
      </c>
      <c r="W3571" t="s">
        <v>25532</v>
      </c>
      <c r="X3571" t="s">
        <v>3</v>
      </c>
      <c r="AA3571" s="5" t="str">
        <f>HYPERLINK("https://www.zillow.com/homes/1599-LOIS-ANN-LN-NAPERVILLE-IL-605630466_rb/","check listing")</f>
        <v>check listing</v>
      </c>
      <c r="AB3571" s="5" t="str">
        <f>HYPERLINK("https://propertylookup.dupagecounty.gov/Datalets/Datalet.aspx?UseSearch=no&amp;mode=sales&amp;pin=0715203021","sales record")</f>
        <v>sales record</v>
      </c>
      <c r="AC3571" t="s">
        <v>3</v>
      </c>
      <c r="AD3571">
        <v>41.78304</v>
      </c>
      <c r="AE3571">
        <v>-88.191221</v>
      </c>
      <c r="AF3571" s="5" t="str">
        <f>HYPERLINK("https://www.google.com/maps/search/?api=1&amp;query=41.78304,-88.191221","map")</f>
        <v>map</v>
      </c>
    </row>
    <row r="3572" spans="1:32">
      <c r="A3572" t="s">
        <v>3622</v>
      </c>
      <c r="B3572" t="s">
        <v>11155</v>
      </c>
      <c r="C3572" t="s">
        <v>15475</v>
      </c>
      <c r="D3572" t="s">
        <v>16206</v>
      </c>
      <c r="E3572" t="s">
        <v>16218</v>
      </c>
      <c r="F3572" t="s">
        <v>16220</v>
      </c>
      <c r="G3572" t="s">
        <v>16275</v>
      </c>
      <c r="H3572" t="s">
        <v>16276</v>
      </c>
      <c r="I3572" t="s">
        <v>16352</v>
      </c>
      <c r="J3572" t="s">
        <v>16386</v>
      </c>
      <c r="K3572">
        <v>0.158</v>
      </c>
      <c r="L3572">
        <v>6900</v>
      </c>
      <c r="M3572">
        <v>1859</v>
      </c>
      <c r="N3572" t="s">
        <v>16393</v>
      </c>
      <c r="O3572" s="4">
        <v>40168</v>
      </c>
      <c r="P3572" s="4">
        <v>110518</v>
      </c>
      <c r="Q3572" s="4">
        <v>150686</v>
      </c>
      <c r="R3572" s="4">
        <v>452058</v>
      </c>
      <c r="S3572" t="s">
        <v>19884</v>
      </c>
      <c r="T3572" s="6">
        <v>43252</v>
      </c>
      <c r="U3572" s="4">
        <v>290000</v>
      </c>
      <c r="V3572" t="s">
        <v>23739</v>
      </c>
      <c r="W3572" t="s">
        <v>19884</v>
      </c>
      <c r="X3572" t="s">
        <v>3</v>
      </c>
      <c r="AA3572" s="5" t="str">
        <f>HYPERLINK("https://www.zillow.com/homes/1243-LAKEWOOD-CIR-NAPERVILLE-IL-60540_rb/","check listing")</f>
        <v>check listing</v>
      </c>
      <c r="AB3572" s="5" t="str">
        <f>HYPERLINK("https://propertylookup.dupagecounty.gov/Datalets/Datalet.aspx?UseSearch=no&amp;mode=sales&amp;pin=0727201049","sales record")</f>
        <v>sales record</v>
      </c>
      <c r="AC3572" t="s">
        <v>3</v>
      </c>
      <c r="AD3572">
        <v>41.747785</v>
      </c>
      <c r="AE3572">
        <v>-88.19213000000001</v>
      </c>
      <c r="AF3572" s="5" t="str">
        <f>HYPERLINK("https://www.google.com/maps/search/?api=1&amp;query=41.747785,-88.19213","map")</f>
        <v>map</v>
      </c>
    </row>
    <row r="3573" spans="1:32">
      <c r="A3573" t="s">
        <v>3623</v>
      </c>
      <c r="B3573" t="s">
        <v>11156</v>
      </c>
      <c r="C3573" t="s">
        <v>15475</v>
      </c>
      <c r="D3573" t="s">
        <v>16206</v>
      </c>
      <c r="E3573" t="s">
        <v>16218</v>
      </c>
      <c r="F3573" t="s">
        <v>16220</v>
      </c>
      <c r="G3573" t="s">
        <v>16275</v>
      </c>
      <c r="H3573" t="s">
        <v>16276</v>
      </c>
      <c r="I3573" t="s">
        <v>16352</v>
      </c>
      <c r="J3573" t="s">
        <v>16386</v>
      </c>
      <c r="K3573">
        <v>0.158</v>
      </c>
      <c r="L3573">
        <v>6900</v>
      </c>
      <c r="M3573">
        <v>1570</v>
      </c>
      <c r="N3573" t="s">
        <v>16393</v>
      </c>
      <c r="O3573" s="4">
        <v>40168</v>
      </c>
      <c r="P3573" s="4">
        <v>87951</v>
      </c>
      <c r="Q3573" s="4">
        <v>128119</v>
      </c>
      <c r="R3573" s="4">
        <v>384357</v>
      </c>
      <c r="S3573" t="s">
        <v>19885</v>
      </c>
      <c r="T3573" s="6">
        <v>42491</v>
      </c>
      <c r="U3573" s="4">
        <v>244500</v>
      </c>
      <c r="V3573" t="s">
        <v>23739</v>
      </c>
      <c r="W3573" t="s">
        <v>19885</v>
      </c>
      <c r="X3573" t="s">
        <v>3</v>
      </c>
      <c r="AA3573" s="5" t="str">
        <f>HYPERLINK("https://www.zillow.com/homes/1239-LAKEWOOD-CIR-NAPERVILLE-IL-60540_rb/","check listing")</f>
        <v>check listing</v>
      </c>
      <c r="AB3573" s="5" t="str">
        <f>HYPERLINK("https://propertylookup.dupagecounty.gov/Datalets/Datalet.aspx?UseSearch=no&amp;mode=sales&amp;pin=0727201048","sales record")</f>
        <v>sales record</v>
      </c>
      <c r="AC3573" t="s">
        <v>3</v>
      </c>
      <c r="AD3573">
        <v>41.747787</v>
      </c>
      <c r="AE3573">
        <v>-88.19192</v>
      </c>
      <c r="AF3573" s="5" t="str">
        <f>HYPERLINK("https://www.google.com/maps/search/?api=1&amp;query=41.747787,-88.19192","map")</f>
        <v>map</v>
      </c>
    </row>
    <row r="3574" spans="1:32">
      <c r="A3574" t="s">
        <v>3624</v>
      </c>
      <c r="B3574" t="s">
        <v>11157</v>
      </c>
      <c r="C3574" t="s">
        <v>15475</v>
      </c>
      <c r="D3574" t="s">
        <v>16206</v>
      </c>
      <c r="E3574" t="s">
        <v>16218</v>
      </c>
      <c r="F3574" t="s">
        <v>16220</v>
      </c>
      <c r="G3574" t="s">
        <v>16275</v>
      </c>
      <c r="H3574" t="s">
        <v>16276</v>
      </c>
      <c r="I3574" t="s">
        <v>16352</v>
      </c>
      <c r="J3574" t="s">
        <v>16386</v>
      </c>
      <c r="K3574">
        <v>0.158</v>
      </c>
      <c r="L3574">
        <v>6900</v>
      </c>
      <c r="M3574">
        <v>2085</v>
      </c>
      <c r="N3574" t="s">
        <v>16393</v>
      </c>
      <c r="O3574" s="4">
        <v>40168</v>
      </c>
      <c r="P3574" s="4">
        <v>109139</v>
      </c>
      <c r="Q3574" s="4">
        <v>149307</v>
      </c>
      <c r="R3574" s="4">
        <v>447921</v>
      </c>
      <c r="S3574" t="s">
        <v>19886</v>
      </c>
      <c r="T3574" s="6">
        <v>44013</v>
      </c>
      <c r="U3574" s="4">
        <v>324000</v>
      </c>
      <c r="V3574" t="s">
        <v>23739</v>
      </c>
      <c r="W3574" t="s">
        <v>25533</v>
      </c>
      <c r="X3574" t="s">
        <v>3</v>
      </c>
      <c r="AA3574" s="5" t="str">
        <f>HYPERLINK("https://www.zillow.com/homes/1235-LAKEWOOD-CIR-NAPERVILLE-IL-60540_rb/","check listing")</f>
        <v>check listing</v>
      </c>
      <c r="AB3574" s="5" t="str">
        <f>HYPERLINK("https://propertylookup.dupagecounty.gov/Datalets/Datalet.aspx?UseSearch=no&amp;mode=sales&amp;pin=0727201047","sales record")</f>
        <v>sales record</v>
      </c>
      <c r="AC3574" t="s">
        <v>3</v>
      </c>
      <c r="AD3574">
        <v>41.747789</v>
      </c>
      <c r="AE3574">
        <v>-88.191709</v>
      </c>
      <c r="AF3574" s="5" t="str">
        <f>HYPERLINK("https://www.google.com/maps/search/?api=1&amp;query=41.747789,-88.191709","map")</f>
        <v>map</v>
      </c>
    </row>
    <row r="3575" spans="1:32">
      <c r="A3575" t="s">
        <v>3625</v>
      </c>
      <c r="B3575" t="s">
        <v>11158</v>
      </c>
      <c r="C3575" t="s">
        <v>15478</v>
      </c>
      <c r="D3575" t="s">
        <v>16206</v>
      </c>
      <c r="E3575" t="s">
        <v>16218</v>
      </c>
      <c r="F3575" t="s">
        <v>16220</v>
      </c>
      <c r="G3575" t="s">
        <v>16274</v>
      </c>
      <c r="H3575" t="s">
        <v>16269</v>
      </c>
      <c r="I3575" t="s">
        <v>16352</v>
      </c>
      <c r="J3575" t="s">
        <v>16386</v>
      </c>
      <c r="K3575">
        <v>0.158</v>
      </c>
      <c r="L3575">
        <v>6895</v>
      </c>
      <c r="M3575">
        <v>2144</v>
      </c>
      <c r="N3575" t="s">
        <v>16393</v>
      </c>
      <c r="O3575" s="4">
        <v>48576</v>
      </c>
      <c r="P3575" s="4">
        <v>96421</v>
      </c>
      <c r="Q3575" s="4">
        <v>144997</v>
      </c>
      <c r="R3575" s="4">
        <v>434991</v>
      </c>
      <c r="S3575" t="s">
        <v>19887</v>
      </c>
      <c r="T3575" s="6">
        <v>36465</v>
      </c>
      <c r="U3575" s="4">
        <v>204900</v>
      </c>
      <c r="X3575" t="s">
        <v>3</v>
      </c>
      <c r="AA3575" s="5" t="str">
        <f>HYPERLINK("https://www.zillow.com/homes/1623-TERRI-CIR-NAPERVILLE-IL-60563_rb/","check listing")</f>
        <v>check listing</v>
      </c>
      <c r="AB3575" s="5" t="str">
        <f>HYPERLINK("https://propertylookup.dupagecounty.gov/Datalets/Datalet.aspx?UseSearch=no&amp;mode=sales&amp;pin=0715204022","sales record")</f>
        <v>sales record</v>
      </c>
      <c r="AC3575" t="s">
        <v>3</v>
      </c>
      <c r="AD3575">
        <v>41.782058</v>
      </c>
      <c r="AE3575">
        <v>-88.191596</v>
      </c>
      <c r="AF3575" s="5" t="str">
        <f>HYPERLINK("https://www.google.com/maps/search/?api=1&amp;query=41.782058,-88.191596","map")</f>
        <v>map</v>
      </c>
    </row>
    <row r="3576" spans="1:32">
      <c r="A3576" t="s">
        <v>3626</v>
      </c>
      <c r="B3576" t="s">
        <v>11159</v>
      </c>
      <c r="C3576" t="s">
        <v>15475</v>
      </c>
      <c r="D3576" t="s">
        <v>16206</v>
      </c>
      <c r="E3576" t="s">
        <v>16218</v>
      </c>
      <c r="F3576" t="s">
        <v>16220</v>
      </c>
      <c r="G3576" t="s">
        <v>16275</v>
      </c>
      <c r="H3576" t="s">
        <v>16276</v>
      </c>
      <c r="I3576" t="s">
        <v>16352</v>
      </c>
      <c r="J3576" t="s">
        <v>16386</v>
      </c>
      <c r="K3576">
        <v>0.158</v>
      </c>
      <c r="L3576">
        <v>6891</v>
      </c>
      <c r="M3576">
        <v>1950</v>
      </c>
      <c r="N3576" t="s">
        <v>16393</v>
      </c>
      <c r="O3576" s="4">
        <v>47905</v>
      </c>
      <c r="P3576" s="4">
        <v>92149</v>
      </c>
      <c r="Q3576" s="4">
        <v>140054</v>
      </c>
      <c r="R3576" s="4">
        <v>420162</v>
      </c>
      <c r="S3576" t="s">
        <v>19888</v>
      </c>
      <c r="T3576" s="6">
        <v>44075</v>
      </c>
      <c r="U3576" s="4">
        <v>332000</v>
      </c>
      <c r="V3576" t="s">
        <v>23739</v>
      </c>
      <c r="W3576" t="s">
        <v>25534</v>
      </c>
      <c r="X3576" t="s">
        <v>3</v>
      </c>
      <c r="AA3576" s="5" t="str">
        <f>HYPERLINK("https://www.zillow.com/homes/811-VIOLET-CIR-NAPERVILLE-IL-60540_rb/","check listing")</f>
        <v>check listing</v>
      </c>
      <c r="AB3576" s="5" t="str">
        <f>HYPERLINK("https://propertylookup.dupagecounty.gov/Datalets/Datalet.aspx?UseSearch=no&amp;mode=sales&amp;pin=0722407044","sales record")</f>
        <v>sales record</v>
      </c>
      <c r="AC3576" t="s">
        <v>3</v>
      </c>
      <c r="AD3576">
        <v>41.758727</v>
      </c>
      <c r="AE3576">
        <v>-88.19025600000001</v>
      </c>
      <c r="AF3576" s="5" t="str">
        <f>HYPERLINK("https://www.google.com/maps/search/?api=1&amp;query=41.758727,-88.190256","map")</f>
        <v>map</v>
      </c>
    </row>
    <row r="3577" spans="1:32">
      <c r="A3577" t="s">
        <v>3627</v>
      </c>
      <c r="B3577" t="s">
        <v>11160</v>
      </c>
      <c r="C3577" t="s">
        <v>15475</v>
      </c>
      <c r="D3577" t="s">
        <v>16206</v>
      </c>
      <c r="E3577" t="s">
        <v>16218</v>
      </c>
      <c r="F3577" t="s">
        <v>16220</v>
      </c>
      <c r="G3577" t="s">
        <v>16275</v>
      </c>
      <c r="H3577" t="s">
        <v>16276</v>
      </c>
      <c r="I3577" t="s">
        <v>16352</v>
      </c>
      <c r="J3577" t="s">
        <v>16386</v>
      </c>
      <c r="K3577">
        <v>0.158</v>
      </c>
      <c r="L3577">
        <v>6889</v>
      </c>
      <c r="M3577">
        <v>1650</v>
      </c>
      <c r="N3577" t="s">
        <v>16393</v>
      </c>
      <c r="O3577" s="4">
        <v>47905</v>
      </c>
      <c r="P3577" s="4">
        <v>105075</v>
      </c>
      <c r="Q3577" s="4">
        <v>152980</v>
      </c>
      <c r="R3577" s="4">
        <v>458940</v>
      </c>
      <c r="S3577" t="s">
        <v>19889</v>
      </c>
      <c r="T3577" s="6">
        <v>35217</v>
      </c>
      <c r="U3577" s="4">
        <v>177287</v>
      </c>
      <c r="X3577" t="s">
        <v>3</v>
      </c>
      <c r="AA3577" s="5" t="str">
        <f>HYPERLINK("https://www.zillow.com/homes/807-VIOLET-CIR-NAPERVILLE-IL-60540_rb/","check listing")</f>
        <v>check listing</v>
      </c>
      <c r="AB3577" s="5" t="str">
        <f>HYPERLINK("https://propertylookup.dupagecounty.gov/Datalets/Datalet.aspx?UseSearch=no&amp;mode=sales&amp;pin=0722407045","sales record")</f>
        <v>sales record</v>
      </c>
      <c r="AC3577" t="s">
        <v>3</v>
      </c>
      <c r="AD3577">
        <v>41.758783</v>
      </c>
      <c r="AE3577">
        <v>-88.190077</v>
      </c>
      <c r="AF3577" s="5" t="str">
        <f>HYPERLINK("https://www.google.com/maps/search/?api=1&amp;query=41.758783,-88.190077","map")</f>
        <v>map</v>
      </c>
    </row>
    <row r="3578" spans="1:32">
      <c r="A3578" t="s">
        <v>3628</v>
      </c>
      <c r="B3578" t="s">
        <v>11161</v>
      </c>
      <c r="C3578" t="s">
        <v>15603</v>
      </c>
      <c r="D3578" t="s">
        <v>16206</v>
      </c>
      <c r="E3578" t="s">
        <v>16218</v>
      </c>
      <c r="F3578" t="s">
        <v>16220</v>
      </c>
      <c r="G3578" t="s">
        <v>16276</v>
      </c>
      <c r="H3578" t="s">
        <v>16276</v>
      </c>
      <c r="I3578" t="s">
        <v>16352</v>
      </c>
      <c r="J3578" t="s">
        <v>16386</v>
      </c>
      <c r="K3578">
        <v>0.158</v>
      </c>
      <c r="L3578">
        <v>6889</v>
      </c>
      <c r="M3578">
        <v>1814</v>
      </c>
      <c r="N3578" t="s">
        <v>16393</v>
      </c>
      <c r="O3578" s="4">
        <v>49444</v>
      </c>
      <c r="P3578" s="4">
        <v>136808</v>
      </c>
      <c r="Q3578" s="4">
        <v>186252</v>
      </c>
      <c r="R3578" s="4">
        <v>558756</v>
      </c>
      <c r="S3578" t="s">
        <v>19890</v>
      </c>
      <c r="T3578" s="6">
        <v>42064</v>
      </c>
      <c r="U3578" s="4">
        <v>357000</v>
      </c>
      <c r="V3578" t="s">
        <v>23739</v>
      </c>
      <c r="W3578" t="s">
        <v>25535</v>
      </c>
      <c r="X3578" t="s">
        <v>3</v>
      </c>
      <c r="AA3578" s="5" t="str">
        <f>HYPERLINK("https://www.zillow.com/homes/1020-MEAGAN-CT-NAPERVILLE-IL-605401928_rb/","check listing")</f>
        <v>check listing</v>
      </c>
      <c r="AB3578" s="5" t="str">
        <f>HYPERLINK("https://propertylookup.dupagecounty.gov/Datalets/Datalet.aspx?UseSearch=no&amp;mode=sales&amp;pin=0727205045","sales record")</f>
        <v>sales record</v>
      </c>
      <c r="AC3578" t="s">
        <v>3</v>
      </c>
      <c r="AD3578">
        <v>41.751624</v>
      </c>
      <c r="AE3578">
        <v>-88.190393</v>
      </c>
      <c r="AF3578" s="5" t="str">
        <f>HYPERLINK("https://www.google.com/maps/search/?api=1&amp;query=41.751624,-88.190393","map")</f>
        <v>map</v>
      </c>
    </row>
    <row r="3579" spans="1:32">
      <c r="A3579" t="s">
        <v>3629</v>
      </c>
      <c r="B3579" t="s">
        <v>11162</v>
      </c>
      <c r="C3579" t="s">
        <v>15550</v>
      </c>
      <c r="D3579" t="s">
        <v>16206</v>
      </c>
      <c r="E3579" t="s">
        <v>16218</v>
      </c>
      <c r="F3579" t="s">
        <v>16220</v>
      </c>
      <c r="G3579" t="s">
        <v>16275</v>
      </c>
      <c r="H3579" t="s">
        <v>16276</v>
      </c>
      <c r="I3579" t="s">
        <v>16352</v>
      </c>
      <c r="J3579" t="s">
        <v>16386</v>
      </c>
      <c r="K3579">
        <v>0.158</v>
      </c>
      <c r="L3579">
        <v>6889</v>
      </c>
      <c r="M3579">
        <v>1649</v>
      </c>
      <c r="N3579" t="s">
        <v>16393</v>
      </c>
      <c r="O3579" s="4">
        <v>47905</v>
      </c>
      <c r="P3579" s="4">
        <v>104830</v>
      </c>
      <c r="Q3579" s="4">
        <v>152735</v>
      </c>
      <c r="R3579" s="4">
        <v>458205</v>
      </c>
      <c r="S3579" t="s">
        <v>19891</v>
      </c>
      <c r="T3579" s="6">
        <v>35034</v>
      </c>
      <c r="U3579" s="4">
        <v>171910</v>
      </c>
      <c r="X3579" t="s">
        <v>3</v>
      </c>
      <c r="AA3579" s="5" t="str">
        <f>HYPERLINK("https://www.zillow.com/homes/815-VIOLET-CIR-NAPERVILLE-IL-605409226_rb/","check listing")</f>
        <v>check listing</v>
      </c>
      <c r="AB3579" s="5" t="str">
        <f>HYPERLINK("https://propertylookup.dupagecounty.gov/Datalets/Datalet.aspx?UseSearch=no&amp;mode=sales&amp;pin=0722407043","sales record")</f>
        <v>sales record</v>
      </c>
      <c r="AC3579" t="s">
        <v>3</v>
      </c>
      <c r="AD3579">
        <v>41.758671</v>
      </c>
      <c r="AE3579">
        <v>-88.19043499999999</v>
      </c>
      <c r="AF3579" s="5" t="str">
        <f>HYPERLINK("https://www.google.com/maps/search/?api=1&amp;query=41.758671,-88.190435","map")</f>
        <v>map</v>
      </c>
    </row>
    <row r="3580" spans="1:32">
      <c r="A3580" t="s">
        <v>3630</v>
      </c>
      <c r="B3580" t="s">
        <v>11163</v>
      </c>
      <c r="C3580" t="s">
        <v>15475</v>
      </c>
      <c r="D3580" t="s">
        <v>16206</v>
      </c>
      <c r="E3580" t="s">
        <v>16218</v>
      </c>
      <c r="F3580" t="s">
        <v>16220</v>
      </c>
      <c r="G3580" t="s">
        <v>16275</v>
      </c>
      <c r="H3580" t="s">
        <v>16276</v>
      </c>
      <c r="I3580" t="s">
        <v>16352</v>
      </c>
      <c r="J3580" t="s">
        <v>16386</v>
      </c>
      <c r="K3580">
        <v>0.158</v>
      </c>
      <c r="L3580">
        <v>6889</v>
      </c>
      <c r="M3580">
        <v>1814</v>
      </c>
      <c r="N3580" t="s">
        <v>16393</v>
      </c>
      <c r="O3580" s="4">
        <v>47905</v>
      </c>
      <c r="P3580" s="4">
        <v>98386</v>
      </c>
      <c r="Q3580" s="4">
        <v>146291</v>
      </c>
      <c r="R3580" s="4">
        <v>438873</v>
      </c>
      <c r="S3580" t="s">
        <v>19892</v>
      </c>
      <c r="T3580" s="6">
        <v>39508</v>
      </c>
      <c r="U3580" s="4">
        <v>297500</v>
      </c>
      <c r="V3580" t="s">
        <v>23739</v>
      </c>
      <c r="W3580" t="s">
        <v>25536</v>
      </c>
      <c r="X3580" t="s">
        <v>3</v>
      </c>
      <c r="AA3580" s="5" t="str">
        <f>HYPERLINK("https://www.zillow.com/homes/819-VIOLET-CIR-NAPERVILLE-IL-60540_rb/","check listing")</f>
        <v>check listing</v>
      </c>
      <c r="AB3580" s="5" t="str">
        <f>HYPERLINK("https://propertylookup.dupagecounty.gov/Datalets/Datalet.aspx?UseSearch=no&amp;mode=sales&amp;pin=0722407042","sales record")</f>
        <v>sales record</v>
      </c>
      <c r="AC3580" t="s">
        <v>3</v>
      </c>
      <c r="AD3580">
        <v>41.758615</v>
      </c>
      <c r="AE3580">
        <v>-88.19061499999999</v>
      </c>
      <c r="AF3580" s="5" t="str">
        <f>HYPERLINK("https://www.google.com/maps/search/?api=1&amp;query=41.758615,-88.190615","map")</f>
        <v>map</v>
      </c>
    </row>
    <row r="3581" spans="1:32">
      <c r="A3581" t="s">
        <v>3631</v>
      </c>
      <c r="B3581" t="s">
        <v>11164</v>
      </c>
      <c r="C3581" t="s">
        <v>15475</v>
      </c>
      <c r="D3581" t="s">
        <v>16206</v>
      </c>
      <c r="E3581" t="s">
        <v>16218</v>
      </c>
      <c r="F3581" t="s">
        <v>16220</v>
      </c>
      <c r="G3581" t="s">
        <v>16275</v>
      </c>
      <c r="H3581" t="s">
        <v>16276</v>
      </c>
      <c r="I3581" t="s">
        <v>16352</v>
      </c>
      <c r="J3581" t="s">
        <v>16386</v>
      </c>
      <c r="K3581">
        <v>0.158</v>
      </c>
      <c r="L3581">
        <v>6888</v>
      </c>
      <c r="M3581">
        <v>1995</v>
      </c>
      <c r="N3581" t="s">
        <v>16393</v>
      </c>
      <c r="O3581" s="4">
        <v>46367</v>
      </c>
      <c r="P3581" s="4">
        <v>108858</v>
      </c>
      <c r="Q3581" s="4">
        <v>155225</v>
      </c>
      <c r="R3581" s="4">
        <v>465675</v>
      </c>
      <c r="S3581" t="s">
        <v>19893</v>
      </c>
      <c r="T3581" s="6">
        <v>41548</v>
      </c>
      <c r="U3581" s="4">
        <v>256000</v>
      </c>
      <c r="V3581" t="s">
        <v>23740</v>
      </c>
      <c r="W3581" t="s">
        <v>25537</v>
      </c>
      <c r="X3581" t="s">
        <v>3</v>
      </c>
      <c r="AA3581" s="5" t="str">
        <f>HYPERLINK("https://www.zillow.com/homes/1007-LAKEWOOD-CIR-NAPERVILLE-IL-60540_rb/","check listing")</f>
        <v>check listing</v>
      </c>
      <c r="AB3581" s="5" t="str">
        <f>HYPERLINK("https://propertylookup.dupagecounty.gov/Datalets/Datalet.aspx?UseSearch=no&amp;mode=sales&amp;pin=0727207005","sales record")</f>
        <v>sales record</v>
      </c>
      <c r="AC3581" t="s">
        <v>3</v>
      </c>
      <c r="AD3581">
        <v>41.74905</v>
      </c>
      <c r="AE3581">
        <v>-88.194351</v>
      </c>
      <c r="AF3581" s="5" t="str">
        <f>HYPERLINK("https://www.google.com/maps/search/?api=1&amp;query=41.74905,-88.194351","map")</f>
        <v>map</v>
      </c>
    </row>
    <row r="3582" spans="1:32">
      <c r="A3582" t="s">
        <v>3632</v>
      </c>
      <c r="B3582" t="s">
        <v>11165</v>
      </c>
      <c r="C3582" t="s">
        <v>15478</v>
      </c>
      <c r="D3582" t="s">
        <v>16206</v>
      </c>
      <c r="E3582" t="s">
        <v>16218</v>
      </c>
      <c r="F3582" t="s">
        <v>16220</v>
      </c>
      <c r="G3582" t="s">
        <v>16274</v>
      </c>
      <c r="H3582" t="s">
        <v>16269</v>
      </c>
      <c r="I3582" t="s">
        <v>16352</v>
      </c>
      <c r="J3582" t="s">
        <v>16386</v>
      </c>
      <c r="K3582">
        <v>0.158</v>
      </c>
      <c r="L3582">
        <v>6888</v>
      </c>
      <c r="M3582">
        <v>2358</v>
      </c>
      <c r="N3582" t="s">
        <v>16393</v>
      </c>
      <c r="O3582" s="4">
        <v>48576</v>
      </c>
      <c r="P3582" s="4">
        <v>119562</v>
      </c>
      <c r="Q3582" s="4">
        <v>168138</v>
      </c>
      <c r="R3582" s="4">
        <v>504414</v>
      </c>
      <c r="S3582" t="s">
        <v>19894</v>
      </c>
      <c r="T3582" s="6">
        <v>40057</v>
      </c>
      <c r="U3582" s="4">
        <v>394000</v>
      </c>
      <c r="V3582" t="s">
        <v>23739</v>
      </c>
      <c r="W3582" t="s">
        <v>25538</v>
      </c>
      <c r="X3582" t="s">
        <v>3</v>
      </c>
      <c r="AA3582" s="5" t="str">
        <f>HYPERLINK("https://www.zillow.com/homes/705-SMALL-CT-NAPERVILLE-IL-60563_rb/","check listing")</f>
        <v>check listing</v>
      </c>
      <c r="AB3582" s="5" t="str">
        <f>HYPERLINK("https://propertylookup.dupagecounty.gov/Datalets/Datalet.aspx?UseSearch=no&amp;mode=sales&amp;pin=0715206002","sales record")</f>
        <v>sales record</v>
      </c>
      <c r="AC3582" t="s">
        <v>3</v>
      </c>
      <c r="AD3582">
        <v>41.781513</v>
      </c>
      <c r="AE3582">
        <v>-88.18907</v>
      </c>
      <c r="AF3582" s="5" t="str">
        <f>HYPERLINK("https://www.google.com/maps/search/?api=1&amp;query=41.781513,-88.18907","map")</f>
        <v>map</v>
      </c>
    </row>
    <row r="3583" spans="1:32">
      <c r="A3583" t="s">
        <v>3633</v>
      </c>
      <c r="B3583" t="s">
        <v>11166</v>
      </c>
      <c r="C3583" t="s">
        <v>15475</v>
      </c>
      <c r="D3583" t="s">
        <v>16206</v>
      </c>
      <c r="E3583" t="s">
        <v>16218</v>
      </c>
      <c r="F3583" t="s">
        <v>16220</v>
      </c>
      <c r="G3583" t="s">
        <v>16275</v>
      </c>
      <c r="H3583" t="s">
        <v>16276</v>
      </c>
      <c r="I3583" t="s">
        <v>16352</v>
      </c>
      <c r="J3583" t="s">
        <v>16386</v>
      </c>
      <c r="K3583">
        <v>0.158</v>
      </c>
      <c r="L3583">
        <v>6875</v>
      </c>
      <c r="M3583">
        <v>2190</v>
      </c>
      <c r="N3583" t="s">
        <v>16393</v>
      </c>
      <c r="O3583" s="4">
        <v>47905</v>
      </c>
      <c r="P3583" s="4">
        <v>108223</v>
      </c>
      <c r="Q3583" s="4">
        <v>156128</v>
      </c>
      <c r="R3583" s="4">
        <v>468384</v>
      </c>
      <c r="S3583" t="s">
        <v>19895</v>
      </c>
      <c r="T3583" s="6">
        <v>41640</v>
      </c>
      <c r="U3583" s="4">
        <v>273000</v>
      </c>
      <c r="V3583" t="s">
        <v>23739</v>
      </c>
      <c r="W3583" t="s">
        <v>19895</v>
      </c>
      <c r="X3583" t="s">
        <v>3</v>
      </c>
      <c r="AA3583" s="5" t="str">
        <f>HYPERLINK("https://www.zillow.com/homes/2307-THREE-FARMS-AVE-NAPERVILLE-IL-60540_rb/","check listing")</f>
        <v>check listing</v>
      </c>
      <c r="AB3583" s="5" t="str">
        <f>HYPERLINK("https://propertylookup.dupagecounty.gov/Datalets/Datalet.aspx?UseSearch=no&amp;mode=sales&amp;pin=0727206045","sales record")</f>
        <v>sales record</v>
      </c>
      <c r="AC3583" t="s">
        <v>3</v>
      </c>
      <c r="AD3583">
        <v>41.749304</v>
      </c>
      <c r="AE3583">
        <v>-88.193172</v>
      </c>
      <c r="AF3583" s="5" t="str">
        <f>HYPERLINK("https://www.google.com/maps/search/?api=1&amp;query=41.749304,-88.193172","map")</f>
        <v>map</v>
      </c>
    </row>
    <row r="3584" spans="1:32">
      <c r="A3584" t="s">
        <v>3634</v>
      </c>
      <c r="B3584" t="s">
        <v>11167</v>
      </c>
      <c r="C3584" t="s">
        <v>15475</v>
      </c>
      <c r="D3584" t="s">
        <v>16206</v>
      </c>
      <c r="E3584" t="s">
        <v>16218</v>
      </c>
      <c r="F3584" t="s">
        <v>16220</v>
      </c>
      <c r="G3584" t="s">
        <v>16275</v>
      </c>
      <c r="H3584" t="s">
        <v>16276</v>
      </c>
      <c r="I3584" t="s">
        <v>16352</v>
      </c>
      <c r="J3584" t="s">
        <v>16386</v>
      </c>
      <c r="K3584">
        <v>0.157</v>
      </c>
      <c r="L3584">
        <v>6832</v>
      </c>
      <c r="M3584">
        <v>2474</v>
      </c>
      <c r="N3584" t="s">
        <v>16393</v>
      </c>
      <c r="O3584" s="4">
        <v>51103</v>
      </c>
      <c r="P3584" s="4">
        <v>156616</v>
      </c>
      <c r="Q3584" s="4">
        <v>207719</v>
      </c>
      <c r="R3584" s="4">
        <v>623157</v>
      </c>
      <c r="S3584" t="s">
        <v>19896</v>
      </c>
      <c r="T3584" s="6">
        <v>38018</v>
      </c>
      <c r="U3584" s="4">
        <v>335000</v>
      </c>
      <c r="V3584" t="s">
        <v>23739</v>
      </c>
      <c r="W3584" t="s">
        <v>25539</v>
      </c>
      <c r="X3584" t="s">
        <v>3</v>
      </c>
      <c r="AA3584" s="5" t="str">
        <f>HYPERLINK("https://www.zillow.com/homes/2220-FELDOTT-LN-NAPERVILLE-IL-60540_rb/","check listing")</f>
        <v>check listing</v>
      </c>
      <c r="AB3584" s="5" t="str">
        <f>HYPERLINK("https://propertylookup.dupagecounty.gov/Datalets/Datalet.aspx?UseSearch=no&amp;mode=sales&amp;pin=0722409006","sales record")</f>
        <v>sales record</v>
      </c>
      <c r="AC3584" t="s">
        <v>3</v>
      </c>
      <c r="AD3584">
        <v>41.760193</v>
      </c>
      <c r="AE3584">
        <v>-88.19154</v>
      </c>
      <c r="AF3584" s="5" t="str">
        <f>HYPERLINK("https://www.google.com/maps/search/?api=1&amp;query=41.760193,-88.19154","map")</f>
        <v>map</v>
      </c>
    </row>
    <row r="3585" spans="1:32">
      <c r="A3585" t="s">
        <v>3635</v>
      </c>
      <c r="B3585" t="s">
        <v>11168</v>
      </c>
      <c r="C3585" t="s">
        <v>15475</v>
      </c>
      <c r="D3585" t="s">
        <v>16206</v>
      </c>
      <c r="E3585" t="s">
        <v>16218</v>
      </c>
      <c r="F3585" t="s">
        <v>16220</v>
      </c>
      <c r="G3585" t="s">
        <v>16276</v>
      </c>
      <c r="H3585" t="s">
        <v>16276</v>
      </c>
      <c r="I3585" t="s">
        <v>16352</v>
      </c>
      <c r="J3585" t="s">
        <v>16386</v>
      </c>
      <c r="K3585">
        <v>0.157</v>
      </c>
      <c r="L3585">
        <v>6830</v>
      </c>
      <c r="M3585">
        <v>1979</v>
      </c>
      <c r="N3585" t="s">
        <v>16393</v>
      </c>
      <c r="O3585" s="4">
        <v>49444</v>
      </c>
      <c r="P3585" s="4">
        <v>91343</v>
      </c>
      <c r="Q3585" s="4">
        <v>140787</v>
      </c>
      <c r="R3585" s="4">
        <v>422361</v>
      </c>
      <c r="S3585" t="s">
        <v>19897</v>
      </c>
      <c r="T3585" s="6">
        <v>36739</v>
      </c>
      <c r="U3585" s="4">
        <v>205000</v>
      </c>
      <c r="V3585" t="s">
        <v>23739</v>
      </c>
      <c r="W3585" t="s">
        <v>25540</v>
      </c>
      <c r="X3585" t="s">
        <v>3</v>
      </c>
      <c r="AA3585" s="5" t="str">
        <f>HYPERLINK("https://www.zillow.com/homes/2159-SCHUMACHER-LN-NAPERVILLE-IL-60540_rb/","check listing")</f>
        <v>check listing</v>
      </c>
      <c r="AB3585" s="5" t="str">
        <f>HYPERLINK("https://propertylookup.dupagecounty.gov/Datalets/Datalet.aspx?UseSearch=no&amp;mode=sales&amp;pin=0727208020","sales record")</f>
        <v>sales record</v>
      </c>
      <c r="AC3585" t="s">
        <v>3</v>
      </c>
      <c r="AD3585">
        <v>41.751833</v>
      </c>
      <c r="AE3585">
        <v>-88.18895999999999</v>
      </c>
      <c r="AF3585" s="5" t="str">
        <f>HYPERLINK("https://www.google.com/maps/search/?api=1&amp;query=41.751833,-88.18896","map")</f>
        <v>map</v>
      </c>
    </row>
    <row r="3586" spans="1:32">
      <c r="A3586" t="s">
        <v>3636</v>
      </c>
      <c r="B3586" t="s">
        <v>11169</v>
      </c>
      <c r="C3586" t="s">
        <v>15475</v>
      </c>
      <c r="D3586" t="s">
        <v>16206</v>
      </c>
      <c r="E3586" t="s">
        <v>16218</v>
      </c>
      <c r="F3586" t="s">
        <v>16220</v>
      </c>
      <c r="G3586" t="s">
        <v>16275</v>
      </c>
      <c r="H3586" t="s">
        <v>16276</v>
      </c>
      <c r="I3586" t="s">
        <v>16352</v>
      </c>
      <c r="J3586" t="s">
        <v>16386</v>
      </c>
      <c r="K3586">
        <v>0.157</v>
      </c>
      <c r="L3586">
        <v>6829</v>
      </c>
      <c r="M3586">
        <v>2265</v>
      </c>
      <c r="N3586" t="s">
        <v>16393</v>
      </c>
      <c r="O3586" s="4">
        <v>46367</v>
      </c>
      <c r="P3586" s="4">
        <v>99778</v>
      </c>
      <c r="Q3586" s="4">
        <v>146145</v>
      </c>
      <c r="R3586" s="4">
        <v>438435</v>
      </c>
      <c r="S3586" t="s">
        <v>19898</v>
      </c>
      <c r="T3586" s="6">
        <v>38169</v>
      </c>
      <c r="U3586" s="4">
        <v>245000</v>
      </c>
      <c r="V3586" t="s">
        <v>23739</v>
      </c>
      <c r="W3586" t="s">
        <v>19898</v>
      </c>
      <c r="X3586" t="s">
        <v>3</v>
      </c>
      <c r="AA3586" s="5" t="str">
        <f>HYPERLINK("https://www.zillow.com/homes/2407-THREE-FARMS-AVE-NAPERVILLE-IL-60540_rb/","check listing")</f>
        <v>check listing</v>
      </c>
      <c r="AB3586" s="5" t="str">
        <f>HYPERLINK("https://propertylookup.dupagecounty.gov/Datalets/Datalet.aspx?UseSearch=no&amp;mode=sales&amp;pin=0727207003","sales record")</f>
        <v>sales record</v>
      </c>
      <c r="AC3586" t="s">
        <v>3</v>
      </c>
      <c r="AD3586">
        <v>41.74884</v>
      </c>
      <c r="AE3586">
        <v>-88.194621</v>
      </c>
      <c r="AF3586" s="5" t="str">
        <f>HYPERLINK("https://www.google.com/maps/search/?api=1&amp;query=41.74884,-88.194621","map")</f>
        <v>map</v>
      </c>
    </row>
    <row r="3587" spans="1:32">
      <c r="A3587" t="s">
        <v>3637</v>
      </c>
      <c r="B3587" t="s">
        <v>11170</v>
      </c>
      <c r="C3587" t="s">
        <v>15475</v>
      </c>
      <c r="D3587" t="s">
        <v>16206</v>
      </c>
      <c r="E3587" t="s">
        <v>16218</v>
      </c>
      <c r="F3587" t="s">
        <v>16220</v>
      </c>
      <c r="G3587" t="s">
        <v>16276</v>
      </c>
      <c r="H3587" t="s">
        <v>16276</v>
      </c>
      <c r="I3587" t="s">
        <v>16352</v>
      </c>
      <c r="J3587" t="s">
        <v>16386</v>
      </c>
      <c r="K3587">
        <v>0.157</v>
      </c>
      <c r="L3587">
        <v>6823</v>
      </c>
      <c r="M3587">
        <v>1979</v>
      </c>
      <c r="N3587" t="s">
        <v>16393</v>
      </c>
      <c r="O3587" s="4">
        <v>49444</v>
      </c>
      <c r="P3587" s="4">
        <v>89598</v>
      </c>
      <c r="Q3587" s="4">
        <v>139042</v>
      </c>
      <c r="R3587" s="4">
        <v>417126</v>
      </c>
      <c r="S3587" t="s">
        <v>19899</v>
      </c>
      <c r="T3587" s="6">
        <v>41548</v>
      </c>
      <c r="U3587" s="4">
        <v>247500</v>
      </c>
      <c r="V3587" t="s">
        <v>23739</v>
      </c>
      <c r="W3587" t="s">
        <v>19899</v>
      </c>
      <c r="X3587" t="s">
        <v>3</v>
      </c>
      <c r="AA3587" s="5" t="str">
        <f>HYPERLINK("https://www.zillow.com/homes/1067-SELMA-LN-NAPERVILLE-IL-60540_rb/","check listing")</f>
        <v>check listing</v>
      </c>
      <c r="AB3587" s="5" t="str">
        <f>HYPERLINK("https://propertylookup.dupagecounty.gov/Datalets/Datalet.aspx?UseSearch=no&amp;mode=sales&amp;pin=0727205036","sales record")</f>
        <v>sales record</v>
      </c>
      <c r="AC3587" t="s">
        <v>3</v>
      </c>
      <c r="AD3587">
        <v>41.751768</v>
      </c>
      <c r="AE3587">
        <v>-88.19</v>
      </c>
      <c r="AF3587" s="5" t="str">
        <f>HYPERLINK("https://www.google.com/maps/search/?api=1&amp;query=41.751768,-88.19","map")</f>
        <v>map</v>
      </c>
    </row>
    <row r="3588" spans="1:32">
      <c r="A3588" t="s">
        <v>3638</v>
      </c>
      <c r="B3588" t="s">
        <v>11171</v>
      </c>
      <c r="C3588" t="s">
        <v>15576</v>
      </c>
      <c r="D3588" t="s">
        <v>16206</v>
      </c>
      <c r="E3588" t="s">
        <v>16218</v>
      </c>
      <c r="F3588" t="s">
        <v>16220</v>
      </c>
      <c r="G3588" t="s">
        <v>16275</v>
      </c>
      <c r="H3588" t="s">
        <v>16276</v>
      </c>
      <c r="I3588" t="s">
        <v>16352</v>
      </c>
      <c r="J3588" t="s">
        <v>16386</v>
      </c>
      <c r="K3588">
        <v>0.156</v>
      </c>
      <c r="L3588">
        <v>6814</v>
      </c>
      <c r="M3588">
        <v>2131</v>
      </c>
      <c r="N3588" t="s">
        <v>16393</v>
      </c>
      <c r="O3588" s="4">
        <v>51103</v>
      </c>
      <c r="P3588" s="4">
        <v>122980</v>
      </c>
      <c r="Q3588" s="4">
        <v>174083</v>
      </c>
      <c r="R3588" s="4">
        <v>522249</v>
      </c>
      <c r="S3588" t="s">
        <v>19900</v>
      </c>
      <c r="T3588" s="6">
        <v>44831</v>
      </c>
      <c r="U3588" s="4">
        <v>455000</v>
      </c>
      <c r="V3588" t="s">
        <v>16232</v>
      </c>
      <c r="W3588" t="s">
        <v>25541</v>
      </c>
      <c r="X3588" t="s">
        <v>3</v>
      </c>
      <c r="AA3588" s="5" t="str">
        <f>HYPERLINK("https://www.zillow.com/homes/2131-PERIWINKLE-LN-NAPERVILLE-IL-605409221_rb/","check listing")</f>
        <v>check listing</v>
      </c>
      <c r="AB3588" s="5" t="str">
        <f>HYPERLINK("https://propertylookup.dupagecounty.gov/Datalets/Datalet.aspx?UseSearch=no&amp;mode=sales&amp;pin=0722409027","sales record")</f>
        <v>sales record</v>
      </c>
      <c r="AC3588" t="s">
        <v>3</v>
      </c>
      <c r="AD3588">
        <v>41.760704</v>
      </c>
      <c r="AE3588">
        <v>-88.190938</v>
      </c>
      <c r="AF3588" s="5" t="str">
        <f>HYPERLINK("https://www.google.com/maps/search/?api=1&amp;query=41.760704,-88.190938","map")</f>
        <v>map</v>
      </c>
    </row>
    <row r="3589" spans="1:32">
      <c r="A3589" t="s">
        <v>3639</v>
      </c>
      <c r="B3589" t="s">
        <v>11172</v>
      </c>
      <c r="C3589" t="s">
        <v>15557</v>
      </c>
      <c r="D3589" t="s">
        <v>16206</v>
      </c>
      <c r="E3589" t="s">
        <v>16218</v>
      </c>
      <c r="F3589" t="s">
        <v>16220</v>
      </c>
      <c r="G3589" t="s">
        <v>16275</v>
      </c>
      <c r="H3589" t="s">
        <v>16276</v>
      </c>
      <c r="I3589" t="s">
        <v>16352</v>
      </c>
      <c r="J3589" t="s">
        <v>16386</v>
      </c>
      <c r="K3589">
        <v>0.156</v>
      </c>
      <c r="L3589">
        <v>6803</v>
      </c>
      <c r="M3589">
        <v>2473</v>
      </c>
      <c r="N3589" t="s">
        <v>16393</v>
      </c>
      <c r="O3589" s="4">
        <v>52555</v>
      </c>
      <c r="P3589" s="4">
        <v>92064</v>
      </c>
      <c r="Q3589" s="4">
        <v>144619</v>
      </c>
      <c r="R3589" s="4">
        <v>433857</v>
      </c>
      <c r="S3589" t="s">
        <v>19901</v>
      </c>
      <c r="T3589" s="6">
        <v>37712</v>
      </c>
      <c r="U3589" s="4">
        <v>236000</v>
      </c>
      <c r="V3589" t="s">
        <v>23739</v>
      </c>
      <c r="W3589" t="s">
        <v>25542</v>
      </c>
      <c r="X3589" t="s">
        <v>3</v>
      </c>
      <c r="AA3589" s="5" t="str">
        <f>HYPERLINK("https://www.zillow.com/homes/1211-ANDRIA-CT-NAPERVILLE-IL-605400982_rb/","check listing")</f>
        <v>check listing</v>
      </c>
      <c r="AB3589" s="5" t="str">
        <f>HYPERLINK("https://propertylookup.dupagecounty.gov/Datalets/Datalet.aspx?UseSearch=no&amp;mode=sales&amp;pin=0727201029","sales record")</f>
        <v>sales record</v>
      </c>
      <c r="AC3589" t="s">
        <v>3</v>
      </c>
      <c r="AD3589">
        <v>41.748504</v>
      </c>
      <c r="AE3589">
        <v>-88.189031</v>
      </c>
      <c r="AF3589" s="5" t="str">
        <f>HYPERLINK("https://www.google.com/maps/search/?api=1&amp;query=41.748504,-88.189031","map")</f>
        <v>map</v>
      </c>
    </row>
    <row r="3590" spans="1:32">
      <c r="A3590" t="s">
        <v>3640</v>
      </c>
      <c r="B3590" t="s">
        <v>11173</v>
      </c>
      <c r="C3590" t="s">
        <v>15475</v>
      </c>
      <c r="D3590" t="s">
        <v>16206</v>
      </c>
      <c r="E3590" t="s">
        <v>16218</v>
      </c>
      <c r="F3590" t="s">
        <v>16220</v>
      </c>
      <c r="G3590" t="s">
        <v>16276</v>
      </c>
      <c r="H3590" t="s">
        <v>16276</v>
      </c>
      <c r="I3590" t="s">
        <v>16352</v>
      </c>
      <c r="J3590" t="s">
        <v>16386</v>
      </c>
      <c r="K3590">
        <v>0.156</v>
      </c>
      <c r="L3590">
        <v>6784</v>
      </c>
      <c r="M3590">
        <v>1995</v>
      </c>
      <c r="N3590" t="s">
        <v>16393</v>
      </c>
      <c r="O3590" s="4">
        <v>46367</v>
      </c>
      <c r="P3590" s="4">
        <v>117072</v>
      </c>
      <c r="Q3590" s="4">
        <v>163439</v>
      </c>
      <c r="R3590" s="4">
        <v>490317</v>
      </c>
      <c r="S3590" t="s">
        <v>19902</v>
      </c>
      <c r="T3590" s="6">
        <v>35765</v>
      </c>
      <c r="U3590" s="4">
        <v>205500</v>
      </c>
      <c r="X3590" t="s">
        <v>3</v>
      </c>
      <c r="AA3590" s="5" t="str">
        <f>HYPERLINK("https://www.zillow.com/homes/2116-SCHUMACHER-LN-NAPERVILLE-IL-60540_rb/","check listing")</f>
        <v>check listing</v>
      </c>
      <c r="AB3590" s="5" t="str">
        <f>HYPERLINK("https://propertylookup.dupagecounty.gov/Datalets/Datalet.aspx?UseSearch=no&amp;mode=sales&amp;pin=0727203042","sales record")</f>
        <v>sales record</v>
      </c>
      <c r="AC3590" t="s">
        <v>3</v>
      </c>
      <c r="AD3590">
        <v>41.752535</v>
      </c>
      <c r="AE3590">
        <v>-88.187066</v>
      </c>
      <c r="AF3590" s="5" t="str">
        <f>HYPERLINK("https://www.google.com/maps/search/?api=1&amp;query=41.752535,-88.187066","map")</f>
        <v>map</v>
      </c>
    </row>
    <row r="3591" spans="1:32">
      <c r="A3591" t="s">
        <v>3641</v>
      </c>
      <c r="B3591" t="s">
        <v>11174</v>
      </c>
      <c r="C3591" t="s">
        <v>15527</v>
      </c>
      <c r="D3591" t="s">
        <v>16206</v>
      </c>
      <c r="E3591" t="s">
        <v>16218</v>
      </c>
      <c r="F3591" t="s">
        <v>16220</v>
      </c>
      <c r="G3591" t="s">
        <v>16276</v>
      </c>
      <c r="H3591" t="s">
        <v>16276</v>
      </c>
      <c r="I3591" t="s">
        <v>16352</v>
      </c>
      <c r="J3591" t="s">
        <v>16386</v>
      </c>
      <c r="K3591">
        <v>0.156</v>
      </c>
      <c r="L3591">
        <v>6783</v>
      </c>
      <c r="M3591">
        <v>2139</v>
      </c>
      <c r="N3591" t="s">
        <v>16393</v>
      </c>
      <c r="O3591" s="4">
        <v>52555</v>
      </c>
      <c r="P3591" s="4">
        <v>91832</v>
      </c>
      <c r="Q3591" s="4">
        <v>144387</v>
      </c>
      <c r="R3591" s="4">
        <v>433161</v>
      </c>
      <c r="S3591" t="s">
        <v>19903</v>
      </c>
      <c r="T3591" s="6">
        <v>44044</v>
      </c>
      <c r="U3591" s="4">
        <v>319900</v>
      </c>
      <c r="V3591" t="s">
        <v>23739</v>
      </c>
      <c r="W3591" t="s">
        <v>19903</v>
      </c>
      <c r="X3591" t="s">
        <v>3</v>
      </c>
      <c r="AA3591" s="5" t="str">
        <f>HYPERLINK("https://www.zillow.com/homes/2128-SCHUMACHER-DR-NAPERVILLE-IL-605400966_rb/","check listing")</f>
        <v>check listing</v>
      </c>
      <c r="AB3591" s="5" t="str">
        <f>HYPERLINK("https://propertylookup.dupagecounty.gov/Datalets/Datalet.aspx?UseSearch=no&amp;mode=sales&amp;pin=0727203039","sales record")</f>
        <v>sales record</v>
      </c>
      <c r="AC3591" t="s">
        <v>3</v>
      </c>
      <c r="AD3591">
        <v>41.75226</v>
      </c>
      <c r="AE3591">
        <v>-88.187601</v>
      </c>
      <c r="AF3591" s="5" t="str">
        <f>HYPERLINK("https://www.google.com/maps/search/?api=1&amp;query=41.75226,-88.187601","map")</f>
        <v>map</v>
      </c>
    </row>
    <row r="3592" spans="1:32">
      <c r="A3592" t="s">
        <v>3642</v>
      </c>
      <c r="B3592" t="s">
        <v>11175</v>
      </c>
      <c r="C3592" t="s">
        <v>15587</v>
      </c>
      <c r="D3592" t="s">
        <v>16206</v>
      </c>
      <c r="E3592" t="s">
        <v>16218</v>
      </c>
      <c r="F3592" t="s">
        <v>16220</v>
      </c>
      <c r="G3592" t="s">
        <v>16269</v>
      </c>
      <c r="H3592" t="s">
        <v>16269</v>
      </c>
      <c r="I3592" t="s">
        <v>16352</v>
      </c>
      <c r="J3592" t="s">
        <v>16386</v>
      </c>
      <c r="K3592">
        <v>0.156</v>
      </c>
      <c r="L3592">
        <v>6782</v>
      </c>
      <c r="M3592">
        <v>2145</v>
      </c>
      <c r="N3592" t="s">
        <v>16393</v>
      </c>
      <c r="O3592" s="4">
        <v>71707</v>
      </c>
      <c r="P3592" s="4">
        <v>120343</v>
      </c>
      <c r="Q3592" s="4">
        <v>192050</v>
      </c>
      <c r="R3592" s="4">
        <v>576150</v>
      </c>
      <c r="S3592" t="s">
        <v>19904</v>
      </c>
      <c r="T3592" s="6">
        <v>34060</v>
      </c>
      <c r="U3592" s="4">
        <v>209000</v>
      </c>
      <c r="X3592" t="s">
        <v>3</v>
      </c>
      <c r="AA3592" s="5" t="str">
        <f>HYPERLINK("https://www.zillow.com/homes/1743-NAPOLEON-DR-NAPERVILLE-IL-605652640_rb/","check listing")</f>
        <v>check listing</v>
      </c>
      <c r="AB3592" s="5" t="str">
        <f>HYPERLINK("https://propertylookup.dupagecounty.gov/Datalets/Datalet.aspx?UseSearch=no&amp;mode=sales&amp;pin=0832114086","sales record")</f>
        <v>sales record</v>
      </c>
      <c r="AC3592" t="s">
        <v>3</v>
      </c>
      <c r="AD3592">
        <v>41.735632</v>
      </c>
      <c r="AE3592">
        <v>-88.12103399999999</v>
      </c>
      <c r="AF3592" s="5" t="str">
        <f>HYPERLINK("https://www.google.com/maps/search/?api=1&amp;query=41.735632,-88.121034","map")</f>
        <v>map</v>
      </c>
    </row>
    <row r="3593" spans="1:32">
      <c r="A3593" t="s">
        <v>3643</v>
      </c>
      <c r="B3593" t="s">
        <v>11176</v>
      </c>
      <c r="C3593" t="s">
        <v>15475</v>
      </c>
      <c r="D3593" t="s">
        <v>16206</v>
      </c>
      <c r="E3593" t="s">
        <v>16218</v>
      </c>
      <c r="F3593" t="s">
        <v>16220</v>
      </c>
      <c r="G3593" t="s">
        <v>16276</v>
      </c>
      <c r="H3593" t="s">
        <v>16276</v>
      </c>
      <c r="I3593" t="s">
        <v>16352</v>
      </c>
      <c r="J3593" t="s">
        <v>16386</v>
      </c>
      <c r="K3593">
        <v>0.156</v>
      </c>
      <c r="L3593">
        <v>6782</v>
      </c>
      <c r="M3593">
        <v>2176</v>
      </c>
      <c r="N3593" t="s">
        <v>16393</v>
      </c>
      <c r="O3593" s="4">
        <v>50993</v>
      </c>
      <c r="P3593" s="4">
        <v>134916</v>
      </c>
      <c r="Q3593" s="4">
        <v>185909</v>
      </c>
      <c r="R3593" s="4">
        <v>557727</v>
      </c>
      <c r="S3593" t="s">
        <v>19905</v>
      </c>
      <c r="T3593" s="6">
        <v>34820</v>
      </c>
      <c r="U3593" s="4">
        <v>203965</v>
      </c>
      <c r="X3593" t="s">
        <v>3</v>
      </c>
      <c r="AA3593" s="5" t="str">
        <f>HYPERLINK("https://www.zillow.com/homes/2120-SCHUMACHER-LN-NAPERVILLE-IL-60540_rb/","check listing")</f>
        <v>check listing</v>
      </c>
      <c r="AB3593" s="5" t="str">
        <f>HYPERLINK("https://propertylookup.dupagecounty.gov/Datalets/Datalet.aspx?UseSearch=no&amp;mode=sales&amp;pin=0727203041","sales record")</f>
        <v>sales record</v>
      </c>
      <c r="AC3593" t="s">
        <v>3</v>
      </c>
      <c r="AD3593">
        <v>41.75248</v>
      </c>
      <c r="AE3593">
        <v>-88.187251</v>
      </c>
      <c r="AF3593" s="5" t="str">
        <f>HYPERLINK("https://www.google.com/maps/search/?api=1&amp;query=41.75248,-88.187251","map")</f>
        <v>map</v>
      </c>
    </row>
    <row r="3594" spans="1:32">
      <c r="A3594" t="s">
        <v>3644</v>
      </c>
      <c r="B3594" t="s">
        <v>11177</v>
      </c>
      <c r="C3594" t="s">
        <v>15475</v>
      </c>
      <c r="D3594" t="s">
        <v>16206</v>
      </c>
      <c r="E3594" t="s">
        <v>16218</v>
      </c>
      <c r="F3594" t="s">
        <v>16220</v>
      </c>
      <c r="G3594" t="s">
        <v>16276</v>
      </c>
      <c r="H3594" t="s">
        <v>16276</v>
      </c>
      <c r="I3594" t="s">
        <v>16352</v>
      </c>
      <c r="J3594" t="s">
        <v>16386</v>
      </c>
      <c r="K3594">
        <v>0.156</v>
      </c>
      <c r="L3594">
        <v>6779</v>
      </c>
      <c r="M3594">
        <v>2309</v>
      </c>
      <c r="N3594" t="s">
        <v>16393</v>
      </c>
      <c r="O3594" s="4">
        <v>52555</v>
      </c>
      <c r="P3594" s="4">
        <v>114460</v>
      </c>
      <c r="Q3594" s="4">
        <v>167015</v>
      </c>
      <c r="R3594" s="4">
        <v>501045</v>
      </c>
      <c r="S3594" t="s">
        <v>19906</v>
      </c>
      <c r="T3594" s="6">
        <v>34881</v>
      </c>
      <c r="U3594" s="4">
        <v>183495</v>
      </c>
      <c r="X3594" t="s">
        <v>3</v>
      </c>
      <c r="AA3594" s="5" t="str">
        <f>HYPERLINK("https://www.zillow.com/homes/2124-SCHUMACHER-LN-NAPERVILLE-IL-60540_rb/","check listing")</f>
        <v>check listing</v>
      </c>
      <c r="AB3594" s="5" t="str">
        <f>HYPERLINK("https://propertylookup.dupagecounty.gov/Datalets/Datalet.aspx?UseSearch=no&amp;mode=sales&amp;pin=0727203040","sales record")</f>
        <v>sales record</v>
      </c>
      <c r="AC3594" t="s">
        <v>3</v>
      </c>
      <c r="AD3594">
        <v>41.752358</v>
      </c>
      <c r="AE3594">
        <v>-88.18741300000001</v>
      </c>
      <c r="AF3594" s="5" t="str">
        <f>HYPERLINK("https://www.google.com/maps/search/?api=1&amp;query=41.752358,-88.187413","map")</f>
        <v>map</v>
      </c>
    </row>
    <row r="3595" spans="1:32">
      <c r="A3595" t="s">
        <v>3645</v>
      </c>
      <c r="B3595" t="s">
        <v>11178</v>
      </c>
      <c r="C3595" t="s">
        <v>15475</v>
      </c>
      <c r="D3595" t="s">
        <v>16206</v>
      </c>
      <c r="E3595" t="s">
        <v>16218</v>
      </c>
      <c r="F3595" t="s">
        <v>16220</v>
      </c>
      <c r="G3595" t="s">
        <v>16275</v>
      </c>
      <c r="H3595" t="s">
        <v>16276</v>
      </c>
      <c r="I3595" t="s">
        <v>16352</v>
      </c>
      <c r="J3595" t="s">
        <v>16386</v>
      </c>
      <c r="K3595">
        <v>0.156</v>
      </c>
      <c r="L3595">
        <v>6779</v>
      </c>
      <c r="M3595">
        <v>1814</v>
      </c>
      <c r="N3595" t="s">
        <v>16393</v>
      </c>
      <c r="O3595" s="4">
        <v>49444</v>
      </c>
      <c r="P3595" s="4">
        <v>91271</v>
      </c>
      <c r="Q3595" s="4">
        <v>140715</v>
      </c>
      <c r="R3595" s="4">
        <v>422145</v>
      </c>
      <c r="S3595" t="s">
        <v>19907</v>
      </c>
      <c r="T3595" s="6">
        <v>44722</v>
      </c>
      <c r="U3595" s="4">
        <v>430000</v>
      </c>
      <c r="V3595" t="s">
        <v>23739</v>
      </c>
      <c r="W3595" t="s">
        <v>25543</v>
      </c>
      <c r="X3595" t="s">
        <v>3</v>
      </c>
      <c r="AA3595" s="5" t="str">
        <f>HYPERLINK("https://www.zillow.com/homes/1091-SELMA-LN-NAPERVILLE-IL-60540_rb/","check listing")</f>
        <v>check listing</v>
      </c>
      <c r="AB3595" s="5" t="str">
        <f>HYPERLINK("https://propertylookup.dupagecounty.gov/Datalets/Datalet.aspx?UseSearch=no&amp;mode=sales&amp;pin=0727205002","sales record")</f>
        <v>sales record</v>
      </c>
      <c r="AC3595" t="s">
        <v>3</v>
      </c>
      <c r="AD3595">
        <v>41.750786</v>
      </c>
      <c r="AE3595">
        <v>-88.18996300000001</v>
      </c>
      <c r="AF3595" s="5" t="str">
        <f>HYPERLINK("https://www.google.com/maps/search/?api=1&amp;query=41.750786,-88.189963","map")</f>
        <v>map</v>
      </c>
    </row>
    <row r="3596" spans="1:32">
      <c r="A3596" t="s">
        <v>3646</v>
      </c>
      <c r="B3596" t="s">
        <v>11179</v>
      </c>
      <c r="C3596" t="s">
        <v>15475</v>
      </c>
      <c r="D3596" t="s">
        <v>16206</v>
      </c>
      <c r="E3596" t="s">
        <v>16218</v>
      </c>
      <c r="F3596" t="s">
        <v>16220</v>
      </c>
      <c r="G3596" t="s">
        <v>16275</v>
      </c>
      <c r="H3596" t="s">
        <v>16276</v>
      </c>
      <c r="I3596" t="s">
        <v>16352</v>
      </c>
      <c r="J3596" t="s">
        <v>16386</v>
      </c>
      <c r="K3596">
        <v>0.156</v>
      </c>
      <c r="L3596">
        <v>6778</v>
      </c>
      <c r="M3596">
        <v>2464</v>
      </c>
      <c r="N3596" t="s">
        <v>16393</v>
      </c>
      <c r="O3596" s="4">
        <v>51103</v>
      </c>
      <c r="P3596" s="4">
        <v>133952</v>
      </c>
      <c r="Q3596" s="4">
        <v>185055</v>
      </c>
      <c r="R3596" s="4">
        <v>555165</v>
      </c>
      <c r="S3596" t="s">
        <v>19908</v>
      </c>
      <c r="T3596" s="6">
        <v>38292</v>
      </c>
      <c r="U3596" s="4">
        <v>313000</v>
      </c>
      <c r="V3596" t="s">
        <v>23739</v>
      </c>
      <c r="W3596" t="s">
        <v>19908</v>
      </c>
      <c r="X3596" t="s">
        <v>3</v>
      </c>
      <c r="AA3596" s="5" t="str">
        <f>HYPERLINK("https://www.zillow.com/homes/2216-FELDOTT-LN-NAPERVILLE-IL-60540_rb/","check listing")</f>
        <v>check listing</v>
      </c>
      <c r="AB3596" s="5" t="str">
        <f>HYPERLINK("https://propertylookup.dupagecounty.gov/Datalets/Datalet.aspx?UseSearch=no&amp;mode=sales&amp;pin=0722409007","sales record")</f>
        <v>sales record</v>
      </c>
      <c r="AC3596" t="s">
        <v>3</v>
      </c>
      <c r="AD3596">
        <v>41.760319</v>
      </c>
      <c r="AE3596">
        <v>-88.191427</v>
      </c>
      <c r="AF3596" s="5" t="str">
        <f>HYPERLINK("https://www.google.com/maps/search/?api=1&amp;query=41.760319,-88.191427","map")</f>
        <v>map</v>
      </c>
    </row>
    <row r="3597" spans="1:32">
      <c r="A3597" t="s">
        <v>3647</v>
      </c>
      <c r="B3597" t="s">
        <v>11180</v>
      </c>
      <c r="C3597" t="s">
        <v>15475</v>
      </c>
      <c r="D3597" t="s">
        <v>16206</v>
      </c>
      <c r="E3597" t="s">
        <v>16218</v>
      </c>
      <c r="F3597" t="s">
        <v>16220</v>
      </c>
      <c r="G3597" t="s">
        <v>16276</v>
      </c>
      <c r="H3597" t="s">
        <v>16276</v>
      </c>
      <c r="I3597" t="s">
        <v>16352</v>
      </c>
      <c r="J3597" t="s">
        <v>16386</v>
      </c>
      <c r="K3597">
        <v>0.155</v>
      </c>
      <c r="L3597">
        <v>6769</v>
      </c>
      <c r="M3597">
        <v>1915</v>
      </c>
      <c r="N3597" t="s">
        <v>16393</v>
      </c>
      <c r="O3597" s="4">
        <v>49444</v>
      </c>
      <c r="P3597" s="4">
        <v>96897</v>
      </c>
      <c r="Q3597" s="4">
        <v>146341</v>
      </c>
      <c r="R3597" s="4">
        <v>439023</v>
      </c>
      <c r="S3597" t="s">
        <v>19909</v>
      </c>
      <c r="T3597" s="6">
        <v>38718</v>
      </c>
      <c r="U3597" s="4">
        <v>279500</v>
      </c>
      <c r="V3597" t="s">
        <v>23739</v>
      </c>
      <c r="W3597" t="s">
        <v>19909</v>
      </c>
      <c r="X3597" t="s">
        <v>3</v>
      </c>
      <c r="AA3597" s="5" t="str">
        <f>HYPERLINK("https://www.zillow.com/homes/1064-SELMA-LN-NAPERVILLE-IL-60540_rb/","check listing")</f>
        <v>check listing</v>
      </c>
      <c r="AB3597" s="5" t="str">
        <f>HYPERLINK("https://propertylookup.dupagecounty.gov/Datalets/Datalet.aspx?UseSearch=no&amp;mode=sales&amp;pin=0727208024","sales record")</f>
        <v>sales record</v>
      </c>
      <c r="AC3597" t="s">
        <v>3</v>
      </c>
      <c r="AD3597">
        <v>41.752065</v>
      </c>
      <c r="AE3597">
        <v>-88.189378</v>
      </c>
      <c r="AF3597" s="5" t="str">
        <f>HYPERLINK("https://www.google.com/maps/search/?api=1&amp;query=41.752065,-88.189378","map")</f>
        <v>map</v>
      </c>
    </row>
    <row r="3598" spans="1:32">
      <c r="A3598" t="s">
        <v>3648</v>
      </c>
      <c r="B3598" t="s">
        <v>11181</v>
      </c>
      <c r="C3598" t="s">
        <v>15478</v>
      </c>
      <c r="D3598" t="s">
        <v>16206</v>
      </c>
      <c r="E3598" t="s">
        <v>16218</v>
      </c>
      <c r="F3598" t="s">
        <v>16220</v>
      </c>
      <c r="G3598" t="s">
        <v>16274</v>
      </c>
      <c r="H3598" t="s">
        <v>16269</v>
      </c>
      <c r="I3598" t="s">
        <v>16352</v>
      </c>
      <c r="J3598" t="s">
        <v>16386</v>
      </c>
      <c r="K3598">
        <v>0.155</v>
      </c>
      <c r="L3598">
        <v>6768</v>
      </c>
      <c r="M3598">
        <v>2143</v>
      </c>
      <c r="N3598" t="s">
        <v>16393</v>
      </c>
      <c r="O3598" s="4">
        <v>48576</v>
      </c>
      <c r="P3598" s="4">
        <v>126861</v>
      </c>
      <c r="Q3598" s="4">
        <v>175437</v>
      </c>
      <c r="R3598" s="4">
        <v>526311</v>
      </c>
      <c r="S3598" t="s">
        <v>19910</v>
      </c>
      <c r="T3598" s="6">
        <v>35827</v>
      </c>
      <c r="U3598" s="4">
        <v>205000</v>
      </c>
      <c r="X3598" t="s">
        <v>3</v>
      </c>
      <c r="AA3598" s="5" t="str">
        <f>HYPERLINK("https://www.zillow.com/homes/1622-LOIS-ANN-LN-NAPERVILLE-IL-60563_rb/","check listing")</f>
        <v>check listing</v>
      </c>
      <c r="AB3598" s="5" t="str">
        <f>HYPERLINK("https://propertylookup.dupagecounty.gov/Datalets/Datalet.aspx?UseSearch=no&amp;mode=sales&amp;pin=0715204008","sales record")</f>
        <v>sales record</v>
      </c>
      <c r="AC3598" t="s">
        <v>3</v>
      </c>
      <c r="AD3598">
        <v>41.782144</v>
      </c>
      <c r="AE3598">
        <v>-88.192037</v>
      </c>
      <c r="AF3598" s="5" t="str">
        <f>HYPERLINK("https://www.google.com/maps/search/?api=1&amp;query=41.782144,-88.192037","map")</f>
        <v>map</v>
      </c>
    </row>
    <row r="3599" spans="1:32">
      <c r="A3599" t="s">
        <v>3649</v>
      </c>
      <c r="B3599" t="s">
        <v>11182</v>
      </c>
      <c r="C3599" t="s">
        <v>15476</v>
      </c>
      <c r="D3599" t="s">
        <v>16206</v>
      </c>
      <c r="E3599" t="s">
        <v>16218</v>
      </c>
      <c r="F3599" t="s">
        <v>16220</v>
      </c>
      <c r="G3599" t="s">
        <v>16269</v>
      </c>
      <c r="H3599" t="s">
        <v>16269</v>
      </c>
      <c r="I3599" t="s">
        <v>16352</v>
      </c>
      <c r="J3599" t="s">
        <v>16386</v>
      </c>
      <c r="K3599">
        <v>0.155</v>
      </c>
      <c r="L3599">
        <v>6767</v>
      </c>
      <c r="M3599">
        <v>1711</v>
      </c>
      <c r="N3599" t="s">
        <v>16393</v>
      </c>
      <c r="O3599" s="4">
        <v>71707</v>
      </c>
      <c r="P3599" s="4">
        <v>86713</v>
      </c>
      <c r="Q3599" s="4">
        <v>158420</v>
      </c>
      <c r="R3599" s="4">
        <v>475260</v>
      </c>
      <c r="S3599" t="s">
        <v>19911</v>
      </c>
      <c r="T3599" s="6">
        <v>38534</v>
      </c>
      <c r="U3599" s="4">
        <v>300000</v>
      </c>
      <c r="V3599" t="s">
        <v>23739</v>
      </c>
      <c r="W3599" t="s">
        <v>19911</v>
      </c>
      <c r="X3599" t="s">
        <v>3</v>
      </c>
      <c r="AA3599" s="5" t="str">
        <f>HYPERLINK("https://www.zillow.com/homes/1747-NAPOLEON-DR-NAPERVILLE-IL-60565_rb/","check listing")</f>
        <v>check listing</v>
      </c>
      <c r="AB3599" s="5" t="str">
        <f>HYPERLINK("https://propertylookup.dupagecounty.gov/Datalets/Datalet.aspx?UseSearch=no&amp;mode=sales&amp;pin=0832114085","sales record")</f>
        <v>sales record</v>
      </c>
      <c r="AC3599" t="s">
        <v>3</v>
      </c>
      <c r="AD3599">
        <v>41.735475</v>
      </c>
      <c r="AE3599">
        <v>-88.12114800000001</v>
      </c>
      <c r="AF3599" s="5" t="str">
        <f>HYPERLINK("https://www.google.com/maps/search/?api=1&amp;query=41.735475,-88.121148","map")</f>
        <v>map</v>
      </c>
    </row>
    <row r="3600" spans="1:32">
      <c r="A3600" t="s">
        <v>3650</v>
      </c>
      <c r="B3600" t="s">
        <v>11183</v>
      </c>
      <c r="C3600" t="s">
        <v>15500</v>
      </c>
      <c r="D3600" t="s">
        <v>16206</v>
      </c>
      <c r="E3600" t="s">
        <v>16218</v>
      </c>
      <c r="F3600" t="s">
        <v>16220</v>
      </c>
      <c r="G3600" t="s">
        <v>16275</v>
      </c>
      <c r="H3600" t="s">
        <v>16276</v>
      </c>
      <c r="I3600" t="s">
        <v>16352</v>
      </c>
      <c r="J3600" t="s">
        <v>16386</v>
      </c>
      <c r="K3600">
        <v>0.155</v>
      </c>
      <c r="L3600">
        <v>6765</v>
      </c>
      <c r="M3600">
        <v>2111</v>
      </c>
      <c r="N3600" t="s">
        <v>16393</v>
      </c>
      <c r="O3600" s="4">
        <v>46367</v>
      </c>
      <c r="P3600" s="4">
        <v>105477</v>
      </c>
      <c r="Q3600" s="4">
        <v>151844</v>
      </c>
      <c r="R3600" s="4">
        <v>455532</v>
      </c>
      <c r="S3600" t="s">
        <v>19912</v>
      </c>
      <c r="T3600" s="6">
        <v>45616</v>
      </c>
      <c r="U3600" s="4">
        <v>460000</v>
      </c>
      <c r="V3600" t="s">
        <v>23739</v>
      </c>
      <c r="W3600" t="s">
        <v>25544</v>
      </c>
      <c r="X3600" t="s">
        <v>3</v>
      </c>
      <c r="AA3600" s="5" t="str">
        <f>HYPERLINK("https://www.zillow.com/homes/1212-SAMUEL-CT-NAPERVILLE-IL-605401910_rb/","check listing")</f>
        <v>check listing</v>
      </c>
      <c r="AB3600" s="5" t="str">
        <f>HYPERLINK("https://propertylookup.dupagecounty.gov/Datalets/Datalet.aspx?UseSearch=no&amp;mode=sales&amp;pin=0727201062","sales record")</f>
        <v>sales record</v>
      </c>
      <c r="AC3600" t="s">
        <v>3</v>
      </c>
      <c r="AD3600">
        <v>41.748239</v>
      </c>
      <c r="AE3600">
        <v>-88.19382400000001</v>
      </c>
      <c r="AF3600" s="5" t="str">
        <f>HYPERLINK("https://www.google.com/maps/search/?api=1&amp;query=41.748239,-88.193824","map")</f>
        <v>map</v>
      </c>
    </row>
    <row r="3601" spans="1:32">
      <c r="A3601" t="s">
        <v>3651</v>
      </c>
      <c r="B3601" t="s">
        <v>11184</v>
      </c>
      <c r="C3601" t="s">
        <v>15475</v>
      </c>
      <c r="D3601" t="s">
        <v>16206</v>
      </c>
      <c r="E3601" t="s">
        <v>16218</v>
      </c>
      <c r="F3601" t="s">
        <v>16220</v>
      </c>
      <c r="G3601" t="s">
        <v>16275</v>
      </c>
      <c r="H3601" t="s">
        <v>16276</v>
      </c>
      <c r="I3601" t="s">
        <v>16352</v>
      </c>
      <c r="J3601" t="s">
        <v>16386</v>
      </c>
      <c r="K3601">
        <v>0.155</v>
      </c>
      <c r="L3601">
        <v>6762</v>
      </c>
      <c r="M3601">
        <v>1583</v>
      </c>
      <c r="N3601" t="s">
        <v>16393</v>
      </c>
      <c r="O3601" s="4">
        <v>50993</v>
      </c>
      <c r="P3601" s="4">
        <v>104452</v>
      </c>
      <c r="Q3601" s="4">
        <v>155445</v>
      </c>
      <c r="R3601" s="4">
        <v>466335</v>
      </c>
      <c r="S3601" t="s">
        <v>19913</v>
      </c>
      <c r="T3601" s="6">
        <v>39052</v>
      </c>
      <c r="U3601" s="4">
        <v>300000</v>
      </c>
      <c r="V3601" t="s">
        <v>23739</v>
      </c>
      <c r="W3601" t="s">
        <v>25545</v>
      </c>
      <c r="X3601" t="s">
        <v>3</v>
      </c>
      <c r="AA3601" s="5" t="str">
        <f>HYPERLINK("https://www.zillow.com/homes/1159-LAKEWOOD-CIR-NAPERVILLE-IL-60540_rb/","check listing")</f>
        <v>check listing</v>
      </c>
      <c r="AB3601" s="5" t="str">
        <f>HYPERLINK("https://propertylookup.dupagecounty.gov/Datalets/Datalet.aspx?UseSearch=no&amp;mode=sales&amp;pin=0727205018","sales record")</f>
        <v>sales record</v>
      </c>
      <c r="AC3601" t="s">
        <v>3</v>
      </c>
      <c r="AD3601">
        <v>41.750106</v>
      </c>
      <c r="AE3601">
        <v>-88.190164</v>
      </c>
      <c r="AF3601" s="5" t="str">
        <f>HYPERLINK("https://www.google.com/maps/search/?api=1&amp;query=41.750106,-88.190164","map")</f>
        <v>map</v>
      </c>
    </row>
    <row r="3602" spans="1:32">
      <c r="A3602" t="s">
        <v>3652</v>
      </c>
      <c r="B3602" t="s">
        <v>11185</v>
      </c>
      <c r="C3602" t="s">
        <v>15569</v>
      </c>
      <c r="D3602" t="s">
        <v>16206</v>
      </c>
      <c r="E3602" t="s">
        <v>16218</v>
      </c>
      <c r="F3602" t="s">
        <v>16220</v>
      </c>
      <c r="G3602" t="s">
        <v>16275</v>
      </c>
      <c r="H3602" t="s">
        <v>16276</v>
      </c>
      <c r="I3602" t="s">
        <v>16352</v>
      </c>
      <c r="J3602" t="s">
        <v>16386</v>
      </c>
      <c r="K3602">
        <v>0.155</v>
      </c>
      <c r="L3602">
        <v>6760</v>
      </c>
      <c r="M3602">
        <v>2145</v>
      </c>
      <c r="N3602" t="s">
        <v>16393</v>
      </c>
      <c r="O3602" s="4">
        <v>51103</v>
      </c>
      <c r="P3602" s="4">
        <v>115851</v>
      </c>
      <c r="Q3602" s="4">
        <v>166954</v>
      </c>
      <c r="R3602" s="4">
        <v>500862</v>
      </c>
      <c r="S3602" t="s">
        <v>19914</v>
      </c>
      <c r="T3602" s="6">
        <v>43252</v>
      </c>
      <c r="U3602" s="4">
        <v>332000</v>
      </c>
      <c r="V3602" t="s">
        <v>23739</v>
      </c>
      <c r="W3602" t="s">
        <v>25546</v>
      </c>
      <c r="X3602" t="s">
        <v>3</v>
      </c>
      <c r="AA3602" s="5" t="str">
        <f>HYPERLINK("https://www.zillow.com/homes/2120-PERIWINKLE-LN-NAPERVILLE-IL-605409223_rb/","check listing")</f>
        <v>check listing</v>
      </c>
      <c r="AB3602" s="5" t="str">
        <f>HYPERLINK("https://propertylookup.dupagecounty.gov/Datalets/Datalet.aspx?UseSearch=no&amp;mode=sales&amp;pin=0722410013","sales record")</f>
        <v>sales record</v>
      </c>
      <c r="AC3602" t="s">
        <v>3</v>
      </c>
      <c r="AD3602">
        <v>41.76064</v>
      </c>
      <c r="AE3602">
        <v>-88.190119</v>
      </c>
      <c r="AF3602" s="5" t="str">
        <f>HYPERLINK("https://www.google.com/maps/search/?api=1&amp;query=41.76064,-88.190119","map")</f>
        <v>map</v>
      </c>
    </row>
    <row r="3603" spans="1:32">
      <c r="A3603" t="s">
        <v>3653</v>
      </c>
      <c r="B3603" t="s">
        <v>11186</v>
      </c>
      <c r="C3603" t="s">
        <v>15604</v>
      </c>
      <c r="D3603" t="s">
        <v>16206</v>
      </c>
      <c r="E3603" t="s">
        <v>16218</v>
      </c>
      <c r="F3603" t="s">
        <v>16220</v>
      </c>
      <c r="G3603" t="s">
        <v>16274</v>
      </c>
      <c r="H3603" t="s">
        <v>16269</v>
      </c>
      <c r="I3603" t="s">
        <v>16352</v>
      </c>
      <c r="J3603" t="s">
        <v>16386</v>
      </c>
      <c r="K3603">
        <v>0.155</v>
      </c>
      <c r="L3603">
        <v>6759</v>
      </c>
      <c r="M3603">
        <v>2177</v>
      </c>
      <c r="N3603" t="s">
        <v>16393</v>
      </c>
      <c r="O3603" s="4">
        <v>48576</v>
      </c>
      <c r="P3603" s="4">
        <v>124371</v>
      </c>
      <c r="Q3603" s="4">
        <v>172947</v>
      </c>
      <c r="R3603" s="4">
        <v>518841</v>
      </c>
      <c r="S3603" t="s">
        <v>19915</v>
      </c>
      <c r="T3603" s="6">
        <v>33451</v>
      </c>
      <c r="U3603" s="4">
        <v>173360</v>
      </c>
      <c r="X3603" t="s">
        <v>3</v>
      </c>
      <c r="AA3603" s="5" t="str">
        <f>HYPERLINK("https://www.zillow.com/homes/1627-TERRI-CIR-NAPERVILLE-IL-605630454_rb/","check listing")</f>
        <v>check listing</v>
      </c>
      <c r="AB3603" s="5" t="str">
        <f>HYPERLINK("https://propertylookup.dupagecounty.gov/Datalets/Datalet.aspx?UseSearch=no&amp;mode=sales&amp;pin=0715204021","sales record")</f>
        <v>sales record</v>
      </c>
      <c r="AC3603" t="s">
        <v>3</v>
      </c>
      <c r="AD3603">
        <v>41.781936</v>
      </c>
      <c r="AE3603">
        <v>-88.191774</v>
      </c>
      <c r="AF3603" s="5" t="str">
        <f>HYPERLINK("https://www.google.com/maps/search/?api=1&amp;query=41.781936,-88.191774","map")</f>
        <v>map</v>
      </c>
    </row>
    <row r="3604" spans="1:32">
      <c r="A3604" t="s">
        <v>3654</v>
      </c>
      <c r="B3604" t="s">
        <v>11187</v>
      </c>
      <c r="C3604" t="s">
        <v>15475</v>
      </c>
      <c r="D3604" t="s">
        <v>16206</v>
      </c>
      <c r="E3604" t="s">
        <v>16218</v>
      </c>
      <c r="F3604" t="s">
        <v>16220</v>
      </c>
      <c r="G3604" t="s">
        <v>16275</v>
      </c>
      <c r="H3604" t="s">
        <v>16276</v>
      </c>
      <c r="I3604" t="s">
        <v>16352</v>
      </c>
      <c r="J3604" t="s">
        <v>16386</v>
      </c>
      <c r="K3604">
        <v>0.155</v>
      </c>
      <c r="L3604">
        <v>6755</v>
      </c>
      <c r="M3604">
        <v>1451</v>
      </c>
      <c r="N3604" t="s">
        <v>16393</v>
      </c>
      <c r="O3604" s="4">
        <v>46367</v>
      </c>
      <c r="P3604" s="4">
        <v>116705</v>
      </c>
      <c r="Q3604" s="4">
        <v>163072</v>
      </c>
      <c r="R3604" s="4">
        <v>489216</v>
      </c>
      <c r="S3604" t="s">
        <v>19916</v>
      </c>
      <c r="T3604" s="6">
        <v>34455</v>
      </c>
      <c r="U3604" s="4">
        <v>190940</v>
      </c>
      <c r="X3604" t="s">
        <v>3</v>
      </c>
      <c r="AA3604" s="5" t="str">
        <f>HYPERLINK("https://www.zillow.com/homes/2015-CROSSING-LN-NAPERVILLE-IL-60540_rb/","check listing")</f>
        <v>check listing</v>
      </c>
      <c r="AB3604" s="5" t="str">
        <f>HYPERLINK("https://propertylookup.dupagecounty.gov/Datalets/Datalet.aspx?UseSearch=no&amp;mode=sales&amp;pin=0727203018","sales record")</f>
        <v>sales record</v>
      </c>
      <c r="AC3604" t="s">
        <v>3</v>
      </c>
      <c r="AD3604">
        <v>41.750076</v>
      </c>
      <c r="AE3604">
        <v>-88.186758</v>
      </c>
      <c r="AF3604" s="5" t="str">
        <f>HYPERLINK("https://www.google.com/maps/search/?api=1&amp;query=41.750076,-88.186758","map")</f>
        <v>map</v>
      </c>
    </row>
    <row r="3605" spans="1:32">
      <c r="A3605" t="s">
        <v>3655</v>
      </c>
      <c r="B3605" t="s">
        <v>11188</v>
      </c>
      <c r="C3605" t="s">
        <v>15475</v>
      </c>
      <c r="D3605" t="s">
        <v>16206</v>
      </c>
      <c r="E3605" t="s">
        <v>16218</v>
      </c>
      <c r="F3605" t="s">
        <v>16220</v>
      </c>
      <c r="G3605" t="s">
        <v>16275</v>
      </c>
      <c r="H3605" t="s">
        <v>16276</v>
      </c>
      <c r="I3605" t="s">
        <v>16352</v>
      </c>
      <c r="J3605" t="s">
        <v>16386</v>
      </c>
      <c r="K3605">
        <v>0.155</v>
      </c>
      <c r="L3605">
        <v>6751</v>
      </c>
      <c r="M3605">
        <v>1647</v>
      </c>
      <c r="N3605" t="s">
        <v>16393</v>
      </c>
      <c r="O3605" s="4">
        <v>47905</v>
      </c>
      <c r="P3605" s="4">
        <v>98434</v>
      </c>
      <c r="Q3605" s="4">
        <v>146339</v>
      </c>
      <c r="R3605" s="4">
        <v>439017</v>
      </c>
      <c r="S3605" t="s">
        <v>19917</v>
      </c>
      <c r="T3605" s="6">
        <v>35278</v>
      </c>
      <c r="U3605" s="4">
        <v>160142</v>
      </c>
      <c r="X3605" t="s">
        <v>3</v>
      </c>
      <c r="AA3605" s="5" t="str">
        <f>HYPERLINK("https://www.zillow.com/homes/707-VIOLET-CIR-NAPERVILLE-IL-60540_rb/","check listing")</f>
        <v>check listing</v>
      </c>
      <c r="AB3605" s="5" t="str">
        <f>HYPERLINK("https://propertylookup.dupagecounty.gov/Datalets/Datalet.aspx?UseSearch=no&amp;mode=sales&amp;pin=0722407065","sales record")</f>
        <v>sales record</v>
      </c>
      <c r="AC3605" t="s">
        <v>3</v>
      </c>
      <c r="AD3605">
        <v>41.761528</v>
      </c>
      <c r="AE3605">
        <v>-88.18910099999999</v>
      </c>
      <c r="AF3605" s="5" t="str">
        <f>HYPERLINK("https://www.google.com/maps/search/?api=1&amp;query=41.761528,-88.189101","map")</f>
        <v>map</v>
      </c>
    </row>
    <row r="3606" spans="1:32">
      <c r="A3606" t="s">
        <v>3656</v>
      </c>
      <c r="B3606" t="s">
        <v>11189</v>
      </c>
      <c r="C3606" t="s">
        <v>15475</v>
      </c>
      <c r="D3606" t="s">
        <v>16206</v>
      </c>
      <c r="E3606" t="s">
        <v>16218</v>
      </c>
      <c r="F3606" t="s">
        <v>16220</v>
      </c>
      <c r="G3606" t="s">
        <v>16275</v>
      </c>
      <c r="H3606" t="s">
        <v>16276</v>
      </c>
      <c r="I3606" t="s">
        <v>16352</v>
      </c>
      <c r="J3606" t="s">
        <v>16386</v>
      </c>
      <c r="K3606">
        <v>0.155</v>
      </c>
      <c r="L3606">
        <v>6751</v>
      </c>
      <c r="M3606">
        <v>1649</v>
      </c>
      <c r="N3606" t="s">
        <v>16393</v>
      </c>
      <c r="O3606" s="4">
        <v>47905</v>
      </c>
      <c r="P3606" s="4">
        <v>101840</v>
      </c>
      <c r="Q3606" s="4">
        <v>149745</v>
      </c>
      <c r="R3606" s="4">
        <v>449235</v>
      </c>
      <c r="S3606" t="s">
        <v>19918</v>
      </c>
      <c r="T3606" s="6">
        <v>42064</v>
      </c>
      <c r="U3606" s="4">
        <v>278000</v>
      </c>
      <c r="V3606" t="s">
        <v>23740</v>
      </c>
      <c r="W3606" t="s">
        <v>19918</v>
      </c>
      <c r="X3606" t="s">
        <v>3</v>
      </c>
      <c r="AA3606" s="5" t="str">
        <f>HYPERLINK("https://www.zillow.com/homes/727-VIOLET-CIR-NAPERVILLE-IL-60540_rb/","check listing")</f>
        <v>check listing</v>
      </c>
      <c r="AB3606" s="5" t="str">
        <f>HYPERLINK("https://propertylookup.dupagecounty.gov/Datalets/Datalet.aspx?UseSearch=no&amp;mode=sales&amp;pin=0722407060","sales record")</f>
        <v>sales record</v>
      </c>
      <c r="AC3606" t="s">
        <v>3</v>
      </c>
      <c r="AD3606">
        <v>41.760787</v>
      </c>
      <c r="AE3606">
        <v>-88.189111</v>
      </c>
      <c r="AF3606" s="5" t="str">
        <f>HYPERLINK("https://www.google.com/maps/search/?api=1&amp;query=41.760787,-88.189111","map")</f>
        <v>map</v>
      </c>
    </row>
    <row r="3607" spans="1:32">
      <c r="A3607" t="s">
        <v>3657</v>
      </c>
      <c r="B3607" t="s">
        <v>11190</v>
      </c>
      <c r="C3607" t="s">
        <v>15512</v>
      </c>
      <c r="D3607" t="s">
        <v>16206</v>
      </c>
      <c r="E3607" t="s">
        <v>16218</v>
      </c>
      <c r="F3607" t="s">
        <v>16220</v>
      </c>
      <c r="G3607" t="s">
        <v>16275</v>
      </c>
      <c r="H3607" t="s">
        <v>16276</v>
      </c>
      <c r="I3607" t="s">
        <v>16352</v>
      </c>
      <c r="J3607" t="s">
        <v>16386</v>
      </c>
      <c r="K3607">
        <v>0.155</v>
      </c>
      <c r="L3607">
        <v>6750</v>
      </c>
      <c r="M3607">
        <v>1485</v>
      </c>
      <c r="N3607" t="s">
        <v>16393</v>
      </c>
      <c r="O3607" s="4">
        <v>47905</v>
      </c>
      <c r="P3607" s="4">
        <v>103745</v>
      </c>
      <c r="Q3607" s="4">
        <v>151650</v>
      </c>
      <c r="R3607" s="4">
        <v>454950</v>
      </c>
      <c r="S3607" t="s">
        <v>19919</v>
      </c>
      <c r="T3607" s="6">
        <v>42979</v>
      </c>
      <c r="U3607" s="4">
        <v>317000</v>
      </c>
      <c r="V3607" t="s">
        <v>23739</v>
      </c>
      <c r="W3607" t="s">
        <v>25547</v>
      </c>
      <c r="X3607" t="s">
        <v>3</v>
      </c>
      <c r="AA3607" s="5" t="str">
        <f>HYPERLINK("https://www.zillow.com/homes/715-VIOLET-CIR-NAPERVILLE-IL-605409225_rb/","check listing")</f>
        <v>check listing</v>
      </c>
      <c r="AB3607" s="5" t="str">
        <f>HYPERLINK("https://propertylookup.dupagecounty.gov/Datalets/Datalet.aspx?UseSearch=no&amp;mode=sales&amp;pin=0722407063","sales record")</f>
        <v>sales record</v>
      </c>
      <c r="AC3607" t="s">
        <v>3</v>
      </c>
      <c r="AD3607">
        <v>41.761232</v>
      </c>
      <c r="AE3607">
        <v>-88.189105</v>
      </c>
      <c r="AF3607" s="5" t="str">
        <f>HYPERLINK("https://www.google.com/maps/search/?api=1&amp;query=41.761232,-88.189105","map")</f>
        <v>map</v>
      </c>
    </row>
    <row r="3608" spans="1:32">
      <c r="A3608" t="s">
        <v>3658</v>
      </c>
      <c r="B3608" t="s">
        <v>11191</v>
      </c>
      <c r="C3608" t="s">
        <v>15512</v>
      </c>
      <c r="D3608" t="s">
        <v>16206</v>
      </c>
      <c r="E3608" t="s">
        <v>16218</v>
      </c>
      <c r="F3608" t="s">
        <v>16220</v>
      </c>
      <c r="G3608" t="s">
        <v>16275</v>
      </c>
      <c r="H3608" t="s">
        <v>16276</v>
      </c>
      <c r="I3608" t="s">
        <v>16352</v>
      </c>
      <c r="J3608" t="s">
        <v>16386</v>
      </c>
      <c r="K3608">
        <v>0.155</v>
      </c>
      <c r="L3608">
        <v>6750</v>
      </c>
      <c r="M3608">
        <v>1780</v>
      </c>
      <c r="N3608" t="s">
        <v>16393</v>
      </c>
      <c r="O3608" s="4">
        <v>47905</v>
      </c>
      <c r="P3608" s="4">
        <v>99680</v>
      </c>
      <c r="Q3608" s="4">
        <v>147585</v>
      </c>
      <c r="R3608" s="4">
        <v>442755</v>
      </c>
      <c r="S3608" t="s">
        <v>19920</v>
      </c>
      <c r="T3608" s="6">
        <v>43647</v>
      </c>
      <c r="U3608" s="4">
        <v>325000</v>
      </c>
      <c r="V3608" t="s">
        <v>23739</v>
      </c>
      <c r="W3608" t="s">
        <v>19920</v>
      </c>
      <c r="X3608" t="s">
        <v>3</v>
      </c>
      <c r="AA3608" s="5" t="str">
        <f>HYPERLINK("https://www.zillow.com/homes/731-VIOLET-CIR-NAPERVILLE-IL-605409225_rb/","check listing")</f>
        <v>check listing</v>
      </c>
      <c r="AB3608" s="5" t="str">
        <f>HYPERLINK("https://propertylookup.dupagecounty.gov/Datalets/Datalet.aspx?UseSearch=no&amp;mode=sales&amp;pin=0722407059","sales record")</f>
        <v>sales record</v>
      </c>
      <c r="AC3608" t="s">
        <v>3</v>
      </c>
      <c r="AD3608">
        <v>41.760639</v>
      </c>
      <c r="AE3608">
        <v>-88.18911300000001</v>
      </c>
      <c r="AF3608" s="5" t="str">
        <f>HYPERLINK("https://www.google.com/maps/search/?api=1&amp;query=41.760639,-88.189113","map")</f>
        <v>map</v>
      </c>
    </row>
    <row r="3609" spans="1:32">
      <c r="A3609" t="s">
        <v>3659</v>
      </c>
      <c r="B3609" t="s">
        <v>11192</v>
      </c>
      <c r="C3609" t="s">
        <v>15475</v>
      </c>
      <c r="D3609" t="s">
        <v>16206</v>
      </c>
      <c r="E3609" t="s">
        <v>16218</v>
      </c>
      <c r="F3609" t="s">
        <v>16220</v>
      </c>
      <c r="G3609" t="s">
        <v>16275</v>
      </c>
      <c r="H3609" t="s">
        <v>16276</v>
      </c>
      <c r="I3609" t="s">
        <v>16352</v>
      </c>
      <c r="J3609" t="s">
        <v>16386</v>
      </c>
      <c r="K3609">
        <v>0.155</v>
      </c>
      <c r="L3609">
        <v>6750</v>
      </c>
      <c r="M3609">
        <v>2134</v>
      </c>
      <c r="N3609" t="s">
        <v>16393</v>
      </c>
      <c r="O3609" s="4">
        <v>47905</v>
      </c>
      <c r="P3609" s="4">
        <v>122320</v>
      </c>
      <c r="Q3609" s="4">
        <v>170225</v>
      </c>
      <c r="R3609" s="4">
        <v>510675</v>
      </c>
      <c r="S3609" t="s">
        <v>19921</v>
      </c>
      <c r="T3609" s="6">
        <v>35217</v>
      </c>
      <c r="U3609" s="4">
        <v>186369</v>
      </c>
      <c r="X3609" t="s">
        <v>3</v>
      </c>
      <c r="AA3609" s="5" t="str">
        <f>HYPERLINK("https://www.zillow.com/homes/735-VIOLET-CIR-NAPERVILLE-IL-60540_rb/","check listing")</f>
        <v>check listing</v>
      </c>
      <c r="AB3609" s="5" t="str">
        <f>HYPERLINK("https://propertylookup.dupagecounty.gov/Datalets/Datalet.aspx?UseSearch=no&amp;mode=sales&amp;pin=0722407058","sales record")</f>
        <v>sales record</v>
      </c>
      <c r="AC3609" t="s">
        <v>3</v>
      </c>
      <c r="AD3609">
        <v>41.760491</v>
      </c>
      <c r="AE3609">
        <v>-88.189115</v>
      </c>
      <c r="AF3609" s="5" t="str">
        <f>HYPERLINK("https://www.google.com/maps/search/?api=1&amp;query=41.760491,-88.189115","map")</f>
        <v>map</v>
      </c>
    </row>
    <row r="3610" spans="1:32">
      <c r="A3610" t="s">
        <v>3660</v>
      </c>
      <c r="B3610" t="s">
        <v>11193</v>
      </c>
      <c r="C3610" t="s">
        <v>15475</v>
      </c>
      <c r="D3610" t="s">
        <v>16206</v>
      </c>
      <c r="E3610" t="s">
        <v>16218</v>
      </c>
      <c r="F3610" t="s">
        <v>16220</v>
      </c>
      <c r="G3610" t="s">
        <v>16275</v>
      </c>
      <c r="H3610" t="s">
        <v>16276</v>
      </c>
      <c r="I3610" t="s">
        <v>16352</v>
      </c>
      <c r="J3610" t="s">
        <v>16386</v>
      </c>
      <c r="K3610">
        <v>0.155</v>
      </c>
      <c r="L3610">
        <v>6748</v>
      </c>
      <c r="M3610">
        <v>1750</v>
      </c>
      <c r="N3610" t="s">
        <v>16393</v>
      </c>
      <c r="O3610" s="4">
        <v>47905</v>
      </c>
      <c r="P3610" s="4">
        <v>99680</v>
      </c>
      <c r="Q3610" s="4">
        <v>147585</v>
      </c>
      <c r="R3610" s="4">
        <v>442755</v>
      </c>
      <c r="S3610" t="s">
        <v>19922</v>
      </c>
      <c r="T3610" s="6">
        <v>36831</v>
      </c>
      <c r="U3610" s="4">
        <v>199000</v>
      </c>
      <c r="V3610" t="s">
        <v>23739</v>
      </c>
      <c r="W3610" t="s">
        <v>19922</v>
      </c>
      <c r="X3610" t="s">
        <v>3</v>
      </c>
      <c r="AA3610" s="5" t="str">
        <f>HYPERLINK("https://www.zillow.com/homes/711-VIOLET-CIR-NAPERVILLE-IL-60540_rb/","check listing")</f>
        <v>check listing</v>
      </c>
      <c r="AB3610" s="5" t="str">
        <f>HYPERLINK("https://propertylookup.dupagecounty.gov/Datalets/Datalet.aspx?UseSearch=no&amp;mode=sales&amp;pin=0722407064","sales record")</f>
        <v>sales record</v>
      </c>
      <c r="AC3610" t="s">
        <v>3</v>
      </c>
      <c r="AD3610">
        <v>41.76138</v>
      </c>
      <c r="AE3610">
        <v>-88.189103</v>
      </c>
      <c r="AF3610" s="5" t="str">
        <f>HYPERLINK("https://www.google.com/maps/search/?api=1&amp;query=41.76138,-88.189103","map")</f>
        <v>map</v>
      </c>
    </row>
    <row r="3611" spans="1:32">
      <c r="A3611" t="s">
        <v>3661</v>
      </c>
      <c r="B3611" t="s">
        <v>11194</v>
      </c>
      <c r="C3611" t="s">
        <v>15475</v>
      </c>
      <c r="D3611" t="s">
        <v>16206</v>
      </c>
      <c r="E3611" t="s">
        <v>16218</v>
      </c>
      <c r="F3611" t="s">
        <v>16220</v>
      </c>
      <c r="G3611" t="s">
        <v>16276</v>
      </c>
      <c r="H3611" t="s">
        <v>16276</v>
      </c>
      <c r="I3611" t="s">
        <v>16352</v>
      </c>
      <c r="J3611" t="s">
        <v>16386</v>
      </c>
      <c r="K3611">
        <v>0.155</v>
      </c>
      <c r="L3611">
        <v>6748</v>
      </c>
      <c r="M3611">
        <v>2241</v>
      </c>
      <c r="N3611" t="s">
        <v>16393</v>
      </c>
      <c r="O3611" s="4">
        <v>48968</v>
      </c>
      <c r="P3611" s="4">
        <v>135685</v>
      </c>
      <c r="Q3611" s="4">
        <v>184653</v>
      </c>
      <c r="R3611" s="4">
        <v>553959</v>
      </c>
      <c r="S3611" t="s">
        <v>19923</v>
      </c>
      <c r="T3611" s="6">
        <v>35886</v>
      </c>
      <c r="U3611" s="4">
        <v>210000</v>
      </c>
      <c r="X3611" t="s">
        <v>3</v>
      </c>
      <c r="AA3611" s="5" t="str">
        <f>HYPERLINK("https://www.zillow.com/homes/2139-SCHUMACHER-DR-NAPERVILLE-IL-60540_rb/","check listing")</f>
        <v>check listing</v>
      </c>
      <c r="AB3611" s="5" t="str">
        <f>HYPERLINK("https://propertylookup.dupagecounty.gov/Datalets/Datalet.aspx?UseSearch=no&amp;mode=sales&amp;pin=0727208015","sales record")</f>
        <v>sales record</v>
      </c>
      <c r="AC3611" t="s">
        <v>3</v>
      </c>
      <c r="AD3611">
        <v>41.752491</v>
      </c>
      <c r="AE3611">
        <v>-88.188451</v>
      </c>
      <c r="AF3611" s="5" t="str">
        <f>HYPERLINK("https://www.google.com/maps/search/?api=1&amp;query=41.752491,-88.188451","map")</f>
        <v>map</v>
      </c>
    </row>
    <row r="3612" spans="1:32">
      <c r="A3612" t="s">
        <v>3662</v>
      </c>
      <c r="B3612" t="s">
        <v>11195</v>
      </c>
      <c r="C3612" t="s">
        <v>15583</v>
      </c>
      <c r="D3612" t="s">
        <v>16206</v>
      </c>
      <c r="E3612" t="s">
        <v>16218</v>
      </c>
      <c r="F3612" t="s">
        <v>16220</v>
      </c>
      <c r="G3612" t="s">
        <v>16275</v>
      </c>
      <c r="H3612" t="s">
        <v>16276</v>
      </c>
      <c r="I3612" t="s">
        <v>16352</v>
      </c>
      <c r="J3612" t="s">
        <v>16386</v>
      </c>
      <c r="K3612">
        <v>0.155</v>
      </c>
      <c r="L3612">
        <v>6741</v>
      </c>
      <c r="M3612">
        <v>2875</v>
      </c>
      <c r="N3612" t="s">
        <v>16393</v>
      </c>
      <c r="O3612" s="4">
        <v>55058</v>
      </c>
      <c r="P3612" s="4">
        <v>148573</v>
      </c>
      <c r="Q3612" s="4">
        <v>203631</v>
      </c>
      <c r="R3612" s="4">
        <v>610893</v>
      </c>
      <c r="S3612" t="s">
        <v>19924</v>
      </c>
      <c r="T3612" s="6">
        <v>44378</v>
      </c>
      <c r="U3612" s="4">
        <v>520000</v>
      </c>
      <c r="V3612" t="s">
        <v>23739</v>
      </c>
      <c r="W3612" t="s">
        <v>25548</v>
      </c>
      <c r="X3612" t="s">
        <v>3</v>
      </c>
      <c r="AA3612" s="5" t="str">
        <f>HYPERLINK("https://www.zillow.com/homes/2123-FELDOTT-LN-NAPERVILLE-IL-605409212_rb/","check listing")</f>
        <v>check listing</v>
      </c>
      <c r="AB3612" s="5" t="str">
        <f>HYPERLINK("https://propertylookup.dupagecounty.gov/Datalets/Datalet.aspx?UseSearch=no&amp;mode=sales&amp;pin=0722404043","sales record")</f>
        <v>sales record</v>
      </c>
      <c r="AC3612" t="s">
        <v>3</v>
      </c>
      <c r="AD3612">
        <v>41.762092</v>
      </c>
      <c r="AE3612">
        <v>-88.190136</v>
      </c>
      <c r="AF3612" s="5" t="str">
        <f>HYPERLINK("https://www.google.com/maps/search/?api=1&amp;query=41.762092,-88.190136","map")</f>
        <v>map</v>
      </c>
    </row>
    <row r="3613" spans="1:32">
      <c r="A3613" t="s">
        <v>3663</v>
      </c>
      <c r="B3613" t="s">
        <v>11196</v>
      </c>
      <c r="C3613" t="s">
        <v>15476</v>
      </c>
      <c r="D3613" t="s">
        <v>16206</v>
      </c>
      <c r="E3613" t="s">
        <v>16218</v>
      </c>
      <c r="F3613" t="s">
        <v>16220</v>
      </c>
      <c r="G3613" t="s">
        <v>16269</v>
      </c>
      <c r="H3613" t="s">
        <v>16269</v>
      </c>
      <c r="I3613" t="s">
        <v>16352</v>
      </c>
      <c r="J3613" t="s">
        <v>16386</v>
      </c>
      <c r="K3613">
        <v>0.155</v>
      </c>
      <c r="L3613">
        <v>6741</v>
      </c>
      <c r="M3613">
        <v>1919</v>
      </c>
      <c r="N3613" t="s">
        <v>16393</v>
      </c>
      <c r="O3613" s="4">
        <v>71707</v>
      </c>
      <c r="P3613" s="4">
        <v>83289</v>
      </c>
      <c r="Q3613" s="4">
        <v>154996</v>
      </c>
      <c r="R3613" s="4">
        <v>464988</v>
      </c>
      <c r="S3613" t="s">
        <v>19925</v>
      </c>
      <c r="T3613" s="6">
        <v>39630</v>
      </c>
      <c r="U3613" s="4">
        <v>295000</v>
      </c>
      <c r="V3613" t="s">
        <v>23739</v>
      </c>
      <c r="W3613" t="s">
        <v>19925</v>
      </c>
      <c r="X3613" t="s">
        <v>3</v>
      </c>
      <c r="AA3613" s="5" t="str">
        <f>HYPERLINK("https://www.zillow.com/homes/1760-NAPOLEON-DR-NAPERVILLE-IL-60565_rb/","check listing")</f>
        <v>check listing</v>
      </c>
      <c r="AB3613" s="5" t="str">
        <f>HYPERLINK("https://propertylookup.dupagecounty.gov/Datalets/Datalet.aspx?UseSearch=no&amp;mode=sales&amp;pin=0832115034","sales record")</f>
        <v>sales record</v>
      </c>
      <c r="AC3613" t="s">
        <v>3</v>
      </c>
      <c r="AD3613">
        <v>41.734842</v>
      </c>
      <c r="AE3613">
        <v>-88.120717</v>
      </c>
      <c r="AF3613" s="5" t="str">
        <f>HYPERLINK("https://www.google.com/maps/search/?api=1&amp;query=41.734842,-88.120717","map")</f>
        <v>map</v>
      </c>
    </row>
    <row r="3614" spans="1:32">
      <c r="A3614" t="s">
        <v>3664</v>
      </c>
      <c r="B3614" t="s">
        <v>11197</v>
      </c>
      <c r="C3614" t="s">
        <v>15605</v>
      </c>
      <c r="D3614" t="s">
        <v>16206</v>
      </c>
      <c r="E3614" t="s">
        <v>16218</v>
      </c>
      <c r="F3614" t="s">
        <v>16220</v>
      </c>
      <c r="G3614" t="s">
        <v>16275</v>
      </c>
      <c r="H3614" t="s">
        <v>16276</v>
      </c>
      <c r="I3614" t="s">
        <v>16352</v>
      </c>
      <c r="J3614" t="s">
        <v>16386</v>
      </c>
      <c r="K3614">
        <v>0.155</v>
      </c>
      <c r="L3614">
        <v>6740</v>
      </c>
      <c r="M3614">
        <v>2536</v>
      </c>
      <c r="N3614" t="s">
        <v>16393</v>
      </c>
      <c r="O3614" s="4">
        <v>51103</v>
      </c>
      <c r="P3614" s="4">
        <v>140530</v>
      </c>
      <c r="Q3614" s="4">
        <v>191633</v>
      </c>
      <c r="R3614" s="4">
        <v>574899</v>
      </c>
      <c r="S3614" t="s">
        <v>19926</v>
      </c>
      <c r="T3614" s="6">
        <v>42705</v>
      </c>
      <c r="U3614" s="4">
        <v>365000</v>
      </c>
      <c r="V3614" t="s">
        <v>23739</v>
      </c>
      <c r="W3614" t="s">
        <v>25549</v>
      </c>
      <c r="X3614" t="s">
        <v>3</v>
      </c>
      <c r="AA3614" s="5" t="str">
        <f>HYPERLINK("https://www.zillow.com/homes/644-WINTERGREEN-CIR-NAPERVILLE-IL-605409201_rb/","check listing")</f>
        <v>check listing</v>
      </c>
      <c r="AB3614" s="5" t="str">
        <f>HYPERLINK("https://propertylookup.dupagecounty.gov/Datalets/Datalet.aspx?UseSearch=no&amp;mode=sales&amp;pin=0722405023","sales record")</f>
        <v>sales record</v>
      </c>
      <c r="AC3614" t="s">
        <v>3</v>
      </c>
      <c r="AD3614">
        <v>41.760431</v>
      </c>
      <c r="AE3614">
        <v>-88.19376</v>
      </c>
      <c r="AF3614" s="5" t="str">
        <f>HYPERLINK("https://www.google.com/maps/search/?api=1&amp;query=41.760431,-88.19376","map")</f>
        <v>map</v>
      </c>
    </row>
    <row r="3615" spans="1:32">
      <c r="A3615" t="s">
        <v>3665</v>
      </c>
      <c r="B3615" t="s">
        <v>11198</v>
      </c>
      <c r="C3615" t="s">
        <v>15489</v>
      </c>
      <c r="D3615" t="s">
        <v>16206</v>
      </c>
      <c r="E3615" t="s">
        <v>16218</v>
      </c>
      <c r="F3615" t="s">
        <v>16220</v>
      </c>
      <c r="G3615" t="s">
        <v>16275</v>
      </c>
      <c r="H3615" t="s">
        <v>16276</v>
      </c>
      <c r="I3615" t="s">
        <v>16352</v>
      </c>
      <c r="J3615" t="s">
        <v>16386</v>
      </c>
      <c r="K3615">
        <v>0.155</v>
      </c>
      <c r="L3615">
        <v>6735</v>
      </c>
      <c r="M3615">
        <v>1781</v>
      </c>
      <c r="N3615" t="s">
        <v>16393</v>
      </c>
      <c r="O3615" s="4">
        <v>52690</v>
      </c>
      <c r="P3615" s="4">
        <v>102255</v>
      </c>
      <c r="Q3615" s="4">
        <v>154945</v>
      </c>
      <c r="R3615" s="4">
        <v>464835</v>
      </c>
      <c r="S3615" t="s">
        <v>19927</v>
      </c>
      <c r="T3615" s="6">
        <v>42522</v>
      </c>
      <c r="U3615" s="4">
        <v>333000</v>
      </c>
      <c r="V3615" t="s">
        <v>23739</v>
      </c>
      <c r="W3615" t="s">
        <v>25550</v>
      </c>
      <c r="X3615" t="s">
        <v>3</v>
      </c>
      <c r="AA3615" s="5" t="str">
        <f>HYPERLINK("https://www.zillow.com/homes/2307-PERIWINKLE-CT-NAPERVILLE-IL-605409220_rb/","check listing")</f>
        <v>check listing</v>
      </c>
      <c r="AB3615" s="5" t="str">
        <f>HYPERLINK("https://propertylookup.dupagecounty.gov/Datalets/Datalet.aspx?UseSearch=no&amp;mode=sales&amp;pin=0722407029","sales record")</f>
        <v>sales record</v>
      </c>
      <c r="AC3615" t="s">
        <v>3</v>
      </c>
      <c r="AD3615">
        <v>41.758675</v>
      </c>
      <c r="AE3615">
        <v>-88.192694</v>
      </c>
      <c r="AF3615" s="5" t="str">
        <f>HYPERLINK("https://www.google.com/maps/search/?api=1&amp;query=41.758675,-88.192694","map")</f>
        <v>map</v>
      </c>
    </row>
    <row r="3616" spans="1:32">
      <c r="A3616" t="s">
        <v>3666</v>
      </c>
      <c r="B3616" t="s">
        <v>11199</v>
      </c>
      <c r="C3616" t="s">
        <v>15478</v>
      </c>
      <c r="D3616" t="s">
        <v>16206</v>
      </c>
      <c r="E3616" t="s">
        <v>16218</v>
      </c>
      <c r="F3616" t="s">
        <v>16220</v>
      </c>
      <c r="G3616" t="s">
        <v>16274</v>
      </c>
      <c r="H3616" t="s">
        <v>16269</v>
      </c>
      <c r="I3616" t="s">
        <v>16352</v>
      </c>
      <c r="J3616" t="s">
        <v>16386</v>
      </c>
      <c r="K3616">
        <v>0.154</v>
      </c>
      <c r="L3616">
        <v>6723</v>
      </c>
      <c r="M3616">
        <v>2143</v>
      </c>
      <c r="N3616" t="s">
        <v>16393</v>
      </c>
      <c r="O3616" s="4">
        <v>48576</v>
      </c>
      <c r="P3616" s="4">
        <v>122649</v>
      </c>
      <c r="Q3616" s="4">
        <v>171225</v>
      </c>
      <c r="R3616" s="4">
        <v>513675</v>
      </c>
      <c r="S3616" t="s">
        <v>19928</v>
      </c>
      <c r="T3616" s="6">
        <v>38930</v>
      </c>
      <c r="U3616" s="4">
        <v>350000</v>
      </c>
      <c r="V3616" t="s">
        <v>23739</v>
      </c>
      <c r="W3616" t="s">
        <v>25551</v>
      </c>
      <c r="X3616" t="s">
        <v>3</v>
      </c>
      <c r="AA3616" s="5" t="str">
        <f>HYPERLINK("https://www.zillow.com/homes/1618-LOIS-ANN-LN-NAPERVILLE-IL-60563_rb/","check listing")</f>
        <v>check listing</v>
      </c>
      <c r="AB3616" s="5" t="str">
        <f>HYPERLINK("https://propertylookup.dupagecounty.gov/Datalets/Datalet.aspx?UseSearch=no&amp;mode=sales&amp;pin=0715204007","sales record")</f>
        <v>sales record</v>
      </c>
      <c r="AC3616" t="s">
        <v>3</v>
      </c>
      <c r="AD3616">
        <v>41.782271</v>
      </c>
      <c r="AE3616">
        <v>-88.19188200000001</v>
      </c>
      <c r="AF3616" s="5" t="str">
        <f>HYPERLINK("https://www.google.com/maps/search/?api=1&amp;query=41.782271,-88.191882","map")</f>
        <v>map</v>
      </c>
    </row>
    <row r="3617" spans="1:32">
      <c r="A3617" t="s">
        <v>3667</v>
      </c>
      <c r="B3617" t="s">
        <v>11200</v>
      </c>
      <c r="C3617" t="s">
        <v>15475</v>
      </c>
      <c r="D3617" t="s">
        <v>16206</v>
      </c>
      <c r="E3617" t="s">
        <v>16218</v>
      </c>
      <c r="F3617" t="s">
        <v>16220</v>
      </c>
      <c r="G3617" t="s">
        <v>16275</v>
      </c>
      <c r="H3617" t="s">
        <v>16276</v>
      </c>
      <c r="I3617" t="s">
        <v>16352</v>
      </c>
      <c r="J3617" t="s">
        <v>16386</v>
      </c>
      <c r="K3617">
        <v>0.154</v>
      </c>
      <c r="L3617">
        <v>6723</v>
      </c>
      <c r="M3617">
        <v>2347</v>
      </c>
      <c r="N3617" t="s">
        <v>16393</v>
      </c>
      <c r="O3617" s="4">
        <v>55058</v>
      </c>
      <c r="P3617" s="4">
        <v>141324</v>
      </c>
      <c r="Q3617" s="4">
        <v>196382</v>
      </c>
      <c r="R3617" s="4">
        <v>589146</v>
      </c>
      <c r="S3617" t="s">
        <v>19929</v>
      </c>
      <c r="T3617" s="6">
        <v>35247</v>
      </c>
      <c r="U3617" s="4">
        <v>238696</v>
      </c>
      <c r="X3617" t="s">
        <v>3</v>
      </c>
      <c r="AA3617" s="5" t="str">
        <f>HYPERLINK("https://www.zillow.com/homes/2143-FELDOTT-LN-NAPERVILLE-IL-60540_rb/","check listing")</f>
        <v>check listing</v>
      </c>
      <c r="AB3617" s="5" t="str">
        <f>HYPERLINK("https://propertylookup.dupagecounty.gov/Datalets/Datalet.aspx?UseSearch=no&amp;mode=sales&amp;pin=0722404038","sales record")</f>
        <v>sales record</v>
      </c>
      <c r="AC3617" t="s">
        <v>3</v>
      </c>
      <c r="AD3617">
        <v>41.761779</v>
      </c>
      <c r="AE3617">
        <v>-88.191159</v>
      </c>
      <c r="AF3617" s="5" t="str">
        <f>HYPERLINK("https://www.google.com/maps/search/?api=1&amp;query=41.761779,-88.191159","map")</f>
        <v>map</v>
      </c>
    </row>
    <row r="3618" spans="1:32">
      <c r="A3618" t="s">
        <v>3668</v>
      </c>
      <c r="B3618" t="s">
        <v>11201</v>
      </c>
      <c r="C3618" t="s">
        <v>15582</v>
      </c>
      <c r="D3618" t="s">
        <v>16206</v>
      </c>
      <c r="E3618" t="s">
        <v>16218</v>
      </c>
      <c r="F3618" t="s">
        <v>16220</v>
      </c>
      <c r="G3618" t="s">
        <v>16275</v>
      </c>
      <c r="H3618" t="s">
        <v>16276</v>
      </c>
      <c r="I3618" t="s">
        <v>16352</v>
      </c>
      <c r="J3618" t="s">
        <v>16386</v>
      </c>
      <c r="K3618">
        <v>0.154</v>
      </c>
      <c r="L3618">
        <v>6712</v>
      </c>
      <c r="M3618">
        <v>1781</v>
      </c>
      <c r="N3618" t="s">
        <v>16393</v>
      </c>
      <c r="O3618" s="4">
        <v>49444</v>
      </c>
      <c r="P3618" s="4">
        <v>139371</v>
      </c>
      <c r="Q3618" s="4">
        <v>188815</v>
      </c>
      <c r="R3618" s="4">
        <v>566445</v>
      </c>
      <c r="S3618" t="s">
        <v>19930</v>
      </c>
      <c r="T3618" s="6">
        <v>37347</v>
      </c>
      <c r="U3618" s="4">
        <v>292000</v>
      </c>
      <c r="V3618" t="s">
        <v>23739</v>
      </c>
      <c r="W3618" t="s">
        <v>25552</v>
      </c>
      <c r="X3618" t="s">
        <v>3</v>
      </c>
      <c r="AA3618" s="5" t="str">
        <f>HYPERLINK("https://www.zillow.com/homes/1012-LAKEWOOD-CIR-NAPERVILLE-IL-605401900_rb/","check listing")</f>
        <v>check listing</v>
      </c>
      <c r="AB3618" s="5" t="str">
        <f>HYPERLINK("https://propertylookup.dupagecounty.gov/Datalets/Datalet.aspx?UseSearch=no&amp;mode=sales&amp;pin=0727206002","sales record")</f>
        <v>sales record</v>
      </c>
      <c r="AC3618" t="s">
        <v>3</v>
      </c>
      <c r="AD3618">
        <v>41.749292</v>
      </c>
      <c r="AE3618">
        <v>-88.193725</v>
      </c>
      <c r="AF3618" s="5" t="str">
        <f>HYPERLINK("https://www.google.com/maps/search/?api=1&amp;query=41.749292,-88.193725","map")</f>
        <v>map</v>
      </c>
    </row>
    <row r="3619" spans="1:32">
      <c r="A3619" t="s">
        <v>3669</v>
      </c>
      <c r="B3619" t="s">
        <v>11202</v>
      </c>
      <c r="C3619" t="s">
        <v>15475</v>
      </c>
      <c r="D3619" t="s">
        <v>16206</v>
      </c>
      <c r="E3619" t="s">
        <v>16218</v>
      </c>
      <c r="F3619" t="s">
        <v>16220</v>
      </c>
      <c r="G3619" t="s">
        <v>16275</v>
      </c>
      <c r="H3619" t="s">
        <v>16276</v>
      </c>
      <c r="I3619" t="s">
        <v>16352</v>
      </c>
      <c r="J3619" t="s">
        <v>16386</v>
      </c>
      <c r="K3619">
        <v>0.154</v>
      </c>
      <c r="L3619">
        <v>6711</v>
      </c>
      <c r="M3619">
        <v>2374</v>
      </c>
      <c r="N3619" t="s">
        <v>16393</v>
      </c>
      <c r="O3619" s="4">
        <v>49444</v>
      </c>
      <c r="P3619" s="4">
        <v>130034</v>
      </c>
      <c r="Q3619" s="4">
        <v>179478</v>
      </c>
      <c r="R3619" s="4">
        <v>538434</v>
      </c>
      <c r="S3619" t="s">
        <v>19931</v>
      </c>
      <c r="T3619" s="6">
        <v>37653</v>
      </c>
      <c r="U3619" s="4">
        <v>270000</v>
      </c>
      <c r="V3619" t="s">
        <v>23739</v>
      </c>
      <c r="W3619" t="s">
        <v>25553</v>
      </c>
      <c r="X3619" t="s">
        <v>3</v>
      </c>
      <c r="AA3619" s="5" t="str">
        <f>HYPERLINK("https://www.zillow.com/homes/1175-LAKEWOOD-CIR-NAPERVILLE-IL-60540_rb/","check listing")</f>
        <v>check listing</v>
      </c>
      <c r="AB3619" s="5" t="str">
        <f>HYPERLINK("https://propertylookup.dupagecounty.gov/Datalets/Datalet.aspx?UseSearch=no&amp;mode=sales&amp;pin=0727205014","sales record")</f>
        <v>sales record</v>
      </c>
      <c r="AC3619" t="s">
        <v>3</v>
      </c>
      <c r="AD3619">
        <v>41.749405</v>
      </c>
      <c r="AE3619">
        <v>-88.190139</v>
      </c>
      <c r="AF3619" s="5" t="str">
        <f>HYPERLINK("https://www.google.com/maps/search/?api=1&amp;query=41.749405,-88.190139","map")</f>
        <v>map</v>
      </c>
    </row>
    <row r="3620" spans="1:32">
      <c r="A3620" t="s">
        <v>3670</v>
      </c>
      <c r="B3620" t="s">
        <v>11203</v>
      </c>
      <c r="C3620" t="s">
        <v>15475</v>
      </c>
      <c r="D3620" t="s">
        <v>16206</v>
      </c>
      <c r="E3620" t="s">
        <v>16218</v>
      </c>
      <c r="F3620" t="s">
        <v>16220</v>
      </c>
      <c r="G3620" t="s">
        <v>16275</v>
      </c>
      <c r="H3620" t="s">
        <v>16276</v>
      </c>
      <c r="I3620" t="s">
        <v>16352</v>
      </c>
      <c r="J3620" t="s">
        <v>16386</v>
      </c>
      <c r="K3620">
        <v>0.154</v>
      </c>
      <c r="L3620">
        <v>6711</v>
      </c>
      <c r="M3620">
        <v>2129</v>
      </c>
      <c r="N3620" t="s">
        <v>16393</v>
      </c>
      <c r="O3620" s="4">
        <v>49444</v>
      </c>
      <c r="P3620" s="4">
        <v>136930</v>
      </c>
      <c r="Q3620" s="4">
        <v>186374</v>
      </c>
      <c r="R3620" s="4">
        <v>559122</v>
      </c>
      <c r="S3620" t="s">
        <v>19932</v>
      </c>
      <c r="T3620" s="6">
        <v>34547</v>
      </c>
      <c r="U3620" s="4">
        <v>198770</v>
      </c>
      <c r="X3620" t="s">
        <v>3</v>
      </c>
      <c r="AA3620" s="5" t="str">
        <f>HYPERLINK("https://www.zillow.com/homes/1020-LAKEWOOD-CIR-NAPERVILLE-IL-60540_rb/","check listing")</f>
        <v>check listing</v>
      </c>
      <c r="AB3620" s="5" t="str">
        <f>HYPERLINK("https://propertylookup.dupagecounty.gov/Datalets/Datalet.aspx?UseSearch=no&amp;mode=sales&amp;pin=0727206004","sales record")</f>
        <v>sales record</v>
      </c>
      <c r="AC3620" t="s">
        <v>3</v>
      </c>
      <c r="AD3620">
        <v>41.749646</v>
      </c>
      <c r="AE3620">
        <v>-88.193724</v>
      </c>
      <c r="AF3620" s="5" t="str">
        <f>HYPERLINK("https://www.google.com/maps/search/?api=1&amp;query=41.749646,-88.193724","map")</f>
        <v>map</v>
      </c>
    </row>
    <row r="3621" spans="1:32">
      <c r="A3621" t="s">
        <v>3671</v>
      </c>
      <c r="B3621" t="s">
        <v>11204</v>
      </c>
      <c r="C3621" t="s">
        <v>15475</v>
      </c>
      <c r="D3621" t="s">
        <v>16206</v>
      </c>
      <c r="E3621" t="s">
        <v>16218</v>
      </c>
      <c r="F3621" t="s">
        <v>16220</v>
      </c>
      <c r="G3621" t="s">
        <v>16275</v>
      </c>
      <c r="H3621" t="s">
        <v>16276</v>
      </c>
      <c r="I3621" t="s">
        <v>16352</v>
      </c>
      <c r="J3621" t="s">
        <v>16386</v>
      </c>
      <c r="K3621">
        <v>0.154</v>
      </c>
      <c r="L3621">
        <v>6710</v>
      </c>
      <c r="M3621">
        <v>2177</v>
      </c>
      <c r="N3621" t="s">
        <v>16393</v>
      </c>
      <c r="O3621" s="4">
        <v>49444</v>
      </c>
      <c r="P3621" s="4">
        <v>135343</v>
      </c>
      <c r="Q3621" s="4">
        <v>184787</v>
      </c>
      <c r="R3621" s="4">
        <v>554361</v>
      </c>
      <c r="S3621" t="s">
        <v>19933</v>
      </c>
      <c r="T3621" s="6">
        <v>36647</v>
      </c>
      <c r="U3621" s="4">
        <v>257000</v>
      </c>
      <c r="V3621" t="s">
        <v>23739</v>
      </c>
      <c r="W3621" t="s">
        <v>25554</v>
      </c>
      <c r="X3621" t="s">
        <v>3</v>
      </c>
      <c r="AA3621" s="5" t="str">
        <f>HYPERLINK("https://www.zillow.com/homes/1024-LAKEWOOD-CIR-NAPERVILLE-IL-60540_rb/","check listing")</f>
        <v>check listing</v>
      </c>
      <c r="AB3621" s="5" t="str">
        <f>HYPERLINK("https://propertylookup.dupagecounty.gov/Datalets/Datalet.aspx?UseSearch=no&amp;mode=sales&amp;pin=0727206005","sales record")</f>
        <v>sales record</v>
      </c>
      <c r="AC3621" t="s">
        <v>3</v>
      </c>
      <c r="AD3621">
        <v>41.74978</v>
      </c>
      <c r="AE3621">
        <v>-88.19372300000001</v>
      </c>
      <c r="AF3621" s="5" t="str">
        <f>HYPERLINK("https://www.google.com/maps/search/?api=1&amp;query=41.74978,-88.193723","map")</f>
        <v>map</v>
      </c>
    </row>
    <row r="3622" spans="1:32">
      <c r="A3622" t="s">
        <v>3672</v>
      </c>
      <c r="B3622" t="s">
        <v>11205</v>
      </c>
      <c r="C3622" t="s">
        <v>15476</v>
      </c>
      <c r="D3622" t="s">
        <v>16206</v>
      </c>
      <c r="E3622" t="s">
        <v>16218</v>
      </c>
      <c r="F3622" t="s">
        <v>16220</v>
      </c>
      <c r="G3622" t="s">
        <v>16269</v>
      </c>
      <c r="H3622" t="s">
        <v>16269</v>
      </c>
      <c r="I3622" t="s">
        <v>16352</v>
      </c>
      <c r="J3622" t="s">
        <v>16386</v>
      </c>
      <c r="K3622">
        <v>0.154</v>
      </c>
      <c r="L3622">
        <v>6710</v>
      </c>
      <c r="M3622">
        <v>1559</v>
      </c>
      <c r="N3622" t="s">
        <v>16393</v>
      </c>
      <c r="O3622" s="4">
        <v>73336</v>
      </c>
      <c r="P3622" s="4">
        <v>80958</v>
      </c>
      <c r="Q3622" s="4">
        <v>154294</v>
      </c>
      <c r="R3622" s="4">
        <v>462882</v>
      </c>
      <c r="S3622" t="s">
        <v>19934</v>
      </c>
      <c r="T3622" s="6">
        <v>45455</v>
      </c>
      <c r="U3622" s="4">
        <v>480000</v>
      </c>
      <c r="V3622" t="s">
        <v>23739</v>
      </c>
      <c r="W3622" t="s">
        <v>25555</v>
      </c>
      <c r="X3622" t="s">
        <v>3</v>
      </c>
      <c r="AA3622" s="5" t="str">
        <f>HYPERLINK("https://www.zillow.com/homes/1759-NAPOLEON-DR-NAPERVILLE-IL-60565_rb/","check listing")</f>
        <v>check listing</v>
      </c>
      <c r="AB3622" s="5" t="str">
        <f>HYPERLINK("https://propertylookup.dupagecounty.gov/Datalets/Datalet.aspx?UseSearch=no&amp;mode=sales&amp;pin=0832114082","sales record")</f>
        <v>sales record</v>
      </c>
      <c r="AC3622" t="s">
        <v>3</v>
      </c>
      <c r="AD3622">
        <v>41.735001</v>
      </c>
      <c r="AE3622">
        <v>-88.121342</v>
      </c>
      <c r="AF3622" s="5" t="str">
        <f>HYPERLINK("https://www.google.com/maps/search/?api=1&amp;query=41.735001,-88.121342","map")</f>
        <v>map</v>
      </c>
    </row>
    <row r="3623" spans="1:32">
      <c r="A3623" t="s">
        <v>3673</v>
      </c>
      <c r="B3623" t="s">
        <v>11206</v>
      </c>
      <c r="C3623" t="s">
        <v>15475</v>
      </c>
      <c r="D3623" t="s">
        <v>16206</v>
      </c>
      <c r="E3623" t="s">
        <v>16218</v>
      </c>
      <c r="F3623" t="s">
        <v>16220</v>
      </c>
      <c r="G3623" t="s">
        <v>16275</v>
      </c>
      <c r="H3623" t="s">
        <v>16276</v>
      </c>
      <c r="I3623" t="s">
        <v>16352</v>
      </c>
      <c r="J3623" t="s">
        <v>16386</v>
      </c>
      <c r="K3623">
        <v>0.154</v>
      </c>
      <c r="L3623">
        <v>6710</v>
      </c>
      <c r="M3623">
        <v>1929</v>
      </c>
      <c r="N3623" t="s">
        <v>16393</v>
      </c>
      <c r="O3623" s="4">
        <v>49444</v>
      </c>
      <c r="P3623" s="4">
        <v>117255</v>
      </c>
      <c r="Q3623" s="4">
        <v>166699</v>
      </c>
      <c r="R3623" s="4">
        <v>500097</v>
      </c>
      <c r="S3623" t="s">
        <v>19935</v>
      </c>
      <c r="T3623" s="6">
        <v>34547</v>
      </c>
      <c r="U3623" s="4">
        <v>206165</v>
      </c>
      <c r="X3623" t="s">
        <v>3</v>
      </c>
      <c r="AA3623" s="5" t="str">
        <f>HYPERLINK("https://www.zillow.com/homes/1016-LAKEWOOD-CIR-NAPERVILLE-IL-60540_rb/","check listing")</f>
        <v>check listing</v>
      </c>
      <c r="AB3623" s="5" t="str">
        <f>HYPERLINK("https://propertylookup.dupagecounty.gov/Datalets/Datalet.aspx?UseSearch=no&amp;mode=sales&amp;pin=0727206003","sales record")</f>
        <v>sales record</v>
      </c>
      <c r="AC3623" t="s">
        <v>3</v>
      </c>
      <c r="AD3623">
        <v>41.749461</v>
      </c>
      <c r="AE3623">
        <v>-88.193724</v>
      </c>
      <c r="AF3623" s="5" t="str">
        <f>HYPERLINK("https://www.google.com/maps/search/?api=1&amp;query=41.749461,-88.193724","map")</f>
        <v>map</v>
      </c>
    </row>
    <row r="3624" spans="1:32">
      <c r="A3624" t="s">
        <v>3674</v>
      </c>
      <c r="B3624" t="s">
        <v>11207</v>
      </c>
      <c r="C3624" t="s">
        <v>15604</v>
      </c>
      <c r="D3624" t="s">
        <v>16206</v>
      </c>
      <c r="E3624" t="s">
        <v>16218</v>
      </c>
      <c r="F3624" t="s">
        <v>16220</v>
      </c>
      <c r="G3624" t="s">
        <v>16274</v>
      </c>
      <c r="H3624" t="s">
        <v>16269</v>
      </c>
      <c r="I3624" t="s">
        <v>16352</v>
      </c>
      <c r="J3624" t="s">
        <v>16386</v>
      </c>
      <c r="K3624">
        <v>0.154</v>
      </c>
      <c r="L3624">
        <v>6707</v>
      </c>
      <c r="M3624">
        <v>1814</v>
      </c>
      <c r="N3624" t="s">
        <v>16393</v>
      </c>
      <c r="O3624" s="4">
        <v>48576</v>
      </c>
      <c r="P3624" s="4">
        <v>93784</v>
      </c>
      <c r="Q3624" s="4">
        <v>142360</v>
      </c>
      <c r="R3624" s="4">
        <v>427080</v>
      </c>
      <c r="S3624" t="s">
        <v>19936</v>
      </c>
      <c r="T3624" s="6">
        <v>43556</v>
      </c>
      <c r="U3624" s="4">
        <v>349500</v>
      </c>
      <c r="V3624" t="s">
        <v>23739</v>
      </c>
      <c r="W3624" t="s">
        <v>19936</v>
      </c>
      <c r="X3624" t="s">
        <v>3</v>
      </c>
      <c r="AA3624" s="5" t="str">
        <f>HYPERLINK("https://www.zillow.com/homes/1643-TERRI-CIR-NAPERVILLE-IL-605630454_rb/","check listing")</f>
        <v>check listing</v>
      </c>
      <c r="AB3624" s="5" t="str">
        <f>HYPERLINK("https://propertylookup.dupagecounty.gov/Datalets/Datalet.aspx?UseSearch=no&amp;mode=sales&amp;pin=0715204017","sales record")</f>
        <v>sales record</v>
      </c>
      <c r="AC3624" t="s">
        <v>3</v>
      </c>
      <c r="AD3624">
        <v>41.781339</v>
      </c>
      <c r="AE3624">
        <v>-88.192153</v>
      </c>
      <c r="AF3624" s="5" t="str">
        <f>HYPERLINK("https://www.google.com/maps/search/?api=1&amp;query=41.781339,-88.192153","map")</f>
        <v>map</v>
      </c>
    </row>
    <row r="3625" spans="1:32">
      <c r="A3625" t="s">
        <v>3675</v>
      </c>
      <c r="B3625" t="s">
        <v>11208</v>
      </c>
      <c r="C3625" t="s">
        <v>15475</v>
      </c>
      <c r="D3625" t="s">
        <v>16206</v>
      </c>
      <c r="E3625" t="s">
        <v>16218</v>
      </c>
      <c r="F3625" t="s">
        <v>16220</v>
      </c>
      <c r="G3625" t="s">
        <v>16276</v>
      </c>
      <c r="H3625" t="s">
        <v>16276</v>
      </c>
      <c r="I3625" t="s">
        <v>16352</v>
      </c>
      <c r="J3625" t="s">
        <v>16386</v>
      </c>
      <c r="K3625">
        <v>0.154</v>
      </c>
      <c r="L3625">
        <v>6699</v>
      </c>
      <c r="M3625">
        <v>1964</v>
      </c>
      <c r="N3625" t="s">
        <v>16393</v>
      </c>
      <c r="O3625" s="4">
        <v>50993</v>
      </c>
      <c r="P3625" s="4">
        <v>90783</v>
      </c>
      <c r="Q3625" s="4">
        <v>141776</v>
      </c>
      <c r="R3625" s="4">
        <v>425328</v>
      </c>
      <c r="S3625" t="s">
        <v>19937</v>
      </c>
      <c r="T3625" s="6">
        <v>34790</v>
      </c>
      <c r="U3625" s="4">
        <v>162000</v>
      </c>
      <c r="X3625" t="s">
        <v>3</v>
      </c>
      <c r="AA3625" s="5" t="str">
        <f>HYPERLINK("https://www.zillow.com/homes/2143-SCHUMACHER-LN-NAPERVILLE-IL-60540_rb/","check listing")</f>
        <v>check listing</v>
      </c>
      <c r="AB3625" s="5" t="str">
        <f>HYPERLINK("https://propertylookup.dupagecounty.gov/Datalets/Datalet.aspx?UseSearch=no&amp;mode=sales&amp;pin=0727208016","sales record")</f>
        <v>sales record</v>
      </c>
      <c r="AC3625" t="s">
        <v>3</v>
      </c>
      <c r="AD3625">
        <v>41.752407</v>
      </c>
      <c r="AE3625">
        <v>-88.18862900000001</v>
      </c>
      <c r="AF3625" s="5" t="str">
        <f>HYPERLINK("https://www.google.com/maps/search/?api=1&amp;query=41.752407,-88.188629","map")</f>
        <v>map</v>
      </c>
    </row>
    <row r="3626" spans="1:32">
      <c r="A3626" t="s">
        <v>3676</v>
      </c>
      <c r="B3626" t="s">
        <v>11209</v>
      </c>
      <c r="C3626" t="s">
        <v>15606</v>
      </c>
      <c r="D3626" t="s">
        <v>16206</v>
      </c>
      <c r="E3626" t="s">
        <v>16218</v>
      </c>
      <c r="F3626" t="s">
        <v>16220</v>
      </c>
      <c r="G3626" t="s">
        <v>16269</v>
      </c>
      <c r="H3626" t="s">
        <v>16269</v>
      </c>
      <c r="I3626" t="s">
        <v>16352</v>
      </c>
      <c r="J3626" t="s">
        <v>16386</v>
      </c>
      <c r="K3626">
        <v>0.154</v>
      </c>
      <c r="L3626">
        <v>6696</v>
      </c>
      <c r="M3626">
        <v>1487</v>
      </c>
      <c r="N3626" t="s">
        <v>16393</v>
      </c>
      <c r="O3626" s="4">
        <v>71707</v>
      </c>
      <c r="P3626" s="4">
        <v>82896</v>
      </c>
      <c r="Q3626" s="4">
        <v>154603</v>
      </c>
      <c r="R3626" s="4">
        <v>463809</v>
      </c>
      <c r="S3626" t="s">
        <v>19938</v>
      </c>
      <c r="T3626" s="6">
        <v>45275</v>
      </c>
      <c r="U3626" s="4">
        <v>471000</v>
      </c>
      <c r="V3626" t="s">
        <v>23741</v>
      </c>
      <c r="W3626" t="s">
        <v>25556</v>
      </c>
      <c r="X3626" t="s">
        <v>3</v>
      </c>
      <c r="AA3626" s="5" t="str">
        <f>HYPERLINK("https://www.zillow.com/homes/520-BOURBON-LN-NAPERVILLE-IL-605652498_rb/","check listing")</f>
        <v>check listing</v>
      </c>
      <c r="AB3626" s="5" t="str">
        <f>HYPERLINK("https://propertylookup.dupagecounty.gov/Datalets/Datalet.aspx?UseSearch=no&amp;mode=sales&amp;pin=0832116007","sales record")</f>
        <v>sales record</v>
      </c>
      <c r="AC3626" t="s">
        <v>3</v>
      </c>
      <c r="AD3626">
        <v>41.736093</v>
      </c>
      <c r="AE3626">
        <v>-88.118846</v>
      </c>
      <c r="AF3626" s="5" t="str">
        <f>HYPERLINK("https://www.google.com/maps/search/?api=1&amp;query=41.736093,-88.118846","map")</f>
        <v>map</v>
      </c>
    </row>
    <row r="3627" spans="1:32">
      <c r="A3627" t="s">
        <v>3677</v>
      </c>
      <c r="B3627" t="s">
        <v>11210</v>
      </c>
      <c r="C3627" t="s">
        <v>15478</v>
      </c>
      <c r="D3627" t="s">
        <v>16206</v>
      </c>
      <c r="E3627" t="s">
        <v>16218</v>
      </c>
      <c r="F3627" t="s">
        <v>16220</v>
      </c>
      <c r="G3627" t="s">
        <v>16274</v>
      </c>
      <c r="H3627" t="s">
        <v>16269</v>
      </c>
      <c r="I3627" t="s">
        <v>16352</v>
      </c>
      <c r="J3627" t="s">
        <v>16386</v>
      </c>
      <c r="K3627">
        <v>0.154</v>
      </c>
      <c r="L3627">
        <v>6693</v>
      </c>
      <c r="M3627">
        <v>2373</v>
      </c>
      <c r="N3627" t="s">
        <v>16393</v>
      </c>
      <c r="O3627" s="4">
        <v>48576</v>
      </c>
      <c r="P3627" s="4">
        <v>108443</v>
      </c>
      <c r="Q3627" s="4">
        <v>157019</v>
      </c>
      <c r="R3627" s="4">
        <v>471057</v>
      </c>
      <c r="S3627" t="s">
        <v>19939</v>
      </c>
      <c r="T3627" s="6">
        <v>41852</v>
      </c>
      <c r="U3627" s="4">
        <v>323250</v>
      </c>
      <c r="V3627" t="s">
        <v>23739</v>
      </c>
      <c r="W3627" t="s">
        <v>19939</v>
      </c>
      <c r="X3627" t="s">
        <v>3</v>
      </c>
      <c r="AA3627" s="5" t="str">
        <f>HYPERLINK("https://www.zillow.com/homes/1603-LOIS-ANN-LN-NAPERVILLE-IL-60563_rb/","check listing")</f>
        <v>check listing</v>
      </c>
      <c r="AB3627" s="5" t="str">
        <f>HYPERLINK("https://propertylookup.dupagecounty.gov/Datalets/Datalet.aspx?UseSearch=no&amp;mode=sales&amp;pin=0715203020","sales record")</f>
        <v>sales record</v>
      </c>
      <c r="AC3627" t="s">
        <v>3</v>
      </c>
      <c r="AD3627">
        <v>41.782994</v>
      </c>
      <c r="AE3627">
        <v>-88.19143699999999</v>
      </c>
      <c r="AF3627" s="5" t="str">
        <f>HYPERLINK("https://www.google.com/maps/search/?api=1&amp;query=41.782994,-88.191437","map")</f>
        <v>map</v>
      </c>
    </row>
    <row r="3628" spans="1:32">
      <c r="A3628" t="s">
        <v>3678</v>
      </c>
      <c r="B3628" t="s">
        <v>11211</v>
      </c>
      <c r="C3628" t="s">
        <v>15475</v>
      </c>
      <c r="D3628" t="s">
        <v>16206</v>
      </c>
      <c r="E3628" t="s">
        <v>16218</v>
      </c>
      <c r="F3628" t="s">
        <v>16220</v>
      </c>
      <c r="G3628" t="s">
        <v>16275</v>
      </c>
      <c r="H3628" t="s">
        <v>16276</v>
      </c>
      <c r="I3628" t="s">
        <v>16352</v>
      </c>
      <c r="J3628" t="s">
        <v>16386</v>
      </c>
      <c r="K3628">
        <v>0.153</v>
      </c>
      <c r="L3628">
        <v>6685</v>
      </c>
      <c r="M3628">
        <v>1951</v>
      </c>
      <c r="N3628" t="s">
        <v>16393</v>
      </c>
      <c r="O3628" s="4">
        <v>47905</v>
      </c>
      <c r="P3628" s="4">
        <v>118500</v>
      </c>
      <c r="Q3628" s="4">
        <v>166405</v>
      </c>
      <c r="R3628" s="4">
        <v>499215</v>
      </c>
      <c r="S3628" t="s">
        <v>19940</v>
      </c>
      <c r="T3628" s="6">
        <v>41821</v>
      </c>
      <c r="U3628" s="4">
        <v>302000</v>
      </c>
      <c r="V3628" t="s">
        <v>23739</v>
      </c>
      <c r="W3628" t="s">
        <v>25557</v>
      </c>
      <c r="X3628" t="s">
        <v>3</v>
      </c>
      <c r="AA3628" s="5" t="str">
        <f>HYPERLINK("https://www.zillow.com/homes/771-WILDFLOWER-CIR-NAPERVILLE-IL-60540_rb/","check listing")</f>
        <v>check listing</v>
      </c>
      <c r="AB3628" s="5" t="str">
        <f>HYPERLINK("https://propertylookup.dupagecounty.gov/Datalets/Datalet.aspx?UseSearch=no&amp;mode=sales&amp;pin=0722305007","sales record")</f>
        <v>sales record</v>
      </c>
      <c r="AC3628" t="s">
        <v>3</v>
      </c>
      <c r="AD3628">
        <v>41.758007</v>
      </c>
      <c r="AE3628">
        <v>-88.196242</v>
      </c>
      <c r="AF3628" s="5" t="str">
        <f>HYPERLINK("https://www.google.com/maps/search/?api=1&amp;query=41.758007,-88.196242","map")</f>
        <v>map</v>
      </c>
    </row>
    <row r="3629" spans="1:32">
      <c r="A3629" t="s">
        <v>3679</v>
      </c>
      <c r="B3629" t="s">
        <v>11212</v>
      </c>
      <c r="C3629" t="s">
        <v>15475</v>
      </c>
      <c r="D3629" t="s">
        <v>16206</v>
      </c>
      <c r="E3629" t="s">
        <v>16218</v>
      </c>
      <c r="F3629" t="s">
        <v>16220</v>
      </c>
      <c r="G3629" t="s">
        <v>16275</v>
      </c>
      <c r="H3629" t="s">
        <v>16276</v>
      </c>
      <c r="I3629" t="s">
        <v>16352</v>
      </c>
      <c r="J3629" t="s">
        <v>16386</v>
      </c>
      <c r="K3629">
        <v>0.153</v>
      </c>
      <c r="L3629">
        <v>6677</v>
      </c>
      <c r="M3629">
        <v>2639</v>
      </c>
      <c r="N3629" t="s">
        <v>16393</v>
      </c>
      <c r="O3629" s="4">
        <v>51103</v>
      </c>
      <c r="P3629" s="4">
        <v>138138</v>
      </c>
      <c r="Q3629" s="4">
        <v>189241</v>
      </c>
      <c r="R3629" s="4">
        <v>567723</v>
      </c>
      <c r="S3629" t="s">
        <v>19941</v>
      </c>
      <c r="T3629" s="6">
        <v>35490</v>
      </c>
      <c r="U3629" s="4">
        <v>215181</v>
      </c>
      <c r="X3629" t="s">
        <v>3</v>
      </c>
      <c r="AA3629" s="5" t="str">
        <f>HYPERLINK("https://www.zillow.com/homes/2224-FELDOTT-LN-NAPERVILLE-IL-60540_rb/","check listing")</f>
        <v>check listing</v>
      </c>
      <c r="AB3629" s="5" t="str">
        <f>HYPERLINK("https://propertylookup.dupagecounty.gov/Datalets/Datalet.aspx?UseSearch=no&amp;mode=sales&amp;pin=0722409005","sales record")</f>
        <v>sales record</v>
      </c>
      <c r="AC3629" t="s">
        <v>3</v>
      </c>
      <c r="AD3629">
        <v>41.760111</v>
      </c>
      <c r="AE3629">
        <v>-88.191712</v>
      </c>
      <c r="AF3629" s="5" t="str">
        <f>HYPERLINK("https://www.google.com/maps/search/?api=1&amp;query=41.760111,-88.191712","map")</f>
        <v>map</v>
      </c>
    </row>
    <row r="3630" spans="1:32">
      <c r="A3630" t="s">
        <v>3680</v>
      </c>
      <c r="B3630" t="s">
        <v>11213</v>
      </c>
      <c r="C3630" t="s">
        <v>15478</v>
      </c>
      <c r="D3630" t="s">
        <v>16206</v>
      </c>
      <c r="E3630" t="s">
        <v>16218</v>
      </c>
      <c r="F3630" t="s">
        <v>16220</v>
      </c>
      <c r="G3630" t="s">
        <v>16274</v>
      </c>
      <c r="H3630" t="s">
        <v>16269</v>
      </c>
      <c r="I3630" t="s">
        <v>16352</v>
      </c>
      <c r="J3630" t="s">
        <v>16386</v>
      </c>
      <c r="K3630">
        <v>0.153</v>
      </c>
      <c r="L3630">
        <v>6670</v>
      </c>
      <c r="M3630">
        <v>2561</v>
      </c>
      <c r="N3630" t="s">
        <v>16393</v>
      </c>
      <c r="O3630" s="4">
        <v>48576</v>
      </c>
      <c r="P3630" s="4">
        <v>132218</v>
      </c>
      <c r="Q3630" s="4">
        <v>180794</v>
      </c>
      <c r="R3630" s="4">
        <v>542382</v>
      </c>
      <c r="S3630" t="s">
        <v>19942</v>
      </c>
      <c r="T3630" s="6">
        <v>35278</v>
      </c>
      <c r="U3630" s="4">
        <v>215000</v>
      </c>
      <c r="X3630" t="s">
        <v>3</v>
      </c>
      <c r="AA3630" s="5" t="str">
        <f>HYPERLINK("https://www.zillow.com/homes/1614-LOIS-ANN-LN-NAPERVILLE-IL-60563_rb/","check listing")</f>
        <v>check listing</v>
      </c>
      <c r="AB3630" s="5" t="str">
        <f>HYPERLINK("https://propertylookup.dupagecounty.gov/Datalets/Datalet.aspx?UseSearch=no&amp;mode=sales&amp;pin=0715204006","sales record")</f>
        <v>sales record</v>
      </c>
      <c r="AC3630" t="s">
        <v>3</v>
      </c>
      <c r="AD3630">
        <v>41.782373</v>
      </c>
      <c r="AE3630">
        <v>-88.191697</v>
      </c>
      <c r="AF3630" s="5" t="str">
        <f>HYPERLINK("https://www.google.com/maps/search/?api=1&amp;query=41.782373,-88.191697","map")</f>
        <v>map</v>
      </c>
    </row>
    <row r="3631" spans="1:32">
      <c r="A3631" t="s">
        <v>3681</v>
      </c>
      <c r="B3631" t="s">
        <v>11214</v>
      </c>
      <c r="C3631" t="s">
        <v>15604</v>
      </c>
      <c r="D3631" t="s">
        <v>16206</v>
      </c>
      <c r="E3631" t="s">
        <v>16218</v>
      </c>
      <c r="F3631" t="s">
        <v>16220</v>
      </c>
      <c r="G3631" t="s">
        <v>16274</v>
      </c>
      <c r="H3631" t="s">
        <v>16269</v>
      </c>
      <c r="I3631" t="s">
        <v>16352</v>
      </c>
      <c r="J3631" t="s">
        <v>16386</v>
      </c>
      <c r="K3631">
        <v>0.153</v>
      </c>
      <c r="L3631">
        <v>6665</v>
      </c>
      <c r="M3631">
        <v>2474</v>
      </c>
      <c r="N3631" t="s">
        <v>16393</v>
      </c>
      <c r="O3631" s="4">
        <v>48576</v>
      </c>
      <c r="P3631" s="4">
        <v>128581</v>
      </c>
      <c r="Q3631" s="4">
        <v>177157</v>
      </c>
      <c r="R3631" s="4">
        <v>531471</v>
      </c>
      <c r="S3631" t="s">
        <v>19943</v>
      </c>
      <c r="T3631" s="6">
        <v>43922</v>
      </c>
      <c r="U3631" s="4">
        <v>363000</v>
      </c>
      <c r="V3631" t="s">
        <v>23739</v>
      </c>
      <c r="W3631" t="s">
        <v>25558</v>
      </c>
      <c r="X3631" t="s">
        <v>3</v>
      </c>
      <c r="AA3631" s="5" t="str">
        <f>HYPERLINK("https://www.zillow.com/homes/1631-TERRI-CIR-NAPERVILLE-IL-605630454_rb/","check listing")</f>
        <v>check listing</v>
      </c>
      <c r="AB3631" s="5" t="str">
        <f>HYPERLINK("https://propertylookup.dupagecounty.gov/Datalets/Datalet.aspx?UseSearch=no&amp;mode=sales&amp;pin=0715204020","sales record")</f>
        <v>sales record</v>
      </c>
      <c r="AC3631" t="s">
        <v>3</v>
      </c>
      <c r="AD3631">
        <v>41.781836</v>
      </c>
      <c r="AE3631">
        <v>-88.19193</v>
      </c>
      <c r="AF3631" s="5" t="str">
        <f>HYPERLINK("https://www.google.com/maps/search/?api=1&amp;query=41.781836,-88.19193","map")</f>
        <v>map</v>
      </c>
    </row>
    <row r="3632" spans="1:32">
      <c r="A3632" t="s">
        <v>3682</v>
      </c>
      <c r="B3632" t="s">
        <v>11215</v>
      </c>
      <c r="C3632" t="s">
        <v>15475</v>
      </c>
      <c r="D3632" t="s">
        <v>16206</v>
      </c>
      <c r="E3632" t="s">
        <v>16218</v>
      </c>
      <c r="F3632" t="s">
        <v>16220</v>
      </c>
      <c r="G3632" t="s">
        <v>16276</v>
      </c>
      <c r="H3632" t="s">
        <v>16276</v>
      </c>
      <c r="I3632" t="s">
        <v>16352</v>
      </c>
      <c r="J3632" t="s">
        <v>16386</v>
      </c>
      <c r="K3632">
        <v>0.153</v>
      </c>
      <c r="L3632">
        <v>6665</v>
      </c>
      <c r="M3632">
        <v>2166</v>
      </c>
      <c r="N3632" t="s">
        <v>16393</v>
      </c>
      <c r="O3632" s="4">
        <v>49444</v>
      </c>
      <c r="P3632" s="4">
        <v>90074</v>
      </c>
      <c r="Q3632" s="4">
        <v>139518</v>
      </c>
      <c r="R3632" s="4">
        <v>418554</v>
      </c>
      <c r="S3632" t="s">
        <v>19944</v>
      </c>
      <c r="T3632" s="6">
        <v>37257</v>
      </c>
      <c r="U3632" s="4">
        <v>210000</v>
      </c>
      <c r="V3632" t="s">
        <v>23739</v>
      </c>
      <c r="W3632" t="s">
        <v>25559</v>
      </c>
      <c r="X3632" t="s">
        <v>3</v>
      </c>
      <c r="AA3632" s="5" t="str">
        <f>HYPERLINK("https://www.zillow.com/homes/2119-SCHUMACHER-LN-NAPERVILLE-IL-60540_rb/","check listing")</f>
        <v>check listing</v>
      </c>
      <c r="AB3632" s="5" t="str">
        <f>HYPERLINK("https://propertylookup.dupagecounty.gov/Datalets/Datalet.aspx?UseSearch=no&amp;mode=sales&amp;pin=0727208011","sales record")</f>
        <v>sales record</v>
      </c>
      <c r="AC3632" t="s">
        <v>3</v>
      </c>
      <c r="AD3632">
        <v>41.752803</v>
      </c>
      <c r="AE3632">
        <v>-88.187674</v>
      </c>
      <c r="AF3632" s="5" t="str">
        <f>HYPERLINK("https://www.google.com/maps/search/?api=1&amp;query=41.752803,-88.187674","map")</f>
        <v>map</v>
      </c>
    </row>
    <row r="3633" spans="1:32">
      <c r="A3633" t="s">
        <v>3683</v>
      </c>
      <c r="B3633" t="s">
        <v>11216</v>
      </c>
      <c r="C3633" t="s">
        <v>15588</v>
      </c>
      <c r="D3633" t="s">
        <v>16206</v>
      </c>
      <c r="E3633" t="s">
        <v>16218</v>
      </c>
      <c r="F3633" t="s">
        <v>16220</v>
      </c>
      <c r="G3633" t="s">
        <v>16276</v>
      </c>
      <c r="H3633" t="s">
        <v>16276</v>
      </c>
      <c r="I3633" t="s">
        <v>16352</v>
      </c>
      <c r="J3633" t="s">
        <v>16386</v>
      </c>
      <c r="K3633">
        <v>0.153</v>
      </c>
      <c r="L3633">
        <v>6664</v>
      </c>
      <c r="M3633">
        <v>1550</v>
      </c>
      <c r="N3633" t="s">
        <v>16393</v>
      </c>
      <c r="O3633" s="4">
        <v>49444</v>
      </c>
      <c r="P3633" s="4">
        <v>90953</v>
      </c>
      <c r="Q3633" s="4">
        <v>140397</v>
      </c>
      <c r="R3633" s="4">
        <v>421191</v>
      </c>
      <c r="S3633" t="s">
        <v>19945</v>
      </c>
      <c r="T3633" s="6">
        <v>43586</v>
      </c>
      <c r="U3633" s="4">
        <v>315000</v>
      </c>
      <c r="V3633" t="s">
        <v>23739</v>
      </c>
      <c r="W3633" t="s">
        <v>25560</v>
      </c>
      <c r="X3633" t="s">
        <v>3</v>
      </c>
      <c r="AA3633" s="5" t="str">
        <f>HYPERLINK("https://www.zillow.com/homes/1060-SELMA-LN-NAPERVILLE-IL-605401913_rb/","check listing")</f>
        <v>check listing</v>
      </c>
      <c r="AB3633" s="5" t="str">
        <f>HYPERLINK("https://propertylookup.dupagecounty.gov/Datalets/Datalet.aspx?UseSearch=no&amp;mode=sales&amp;pin=0727208025","sales record")</f>
        <v>sales record</v>
      </c>
      <c r="AC3633" t="s">
        <v>3</v>
      </c>
      <c r="AD3633">
        <v>41.75223</v>
      </c>
      <c r="AE3633">
        <v>-88.18943400000001</v>
      </c>
      <c r="AF3633" s="5" t="str">
        <f>HYPERLINK("https://www.google.com/maps/search/?api=1&amp;query=41.75223,-88.189434","map")</f>
        <v>map</v>
      </c>
    </row>
    <row r="3634" spans="1:32">
      <c r="A3634" t="s">
        <v>3684</v>
      </c>
      <c r="B3634" t="s">
        <v>11217</v>
      </c>
      <c r="C3634" t="s">
        <v>15478</v>
      </c>
      <c r="D3634" t="s">
        <v>16206</v>
      </c>
      <c r="E3634" t="s">
        <v>16218</v>
      </c>
      <c r="F3634" t="s">
        <v>16220</v>
      </c>
      <c r="G3634" t="s">
        <v>16274</v>
      </c>
      <c r="H3634" t="s">
        <v>16269</v>
      </c>
      <c r="I3634" t="s">
        <v>16352</v>
      </c>
      <c r="J3634" t="s">
        <v>16386</v>
      </c>
      <c r="K3634">
        <v>0.153</v>
      </c>
      <c r="L3634">
        <v>6653</v>
      </c>
      <c r="M3634">
        <v>2282</v>
      </c>
      <c r="N3634" t="s">
        <v>16393</v>
      </c>
      <c r="O3634" s="4">
        <v>48576</v>
      </c>
      <c r="P3634" s="4">
        <v>118671</v>
      </c>
      <c r="Q3634" s="4">
        <v>167247</v>
      </c>
      <c r="R3634" s="4">
        <v>501741</v>
      </c>
      <c r="S3634" t="s">
        <v>19946</v>
      </c>
      <c r="T3634" s="6">
        <v>35400</v>
      </c>
      <c r="U3634" s="4">
        <v>199500</v>
      </c>
      <c r="X3634" t="s">
        <v>3</v>
      </c>
      <c r="AA3634" s="5" t="str">
        <f>HYPERLINK("https://www.zillow.com/homes/1614-HINTERLONG-LN-NAPERVILLE-IL-60563_rb/","check listing")</f>
        <v>check listing</v>
      </c>
      <c r="AB3634" s="5" t="str">
        <f>HYPERLINK("https://propertylookup.dupagecounty.gov/Datalets/Datalet.aspx?UseSearch=no&amp;mode=sales&amp;pin=0715206022","sales record")</f>
        <v>sales record</v>
      </c>
      <c r="AC3634" t="s">
        <v>3</v>
      </c>
      <c r="AD3634">
        <v>41.780551</v>
      </c>
      <c r="AE3634">
        <v>-88.191239</v>
      </c>
      <c r="AF3634" s="5" t="str">
        <f>HYPERLINK("https://www.google.com/maps/search/?api=1&amp;query=41.780551,-88.191239","map")</f>
        <v>map</v>
      </c>
    </row>
    <row r="3635" spans="1:32">
      <c r="A3635" t="s">
        <v>3685</v>
      </c>
      <c r="B3635" t="s">
        <v>11218</v>
      </c>
      <c r="C3635" t="s">
        <v>15607</v>
      </c>
      <c r="D3635" t="s">
        <v>16206</v>
      </c>
      <c r="E3635" t="s">
        <v>16218</v>
      </c>
      <c r="F3635" t="s">
        <v>16220</v>
      </c>
      <c r="G3635" t="s">
        <v>16274</v>
      </c>
      <c r="H3635" t="s">
        <v>16269</v>
      </c>
      <c r="I3635" t="s">
        <v>16352</v>
      </c>
      <c r="J3635" t="s">
        <v>16386</v>
      </c>
      <c r="K3635">
        <v>0.153</v>
      </c>
      <c r="L3635">
        <v>6652</v>
      </c>
      <c r="M3635">
        <v>2094</v>
      </c>
      <c r="N3635" t="s">
        <v>16393</v>
      </c>
      <c r="O3635" s="4">
        <v>48576</v>
      </c>
      <c r="P3635" s="4">
        <v>83947</v>
      </c>
      <c r="Q3635" s="4">
        <v>132523</v>
      </c>
      <c r="R3635" s="4">
        <v>397569</v>
      </c>
      <c r="S3635" t="s">
        <v>19947</v>
      </c>
      <c r="T3635" s="6">
        <v>33451</v>
      </c>
      <c r="U3635" s="4">
        <v>130365</v>
      </c>
      <c r="X3635" t="s">
        <v>3</v>
      </c>
      <c r="AA3635" s="5" t="str">
        <f>HYPERLINK("https://www.zillow.com/homes/1606-HINTERLONG-LN-NAPERVILLE-IL-605630457_rb/","check listing")</f>
        <v>check listing</v>
      </c>
      <c r="AB3635" s="5" t="str">
        <f>HYPERLINK("https://propertylookup.dupagecounty.gov/Datalets/Datalet.aspx?UseSearch=no&amp;mode=sales&amp;pin=0715206020","sales record")</f>
        <v>sales record</v>
      </c>
      <c r="AC3635" t="s">
        <v>3</v>
      </c>
      <c r="AD3635">
        <v>41.780538</v>
      </c>
      <c r="AE3635">
        <v>-88.19079600000001</v>
      </c>
      <c r="AF3635" s="5" t="str">
        <f>HYPERLINK("https://www.google.com/maps/search/?api=1&amp;query=41.780538,-88.190796","map")</f>
        <v>map</v>
      </c>
    </row>
    <row r="3636" spans="1:32">
      <c r="A3636" t="s">
        <v>3686</v>
      </c>
      <c r="B3636" t="s">
        <v>11219</v>
      </c>
      <c r="C3636" t="s">
        <v>15500</v>
      </c>
      <c r="D3636" t="s">
        <v>16206</v>
      </c>
      <c r="E3636" t="s">
        <v>16218</v>
      </c>
      <c r="F3636" t="s">
        <v>16220</v>
      </c>
      <c r="G3636" t="s">
        <v>16275</v>
      </c>
      <c r="H3636" t="s">
        <v>16276</v>
      </c>
      <c r="I3636" t="s">
        <v>16352</v>
      </c>
      <c r="J3636" t="s">
        <v>16386</v>
      </c>
      <c r="K3636">
        <v>0.153</v>
      </c>
      <c r="L3636">
        <v>6651</v>
      </c>
      <c r="M3636">
        <v>2061</v>
      </c>
      <c r="N3636" t="s">
        <v>16393</v>
      </c>
      <c r="O3636" s="4">
        <v>46367</v>
      </c>
      <c r="P3636" s="4">
        <v>120672</v>
      </c>
      <c r="Q3636" s="4">
        <v>167039</v>
      </c>
      <c r="R3636" s="4">
        <v>501117</v>
      </c>
      <c r="S3636" t="s">
        <v>19948</v>
      </c>
      <c r="T3636" s="6">
        <v>44317</v>
      </c>
      <c r="U3636" s="4">
        <v>456000</v>
      </c>
      <c r="V3636" t="s">
        <v>23739</v>
      </c>
      <c r="W3636" t="s">
        <v>25561</v>
      </c>
      <c r="X3636" t="s">
        <v>3</v>
      </c>
      <c r="AA3636" s="5" t="str">
        <f>HYPERLINK("https://www.zillow.com/homes/1211-SAMUEL-CT-NAPERVILLE-IL-605401910_rb/","check listing")</f>
        <v>check listing</v>
      </c>
      <c r="AB3636" s="5" t="str">
        <f>HYPERLINK("https://propertylookup.dupagecounty.gov/Datalets/Datalet.aspx?UseSearch=no&amp;mode=sales&amp;pin=0727201068","sales record")</f>
        <v>sales record</v>
      </c>
      <c r="AC3636" t="s">
        <v>3</v>
      </c>
      <c r="AD3636">
        <v>41.748113</v>
      </c>
      <c r="AE3636">
        <v>-88.19463</v>
      </c>
      <c r="AF3636" s="5" t="str">
        <f>HYPERLINK("https://www.google.com/maps/search/?api=1&amp;query=41.748113,-88.19463","map")</f>
        <v>map</v>
      </c>
    </row>
    <row r="3637" spans="1:32">
      <c r="A3637" t="s">
        <v>3687</v>
      </c>
      <c r="B3637" t="s">
        <v>11220</v>
      </c>
      <c r="C3637" t="s">
        <v>15607</v>
      </c>
      <c r="D3637" t="s">
        <v>16206</v>
      </c>
      <c r="E3637" t="s">
        <v>16218</v>
      </c>
      <c r="F3637" t="s">
        <v>16220</v>
      </c>
      <c r="G3637" t="s">
        <v>16274</v>
      </c>
      <c r="H3637" t="s">
        <v>16269</v>
      </c>
      <c r="I3637" t="s">
        <v>16352</v>
      </c>
      <c r="J3637" t="s">
        <v>16386</v>
      </c>
      <c r="K3637">
        <v>0.153</v>
      </c>
      <c r="L3637">
        <v>6651</v>
      </c>
      <c r="M3637">
        <v>2120</v>
      </c>
      <c r="N3637" t="s">
        <v>16393</v>
      </c>
      <c r="O3637" s="4">
        <v>48576</v>
      </c>
      <c r="P3637" s="4">
        <v>81945</v>
      </c>
      <c r="Q3637" s="4">
        <v>130521</v>
      </c>
      <c r="R3637" s="4">
        <v>391563</v>
      </c>
      <c r="S3637" t="s">
        <v>19949</v>
      </c>
      <c r="T3637" s="6">
        <v>34547</v>
      </c>
      <c r="U3637" s="4">
        <v>158000</v>
      </c>
      <c r="X3637" t="s">
        <v>3</v>
      </c>
      <c r="AA3637" s="5" t="str">
        <f>HYPERLINK("https://www.zillow.com/homes/1602-HINTERLONG-LN-NAPERVILLE-IL-605630457_rb/","check listing")</f>
        <v>check listing</v>
      </c>
      <c r="AB3637" s="5" t="str">
        <f>HYPERLINK("https://propertylookup.dupagecounty.gov/Datalets/Datalet.aspx?UseSearch=no&amp;mode=sales&amp;pin=0715206019","sales record")</f>
        <v>sales record</v>
      </c>
      <c r="AC3637" t="s">
        <v>3</v>
      </c>
      <c r="AD3637">
        <v>41.780535</v>
      </c>
      <c r="AE3637">
        <v>-88.190574</v>
      </c>
      <c r="AF3637" s="5" t="str">
        <f>HYPERLINK("https://www.google.com/maps/search/?api=1&amp;query=41.780535,-88.190574","map")</f>
        <v>map</v>
      </c>
    </row>
    <row r="3638" spans="1:32">
      <c r="A3638" t="s">
        <v>3688</v>
      </c>
      <c r="B3638" t="s">
        <v>11221</v>
      </c>
      <c r="C3638" t="s">
        <v>15607</v>
      </c>
      <c r="D3638" t="s">
        <v>16206</v>
      </c>
      <c r="E3638" t="s">
        <v>16218</v>
      </c>
      <c r="F3638" t="s">
        <v>16220</v>
      </c>
      <c r="G3638" t="s">
        <v>16274</v>
      </c>
      <c r="H3638" t="s">
        <v>16269</v>
      </c>
      <c r="I3638" t="s">
        <v>16352</v>
      </c>
      <c r="J3638" t="s">
        <v>16386</v>
      </c>
      <c r="K3638">
        <v>0.153</v>
      </c>
      <c r="L3638">
        <v>6649</v>
      </c>
      <c r="M3638">
        <v>1893</v>
      </c>
      <c r="N3638" t="s">
        <v>16393</v>
      </c>
      <c r="O3638" s="4">
        <v>48576</v>
      </c>
      <c r="P3638" s="4">
        <v>81738</v>
      </c>
      <c r="Q3638" s="4">
        <v>130314</v>
      </c>
      <c r="R3638" s="4">
        <v>390942</v>
      </c>
      <c r="S3638" t="s">
        <v>19950</v>
      </c>
      <c r="T3638" s="6">
        <v>43344</v>
      </c>
      <c r="U3638" s="4">
        <v>250000</v>
      </c>
      <c r="V3638" t="s">
        <v>23739</v>
      </c>
      <c r="W3638" t="s">
        <v>25562</v>
      </c>
      <c r="X3638" t="s">
        <v>3</v>
      </c>
      <c r="AA3638" s="5" t="str">
        <f>HYPERLINK("https://www.zillow.com/homes/1610-HINTERLONG-LN-NAPERVILLE-IL-605630457_rb/","check listing")</f>
        <v>check listing</v>
      </c>
      <c r="AB3638" s="5" t="str">
        <f>HYPERLINK("https://propertylookup.dupagecounty.gov/Datalets/Datalet.aspx?UseSearch=no&amp;mode=sales&amp;pin=0715206021","sales record")</f>
        <v>sales record</v>
      </c>
      <c r="AC3638" t="s">
        <v>3</v>
      </c>
      <c r="AD3638">
        <v>41.780543</v>
      </c>
      <c r="AE3638">
        <v>-88.191017</v>
      </c>
      <c r="AF3638" s="5" t="str">
        <f>HYPERLINK("https://www.google.com/maps/search/?api=1&amp;query=41.780543,-88.191017","map")</f>
        <v>map</v>
      </c>
    </row>
    <row r="3639" spans="1:32">
      <c r="A3639" t="s">
        <v>3689</v>
      </c>
      <c r="B3639" t="s">
        <v>11222</v>
      </c>
      <c r="C3639" t="s">
        <v>15607</v>
      </c>
      <c r="D3639" t="s">
        <v>16206</v>
      </c>
      <c r="E3639" t="s">
        <v>16218</v>
      </c>
      <c r="F3639" t="s">
        <v>16220</v>
      </c>
      <c r="G3639" t="s">
        <v>16274</v>
      </c>
      <c r="H3639" t="s">
        <v>16269</v>
      </c>
      <c r="I3639" t="s">
        <v>16352</v>
      </c>
      <c r="J3639" t="s">
        <v>16386</v>
      </c>
      <c r="K3639">
        <v>0.153</v>
      </c>
      <c r="L3639">
        <v>6649</v>
      </c>
      <c r="M3639">
        <v>2345</v>
      </c>
      <c r="N3639" t="s">
        <v>16393</v>
      </c>
      <c r="O3639" s="4">
        <v>48576</v>
      </c>
      <c r="P3639" s="4">
        <v>83447</v>
      </c>
      <c r="Q3639" s="4">
        <v>132023</v>
      </c>
      <c r="R3639" s="4">
        <v>396069</v>
      </c>
      <c r="S3639" t="s">
        <v>19951</v>
      </c>
      <c r="T3639" s="6">
        <v>43191</v>
      </c>
      <c r="U3639" s="4">
        <v>329900</v>
      </c>
      <c r="V3639" t="s">
        <v>23740</v>
      </c>
      <c r="W3639" t="s">
        <v>25563</v>
      </c>
      <c r="X3639" t="s">
        <v>3</v>
      </c>
      <c r="AA3639" s="5" t="str">
        <f>HYPERLINK("https://www.zillow.com/homes/1618-HINTERLONG-LN-NAPERVILLE-IL-605630457_rb/","check listing")</f>
        <v>check listing</v>
      </c>
      <c r="AB3639" s="5" t="str">
        <f>HYPERLINK("https://propertylookup.dupagecounty.gov/Datalets/Datalet.aspx?UseSearch=no&amp;mode=sales&amp;pin=0715206023","sales record")</f>
        <v>sales record</v>
      </c>
      <c r="AC3639" t="s">
        <v>3</v>
      </c>
      <c r="AD3639">
        <v>41.78056</v>
      </c>
      <c r="AE3639">
        <v>-88.19146000000001</v>
      </c>
      <c r="AF3639" s="5" t="str">
        <f>HYPERLINK("https://www.google.com/maps/search/?api=1&amp;query=41.78056,-88.19146","map")</f>
        <v>map</v>
      </c>
    </row>
    <row r="3640" spans="1:32">
      <c r="A3640" t="s">
        <v>3690</v>
      </c>
      <c r="B3640" t="s">
        <v>11223</v>
      </c>
      <c r="C3640" t="s">
        <v>15478</v>
      </c>
      <c r="D3640" t="s">
        <v>16206</v>
      </c>
      <c r="E3640" t="s">
        <v>16218</v>
      </c>
      <c r="F3640" t="s">
        <v>16220</v>
      </c>
      <c r="G3640" t="s">
        <v>16274</v>
      </c>
      <c r="H3640" t="s">
        <v>16269</v>
      </c>
      <c r="I3640" t="s">
        <v>16352</v>
      </c>
      <c r="J3640" t="s">
        <v>16386</v>
      </c>
      <c r="K3640">
        <v>0.153</v>
      </c>
      <c r="L3640">
        <v>6645</v>
      </c>
      <c r="M3640">
        <v>2120</v>
      </c>
      <c r="N3640" t="s">
        <v>16393</v>
      </c>
      <c r="O3640" s="4">
        <v>48576</v>
      </c>
      <c r="P3640" s="4">
        <v>92906</v>
      </c>
      <c r="Q3640" s="4">
        <v>141482</v>
      </c>
      <c r="R3640" s="4">
        <v>424446</v>
      </c>
      <c r="S3640" t="s">
        <v>19952</v>
      </c>
      <c r="T3640" s="6">
        <v>43040</v>
      </c>
      <c r="U3640" s="4">
        <v>240000</v>
      </c>
      <c r="V3640" t="s">
        <v>23739</v>
      </c>
      <c r="W3640" t="s">
        <v>25564</v>
      </c>
      <c r="X3640" t="s">
        <v>3</v>
      </c>
      <c r="AA3640" s="5" t="str">
        <f>HYPERLINK("https://www.zillow.com/homes/1598-HINTERLONG-LN-NAPERVILLE-IL-60563_rb/","check listing")</f>
        <v>check listing</v>
      </c>
      <c r="AB3640" s="5" t="str">
        <f>HYPERLINK("https://propertylookup.dupagecounty.gov/Datalets/Datalet.aspx?UseSearch=no&amp;mode=sales&amp;pin=0715206018","sales record")</f>
        <v>sales record</v>
      </c>
      <c r="AC3640" t="s">
        <v>3</v>
      </c>
      <c r="AD3640">
        <v>41.780534</v>
      </c>
      <c r="AE3640">
        <v>-88.190353</v>
      </c>
      <c r="AF3640" s="5" t="str">
        <f>HYPERLINK("https://www.google.com/maps/search/?api=1&amp;query=41.780534,-88.190353","map")</f>
        <v>map</v>
      </c>
    </row>
    <row r="3641" spans="1:32">
      <c r="A3641" t="s">
        <v>3691</v>
      </c>
      <c r="B3641" t="s">
        <v>11224</v>
      </c>
      <c r="C3641" t="s">
        <v>15608</v>
      </c>
      <c r="D3641" t="s">
        <v>16206</v>
      </c>
      <c r="E3641" t="s">
        <v>16218</v>
      </c>
      <c r="F3641" t="s">
        <v>16220</v>
      </c>
      <c r="G3641" t="s">
        <v>16274</v>
      </c>
      <c r="H3641" t="s">
        <v>16269</v>
      </c>
      <c r="I3641" t="s">
        <v>16352</v>
      </c>
      <c r="J3641" t="s">
        <v>16386</v>
      </c>
      <c r="K3641">
        <v>0.153</v>
      </c>
      <c r="L3641">
        <v>6645</v>
      </c>
      <c r="M3641">
        <v>2133</v>
      </c>
      <c r="N3641" t="s">
        <v>16393</v>
      </c>
      <c r="O3641" s="4">
        <v>48576</v>
      </c>
      <c r="P3641" s="4">
        <v>81457</v>
      </c>
      <c r="Q3641" s="4">
        <v>130033</v>
      </c>
      <c r="R3641" s="4">
        <v>390099</v>
      </c>
      <c r="S3641" t="s">
        <v>19953</v>
      </c>
      <c r="T3641" s="6">
        <v>39203</v>
      </c>
      <c r="U3641" s="4">
        <v>271500</v>
      </c>
      <c r="V3641" t="s">
        <v>23739</v>
      </c>
      <c r="W3641" t="s">
        <v>25565</v>
      </c>
      <c r="X3641" t="s">
        <v>3</v>
      </c>
      <c r="AA3641" s="5" t="str">
        <f>HYPERLINK("https://www.zillow.com/homes/701-STACIE-CT-NAPERVILLE-IL-605630450_rb/","check listing")</f>
        <v>check listing</v>
      </c>
      <c r="AB3641" s="5" t="str">
        <f>HYPERLINK("https://propertylookup.dupagecounty.gov/Datalets/Datalet.aspx?UseSearch=no&amp;mode=sales&amp;pin=0715205010","sales record")</f>
        <v>sales record</v>
      </c>
      <c r="AC3641" t="s">
        <v>3</v>
      </c>
      <c r="AD3641">
        <v>41.780968</v>
      </c>
      <c r="AE3641">
        <v>-88.191102</v>
      </c>
      <c r="AF3641" s="5" t="str">
        <f>HYPERLINK("https://www.google.com/maps/search/?api=1&amp;query=41.780968,-88.191102","map")</f>
        <v>map</v>
      </c>
    </row>
    <row r="3642" spans="1:32">
      <c r="A3642" t="s">
        <v>3692</v>
      </c>
      <c r="B3642" t="s">
        <v>11225</v>
      </c>
      <c r="C3642" t="s">
        <v>15475</v>
      </c>
      <c r="D3642" t="s">
        <v>16206</v>
      </c>
      <c r="E3642" t="s">
        <v>16218</v>
      </c>
      <c r="F3642" t="s">
        <v>16220</v>
      </c>
      <c r="G3642" t="s">
        <v>16275</v>
      </c>
      <c r="H3642" t="s">
        <v>16276</v>
      </c>
      <c r="I3642" t="s">
        <v>16352</v>
      </c>
      <c r="J3642" t="s">
        <v>16386</v>
      </c>
      <c r="K3642">
        <v>0.153</v>
      </c>
      <c r="L3642">
        <v>6645</v>
      </c>
      <c r="M3642">
        <v>1645</v>
      </c>
      <c r="N3642" t="s">
        <v>16393</v>
      </c>
      <c r="O3642" s="4">
        <v>51103</v>
      </c>
      <c r="P3642" s="4">
        <v>100973</v>
      </c>
      <c r="Q3642" s="4">
        <v>152076</v>
      </c>
      <c r="R3642" s="4">
        <v>456228</v>
      </c>
      <c r="S3642" t="s">
        <v>19954</v>
      </c>
      <c r="T3642" s="6">
        <v>41609</v>
      </c>
      <c r="U3642" s="4">
        <v>240000</v>
      </c>
      <c r="V3642" t="s">
        <v>23739</v>
      </c>
      <c r="W3642" t="s">
        <v>25566</v>
      </c>
      <c r="X3642" t="s">
        <v>3</v>
      </c>
      <c r="AA3642" s="5" t="str">
        <f>HYPERLINK("https://www.zillow.com/homes/708-VIOLET-CIR-NAPERVILLE-IL-60540_rb/","check listing")</f>
        <v>check listing</v>
      </c>
      <c r="AB3642" s="5" t="str">
        <f>HYPERLINK("https://propertylookup.dupagecounty.gov/Datalets/Datalet.aspx?UseSearch=no&amp;mode=sales&amp;pin=0722409019","sales record")</f>
        <v>sales record</v>
      </c>
      <c r="AC3642" t="s">
        <v>3</v>
      </c>
      <c r="AD3642">
        <v>41.761509</v>
      </c>
      <c r="AE3642">
        <v>-88.18979400000001</v>
      </c>
      <c r="AF3642" s="5" t="str">
        <f>HYPERLINK("https://www.google.com/maps/search/?api=1&amp;query=41.761509,-88.189794","map")</f>
        <v>map</v>
      </c>
    </row>
    <row r="3643" spans="1:32">
      <c r="A3643" t="s">
        <v>3693</v>
      </c>
      <c r="B3643" t="s">
        <v>11226</v>
      </c>
      <c r="C3643" t="s">
        <v>15475</v>
      </c>
      <c r="D3643" t="s">
        <v>16206</v>
      </c>
      <c r="E3643" t="s">
        <v>16218</v>
      </c>
      <c r="F3643" t="s">
        <v>16220</v>
      </c>
      <c r="G3643" t="s">
        <v>16275</v>
      </c>
      <c r="H3643" t="s">
        <v>16276</v>
      </c>
      <c r="I3643" t="s">
        <v>16352</v>
      </c>
      <c r="J3643" t="s">
        <v>16386</v>
      </c>
      <c r="K3643">
        <v>0.152</v>
      </c>
      <c r="L3643">
        <v>6642</v>
      </c>
      <c r="M3643">
        <v>1979</v>
      </c>
      <c r="N3643" t="s">
        <v>16393</v>
      </c>
      <c r="O3643" s="4">
        <v>51103</v>
      </c>
      <c r="P3643" s="4">
        <v>121649</v>
      </c>
      <c r="Q3643" s="4">
        <v>172752</v>
      </c>
      <c r="R3643" s="4">
        <v>518256</v>
      </c>
      <c r="S3643" t="s">
        <v>19955</v>
      </c>
      <c r="T3643" s="6">
        <v>44987</v>
      </c>
      <c r="U3643" s="4">
        <v>473500</v>
      </c>
      <c r="V3643" t="s">
        <v>23739</v>
      </c>
      <c r="W3643" t="s">
        <v>25567</v>
      </c>
      <c r="X3643" t="s">
        <v>3</v>
      </c>
      <c r="AA3643" s="5" t="str">
        <f>HYPERLINK("https://www.zillow.com/homes/2307-JONQUIL-CT-NAPERVILLE-IL-60540_rb/","check listing")</f>
        <v>check listing</v>
      </c>
      <c r="AB3643" s="5" t="str">
        <f>HYPERLINK("https://propertylookup.dupagecounty.gov/Datalets/Datalet.aspx?UseSearch=no&amp;mode=sales&amp;pin=0722407018","sales record")</f>
        <v>sales record</v>
      </c>
      <c r="AC3643" t="s">
        <v>3</v>
      </c>
      <c r="AD3643">
        <v>41.75822</v>
      </c>
      <c r="AE3643">
        <v>-88.193185</v>
      </c>
      <c r="AF3643" s="5" t="str">
        <f>HYPERLINK("https://www.google.com/maps/search/?api=1&amp;query=41.75822,-88.193185","map")</f>
        <v>map</v>
      </c>
    </row>
    <row r="3644" spans="1:32">
      <c r="A3644" t="s">
        <v>3694</v>
      </c>
      <c r="B3644" t="s">
        <v>11227</v>
      </c>
      <c r="C3644" t="s">
        <v>15541</v>
      </c>
      <c r="D3644" t="s">
        <v>16206</v>
      </c>
      <c r="E3644" t="s">
        <v>16218</v>
      </c>
      <c r="F3644" t="s">
        <v>16220</v>
      </c>
      <c r="G3644" t="s">
        <v>16276</v>
      </c>
      <c r="H3644" t="s">
        <v>16276</v>
      </c>
      <c r="I3644" t="s">
        <v>16352</v>
      </c>
      <c r="J3644" t="s">
        <v>16386</v>
      </c>
      <c r="K3644">
        <v>0.152</v>
      </c>
      <c r="L3644">
        <v>6637</v>
      </c>
      <c r="M3644">
        <v>2109</v>
      </c>
      <c r="N3644" t="s">
        <v>16393</v>
      </c>
      <c r="O3644" s="4">
        <v>49444</v>
      </c>
      <c r="P3644" s="4">
        <v>107308</v>
      </c>
      <c r="Q3644" s="4">
        <v>156752</v>
      </c>
      <c r="R3644" s="4">
        <v>470256</v>
      </c>
      <c r="S3644" t="s">
        <v>19956</v>
      </c>
      <c r="T3644" s="6">
        <v>34851</v>
      </c>
      <c r="U3644" s="4">
        <v>176730</v>
      </c>
      <c r="X3644" t="s">
        <v>3</v>
      </c>
      <c r="AA3644" s="5" t="str">
        <f>HYPERLINK("https://www.zillow.com/homes/2111-SCHUMACHER-DR-NAPERVILLE-IL-605401911_rb/","check listing")</f>
        <v>check listing</v>
      </c>
      <c r="AB3644" s="5" t="str">
        <f>HYPERLINK("https://propertylookup.dupagecounty.gov/Datalets/Datalet.aspx?UseSearch=no&amp;mode=sales&amp;pin=0727208010","sales record")</f>
        <v>sales record</v>
      </c>
      <c r="AC3644" t="s">
        <v>3</v>
      </c>
      <c r="AD3644">
        <v>41.752971</v>
      </c>
      <c r="AE3644">
        <v>-88.187605</v>
      </c>
      <c r="AF3644" s="5" t="str">
        <f>HYPERLINK("https://www.google.com/maps/search/?api=1&amp;query=41.752971,-88.187605","map")</f>
        <v>map</v>
      </c>
    </row>
    <row r="3645" spans="1:32">
      <c r="A3645" t="s">
        <v>3695</v>
      </c>
      <c r="B3645" t="s">
        <v>11228</v>
      </c>
      <c r="C3645" t="s">
        <v>15475</v>
      </c>
      <c r="D3645" t="s">
        <v>16206</v>
      </c>
      <c r="E3645" t="s">
        <v>16218</v>
      </c>
      <c r="F3645" t="s">
        <v>16220</v>
      </c>
      <c r="G3645" t="s">
        <v>16275</v>
      </c>
      <c r="H3645" t="s">
        <v>16276</v>
      </c>
      <c r="I3645" t="s">
        <v>16352</v>
      </c>
      <c r="J3645" t="s">
        <v>16386</v>
      </c>
      <c r="K3645">
        <v>0.152</v>
      </c>
      <c r="L3645">
        <v>6625</v>
      </c>
      <c r="M3645">
        <v>1649</v>
      </c>
      <c r="N3645" t="s">
        <v>16393</v>
      </c>
      <c r="O3645" s="4">
        <v>51103</v>
      </c>
      <c r="P3645" s="4">
        <v>98008</v>
      </c>
      <c r="Q3645" s="4">
        <v>149111</v>
      </c>
      <c r="R3645" s="4">
        <v>447333</v>
      </c>
      <c r="S3645" t="s">
        <v>19957</v>
      </c>
      <c r="T3645" s="6">
        <v>34912</v>
      </c>
      <c r="U3645" s="4">
        <v>159873</v>
      </c>
      <c r="X3645" t="s">
        <v>3</v>
      </c>
      <c r="AA3645" s="5" t="str">
        <f>HYPERLINK("https://www.zillow.com/homes/2112-PERIWINKLE-LN-NAPERVILLE-IL-60540_rb/","check listing")</f>
        <v>check listing</v>
      </c>
      <c r="AB3645" s="5" t="str">
        <f>HYPERLINK("https://propertylookup.dupagecounty.gov/Datalets/Datalet.aspx?UseSearch=no&amp;mode=sales&amp;pin=0722410014","sales record")</f>
        <v>sales record</v>
      </c>
      <c r="AC3645" t="s">
        <v>3</v>
      </c>
      <c r="AD3645">
        <v>41.76072</v>
      </c>
      <c r="AE3645">
        <v>-88.189924</v>
      </c>
      <c r="AF3645" s="5" t="str">
        <f>HYPERLINK("https://www.google.com/maps/search/?api=1&amp;query=41.76072,-88.189924","map")</f>
        <v>map</v>
      </c>
    </row>
    <row r="3646" spans="1:32">
      <c r="A3646" t="s">
        <v>3696</v>
      </c>
      <c r="B3646" t="s">
        <v>11229</v>
      </c>
      <c r="C3646" t="s">
        <v>15475</v>
      </c>
      <c r="D3646" t="s">
        <v>16206</v>
      </c>
      <c r="E3646" t="s">
        <v>16218</v>
      </c>
      <c r="F3646" t="s">
        <v>16220</v>
      </c>
      <c r="G3646" t="s">
        <v>16275</v>
      </c>
      <c r="H3646" t="s">
        <v>16276</v>
      </c>
      <c r="I3646" t="s">
        <v>16352</v>
      </c>
      <c r="J3646" t="s">
        <v>16386</v>
      </c>
      <c r="K3646">
        <v>0.152</v>
      </c>
      <c r="L3646">
        <v>6622</v>
      </c>
      <c r="M3646">
        <v>1978</v>
      </c>
      <c r="N3646" t="s">
        <v>16393</v>
      </c>
      <c r="O3646" s="4">
        <v>49444</v>
      </c>
      <c r="P3646" s="4">
        <v>97691</v>
      </c>
      <c r="Q3646" s="4">
        <v>147135</v>
      </c>
      <c r="R3646" s="4">
        <v>441405</v>
      </c>
      <c r="S3646" t="s">
        <v>19958</v>
      </c>
      <c r="T3646" s="6">
        <v>34304</v>
      </c>
      <c r="U3646" s="4">
        <v>173310</v>
      </c>
      <c r="X3646" t="s">
        <v>3</v>
      </c>
      <c r="AA3646" s="5" t="str">
        <f>HYPERLINK("https://www.zillow.com/homes/1111-SELMA-LN-NAPERVILLE-IL-60540_rb/","check listing")</f>
        <v>check listing</v>
      </c>
      <c r="AB3646" s="5" t="str">
        <f>HYPERLINK("https://propertylookup.dupagecounty.gov/Datalets/Datalet.aspx?UseSearch=no&amp;mode=sales&amp;pin=0727205006","sales record")</f>
        <v>sales record</v>
      </c>
      <c r="AC3646" t="s">
        <v>3</v>
      </c>
      <c r="AD3646">
        <v>41.750138</v>
      </c>
      <c r="AE3646">
        <v>-88.189768</v>
      </c>
      <c r="AF3646" s="5" t="str">
        <f>HYPERLINK("https://www.google.com/maps/search/?api=1&amp;query=41.750138,-88.189768","map")</f>
        <v>map</v>
      </c>
    </row>
    <row r="3647" spans="1:32">
      <c r="A3647" t="s">
        <v>3697</v>
      </c>
      <c r="B3647" t="s">
        <v>11230</v>
      </c>
      <c r="C3647" t="s">
        <v>15475</v>
      </c>
      <c r="D3647" t="s">
        <v>16206</v>
      </c>
      <c r="E3647" t="s">
        <v>16218</v>
      </c>
      <c r="F3647" t="s">
        <v>16220</v>
      </c>
      <c r="G3647" t="s">
        <v>16276</v>
      </c>
      <c r="H3647" t="s">
        <v>16276</v>
      </c>
      <c r="I3647" t="s">
        <v>16352</v>
      </c>
      <c r="J3647" t="s">
        <v>16386</v>
      </c>
      <c r="K3647">
        <v>0.152</v>
      </c>
      <c r="L3647">
        <v>6619</v>
      </c>
      <c r="M3647">
        <v>2372</v>
      </c>
      <c r="N3647" t="s">
        <v>16393</v>
      </c>
      <c r="O3647" s="4">
        <v>50993</v>
      </c>
      <c r="P3647" s="4">
        <v>132731</v>
      </c>
      <c r="Q3647" s="4">
        <v>183724</v>
      </c>
      <c r="R3647" s="4">
        <v>551172</v>
      </c>
      <c r="S3647" t="s">
        <v>19959</v>
      </c>
      <c r="T3647" s="6">
        <v>35521</v>
      </c>
      <c r="U3647" s="4">
        <v>207000</v>
      </c>
      <c r="X3647" t="s">
        <v>3</v>
      </c>
      <c r="AA3647" s="5" t="str">
        <f>HYPERLINK("https://www.zillow.com/homes/1024-MEAGAN-CT-NAPERVILLE-IL-60540_rb/","check listing")</f>
        <v>check listing</v>
      </c>
      <c r="AB3647" s="5" t="str">
        <f>HYPERLINK("https://propertylookup.dupagecounty.gov/Datalets/Datalet.aspx?UseSearch=no&amp;mode=sales&amp;pin=0727205046","sales record")</f>
        <v>sales record</v>
      </c>
      <c r="AC3647" t="s">
        <v>3</v>
      </c>
      <c r="AD3647">
        <v>41.751451</v>
      </c>
      <c r="AE3647">
        <v>-88.190338</v>
      </c>
      <c r="AF3647" s="5" t="str">
        <f>HYPERLINK("https://www.google.com/maps/search/?api=1&amp;query=41.751451,-88.190338","map")</f>
        <v>map</v>
      </c>
    </row>
    <row r="3648" spans="1:32">
      <c r="A3648" t="s">
        <v>3698</v>
      </c>
      <c r="B3648" t="s">
        <v>11231</v>
      </c>
      <c r="C3648" t="s">
        <v>15475</v>
      </c>
      <c r="D3648" t="s">
        <v>16206</v>
      </c>
      <c r="E3648" t="s">
        <v>16218</v>
      </c>
      <c r="F3648" t="s">
        <v>16220</v>
      </c>
      <c r="G3648" t="s">
        <v>16275</v>
      </c>
      <c r="H3648" t="s">
        <v>16276</v>
      </c>
      <c r="I3648" t="s">
        <v>16352</v>
      </c>
      <c r="J3648" t="s">
        <v>16386</v>
      </c>
      <c r="K3648">
        <v>0.152</v>
      </c>
      <c r="L3648">
        <v>6614</v>
      </c>
      <c r="M3648">
        <v>2159</v>
      </c>
      <c r="N3648" t="s">
        <v>16393</v>
      </c>
      <c r="O3648" s="4">
        <v>49444</v>
      </c>
      <c r="P3648" s="4">
        <v>96768</v>
      </c>
      <c r="Q3648" s="4">
        <v>146212</v>
      </c>
      <c r="R3648" s="4">
        <v>438636</v>
      </c>
      <c r="S3648" t="s">
        <v>19960</v>
      </c>
      <c r="T3648" s="6">
        <v>41275</v>
      </c>
      <c r="U3648" s="4">
        <v>260000</v>
      </c>
      <c r="V3648" t="s">
        <v>23739</v>
      </c>
      <c r="W3648" t="s">
        <v>25568</v>
      </c>
      <c r="X3648" t="s">
        <v>3</v>
      </c>
      <c r="AA3648" s="5" t="str">
        <f>HYPERLINK("https://www.zillow.com/homes/1115-SELMA-LN-NAPERVILLE-IL-60540_rb/","check listing")</f>
        <v>check listing</v>
      </c>
      <c r="AB3648" s="5" t="str">
        <f>HYPERLINK("https://propertylookup.dupagecounty.gov/Datalets/Datalet.aspx?UseSearch=no&amp;mode=sales&amp;pin=0727205007","sales record")</f>
        <v>sales record</v>
      </c>
      <c r="AC3648" t="s">
        <v>3</v>
      </c>
      <c r="AD3648">
        <v>41.750017</v>
      </c>
      <c r="AE3648">
        <v>-88.189736</v>
      </c>
      <c r="AF3648" s="5" t="str">
        <f>HYPERLINK("https://www.google.com/maps/search/?api=1&amp;query=41.750017,-88.189736","map")</f>
        <v>map</v>
      </c>
    </row>
    <row r="3649" spans="1:32">
      <c r="A3649" t="s">
        <v>3699</v>
      </c>
      <c r="B3649" t="s">
        <v>11232</v>
      </c>
      <c r="C3649" t="s">
        <v>15478</v>
      </c>
      <c r="D3649" t="s">
        <v>16206</v>
      </c>
      <c r="E3649" t="s">
        <v>16218</v>
      </c>
      <c r="F3649" t="s">
        <v>16220</v>
      </c>
      <c r="G3649" t="s">
        <v>16274</v>
      </c>
      <c r="H3649" t="s">
        <v>16269</v>
      </c>
      <c r="I3649" t="s">
        <v>16352</v>
      </c>
      <c r="J3649" t="s">
        <v>16386</v>
      </c>
      <c r="K3649">
        <v>0.152</v>
      </c>
      <c r="L3649">
        <v>6613</v>
      </c>
      <c r="M3649">
        <v>1979</v>
      </c>
      <c r="N3649" t="s">
        <v>16393</v>
      </c>
      <c r="O3649" s="4">
        <v>48576</v>
      </c>
      <c r="P3649" s="4">
        <v>120795</v>
      </c>
      <c r="Q3649" s="4">
        <v>169371</v>
      </c>
      <c r="R3649" s="4">
        <v>508113</v>
      </c>
      <c r="S3649" t="s">
        <v>19961</v>
      </c>
      <c r="T3649" s="6">
        <v>33451</v>
      </c>
      <c r="U3649" s="4">
        <v>181860</v>
      </c>
      <c r="X3649" t="s">
        <v>3</v>
      </c>
      <c r="AA3649" s="5" t="str">
        <f>HYPERLINK("https://www.zillow.com/homes/1635-TERRI-CIR-NAPERVILLE-IL-60563_rb/","check listing")</f>
        <v>check listing</v>
      </c>
      <c r="AB3649" s="5" t="str">
        <f>HYPERLINK("https://propertylookup.dupagecounty.gov/Datalets/Datalet.aspx?UseSearch=no&amp;mode=sales&amp;pin=0715204019","sales record")</f>
        <v>sales record</v>
      </c>
      <c r="AC3649" t="s">
        <v>3</v>
      </c>
      <c r="AD3649">
        <v>41.781644</v>
      </c>
      <c r="AE3649">
        <v>-88.192016</v>
      </c>
      <c r="AF3649" s="5" t="str">
        <f>HYPERLINK("https://www.google.com/maps/search/?api=1&amp;query=41.781644,-88.192016","map")</f>
        <v>map</v>
      </c>
    </row>
    <row r="3650" spans="1:32">
      <c r="A3650" t="s">
        <v>3700</v>
      </c>
      <c r="B3650" t="s">
        <v>11233</v>
      </c>
      <c r="C3650" t="s">
        <v>15475</v>
      </c>
      <c r="D3650" t="s">
        <v>16206</v>
      </c>
      <c r="E3650" t="s">
        <v>16218</v>
      </c>
      <c r="F3650" t="s">
        <v>16220</v>
      </c>
      <c r="G3650" t="s">
        <v>16275</v>
      </c>
      <c r="H3650" t="s">
        <v>16276</v>
      </c>
      <c r="I3650" t="s">
        <v>16352</v>
      </c>
      <c r="J3650" t="s">
        <v>16386</v>
      </c>
      <c r="K3650">
        <v>0.152</v>
      </c>
      <c r="L3650">
        <v>6606</v>
      </c>
      <c r="M3650">
        <v>2011</v>
      </c>
      <c r="N3650" t="s">
        <v>16393</v>
      </c>
      <c r="O3650" s="4">
        <v>49444</v>
      </c>
      <c r="P3650" s="4">
        <v>109383</v>
      </c>
      <c r="Q3650" s="4">
        <v>158827</v>
      </c>
      <c r="R3650" s="4">
        <v>476481</v>
      </c>
      <c r="S3650" t="s">
        <v>19962</v>
      </c>
      <c r="T3650" s="6">
        <v>42156</v>
      </c>
      <c r="U3650" s="4">
        <v>291888</v>
      </c>
      <c r="V3650" t="s">
        <v>23739</v>
      </c>
      <c r="W3650" t="s">
        <v>25569</v>
      </c>
      <c r="X3650" t="s">
        <v>3</v>
      </c>
      <c r="AA3650" s="5" t="str">
        <f>HYPERLINK("https://www.zillow.com/homes/1240-LAKEWOOD-CIR-NAPERVILLE-IL-60540_rb/","check listing")</f>
        <v>check listing</v>
      </c>
      <c r="AB3650" s="5" t="str">
        <f>HYPERLINK("https://propertylookup.dupagecounty.gov/Datalets/Datalet.aspx?UseSearch=no&amp;mode=sales&amp;pin=0727202008","sales record")</f>
        <v>sales record</v>
      </c>
      <c r="AC3650" t="s">
        <v>3</v>
      </c>
      <c r="AD3650">
        <v>41.748285</v>
      </c>
      <c r="AE3650">
        <v>-88.19186500000001</v>
      </c>
      <c r="AF3650" s="5" t="str">
        <f>HYPERLINK("https://www.google.com/maps/search/?api=1&amp;query=41.748285,-88.191865","map")</f>
        <v>map</v>
      </c>
    </row>
    <row r="3651" spans="1:32">
      <c r="A3651" t="s">
        <v>3701</v>
      </c>
      <c r="B3651" t="s">
        <v>11234</v>
      </c>
      <c r="C3651" t="s">
        <v>15478</v>
      </c>
      <c r="D3651" t="s">
        <v>16206</v>
      </c>
      <c r="E3651" t="s">
        <v>16218</v>
      </c>
      <c r="F3651" t="s">
        <v>16220</v>
      </c>
      <c r="G3651" t="s">
        <v>16274</v>
      </c>
      <c r="H3651" t="s">
        <v>16269</v>
      </c>
      <c r="I3651" t="s">
        <v>16352</v>
      </c>
      <c r="J3651" t="s">
        <v>16386</v>
      </c>
      <c r="K3651">
        <v>0.152</v>
      </c>
      <c r="L3651">
        <v>6605</v>
      </c>
      <c r="M3651">
        <v>2120</v>
      </c>
      <c r="N3651" t="s">
        <v>16393</v>
      </c>
      <c r="O3651" s="4">
        <v>48576</v>
      </c>
      <c r="P3651" s="4">
        <v>111177</v>
      </c>
      <c r="Q3651" s="4">
        <v>159753</v>
      </c>
      <c r="R3651" s="4">
        <v>479259</v>
      </c>
      <c r="S3651" t="s">
        <v>19963</v>
      </c>
      <c r="T3651" s="6">
        <v>42339</v>
      </c>
      <c r="U3651" s="4">
        <v>345000</v>
      </c>
      <c r="V3651" t="s">
        <v>23739</v>
      </c>
      <c r="W3651" t="s">
        <v>25570</v>
      </c>
      <c r="X3651" t="s">
        <v>3</v>
      </c>
      <c r="AA3651" s="5" t="str">
        <f>HYPERLINK("https://www.zillow.com/homes/1608-LOIS-ANN-LN-NAPERVILLE-IL-60563_rb/","check listing")</f>
        <v>check listing</v>
      </c>
      <c r="AB3651" s="5" t="str">
        <f>HYPERLINK("https://propertylookup.dupagecounty.gov/Datalets/Datalet.aspx?UseSearch=no&amp;mode=sales&amp;pin=0715204005","sales record")</f>
        <v>sales record</v>
      </c>
      <c r="AC3651" t="s">
        <v>3</v>
      </c>
      <c r="AD3651">
        <v>41.782465</v>
      </c>
      <c r="AE3651">
        <v>-88.191502</v>
      </c>
      <c r="AF3651" s="5" t="str">
        <f>HYPERLINK("https://www.google.com/maps/search/?api=1&amp;query=41.782465,-88.191502","map")</f>
        <v>map</v>
      </c>
    </row>
    <row r="3652" spans="1:32">
      <c r="A3652" t="s">
        <v>3702</v>
      </c>
      <c r="B3652" t="s">
        <v>11235</v>
      </c>
      <c r="C3652" t="s">
        <v>15475</v>
      </c>
      <c r="D3652" t="s">
        <v>16206</v>
      </c>
      <c r="E3652" t="s">
        <v>16218</v>
      </c>
      <c r="F3652" t="s">
        <v>16220</v>
      </c>
      <c r="G3652" t="s">
        <v>16275</v>
      </c>
      <c r="H3652" t="s">
        <v>16276</v>
      </c>
      <c r="I3652" t="s">
        <v>16352</v>
      </c>
      <c r="J3652" t="s">
        <v>16386</v>
      </c>
      <c r="K3652">
        <v>0.152</v>
      </c>
      <c r="L3652">
        <v>6604</v>
      </c>
      <c r="M3652">
        <v>2034</v>
      </c>
      <c r="N3652" t="s">
        <v>16393</v>
      </c>
      <c r="O3652" s="4">
        <v>49444</v>
      </c>
      <c r="P3652" s="4">
        <v>119001</v>
      </c>
      <c r="Q3652" s="4">
        <v>168445</v>
      </c>
      <c r="R3652" s="4">
        <v>505335</v>
      </c>
      <c r="S3652" t="s">
        <v>19964</v>
      </c>
      <c r="T3652" s="6">
        <v>37408</v>
      </c>
      <c r="U3652" s="4">
        <v>248500</v>
      </c>
      <c r="V3652" t="s">
        <v>23739</v>
      </c>
      <c r="W3652" t="s">
        <v>19964</v>
      </c>
      <c r="X3652" t="s">
        <v>3</v>
      </c>
      <c r="AA3652" s="5" t="str">
        <f>HYPERLINK("https://www.zillow.com/homes/1244-LAKEWOOD-CIR-NAPERVILLE-IL-60540_rb/","check listing")</f>
        <v>check listing</v>
      </c>
      <c r="AB3652" s="5" t="str">
        <f>HYPERLINK("https://propertylookup.dupagecounty.gov/Datalets/Datalet.aspx?UseSearch=no&amp;mode=sales&amp;pin=0727202009","sales record")</f>
        <v>sales record</v>
      </c>
      <c r="AC3652" t="s">
        <v>3</v>
      </c>
      <c r="AD3652">
        <v>41.748283</v>
      </c>
      <c r="AE3652">
        <v>-88.19208500000001</v>
      </c>
      <c r="AF3652" s="5" t="str">
        <f>HYPERLINK("https://www.google.com/maps/search/?api=1&amp;query=41.748283,-88.192085","map")</f>
        <v>map</v>
      </c>
    </row>
    <row r="3653" spans="1:32">
      <c r="A3653" t="s">
        <v>3703</v>
      </c>
      <c r="B3653" t="s">
        <v>11236</v>
      </c>
      <c r="C3653" t="s">
        <v>15475</v>
      </c>
      <c r="D3653" t="s">
        <v>16206</v>
      </c>
      <c r="E3653" t="s">
        <v>16218</v>
      </c>
      <c r="F3653" t="s">
        <v>16220</v>
      </c>
      <c r="G3653" t="s">
        <v>16276</v>
      </c>
      <c r="H3653" t="s">
        <v>16276</v>
      </c>
      <c r="I3653" t="s">
        <v>16352</v>
      </c>
      <c r="J3653" t="s">
        <v>16386</v>
      </c>
      <c r="K3653">
        <v>0.152</v>
      </c>
      <c r="L3653">
        <v>6603</v>
      </c>
      <c r="M3653">
        <v>1979</v>
      </c>
      <c r="N3653" t="s">
        <v>16393</v>
      </c>
      <c r="O3653" s="4">
        <v>49444</v>
      </c>
      <c r="P3653" s="4">
        <v>100045</v>
      </c>
      <c r="Q3653" s="4">
        <v>149489</v>
      </c>
      <c r="R3653" s="4">
        <v>448467</v>
      </c>
      <c r="S3653" t="s">
        <v>19965</v>
      </c>
      <c r="T3653" s="6">
        <v>41061</v>
      </c>
      <c r="U3653" s="4">
        <v>293000</v>
      </c>
      <c r="V3653" t="s">
        <v>23739</v>
      </c>
      <c r="W3653" t="s">
        <v>19965</v>
      </c>
      <c r="X3653" t="s">
        <v>3</v>
      </c>
      <c r="AA3653" s="5" t="str">
        <f>HYPERLINK("https://www.zillow.com/homes/919-LOWELL-LN-NAPERVILLE-IL-60540_rb/","check listing")</f>
        <v>check listing</v>
      </c>
      <c r="AB3653" s="5" t="str">
        <f>HYPERLINK("https://propertylookup.dupagecounty.gov/Datalets/Datalet.aspx?UseSearch=no&amp;mode=sales&amp;pin=0727209026","sales record")</f>
        <v>sales record</v>
      </c>
      <c r="AC3653" t="s">
        <v>3</v>
      </c>
      <c r="AD3653">
        <v>41.753724</v>
      </c>
      <c r="AE3653">
        <v>-88.189902</v>
      </c>
      <c r="AF3653" s="5" t="str">
        <f>HYPERLINK("https://www.google.com/maps/search/?api=1&amp;query=41.753724,-88.189902","map")</f>
        <v>map</v>
      </c>
    </row>
    <row r="3654" spans="1:32">
      <c r="A3654" t="s">
        <v>3704</v>
      </c>
      <c r="B3654" t="s">
        <v>11237</v>
      </c>
      <c r="C3654" t="s">
        <v>15526</v>
      </c>
      <c r="D3654" t="s">
        <v>16206</v>
      </c>
      <c r="E3654" t="s">
        <v>16218</v>
      </c>
      <c r="F3654" t="s">
        <v>16220</v>
      </c>
      <c r="G3654" t="s">
        <v>16269</v>
      </c>
      <c r="H3654" t="s">
        <v>16269</v>
      </c>
      <c r="I3654" t="s">
        <v>16352</v>
      </c>
      <c r="J3654" t="s">
        <v>16386</v>
      </c>
      <c r="K3654">
        <v>0.152</v>
      </c>
      <c r="L3654">
        <v>6603</v>
      </c>
      <c r="N3654" t="s">
        <v>16393</v>
      </c>
      <c r="O3654" s="4">
        <v>28041</v>
      </c>
      <c r="P3654" s="4">
        <v>179623</v>
      </c>
      <c r="Q3654" s="4">
        <v>207664</v>
      </c>
      <c r="R3654" s="4">
        <v>622992</v>
      </c>
      <c r="S3654" t="s">
        <v>19966</v>
      </c>
      <c r="T3654" s="6">
        <v>43770</v>
      </c>
      <c r="U3654" s="4">
        <v>501000</v>
      </c>
      <c r="V3654" t="s">
        <v>23739</v>
      </c>
      <c r="W3654" t="s">
        <v>25571</v>
      </c>
      <c r="X3654" t="s">
        <v>3</v>
      </c>
      <c r="AA3654" s="5" t="str">
        <f>HYPERLINK("https://www.zillow.com/homes/611-BOURBON-CT-NAPERVILLE-IL-605652402_rb/","check listing")</f>
        <v>check listing</v>
      </c>
      <c r="AB3654" s="5" t="str">
        <f>HYPERLINK("https://propertylookup.dupagecounty.gov/Datalets/Datalet.aspx?UseSearch=no&amp;mode=sales&amp;pin=0832104063","sales record")</f>
        <v>sales record</v>
      </c>
      <c r="AC3654" t="s">
        <v>3</v>
      </c>
      <c r="AD3654">
        <v>41.736673</v>
      </c>
      <c r="AE3654">
        <v>-88.119525</v>
      </c>
      <c r="AF3654" s="5" t="str">
        <f>HYPERLINK("https://www.google.com/maps/search/?api=1&amp;query=41.736673,-88.119525","map")</f>
        <v>map</v>
      </c>
    </row>
    <row r="3655" spans="1:32">
      <c r="A3655" t="s">
        <v>3705</v>
      </c>
      <c r="B3655" t="s">
        <v>11238</v>
      </c>
      <c r="C3655" t="s">
        <v>15478</v>
      </c>
      <c r="D3655" t="s">
        <v>16206</v>
      </c>
      <c r="E3655" t="s">
        <v>16218</v>
      </c>
      <c r="F3655" t="s">
        <v>16220</v>
      </c>
      <c r="G3655" t="s">
        <v>16274</v>
      </c>
      <c r="H3655" t="s">
        <v>16269</v>
      </c>
      <c r="I3655" t="s">
        <v>16352</v>
      </c>
      <c r="J3655" t="s">
        <v>16386</v>
      </c>
      <c r="K3655">
        <v>0.152</v>
      </c>
      <c r="L3655">
        <v>6602</v>
      </c>
      <c r="M3655">
        <v>2146</v>
      </c>
      <c r="N3655" t="s">
        <v>16393</v>
      </c>
      <c r="O3655" s="4">
        <v>48576</v>
      </c>
      <c r="P3655" s="4">
        <v>114912</v>
      </c>
      <c r="Q3655" s="4">
        <v>163488</v>
      </c>
      <c r="R3655" s="4">
        <v>490464</v>
      </c>
      <c r="S3655" t="s">
        <v>19967</v>
      </c>
      <c r="T3655" s="6">
        <v>41548</v>
      </c>
      <c r="U3655" s="4">
        <v>312900</v>
      </c>
      <c r="V3655" t="s">
        <v>23739</v>
      </c>
      <c r="W3655" t="s">
        <v>25572</v>
      </c>
      <c r="X3655" t="s">
        <v>3</v>
      </c>
      <c r="AA3655" s="5" t="str">
        <f>HYPERLINK("https://www.zillow.com/homes/1598-LOIS-ANN-LN-NAPERVILLE-IL-60563_rb/","check listing")</f>
        <v>check listing</v>
      </c>
      <c r="AB3655" s="5" t="str">
        <f>HYPERLINK("https://propertylookup.dupagecounty.gov/Datalets/Datalet.aspx?UseSearch=no&amp;mode=sales&amp;pin=0715204003","sales record")</f>
        <v>sales record</v>
      </c>
      <c r="AC3655" t="s">
        <v>3</v>
      </c>
      <c r="AD3655">
        <v>41.782571</v>
      </c>
      <c r="AE3655">
        <v>-88.19107099999999</v>
      </c>
      <c r="AF3655" s="5" t="str">
        <f>HYPERLINK("https://www.google.com/maps/search/?api=1&amp;query=41.782571,-88.191071","map")</f>
        <v>map</v>
      </c>
    </row>
    <row r="3656" spans="1:32">
      <c r="A3656" t="s">
        <v>3706</v>
      </c>
      <c r="B3656" t="s">
        <v>11239</v>
      </c>
      <c r="C3656" t="s">
        <v>15475</v>
      </c>
      <c r="D3656" t="s">
        <v>16206</v>
      </c>
      <c r="E3656" t="s">
        <v>16218</v>
      </c>
      <c r="F3656" t="s">
        <v>16220</v>
      </c>
      <c r="G3656" t="s">
        <v>16275</v>
      </c>
      <c r="H3656" t="s">
        <v>16276</v>
      </c>
      <c r="I3656" t="s">
        <v>16352</v>
      </c>
      <c r="J3656" t="s">
        <v>16386</v>
      </c>
      <c r="K3656">
        <v>0.152</v>
      </c>
      <c r="L3656">
        <v>6601</v>
      </c>
      <c r="M3656">
        <v>1863</v>
      </c>
      <c r="N3656" t="s">
        <v>16393</v>
      </c>
      <c r="O3656" s="4">
        <v>49444</v>
      </c>
      <c r="P3656" s="4">
        <v>117731</v>
      </c>
      <c r="Q3656" s="4">
        <v>167175</v>
      </c>
      <c r="R3656" s="4">
        <v>501525</v>
      </c>
      <c r="S3656" t="s">
        <v>19968</v>
      </c>
      <c r="T3656" s="6">
        <v>38869</v>
      </c>
      <c r="U3656" s="4">
        <v>330000</v>
      </c>
      <c r="V3656" t="s">
        <v>23739</v>
      </c>
      <c r="W3656" t="s">
        <v>19968</v>
      </c>
      <c r="X3656" t="s">
        <v>3</v>
      </c>
      <c r="AA3656" s="5" t="str">
        <f>HYPERLINK("https://www.zillow.com/homes/1248-LAKEWOOD-CIR-NAPERVILLE-IL-60540_rb/","check listing")</f>
        <v>check listing</v>
      </c>
      <c r="AB3656" s="5" t="str">
        <f>HYPERLINK("https://propertylookup.dupagecounty.gov/Datalets/Datalet.aspx?UseSearch=no&amp;mode=sales&amp;pin=0727202010","sales record")</f>
        <v>sales record</v>
      </c>
      <c r="AC3656" t="s">
        <v>3</v>
      </c>
      <c r="AD3656">
        <v>41.748281</v>
      </c>
      <c r="AE3656">
        <v>-88.192305</v>
      </c>
      <c r="AF3656" s="5" t="str">
        <f>HYPERLINK("https://www.google.com/maps/search/?api=1&amp;query=41.748281,-88.192305","map")</f>
        <v>map</v>
      </c>
    </row>
    <row r="3657" spans="1:32">
      <c r="A3657" t="s">
        <v>3707</v>
      </c>
      <c r="B3657" t="s">
        <v>11240</v>
      </c>
      <c r="C3657" t="s">
        <v>15475</v>
      </c>
      <c r="D3657" t="s">
        <v>16206</v>
      </c>
      <c r="E3657" t="s">
        <v>16218</v>
      </c>
      <c r="F3657" t="s">
        <v>16220</v>
      </c>
      <c r="G3657" t="s">
        <v>16275</v>
      </c>
      <c r="H3657" t="s">
        <v>16276</v>
      </c>
      <c r="I3657" t="s">
        <v>16352</v>
      </c>
      <c r="J3657" t="s">
        <v>16386</v>
      </c>
      <c r="K3657">
        <v>0.152</v>
      </c>
      <c r="L3657">
        <v>6600</v>
      </c>
      <c r="M3657">
        <v>1979</v>
      </c>
      <c r="N3657" t="s">
        <v>16393</v>
      </c>
      <c r="O3657" s="4">
        <v>49444</v>
      </c>
      <c r="P3657" s="4">
        <v>121381</v>
      </c>
      <c r="Q3657" s="4">
        <v>170825</v>
      </c>
      <c r="R3657" s="4">
        <v>512475</v>
      </c>
      <c r="S3657" t="s">
        <v>19969</v>
      </c>
      <c r="T3657" s="6">
        <v>34394</v>
      </c>
      <c r="U3657" s="4">
        <v>190465</v>
      </c>
      <c r="X3657" t="s">
        <v>3</v>
      </c>
      <c r="AA3657" s="5" t="str">
        <f>HYPERLINK("https://www.zillow.com/homes/1276-LAKEWOOD-CIR-NAPERVILLE-IL-60540_rb/","check listing")</f>
        <v>check listing</v>
      </c>
      <c r="AB3657" s="5" t="str">
        <f>HYPERLINK("https://propertylookup.dupagecounty.gov/Datalets/Datalet.aspx?UseSearch=no&amp;mode=sales&amp;pin=0727202013","sales record")</f>
        <v>sales record</v>
      </c>
      <c r="AC3657" t="s">
        <v>3</v>
      </c>
      <c r="AD3657">
        <v>41.74857</v>
      </c>
      <c r="AE3657">
        <v>-88.192853</v>
      </c>
      <c r="AF3657" s="5" t="str">
        <f>HYPERLINK("https://www.google.com/maps/search/?api=1&amp;query=41.74857,-88.192853","map")</f>
        <v>map</v>
      </c>
    </row>
    <row r="3658" spans="1:32">
      <c r="A3658" t="s">
        <v>3708</v>
      </c>
      <c r="B3658" t="s">
        <v>11241</v>
      </c>
      <c r="C3658" t="s">
        <v>15475</v>
      </c>
      <c r="D3658" t="s">
        <v>16206</v>
      </c>
      <c r="E3658" t="s">
        <v>16218</v>
      </c>
      <c r="F3658" t="s">
        <v>16220</v>
      </c>
      <c r="G3658" t="s">
        <v>16275</v>
      </c>
      <c r="H3658" t="s">
        <v>16276</v>
      </c>
      <c r="I3658" t="s">
        <v>16352</v>
      </c>
      <c r="J3658" t="s">
        <v>16386</v>
      </c>
      <c r="K3658">
        <v>0.152</v>
      </c>
      <c r="L3658">
        <v>6600</v>
      </c>
      <c r="M3658">
        <v>2470</v>
      </c>
      <c r="N3658" t="s">
        <v>16393</v>
      </c>
      <c r="O3658" s="4">
        <v>49444</v>
      </c>
      <c r="P3658" s="4">
        <v>132401</v>
      </c>
      <c r="Q3658" s="4">
        <v>181845</v>
      </c>
      <c r="R3658" s="4">
        <v>545535</v>
      </c>
      <c r="S3658" t="s">
        <v>19970</v>
      </c>
      <c r="T3658" s="6">
        <v>34425</v>
      </c>
      <c r="U3658" s="4">
        <v>201790</v>
      </c>
      <c r="X3658" t="s">
        <v>3</v>
      </c>
      <c r="AA3658" s="5" t="str">
        <f>HYPERLINK("https://www.zillow.com/homes/1280-LAKEWOOD-CIR-NAPERVILLE-IL-60540_rb/","check listing")</f>
        <v>check listing</v>
      </c>
      <c r="AB3658" s="5" t="str">
        <f>HYPERLINK("https://propertylookup.dupagecounty.gov/Datalets/Datalet.aspx?UseSearch=no&amp;mode=sales&amp;pin=0727202014","sales record")</f>
        <v>sales record</v>
      </c>
      <c r="AC3658" t="s">
        <v>3</v>
      </c>
      <c r="AD3658">
        <v>41.748722</v>
      </c>
      <c r="AE3658">
        <v>-88.19293999999999</v>
      </c>
      <c r="AF3658" s="5" t="str">
        <f>HYPERLINK("https://www.google.com/maps/search/?api=1&amp;query=41.748722,-88.19294","map")</f>
        <v>map</v>
      </c>
    </row>
    <row r="3659" spans="1:32">
      <c r="A3659" t="s">
        <v>3709</v>
      </c>
      <c r="B3659" t="s">
        <v>11242</v>
      </c>
      <c r="C3659" t="s">
        <v>15476</v>
      </c>
      <c r="D3659" t="s">
        <v>16206</v>
      </c>
      <c r="E3659" t="s">
        <v>16218</v>
      </c>
      <c r="F3659" t="s">
        <v>16220</v>
      </c>
      <c r="G3659" t="s">
        <v>16269</v>
      </c>
      <c r="H3659" t="s">
        <v>16269</v>
      </c>
      <c r="I3659" t="s">
        <v>16352</v>
      </c>
      <c r="J3659" t="s">
        <v>16386</v>
      </c>
      <c r="K3659">
        <v>0.151</v>
      </c>
      <c r="L3659">
        <v>6599</v>
      </c>
      <c r="M3659">
        <v>1845</v>
      </c>
      <c r="N3659" t="s">
        <v>16393</v>
      </c>
      <c r="O3659" s="4">
        <v>71707</v>
      </c>
      <c r="P3659" s="4">
        <v>87593</v>
      </c>
      <c r="Q3659" s="4">
        <v>159300</v>
      </c>
      <c r="R3659" s="4">
        <v>477900</v>
      </c>
      <c r="S3659" t="s">
        <v>19971</v>
      </c>
      <c r="T3659" s="6">
        <v>35827</v>
      </c>
      <c r="U3659" s="4">
        <v>172500</v>
      </c>
      <c r="X3659" t="s">
        <v>3</v>
      </c>
      <c r="AA3659" s="5" t="str">
        <f>HYPERLINK("https://www.zillow.com/homes/511-URSULINE-AVE-NAPERVILLE-IL-60565_rb/","check listing")</f>
        <v>check listing</v>
      </c>
      <c r="AB3659" s="5" t="str">
        <f>HYPERLINK("https://propertylookup.dupagecounty.gov/Datalets/Datalet.aspx?UseSearch=no&amp;mode=sales&amp;pin=0832116001","sales record")</f>
        <v>sales record</v>
      </c>
      <c r="AC3659" t="s">
        <v>3</v>
      </c>
      <c r="AD3659">
        <v>41.735234</v>
      </c>
      <c r="AE3659">
        <v>-88.11873</v>
      </c>
      <c r="AF3659" s="5" t="str">
        <f>HYPERLINK("https://www.google.com/maps/search/?api=1&amp;query=41.735234,-88.11873","map")</f>
        <v>map</v>
      </c>
    </row>
    <row r="3660" spans="1:32">
      <c r="A3660" t="s">
        <v>3710</v>
      </c>
      <c r="B3660" t="s">
        <v>11243</v>
      </c>
      <c r="C3660" t="s">
        <v>15566</v>
      </c>
      <c r="D3660" t="s">
        <v>16206</v>
      </c>
      <c r="E3660" t="s">
        <v>16218</v>
      </c>
      <c r="F3660" t="s">
        <v>16220</v>
      </c>
      <c r="G3660" t="s">
        <v>16275</v>
      </c>
      <c r="H3660" t="s">
        <v>16276</v>
      </c>
      <c r="I3660" t="s">
        <v>16352</v>
      </c>
      <c r="J3660" t="s">
        <v>16386</v>
      </c>
      <c r="K3660">
        <v>0.151</v>
      </c>
      <c r="L3660">
        <v>6590</v>
      </c>
      <c r="M3660">
        <v>2210</v>
      </c>
      <c r="N3660" t="s">
        <v>16393</v>
      </c>
      <c r="O3660" s="4">
        <v>49444</v>
      </c>
      <c r="P3660" s="4">
        <v>134038</v>
      </c>
      <c r="Q3660" s="4">
        <v>183482</v>
      </c>
      <c r="R3660" s="4">
        <v>550446</v>
      </c>
      <c r="S3660" t="s">
        <v>19972</v>
      </c>
      <c r="T3660" s="6">
        <v>34394</v>
      </c>
      <c r="U3660" s="4">
        <v>195595</v>
      </c>
      <c r="X3660" t="s">
        <v>3</v>
      </c>
      <c r="AA3660" s="5" t="str">
        <f>HYPERLINK("https://www.zillow.com/homes/1236-LAKEWOOD-CIR-NAPERVILLE-IL-605400996_rb/","check listing")</f>
        <v>check listing</v>
      </c>
      <c r="AB3660" s="5" t="str">
        <f>HYPERLINK("https://propertylookup.dupagecounty.gov/Datalets/Datalet.aspx?UseSearch=no&amp;mode=sales&amp;pin=0727202007","sales record")</f>
        <v>sales record</v>
      </c>
      <c r="AC3660" t="s">
        <v>3</v>
      </c>
      <c r="AD3660">
        <v>41.748287</v>
      </c>
      <c r="AE3660">
        <v>-88.19164499999999</v>
      </c>
      <c r="AF3660" s="5" t="str">
        <f>HYPERLINK("https://www.google.com/maps/search/?api=1&amp;query=41.748287,-88.191645","map")</f>
        <v>map</v>
      </c>
    </row>
    <row r="3661" spans="1:32">
      <c r="A3661" t="s">
        <v>3711</v>
      </c>
      <c r="B3661" t="s">
        <v>11244</v>
      </c>
      <c r="C3661" t="s">
        <v>15475</v>
      </c>
      <c r="D3661" t="s">
        <v>16206</v>
      </c>
      <c r="E3661" t="s">
        <v>16218</v>
      </c>
      <c r="F3661" t="s">
        <v>16220</v>
      </c>
      <c r="G3661" t="s">
        <v>16275</v>
      </c>
      <c r="H3661" t="s">
        <v>16276</v>
      </c>
      <c r="I3661" t="s">
        <v>16352</v>
      </c>
      <c r="J3661" t="s">
        <v>16386</v>
      </c>
      <c r="K3661">
        <v>0.151</v>
      </c>
      <c r="L3661">
        <v>6585</v>
      </c>
      <c r="M3661">
        <v>1814</v>
      </c>
      <c r="N3661" t="s">
        <v>16393</v>
      </c>
      <c r="O3661" s="4">
        <v>43255</v>
      </c>
      <c r="P3661" s="4">
        <v>98813</v>
      </c>
      <c r="Q3661" s="4">
        <v>142068</v>
      </c>
      <c r="R3661" s="4">
        <v>426204</v>
      </c>
      <c r="S3661" t="s">
        <v>19973</v>
      </c>
      <c r="T3661" s="6">
        <v>34516</v>
      </c>
      <c r="U3661" s="4">
        <v>164050</v>
      </c>
      <c r="X3661" t="s">
        <v>3</v>
      </c>
      <c r="AA3661" s="5" t="str">
        <f>HYPERLINK("https://www.zillow.com/homes/2007-CROSSING-LN-NAPERVILLE-IL-60540_rb/","check listing")</f>
        <v>check listing</v>
      </c>
      <c r="AB3661" s="5" t="str">
        <f>HYPERLINK("https://propertylookup.dupagecounty.gov/Datalets/Datalet.aspx?UseSearch=no&amp;mode=sales&amp;pin=0727203020","sales record")</f>
        <v>sales record</v>
      </c>
      <c r="AC3661" t="s">
        <v>3</v>
      </c>
      <c r="AD3661">
        <v>41.749788</v>
      </c>
      <c r="AE3661">
        <v>-88.186779</v>
      </c>
      <c r="AF3661" s="5" t="str">
        <f>HYPERLINK("https://www.google.com/maps/search/?api=1&amp;query=41.749788,-88.186779","map")</f>
        <v>map</v>
      </c>
    </row>
    <row r="3662" spans="1:32">
      <c r="A3662" t="s">
        <v>3712</v>
      </c>
      <c r="B3662" t="s">
        <v>11245</v>
      </c>
      <c r="C3662" t="s">
        <v>15475</v>
      </c>
      <c r="D3662" t="s">
        <v>16206</v>
      </c>
      <c r="E3662" t="s">
        <v>16218</v>
      </c>
      <c r="F3662" t="s">
        <v>16220</v>
      </c>
      <c r="G3662" t="s">
        <v>16276</v>
      </c>
      <c r="H3662" t="s">
        <v>16276</v>
      </c>
      <c r="I3662" t="s">
        <v>16352</v>
      </c>
      <c r="J3662" t="s">
        <v>16386</v>
      </c>
      <c r="K3662">
        <v>0.151</v>
      </c>
      <c r="L3662">
        <v>6579</v>
      </c>
      <c r="M3662">
        <v>1995</v>
      </c>
      <c r="N3662" t="s">
        <v>16393</v>
      </c>
      <c r="O3662" s="4">
        <v>49444</v>
      </c>
      <c r="P3662" s="4">
        <v>128313</v>
      </c>
      <c r="Q3662" s="4">
        <v>177757</v>
      </c>
      <c r="R3662" s="4">
        <v>533271</v>
      </c>
      <c r="S3662" t="s">
        <v>19974</v>
      </c>
      <c r="T3662" s="6">
        <v>39539</v>
      </c>
      <c r="U3662" s="4">
        <v>327000</v>
      </c>
      <c r="V3662" t="s">
        <v>23739</v>
      </c>
      <c r="W3662" t="s">
        <v>25573</v>
      </c>
      <c r="X3662" t="s">
        <v>3</v>
      </c>
      <c r="AA3662" s="5" t="str">
        <f>HYPERLINK("https://www.zillow.com/homes/1008-MEAGAN-CT-NAPERVILLE-IL-60540_rb/","check listing")</f>
        <v>check listing</v>
      </c>
      <c r="AB3662" s="5" t="str">
        <f>HYPERLINK("https://propertylookup.dupagecounty.gov/Datalets/Datalet.aspx?UseSearch=no&amp;mode=sales&amp;pin=0727205042","sales record")</f>
        <v>sales record</v>
      </c>
      <c r="AC3662" t="s">
        <v>3</v>
      </c>
      <c r="AD3662">
        <v>41.752142</v>
      </c>
      <c r="AE3662">
        <v>-88.190524</v>
      </c>
      <c r="AF3662" s="5" t="str">
        <f>HYPERLINK("https://www.google.com/maps/search/?api=1&amp;query=41.752142,-88.190524","map")</f>
        <v>map</v>
      </c>
    </row>
    <row r="3663" spans="1:32">
      <c r="A3663" t="s">
        <v>3713</v>
      </c>
      <c r="B3663" t="s">
        <v>11246</v>
      </c>
      <c r="C3663" t="s">
        <v>15478</v>
      </c>
      <c r="D3663" t="s">
        <v>16206</v>
      </c>
      <c r="E3663" t="s">
        <v>16218</v>
      </c>
      <c r="F3663" t="s">
        <v>16220</v>
      </c>
      <c r="G3663" t="s">
        <v>16274</v>
      </c>
      <c r="H3663" t="s">
        <v>16269</v>
      </c>
      <c r="I3663" t="s">
        <v>16352</v>
      </c>
      <c r="J3663" t="s">
        <v>16386</v>
      </c>
      <c r="K3663">
        <v>0.151</v>
      </c>
      <c r="L3663">
        <v>6579</v>
      </c>
      <c r="M3663">
        <v>2080</v>
      </c>
      <c r="N3663" t="s">
        <v>16393</v>
      </c>
      <c r="O3663" s="4">
        <v>48576</v>
      </c>
      <c r="P3663" s="4">
        <v>124615</v>
      </c>
      <c r="Q3663" s="4">
        <v>173191</v>
      </c>
      <c r="R3663" s="4">
        <v>519573</v>
      </c>
      <c r="S3663" t="s">
        <v>19975</v>
      </c>
      <c r="T3663" s="6">
        <v>37865</v>
      </c>
      <c r="U3663" s="4">
        <v>307500</v>
      </c>
      <c r="V3663" t="s">
        <v>23739</v>
      </c>
      <c r="W3663" t="s">
        <v>25574</v>
      </c>
      <c r="X3663" t="s">
        <v>3</v>
      </c>
      <c r="AA3663" s="5" t="str">
        <f>HYPERLINK("https://www.zillow.com/homes/1594-LOIS-ANN-LN-NAPERVILLE-IL-60563_rb/","check listing")</f>
        <v>check listing</v>
      </c>
      <c r="AB3663" s="5" t="str">
        <f>HYPERLINK("https://propertylookup.dupagecounty.gov/Datalets/Datalet.aspx?UseSearch=no&amp;mode=sales&amp;pin=0715204002","sales record")</f>
        <v>sales record</v>
      </c>
      <c r="AC3663" t="s">
        <v>3</v>
      </c>
      <c r="AD3663">
        <v>41.782612</v>
      </c>
      <c r="AE3663">
        <v>-88.190856</v>
      </c>
      <c r="AF3663" s="5" t="str">
        <f>HYPERLINK("https://www.google.com/maps/search/?api=1&amp;query=41.782612,-88.190856","map")</f>
        <v>map</v>
      </c>
    </row>
    <row r="3664" spans="1:32">
      <c r="A3664" t="s">
        <v>3714</v>
      </c>
      <c r="B3664" t="s">
        <v>11247</v>
      </c>
      <c r="C3664" t="s">
        <v>15475</v>
      </c>
      <c r="D3664" t="s">
        <v>16206</v>
      </c>
      <c r="E3664" t="s">
        <v>16218</v>
      </c>
      <c r="F3664" t="s">
        <v>16220</v>
      </c>
      <c r="G3664" t="s">
        <v>16276</v>
      </c>
      <c r="H3664" t="s">
        <v>16276</v>
      </c>
      <c r="I3664" t="s">
        <v>16352</v>
      </c>
      <c r="J3664" t="s">
        <v>16386</v>
      </c>
      <c r="K3664">
        <v>0.151</v>
      </c>
      <c r="L3664">
        <v>6578</v>
      </c>
      <c r="M3664">
        <v>1451</v>
      </c>
      <c r="N3664" t="s">
        <v>16393</v>
      </c>
      <c r="O3664" s="4">
        <v>49444</v>
      </c>
      <c r="P3664" s="4">
        <v>121442</v>
      </c>
      <c r="Q3664" s="4">
        <v>170886</v>
      </c>
      <c r="R3664" s="4">
        <v>512658</v>
      </c>
      <c r="S3664" t="s">
        <v>19976</v>
      </c>
      <c r="T3664" s="6">
        <v>41760</v>
      </c>
      <c r="U3664" s="4">
        <v>313000</v>
      </c>
      <c r="V3664" t="s">
        <v>23739</v>
      </c>
      <c r="W3664" t="s">
        <v>25575</v>
      </c>
      <c r="X3664" t="s">
        <v>3</v>
      </c>
      <c r="AA3664" s="5" t="str">
        <f>HYPERLINK("https://www.zillow.com/homes/1083-SELMA-LN-NAPERVILLE-IL-60540_rb/","check listing")</f>
        <v>check listing</v>
      </c>
      <c r="AB3664" s="5" t="str">
        <f>HYPERLINK("https://propertylookup.dupagecounty.gov/Datalets/Datalet.aspx?UseSearch=no&amp;mode=sales&amp;pin=0727205032","sales record")</f>
        <v>sales record</v>
      </c>
      <c r="AC3664" t="s">
        <v>3</v>
      </c>
      <c r="AD3664">
        <v>41.751101</v>
      </c>
      <c r="AE3664">
        <v>-88.189981</v>
      </c>
      <c r="AF3664" s="5" t="str">
        <f>HYPERLINK("https://www.google.com/maps/search/?api=1&amp;query=41.751101,-88.189981","map")</f>
        <v>map</v>
      </c>
    </row>
    <row r="3665" spans="1:32">
      <c r="A3665" t="s">
        <v>3715</v>
      </c>
      <c r="B3665" t="s">
        <v>11248</v>
      </c>
      <c r="C3665" t="s">
        <v>15475</v>
      </c>
      <c r="D3665" t="s">
        <v>16206</v>
      </c>
      <c r="E3665" t="s">
        <v>16218</v>
      </c>
      <c r="F3665" t="s">
        <v>16220</v>
      </c>
      <c r="G3665" t="s">
        <v>16275</v>
      </c>
      <c r="H3665" t="s">
        <v>16276</v>
      </c>
      <c r="I3665" t="s">
        <v>16352</v>
      </c>
      <c r="J3665" t="s">
        <v>16386</v>
      </c>
      <c r="K3665">
        <v>0.151</v>
      </c>
      <c r="L3665">
        <v>6578</v>
      </c>
      <c r="M3665">
        <v>1785</v>
      </c>
      <c r="N3665" t="s">
        <v>16393</v>
      </c>
      <c r="O3665" s="4">
        <v>49444</v>
      </c>
      <c r="P3665" s="4">
        <v>96530</v>
      </c>
      <c r="Q3665" s="4">
        <v>145974</v>
      </c>
      <c r="R3665" s="4">
        <v>437922</v>
      </c>
      <c r="S3665" t="s">
        <v>19977</v>
      </c>
      <c r="T3665" s="6">
        <v>40603</v>
      </c>
      <c r="U3665" s="4">
        <v>183000</v>
      </c>
      <c r="V3665" t="s">
        <v>16232</v>
      </c>
      <c r="W3665" t="s">
        <v>25576</v>
      </c>
      <c r="X3665" t="s">
        <v>3</v>
      </c>
      <c r="AA3665" s="5" t="str">
        <f>HYPERLINK("https://www.zillow.com/homes/1131-LAKEWOOD-CIR-NAPERVILLE-IL-60540_rb/","check listing")</f>
        <v>check listing</v>
      </c>
      <c r="AB3665" s="5" t="str">
        <f>HYPERLINK("https://propertylookup.dupagecounty.gov/Datalets/Datalet.aspx?UseSearch=no&amp;mode=sales&amp;pin=0727205025","sales record")</f>
        <v>sales record</v>
      </c>
      <c r="AC3665" t="s">
        <v>3</v>
      </c>
      <c r="AD3665">
        <v>41.750861</v>
      </c>
      <c r="AE3665">
        <v>-88.191147</v>
      </c>
      <c r="AF3665" s="5" t="str">
        <f>HYPERLINK("https://www.google.com/maps/search/?api=1&amp;query=41.750861,-88.191147","map")</f>
        <v>map</v>
      </c>
    </row>
    <row r="3666" spans="1:32">
      <c r="A3666" t="s">
        <v>3716</v>
      </c>
      <c r="B3666" t="s">
        <v>11249</v>
      </c>
      <c r="C3666" t="s">
        <v>15604</v>
      </c>
      <c r="D3666" t="s">
        <v>16206</v>
      </c>
      <c r="E3666" t="s">
        <v>16218</v>
      </c>
      <c r="F3666" t="s">
        <v>16220</v>
      </c>
      <c r="G3666" t="s">
        <v>16274</v>
      </c>
      <c r="H3666" t="s">
        <v>16269</v>
      </c>
      <c r="I3666" t="s">
        <v>16352</v>
      </c>
      <c r="J3666" t="s">
        <v>16386</v>
      </c>
      <c r="K3666">
        <v>0.151</v>
      </c>
      <c r="L3666">
        <v>6572</v>
      </c>
      <c r="M3666">
        <v>2085</v>
      </c>
      <c r="N3666" t="s">
        <v>16393</v>
      </c>
      <c r="O3666" s="4">
        <v>48576</v>
      </c>
      <c r="P3666" s="4">
        <v>95921</v>
      </c>
      <c r="Q3666" s="4">
        <v>144497</v>
      </c>
      <c r="R3666" s="4">
        <v>433491</v>
      </c>
      <c r="S3666" t="s">
        <v>19978</v>
      </c>
      <c r="T3666" s="6">
        <v>45835</v>
      </c>
      <c r="U3666" s="4">
        <v>457000</v>
      </c>
      <c r="V3666" t="s">
        <v>23739</v>
      </c>
      <c r="W3666" t="s">
        <v>25577</v>
      </c>
      <c r="X3666" t="s">
        <v>3</v>
      </c>
      <c r="AA3666" s="5" t="str">
        <f>HYPERLINK("https://www.zillow.com/homes/1607-TERRI-CIR-NAPERVILLE-IL-605630454_rb/","check listing")</f>
        <v>check listing</v>
      </c>
      <c r="AB3666" s="5" t="str">
        <f>HYPERLINK("https://propertylookup.dupagecounty.gov/Datalets/Datalet.aspx?UseSearch=no&amp;mode=sales&amp;pin=0715204026","sales record")</f>
        <v>sales record</v>
      </c>
      <c r="AC3666" t="s">
        <v>3</v>
      </c>
      <c r="AD3666">
        <v>41.782323</v>
      </c>
      <c r="AE3666">
        <v>-88.190746</v>
      </c>
      <c r="AF3666" s="5" t="str">
        <f>HYPERLINK("https://www.google.com/maps/search/?api=1&amp;query=41.782323,-88.190746","map")</f>
        <v>map</v>
      </c>
    </row>
    <row r="3667" spans="1:32">
      <c r="A3667" t="s">
        <v>3717</v>
      </c>
      <c r="B3667" t="s">
        <v>11250</v>
      </c>
      <c r="C3667" t="s">
        <v>15475</v>
      </c>
      <c r="D3667" t="s">
        <v>16206</v>
      </c>
      <c r="E3667" t="s">
        <v>16218</v>
      </c>
      <c r="F3667" t="s">
        <v>16220</v>
      </c>
      <c r="G3667" t="s">
        <v>16275</v>
      </c>
      <c r="H3667" t="s">
        <v>16276</v>
      </c>
      <c r="I3667" t="s">
        <v>16352</v>
      </c>
      <c r="J3667" t="s">
        <v>16386</v>
      </c>
      <c r="K3667">
        <v>0.151</v>
      </c>
      <c r="L3667">
        <v>6572</v>
      </c>
      <c r="M3667">
        <v>1649</v>
      </c>
      <c r="N3667" t="s">
        <v>16393</v>
      </c>
      <c r="O3667" s="4">
        <v>51103</v>
      </c>
      <c r="P3667" s="4">
        <v>113032</v>
      </c>
      <c r="Q3667" s="4">
        <v>164135</v>
      </c>
      <c r="R3667" s="4">
        <v>492405</v>
      </c>
      <c r="S3667" t="s">
        <v>19979</v>
      </c>
      <c r="T3667" s="6">
        <v>42339</v>
      </c>
      <c r="U3667" s="4">
        <v>270000</v>
      </c>
      <c r="V3667" t="s">
        <v>23739</v>
      </c>
      <c r="W3667" t="s">
        <v>25578</v>
      </c>
      <c r="X3667" t="s">
        <v>3</v>
      </c>
      <c r="AA3667" s="5" t="str">
        <f>HYPERLINK("https://www.zillow.com/homes/784-WILDFLOWER-CIR-NAPERVILLE-IL-60540_rb/","check listing")</f>
        <v>check listing</v>
      </c>
      <c r="AB3667" s="5" t="str">
        <f>HYPERLINK("https://propertylookup.dupagecounty.gov/Datalets/Datalet.aspx?UseSearch=no&amp;mode=sales&amp;pin=0722406003","sales record")</f>
        <v>sales record</v>
      </c>
      <c r="AC3667" t="s">
        <v>3</v>
      </c>
      <c r="AD3667">
        <v>41.75852</v>
      </c>
      <c r="AE3667">
        <v>-88.195697</v>
      </c>
      <c r="AF3667" s="5" t="str">
        <f>HYPERLINK("https://www.google.com/maps/search/?api=1&amp;query=41.75852,-88.195697","map")</f>
        <v>map</v>
      </c>
    </row>
    <row r="3668" spans="1:32">
      <c r="A3668" t="s">
        <v>3718</v>
      </c>
      <c r="B3668" t="s">
        <v>11251</v>
      </c>
      <c r="C3668" t="s">
        <v>15475</v>
      </c>
      <c r="D3668" t="s">
        <v>16206</v>
      </c>
      <c r="E3668" t="s">
        <v>16218</v>
      </c>
      <c r="F3668" t="s">
        <v>16220</v>
      </c>
      <c r="G3668" t="s">
        <v>16275</v>
      </c>
      <c r="H3668" t="s">
        <v>16276</v>
      </c>
      <c r="I3668" t="s">
        <v>16352</v>
      </c>
      <c r="J3668" t="s">
        <v>16386</v>
      </c>
      <c r="K3668">
        <v>0.151</v>
      </c>
      <c r="L3668">
        <v>6570</v>
      </c>
      <c r="M3668">
        <v>1977</v>
      </c>
      <c r="N3668" t="s">
        <v>16393</v>
      </c>
      <c r="O3668" s="4">
        <v>51103</v>
      </c>
      <c r="P3668" s="4">
        <v>107991</v>
      </c>
      <c r="Q3668" s="4">
        <v>159094</v>
      </c>
      <c r="R3668" s="4">
        <v>477282</v>
      </c>
      <c r="S3668" t="s">
        <v>19980</v>
      </c>
      <c r="T3668" s="6">
        <v>37712</v>
      </c>
      <c r="U3668" s="4">
        <v>266900</v>
      </c>
      <c r="V3668" t="s">
        <v>23740</v>
      </c>
      <c r="W3668" t="s">
        <v>25579</v>
      </c>
      <c r="X3668" t="s">
        <v>3</v>
      </c>
      <c r="AA3668" s="5" t="str">
        <f>HYPERLINK("https://www.zillow.com/homes/780-WILDFLOWER-CIR-NAPERVILLE-IL-60540_rb/","check listing")</f>
        <v>check listing</v>
      </c>
      <c r="AB3668" s="5" t="str">
        <f>HYPERLINK("https://propertylookup.dupagecounty.gov/Datalets/Datalet.aspx?UseSearch=no&amp;mode=sales&amp;pin=0722406004","sales record")</f>
        <v>sales record</v>
      </c>
      <c r="AC3668" t="s">
        <v>3</v>
      </c>
      <c r="AD3668">
        <v>41.758351</v>
      </c>
      <c r="AE3668">
        <v>-88.19566500000001</v>
      </c>
      <c r="AF3668" s="5" t="str">
        <f>HYPERLINK("https://www.google.com/maps/search/?api=1&amp;query=41.758351,-88.195665","map")</f>
        <v>map</v>
      </c>
    </row>
    <row r="3669" spans="1:32">
      <c r="A3669" t="s">
        <v>3719</v>
      </c>
      <c r="B3669" t="s">
        <v>11252</v>
      </c>
      <c r="C3669" t="s">
        <v>15475</v>
      </c>
      <c r="D3669" t="s">
        <v>16206</v>
      </c>
      <c r="E3669" t="s">
        <v>16218</v>
      </c>
      <c r="F3669" t="s">
        <v>16220</v>
      </c>
      <c r="G3669" t="s">
        <v>16275</v>
      </c>
      <c r="H3669" t="s">
        <v>16276</v>
      </c>
      <c r="I3669" t="s">
        <v>16352</v>
      </c>
      <c r="J3669" t="s">
        <v>16386</v>
      </c>
      <c r="K3669">
        <v>0.151</v>
      </c>
      <c r="L3669">
        <v>6569</v>
      </c>
      <c r="M3669">
        <v>2617</v>
      </c>
      <c r="N3669" t="s">
        <v>16393</v>
      </c>
      <c r="O3669" s="4">
        <v>51103</v>
      </c>
      <c r="P3669" s="4">
        <v>147878</v>
      </c>
      <c r="Q3669" s="4">
        <v>198981</v>
      </c>
      <c r="R3669" s="4">
        <v>596943</v>
      </c>
      <c r="S3669" t="s">
        <v>19981</v>
      </c>
      <c r="T3669" s="6">
        <v>39083</v>
      </c>
      <c r="U3669" s="4">
        <v>375000</v>
      </c>
      <c r="V3669" t="s">
        <v>23739</v>
      </c>
      <c r="W3669" t="s">
        <v>25580</v>
      </c>
      <c r="X3669" t="s">
        <v>3</v>
      </c>
      <c r="AA3669" s="5" t="str">
        <f>HYPERLINK("https://www.zillow.com/homes/648-WINTERGREEN-CIR-NAPERVILLE-IL-60540_rb/","check listing")</f>
        <v>check listing</v>
      </c>
      <c r="AB3669" s="5" t="str">
        <f>HYPERLINK("https://propertylookup.dupagecounty.gov/Datalets/Datalet.aspx?UseSearch=no&amp;mode=sales&amp;pin=0722405024","sales record")</f>
        <v>sales record</v>
      </c>
      <c r="AC3669" t="s">
        <v>3</v>
      </c>
      <c r="AD3669">
        <v>41.760372</v>
      </c>
      <c r="AE3669">
        <v>-88.19396</v>
      </c>
      <c r="AF3669" s="5" t="str">
        <f>HYPERLINK("https://www.google.com/maps/search/?api=1&amp;query=41.760372,-88.19396","map")</f>
        <v>map</v>
      </c>
    </row>
    <row r="3670" spans="1:32">
      <c r="A3670" t="s">
        <v>3720</v>
      </c>
      <c r="B3670" t="s">
        <v>11253</v>
      </c>
      <c r="C3670" t="s">
        <v>15478</v>
      </c>
      <c r="D3670" t="s">
        <v>16206</v>
      </c>
      <c r="E3670" t="s">
        <v>16218</v>
      </c>
      <c r="F3670" t="s">
        <v>16220</v>
      </c>
      <c r="G3670" t="s">
        <v>16274</v>
      </c>
      <c r="H3670" t="s">
        <v>16269</v>
      </c>
      <c r="I3670" t="s">
        <v>16352</v>
      </c>
      <c r="J3670" t="s">
        <v>16386</v>
      </c>
      <c r="K3670">
        <v>0.151</v>
      </c>
      <c r="L3670">
        <v>6560</v>
      </c>
      <c r="M3670">
        <v>2160</v>
      </c>
      <c r="N3670" t="s">
        <v>16393</v>
      </c>
      <c r="O3670" s="4">
        <v>48576</v>
      </c>
      <c r="P3670" s="4">
        <v>83849</v>
      </c>
      <c r="Q3670" s="4">
        <v>132425</v>
      </c>
      <c r="R3670" s="4">
        <v>397275</v>
      </c>
      <c r="S3670" t="s">
        <v>19982</v>
      </c>
      <c r="T3670" s="6">
        <v>42217</v>
      </c>
      <c r="U3670" s="4">
        <v>254000</v>
      </c>
      <c r="V3670" t="s">
        <v>23739</v>
      </c>
      <c r="W3670" t="s">
        <v>19982</v>
      </c>
      <c r="X3670" t="s">
        <v>3</v>
      </c>
      <c r="AA3670" s="5" t="str">
        <f>HYPERLINK("https://www.zillow.com/homes/1611-TERRI-CIR-NAPERVILLE-IL-60563_rb/","check listing")</f>
        <v>check listing</v>
      </c>
      <c r="AB3670" s="5" t="str">
        <f>HYPERLINK("https://propertylookup.dupagecounty.gov/Datalets/Datalet.aspx?UseSearch=no&amp;mode=sales&amp;pin=0715204025","sales record")</f>
        <v>sales record</v>
      </c>
      <c r="AC3670" t="s">
        <v>3</v>
      </c>
      <c r="AD3670">
        <v>41.782285</v>
      </c>
      <c r="AE3670">
        <v>-88.190961</v>
      </c>
      <c r="AF3670" s="5" t="str">
        <f>HYPERLINK("https://www.google.com/maps/search/?api=1&amp;query=41.782285,-88.190961","map")</f>
        <v>map</v>
      </c>
    </row>
    <row r="3671" spans="1:32">
      <c r="A3671" t="s">
        <v>3721</v>
      </c>
      <c r="B3671" t="s">
        <v>11254</v>
      </c>
      <c r="C3671" t="s">
        <v>15475</v>
      </c>
      <c r="D3671" t="s">
        <v>16206</v>
      </c>
      <c r="E3671" t="s">
        <v>16218</v>
      </c>
      <c r="F3671" t="s">
        <v>16220</v>
      </c>
      <c r="G3671" t="s">
        <v>16276</v>
      </c>
      <c r="H3671" t="s">
        <v>16276</v>
      </c>
      <c r="I3671" t="s">
        <v>16352</v>
      </c>
      <c r="J3671" t="s">
        <v>16386</v>
      </c>
      <c r="K3671">
        <v>0.151</v>
      </c>
      <c r="L3671">
        <v>6559</v>
      </c>
      <c r="M3671">
        <v>1979</v>
      </c>
      <c r="N3671" t="s">
        <v>16393</v>
      </c>
      <c r="O3671" s="4">
        <v>50993</v>
      </c>
      <c r="P3671" s="4">
        <v>100254</v>
      </c>
      <c r="Q3671" s="4">
        <v>151247</v>
      </c>
      <c r="R3671" s="4">
        <v>453741</v>
      </c>
      <c r="S3671" t="s">
        <v>19983</v>
      </c>
      <c r="T3671" s="6">
        <v>38687</v>
      </c>
      <c r="U3671" s="4">
        <v>309900</v>
      </c>
      <c r="V3671" t="s">
        <v>23739</v>
      </c>
      <c r="W3671" t="s">
        <v>19983</v>
      </c>
      <c r="X3671" t="s">
        <v>3</v>
      </c>
      <c r="AA3671" s="5" t="str">
        <f>HYPERLINK("https://www.zillow.com/homes/911-LOWELL-LN-NAPERVILLE-IL-60540_rb/","check listing")</f>
        <v>check listing</v>
      </c>
      <c r="AB3671" s="5" t="str">
        <f>HYPERLINK("https://propertylookup.dupagecounty.gov/Datalets/Datalet.aspx?UseSearch=no&amp;mode=sales&amp;pin=0727209028","sales record")</f>
        <v>sales record</v>
      </c>
      <c r="AC3671" t="s">
        <v>3</v>
      </c>
      <c r="AD3671">
        <v>41.754073</v>
      </c>
      <c r="AE3671">
        <v>-88.189834</v>
      </c>
      <c r="AF3671" s="5" t="str">
        <f>HYPERLINK("https://www.google.com/maps/search/?api=1&amp;query=41.754073,-88.189834","map")</f>
        <v>map</v>
      </c>
    </row>
    <row r="3672" spans="1:32">
      <c r="A3672" t="s">
        <v>3722</v>
      </c>
      <c r="B3672" t="s">
        <v>11255</v>
      </c>
      <c r="C3672" t="s">
        <v>15475</v>
      </c>
      <c r="D3672" t="s">
        <v>16206</v>
      </c>
      <c r="E3672" t="s">
        <v>16218</v>
      </c>
      <c r="F3672" t="s">
        <v>16220</v>
      </c>
      <c r="G3672" t="s">
        <v>16275</v>
      </c>
      <c r="H3672" t="s">
        <v>16276</v>
      </c>
      <c r="I3672" t="s">
        <v>16352</v>
      </c>
      <c r="J3672" t="s">
        <v>16386</v>
      </c>
      <c r="K3672">
        <v>0.151</v>
      </c>
      <c r="L3672">
        <v>6558</v>
      </c>
      <c r="M3672">
        <v>2301</v>
      </c>
      <c r="N3672" t="s">
        <v>16393</v>
      </c>
      <c r="O3672" s="4">
        <v>43255</v>
      </c>
      <c r="P3672" s="4">
        <v>104904</v>
      </c>
      <c r="Q3672" s="4">
        <v>148159</v>
      </c>
      <c r="R3672" s="4">
        <v>444477</v>
      </c>
      <c r="S3672" t="s">
        <v>19984</v>
      </c>
      <c r="T3672" s="6">
        <v>37012</v>
      </c>
      <c r="U3672" s="4">
        <v>219900</v>
      </c>
      <c r="V3672" t="s">
        <v>23739</v>
      </c>
      <c r="W3672" t="s">
        <v>25581</v>
      </c>
      <c r="X3672" t="s">
        <v>3</v>
      </c>
      <c r="AA3672" s="5" t="str">
        <f>HYPERLINK("https://www.zillow.com/homes/2004-CROSSING-LN-NAPERVILLE-IL-60540_rb/","check listing")</f>
        <v>check listing</v>
      </c>
      <c r="AB3672" s="5" t="str">
        <f>HYPERLINK("https://propertylookup.dupagecounty.gov/Datalets/Datalet.aspx?UseSearch=no&amp;mode=sales&amp;pin=0727204013","sales record")</f>
        <v>sales record</v>
      </c>
      <c r="AC3672" t="s">
        <v>3</v>
      </c>
      <c r="AD3672">
        <v>41.74966</v>
      </c>
      <c r="AE3672">
        <v>-88.187439</v>
      </c>
      <c r="AF3672" s="5" t="str">
        <f>HYPERLINK("https://www.google.com/maps/search/?api=1&amp;query=41.74966,-88.187439","map")</f>
        <v>map</v>
      </c>
    </row>
    <row r="3673" spans="1:32">
      <c r="A3673" t="s">
        <v>3723</v>
      </c>
      <c r="B3673" t="s">
        <v>11256</v>
      </c>
      <c r="C3673" t="s">
        <v>15475</v>
      </c>
      <c r="D3673" t="s">
        <v>16206</v>
      </c>
      <c r="E3673" t="s">
        <v>16218</v>
      </c>
      <c r="F3673" t="s">
        <v>16220</v>
      </c>
      <c r="G3673" t="s">
        <v>16276</v>
      </c>
      <c r="H3673" t="s">
        <v>16276</v>
      </c>
      <c r="I3673" t="s">
        <v>16352</v>
      </c>
      <c r="J3673" t="s">
        <v>16386</v>
      </c>
      <c r="K3673">
        <v>0.151</v>
      </c>
      <c r="L3673">
        <v>6557</v>
      </c>
      <c r="M3673">
        <v>1814</v>
      </c>
      <c r="N3673" t="s">
        <v>16393</v>
      </c>
      <c r="O3673" s="4">
        <v>49444</v>
      </c>
      <c r="P3673" s="4">
        <v>116657</v>
      </c>
      <c r="Q3673" s="4">
        <v>166101</v>
      </c>
      <c r="R3673" s="4">
        <v>498303</v>
      </c>
      <c r="S3673" t="s">
        <v>19985</v>
      </c>
      <c r="T3673" s="6">
        <v>34973</v>
      </c>
      <c r="U3673" s="4">
        <v>192575</v>
      </c>
      <c r="X3673" t="s">
        <v>3</v>
      </c>
      <c r="AA3673" s="5" t="str">
        <f>HYPERLINK("https://www.zillow.com/homes/924-LOWELL-LN-NAPERVILLE-IL-60540_rb/","check listing")</f>
        <v>check listing</v>
      </c>
      <c r="AB3673" s="5" t="str">
        <f>HYPERLINK("https://propertylookup.dupagecounty.gov/Datalets/Datalet.aspx?UseSearch=no&amp;mode=sales&amp;pin=0727210004","sales record")</f>
        <v>sales record</v>
      </c>
      <c r="AC3673" t="s">
        <v>3</v>
      </c>
      <c r="AD3673">
        <v>41.75359</v>
      </c>
      <c r="AE3673">
        <v>-88.189262</v>
      </c>
      <c r="AF3673" s="5" t="str">
        <f>HYPERLINK("https://www.google.com/maps/search/?api=1&amp;query=41.75359,-88.189262","map")</f>
        <v>map</v>
      </c>
    </row>
    <row r="3674" spans="1:32">
      <c r="A3674" t="s">
        <v>3724</v>
      </c>
      <c r="B3674" t="s">
        <v>11257</v>
      </c>
      <c r="C3674" t="s">
        <v>15476</v>
      </c>
      <c r="D3674" t="s">
        <v>16206</v>
      </c>
      <c r="E3674" t="s">
        <v>16218</v>
      </c>
      <c r="F3674" t="s">
        <v>16220</v>
      </c>
      <c r="G3674" t="s">
        <v>16269</v>
      </c>
      <c r="H3674" t="s">
        <v>16269</v>
      </c>
      <c r="I3674" t="s">
        <v>16352</v>
      </c>
      <c r="J3674" t="s">
        <v>16386</v>
      </c>
      <c r="K3674">
        <v>0.151</v>
      </c>
      <c r="L3674">
        <v>6557</v>
      </c>
      <c r="M3674">
        <v>1844</v>
      </c>
      <c r="N3674" t="s">
        <v>16393</v>
      </c>
      <c r="O3674" s="4">
        <v>71707</v>
      </c>
      <c r="P3674" s="4">
        <v>101234</v>
      </c>
      <c r="Q3674" s="4">
        <v>172941</v>
      </c>
      <c r="R3674" s="4">
        <v>518823</v>
      </c>
      <c r="S3674" t="s">
        <v>19986</v>
      </c>
      <c r="T3674" s="6">
        <v>41487</v>
      </c>
      <c r="U3674" s="4">
        <v>318000</v>
      </c>
      <c r="V3674" t="s">
        <v>23739</v>
      </c>
      <c r="W3674" t="s">
        <v>25582</v>
      </c>
      <c r="X3674" t="s">
        <v>3</v>
      </c>
      <c r="AA3674" s="5" t="str">
        <f>HYPERLINK("https://www.zillow.com/homes/420-BOURBON-LN-NAPERVILLE-IL-60565_rb/","check listing")</f>
        <v>check listing</v>
      </c>
      <c r="AB3674" s="5" t="str">
        <f>HYPERLINK("https://propertylookup.dupagecounty.gov/Datalets/Datalet.aspx?UseSearch=no&amp;mode=sales&amp;pin=0832117005","sales record")</f>
        <v>sales record</v>
      </c>
      <c r="AC3674" t="s">
        <v>3</v>
      </c>
      <c r="AD3674">
        <v>41.734187</v>
      </c>
      <c r="AE3674">
        <v>-88.121914</v>
      </c>
      <c r="AF3674" s="5" t="str">
        <f>HYPERLINK("https://www.google.com/maps/search/?api=1&amp;query=41.734187,-88.121914","map")</f>
        <v>map</v>
      </c>
    </row>
    <row r="3675" spans="1:32">
      <c r="A3675" t="s">
        <v>3725</v>
      </c>
      <c r="B3675" t="s">
        <v>11258</v>
      </c>
      <c r="C3675" t="s">
        <v>15475</v>
      </c>
      <c r="D3675" t="s">
        <v>16206</v>
      </c>
      <c r="E3675" t="s">
        <v>16218</v>
      </c>
      <c r="F3675" t="s">
        <v>16220</v>
      </c>
      <c r="G3675" t="s">
        <v>16275</v>
      </c>
      <c r="H3675" t="s">
        <v>16276</v>
      </c>
      <c r="I3675" t="s">
        <v>16352</v>
      </c>
      <c r="J3675" t="s">
        <v>16386</v>
      </c>
      <c r="K3675">
        <v>0.15</v>
      </c>
      <c r="L3675">
        <v>6554</v>
      </c>
      <c r="M3675">
        <v>1649</v>
      </c>
      <c r="N3675" t="s">
        <v>16393</v>
      </c>
      <c r="O3675" s="4">
        <v>51103</v>
      </c>
      <c r="P3675" s="4">
        <v>105721</v>
      </c>
      <c r="Q3675" s="4">
        <v>156824</v>
      </c>
      <c r="R3675" s="4">
        <v>470472</v>
      </c>
      <c r="S3675" t="s">
        <v>19987</v>
      </c>
      <c r="T3675" s="6">
        <v>44833</v>
      </c>
      <c r="U3675" s="4">
        <v>389000</v>
      </c>
      <c r="V3675" t="s">
        <v>23741</v>
      </c>
      <c r="W3675" t="s">
        <v>25583</v>
      </c>
      <c r="X3675" t="s">
        <v>3</v>
      </c>
      <c r="AA3675" s="5" t="str">
        <f>HYPERLINK("https://www.zillow.com/homes/792-WILDFLOWER-CIR-NAPERVILLE-IL-60540_rb/","check listing")</f>
        <v>check listing</v>
      </c>
      <c r="AB3675" s="5" t="str">
        <f>HYPERLINK("https://propertylookup.dupagecounty.gov/Datalets/Datalet.aspx?UseSearch=no&amp;mode=sales&amp;pin=0722406002","sales record")</f>
        <v>sales record</v>
      </c>
      <c r="AC3675" t="s">
        <v>3</v>
      </c>
      <c r="AD3675">
        <v>41.758685</v>
      </c>
      <c r="AE3675">
        <v>-88.195685</v>
      </c>
      <c r="AF3675" s="5" t="str">
        <f>HYPERLINK("https://www.google.com/maps/search/?api=1&amp;query=41.758685,-88.195685","map")</f>
        <v>map</v>
      </c>
    </row>
    <row r="3676" spans="1:32">
      <c r="A3676" t="s">
        <v>3726</v>
      </c>
      <c r="B3676" t="s">
        <v>11259</v>
      </c>
      <c r="C3676" t="s">
        <v>15475</v>
      </c>
      <c r="D3676" t="s">
        <v>16206</v>
      </c>
      <c r="E3676" t="s">
        <v>16218</v>
      </c>
      <c r="F3676" t="s">
        <v>16220</v>
      </c>
      <c r="G3676" t="s">
        <v>16275</v>
      </c>
      <c r="H3676" t="s">
        <v>16276</v>
      </c>
      <c r="I3676" t="s">
        <v>16352</v>
      </c>
      <c r="J3676" t="s">
        <v>16386</v>
      </c>
      <c r="K3676">
        <v>0.15</v>
      </c>
      <c r="L3676">
        <v>6552</v>
      </c>
      <c r="M3676">
        <v>1484</v>
      </c>
      <c r="N3676" t="s">
        <v>16393</v>
      </c>
      <c r="O3676" s="4">
        <v>49444</v>
      </c>
      <c r="P3676" s="4">
        <v>82262</v>
      </c>
      <c r="Q3676" s="4">
        <v>131706</v>
      </c>
      <c r="R3676" s="4">
        <v>395118</v>
      </c>
      <c r="S3676" t="s">
        <v>19988</v>
      </c>
      <c r="T3676" s="6">
        <v>38047</v>
      </c>
      <c r="U3676" s="4">
        <v>222800</v>
      </c>
      <c r="V3676" t="s">
        <v>23739</v>
      </c>
      <c r="W3676" t="s">
        <v>25584</v>
      </c>
      <c r="X3676" t="s">
        <v>3</v>
      </c>
      <c r="AA3676" s="5" t="str">
        <f>HYPERLINK("https://www.zillow.com/homes/1095-SELMA-LN-NAPERVILLE-IL-60540_rb/","check listing")</f>
        <v>check listing</v>
      </c>
      <c r="AB3676" s="5" t="str">
        <f>HYPERLINK("https://propertylookup.dupagecounty.gov/Datalets/Datalet.aspx?UseSearch=no&amp;mode=sales&amp;pin=0727205003","sales record")</f>
        <v>sales record</v>
      </c>
      <c r="AC3676" t="s">
        <v>3</v>
      </c>
      <c r="AD3676">
        <v>41.750617</v>
      </c>
      <c r="AE3676">
        <v>-88.189925</v>
      </c>
      <c r="AF3676" s="5" t="str">
        <f>HYPERLINK("https://www.google.com/maps/search/?api=1&amp;query=41.750617,-88.189925","map")</f>
        <v>map</v>
      </c>
    </row>
    <row r="3677" spans="1:32">
      <c r="A3677" t="s">
        <v>3727</v>
      </c>
      <c r="B3677" t="s">
        <v>11260</v>
      </c>
      <c r="C3677" t="s">
        <v>15478</v>
      </c>
      <c r="D3677" t="s">
        <v>16206</v>
      </c>
      <c r="E3677" t="s">
        <v>16218</v>
      </c>
      <c r="F3677" t="s">
        <v>16220</v>
      </c>
      <c r="G3677" t="s">
        <v>16274</v>
      </c>
      <c r="H3677" t="s">
        <v>16269</v>
      </c>
      <c r="I3677" t="s">
        <v>16352</v>
      </c>
      <c r="J3677" t="s">
        <v>16386</v>
      </c>
      <c r="K3677">
        <v>0.15</v>
      </c>
      <c r="L3677">
        <v>6546</v>
      </c>
      <c r="M3677">
        <v>2086</v>
      </c>
      <c r="N3677" t="s">
        <v>16393</v>
      </c>
      <c r="O3677" s="4">
        <v>48576</v>
      </c>
      <c r="P3677" s="4">
        <v>118207</v>
      </c>
      <c r="Q3677" s="4">
        <v>166783</v>
      </c>
      <c r="R3677" s="4">
        <v>500349</v>
      </c>
      <c r="S3677" t="s">
        <v>19989</v>
      </c>
      <c r="T3677" s="6">
        <v>33512</v>
      </c>
      <c r="U3677" s="4">
        <v>172515</v>
      </c>
      <c r="X3677" t="s">
        <v>3</v>
      </c>
      <c r="AA3677" s="5" t="str">
        <f>HYPERLINK("https://www.zillow.com/homes/1602-LOIS-ANN-LN-NAPERVILLE-IL-60563_rb/","check listing")</f>
        <v>check listing</v>
      </c>
      <c r="AB3677" s="5" t="str">
        <f>HYPERLINK("https://propertylookup.dupagecounty.gov/Datalets/Datalet.aspx?UseSearch=no&amp;mode=sales&amp;pin=0715204004","sales record")</f>
        <v>sales record</v>
      </c>
      <c r="AC3677" t="s">
        <v>3</v>
      </c>
      <c r="AD3677">
        <v>41.782524</v>
      </c>
      <c r="AE3677">
        <v>-88.19128600000001</v>
      </c>
      <c r="AF3677" s="5" t="str">
        <f>HYPERLINK("https://www.google.com/maps/search/?api=1&amp;query=41.782524,-88.191286","map")</f>
        <v>map</v>
      </c>
    </row>
    <row r="3678" spans="1:32">
      <c r="A3678" t="s">
        <v>3728</v>
      </c>
      <c r="B3678" t="s">
        <v>11261</v>
      </c>
      <c r="C3678" t="s">
        <v>15475</v>
      </c>
      <c r="D3678" t="s">
        <v>16206</v>
      </c>
      <c r="E3678" t="s">
        <v>16218</v>
      </c>
      <c r="F3678" t="s">
        <v>16220</v>
      </c>
      <c r="G3678" t="s">
        <v>16275</v>
      </c>
      <c r="H3678" t="s">
        <v>16276</v>
      </c>
      <c r="I3678" t="s">
        <v>16352</v>
      </c>
      <c r="J3678" t="s">
        <v>16386</v>
      </c>
      <c r="K3678">
        <v>0.15</v>
      </c>
      <c r="L3678">
        <v>6545</v>
      </c>
      <c r="M3678">
        <v>1812</v>
      </c>
      <c r="N3678" t="s">
        <v>16393</v>
      </c>
      <c r="O3678" s="4">
        <v>51103</v>
      </c>
      <c r="P3678" s="4">
        <v>100790</v>
      </c>
      <c r="Q3678" s="4">
        <v>151893</v>
      </c>
      <c r="R3678" s="4">
        <v>455679</v>
      </c>
      <c r="S3678" t="s">
        <v>19990</v>
      </c>
      <c r="T3678" s="6">
        <v>37500</v>
      </c>
      <c r="U3678" s="4">
        <v>251000</v>
      </c>
      <c r="V3678" t="s">
        <v>23739</v>
      </c>
      <c r="W3678" t="s">
        <v>25585</v>
      </c>
      <c r="X3678" t="s">
        <v>3</v>
      </c>
      <c r="AA3678" s="5" t="str">
        <f>HYPERLINK("https://www.zillow.com/homes/744-WILDFLOWER-CIR-NAPERVILLE-IL-60540_rb/","check listing")</f>
        <v>check listing</v>
      </c>
      <c r="AB3678" s="5" t="str">
        <f>HYPERLINK("https://propertylookup.dupagecounty.gov/Datalets/Datalet.aspx?UseSearch=no&amp;mode=sales&amp;pin=0722406010","sales record")</f>
        <v>sales record</v>
      </c>
      <c r="AC3678" t="s">
        <v>3</v>
      </c>
      <c r="AD3678">
        <v>41.757906</v>
      </c>
      <c r="AE3678">
        <v>-88.19473600000001</v>
      </c>
      <c r="AF3678" s="5" t="str">
        <f>HYPERLINK("https://www.google.com/maps/search/?api=1&amp;query=41.757906,-88.194736","map")</f>
        <v>map</v>
      </c>
    </row>
    <row r="3679" spans="1:32">
      <c r="A3679" t="s">
        <v>3729</v>
      </c>
      <c r="B3679" t="s">
        <v>11262</v>
      </c>
      <c r="C3679" t="s">
        <v>15475</v>
      </c>
      <c r="D3679" t="s">
        <v>16206</v>
      </c>
      <c r="E3679" t="s">
        <v>16218</v>
      </c>
      <c r="F3679" t="s">
        <v>16220</v>
      </c>
      <c r="G3679" t="s">
        <v>16275</v>
      </c>
      <c r="H3679" t="s">
        <v>16276</v>
      </c>
      <c r="I3679" t="s">
        <v>16352</v>
      </c>
      <c r="J3679" t="s">
        <v>16386</v>
      </c>
      <c r="K3679">
        <v>0.15</v>
      </c>
      <c r="L3679">
        <v>6543</v>
      </c>
      <c r="M3679">
        <v>2238</v>
      </c>
      <c r="N3679" t="s">
        <v>16393</v>
      </c>
      <c r="O3679" s="4">
        <v>51103</v>
      </c>
      <c r="P3679" s="4">
        <v>115351</v>
      </c>
      <c r="Q3679" s="4">
        <v>166454</v>
      </c>
      <c r="R3679" s="4">
        <v>499362</v>
      </c>
      <c r="S3679" t="s">
        <v>19991</v>
      </c>
      <c r="T3679" s="6">
        <v>35947</v>
      </c>
      <c r="U3679" s="4">
        <v>193500</v>
      </c>
      <c r="X3679" t="s">
        <v>3</v>
      </c>
      <c r="AA3679" s="5" t="str">
        <f>HYPERLINK("https://www.zillow.com/homes/715-WILDFLOWER-CIR-NAPERVILLE-IL-60540_rb/","check listing")</f>
        <v>check listing</v>
      </c>
      <c r="AB3679" s="5" t="str">
        <f>HYPERLINK("https://propertylookup.dupagecounty.gov/Datalets/Datalet.aspx?UseSearch=no&amp;mode=sales&amp;pin=0722407021","sales record")</f>
        <v>sales record</v>
      </c>
      <c r="AC3679" t="s">
        <v>3</v>
      </c>
      <c r="AD3679">
        <v>41.75868</v>
      </c>
      <c r="AE3679">
        <v>-88.19328899999999</v>
      </c>
      <c r="AF3679" s="5" t="str">
        <f>HYPERLINK("https://www.google.com/maps/search/?api=1&amp;query=41.75868,-88.193289","map")</f>
        <v>map</v>
      </c>
    </row>
    <row r="3680" spans="1:32">
      <c r="A3680" t="s">
        <v>3730</v>
      </c>
      <c r="B3680" t="s">
        <v>11263</v>
      </c>
      <c r="C3680" t="s">
        <v>15475</v>
      </c>
      <c r="D3680" t="s">
        <v>16206</v>
      </c>
      <c r="E3680" t="s">
        <v>16218</v>
      </c>
      <c r="F3680" t="s">
        <v>16220</v>
      </c>
      <c r="G3680" t="s">
        <v>16275</v>
      </c>
      <c r="H3680" t="s">
        <v>16276</v>
      </c>
      <c r="I3680" t="s">
        <v>16352</v>
      </c>
      <c r="J3680" t="s">
        <v>16386</v>
      </c>
      <c r="K3680">
        <v>0.15</v>
      </c>
      <c r="L3680">
        <v>6542</v>
      </c>
      <c r="M3680">
        <v>1979</v>
      </c>
      <c r="N3680" t="s">
        <v>16393</v>
      </c>
      <c r="O3680" s="4">
        <v>51103</v>
      </c>
      <c r="P3680" s="4">
        <v>101010</v>
      </c>
      <c r="Q3680" s="4">
        <v>152113</v>
      </c>
      <c r="R3680" s="4">
        <v>456339</v>
      </c>
      <c r="S3680" t="s">
        <v>19992</v>
      </c>
      <c r="T3680" s="6">
        <v>44075</v>
      </c>
      <c r="U3680" s="4">
        <v>328000</v>
      </c>
      <c r="V3680" t="s">
        <v>23739</v>
      </c>
      <c r="W3680" t="s">
        <v>19992</v>
      </c>
      <c r="X3680" t="s">
        <v>3</v>
      </c>
      <c r="AA3680" s="5" t="str">
        <f>HYPERLINK("https://www.zillow.com/homes/772-VIOLET-CIR-NAPERVILLE-IL-60540_rb/","check listing")</f>
        <v>check listing</v>
      </c>
      <c r="AB3680" s="5" t="str">
        <f>HYPERLINK("https://propertylookup.dupagecounty.gov/Datalets/Datalet.aspx?UseSearch=no&amp;mode=sales&amp;pin=0722410023","sales record")</f>
        <v>sales record</v>
      </c>
      <c r="AC3680" t="s">
        <v>3</v>
      </c>
      <c r="AD3680">
        <v>41.759492</v>
      </c>
      <c r="AE3680">
        <v>-88.189846</v>
      </c>
      <c r="AF3680" s="5" t="str">
        <f>HYPERLINK("https://www.google.com/maps/search/?api=1&amp;query=41.759492,-88.189846","map")</f>
        <v>map</v>
      </c>
    </row>
    <row r="3681" spans="1:32">
      <c r="A3681" t="s">
        <v>3731</v>
      </c>
      <c r="B3681" t="s">
        <v>11264</v>
      </c>
      <c r="C3681" t="s">
        <v>15609</v>
      </c>
      <c r="D3681" t="s">
        <v>16206</v>
      </c>
      <c r="E3681" t="s">
        <v>16218</v>
      </c>
      <c r="F3681" t="s">
        <v>16220</v>
      </c>
      <c r="G3681" t="s">
        <v>16275</v>
      </c>
      <c r="H3681" t="s">
        <v>16276</v>
      </c>
      <c r="I3681" t="s">
        <v>16352</v>
      </c>
      <c r="J3681" t="s">
        <v>16386</v>
      </c>
      <c r="K3681">
        <v>0.15</v>
      </c>
      <c r="L3681">
        <v>6538</v>
      </c>
      <c r="M3681">
        <v>2176</v>
      </c>
      <c r="N3681" t="s">
        <v>16393</v>
      </c>
      <c r="O3681" s="4">
        <v>46367</v>
      </c>
      <c r="P3681" s="4">
        <v>119342</v>
      </c>
      <c r="Q3681" s="4">
        <v>165709</v>
      </c>
      <c r="R3681" s="4">
        <v>497127</v>
      </c>
      <c r="S3681" t="s">
        <v>19993</v>
      </c>
      <c r="T3681" s="6">
        <v>42917</v>
      </c>
      <c r="U3681" s="4">
        <v>326000</v>
      </c>
      <c r="V3681" t="s">
        <v>23739</v>
      </c>
      <c r="W3681" t="s">
        <v>25586</v>
      </c>
      <c r="X3681" t="s">
        <v>3</v>
      </c>
      <c r="AA3681" s="5" t="str">
        <f>HYPERLINK("https://www.zillow.com/homes/2023-THREE-FARMS-AVE-NAPERVILLE-IL-605400992_rb/","check listing")</f>
        <v>check listing</v>
      </c>
      <c r="AB3681" s="5" t="str">
        <f>HYPERLINK("https://propertylookup.dupagecounty.gov/Datalets/Datalet.aspx?UseSearch=no&amp;mode=sales&amp;pin=0727204024","sales record")</f>
        <v>sales record</v>
      </c>
      <c r="AC3681" t="s">
        <v>3</v>
      </c>
      <c r="AD3681">
        <v>41.749312</v>
      </c>
      <c r="AE3681">
        <v>-88.188902</v>
      </c>
      <c r="AF3681" s="5" t="str">
        <f>HYPERLINK("https://www.google.com/maps/search/?api=1&amp;query=41.749312,-88.188902","map")</f>
        <v>map</v>
      </c>
    </row>
    <row r="3682" spans="1:32">
      <c r="A3682" t="s">
        <v>3732</v>
      </c>
      <c r="B3682" t="s">
        <v>11265</v>
      </c>
      <c r="C3682" t="s">
        <v>15475</v>
      </c>
      <c r="D3682" t="s">
        <v>16206</v>
      </c>
      <c r="E3682" t="s">
        <v>16218</v>
      </c>
      <c r="F3682" t="s">
        <v>16220</v>
      </c>
      <c r="G3682" t="s">
        <v>16275</v>
      </c>
      <c r="H3682" t="s">
        <v>16276</v>
      </c>
      <c r="I3682" t="s">
        <v>16352</v>
      </c>
      <c r="J3682" t="s">
        <v>16386</v>
      </c>
      <c r="K3682">
        <v>0.15</v>
      </c>
      <c r="L3682">
        <v>6519</v>
      </c>
      <c r="M3682">
        <v>2351</v>
      </c>
      <c r="N3682" t="s">
        <v>16393</v>
      </c>
      <c r="O3682" s="4">
        <v>49444</v>
      </c>
      <c r="P3682" s="4">
        <v>132915</v>
      </c>
      <c r="Q3682" s="4">
        <v>182359</v>
      </c>
      <c r="R3682" s="4">
        <v>547077</v>
      </c>
      <c r="S3682" t="s">
        <v>19994</v>
      </c>
      <c r="T3682" s="6">
        <v>45642</v>
      </c>
      <c r="U3682" s="4">
        <v>582000</v>
      </c>
      <c r="V3682" t="s">
        <v>23739</v>
      </c>
      <c r="W3682" t="s">
        <v>25587</v>
      </c>
      <c r="X3682" t="s">
        <v>3</v>
      </c>
      <c r="AA3682" s="5" t="str">
        <f>HYPERLINK("https://www.zillow.com/homes/1116-SELMA-LN-NAPERVILLE-IL-60540_rb/","check listing")</f>
        <v>check listing</v>
      </c>
      <c r="AB3682" s="5" t="str">
        <f>HYPERLINK("https://propertylookup.dupagecounty.gov/Datalets/Datalet.aspx?UseSearch=no&amp;mode=sales&amp;pin=0727204029","sales record")</f>
        <v>sales record</v>
      </c>
      <c r="AC3682" t="s">
        <v>3</v>
      </c>
      <c r="AD3682">
        <v>41.749999</v>
      </c>
      <c r="AE3682">
        <v>-88.189088</v>
      </c>
      <c r="AF3682" s="5" t="str">
        <f>HYPERLINK("https://www.google.com/maps/search/?api=1&amp;query=41.749999,-88.189088","map")</f>
        <v>map</v>
      </c>
    </row>
    <row r="3683" spans="1:32">
      <c r="A3683" t="s">
        <v>3733</v>
      </c>
      <c r="B3683" t="s">
        <v>11266</v>
      </c>
      <c r="C3683" t="s">
        <v>15597</v>
      </c>
      <c r="D3683" t="s">
        <v>16206</v>
      </c>
      <c r="E3683" t="s">
        <v>16218</v>
      </c>
      <c r="F3683" t="s">
        <v>16220</v>
      </c>
      <c r="G3683" t="s">
        <v>16276</v>
      </c>
      <c r="H3683" t="s">
        <v>16276</v>
      </c>
      <c r="I3683" t="s">
        <v>16352</v>
      </c>
      <c r="J3683" t="s">
        <v>16386</v>
      </c>
      <c r="K3683">
        <v>0.15</v>
      </c>
      <c r="L3683">
        <v>6518</v>
      </c>
      <c r="M3683">
        <v>2145</v>
      </c>
      <c r="N3683" t="s">
        <v>16393</v>
      </c>
      <c r="O3683" s="4">
        <v>49444</v>
      </c>
      <c r="P3683" s="4">
        <v>119915</v>
      </c>
      <c r="Q3683" s="4">
        <v>169359</v>
      </c>
      <c r="R3683" s="4">
        <v>508077</v>
      </c>
      <c r="S3683" t="s">
        <v>19995</v>
      </c>
      <c r="T3683" s="6">
        <v>37773</v>
      </c>
      <c r="U3683" s="4">
        <v>270000</v>
      </c>
      <c r="V3683" t="s">
        <v>23739</v>
      </c>
      <c r="W3683" t="s">
        <v>25588</v>
      </c>
      <c r="X3683" t="s">
        <v>3</v>
      </c>
      <c r="AA3683" s="5" t="str">
        <f>HYPERLINK("https://www.zillow.com/homes/915-LOWELL-LN-NAPERVILLE-IL-605401934_rb/","check listing")</f>
        <v>check listing</v>
      </c>
      <c r="AB3683" s="5" t="str">
        <f>HYPERLINK("https://propertylookup.dupagecounty.gov/Datalets/Datalet.aspx?UseSearch=no&amp;mode=sales&amp;pin=0727209027","sales record")</f>
        <v>sales record</v>
      </c>
      <c r="AC3683" t="s">
        <v>3</v>
      </c>
      <c r="AD3683">
        <v>41.753892</v>
      </c>
      <c r="AE3683">
        <v>-88.18986700000001</v>
      </c>
      <c r="AF3683" s="5" t="str">
        <f>HYPERLINK("https://www.google.com/maps/search/?api=1&amp;query=41.753892,-88.189867","map")</f>
        <v>map</v>
      </c>
    </row>
    <row r="3684" spans="1:32">
      <c r="A3684" t="s">
        <v>3734</v>
      </c>
      <c r="B3684" t="s">
        <v>11267</v>
      </c>
      <c r="C3684" t="s">
        <v>15580</v>
      </c>
      <c r="D3684" t="s">
        <v>16206</v>
      </c>
      <c r="E3684" t="s">
        <v>16218</v>
      </c>
      <c r="F3684" t="s">
        <v>16220</v>
      </c>
      <c r="G3684" t="s">
        <v>16274</v>
      </c>
      <c r="H3684" t="s">
        <v>16269</v>
      </c>
      <c r="I3684" t="s">
        <v>16352</v>
      </c>
      <c r="J3684" t="s">
        <v>16386</v>
      </c>
      <c r="K3684">
        <v>0.149</v>
      </c>
      <c r="L3684">
        <v>6504</v>
      </c>
      <c r="M3684">
        <v>2128</v>
      </c>
      <c r="N3684" t="s">
        <v>16393</v>
      </c>
      <c r="O3684" s="4">
        <v>48576</v>
      </c>
      <c r="P3684" s="4">
        <v>122955</v>
      </c>
      <c r="Q3684" s="4">
        <v>171531</v>
      </c>
      <c r="R3684" s="4">
        <v>514593</v>
      </c>
      <c r="S3684" t="s">
        <v>19996</v>
      </c>
      <c r="T3684" s="6">
        <v>43252</v>
      </c>
      <c r="U3684" s="4">
        <v>415000</v>
      </c>
      <c r="V3684" t="s">
        <v>23740</v>
      </c>
      <c r="W3684" t="s">
        <v>25589</v>
      </c>
      <c r="X3684" t="s">
        <v>3</v>
      </c>
      <c r="AA3684" s="5" t="str">
        <f>HYPERLINK("https://www.zillow.com/homes/1614-TERRI-CIR-NAPERVILLE-IL-605630453_rb/","check listing")</f>
        <v>check listing</v>
      </c>
      <c r="AB3684" s="5" t="str">
        <f>HYPERLINK("https://propertylookup.dupagecounty.gov/Datalets/Datalet.aspx?UseSearch=no&amp;mode=sales&amp;pin=0715205003","sales record")</f>
        <v>sales record</v>
      </c>
      <c r="AC3684" t="s">
        <v>3</v>
      </c>
      <c r="AD3684">
        <v>41.781802</v>
      </c>
      <c r="AE3684">
        <v>-88.19091299999999</v>
      </c>
      <c r="AF3684" s="5" t="str">
        <f>HYPERLINK("https://www.google.com/maps/search/?api=1&amp;query=41.781802,-88.190913","map")</f>
        <v>map</v>
      </c>
    </row>
    <row r="3685" spans="1:32">
      <c r="A3685" t="s">
        <v>3735</v>
      </c>
      <c r="B3685" t="s">
        <v>11268</v>
      </c>
      <c r="C3685" t="s">
        <v>15475</v>
      </c>
      <c r="D3685" t="s">
        <v>16206</v>
      </c>
      <c r="E3685" t="s">
        <v>16218</v>
      </c>
      <c r="F3685" t="s">
        <v>16220</v>
      </c>
      <c r="G3685" t="s">
        <v>16275</v>
      </c>
      <c r="H3685" t="s">
        <v>16276</v>
      </c>
      <c r="I3685" t="s">
        <v>16352</v>
      </c>
      <c r="J3685" t="s">
        <v>16386</v>
      </c>
      <c r="K3685">
        <v>0.149</v>
      </c>
      <c r="L3685">
        <v>6501</v>
      </c>
      <c r="M3685">
        <v>2452</v>
      </c>
      <c r="N3685" t="s">
        <v>16393</v>
      </c>
      <c r="O3685" s="4">
        <v>55058</v>
      </c>
      <c r="P3685" s="4">
        <v>148390</v>
      </c>
      <c r="Q3685" s="4">
        <v>203448</v>
      </c>
      <c r="R3685" s="4">
        <v>610344</v>
      </c>
      <c r="S3685" t="s">
        <v>19997</v>
      </c>
      <c r="T3685" s="6">
        <v>44830</v>
      </c>
      <c r="U3685" s="4">
        <v>508000</v>
      </c>
      <c r="V3685" t="s">
        <v>23739</v>
      </c>
      <c r="W3685" t="s">
        <v>25590</v>
      </c>
      <c r="X3685" t="s">
        <v>3</v>
      </c>
      <c r="AA3685" s="5" t="str">
        <f>HYPERLINK("https://www.zillow.com/homes/647-WINTERGREEN-CIR-NAPERVILLE-IL-60540_rb/","check listing")</f>
        <v>check listing</v>
      </c>
      <c r="AB3685" s="5" t="str">
        <f>HYPERLINK("https://propertylookup.dupagecounty.gov/Datalets/Datalet.aspx?UseSearch=no&amp;mode=sales&amp;pin=0722404016","sales record")</f>
        <v>sales record</v>
      </c>
      <c r="AC3685" t="s">
        <v>3</v>
      </c>
      <c r="AD3685">
        <v>41.760807</v>
      </c>
      <c r="AE3685">
        <v>-88.19425099999999</v>
      </c>
      <c r="AF3685" s="5" t="str">
        <f>HYPERLINK("https://www.google.com/maps/search/?api=1&amp;query=41.760807,-88.194251","map")</f>
        <v>map</v>
      </c>
    </row>
    <row r="3686" spans="1:32">
      <c r="A3686" t="s">
        <v>3736</v>
      </c>
      <c r="B3686" t="s">
        <v>11269</v>
      </c>
      <c r="C3686" t="s">
        <v>15475</v>
      </c>
      <c r="D3686" t="s">
        <v>16206</v>
      </c>
      <c r="E3686" t="s">
        <v>16218</v>
      </c>
      <c r="F3686" t="s">
        <v>16220</v>
      </c>
      <c r="G3686" t="s">
        <v>16275</v>
      </c>
      <c r="H3686" t="s">
        <v>16276</v>
      </c>
      <c r="I3686" t="s">
        <v>16352</v>
      </c>
      <c r="J3686" t="s">
        <v>16386</v>
      </c>
      <c r="K3686">
        <v>0.149</v>
      </c>
      <c r="L3686">
        <v>6499</v>
      </c>
      <c r="M3686">
        <v>1996</v>
      </c>
      <c r="N3686" t="s">
        <v>16393</v>
      </c>
      <c r="O3686" s="4">
        <v>51103</v>
      </c>
      <c r="P3686" s="4">
        <v>112910</v>
      </c>
      <c r="Q3686" s="4">
        <v>164013</v>
      </c>
      <c r="R3686" s="4">
        <v>492039</v>
      </c>
      <c r="S3686" t="s">
        <v>19998</v>
      </c>
      <c r="T3686" s="6">
        <v>38838</v>
      </c>
      <c r="U3686" s="4">
        <v>309000</v>
      </c>
      <c r="V3686" t="s">
        <v>23739</v>
      </c>
      <c r="W3686" t="s">
        <v>25591</v>
      </c>
      <c r="X3686" t="s">
        <v>3</v>
      </c>
      <c r="AA3686" s="5" t="str">
        <f>HYPERLINK("https://www.zillow.com/homes/780-VIOLET-CIR-NAPERVILLE-IL-60540_rb/","check listing")</f>
        <v>check listing</v>
      </c>
      <c r="AB3686" s="5" t="str">
        <f>HYPERLINK("https://propertylookup.dupagecounty.gov/Datalets/Datalet.aspx?UseSearch=no&amp;mode=sales&amp;pin=0722410024","sales record")</f>
        <v>sales record</v>
      </c>
      <c r="AC3686" t="s">
        <v>3</v>
      </c>
      <c r="AD3686">
        <v>41.759402</v>
      </c>
      <c r="AE3686">
        <v>-88.190022</v>
      </c>
      <c r="AF3686" s="5" t="str">
        <f>HYPERLINK("https://www.google.com/maps/search/?api=1&amp;query=41.759402,-88.190022","map")</f>
        <v>map</v>
      </c>
    </row>
    <row r="3687" spans="1:32">
      <c r="A3687" t="s">
        <v>3737</v>
      </c>
      <c r="B3687" t="s">
        <v>11270</v>
      </c>
      <c r="C3687" t="s">
        <v>15475</v>
      </c>
      <c r="D3687" t="s">
        <v>16206</v>
      </c>
      <c r="E3687" t="s">
        <v>16218</v>
      </c>
      <c r="F3687" t="s">
        <v>16220</v>
      </c>
      <c r="G3687" t="s">
        <v>16275</v>
      </c>
      <c r="H3687" t="s">
        <v>16276</v>
      </c>
      <c r="I3687" t="s">
        <v>16352</v>
      </c>
      <c r="J3687" t="s">
        <v>16386</v>
      </c>
      <c r="K3687">
        <v>0.149</v>
      </c>
      <c r="L3687">
        <v>6494</v>
      </c>
      <c r="M3687">
        <v>1979</v>
      </c>
      <c r="N3687" t="s">
        <v>16393</v>
      </c>
      <c r="O3687" s="4">
        <v>51103</v>
      </c>
      <c r="P3687" s="4">
        <v>101815</v>
      </c>
      <c r="Q3687" s="4">
        <v>152918</v>
      </c>
      <c r="R3687" s="4">
        <v>458754</v>
      </c>
      <c r="S3687" t="s">
        <v>19999</v>
      </c>
      <c r="T3687" s="6">
        <v>41883</v>
      </c>
      <c r="U3687" s="4">
        <v>265000</v>
      </c>
      <c r="V3687" t="s">
        <v>23739</v>
      </c>
      <c r="W3687" t="s">
        <v>25592</v>
      </c>
      <c r="X3687" t="s">
        <v>3</v>
      </c>
      <c r="AA3687" s="5" t="str">
        <f>HYPERLINK("https://www.zillow.com/homes/764-VIOLET-CIR-NAPERVILLE-IL-60540_rb/","check listing")</f>
        <v>check listing</v>
      </c>
      <c r="AB3687" s="5" t="str">
        <f>HYPERLINK("https://propertylookup.dupagecounty.gov/Datalets/Datalet.aspx?UseSearch=no&amp;mode=sales&amp;pin=0722410022","sales record")</f>
        <v>sales record</v>
      </c>
      <c r="AC3687" t="s">
        <v>3</v>
      </c>
      <c r="AD3687">
        <v>41.759619</v>
      </c>
      <c r="AE3687">
        <v>-88.189815</v>
      </c>
      <c r="AF3687" s="5" t="str">
        <f>HYPERLINK("https://www.google.com/maps/search/?api=1&amp;query=41.759619,-88.189815","map")</f>
        <v>map</v>
      </c>
    </row>
    <row r="3688" spans="1:32">
      <c r="A3688" t="s">
        <v>3738</v>
      </c>
      <c r="B3688" t="s">
        <v>11271</v>
      </c>
      <c r="C3688" t="s">
        <v>15475</v>
      </c>
      <c r="D3688" t="s">
        <v>16206</v>
      </c>
      <c r="E3688" t="s">
        <v>16218</v>
      </c>
      <c r="F3688" t="s">
        <v>16220</v>
      </c>
      <c r="G3688" t="s">
        <v>16275</v>
      </c>
      <c r="H3688" t="s">
        <v>16276</v>
      </c>
      <c r="I3688" t="s">
        <v>16352</v>
      </c>
      <c r="J3688" t="s">
        <v>16386</v>
      </c>
      <c r="K3688">
        <v>0.149</v>
      </c>
      <c r="L3688">
        <v>6491</v>
      </c>
      <c r="M3688">
        <v>2572</v>
      </c>
      <c r="N3688" t="s">
        <v>16393</v>
      </c>
      <c r="O3688" s="4">
        <v>49444</v>
      </c>
      <c r="P3688" s="4">
        <v>140725</v>
      </c>
      <c r="Q3688" s="4">
        <v>190169</v>
      </c>
      <c r="R3688" s="4">
        <v>570507</v>
      </c>
      <c r="S3688" t="s">
        <v>20000</v>
      </c>
      <c r="T3688" s="6">
        <v>37012</v>
      </c>
      <c r="U3688" s="4">
        <v>268800</v>
      </c>
      <c r="V3688" t="s">
        <v>23739</v>
      </c>
      <c r="W3688" t="s">
        <v>25593</v>
      </c>
      <c r="X3688" t="s">
        <v>3</v>
      </c>
      <c r="AA3688" s="5" t="str">
        <f>HYPERLINK("https://www.zillow.com/homes/1212-LAKEWOOD-CIR-NAPERVILLE-IL-60540_rb/","check listing")</f>
        <v>check listing</v>
      </c>
      <c r="AB3688" s="5" t="str">
        <f>HYPERLINK("https://propertylookup.dupagecounty.gov/Datalets/Datalet.aspx?UseSearch=no&amp;mode=sales&amp;pin=0727202003","sales record")</f>
        <v>sales record</v>
      </c>
      <c r="AC3688" t="s">
        <v>3</v>
      </c>
      <c r="AD3688">
        <v>41.7487</v>
      </c>
      <c r="AE3688">
        <v>-88.19103800000001</v>
      </c>
      <c r="AF3688" s="5" t="str">
        <f>HYPERLINK("https://www.google.com/maps/search/?api=1&amp;query=41.7487,-88.191038","map")</f>
        <v>map</v>
      </c>
    </row>
    <row r="3689" spans="1:32">
      <c r="A3689" t="s">
        <v>3739</v>
      </c>
      <c r="B3689" t="s">
        <v>11272</v>
      </c>
      <c r="C3689" t="s">
        <v>15475</v>
      </c>
      <c r="D3689" t="s">
        <v>16206</v>
      </c>
      <c r="E3689" t="s">
        <v>16218</v>
      </c>
      <c r="F3689" t="s">
        <v>16220</v>
      </c>
      <c r="G3689" t="s">
        <v>16275</v>
      </c>
      <c r="H3689" t="s">
        <v>16276</v>
      </c>
      <c r="I3689" t="s">
        <v>16352</v>
      </c>
      <c r="J3689" t="s">
        <v>16386</v>
      </c>
      <c r="K3689">
        <v>0.149</v>
      </c>
      <c r="L3689">
        <v>6491</v>
      </c>
      <c r="M3689">
        <v>1814</v>
      </c>
      <c r="N3689" t="s">
        <v>16393</v>
      </c>
      <c r="O3689" s="4">
        <v>49444</v>
      </c>
      <c r="P3689" s="4">
        <v>84337</v>
      </c>
      <c r="Q3689" s="4">
        <v>133781</v>
      </c>
      <c r="R3689" s="4">
        <v>401343</v>
      </c>
      <c r="S3689" t="s">
        <v>20001</v>
      </c>
      <c r="T3689" s="6">
        <v>34274</v>
      </c>
      <c r="U3689" s="4">
        <v>147360</v>
      </c>
      <c r="X3689" t="s">
        <v>3</v>
      </c>
      <c r="AA3689" s="5" t="str">
        <f>HYPERLINK("https://www.zillow.com/homes/1120-SELMA-LN-NAPERVILLE-IL-60540_rb/","check listing")</f>
        <v>check listing</v>
      </c>
      <c r="AB3689" s="5" t="str">
        <f>HYPERLINK("https://propertylookup.dupagecounty.gov/Datalets/Datalet.aspx?UseSearch=no&amp;mode=sales&amp;pin=0727204028","sales record")</f>
        <v>sales record</v>
      </c>
      <c r="AC3689" t="s">
        <v>3</v>
      </c>
      <c r="AD3689">
        <v>41.749804</v>
      </c>
      <c r="AE3689">
        <v>-88.189089</v>
      </c>
      <c r="AF3689" s="5" t="str">
        <f>HYPERLINK("https://www.google.com/maps/search/?api=1&amp;query=41.749804,-88.189089","map")</f>
        <v>map</v>
      </c>
    </row>
    <row r="3690" spans="1:32">
      <c r="A3690" t="s">
        <v>3740</v>
      </c>
      <c r="B3690" t="s">
        <v>11273</v>
      </c>
      <c r="C3690" t="s">
        <v>15475</v>
      </c>
      <c r="D3690" t="s">
        <v>16206</v>
      </c>
      <c r="E3690" t="s">
        <v>16218</v>
      </c>
      <c r="F3690" t="s">
        <v>16220</v>
      </c>
      <c r="G3690" t="s">
        <v>16275</v>
      </c>
      <c r="H3690" t="s">
        <v>16276</v>
      </c>
      <c r="I3690" t="s">
        <v>16352</v>
      </c>
      <c r="J3690" t="s">
        <v>16386</v>
      </c>
      <c r="K3690">
        <v>0.149</v>
      </c>
      <c r="L3690">
        <v>6491</v>
      </c>
      <c r="M3690">
        <v>2358</v>
      </c>
      <c r="N3690" t="s">
        <v>16393</v>
      </c>
      <c r="O3690" s="4">
        <v>49444</v>
      </c>
      <c r="P3690" s="4">
        <v>110103</v>
      </c>
      <c r="Q3690" s="4">
        <v>159547</v>
      </c>
      <c r="R3690" s="4">
        <v>478641</v>
      </c>
      <c r="S3690" t="s">
        <v>20002</v>
      </c>
      <c r="T3690" s="6">
        <v>44013</v>
      </c>
      <c r="U3690" s="4">
        <v>315000</v>
      </c>
      <c r="V3690" t="s">
        <v>23739</v>
      </c>
      <c r="W3690" t="s">
        <v>25594</v>
      </c>
      <c r="X3690" t="s">
        <v>3</v>
      </c>
      <c r="AA3690" s="5" t="str">
        <f>HYPERLINK("https://www.zillow.com/homes/1216-LAKEWOOD-CIR-NAPERVILLE-IL-60540_rb/","check listing")</f>
        <v>check listing</v>
      </c>
      <c r="AB3690" s="5" t="str">
        <f>HYPERLINK("https://propertylookup.dupagecounty.gov/Datalets/Datalet.aspx?UseSearch=no&amp;mode=sales&amp;pin=0727202004","sales record")</f>
        <v>sales record</v>
      </c>
      <c r="AC3690" t="s">
        <v>3</v>
      </c>
      <c r="AD3690">
        <v>41.748544</v>
      </c>
      <c r="AE3690">
        <v>-88.191095</v>
      </c>
      <c r="AF3690" s="5" t="str">
        <f>HYPERLINK("https://www.google.com/maps/search/?api=1&amp;query=41.748544,-88.191095","map")</f>
        <v>map</v>
      </c>
    </row>
    <row r="3691" spans="1:32">
      <c r="A3691" t="s">
        <v>3741</v>
      </c>
      <c r="B3691" t="s">
        <v>11274</v>
      </c>
      <c r="C3691" t="s">
        <v>15475</v>
      </c>
      <c r="D3691" t="s">
        <v>16206</v>
      </c>
      <c r="E3691" t="s">
        <v>16218</v>
      </c>
      <c r="F3691" t="s">
        <v>16220</v>
      </c>
      <c r="G3691" t="s">
        <v>16275</v>
      </c>
      <c r="H3691" t="s">
        <v>16276</v>
      </c>
      <c r="I3691" t="s">
        <v>16352</v>
      </c>
      <c r="J3691" t="s">
        <v>16386</v>
      </c>
      <c r="K3691">
        <v>0.149</v>
      </c>
      <c r="L3691">
        <v>6489</v>
      </c>
      <c r="M3691">
        <v>1632</v>
      </c>
      <c r="N3691" t="s">
        <v>16393</v>
      </c>
      <c r="O3691" s="4">
        <v>49444</v>
      </c>
      <c r="P3691" s="4">
        <v>88646</v>
      </c>
      <c r="Q3691" s="4">
        <v>138090</v>
      </c>
      <c r="R3691" s="4">
        <v>414270</v>
      </c>
      <c r="S3691" t="s">
        <v>20003</v>
      </c>
      <c r="T3691" s="6">
        <v>45223</v>
      </c>
      <c r="U3691" s="4">
        <v>420000</v>
      </c>
      <c r="V3691" t="s">
        <v>23739</v>
      </c>
      <c r="W3691" t="s">
        <v>25595</v>
      </c>
      <c r="X3691" t="s">
        <v>3</v>
      </c>
      <c r="AA3691" s="5" t="str">
        <f>HYPERLINK("https://www.zillow.com/homes/1124-SELMA-LN-NAPERVILLE-IL-60540_rb/","check listing")</f>
        <v>check listing</v>
      </c>
      <c r="AB3691" s="5" t="str">
        <f>HYPERLINK("https://propertylookup.dupagecounty.gov/Datalets/Datalet.aspx?UseSearch=no&amp;mode=sales&amp;pin=0727204027","sales record")</f>
        <v>sales record</v>
      </c>
      <c r="AC3691" t="s">
        <v>3</v>
      </c>
      <c r="AD3691">
        <v>41.749671</v>
      </c>
      <c r="AE3691">
        <v>-88.189089</v>
      </c>
      <c r="AF3691" s="5" t="str">
        <f>HYPERLINK("https://www.google.com/maps/search/?api=1&amp;query=41.749671,-88.189089","map")</f>
        <v>map</v>
      </c>
    </row>
    <row r="3692" spans="1:32">
      <c r="A3692" t="s">
        <v>3742</v>
      </c>
      <c r="B3692" t="s">
        <v>11275</v>
      </c>
      <c r="C3692" t="s">
        <v>15475</v>
      </c>
      <c r="D3692" t="s">
        <v>16206</v>
      </c>
      <c r="E3692" t="s">
        <v>16218</v>
      </c>
      <c r="F3692" t="s">
        <v>16220</v>
      </c>
      <c r="G3692" t="s">
        <v>16275</v>
      </c>
      <c r="H3692" t="s">
        <v>16276</v>
      </c>
      <c r="I3692" t="s">
        <v>16352</v>
      </c>
      <c r="J3692" t="s">
        <v>16386</v>
      </c>
      <c r="K3692">
        <v>0.149</v>
      </c>
      <c r="L3692">
        <v>6488</v>
      </c>
      <c r="M3692">
        <v>2358</v>
      </c>
      <c r="N3692" t="s">
        <v>16393</v>
      </c>
      <c r="O3692" s="4">
        <v>49444</v>
      </c>
      <c r="P3692" s="4">
        <v>138566</v>
      </c>
      <c r="Q3692" s="4">
        <v>188010</v>
      </c>
      <c r="R3692" s="4">
        <v>564030</v>
      </c>
      <c r="S3692" t="s">
        <v>20004</v>
      </c>
      <c r="T3692" s="6">
        <v>35947</v>
      </c>
      <c r="U3692" s="4">
        <v>230000</v>
      </c>
      <c r="X3692" t="s">
        <v>3</v>
      </c>
      <c r="AA3692" s="5" t="str">
        <f>HYPERLINK("https://www.zillow.com/homes/1208-LAKEWOOD-CIR-NAPERVILLE-IL-60540_rb/","check listing")</f>
        <v>check listing</v>
      </c>
      <c r="AB3692" s="5" t="str">
        <f>HYPERLINK("https://propertylookup.dupagecounty.gov/Datalets/Datalet.aspx?UseSearch=no&amp;mode=sales&amp;pin=0727202002","sales record")</f>
        <v>sales record</v>
      </c>
      <c r="AC3692" t="s">
        <v>3</v>
      </c>
      <c r="AD3692">
        <v>41.748856</v>
      </c>
      <c r="AE3692">
        <v>-88.19098099999999</v>
      </c>
      <c r="AF3692" s="5" t="str">
        <f>HYPERLINK("https://www.google.com/maps/search/?api=1&amp;query=41.748856,-88.190981","map")</f>
        <v>map</v>
      </c>
    </row>
    <row r="3693" spans="1:32">
      <c r="A3693" t="s">
        <v>3743</v>
      </c>
      <c r="B3693" t="s">
        <v>11276</v>
      </c>
      <c r="C3693" t="s">
        <v>15507</v>
      </c>
      <c r="D3693" t="s">
        <v>16206</v>
      </c>
      <c r="E3693" t="s">
        <v>16218</v>
      </c>
      <c r="F3693" t="s">
        <v>16220</v>
      </c>
      <c r="G3693" t="s">
        <v>16269</v>
      </c>
      <c r="H3693" t="s">
        <v>16269</v>
      </c>
      <c r="I3693" t="s">
        <v>16352</v>
      </c>
      <c r="J3693" t="s">
        <v>16386</v>
      </c>
      <c r="K3693">
        <v>0.149</v>
      </c>
      <c r="L3693">
        <v>6486</v>
      </c>
      <c r="M3693">
        <v>1608</v>
      </c>
      <c r="N3693" t="s">
        <v>16393</v>
      </c>
      <c r="O3693" s="4">
        <v>71707</v>
      </c>
      <c r="P3693" s="4">
        <v>91720</v>
      </c>
      <c r="Q3693" s="4">
        <v>163427</v>
      </c>
      <c r="R3693" s="4">
        <v>490281</v>
      </c>
      <c r="S3693" t="s">
        <v>20005</v>
      </c>
      <c r="T3693" s="6">
        <v>40603</v>
      </c>
      <c r="U3693" s="4">
        <v>240000</v>
      </c>
      <c r="V3693" t="s">
        <v>23739</v>
      </c>
      <c r="W3693" t="s">
        <v>25596</v>
      </c>
      <c r="X3693" t="s">
        <v>3</v>
      </c>
      <c r="AA3693" s="5" t="str">
        <f>HYPERLINK("https://www.zillow.com/homes/1715-CHALMETTE-CT-NAPERVILLE-IL-605654403_rb/","check listing")</f>
        <v>check listing</v>
      </c>
      <c r="AB3693" s="5" t="str">
        <f>HYPERLINK("https://propertylookup.dupagecounty.gov/Datalets/Datalet.aspx?UseSearch=no&amp;mode=sales&amp;pin=0832114066","sales record")</f>
        <v>sales record</v>
      </c>
      <c r="AC3693" t="s">
        <v>3</v>
      </c>
      <c r="AD3693">
        <v>41.735636</v>
      </c>
      <c r="AE3693">
        <v>-88.122333</v>
      </c>
      <c r="AF3693" s="5" t="str">
        <f>HYPERLINK("https://www.google.com/maps/search/?api=1&amp;query=41.735636,-88.122333","map")</f>
        <v>map</v>
      </c>
    </row>
    <row r="3694" spans="1:32">
      <c r="A3694" t="s">
        <v>3744</v>
      </c>
      <c r="B3694" t="s">
        <v>11277</v>
      </c>
      <c r="C3694" t="s">
        <v>15592</v>
      </c>
      <c r="D3694" t="s">
        <v>16206</v>
      </c>
      <c r="E3694" t="s">
        <v>16218</v>
      </c>
      <c r="F3694" t="s">
        <v>16220</v>
      </c>
      <c r="G3694" t="s">
        <v>16274</v>
      </c>
      <c r="H3694" t="s">
        <v>16269</v>
      </c>
      <c r="I3694" t="s">
        <v>16352</v>
      </c>
      <c r="J3694" t="s">
        <v>16386</v>
      </c>
      <c r="K3694">
        <v>0.149</v>
      </c>
      <c r="L3694">
        <v>6479</v>
      </c>
      <c r="M3694">
        <v>2177</v>
      </c>
      <c r="N3694" t="s">
        <v>16393</v>
      </c>
      <c r="O3694" s="4">
        <v>48576</v>
      </c>
      <c r="P3694" s="4">
        <v>102401</v>
      </c>
      <c r="Q3694" s="4">
        <v>150977</v>
      </c>
      <c r="R3694" s="4">
        <v>452931</v>
      </c>
      <c r="S3694" t="s">
        <v>20006</v>
      </c>
      <c r="T3694" s="6">
        <v>38412</v>
      </c>
      <c r="U3694" s="4">
        <v>298000</v>
      </c>
      <c r="V3694" t="s">
        <v>23739</v>
      </c>
      <c r="W3694" t="s">
        <v>25597</v>
      </c>
      <c r="X3694" t="s">
        <v>3</v>
      </c>
      <c r="AA3694" s="5" t="str">
        <f>HYPERLINK("https://www.zillow.com/homes/1634-LOIS-ANN-LN-NAPERVILLE-IL-605630469_rb/","check listing")</f>
        <v>check listing</v>
      </c>
      <c r="AB3694" s="5" t="str">
        <f>HYPERLINK("https://propertylookup.dupagecounty.gov/Datalets/Datalet.aspx?UseSearch=no&amp;mode=sales&amp;pin=0715204011","sales record")</f>
        <v>sales record</v>
      </c>
      <c r="AC3694" t="s">
        <v>3</v>
      </c>
      <c r="AD3694">
        <v>41.781676</v>
      </c>
      <c r="AE3694">
        <v>-88.19235999999999</v>
      </c>
      <c r="AF3694" s="5" t="str">
        <f>HYPERLINK("https://www.google.com/maps/search/?api=1&amp;query=41.781676,-88.19236","map")</f>
        <v>map</v>
      </c>
    </row>
    <row r="3695" spans="1:32">
      <c r="A3695" t="s">
        <v>3745</v>
      </c>
      <c r="B3695" t="s">
        <v>11278</v>
      </c>
      <c r="C3695" t="s">
        <v>15476</v>
      </c>
      <c r="D3695" t="s">
        <v>16206</v>
      </c>
      <c r="E3695" t="s">
        <v>16218</v>
      </c>
      <c r="F3695" t="s">
        <v>16220</v>
      </c>
      <c r="G3695" t="s">
        <v>16269</v>
      </c>
      <c r="H3695" t="s">
        <v>16269</v>
      </c>
      <c r="I3695" t="s">
        <v>16352</v>
      </c>
      <c r="J3695" t="s">
        <v>16386</v>
      </c>
      <c r="K3695">
        <v>0.149</v>
      </c>
      <c r="L3695">
        <v>6476</v>
      </c>
      <c r="M3695">
        <v>1758</v>
      </c>
      <c r="N3695" t="s">
        <v>16393</v>
      </c>
      <c r="O3695" s="4">
        <v>71707</v>
      </c>
      <c r="P3695" s="4">
        <v>86547</v>
      </c>
      <c r="Q3695" s="4">
        <v>158254</v>
      </c>
      <c r="R3695" s="4">
        <v>474762</v>
      </c>
      <c r="S3695" t="s">
        <v>20007</v>
      </c>
      <c r="T3695" s="6">
        <v>33695</v>
      </c>
      <c r="U3695" s="4">
        <v>163190</v>
      </c>
      <c r="X3695" t="s">
        <v>3</v>
      </c>
      <c r="AA3695" s="5" t="str">
        <f>HYPERLINK("https://www.zillow.com/homes/468-BOURBON-LN-NAPERVILLE-IL-60565_rb/","check listing")</f>
        <v>check listing</v>
      </c>
      <c r="AB3695" s="5" t="str">
        <f>HYPERLINK("https://propertylookup.dupagecounty.gov/Datalets/Datalet.aspx?UseSearch=no&amp;mode=sales&amp;pin=0832117017","sales record")</f>
        <v>sales record</v>
      </c>
      <c r="AC3695" t="s">
        <v>3</v>
      </c>
      <c r="AD3695">
        <v>41.73485</v>
      </c>
      <c r="AE3695">
        <v>-88.119631</v>
      </c>
      <c r="AF3695" s="5" t="str">
        <f>HYPERLINK("https://www.google.com/maps/search/?api=1&amp;query=41.73485,-88.119631","map")</f>
        <v>map</v>
      </c>
    </row>
    <row r="3696" spans="1:32">
      <c r="A3696" t="s">
        <v>3746</v>
      </c>
      <c r="B3696" t="s">
        <v>11279</v>
      </c>
      <c r="C3696" t="s">
        <v>15475</v>
      </c>
      <c r="D3696" t="s">
        <v>16206</v>
      </c>
      <c r="E3696" t="s">
        <v>16218</v>
      </c>
      <c r="F3696" t="s">
        <v>16220</v>
      </c>
      <c r="G3696" t="s">
        <v>16275</v>
      </c>
      <c r="H3696" t="s">
        <v>16276</v>
      </c>
      <c r="I3696" t="s">
        <v>16352</v>
      </c>
      <c r="J3696" t="s">
        <v>16386</v>
      </c>
      <c r="K3696">
        <v>0.149</v>
      </c>
      <c r="L3696">
        <v>6472</v>
      </c>
      <c r="M3696">
        <v>1975</v>
      </c>
      <c r="N3696" t="s">
        <v>16393</v>
      </c>
      <c r="O3696" s="4">
        <v>49444</v>
      </c>
      <c r="P3696" s="4">
        <v>110444</v>
      </c>
      <c r="Q3696" s="4">
        <v>159888</v>
      </c>
      <c r="R3696" s="4">
        <v>479664</v>
      </c>
      <c r="S3696" t="s">
        <v>20008</v>
      </c>
      <c r="T3696" s="6">
        <v>41579</v>
      </c>
      <c r="U3696" s="4">
        <v>290000</v>
      </c>
      <c r="V3696" t="s">
        <v>23739</v>
      </c>
      <c r="W3696" t="s">
        <v>25598</v>
      </c>
      <c r="X3696" t="s">
        <v>3</v>
      </c>
      <c r="AA3696" s="5" t="str">
        <f>HYPERLINK("https://www.zillow.com/homes/1087-SELMA-LN-NAPERVILLE-IL-60540_rb/","check listing")</f>
        <v>check listing</v>
      </c>
      <c r="AB3696" s="5" t="str">
        <f>HYPERLINK("https://propertylookup.dupagecounty.gov/Datalets/Datalet.aspx?UseSearch=no&amp;mode=sales&amp;pin=0727205001","sales record")</f>
        <v>sales record</v>
      </c>
      <c r="AC3696" t="s">
        <v>3</v>
      </c>
      <c r="AD3696">
        <v>41.750942</v>
      </c>
      <c r="AE3696">
        <v>-88.189969</v>
      </c>
      <c r="AF3696" s="5" t="str">
        <f>HYPERLINK("https://www.google.com/maps/search/?api=1&amp;query=41.750942,-88.189969","map")</f>
        <v>map</v>
      </c>
    </row>
    <row r="3697" spans="1:32">
      <c r="A3697" t="s">
        <v>3747</v>
      </c>
      <c r="B3697" t="s">
        <v>11280</v>
      </c>
      <c r="C3697" t="s">
        <v>15475</v>
      </c>
      <c r="D3697" t="s">
        <v>16206</v>
      </c>
      <c r="E3697" t="s">
        <v>16218</v>
      </c>
      <c r="F3697" t="s">
        <v>16220</v>
      </c>
      <c r="G3697" t="s">
        <v>16275</v>
      </c>
      <c r="H3697" t="s">
        <v>16276</v>
      </c>
      <c r="I3697" t="s">
        <v>16352</v>
      </c>
      <c r="J3697" t="s">
        <v>16386</v>
      </c>
      <c r="K3697">
        <v>0.149</v>
      </c>
      <c r="L3697">
        <v>6472</v>
      </c>
      <c r="M3697">
        <v>1979</v>
      </c>
      <c r="N3697" t="s">
        <v>16393</v>
      </c>
      <c r="O3697" s="4">
        <v>49444</v>
      </c>
      <c r="P3697" s="4">
        <v>102634</v>
      </c>
      <c r="Q3697" s="4">
        <v>152078</v>
      </c>
      <c r="R3697" s="4">
        <v>456234</v>
      </c>
      <c r="S3697" t="s">
        <v>20009</v>
      </c>
      <c r="T3697" s="6">
        <v>35765</v>
      </c>
      <c r="U3697" s="4">
        <v>181000</v>
      </c>
      <c r="X3697" t="s">
        <v>3</v>
      </c>
      <c r="AA3697" s="5" t="str">
        <f>HYPERLINK("https://www.zillow.com/homes/2012-CROSSING-LN-NAPERVILLE-IL-60540_rb/","check listing")</f>
        <v>check listing</v>
      </c>
      <c r="AB3697" s="5" t="str">
        <f>HYPERLINK("https://propertylookup.dupagecounty.gov/Datalets/Datalet.aspx?UseSearch=no&amp;mode=sales&amp;pin=0727204011","sales record")</f>
        <v>sales record</v>
      </c>
      <c r="AC3697" t="s">
        <v>3</v>
      </c>
      <c r="AD3697">
        <v>41.74999</v>
      </c>
      <c r="AE3697">
        <v>-88.187417</v>
      </c>
      <c r="AF3697" s="5" t="str">
        <f>HYPERLINK("https://www.google.com/maps/search/?api=1&amp;query=41.74999,-88.187417","map")</f>
        <v>map</v>
      </c>
    </row>
    <row r="3698" spans="1:32">
      <c r="A3698" t="s">
        <v>3748</v>
      </c>
      <c r="B3698" t="s">
        <v>11281</v>
      </c>
      <c r="C3698" t="s">
        <v>15475</v>
      </c>
      <c r="D3698" t="s">
        <v>16206</v>
      </c>
      <c r="E3698" t="s">
        <v>16218</v>
      </c>
      <c r="F3698" t="s">
        <v>16220</v>
      </c>
      <c r="G3698" t="s">
        <v>16275</v>
      </c>
      <c r="H3698" t="s">
        <v>16276</v>
      </c>
      <c r="I3698" t="s">
        <v>16352</v>
      </c>
      <c r="J3698" t="s">
        <v>16386</v>
      </c>
      <c r="K3698">
        <v>0.149</v>
      </c>
      <c r="L3698">
        <v>6471</v>
      </c>
      <c r="M3698">
        <v>1451</v>
      </c>
      <c r="N3698" t="s">
        <v>16393</v>
      </c>
      <c r="O3698" s="4">
        <v>49444</v>
      </c>
      <c r="P3698" s="4">
        <v>91466</v>
      </c>
      <c r="Q3698" s="4">
        <v>140910</v>
      </c>
      <c r="R3698" s="4">
        <v>422730</v>
      </c>
      <c r="S3698" t="s">
        <v>20010</v>
      </c>
      <c r="T3698" s="6">
        <v>42156</v>
      </c>
      <c r="U3698" s="4">
        <v>255000</v>
      </c>
      <c r="V3698" t="s">
        <v>23739</v>
      </c>
      <c r="W3698" t="s">
        <v>25599</v>
      </c>
      <c r="X3698" t="s">
        <v>3</v>
      </c>
      <c r="AA3698" s="5" t="str">
        <f>HYPERLINK("https://www.zillow.com/homes/1103-SELMA-LN-NAPERVILLE-IL-60540_rb/","check listing")</f>
        <v>check listing</v>
      </c>
      <c r="AB3698" s="5" t="str">
        <f>HYPERLINK("https://propertylookup.dupagecounty.gov/Datalets/Datalet.aspx?UseSearch=no&amp;mode=sales&amp;pin=0727205004","sales record")</f>
        <v>sales record</v>
      </c>
      <c r="AC3698" t="s">
        <v>3</v>
      </c>
      <c r="AD3698">
        <v>41.750461</v>
      </c>
      <c r="AE3698">
        <v>-88.18987799999999</v>
      </c>
      <c r="AF3698" s="5" t="str">
        <f>HYPERLINK("https://www.google.com/maps/search/?api=1&amp;query=41.750461,-88.189878","map")</f>
        <v>map</v>
      </c>
    </row>
    <row r="3699" spans="1:32">
      <c r="A3699" t="s">
        <v>3749</v>
      </c>
      <c r="B3699" t="s">
        <v>11282</v>
      </c>
      <c r="C3699" t="s">
        <v>15475</v>
      </c>
      <c r="D3699" t="s">
        <v>16206</v>
      </c>
      <c r="E3699" t="s">
        <v>16218</v>
      </c>
      <c r="F3699" t="s">
        <v>16220</v>
      </c>
      <c r="G3699" t="s">
        <v>16275</v>
      </c>
      <c r="H3699" t="s">
        <v>16276</v>
      </c>
      <c r="I3699" t="s">
        <v>16352</v>
      </c>
      <c r="J3699" t="s">
        <v>16386</v>
      </c>
      <c r="K3699">
        <v>0.149</v>
      </c>
      <c r="L3699">
        <v>6471</v>
      </c>
      <c r="M3699">
        <v>1702</v>
      </c>
      <c r="N3699" t="s">
        <v>16393</v>
      </c>
      <c r="O3699" s="4">
        <v>49444</v>
      </c>
      <c r="P3699" s="4">
        <v>120746</v>
      </c>
      <c r="Q3699" s="4">
        <v>170190</v>
      </c>
      <c r="R3699" s="4">
        <v>510570</v>
      </c>
      <c r="S3699" t="s">
        <v>20011</v>
      </c>
      <c r="T3699" s="6">
        <v>38139</v>
      </c>
      <c r="U3699" s="4">
        <v>291900</v>
      </c>
      <c r="V3699" t="s">
        <v>23739</v>
      </c>
      <c r="W3699" t="s">
        <v>25600</v>
      </c>
      <c r="X3699" t="s">
        <v>3</v>
      </c>
      <c r="AA3699" s="5" t="str">
        <f>HYPERLINK("https://www.zillow.com/homes/1107-SELMA-LN-NAPERVILLE-IL-60540_rb/","check listing")</f>
        <v>check listing</v>
      </c>
      <c r="AB3699" s="5" t="str">
        <f>HYPERLINK("https://propertylookup.dupagecounty.gov/Datalets/Datalet.aspx?UseSearch=no&amp;mode=sales&amp;pin=0727205005","sales record")</f>
        <v>sales record</v>
      </c>
      <c r="AC3699" t="s">
        <v>3</v>
      </c>
      <c r="AD3699">
        <v>41.750304</v>
      </c>
      <c r="AE3699">
        <v>-88.189824</v>
      </c>
      <c r="AF3699" s="5" t="str">
        <f>HYPERLINK("https://www.google.com/maps/search/?api=1&amp;query=41.750304,-88.189824","map")</f>
        <v>map</v>
      </c>
    </row>
    <row r="3700" spans="1:32">
      <c r="A3700" t="s">
        <v>3750</v>
      </c>
      <c r="B3700" t="s">
        <v>11283</v>
      </c>
      <c r="C3700" t="s">
        <v>15475</v>
      </c>
      <c r="D3700" t="s">
        <v>16206</v>
      </c>
      <c r="E3700" t="s">
        <v>16218</v>
      </c>
      <c r="F3700" t="s">
        <v>16220</v>
      </c>
      <c r="G3700" t="s">
        <v>16275</v>
      </c>
      <c r="H3700" t="s">
        <v>16276</v>
      </c>
      <c r="I3700" t="s">
        <v>16352</v>
      </c>
      <c r="J3700" t="s">
        <v>16386</v>
      </c>
      <c r="K3700">
        <v>0.148</v>
      </c>
      <c r="L3700">
        <v>6463</v>
      </c>
      <c r="M3700">
        <v>2269</v>
      </c>
      <c r="N3700" t="s">
        <v>16393</v>
      </c>
      <c r="O3700" s="4">
        <v>47905</v>
      </c>
      <c r="P3700" s="4">
        <v>113154</v>
      </c>
      <c r="Q3700" s="4">
        <v>161059</v>
      </c>
      <c r="R3700" s="4">
        <v>483177</v>
      </c>
      <c r="S3700" t="s">
        <v>20012</v>
      </c>
      <c r="T3700" s="6">
        <v>45492</v>
      </c>
      <c r="U3700" s="4">
        <v>475000</v>
      </c>
      <c r="V3700" t="s">
        <v>23739</v>
      </c>
      <c r="W3700" t="s">
        <v>25601</v>
      </c>
      <c r="X3700" t="s">
        <v>3</v>
      </c>
      <c r="AA3700" s="5" t="str">
        <f>HYPERLINK("https://www.zillow.com/homes/856-VIOLET-CIR-NAPERVILLE-IL-60540_rb/","check listing")</f>
        <v>check listing</v>
      </c>
      <c r="AB3700" s="5" t="str">
        <f>HYPERLINK("https://propertylookup.dupagecounty.gov/Datalets/Datalet.aspx?UseSearch=no&amp;mode=sales&amp;pin=0722409040","sales record")</f>
        <v>sales record</v>
      </c>
      <c r="AC3700" t="s">
        <v>27873</v>
      </c>
      <c r="AD3700">
        <v>41.759381</v>
      </c>
      <c r="AE3700">
        <v>-88.192358</v>
      </c>
      <c r="AF3700" s="5" t="str">
        <f>HYPERLINK("https://www.google.com/maps/search/?api=1&amp;query=41.759381,-88.192358","map")</f>
        <v>map</v>
      </c>
    </row>
    <row r="3701" spans="1:32">
      <c r="A3701" t="s">
        <v>3751</v>
      </c>
      <c r="B3701" t="s">
        <v>11284</v>
      </c>
      <c r="C3701" t="s">
        <v>15591</v>
      </c>
      <c r="D3701" t="s">
        <v>16206</v>
      </c>
      <c r="E3701" t="s">
        <v>16218</v>
      </c>
      <c r="F3701" t="s">
        <v>16220</v>
      </c>
      <c r="G3701" t="s">
        <v>16275</v>
      </c>
      <c r="H3701" t="s">
        <v>16276</v>
      </c>
      <c r="I3701" t="s">
        <v>16352</v>
      </c>
      <c r="J3701" t="s">
        <v>16386</v>
      </c>
      <c r="K3701">
        <v>0.148</v>
      </c>
      <c r="L3701">
        <v>6463</v>
      </c>
      <c r="M3701">
        <v>2161</v>
      </c>
      <c r="N3701" t="s">
        <v>16393</v>
      </c>
      <c r="O3701" s="4">
        <v>49444</v>
      </c>
      <c r="P3701" s="4">
        <v>111726</v>
      </c>
      <c r="Q3701" s="4">
        <v>161170</v>
      </c>
      <c r="R3701" s="4">
        <v>483510</v>
      </c>
      <c r="S3701" t="s">
        <v>20013</v>
      </c>
      <c r="T3701" s="6">
        <v>44105</v>
      </c>
      <c r="U3701" s="4">
        <v>340000</v>
      </c>
      <c r="V3701" t="s">
        <v>23739</v>
      </c>
      <c r="W3701" t="s">
        <v>25602</v>
      </c>
      <c r="X3701" t="s">
        <v>3</v>
      </c>
      <c r="AA3701" s="5" t="str">
        <f>HYPERLINK("https://www.zillow.com/homes/1011-LAKEWOOD-CIR-NAPERVILLE-IL-605400998_rb/","check listing")</f>
        <v>check listing</v>
      </c>
      <c r="AB3701" s="5" t="str">
        <f>HYPERLINK("https://propertylookup.dupagecounty.gov/Datalets/Datalet.aspx?UseSearch=no&amp;mode=sales&amp;pin=0727207006","sales record")</f>
        <v>sales record</v>
      </c>
      <c r="AC3701" t="s">
        <v>3</v>
      </c>
      <c r="AD3701">
        <v>41.749246</v>
      </c>
      <c r="AE3701">
        <v>-88.19437000000001</v>
      </c>
      <c r="AF3701" s="5" t="str">
        <f>HYPERLINK("https://www.google.com/maps/search/?api=1&amp;query=41.749246,-88.19437","map")</f>
        <v>map</v>
      </c>
    </row>
    <row r="3702" spans="1:32">
      <c r="A3702" t="s">
        <v>3752</v>
      </c>
      <c r="B3702" t="s">
        <v>11285</v>
      </c>
      <c r="C3702" t="s">
        <v>15475</v>
      </c>
      <c r="D3702" t="s">
        <v>16206</v>
      </c>
      <c r="E3702" t="s">
        <v>16218</v>
      </c>
      <c r="F3702" t="s">
        <v>16220</v>
      </c>
      <c r="G3702" t="s">
        <v>16276</v>
      </c>
      <c r="H3702" t="s">
        <v>16276</v>
      </c>
      <c r="I3702" t="s">
        <v>16352</v>
      </c>
      <c r="J3702" t="s">
        <v>16386</v>
      </c>
      <c r="K3702">
        <v>0.148</v>
      </c>
      <c r="L3702">
        <v>6452</v>
      </c>
      <c r="M3702">
        <v>2116</v>
      </c>
      <c r="N3702" t="s">
        <v>16393</v>
      </c>
      <c r="O3702" s="4">
        <v>49444</v>
      </c>
      <c r="P3702" s="4">
        <v>109797</v>
      </c>
      <c r="Q3702" s="4">
        <v>159241</v>
      </c>
      <c r="R3702" s="4">
        <v>477723</v>
      </c>
      <c r="S3702" t="s">
        <v>20014</v>
      </c>
      <c r="T3702" s="6">
        <v>42917</v>
      </c>
      <c r="U3702" s="4">
        <v>332000</v>
      </c>
      <c r="V3702" t="s">
        <v>23739</v>
      </c>
      <c r="W3702" t="s">
        <v>25603</v>
      </c>
      <c r="X3702" t="s">
        <v>3</v>
      </c>
      <c r="AA3702" s="5" t="str">
        <f>HYPERLINK("https://www.zillow.com/homes/2131-SCHUMACHER-LN-NAPERVILLE-IL-60540_rb/","check listing")</f>
        <v>check listing</v>
      </c>
      <c r="AB3702" s="5" t="str">
        <f>HYPERLINK("https://propertylookup.dupagecounty.gov/Datalets/Datalet.aspx?UseSearch=no&amp;mode=sales&amp;pin=0727208013","sales record")</f>
        <v>sales record</v>
      </c>
      <c r="AC3702" t="s">
        <v>3</v>
      </c>
      <c r="AD3702">
        <v>41.752622</v>
      </c>
      <c r="AE3702">
        <v>-88.18807200000001</v>
      </c>
      <c r="AF3702" s="5" t="str">
        <f>HYPERLINK("https://www.google.com/maps/search/?api=1&amp;query=41.752622,-88.188072","map")</f>
        <v>map</v>
      </c>
    </row>
    <row r="3703" spans="1:32">
      <c r="A3703" t="s">
        <v>3753</v>
      </c>
      <c r="B3703" t="s">
        <v>11286</v>
      </c>
      <c r="C3703" t="s">
        <v>15475</v>
      </c>
      <c r="D3703" t="s">
        <v>16206</v>
      </c>
      <c r="E3703" t="s">
        <v>16218</v>
      </c>
      <c r="F3703" t="s">
        <v>16220</v>
      </c>
      <c r="G3703" t="s">
        <v>16275</v>
      </c>
      <c r="H3703" t="s">
        <v>16276</v>
      </c>
      <c r="I3703" t="s">
        <v>16352</v>
      </c>
      <c r="J3703" t="s">
        <v>16386</v>
      </c>
      <c r="K3703">
        <v>0.148</v>
      </c>
      <c r="L3703">
        <v>6435</v>
      </c>
      <c r="M3703">
        <v>2472</v>
      </c>
      <c r="N3703" t="s">
        <v>16393</v>
      </c>
      <c r="O3703" s="4">
        <v>51103</v>
      </c>
      <c r="P3703" s="4">
        <v>146340</v>
      </c>
      <c r="Q3703" s="4">
        <v>197443</v>
      </c>
      <c r="R3703" s="4">
        <v>592329</v>
      </c>
      <c r="S3703" t="s">
        <v>20015</v>
      </c>
      <c r="T3703" s="6">
        <v>35339</v>
      </c>
      <c r="U3703" s="4">
        <v>213802</v>
      </c>
      <c r="X3703" t="s">
        <v>3</v>
      </c>
      <c r="AA3703" s="5" t="str">
        <f>HYPERLINK("https://www.zillow.com/homes/2212-FELDOTT-LN-NAPERVILLE-IL-60540_rb/","check listing")</f>
        <v>check listing</v>
      </c>
      <c r="AB3703" s="5" t="str">
        <f>HYPERLINK("https://propertylookup.dupagecounty.gov/Datalets/Datalet.aspx?UseSearch=no&amp;mode=sales&amp;pin=0722409008","sales record")</f>
        <v>sales record</v>
      </c>
      <c r="AC3703" t="s">
        <v>3</v>
      </c>
      <c r="AD3703">
        <v>41.760555</v>
      </c>
      <c r="AE3703">
        <v>-88.191413</v>
      </c>
      <c r="AF3703" s="5" t="str">
        <f>HYPERLINK("https://www.google.com/maps/search/?api=1&amp;query=41.760555,-88.191413","map")</f>
        <v>map</v>
      </c>
    </row>
    <row r="3704" spans="1:32">
      <c r="A3704" t="s">
        <v>3754</v>
      </c>
      <c r="B3704" t="s">
        <v>11287</v>
      </c>
      <c r="C3704" t="s">
        <v>15478</v>
      </c>
      <c r="D3704" t="s">
        <v>16206</v>
      </c>
      <c r="E3704" t="s">
        <v>16218</v>
      </c>
      <c r="F3704" t="s">
        <v>16220</v>
      </c>
      <c r="G3704" t="s">
        <v>16274</v>
      </c>
      <c r="H3704" t="s">
        <v>16269</v>
      </c>
      <c r="I3704" t="s">
        <v>16352</v>
      </c>
      <c r="J3704" t="s">
        <v>16386</v>
      </c>
      <c r="K3704">
        <v>0.147</v>
      </c>
      <c r="L3704">
        <v>6425</v>
      </c>
      <c r="M3704">
        <v>1978</v>
      </c>
      <c r="N3704" t="s">
        <v>16393</v>
      </c>
      <c r="O3704" s="4">
        <v>60269</v>
      </c>
      <c r="P3704" s="4">
        <v>97898</v>
      </c>
      <c r="Q3704" s="4">
        <v>158167</v>
      </c>
      <c r="R3704" s="4">
        <v>474501</v>
      </c>
      <c r="S3704" t="s">
        <v>20016</v>
      </c>
      <c r="T3704" s="6">
        <v>33359</v>
      </c>
      <c r="U3704" s="4">
        <v>157815</v>
      </c>
      <c r="X3704" t="s">
        <v>3</v>
      </c>
      <c r="AA3704" s="5" t="str">
        <f>HYPERLINK("https://www.zillow.com/homes/805-BRUNO-CT-NAPERVILLE-IL-60563_rb/","check listing")</f>
        <v>check listing</v>
      </c>
      <c r="AB3704" s="5" t="str">
        <f>HYPERLINK("https://propertylookup.dupagecounty.gov/Datalets/Datalet.aspx?UseSearch=no&amp;mode=sales&amp;pin=0715203004","sales record")</f>
        <v>sales record</v>
      </c>
      <c r="AC3704" t="s">
        <v>3</v>
      </c>
      <c r="AD3704">
        <v>41.782399</v>
      </c>
      <c r="AE3704">
        <v>-88.19394</v>
      </c>
      <c r="AF3704" s="5" t="str">
        <f>HYPERLINK("https://www.google.com/maps/search/?api=1&amp;query=41.782399,-88.19394","map")</f>
        <v>map</v>
      </c>
    </row>
    <row r="3705" spans="1:32">
      <c r="A3705" t="s">
        <v>3755</v>
      </c>
      <c r="B3705" t="s">
        <v>11288</v>
      </c>
      <c r="C3705" t="s">
        <v>15476</v>
      </c>
      <c r="D3705" t="s">
        <v>16206</v>
      </c>
      <c r="E3705" t="s">
        <v>16218</v>
      </c>
      <c r="F3705" t="s">
        <v>16220</v>
      </c>
      <c r="G3705" t="s">
        <v>16269</v>
      </c>
      <c r="H3705" t="s">
        <v>16269</v>
      </c>
      <c r="I3705" t="s">
        <v>16352</v>
      </c>
      <c r="J3705" t="s">
        <v>16386</v>
      </c>
      <c r="K3705">
        <v>0.147</v>
      </c>
      <c r="L3705">
        <v>6418</v>
      </c>
      <c r="M3705">
        <v>1769</v>
      </c>
      <c r="N3705" t="s">
        <v>16393</v>
      </c>
      <c r="O3705" s="4">
        <v>74929</v>
      </c>
      <c r="P3705" s="4">
        <v>98118</v>
      </c>
      <c r="Q3705" s="4">
        <v>173047</v>
      </c>
      <c r="R3705" s="4">
        <v>519141</v>
      </c>
      <c r="S3705" t="s">
        <v>20017</v>
      </c>
      <c r="T3705" s="6">
        <v>36708</v>
      </c>
      <c r="U3705" s="4">
        <v>247500</v>
      </c>
      <c r="V3705" t="s">
        <v>23739</v>
      </c>
      <c r="W3705" t="s">
        <v>20017</v>
      </c>
      <c r="X3705" t="s">
        <v>3</v>
      </c>
      <c r="AA3705" s="5" t="str">
        <f>HYPERLINK("https://www.zillow.com/homes/1812-RAMPART-CT-NAPERVILLE-IL-60565_rb/","check listing")</f>
        <v>check listing</v>
      </c>
      <c r="AB3705" s="5" t="str">
        <f>HYPERLINK("https://propertylookup.dupagecounty.gov/Datalets/Datalet.aspx?UseSearch=no&amp;mode=sales&amp;pin=0832117026","sales record")</f>
        <v>sales record</v>
      </c>
      <c r="AC3705" t="s">
        <v>3</v>
      </c>
      <c r="AD3705">
        <v>41.734521</v>
      </c>
      <c r="AE3705">
        <v>-88.118495</v>
      </c>
      <c r="AF3705" s="5" t="str">
        <f>HYPERLINK("https://www.google.com/maps/search/?api=1&amp;query=41.734521,-88.118495","map")</f>
        <v>map</v>
      </c>
    </row>
    <row r="3706" spans="1:32">
      <c r="A3706" t="s">
        <v>3756</v>
      </c>
      <c r="B3706" t="s">
        <v>11289</v>
      </c>
      <c r="C3706" t="s">
        <v>15475</v>
      </c>
      <c r="D3706" t="s">
        <v>16206</v>
      </c>
      <c r="E3706" t="s">
        <v>16218</v>
      </c>
      <c r="F3706" t="s">
        <v>16220</v>
      </c>
      <c r="G3706" t="s">
        <v>16275</v>
      </c>
      <c r="H3706" t="s">
        <v>16276</v>
      </c>
      <c r="I3706" t="s">
        <v>16352</v>
      </c>
      <c r="J3706" t="s">
        <v>16386</v>
      </c>
      <c r="K3706">
        <v>0.147</v>
      </c>
      <c r="L3706">
        <v>6412</v>
      </c>
      <c r="M3706">
        <v>2300</v>
      </c>
      <c r="N3706" t="s">
        <v>16393</v>
      </c>
      <c r="O3706" s="4">
        <v>51103</v>
      </c>
      <c r="P3706" s="4">
        <v>133988</v>
      </c>
      <c r="Q3706" s="4">
        <v>185091</v>
      </c>
      <c r="R3706" s="4">
        <v>555273</v>
      </c>
      <c r="S3706" t="s">
        <v>20018</v>
      </c>
      <c r="T3706" s="6">
        <v>35004</v>
      </c>
      <c r="U3706" s="4">
        <v>213582</v>
      </c>
      <c r="X3706" t="s">
        <v>3</v>
      </c>
      <c r="AA3706" s="5" t="str">
        <f>HYPERLINK("https://www.zillow.com/homes/2204-FELDOTT-LN-NAPERVILLE-IL-60540_rb/","check listing")</f>
        <v>check listing</v>
      </c>
      <c r="AB3706" s="5" t="str">
        <f>HYPERLINK("https://propertylookup.dupagecounty.gov/Datalets/Datalet.aspx?UseSearch=no&amp;mode=sales&amp;pin=0722409010","sales record")</f>
        <v>sales record</v>
      </c>
      <c r="AC3706" t="s">
        <v>3</v>
      </c>
      <c r="AD3706">
        <v>41.760856</v>
      </c>
      <c r="AE3706">
        <v>-88.191276</v>
      </c>
      <c r="AF3706" s="5" t="str">
        <f>HYPERLINK("https://www.google.com/maps/search/?api=1&amp;query=41.760856,-88.191276","map")</f>
        <v>map</v>
      </c>
    </row>
    <row r="3707" spans="1:32">
      <c r="A3707" t="s">
        <v>3757</v>
      </c>
      <c r="B3707" t="s">
        <v>11290</v>
      </c>
      <c r="C3707" t="s">
        <v>15476</v>
      </c>
      <c r="D3707" t="s">
        <v>16206</v>
      </c>
      <c r="E3707" t="s">
        <v>16218</v>
      </c>
      <c r="F3707" t="s">
        <v>16220</v>
      </c>
      <c r="G3707" t="s">
        <v>16269</v>
      </c>
      <c r="H3707" t="s">
        <v>16269</v>
      </c>
      <c r="I3707" t="s">
        <v>16352</v>
      </c>
      <c r="J3707" t="s">
        <v>16386</v>
      </c>
      <c r="K3707">
        <v>0.147</v>
      </c>
      <c r="L3707">
        <v>6410</v>
      </c>
      <c r="M3707">
        <v>2177</v>
      </c>
      <c r="N3707" t="s">
        <v>16393</v>
      </c>
      <c r="O3707" s="4">
        <v>71707</v>
      </c>
      <c r="P3707" s="4">
        <v>113303</v>
      </c>
      <c r="Q3707" s="4">
        <v>185010</v>
      </c>
      <c r="R3707" s="4">
        <v>555030</v>
      </c>
      <c r="S3707" t="s">
        <v>20019</v>
      </c>
      <c r="T3707" s="6">
        <v>33451</v>
      </c>
      <c r="U3707" s="4">
        <v>187570</v>
      </c>
      <c r="X3707" t="s">
        <v>3</v>
      </c>
      <c r="AA3707" s="5" t="str">
        <f>HYPERLINK("https://www.zillow.com/homes/1763-NAPOLEON-DR-NAPERVILLE-IL-60565_rb/","check listing")</f>
        <v>check listing</v>
      </c>
      <c r="AB3707" s="5" t="str">
        <f>HYPERLINK("https://propertylookup.dupagecounty.gov/Datalets/Datalet.aspx?UseSearch=no&amp;mode=sales&amp;pin=0832114081","sales record")</f>
        <v>sales record</v>
      </c>
      <c r="AC3707" t="s">
        <v>3</v>
      </c>
      <c r="AD3707">
        <v>41.734794</v>
      </c>
      <c r="AE3707">
        <v>-88.12134500000001</v>
      </c>
      <c r="AF3707" s="5" t="str">
        <f>HYPERLINK("https://www.google.com/maps/search/?api=1&amp;query=41.734794,-88.121345","map")</f>
        <v>map</v>
      </c>
    </row>
    <row r="3708" spans="1:32">
      <c r="A3708" t="s">
        <v>3758</v>
      </c>
      <c r="B3708" t="s">
        <v>11291</v>
      </c>
      <c r="C3708" t="s">
        <v>15581</v>
      </c>
      <c r="D3708" t="s">
        <v>16206</v>
      </c>
      <c r="E3708" t="s">
        <v>16218</v>
      </c>
      <c r="F3708" t="s">
        <v>16220</v>
      </c>
      <c r="G3708" t="s">
        <v>16275</v>
      </c>
      <c r="H3708" t="s">
        <v>16276</v>
      </c>
      <c r="I3708" t="s">
        <v>16352</v>
      </c>
      <c r="J3708" t="s">
        <v>16386</v>
      </c>
      <c r="K3708">
        <v>0.147</v>
      </c>
      <c r="L3708">
        <v>6407</v>
      </c>
      <c r="M3708">
        <v>1980</v>
      </c>
      <c r="N3708" t="s">
        <v>16393</v>
      </c>
      <c r="O3708" s="4">
        <v>49444</v>
      </c>
      <c r="P3708" s="4">
        <v>105270</v>
      </c>
      <c r="Q3708" s="4">
        <v>154714</v>
      </c>
      <c r="R3708" s="4">
        <v>464142</v>
      </c>
      <c r="S3708" t="s">
        <v>20020</v>
      </c>
      <c r="T3708" s="6">
        <v>37712</v>
      </c>
      <c r="U3708" s="4">
        <v>272500</v>
      </c>
      <c r="V3708" t="s">
        <v>23739</v>
      </c>
      <c r="W3708" t="s">
        <v>25604</v>
      </c>
      <c r="X3708" t="s">
        <v>3</v>
      </c>
      <c r="AA3708" s="5" t="str">
        <f>HYPERLINK("https://www.zillow.com/homes/1163-LAKEWOOD-CIR-NAPERVILLE-IL-605400999_rb/","check listing")</f>
        <v>check listing</v>
      </c>
      <c r="AB3708" s="5" t="str">
        <f>HYPERLINK("https://propertylookup.dupagecounty.gov/Datalets/Datalet.aspx?UseSearch=no&amp;mode=sales&amp;pin=0727205017","sales record")</f>
        <v>sales record</v>
      </c>
      <c r="AC3708" t="s">
        <v>3</v>
      </c>
      <c r="AD3708">
        <v>41.749944</v>
      </c>
      <c r="AE3708">
        <v>-88.190135</v>
      </c>
      <c r="AF3708" s="5" t="str">
        <f>HYPERLINK("https://www.google.com/maps/search/?api=1&amp;query=41.749944,-88.190135","map")</f>
        <v>map</v>
      </c>
    </row>
    <row r="3709" spans="1:32">
      <c r="A3709" t="s">
        <v>3759</v>
      </c>
      <c r="B3709" t="s">
        <v>11292</v>
      </c>
      <c r="C3709" t="s">
        <v>15475</v>
      </c>
      <c r="D3709" t="s">
        <v>16206</v>
      </c>
      <c r="E3709" t="s">
        <v>16218</v>
      </c>
      <c r="F3709" t="s">
        <v>16220</v>
      </c>
      <c r="G3709" t="s">
        <v>16275</v>
      </c>
      <c r="H3709" t="s">
        <v>16276</v>
      </c>
      <c r="I3709" t="s">
        <v>16352</v>
      </c>
      <c r="J3709" t="s">
        <v>16386</v>
      </c>
      <c r="K3709">
        <v>0.147</v>
      </c>
      <c r="L3709">
        <v>6400</v>
      </c>
      <c r="M3709">
        <v>1781</v>
      </c>
      <c r="N3709" t="s">
        <v>16393</v>
      </c>
      <c r="O3709" s="4">
        <v>49444</v>
      </c>
      <c r="P3709" s="4">
        <v>95066</v>
      </c>
      <c r="Q3709" s="4">
        <v>144510</v>
      </c>
      <c r="R3709" s="4">
        <v>433530</v>
      </c>
      <c r="S3709" t="s">
        <v>20021</v>
      </c>
      <c r="T3709" s="6">
        <v>37012</v>
      </c>
      <c r="U3709" s="4">
        <v>215000</v>
      </c>
      <c r="V3709" t="s">
        <v>23739</v>
      </c>
      <c r="W3709" t="s">
        <v>25605</v>
      </c>
      <c r="X3709" t="s">
        <v>3</v>
      </c>
      <c r="AA3709" s="5" t="str">
        <f>HYPERLINK("https://www.zillow.com/homes/1048-LAKEWOOD-CIR-NAPERVILLE-IL-60540_rb/","check listing")</f>
        <v>check listing</v>
      </c>
      <c r="AB3709" s="5" t="str">
        <f>HYPERLINK("https://propertylookup.dupagecounty.gov/Datalets/Datalet.aspx?UseSearch=no&amp;mode=sales&amp;pin=0727206010","sales record")</f>
        <v>sales record</v>
      </c>
      <c r="AC3709" t="s">
        <v>3</v>
      </c>
      <c r="AD3709">
        <v>41.750363</v>
      </c>
      <c r="AE3709">
        <v>-88.192998</v>
      </c>
      <c r="AF3709" s="5" t="str">
        <f>HYPERLINK("https://www.google.com/maps/search/?api=1&amp;query=41.750363,-88.192998","map")</f>
        <v>map</v>
      </c>
    </row>
    <row r="3710" spans="1:32">
      <c r="A3710" t="s">
        <v>3760</v>
      </c>
      <c r="B3710" t="s">
        <v>11293</v>
      </c>
      <c r="C3710" t="s">
        <v>15610</v>
      </c>
      <c r="D3710" t="s">
        <v>16206</v>
      </c>
      <c r="E3710" t="s">
        <v>16218</v>
      </c>
      <c r="F3710" t="s">
        <v>16220</v>
      </c>
      <c r="G3710" t="s">
        <v>16276</v>
      </c>
      <c r="H3710" t="s">
        <v>16276</v>
      </c>
      <c r="I3710" t="s">
        <v>16352</v>
      </c>
      <c r="J3710" t="s">
        <v>16386</v>
      </c>
      <c r="K3710">
        <v>0.147</v>
      </c>
      <c r="L3710">
        <v>6398</v>
      </c>
      <c r="M3710">
        <v>2309</v>
      </c>
      <c r="N3710" t="s">
        <v>16393</v>
      </c>
      <c r="O3710" s="4">
        <v>46367</v>
      </c>
      <c r="P3710" s="4">
        <v>105770</v>
      </c>
      <c r="Q3710" s="4">
        <v>152137</v>
      </c>
      <c r="R3710" s="4">
        <v>456411</v>
      </c>
      <c r="S3710" t="s">
        <v>20022</v>
      </c>
      <c r="T3710" s="6">
        <v>44228</v>
      </c>
      <c r="U3710" s="4">
        <v>375000</v>
      </c>
      <c r="V3710" t="s">
        <v>23739</v>
      </c>
      <c r="W3710" t="s">
        <v>25606</v>
      </c>
      <c r="X3710" t="s">
        <v>3</v>
      </c>
      <c r="AA3710" s="5" t="str">
        <f>HYPERLINK("https://www.zillow.com/homes/1012-SANCTUARY-LN-NAPERVILLE-IL-605401921_rb/","check listing")</f>
        <v>check listing</v>
      </c>
      <c r="AB3710" s="5" t="str">
        <f>HYPERLINK("https://propertylookup.dupagecounty.gov/Datalets/Datalet.aspx?UseSearch=no&amp;mode=sales&amp;pin=0727208008","sales record")</f>
        <v>sales record</v>
      </c>
      <c r="AC3710" t="s">
        <v>3</v>
      </c>
      <c r="AD3710">
        <v>41.752997</v>
      </c>
      <c r="AE3710">
        <v>-88.187899</v>
      </c>
      <c r="AF3710" s="5" t="str">
        <f>HYPERLINK("https://www.google.com/maps/search/?api=1&amp;query=41.752997,-88.187899","map")</f>
        <v>map</v>
      </c>
    </row>
    <row r="3711" spans="1:32">
      <c r="A3711" t="s">
        <v>3761</v>
      </c>
      <c r="B3711" t="s">
        <v>11294</v>
      </c>
      <c r="C3711" t="s">
        <v>15475</v>
      </c>
      <c r="D3711" t="s">
        <v>16206</v>
      </c>
      <c r="E3711" t="s">
        <v>16218</v>
      </c>
      <c r="F3711" t="s">
        <v>16220</v>
      </c>
      <c r="G3711" t="s">
        <v>16275</v>
      </c>
      <c r="H3711" t="s">
        <v>16276</v>
      </c>
      <c r="I3711" t="s">
        <v>16352</v>
      </c>
      <c r="J3711" t="s">
        <v>16386</v>
      </c>
      <c r="K3711">
        <v>0.147</v>
      </c>
      <c r="L3711">
        <v>6395</v>
      </c>
      <c r="M3711">
        <v>1976</v>
      </c>
      <c r="N3711" t="s">
        <v>16393</v>
      </c>
      <c r="O3711" s="4">
        <v>51103</v>
      </c>
      <c r="P3711" s="4">
        <v>103634</v>
      </c>
      <c r="Q3711" s="4">
        <v>154737</v>
      </c>
      <c r="R3711" s="4">
        <v>464211</v>
      </c>
      <c r="S3711" t="s">
        <v>20023</v>
      </c>
      <c r="T3711" s="6">
        <v>42491</v>
      </c>
      <c r="U3711" s="4">
        <v>306000</v>
      </c>
      <c r="V3711" t="s">
        <v>23739</v>
      </c>
      <c r="W3711" t="s">
        <v>20023</v>
      </c>
      <c r="X3711" t="s">
        <v>3</v>
      </c>
      <c r="AA3711" s="5" t="str">
        <f>HYPERLINK("https://www.zillow.com/homes/719-WILDFLOWER-CIR-NAPERVILLE-IL-60540_rb/","check listing")</f>
        <v>check listing</v>
      </c>
      <c r="AB3711" s="5" t="str">
        <f>HYPERLINK("https://propertylookup.dupagecounty.gov/Datalets/Datalet.aspx?UseSearch=no&amp;mode=sales&amp;pin=0722407020","sales record")</f>
        <v>sales record</v>
      </c>
      <c r="AC3711" t="s">
        <v>3</v>
      </c>
      <c r="AD3711">
        <v>41.758538</v>
      </c>
      <c r="AE3711">
        <v>-88.193251</v>
      </c>
      <c r="AF3711" s="5" t="str">
        <f>HYPERLINK("https://www.google.com/maps/search/?api=1&amp;query=41.758538,-88.193251","map")</f>
        <v>map</v>
      </c>
    </row>
    <row r="3712" spans="1:32">
      <c r="A3712" t="s">
        <v>3762</v>
      </c>
      <c r="B3712" t="s">
        <v>11295</v>
      </c>
      <c r="C3712" t="s">
        <v>15595</v>
      </c>
      <c r="D3712" t="s">
        <v>16206</v>
      </c>
      <c r="E3712" t="s">
        <v>16218</v>
      </c>
      <c r="F3712" t="s">
        <v>16220</v>
      </c>
      <c r="G3712" t="s">
        <v>16275</v>
      </c>
      <c r="H3712" t="s">
        <v>16276</v>
      </c>
      <c r="I3712" t="s">
        <v>16352</v>
      </c>
      <c r="J3712" t="s">
        <v>16386</v>
      </c>
      <c r="K3712">
        <v>0.147</v>
      </c>
      <c r="L3712">
        <v>6388</v>
      </c>
      <c r="M3712">
        <v>2073</v>
      </c>
      <c r="N3712" t="s">
        <v>16393</v>
      </c>
      <c r="O3712" s="4">
        <v>49444</v>
      </c>
      <c r="P3712" s="4">
        <v>123443</v>
      </c>
      <c r="Q3712" s="4">
        <v>172887</v>
      </c>
      <c r="R3712" s="4">
        <v>518661</v>
      </c>
      <c r="S3712" t="s">
        <v>20024</v>
      </c>
      <c r="T3712" s="6">
        <v>43709</v>
      </c>
      <c r="U3712" s="4">
        <v>335000</v>
      </c>
      <c r="V3712" t="s">
        <v>23739</v>
      </c>
      <c r="W3712" t="s">
        <v>20024</v>
      </c>
      <c r="X3712" t="s">
        <v>3</v>
      </c>
      <c r="AA3712" s="5" t="str">
        <f>HYPERLINK("https://www.zillow.com/homes/2059-CROSSING-LN-NAPERVILLE-IL-605400985_rb/","check listing")</f>
        <v>check listing</v>
      </c>
      <c r="AB3712" s="5" t="str">
        <f>HYPERLINK("https://propertylookup.dupagecounty.gov/Datalets/Datalet.aspx?UseSearch=no&amp;mode=sales&amp;pin=0727203002","sales record")</f>
        <v>sales record</v>
      </c>
      <c r="AC3712" t="s">
        <v>3</v>
      </c>
      <c r="AD3712">
        <v>41.750878</v>
      </c>
      <c r="AE3712">
        <v>-88.18917500000001</v>
      </c>
      <c r="AF3712" s="5" t="str">
        <f>HYPERLINK("https://www.google.com/maps/search/?api=1&amp;query=41.750878,-88.189175","map")</f>
        <v>map</v>
      </c>
    </row>
    <row r="3713" spans="1:32">
      <c r="A3713" t="s">
        <v>3763</v>
      </c>
      <c r="B3713" t="s">
        <v>11296</v>
      </c>
      <c r="C3713" t="s">
        <v>15475</v>
      </c>
      <c r="D3713" t="s">
        <v>16206</v>
      </c>
      <c r="E3713" t="s">
        <v>16218</v>
      </c>
      <c r="F3713" t="s">
        <v>16220</v>
      </c>
      <c r="G3713" t="s">
        <v>16276</v>
      </c>
      <c r="H3713" t="s">
        <v>16276</v>
      </c>
      <c r="I3713" t="s">
        <v>16352</v>
      </c>
      <c r="J3713" t="s">
        <v>16386</v>
      </c>
      <c r="K3713">
        <v>0.147</v>
      </c>
      <c r="L3713">
        <v>6385</v>
      </c>
      <c r="M3713">
        <v>2101</v>
      </c>
      <c r="N3713" t="s">
        <v>16393</v>
      </c>
      <c r="O3713" s="4">
        <v>49444</v>
      </c>
      <c r="P3713" s="4">
        <v>108895</v>
      </c>
      <c r="Q3713" s="4">
        <v>158339</v>
      </c>
      <c r="R3713" s="4">
        <v>475017</v>
      </c>
      <c r="S3713" t="s">
        <v>20025</v>
      </c>
      <c r="T3713" s="6">
        <v>34790</v>
      </c>
      <c r="U3713" s="4">
        <v>175905</v>
      </c>
      <c r="X3713" t="s">
        <v>3</v>
      </c>
      <c r="AA3713" s="5" t="str">
        <f>HYPERLINK("https://www.zillow.com/homes/1056-SELMA-LN-NAPERVILLE-IL-60540_rb/","check listing")</f>
        <v>check listing</v>
      </c>
      <c r="AB3713" s="5" t="str">
        <f>HYPERLINK("https://propertylookup.dupagecounty.gov/Datalets/Datalet.aspx?UseSearch=no&amp;mode=sales&amp;pin=0727208026","sales record")</f>
        <v>sales record</v>
      </c>
      <c r="AC3713" t="s">
        <v>3</v>
      </c>
      <c r="AD3713">
        <v>41.752369</v>
      </c>
      <c r="AE3713">
        <v>-88.189493</v>
      </c>
      <c r="AF3713" s="5" t="str">
        <f>HYPERLINK("https://www.google.com/maps/search/?api=1&amp;query=41.752369,-88.189493","map")</f>
        <v>map</v>
      </c>
    </row>
    <row r="3714" spans="1:32">
      <c r="A3714" t="s">
        <v>3764</v>
      </c>
      <c r="B3714" t="s">
        <v>11297</v>
      </c>
      <c r="C3714" t="s">
        <v>15597</v>
      </c>
      <c r="D3714" t="s">
        <v>16206</v>
      </c>
      <c r="E3714" t="s">
        <v>16218</v>
      </c>
      <c r="F3714" t="s">
        <v>16220</v>
      </c>
      <c r="G3714" t="s">
        <v>16276</v>
      </c>
      <c r="H3714" t="s">
        <v>16276</v>
      </c>
      <c r="I3714" t="s">
        <v>16352</v>
      </c>
      <c r="J3714" t="s">
        <v>16386</v>
      </c>
      <c r="K3714">
        <v>0.147</v>
      </c>
      <c r="L3714">
        <v>6384</v>
      </c>
      <c r="M3714">
        <v>2075</v>
      </c>
      <c r="N3714" t="s">
        <v>16393</v>
      </c>
      <c r="O3714" s="4">
        <v>52555</v>
      </c>
      <c r="P3714" s="4">
        <v>109847</v>
      </c>
      <c r="Q3714" s="4">
        <v>162402</v>
      </c>
      <c r="R3714" s="4">
        <v>487206</v>
      </c>
      <c r="S3714" t="s">
        <v>20026</v>
      </c>
      <c r="T3714" s="6">
        <v>43525</v>
      </c>
      <c r="U3714" s="4">
        <v>338000</v>
      </c>
      <c r="V3714" t="s">
        <v>23739</v>
      </c>
      <c r="W3714" t="s">
        <v>25607</v>
      </c>
      <c r="X3714" t="s">
        <v>3</v>
      </c>
      <c r="AA3714" s="5" t="str">
        <f>HYPERLINK("https://www.zillow.com/homes/907-LOWELL-LN-NAPERVILLE-IL-605401934_rb/","check listing")</f>
        <v>check listing</v>
      </c>
      <c r="AB3714" s="5" t="str">
        <f>HYPERLINK("https://propertylookup.dupagecounty.gov/Datalets/Datalet.aspx?UseSearch=no&amp;mode=sales&amp;pin=0727209029","sales record")</f>
        <v>sales record</v>
      </c>
      <c r="AC3714" t="s">
        <v>3</v>
      </c>
      <c r="AD3714">
        <v>41.754217</v>
      </c>
      <c r="AE3714">
        <v>-88.189832</v>
      </c>
      <c r="AF3714" s="5" t="str">
        <f>HYPERLINK("https://www.google.com/maps/search/?api=1&amp;query=41.754217,-88.189832","map")</f>
        <v>map</v>
      </c>
    </row>
    <row r="3715" spans="1:32">
      <c r="A3715" t="s">
        <v>3765</v>
      </c>
      <c r="B3715" t="s">
        <v>11298</v>
      </c>
      <c r="C3715" t="s">
        <v>15559</v>
      </c>
      <c r="D3715" t="s">
        <v>16206</v>
      </c>
      <c r="E3715" t="s">
        <v>16218</v>
      </c>
      <c r="F3715" t="s">
        <v>16220</v>
      </c>
      <c r="G3715" t="s">
        <v>16269</v>
      </c>
      <c r="H3715" t="s">
        <v>16269</v>
      </c>
      <c r="I3715" t="s">
        <v>16352</v>
      </c>
      <c r="J3715" t="s">
        <v>16386</v>
      </c>
      <c r="K3715">
        <v>0.147</v>
      </c>
      <c r="L3715">
        <v>6383</v>
      </c>
      <c r="M3715">
        <v>2143</v>
      </c>
      <c r="N3715" t="s">
        <v>16393</v>
      </c>
      <c r="O3715" s="4">
        <v>71777</v>
      </c>
      <c r="P3715" s="4">
        <v>120070</v>
      </c>
      <c r="Q3715" s="4">
        <v>191847</v>
      </c>
      <c r="R3715" s="4">
        <v>575541</v>
      </c>
      <c r="S3715" t="s">
        <v>20027</v>
      </c>
      <c r="T3715" s="6">
        <v>42217</v>
      </c>
      <c r="U3715" s="4">
        <v>421500</v>
      </c>
      <c r="V3715" t="s">
        <v>23739</v>
      </c>
      <c r="W3715" t="s">
        <v>20027</v>
      </c>
      <c r="X3715" t="s">
        <v>3</v>
      </c>
      <c r="AA3715" s="5" t="str">
        <f>HYPERLINK("https://www.zillow.com/homes/424-BOURBON-LN-NAPERVILLE-IL-605652497_rb/","check listing")</f>
        <v>check listing</v>
      </c>
      <c r="AB3715" s="5" t="str">
        <f>HYPERLINK("https://propertylookup.dupagecounty.gov/Datalets/Datalet.aspx?UseSearch=no&amp;mode=sales&amp;pin=0832117006","sales record")</f>
        <v>sales record</v>
      </c>
      <c r="AC3715" t="s">
        <v>3</v>
      </c>
      <c r="AD3715">
        <v>41.734189</v>
      </c>
      <c r="AE3715">
        <v>-88.12169400000001</v>
      </c>
      <c r="AF3715" s="5" t="str">
        <f>HYPERLINK("https://www.google.com/maps/search/?api=1&amp;query=41.734189,-88.121694","map")</f>
        <v>map</v>
      </c>
    </row>
    <row r="3716" spans="1:32">
      <c r="A3716" t="s">
        <v>3766</v>
      </c>
      <c r="B3716" t="s">
        <v>11299</v>
      </c>
      <c r="C3716" t="s">
        <v>15475</v>
      </c>
      <c r="D3716" t="s">
        <v>16206</v>
      </c>
      <c r="E3716" t="s">
        <v>16218</v>
      </c>
      <c r="F3716" t="s">
        <v>16220</v>
      </c>
      <c r="G3716" t="s">
        <v>16275</v>
      </c>
      <c r="H3716" t="s">
        <v>16276</v>
      </c>
      <c r="I3716" t="s">
        <v>16352</v>
      </c>
      <c r="J3716" t="s">
        <v>16386</v>
      </c>
      <c r="K3716">
        <v>0.147</v>
      </c>
      <c r="L3716">
        <v>6382</v>
      </c>
      <c r="M3716">
        <v>2467</v>
      </c>
      <c r="N3716" t="s">
        <v>16393</v>
      </c>
      <c r="O3716" s="4">
        <v>51103</v>
      </c>
      <c r="P3716" s="4">
        <v>151088</v>
      </c>
      <c r="Q3716" s="4">
        <v>202191</v>
      </c>
      <c r="R3716" s="4">
        <v>606573</v>
      </c>
      <c r="S3716" t="s">
        <v>20028</v>
      </c>
      <c r="T3716" s="6">
        <v>44834</v>
      </c>
      <c r="U3716" s="4">
        <v>544000</v>
      </c>
      <c r="V3716" t="s">
        <v>23741</v>
      </c>
      <c r="W3716" t="s">
        <v>25608</v>
      </c>
      <c r="X3716" t="s">
        <v>3</v>
      </c>
      <c r="AA3716" s="5" t="str">
        <f>HYPERLINK("https://www.zillow.com/homes/2208-FELDOTT-LN-NAPERVILLE-IL-60540_rb/","check listing")</f>
        <v>check listing</v>
      </c>
      <c r="AB3716" s="5" t="str">
        <f>HYPERLINK("https://propertylookup.dupagecounty.gov/Datalets/Datalet.aspx?UseSearch=no&amp;mode=sales&amp;pin=0722409009","sales record")</f>
        <v>sales record</v>
      </c>
      <c r="AC3716" t="s">
        <v>3</v>
      </c>
      <c r="AD3716">
        <v>41.760699</v>
      </c>
      <c r="AE3716">
        <v>-88.19135199999999</v>
      </c>
      <c r="AF3716" s="5" t="str">
        <f>HYPERLINK("https://www.google.com/maps/search/?api=1&amp;query=41.760699,-88.191352","map")</f>
        <v>map</v>
      </c>
    </row>
    <row r="3717" spans="1:32">
      <c r="A3717" t="s">
        <v>3767</v>
      </c>
      <c r="B3717" t="s">
        <v>11300</v>
      </c>
      <c r="C3717" t="s">
        <v>15475</v>
      </c>
      <c r="D3717" t="s">
        <v>16206</v>
      </c>
      <c r="E3717" t="s">
        <v>16218</v>
      </c>
      <c r="F3717" t="s">
        <v>16220</v>
      </c>
      <c r="G3717" t="s">
        <v>16275</v>
      </c>
      <c r="H3717" t="s">
        <v>16276</v>
      </c>
      <c r="I3717" t="s">
        <v>16352</v>
      </c>
      <c r="J3717" t="s">
        <v>16386</v>
      </c>
      <c r="K3717">
        <v>0.147</v>
      </c>
      <c r="L3717">
        <v>6382</v>
      </c>
      <c r="M3717">
        <v>1982</v>
      </c>
      <c r="N3717" t="s">
        <v>16393</v>
      </c>
      <c r="O3717" s="4">
        <v>49444</v>
      </c>
      <c r="P3717" s="4">
        <v>104195</v>
      </c>
      <c r="Q3717" s="4">
        <v>153639</v>
      </c>
      <c r="R3717" s="4">
        <v>460917</v>
      </c>
      <c r="S3717" t="s">
        <v>20029</v>
      </c>
      <c r="T3717" s="6">
        <v>40238</v>
      </c>
      <c r="U3717" s="4">
        <v>321500</v>
      </c>
      <c r="V3717" t="s">
        <v>23739</v>
      </c>
      <c r="W3717" t="s">
        <v>20029</v>
      </c>
      <c r="X3717" t="s">
        <v>3</v>
      </c>
      <c r="AA3717" s="5" t="str">
        <f>HYPERLINK("https://www.zillow.com/homes/2055-CROSSING-LN-NAPERVILLE-IL-60540_rb/","check listing")</f>
        <v>check listing</v>
      </c>
      <c r="AB3717" s="5" t="str">
        <f>HYPERLINK("https://propertylookup.dupagecounty.gov/Datalets/Datalet.aspx?UseSearch=no&amp;mode=sales&amp;pin=0727203003","sales record")</f>
        <v>sales record</v>
      </c>
      <c r="AC3717" t="s">
        <v>3</v>
      </c>
      <c r="AD3717">
        <v>41.750879</v>
      </c>
      <c r="AE3717">
        <v>-88.188964</v>
      </c>
      <c r="AF3717" s="5" t="str">
        <f>HYPERLINK("https://www.google.com/maps/search/?api=1&amp;query=41.750879,-88.188964","map")</f>
        <v>map</v>
      </c>
    </row>
    <row r="3718" spans="1:32">
      <c r="A3718" t="s">
        <v>3768</v>
      </c>
      <c r="B3718" t="s">
        <v>11301</v>
      </c>
      <c r="C3718" t="s">
        <v>15475</v>
      </c>
      <c r="D3718" t="s">
        <v>16206</v>
      </c>
      <c r="E3718" t="s">
        <v>16218</v>
      </c>
      <c r="F3718" t="s">
        <v>16220</v>
      </c>
      <c r="G3718" t="s">
        <v>16275</v>
      </c>
      <c r="H3718" t="s">
        <v>16276</v>
      </c>
      <c r="I3718" t="s">
        <v>16352</v>
      </c>
      <c r="J3718" t="s">
        <v>16386</v>
      </c>
      <c r="K3718">
        <v>0.146</v>
      </c>
      <c r="L3718">
        <v>6381</v>
      </c>
      <c r="M3718">
        <v>2137</v>
      </c>
      <c r="N3718" t="s">
        <v>16393</v>
      </c>
      <c r="O3718" s="4">
        <v>51103</v>
      </c>
      <c r="P3718" s="4">
        <v>136820</v>
      </c>
      <c r="Q3718" s="4">
        <v>187923</v>
      </c>
      <c r="R3718" s="4">
        <v>563769</v>
      </c>
      <c r="S3718" t="s">
        <v>20030</v>
      </c>
      <c r="T3718" s="6">
        <v>41153</v>
      </c>
      <c r="U3718" s="4">
        <v>320000</v>
      </c>
      <c r="V3718" t="s">
        <v>23739</v>
      </c>
      <c r="W3718" t="s">
        <v>25609</v>
      </c>
      <c r="X3718" t="s">
        <v>3</v>
      </c>
      <c r="AA3718" s="5" t="str">
        <f>HYPERLINK("https://www.zillow.com/homes/2136-FELDOTT-LN-NAPERVILLE-IL-60540_rb/","check listing")</f>
        <v>check listing</v>
      </c>
      <c r="AB3718" s="5" t="str">
        <f>HYPERLINK("https://propertylookup.dupagecounty.gov/Datalets/Datalet.aspx?UseSearch=no&amp;mode=sales&amp;pin=0722409015","sales record")</f>
        <v>sales record</v>
      </c>
      <c r="AC3718" t="s">
        <v>3</v>
      </c>
      <c r="AD3718">
        <v>41.761423</v>
      </c>
      <c r="AE3718">
        <v>-88.190538</v>
      </c>
      <c r="AF3718" s="5" t="str">
        <f>HYPERLINK("https://www.google.com/maps/search/?api=1&amp;query=41.761423,-88.190538","map")</f>
        <v>map</v>
      </c>
    </row>
    <row r="3719" spans="1:32">
      <c r="A3719" t="s">
        <v>3769</v>
      </c>
      <c r="B3719" t="s">
        <v>11302</v>
      </c>
      <c r="C3719" t="s">
        <v>15475</v>
      </c>
      <c r="D3719" t="s">
        <v>16206</v>
      </c>
      <c r="E3719" t="s">
        <v>16218</v>
      </c>
      <c r="F3719" t="s">
        <v>16220</v>
      </c>
      <c r="G3719" t="s">
        <v>16275</v>
      </c>
      <c r="H3719" t="s">
        <v>16276</v>
      </c>
      <c r="I3719" t="s">
        <v>16352</v>
      </c>
      <c r="J3719" t="s">
        <v>16386</v>
      </c>
      <c r="K3719">
        <v>0.146</v>
      </c>
      <c r="L3719">
        <v>6379</v>
      </c>
      <c r="M3719">
        <v>1905</v>
      </c>
      <c r="N3719" t="s">
        <v>16393</v>
      </c>
      <c r="O3719" s="4">
        <v>49444</v>
      </c>
      <c r="P3719" s="4">
        <v>105489</v>
      </c>
      <c r="Q3719" s="4">
        <v>154933</v>
      </c>
      <c r="R3719" s="4">
        <v>464799</v>
      </c>
      <c r="S3719" t="s">
        <v>20031</v>
      </c>
      <c r="T3719" s="6">
        <v>45490</v>
      </c>
      <c r="U3719" s="4">
        <v>475000</v>
      </c>
      <c r="V3719" t="s">
        <v>23739</v>
      </c>
      <c r="W3719" t="s">
        <v>25610</v>
      </c>
      <c r="X3719" t="s">
        <v>3</v>
      </c>
      <c r="AA3719" s="5" t="str">
        <f>HYPERLINK("https://www.zillow.com/homes/2051-CROSSING-LN-NAPERVILLE-IL-60540_rb/","check listing")</f>
        <v>check listing</v>
      </c>
      <c r="AB3719" s="5" t="str">
        <f>HYPERLINK("https://propertylookup.dupagecounty.gov/Datalets/Datalet.aspx?UseSearch=no&amp;mode=sales&amp;pin=0727203004","sales record")</f>
        <v>sales record</v>
      </c>
      <c r="AC3719" t="s">
        <v>3</v>
      </c>
      <c r="AD3719">
        <v>41.750881</v>
      </c>
      <c r="AE3719">
        <v>-88.188754</v>
      </c>
      <c r="AF3719" s="5" t="str">
        <f>HYPERLINK("https://www.google.com/maps/search/?api=1&amp;query=41.750881,-88.188754","map")</f>
        <v>map</v>
      </c>
    </row>
    <row r="3720" spans="1:32">
      <c r="A3720" t="s">
        <v>3770</v>
      </c>
      <c r="B3720" t="s">
        <v>11303</v>
      </c>
      <c r="C3720" t="s">
        <v>15475</v>
      </c>
      <c r="D3720" t="s">
        <v>16206</v>
      </c>
      <c r="E3720" t="s">
        <v>16218</v>
      </c>
      <c r="F3720" t="s">
        <v>16220</v>
      </c>
      <c r="G3720" t="s">
        <v>16275</v>
      </c>
      <c r="H3720" t="s">
        <v>16276</v>
      </c>
      <c r="I3720" t="s">
        <v>16352</v>
      </c>
      <c r="J3720" t="s">
        <v>16386</v>
      </c>
      <c r="K3720">
        <v>0.146</v>
      </c>
      <c r="L3720">
        <v>6379</v>
      </c>
      <c r="M3720">
        <v>2770</v>
      </c>
      <c r="N3720" t="s">
        <v>16393</v>
      </c>
      <c r="O3720" s="4">
        <v>51103</v>
      </c>
      <c r="P3720" s="4">
        <v>160925</v>
      </c>
      <c r="Q3720" s="4">
        <v>212028</v>
      </c>
      <c r="R3720" s="4">
        <v>636084</v>
      </c>
      <c r="S3720" t="s">
        <v>20032</v>
      </c>
      <c r="T3720" s="6">
        <v>45643</v>
      </c>
      <c r="U3720" s="4">
        <v>593500</v>
      </c>
      <c r="V3720" t="s">
        <v>23739</v>
      </c>
      <c r="W3720" t="s">
        <v>25611</v>
      </c>
      <c r="X3720" t="s">
        <v>3</v>
      </c>
      <c r="AA3720" s="5" t="str">
        <f>HYPERLINK("https://www.zillow.com/homes/2132-FELDOTT-LN-NAPERVILLE-IL-60540_rb/","check listing")</f>
        <v>check listing</v>
      </c>
      <c r="AB3720" s="5" t="str">
        <f>HYPERLINK("https://propertylookup.dupagecounty.gov/Datalets/Datalet.aspx?UseSearch=no&amp;mode=sales&amp;pin=0722409016","sales record")</f>
        <v>sales record</v>
      </c>
      <c r="AC3720" t="s">
        <v>3</v>
      </c>
      <c r="AD3720">
        <v>41.761484</v>
      </c>
      <c r="AE3720">
        <v>-88.190342</v>
      </c>
      <c r="AF3720" s="5" t="str">
        <f>HYPERLINK("https://www.google.com/maps/search/?api=1&amp;query=41.761484,-88.190342","map")</f>
        <v>map</v>
      </c>
    </row>
    <row r="3721" spans="1:32">
      <c r="A3721" t="s">
        <v>3771</v>
      </c>
      <c r="B3721" t="s">
        <v>11304</v>
      </c>
      <c r="C3721" t="s">
        <v>15475</v>
      </c>
      <c r="D3721" t="s">
        <v>16206</v>
      </c>
      <c r="E3721" t="s">
        <v>16218</v>
      </c>
      <c r="F3721" t="s">
        <v>16220</v>
      </c>
      <c r="G3721" t="s">
        <v>16276</v>
      </c>
      <c r="H3721" t="s">
        <v>16276</v>
      </c>
      <c r="I3721" t="s">
        <v>16352</v>
      </c>
      <c r="J3721" t="s">
        <v>16386</v>
      </c>
      <c r="K3721">
        <v>0.146</v>
      </c>
      <c r="L3721">
        <v>6373</v>
      </c>
      <c r="M3721">
        <v>1648</v>
      </c>
      <c r="N3721" t="s">
        <v>16393</v>
      </c>
      <c r="O3721" s="4">
        <v>49444</v>
      </c>
      <c r="P3721" s="4">
        <v>86424</v>
      </c>
      <c r="Q3721" s="4">
        <v>135868</v>
      </c>
      <c r="R3721" s="4">
        <v>407604</v>
      </c>
      <c r="S3721" t="s">
        <v>20033</v>
      </c>
      <c r="T3721" s="6">
        <v>37469</v>
      </c>
      <c r="U3721" s="4">
        <v>210000</v>
      </c>
      <c r="V3721" t="s">
        <v>23739</v>
      </c>
      <c r="W3721" t="s">
        <v>25612</v>
      </c>
      <c r="X3721" t="s">
        <v>3</v>
      </c>
      <c r="AA3721" s="5" t="str">
        <f>HYPERLINK("https://www.zillow.com/homes/1036-SANCTUARY-LN-NAPERVILLE-IL-60540_rb/","check listing")</f>
        <v>check listing</v>
      </c>
      <c r="AB3721" s="5" t="str">
        <f>HYPERLINK("https://propertylookup.dupagecounty.gov/Datalets/Datalet.aspx?UseSearch=no&amp;mode=sales&amp;pin=0727208002","sales record")</f>
        <v>sales record</v>
      </c>
      <c r="AC3721" t="s">
        <v>3</v>
      </c>
      <c r="AD3721">
        <v>41.75262</v>
      </c>
      <c r="AE3721">
        <v>-88.189044</v>
      </c>
      <c r="AF3721" s="5" t="str">
        <f>HYPERLINK("https://www.google.com/maps/search/?api=1&amp;query=41.75262,-88.189044","map")</f>
        <v>map</v>
      </c>
    </row>
    <row r="3722" spans="1:32">
      <c r="A3722" t="s">
        <v>3772</v>
      </c>
      <c r="B3722" t="s">
        <v>11305</v>
      </c>
      <c r="C3722" t="s">
        <v>15475</v>
      </c>
      <c r="D3722" t="s">
        <v>16206</v>
      </c>
      <c r="E3722" t="s">
        <v>16218</v>
      </c>
      <c r="F3722" t="s">
        <v>16220</v>
      </c>
      <c r="G3722" t="s">
        <v>16275</v>
      </c>
      <c r="H3722" t="s">
        <v>16276</v>
      </c>
      <c r="I3722" t="s">
        <v>16352</v>
      </c>
      <c r="J3722" t="s">
        <v>16386</v>
      </c>
      <c r="K3722">
        <v>0.146</v>
      </c>
      <c r="L3722">
        <v>6371</v>
      </c>
      <c r="M3722">
        <v>1979</v>
      </c>
      <c r="N3722" t="s">
        <v>16393</v>
      </c>
      <c r="O3722" s="4">
        <v>49444</v>
      </c>
      <c r="P3722" s="4">
        <v>87914</v>
      </c>
      <c r="Q3722" s="4">
        <v>137358</v>
      </c>
      <c r="R3722" s="4">
        <v>412074</v>
      </c>
      <c r="S3722" t="s">
        <v>20034</v>
      </c>
      <c r="T3722" s="6">
        <v>42125</v>
      </c>
      <c r="U3722" s="4">
        <v>246000</v>
      </c>
      <c r="V3722" t="s">
        <v>23739</v>
      </c>
      <c r="W3722" t="s">
        <v>25613</v>
      </c>
      <c r="X3722" t="s">
        <v>3</v>
      </c>
      <c r="AA3722" s="5" t="str">
        <f>HYPERLINK("https://www.zillow.com/homes/2039-CROSSING-LN-NAPERVILLE-IL-60540_rb/","check listing")</f>
        <v>check listing</v>
      </c>
      <c r="AB3722" s="5" t="str">
        <f>HYPERLINK("https://propertylookup.dupagecounty.gov/Datalets/Datalet.aspx?UseSearch=no&amp;mode=sales&amp;pin=0727203007","sales record")</f>
        <v>sales record</v>
      </c>
      <c r="AC3722" t="s">
        <v>3</v>
      </c>
      <c r="AD3722">
        <v>41.750887</v>
      </c>
      <c r="AE3722">
        <v>-88.18812200000001</v>
      </c>
      <c r="AF3722" s="5" t="str">
        <f>HYPERLINK("https://www.google.com/maps/search/?api=1&amp;query=41.750887,-88.188122","map")</f>
        <v>map</v>
      </c>
    </row>
    <row r="3723" spans="1:32">
      <c r="A3723" t="s">
        <v>3773</v>
      </c>
      <c r="B3723" t="s">
        <v>11306</v>
      </c>
      <c r="C3723" t="s">
        <v>15475</v>
      </c>
      <c r="D3723" t="s">
        <v>16206</v>
      </c>
      <c r="E3723" t="s">
        <v>16218</v>
      </c>
      <c r="F3723" t="s">
        <v>16220</v>
      </c>
      <c r="G3723" t="s">
        <v>16276</v>
      </c>
      <c r="H3723" t="s">
        <v>16276</v>
      </c>
      <c r="I3723" t="s">
        <v>16352</v>
      </c>
      <c r="J3723" t="s">
        <v>16386</v>
      </c>
      <c r="K3723">
        <v>0.146</v>
      </c>
      <c r="L3723">
        <v>6364</v>
      </c>
      <c r="M3723">
        <v>2145</v>
      </c>
      <c r="N3723" t="s">
        <v>16393</v>
      </c>
      <c r="O3723" s="4">
        <v>49444</v>
      </c>
      <c r="P3723" s="4">
        <v>120855</v>
      </c>
      <c r="Q3723" s="4">
        <v>170299</v>
      </c>
      <c r="R3723" s="4">
        <v>510897</v>
      </c>
      <c r="S3723" t="s">
        <v>20035</v>
      </c>
      <c r="T3723" s="6">
        <v>40148</v>
      </c>
      <c r="U3723" s="4">
        <v>335000</v>
      </c>
      <c r="V3723" t="s">
        <v>23739</v>
      </c>
      <c r="W3723" t="s">
        <v>25614</v>
      </c>
      <c r="X3723" t="s">
        <v>3</v>
      </c>
      <c r="AA3723" s="5" t="str">
        <f>HYPERLINK("https://www.zillow.com/homes/916-LOWELL-LN-NAPERVILLE-IL-60540_rb/","check listing")</f>
        <v>check listing</v>
      </c>
      <c r="AB3723" s="5" t="str">
        <f>HYPERLINK("https://propertylookup.dupagecounty.gov/Datalets/Datalet.aspx?UseSearch=no&amp;mode=sales&amp;pin=0727210005","sales record")</f>
        <v>sales record</v>
      </c>
      <c r="AC3723" t="s">
        <v>3</v>
      </c>
      <c r="AD3723">
        <v>41.753743</v>
      </c>
      <c r="AE3723">
        <v>-88.189233</v>
      </c>
      <c r="AF3723" s="5" t="str">
        <f>HYPERLINK("https://www.google.com/maps/search/?api=1&amp;query=41.753743,-88.189233","map")</f>
        <v>map</v>
      </c>
    </row>
    <row r="3724" spans="1:32">
      <c r="A3724" t="s">
        <v>3774</v>
      </c>
      <c r="B3724" t="s">
        <v>11307</v>
      </c>
      <c r="C3724" t="s">
        <v>15475</v>
      </c>
      <c r="D3724" t="s">
        <v>16206</v>
      </c>
      <c r="E3724" t="s">
        <v>16218</v>
      </c>
      <c r="F3724" t="s">
        <v>16220</v>
      </c>
      <c r="G3724" t="s">
        <v>16276</v>
      </c>
      <c r="H3724" t="s">
        <v>16276</v>
      </c>
      <c r="I3724" t="s">
        <v>16352</v>
      </c>
      <c r="J3724" t="s">
        <v>16386</v>
      </c>
      <c r="K3724">
        <v>0.146</v>
      </c>
      <c r="L3724">
        <v>6342</v>
      </c>
      <c r="M3724">
        <v>1995</v>
      </c>
      <c r="N3724" t="s">
        <v>16393</v>
      </c>
      <c r="O3724" s="4">
        <v>49444</v>
      </c>
      <c r="P3724" s="4">
        <v>98667</v>
      </c>
      <c r="Q3724" s="4">
        <v>148111</v>
      </c>
      <c r="R3724" s="4">
        <v>444333</v>
      </c>
      <c r="S3724" t="s">
        <v>20036</v>
      </c>
      <c r="T3724" s="6">
        <v>36739</v>
      </c>
      <c r="U3724" s="4">
        <v>204500</v>
      </c>
      <c r="V3724" t="s">
        <v>23739</v>
      </c>
      <c r="W3724" t="s">
        <v>25615</v>
      </c>
      <c r="X3724" t="s">
        <v>3</v>
      </c>
      <c r="AA3724" s="5" t="str">
        <f>HYPERLINK("https://www.zillow.com/homes/2135-SCHUMACHER-LN-NAPERVILLE-IL-60540_rb/","check listing")</f>
        <v>check listing</v>
      </c>
      <c r="AB3724" s="5" t="str">
        <f>HYPERLINK("https://propertylookup.dupagecounty.gov/Datalets/Datalet.aspx?UseSearch=no&amp;mode=sales&amp;pin=0727208014","sales record")</f>
        <v>sales record</v>
      </c>
      <c r="AC3724" t="s">
        <v>3</v>
      </c>
      <c r="AD3724">
        <v>41.75256</v>
      </c>
      <c r="AE3724">
        <v>-88.188264</v>
      </c>
      <c r="AF3724" s="5" t="str">
        <f>HYPERLINK("https://www.google.com/maps/search/?api=1&amp;query=41.75256,-88.188264","map")</f>
        <v>map</v>
      </c>
    </row>
    <row r="3725" spans="1:32">
      <c r="A3725" t="s">
        <v>3775</v>
      </c>
      <c r="B3725" t="s">
        <v>11308</v>
      </c>
      <c r="C3725" t="s">
        <v>15517</v>
      </c>
      <c r="D3725" t="s">
        <v>16206</v>
      </c>
      <c r="E3725" t="s">
        <v>16218</v>
      </c>
      <c r="F3725" t="s">
        <v>16220</v>
      </c>
      <c r="G3725" t="s">
        <v>16276</v>
      </c>
      <c r="H3725" t="s">
        <v>16276</v>
      </c>
      <c r="I3725" t="s">
        <v>16352</v>
      </c>
      <c r="J3725" t="s">
        <v>16386</v>
      </c>
      <c r="K3725">
        <v>0.145</v>
      </c>
      <c r="L3725">
        <v>6334</v>
      </c>
      <c r="M3725">
        <v>1928</v>
      </c>
      <c r="N3725" t="s">
        <v>16393</v>
      </c>
      <c r="O3725" s="4">
        <v>49444</v>
      </c>
      <c r="P3725" s="4">
        <v>127789</v>
      </c>
      <c r="Q3725" s="4">
        <v>177233</v>
      </c>
      <c r="R3725" s="4">
        <v>531699</v>
      </c>
      <c r="S3725" t="s">
        <v>20037</v>
      </c>
      <c r="T3725" s="6">
        <v>37500</v>
      </c>
      <c r="U3725" s="4">
        <v>246000</v>
      </c>
      <c r="V3725" t="s">
        <v>23739</v>
      </c>
      <c r="W3725" t="s">
        <v>25616</v>
      </c>
      <c r="X3725" t="s">
        <v>3</v>
      </c>
      <c r="AA3725" s="5" t="str">
        <f>HYPERLINK("https://www.zillow.com/homes/2036-SCHUMACHER-DR-NAPERVILLE-IL-605401929_rb/","check listing")</f>
        <v>check listing</v>
      </c>
      <c r="AB3725" s="5" t="str">
        <f>HYPERLINK("https://propertylookup.dupagecounty.gov/Datalets/Datalet.aspx?UseSearch=no&amp;mode=sales&amp;pin=0727211009","sales record")</f>
        <v>sales record</v>
      </c>
      <c r="AC3725" t="s">
        <v>3</v>
      </c>
      <c r="AD3725">
        <v>41.754591</v>
      </c>
      <c r="AE3725">
        <v>-88.18758099999999</v>
      </c>
      <c r="AF3725" s="5" t="str">
        <f>HYPERLINK("https://www.google.com/maps/search/?api=1&amp;query=41.754591,-88.187581","map")</f>
        <v>map</v>
      </c>
    </row>
    <row r="3726" spans="1:32">
      <c r="A3726" t="s">
        <v>3776</v>
      </c>
      <c r="B3726" t="s">
        <v>11309</v>
      </c>
      <c r="C3726" t="s">
        <v>15475</v>
      </c>
      <c r="D3726" t="s">
        <v>16206</v>
      </c>
      <c r="E3726" t="s">
        <v>16218</v>
      </c>
      <c r="F3726" t="s">
        <v>16220</v>
      </c>
      <c r="G3726" t="s">
        <v>16275</v>
      </c>
      <c r="H3726" t="s">
        <v>16276</v>
      </c>
      <c r="I3726" t="s">
        <v>16352</v>
      </c>
      <c r="J3726" t="s">
        <v>16386</v>
      </c>
      <c r="K3726">
        <v>0.145</v>
      </c>
      <c r="L3726">
        <v>6327</v>
      </c>
      <c r="M3726">
        <v>1975</v>
      </c>
      <c r="N3726" t="s">
        <v>16393</v>
      </c>
      <c r="O3726" s="4">
        <v>49444</v>
      </c>
      <c r="P3726" s="4">
        <v>85241</v>
      </c>
      <c r="Q3726" s="4">
        <v>134685</v>
      </c>
      <c r="R3726" s="4">
        <v>404055</v>
      </c>
      <c r="S3726" t="s">
        <v>20038</v>
      </c>
      <c r="T3726" s="6">
        <v>34455</v>
      </c>
      <c r="U3726" s="4">
        <v>158500</v>
      </c>
      <c r="X3726" t="s">
        <v>3</v>
      </c>
      <c r="AA3726" s="5" t="str">
        <f>HYPERLINK("https://www.zillow.com/homes/1207-ANDRIA-CT-NAPERVILLE-IL-60540_rb/","check listing")</f>
        <v>check listing</v>
      </c>
      <c r="AB3726" s="5" t="str">
        <f>HYPERLINK("https://propertylookup.dupagecounty.gov/Datalets/Datalet.aspx?UseSearch=no&amp;mode=sales&amp;pin=0727201030","sales record")</f>
        <v>sales record</v>
      </c>
      <c r="AC3726" t="s">
        <v>3</v>
      </c>
      <c r="AD3726">
        <v>41.748662</v>
      </c>
      <c r="AE3726">
        <v>-88.189059</v>
      </c>
      <c r="AF3726" s="5" t="str">
        <f>HYPERLINK("https://www.google.com/maps/search/?api=1&amp;query=41.748662,-88.189059","map")</f>
        <v>map</v>
      </c>
    </row>
    <row r="3727" spans="1:32">
      <c r="A3727" t="s">
        <v>3777</v>
      </c>
      <c r="B3727" t="s">
        <v>11310</v>
      </c>
      <c r="C3727" t="s">
        <v>15475</v>
      </c>
      <c r="D3727" t="s">
        <v>16206</v>
      </c>
      <c r="E3727" t="s">
        <v>16218</v>
      </c>
      <c r="F3727" t="s">
        <v>16220</v>
      </c>
      <c r="G3727" t="s">
        <v>16275</v>
      </c>
      <c r="H3727" t="s">
        <v>16276</v>
      </c>
      <c r="I3727" t="s">
        <v>16352</v>
      </c>
      <c r="J3727" t="s">
        <v>16386</v>
      </c>
      <c r="K3727">
        <v>0.145</v>
      </c>
      <c r="L3727">
        <v>6326</v>
      </c>
      <c r="M3727">
        <v>2177</v>
      </c>
      <c r="N3727" t="s">
        <v>16393</v>
      </c>
      <c r="O3727" s="4">
        <v>49444</v>
      </c>
      <c r="P3727" s="4">
        <v>115595</v>
      </c>
      <c r="Q3727" s="4">
        <v>165039</v>
      </c>
      <c r="R3727" s="4">
        <v>495117</v>
      </c>
      <c r="S3727" t="s">
        <v>20039</v>
      </c>
      <c r="T3727" s="6">
        <v>40940</v>
      </c>
      <c r="U3727" s="4">
        <v>299000</v>
      </c>
      <c r="V3727" t="s">
        <v>23739</v>
      </c>
      <c r="W3727" t="s">
        <v>20039</v>
      </c>
      <c r="X3727" t="s">
        <v>3</v>
      </c>
      <c r="AA3727" s="5" t="str">
        <f>HYPERLINK("https://www.zillow.com/homes/1019-LAKEWOOD-CIR-NAPERVILLE-IL-60540_rb/","check listing")</f>
        <v>check listing</v>
      </c>
      <c r="AB3727" s="5" t="str">
        <f>HYPERLINK("https://propertylookup.dupagecounty.gov/Datalets/Datalet.aspx?UseSearch=no&amp;mode=sales&amp;pin=0727207008","sales record")</f>
        <v>sales record</v>
      </c>
      <c r="AC3727" t="s">
        <v>3</v>
      </c>
      <c r="AD3727">
        <v>41.749547</v>
      </c>
      <c r="AE3727">
        <v>-88.19436899999999</v>
      </c>
      <c r="AF3727" s="5" t="str">
        <f>HYPERLINK("https://www.google.com/maps/search/?api=1&amp;query=41.749547,-88.194369","map")</f>
        <v>map</v>
      </c>
    </row>
    <row r="3728" spans="1:32">
      <c r="A3728" t="s">
        <v>3778</v>
      </c>
      <c r="B3728" t="s">
        <v>11311</v>
      </c>
      <c r="C3728" t="s">
        <v>15475</v>
      </c>
      <c r="D3728" t="s">
        <v>16206</v>
      </c>
      <c r="E3728" t="s">
        <v>16218</v>
      </c>
      <c r="F3728" t="s">
        <v>16220</v>
      </c>
      <c r="G3728" t="s">
        <v>16275</v>
      </c>
      <c r="H3728" t="s">
        <v>16276</v>
      </c>
      <c r="I3728" t="s">
        <v>16352</v>
      </c>
      <c r="J3728" t="s">
        <v>16386</v>
      </c>
      <c r="K3728">
        <v>0.145</v>
      </c>
      <c r="L3728">
        <v>6326</v>
      </c>
      <c r="M3728">
        <v>2094</v>
      </c>
      <c r="N3728" t="s">
        <v>16393</v>
      </c>
      <c r="O3728" s="4">
        <v>49444</v>
      </c>
      <c r="P3728" s="4">
        <v>101608</v>
      </c>
      <c r="Q3728" s="4">
        <v>151052</v>
      </c>
      <c r="R3728" s="4">
        <v>453156</v>
      </c>
      <c r="S3728" t="s">
        <v>20040</v>
      </c>
      <c r="T3728" s="6">
        <v>41091</v>
      </c>
      <c r="U3728" s="4">
        <v>252000</v>
      </c>
      <c r="V3728" t="s">
        <v>23739</v>
      </c>
      <c r="W3728" t="s">
        <v>25617</v>
      </c>
      <c r="X3728" t="s">
        <v>3</v>
      </c>
      <c r="AA3728" s="5" t="str">
        <f>HYPERLINK("https://www.zillow.com/homes/2040-CROSSING-LN-NAPERVILLE-IL-60540_rb/","check listing")</f>
        <v>check listing</v>
      </c>
      <c r="AB3728" s="5" t="str">
        <f>HYPERLINK("https://propertylookup.dupagecounty.gov/Datalets/Datalet.aspx?UseSearch=no&amp;mode=sales&amp;pin=0727204006","sales record")</f>
        <v>sales record</v>
      </c>
      <c r="AC3728" t="s">
        <v>3</v>
      </c>
      <c r="AD3728">
        <v>41.750402</v>
      </c>
      <c r="AE3728">
        <v>-88.188176</v>
      </c>
      <c r="AF3728" s="5" t="str">
        <f>HYPERLINK("https://www.google.com/maps/search/?api=1&amp;query=41.750402,-88.188176","map")</f>
        <v>map</v>
      </c>
    </row>
    <row r="3729" spans="1:32">
      <c r="A3729" t="s">
        <v>3779</v>
      </c>
      <c r="B3729" t="s">
        <v>11312</v>
      </c>
      <c r="C3729" t="s">
        <v>15475</v>
      </c>
      <c r="D3729" t="s">
        <v>16206</v>
      </c>
      <c r="E3729" t="s">
        <v>16218</v>
      </c>
      <c r="F3729" t="s">
        <v>16220</v>
      </c>
      <c r="G3729" t="s">
        <v>16275</v>
      </c>
      <c r="H3729" t="s">
        <v>16276</v>
      </c>
      <c r="I3729" t="s">
        <v>16352</v>
      </c>
      <c r="J3729" t="s">
        <v>16386</v>
      </c>
      <c r="K3729">
        <v>0.145</v>
      </c>
      <c r="L3729">
        <v>6326</v>
      </c>
      <c r="M3729">
        <v>2111</v>
      </c>
      <c r="N3729" t="s">
        <v>16393</v>
      </c>
      <c r="O3729" s="4">
        <v>49444</v>
      </c>
      <c r="P3729" s="4">
        <v>109492</v>
      </c>
      <c r="Q3729" s="4">
        <v>158936</v>
      </c>
      <c r="R3729" s="4">
        <v>476808</v>
      </c>
      <c r="S3729" t="s">
        <v>20041</v>
      </c>
      <c r="T3729" s="6">
        <v>34578</v>
      </c>
      <c r="U3729" s="4">
        <v>204880</v>
      </c>
      <c r="X3729" t="s">
        <v>3</v>
      </c>
      <c r="AA3729" s="5" t="str">
        <f>HYPERLINK("https://www.zillow.com/homes/1015-LAKEWOOD-CIR-NAPERVILLE-IL-60540_rb/","check listing")</f>
        <v>check listing</v>
      </c>
      <c r="AB3729" s="5" t="str">
        <f>HYPERLINK("https://propertylookup.dupagecounty.gov/Datalets/Datalet.aspx?UseSearch=no&amp;mode=sales&amp;pin=0727207007","sales record")</f>
        <v>sales record</v>
      </c>
      <c r="AC3729" t="s">
        <v>3</v>
      </c>
      <c r="AD3729">
        <v>41.749389</v>
      </c>
      <c r="AE3729">
        <v>-88.19437000000001</v>
      </c>
      <c r="AF3729" s="5" t="str">
        <f>HYPERLINK("https://www.google.com/maps/search/?api=1&amp;query=41.749389,-88.19437","map")</f>
        <v>map</v>
      </c>
    </row>
    <row r="3730" spans="1:32">
      <c r="A3730" t="s">
        <v>3780</v>
      </c>
      <c r="B3730" t="s">
        <v>11313</v>
      </c>
      <c r="C3730" t="s">
        <v>15475</v>
      </c>
      <c r="D3730" t="s">
        <v>16206</v>
      </c>
      <c r="E3730" t="s">
        <v>16218</v>
      </c>
      <c r="F3730" t="s">
        <v>16220</v>
      </c>
      <c r="G3730" t="s">
        <v>16275</v>
      </c>
      <c r="H3730" t="s">
        <v>16276</v>
      </c>
      <c r="I3730" t="s">
        <v>16352</v>
      </c>
      <c r="J3730" t="s">
        <v>16386</v>
      </c>
      <c r="K3730">
        <v>0.145</v>
      </c>
      <c r="L3730">
        <v>6325</v>
      </c>
      <c r="M3730">
        <v>2144</v>
      </c>
      <c r="N3730" t="s">
        <v>16393</v>
      </c>
      <c r="O3730" s="4">
        <v>49444</v>
      </c>
      <c r="P3730" s="4">
        <v>120111</v>
      </c>
      <c r="Q3730" s="4">
        <v>169555</v>
      </c>
      <c r="R3730" s="4">
        <v>508665</v>
      </c>
      <c r="S3730" t="s">
        <v>20042</v>
      </c>
      <c r="T3730" s="6">
        <v>41426</v>
      </c>
      <c r="U3730" s="4">
        <v>326000</v>
      </c>
      <c r="V3730" t="s">
        <v>23739</v>
      </c>
      <c r="W3730" t="s">
        <v>25618</v>
      </c>
      <c r="X3730" t="s">
        <v>3</v>
      </c>
      <c r="AA3730" s="5" t="str">
        <f>HYPERLINK("https://www.zillow.com/homes/2056-CROSSING-LN-NAPERVILLE-IL-60540_rb/","check listing")</f>
        <v>check listing</v>
      </c>
      <c r="AB3730" s="5" t="str">
        <f>HYPERLINK("https://propertylookup.dupagecounty.gov/Datalets/Datalet.aspx?UseSearch=no&amp;mode=sales&amp;pin=0727204002","sales record")</f>
        <v>sales record</v>
      </c>
      <c r="AC3730" t="s">
        <v>3</v>
      </c>
      <c r="AD3730">
        <v>41.750394</v>
      </c>
      <c r="AE3730">
        <v>-88.189019</v>
      </c>
      <c r="AF3730" s="5" t="str">
        <f>HYPERLINK("https://www.google.com/maps/search/?api=1&amp;query=41.750394,-88.189019","map")</f>
        <v>map</v>
      </c>
    </row>
    <row r="3731" spans="1:32">
      <c r="A3731" t="s">
        <v>3781</v>
      </c>
      <c r="B3731" t="s">
        <v>11314</v>
      </c>
      <c r="C3731" t="s">
        <v>15475</v>
      </c>
      <c r="D3731" t="s">
        <v>16206</v>
      </c>
      <c r="E3731" t="s">
        <v>16218</v>
      </c>
      <c r="F3731" t="s">
        <v>16220</v>
      </c>
      <c r="G3731" t="s">
        <v>16275</v>
      </c>
      <c r="H3731" t="s">
        <v>16276</v>
      </c>
      <c r="I3731" t="s">
        <v>16352</v>
      </c>
      <c r="J3731" t="s">
        <v>16386</v>
      </c>
      <c r="K3731">
        <v>0.145</v>
      </c>
      <c r="L3731">
        <v>6325</v>
      </c>
      <c r="M3731">
        <v>1996</v>
      </c>
      <c r="N3731" t="s">
        <v>16393</v>
      </c>
      <c r="O3731" s="4">
        <v>49444</v>
      </c>
      <c r="P3731" s="4">
        <v>130059</v>
      </c>
      <c r="Q3731" s="4">
        <v>179503</v>
      </c>
      <c r="R3731" s="4">
        <v>538509</v>
      </c>
      <c r="S3731" t="s">
        <v>20043</v>
      </c>
      <c r="T3731" s="6">
        <v>34578</v>
      </c>
      <c r="U3731" s="4">
        <v>201980</v>
      </c>
      <c r="X3731" t="s">
        <v>3</v>
      </c>
      <c r="AA3731" s="5" t="str">
        <f>HYPERLINK("https://www.zillow.com/homes/1023-LAKEWOOD-CIR-NAPERVILLE-IL-60540_rb/","check listing")</f>
        <v>check listing</v>
      </c>
      <c r="AB3731" s="5" t="str">
        <f>HYPERLINK("https://propertylookup.dupagecounty.gov/Datalets/Datalet.aspx?UseSearch=no&amp;mode=sales&amp;pin=0727207009","sales record")</f>
        <v>sales record</v>
      </c>
      <c r="AC3731" t="s">
        <v>3</v>
      </c>
      <c r="AD3731">
        <v>41.749704</v>
      </c>
      <c r="AE3731">
        <v>-88.19436899999999</v>
      </c>
      <c r="AF3731" s="5" t="str">
        <f>HYPERLINK("https://www.google.com/maps/search/?api=1&amp;query=41.749704,-88.194369","map")</f>
        <v>map</v>
      </c>
    </row>
    <row r="3732" spans="1:32">
      <c r="A3732" t="s">
        <v>3782</v>
      </c>
      <c r="B3732" t="s">
        <v>11315</v>
      </c>
      <c r="C3732" t="s">
        <v>15475</v>
      </c>
      <c r="D3732" t="s">
        <v>16206</v>
      </c>
      <c r="E3732" t="s">
        <v>16218</v>
      </c>
      <c r="F3732" t="s">
        <v>16220</v>
      </c>
      <c r="G3732" t="s">
        <v>16275</v>
      </c>
      <c r="H3732" t="s">
        <v>16276</v>
      </c>
      <c r="I3732" t="s">
        <v>16352</v>
      </c>
      <c r="J3732" t="s">
        <v>16386</v>
      </c>
      <c r="K3732">
        <v>0.145</v>
      </c>
      <c r="L3732">
        <v>6325</v>
      </c>
      <c r="M3732">
        <v>2016</v>
      </c>
      <c r="N3732" t="s">
        <v>16393</v>
      </c>
      <c r="O3732" s="4">
        <v>46367</v>
      </c>
      <c r="P3732" s="4">
        <v>99081</v>
      </c>
      <c r="Q3732" s="4">
        <v>145448</v>
      </c>
      <c r="R3732" s="4">
        <v>436344</v>
      </c>
      <c r="S3732" t="s">
        <v>20044</v>
      </c>
      <c r="T3732" s="6">
        <v>37257</v>
      </c>
      <c r="U3732" s="4">
        <v>210000</v>
      </c>
      <c r="V3732" t="s">
        <v>23739</v>
      </c>
      <c r="W3732" t="s">
        <v>25619</v>
      </c>
      <c r="X3732" t="s">
        <v>3</v>
      </c>
      <c r="AA3732" s="5" t="str">
        <f>HYPERLINK("https://www.zillow.com/homes/2411-THREE-FARMS-AVE-NAPERVILLE-IL-60540_rb/","check listing")</f>
        <v>check listing</v>
      </c>
      <c r="AB3732" s="5" t="str">
        <f>HYPERLINK("https://propertylookup.dupagecounty.gov/Datalets/Datalet.aspx?UseSearch=no&amp;mode=sales&amp;pin=0727207002","sales record")</f>
        <v>sales record</v>
      </c>
      <c r="AC3732" t="s">
        <v>3</v>
      </c>
      <c r="AD3732">
        <v>41.748886</v>
      </c>
      <c r="AE3732">
        <v>-88.194847</v>
      </c>
      <c r="AF3732" s="5" t="str">
        <f>HYPERLINK("https://www.google.com/maps/search/?api=1&amp;query=41.748886,-88.194847","map")</f>
        <v>map</v>
      </c>
    </row>
    <row r="3733" spans="1:32">
      <c r="A3733" t="s">
        <v>3783</v>
      </c>
      <c r="B3733" t="s">
        <v>11316</v>
      </c>
      <c r="C3733" t="s">
        <v>15581</v>
      </c>
      <c r="D3733" t="s">
        <v>16206</v>
      </c>
      <c r="E3733" t="s">
        <v>16218</v>
      </c>
      <c r="F3733" t="s">
        <v>16220</v>
      </c>
      <c r="G3733" t="s">
        <v>16275</v>
      </c>
      <c r="H3733" t="s">
        <v>16276</v>
      </c>
      <c r="I3733" t="s">
        <v>16352</v>
      </c>
      <c r="J3733" t="s">
        <v>16386</v>
      </c>
      <c r="K3733">
        <v>0.145</v>
      </c>
      <c r="L3733">
        <v>6325</v>
      </c>
      <c r="M3733">
        <v>1633</v>
      </c>
      <c r="N3733" t="s">
        <v>16393</v>
      </c>
      <c r="O3733" s="4">
        <v>50957</v>
      </c>
      <c r="P3733" s="4">
        <v>105844</v>
      </c>
      <c r="Q3733" s="4">
        <v>156801</v>
      </c>
      <c r="R3733" s="4">
        <v>470403</v>
      </c>
      <c r="S3733" t="s">
        <v>20045</v>
      </c>
      <c r="T3733" s="6">
        <v>44013</v>
      </c>
      <c r="U3733" s="4">
        <v>320000</v>
      </c>
      <c r="V3733" t="s">
        <v>23739</v>
      </c>
      <c r="W3733" t="s">
        <v>25620</v>
      </c>
      <c r="X3733" t="s">
        <v>3</v>
      </c>
      <c r="AA3733" s="5" t="str">
        <f>HYPERLINK("https://www.zillow.com/homes/1167-LAKEWOOD-CIR-NAPERVILLE-IL-605400999_rb/","check listing")</f>
        <v>check listing</v>
      </c>
      <c r="AB3733" s="5" t="str">
        <f>HYPERLINK("https://propertylookup.dupagecounty.gov/Datalets/Datalet.aspx?UseSearch=no&amp;mode=sales&amp;pin=0727205016","sales record")</f>
        <v>sales record</v>
      </c>
      <c r="AC3733" t="s">
        <v>3</v>
      </c>
      <c r="AD3733">
        <v>41.749793</v>
      </c>
      <c r="AE3733">
        <v>-88.190136</v>
      </c>
      <c r="AF3733" s="5" t="str">
        <f>HYPERLINK("https://www.google.com/maps/search/?api=1&amp;query=41.749793,-88.190136","map")</f>
        <v>map</v>
      </c>
    </row>
    <row r="3734" spans="1:32">
      <c r="A3734" t="s">
        <v>3784</v>
      </c>
      <c r="B3734" t="s">
        <v>11317</v>
      </c>
      <c r="C3734" t="s">
        <v>15475</v>
      </c>
      <c r="D3734" t="s">
        <v>16206</v>
      </c>
      <c r="E3734" t="s">
        <v>16218</v>
      </c>
      <c r="F3734" t="s">
        <v>16220</v>
      </c>
      <c r="G3734" t="s">
        <v>16275</v>
      </c>
      <c r="H3734" t="s">
        <v>16276</v>
      </c>
      <c r="I3734" t="s">
        <v>16352</v>
      </c>
      <c r="J3734" t="s">
        <v>16386</v>
      </c>
      <c r="K3734">
        <v>0.145</v>
      </c>
      <c r="L3734">
        <v>6325</v>
      </c>
      <c r="M3734">
        <v>1980</v>
      </c>
      <c r="N3734" t="s">
        <v>16393</v>
      </c>
      <c r="O3734" s="4">
        <v>49444</v>
      </c>
      <c r="P3734" s="4">
        <v>78968</v>
      </c>
      <c r="Q3734" s="4">
        <v>128412</v>
      </c>
      <c r="R3734" s="4">
        <v>385236</v>
      </c>
      <c r="S3734" t="s">
        <v>20046</v>
      </c>
      <c r="T3734" s="6">
        <v>45831</v>
      </c>
      <c r="U3734" s="4">
        <v>410000</v>
      </c>
      <c r="V3734" t="s">
        <v>23739</v>
      </c>
      <c r="W3734" t="s">
        <v>25621</v>
      </c>
      <c r="X3734" t="s">
        <v>3</v>
      </c>
      <c r="AA3734" s="5" t="str">
        <f>HYPERLINK("https://www.zillow.com/homes/1164-LAKEWOOD-CIR-NAPERVILLE-IL-60540_rb/","check listing")</f>
        <v>check listing</v>
      </c>
      <c r="AB3734" s="5" t="str">
        <f>HYPERLINK("https://propertylookup.dupagecounty.gov/Datalets/Datalet.aspx?UseSearch=no&amp;mode=sales&amp;pin=0727206022","sales record")</f>
        <v>sales record</v>
      </c>
      <c r="AC3734" t="s">
        <v>3</v>
      </c>
      <c r="AD3734">
        <v>41.749882</v>
      </c>
      <c r="AE3734">
        <v>-88.19078</v>
      </c>
      <c r="AF3734" s="5" t="str">
        <f>HYPERLINK("https://www.google.com/maps/search/?api=1&amp;query=41.749882,-88.19078","map")</f>
        <v>map</v>
      </c>
    </row>
    <row r="3735" spans="1:32">
      <c r="A3735" t="s">
        <v>3785</v>
      </c>
      <c r="B3735" t="s">
        <v>11318</v>
      </c>
      <c r="C3735" t="s">
        <v>15475</v>
      </c>
      <c r="D3735" t="s">
        <v>16206</v>
      </c>
      <c r="E3735" t="s">
        <v>16218</v>
      </c>
      <c r="F3735" t="s">
        <v>16220</v>
      </c>
      <c r="G3735" t="s">
        <v>16275</v>
      </c>
      <c r="H3735" t="s">
        <v>16276</v>
      </c>
      <c r="I3735" t="s">
        <v>16352</v>
      </c>
      <c r="J3735" t="s">
        <v>16386</v>
      </c>
      <c r="K3735">
        <v>0.145</v>
      </c>
      <c r="L3735">
        <v>6325</v>
      </c>
      <c r="M3735">
        <v>2141</v>
      </c>
      <c r="N3735" t="s">
        <v>16393</v>
      </c>
      <c r="O3735" s="4">
        <v>49444</v>
      </c>
      <c r="P3735" s="4">
        <v>118610</v>
      </c>
      <c r="Q3735" s="4">
        <v>168054</v>
      </c>
      <c r="R3735" s="4">
        <v>504162</v>
      </c>
      <c r="S3735" t="s">
        <v>20047</v>
      </c>
      <c r="T3735" s="6">
        <v>37135</v>
      </c>
      <c r="U3735" s="4">
        <v>265000</v>
      </c>
      <c r="V3735" t="s">
        <v>23739</v>
      </c>
      <c r="W3735" t="s">
        <v>25622</v>
      </c>
      <c r="X3735" t="s">
        <v>3</v>
      </c>
      <c r="AA3735" s="5" t="str">
        <f>HYPERLINK("https://www.zillow.com/homes/2044-CROSSING-LN-NAPERVILLE-IL-60540_rb/","check listing")</f>
        <v>check listing</v>
      </c>
      <c r="AB3735" s="5" t="str">
        <f>HYPERLINK("https://propertylookup.dupagecounty.gov/Datalets/Datalet.aspx?UseSearch=no&amp;mode=sales&amp;pin=0727204005","sales record")</f>
        <v>sales record</v>
      </c>
      <c r="AC3735" t="s">
        <v>3</v>
      </c>
      <c r="AD3735">
        <v>41.7504</v>
      </c>
      <c r="AE3735">
        <v>-88.18838700000001</v>
      </c>
      <c r="AF3735" s="5" t="str">
        <f>HYPERLINK("https://www.google.com/maps/search/?api=1&amp;query=41.7504,-88.188387","map")</f>
        <v>map</v>
      </c>
    </row>
    <row r="3736" spans="1:32">
      <c r="A3736" t="s">
        <v>3786</v>
      </c>
      <c r="B3736" t="s">
        <v>11319</v>
      </c>
      <c r="C3736" t="s">
        <v>15581</v>
      </c>
      <c r="D3736" t="s">
        <v>16206</v>
      </c>
      <c r="E3736" t="s">
        <v>16218</v>
      </c>
      <c r="F3736" t="s">
        <v>16220</v>
      </c>
      <c r="G3736" t="s">
        <v>16275</v>
      </c>
      <c r="H3736" t="s">
        <v>16276</v>
      </c>
      <c r="I3736" t="s">
        <v>16352</v>
      </c>
      <c r="J3736" t="s">
        <v>16386</v>
      </c>
      <c r="K3736">
        <v>0.145</v>
      </c>
      <c r="L3736">
        <v>6325</v>
      </c>
      <c r="M3736">
        <v>1951</v>
      </c>
      <c r="N3736" t="s">
        <v>16393</v>
      </c>
      <c r="O3736" s="4">
        <v>49444</v>
      </c>
      <c r="P3736" s="4">
        <v>98008</v>
      </c>
      <c r="Q3736" s="4">
        <v>147452</v>
      </c>
      <c r="R3736" s="4">
        <v>442356</v>
      </c>
      <c r="S3736" t="s">
        <v>20048</v>
      </c>
      <c r="T3736" s="6">
        <v>36708</v>
      </c>
      <c r="U3736" s="4">
        <v>193000</v>
      </c>
      <c r="V3736" t="s">
        <v>23739</v>
      </c>
      <c r="W3736" t="s">
        <v>20048</v>
      </c>
      <c r="X3736" t="s">
        <v>3</v>
      </c>
      <c r="AA3736" s="5" t="str">
        <f>HYPERLINK("https://www.zillow.com/homes/1111-LAKEWOOD-CIR-NAPERVILLE-IL-605400999_rb/","check listing")</f>
        <v>check listing</v>
      </c>
      <c r="AB3736" s="5" t="str">
        <f>HYPERLINK("https://propertylookup.dupagecounty.gov/Datalets/Datalet.aspx?UseSearch=no&amp;mode=sales&amp;pin=0727205030","sales record")</f>
        <v>sales record</v>
      </c>
      <c r="AC3736" t="s">
        <v>3</v>
      </c>
      <c r="AD3736">
        <v>41.750853</v>
      </c>
      <c r="AE3736">
        <v>-88.192201</v>
      </c>
      <c r="AF3736" s="5" t="str">
        <f>HYPERLINK("https://www.google.com/maps/search/?api=1&amp;query=41.750853,-88.192201","map")</f>
        <v>map</v>
      </c>
    </row>
    <row r="3737" spans="1:32">
      <c r="A3737" t="s">
        <v>3787</v>
      </c>
      <c r="B3737" t="s">
        <v>11320</v>
      </c>
      <c r="C3737" t="s">
        <v>15475</v>
      </c>
      <c r="D3737" t="s">
        <v>16206</v>
      </c>
      <c r="E3737" t="s">
        <v>16218</v>
      </c>
      <c r="F3737" t="s">
        <v>16220</v>
      </c>
      <c r="G3737" t="s">
        <v>16275</v>
      </c>
      <c r="H3737" t="s">
        <v>16276</v>
      </c>
      <c r="I3737" t="s">
        <v>16352</v>
      </c>
      <c r="J3737" t="s">
        <v>16386</v>
      </c>
      <c r="K3737">
        <v>0.145</v>
      </c>
      <c r="L3737">
        <v>6325</v>
      </c>
      <c r="M3737">
        <v>1979</v>
      </c>
      <c r="N3737" t="s">
        <v>16393</v>
      </c>
      <c r="O3737" s="4">
        <v>49444</v>
      </c>
      <c r="P3737" s="4">
        <v>104354</v>
      </c>
      <c r="Q3737" s="4">
        <v>153798</v>
      </c>
      <c r="R3737" s="4">
        <v>461394</v>
      </c>
      <c r="S3737" t="s">
        <v>20049</v>
      </c>
      <c r="T3737" s="6">
        <v>37530</v>
      </c>
      <c r="U3737" s="4">
        <v>253500</v>
      </c>
      <c r="V3737" t="s">
        <v>23739</v>
      </c>
      <c r="W3737" t="s">
        <v>25623</v>
      </c>
      <c r="X3737" t="s">
        <v>3</v>
      </c>
      <c r="AA3737" s="5" t="str">
        <f>HYPERLINK("https://www.zillow.com/homes/1168-LAKEWOOD-CIR-NAPERVILLE-IL-60540_rb/","check listing")</f>
        <v>check listing</v>
      </c>
      <c r="AB3737" s="5" t="str">
        <f>HYPERLINK("https://propertylookup.dupagecounty.gov/Datalets/Datalet.aspx?UseSearch=no&amp;mode=sales&amp;pin=0727206023","sales record")</f>
        <v>sales record</v>
      </c>
      <c r="AC3737" t="s">
        <v>3</v>
      </c>
      <c r="AD3737">
        <v>41.749753</v>
      </c>
      <c r="AE3737">
        <v>-88.190781</v>
      </c>
      <c r="AF3737" s="5" t="str">
        <f>HYPERLINK("https://www.google.com/maps/search/?api=1&amp;query=41.749753,-88.190781","map")</f>
        <v>map</v>
      </c>
    </row>
    <row r="3738" spans="1:32">
      <c r="A3738" t="s">
        <v>3788</v>
      </c>
      <c r="B3738" t="s">
        <v>11321</v>
      </c>
      <c r="C3738" t="s">
        <v>15475</v>
      </c>
      <c r="D3738" t="s">
        <v>16206</v>
      </c>
      <c r="E3738" t="s">
        <v>16218</v>
      </c>
      <c r="F3738" t="s">
        <v>16220</v>
      </c>
      <c r="G3738" t="s">
        <v>16275</v>
      </c>
      <c r="H3738" t="s">
        <v>16276</v>
      </c>
      <c r="I3738" t="s">
        <v>16352</v>
      </c>
      <c r="J3738" t="s">
        <v>16386</v>
      </c>
      <c r="K3738">
        <v>0.145</v>
      </c>
      <c r="L3738">
        <v>6325</v>
      </c>
      <c r="M3738">
        <v>1901</v>
      </c>
      <c r="N3738" t="s">
        <v>16393</v>
      </c>
      <c r="O3738" s="4">
        <v>49444</v>
      </c>
      <c r="P3738" s="4">
        <v>124163</v>
      </c>
      <c r="Q3738" s="4">
        <v>173607</v>
      </c>
      <c r="R3738" s="4">
        <v>520821</v>
      </c>
      <c r="S3738" t="s">
        <v>20050</v>
      </c>
      <c r="T3738" s="6">
        <v>43374</v>
      </c>
      <c r="U3738" s="4">
        <v>333000</v>
      </c>
      <c r="V3738" t="s">
        <v>23739</v>
      </c>
      <c r="W3738" t="s">
        <v>25624</v>
      </c>
      <c r="X3738" t="s">
        <v>3</v>
      </c>
      <c r="AA3738" s="5" t="str">
        <f>HYPERLINK("https://www.zillow.com/homes/1152-LAKEWOOD-CIR-NAPERVILLE-IL-60540_rb/","check listing")</f>
        <v>check listing</v>
      </c>
      <c r="AB3738" s="5" t="str">
        <f>HYPERLINK("https://propertylookup.dupagecounty.gov/Datalets/Datalet.aspx?UseSearch=no&amp;mode=sales&amp;pin=0727206020","sales record")</f>
        <v>sales record</v>
      </c>
      <c r="AC3738" t="s">
        <v>3</v>
      </c>
      <c r="AD3738">
        <v>41.750179</v>
      </c>
      <c r="AE3738">
        <v>-88.190933</v>
      </c>
      <c r="AF3738" s="5" t="str">
        <f>HYPERLINK("https://www.google.com/maps/search/?api=1&amp;query=41.750179,-88.190933","map")</f>
        <v>map</v>
      </c>
    </row>
    <row r="3739" spans="1:32">
      <c r="A3739" t="s">
        <v>3789</v>
      </c>
      <c r="B3739" t="s">
        <v>11322</v>
      </c>
      <c r="C3739" t="s">
        <v>15475</v>
      </c>
      <c r="D3739" t="s">
        <v>16206</v>
      </c>
      <c r="E3739" t="s">
        <v>16218</v>
      </c>
      <c r="F3739" t="s">
        <v>16220</v>
      </c>
      <c r="G3739" t="s">
        <v>16275</v>
      </c>
      <c r="H3739" t="s">
        <v>16276</v>
      </c>
      <c r="I3739" t="s">
        <v>16352</v>
      </c>
      <c r="J3739" t="s">
        <v>16386</v>
      </c>
      <c r="K3739">
        <v>0.145</v>
      </c>
      <c r="L3739">
        <v>6325</v>
      </c>
      <c r="M3739">
        <v>1978</v>
      </c>
      <c r="N3739" t="s">
        <v>16393</v>
      </c>
      <c r="O3739" s="4">
        <v>49444</v>
      </c>
      <c r="P3739" s="4">
        <v>114070</v>
      </c>
      <c r="Q3739" s="4">
        <v>163514</v>
      </c>
      <c r="R3739" s="4">
        <v>490542</v>
      </c>
      <c r="S3739" t="s">
        <v>20051</v>
      </c>
      <c r="T3739" s="6">
        <v>41395</v>
      </c>
      <c r="U3739" s="4">
        <v>285000</v>
      </c>
      <c r="V3739" t="s">
        <v>23739</v>
      </c>
      <c r="W3739" t="s">
        <v>25625</v>
      </c>
      <c r="X3739" t="s">
        <v>3</v>
      </c>
      <c r="AA3739" s="5" t="str">
        <f>HYPERLINK("https://www.zillow.com/homes/1035-LAKEWOOD-CIR-NAPERVILLE-IL-60540_rb/","check listing")</f>
        <v>check listing</v>
      </c>
      <c r="AB3739" s="5" t="str">
        <f>HYPERLINK("https://propertylookup.dupagecounty.gov/Datalets/Datalet.aspx?UseSearch=no&amp;mode=sales&amp;pin=0727207011","sales record")</f>
        <v>sales record</v>
      </c>
      <c r="AC3739" t="s">
        <v>3</v>
      </c>
      <c r="AD3739">
        <v>41.750631</v>
      </c>
      <c r="AE3739">
        <v>-88.193769</v>
      </c>
      <c r="AF3739" s="5" t="str">
        <f>HYPERLINK("https://www.google.com/maps/search/?api=1&amp;query=41.750631,-88.193769","map")</f>
        <v>map</v>
      </c>
    </row>
    <row r="3740" spans="1:32">
      <c r="A3740" t="s">
        <v>3790</v>
      </c>
      <c r="B3740" t="s">
        <v>11323</v>
      </c>
      <c r="C3740" t="s">
        <v>15475</v>
      </c>
      <c r="D3740" t="s">
        <v>16206</v>
      </c>
      <c r="E3740" t="s">
        <v>16218</v>
      </c>
      <c r="F3740" t="s">
        <v>16220</v>
      </c>
      <c r="G3740" t="s">
        <v>16275</v>
      </c>
      <c r="H3740" t="s">
        <v>16276</v>
      </c>
      <c r="I3740" t="s">
        <v>16352</v>
      </c>
      <c r="J3740" t="s">
        <v>16386</v>
      </c>
      <c r="K3740">
        <v>0.145</v>
      </c>
      <c r="L3740">
        <v>6325</v>
      </c>
      <c r="M3740">
        <v>1446</v>
      </c>
      <c r="N3740" t="s">
        <v>16393</v>
      </c>
      <c r="O3740" s="4">
        <v>49444</v>
      </c>
      <c r="P3740" s="4">
        <v>80286</v>
      </c>
      <c r="Q3740" s="4">
        <v>129730</v>
      </c>
      <c r="R3740" s="4">
        <v>389190</v>
      </c>
      <c r="S3740" t="s">
        <v>20052</v>
      </c>
      <c r="T3740" s="6">
        <v>34608</v>
      </c>
      <c r="U3740" s="4">
        <v>145555</v>
      </c>
      <c r="X3740" t="s">
        <v>3</v>
      </c>
      <c r="AA3740" s="5" t="str">
        <f>HYPERLINK("https://www.zillow.com/homes/1127-LAKEWOOD-CIR-NAPERVILLE-IL-60540_rb/","check listing")</f>
        <v>check listing</v>
      </c>
      <c r="AB3740" s="5" t="str">
        <f>HYPERLINK("https://propertylookup.dupagecounty.gov/Datalets/Datalet.aspx?UseSearch=no&amp;mode=sales&amp;pin=0727205026","sales record")</f>
        <v>sales record</v>
      </c>
      <c r="AC3740" t="s">
        <v>3</v>
      </c>
      <c r="AD3740">
        <v>41.75086</v>
      </c>
      <c r="AE3740">
        <v>-88.19135799999999</v>
      </c>
      <c r="AF3740" s="5" t="str">
        <f>HYPERLINK("https://www.google.com/maps/search/?api=1&amp;query=41.75086,-88.191358","map")</f>
        <v>map</v>
      </c>
    </row>
    <row r="3741" spans="1:32">
      <c r="A3741" t="s">
        <v>3791</v>
      </c>
      <c r="B3741" t="s">
        <v>11324</v>
      </c>
      <c r="C3741" t="s">
        <v>15591</v>
      </c>
      <c r="D3741" t="s">
        <v>16206</v>
      </c>
      <c r="E3741" t="s">
        <v>16218</v>
      </c>
      <c r="F3741" t="s">
        <v>16220</v>
      </c>
      <c r="G3741" t="s">
        <v>16275</v>
      </c>
      <c r="H3741" t="s">
        <v>16276</v>
      </c>
      <c r="I3741" t="s">
        <v>16352</v>
      </c>
      <c r="J3741" t="s">
        <v>16386</v>
      </c>
      <c r="K3741">
        <v>0.145</v>
      </c>
      <c r="L3741">
        <v>6325</v>
      </c>
      <c r="M3741">
        <v>1846</v>
      </c>
      <c r="N3741" t="s">
        <v>16393</v>
      </c>
      <c r="O3741" s="4">
        <v>49444</v>
      </c>
      <c r="P3741" s="4">
        <v>116340</v>
      </c>
      <c r="Q3741" s="4">
        <v>165784</v>
      </c>
      <c r="R3741" s="4">
        <v>497352</v>
      </c>
      <c r="S3741" t="s">
        <v>20053</v>
      </c>
      <c r="T3741" s="6">
        <v>42856</v>
      </c>
      <c r="U3741" s="4">
        <v>362000</v>
      </c>
      <c r="V3741" t="s">
        <v>23739</v>
      </c>
      <c r="W3741" t="s">
        <v>25626</v>
      </c>
      <c r="X3741" t="s">
        <v>3</v>
      </c>
      <c r="AA3741" s="5" t="str">
        <f>HYPERLINK("https://www.zillow.com/homes/1027-LAKEWOOD-CIR-NAPERVILLE-IL-605400998_rb/","check listing")</f>
        <v>check listing</v>
      </c>
      <c r="AB3741" s="5" t="str">
        <f>HYPERLINK("https://propertylookup.dupagecounty.gov/Datalets/Datalet.aspx?UseSearch=no&amp;mode=sales&amp;pin=0727207010","sales record")</f>
        <v>sales record</v>
      </c>
      <c r="AC3741" t="s">
        <v>3</v>
      </c>
      <c r="AD3741">
        <v>41.749862</v>
      </c>
      <c r="AE3741">
        <v>-88.194368</v>
      </c>
      <c r="AF3741" s="5" t="str">
        <f>HYPERLINK("https://www.google.com/maps/search/?api=1&amp;query=41.749862,-88.194368","map")</f>
        <v>map</v>
      </c>
    </row>
    <row r="3742" spans="1:32">
      <c r="A3742" t="s">
        <v>3792</v>
      </c>
      <c r="B3742" t="s">
        <v>11325</v>
      </c>
      <c r="C3742" t="s">
        <v>15599</v>
      </c>
      <c r="D3742" t="s">
        <v>16206</v>
      </c>
      <c r="E3742" t="s">
        <v>16218</v>
      </c>
      <c r="F3742" t="s">
        <v>16220</v>
      </c>
      <c r="G3742" t="s">
        <v>16275</v>
      </c>
      <c r="H3742" t="s">
        <v>16276</v>
      </c>
      <c r="I3742" t="s">
        <v>16352</v>
      </c>
      <c r="J3742" t="s">
        <v>16386</v>
      </c>
      <c r="K3742">
        <v>0.145</v>
      </c>
      <c r="L3742">
        <v>6325</v>
      </c>
      <c r="M3742">
        <v>1980</v>
      </c>
      <c r="N3742" t="s">
        <v>16393</v>
      </c>
      <c r="O3742" s="4">
        <v>49444</v>
      </c>
      <c r="P3742" s="4">
        <v>90367</v>
      </c>
      <c r="Q3742" s="4">
        <v>139811</v>
      </c>
      <c r="R3742" s="4">
        <v>419433</v>
      </c>
      <c r="S3742" t="s">
        <v>20054</v>
      </c>
      <c r="T3742" s="6">
        <v>44778</v>
      </c>
      <c r="U3742" s="4">
        <v>366000</v>
      </c>
      <c r="V3742" t="s">
        <v>23739</v>
      </c>
      <c r="W3742" t="s">
        <v>25627</v>
      </c>
      <c r="X3742" t="s">
        <v>3</v>
      </c>
      <c r="AA3742" s="5" t="str">
        <f>HYPERLINK("https://www.zillow.com/homes/2036-CROSSING-LN-NAPERVILLE-IL-605400984_rb/","check listing")</f>
        <v>check listing</v>
      </c>
      <c r="AB3742" s="5" t="str">
        <f>HYPERLINK("https://propertylookup.dupagecounty.gov/Datalets/Datalet.aspx?UseSearch=no&amp;mode=sales&amp;pin=0727204007","sales record")</f>
        <v>sales record</v>
      </c>
      <c r="AC3742" t="s">
        <v>3</v>
      </c>
      <c r="AD3742">
        <v>41.750404</v>
      </c>
      <c r="AE3742">
        <v>-88.18796500000001</v>
      </c>
      <c r="AF3742" s="5" t="str">
        <f>HYPERLINK("https://www.google.com/maps/search/?api=1&amp;query=41.750404,-88.187965","map")</f>
        <v>map</v>
      </c>
    </row>
    <row r="3743" spans="1:32">
      <c r="A3743" t="s">
        <v>3793</v>
      </c>
      <c r="B3743" t="s">
        <v>11326</v>
      </c>
      <c r="C3743" t="s">
        <v>15600</v>
      </c>
      <c r="D3743" t="s">
        <v>16206</v>
      </c>
      <c r="E3743" t="s">
        <v>16218</v>
      </c>
      <c r="F3743" t="s">
        <v>16220</v>
      </c>
      <c r="G3743" t="s">
        <v>16275</v>
      </c>
      <c r="H3743" t="s">
        <v>16276</v>
      </c>
      <c r="I3743" t="s">
        <v>16352</v>
      </c>
      <c r="J3743" t="s">
        <v>16386</v>
      </c>
      <c r="K3743">
        <v>0.145</v>
      </c>
      <c r="L3743">
        <v>6325</v>
      </c>
      <c r="M3743">
        <v>2163</v>
      </c>
      <c r="N3743" t="s">
        <v>16393</v>
      </c>
      <c r="O3743" s="4">
        <v>49444</v>
      </c>
      <c r="P3743" s="4">
        <v>113411</v>
      </c>
      <c r="Q3743" s="4">
        <v>162855</v>
      </c>
      <c r="R3743" s="4">
        <v>488565</v>
      </c>
      <c r="S3743" t="s">
        <v>20055</v>
      </c>
      <c r="T3743" s="6">
        <v>44713</v>
      </c>
      <c r="U3743" s="4">
        <v>455000</v>
      </c>
      <c r="V3743" t="s">
        <v>23739</v>
      </c>
      <c r="W3743" t="s">
        <v>20055</v>
      </c>
      <c r="X3743" t="s">
        <v>3</v>
      </c>
      <c r="AA3743" s="5" t="str">
        <f>HYPERLINK("https://www.zillow.com/homes/1124-LAKEWOOD-CIR-NAPERVILLE-IL-605401901_rb/","check listing")</f>
        <v>check listing</v>
      </c>
      <c r="AB3743" s="5" t="str">
        <f>HYPERLINK("https://propertylookup.dupagecounty.gov/Datalets/Datalet.aspx?UseSearch=no&amp;mode=sales&amp;pin=0727206017","sales record")</f>
        <v>sales record</v>
      </c>
      <c r="AC3743" t="s">
        <v>3</v>
      </c>
      <c r="AD3743">
        <v>41.750376</v>
      </c>
      <c r="AE3743">
        <v>-88.191515</v>
      </c>
      <c r="AF3743" s="5" t="str">
        <f>HYPERLINK("https://www.google.com/maps/search/?api=1&amp;query=41.750376,-88.191515","map")</f>
        <v>map</v>
      </c>
    </row>
    <row r="3744" spans="1:32">
      <c r="A3744" t="s">
        <v>3794</v>
      </c>
      <c r="B3744" t="s">
        <v>11327</v>
      </c>
      <c r="C3744" t="s">
        <v>15475</v>
      </c>
      <c r="D3744" t="s">
        <v>16206</v>
      </c>
      <c r="E3744" t="s">
        <v>16218</v>
      </c>
      <c r="F3744" t="s">
        <v>16220</v>
      </c>
      <c r="G3744" t="s">
        <v>16275</v>
      </c>
      <c r="H3744" t="s">
        <v>16276</v>
      </c>
      <c r="I3744" t="s">
        <v>16352</v>
      </c>
      <c r="J3744" t="s">
        <v>16386</v>
      </c>
      <c r="K3744">
        <v>0.145</v>
      </c>
      <c r="L3744">
        <v>6325</v>
      </c>
      <c r="M3744">
        <v>2110</v>
      </c>
      <c r="N3744" t="s">
        <v>16393</v>
      </c>
      <c r="O3744" s="4">
        <v>49444</v>
      </c>
      <c r="P3744" s="4">
        <v>123980</v>
      </c>
      <c r="Q3744" s="4">
        <v>173424</v>
      </c>
      <c r="R3744" s="4">
        <v>520272</v>
      </c>
      <c r="S3744" t="s">
        <v>20056</v>
      </c>
      <c r="T3744" s="6">
        <v>39234</v>
      </c>
      <c r="U3744" s="4">
        <v>368000</v>
      </c>
      <c r="V3744" t="s">
        <v>23739</v>
      </c>
      <c r="W3744" t="s">
        <v>25628</v>
      </c>
      <c r="X3744" t="s">
        <v>3</v>
      </c>
      <c r="AA3744" s="5" t="str">
        <f>HYPERLINK("https://www.zillow.com/homes/2048-CROSSING-AVE-NAPERVILLE-IL-60540_rb/","check listing")</f>
        <v>check listing</v>
      </c>
      <c r="AB3744" s="5" t="str">
        <f>HYPERLINK("https://propertylookup.dupagecounty.gov/Datalets/Datalet.aspx?UseSearch=no&amp;mode=sales&amp;pin=0727204004","sales record")</f>
        <v>sales record</v>
      </c>
      <c r="AC3744" t="s">
        <v>3</v>
      </c>
      <c r="AD3744">
        <v>41.750398</v>
      </c>
      <c r="AE3744">
        <v>-88.188598</v>
      </c>
      <c r="AF3744" s="5" t="str">
        <f>HYPERLINK("https://www.google.com/maps/search/?api=1&amp;query=41.750398,-88.188598","map")</f>
        <v>map</v>
      </c>
    </row>
    <row r="3745" spans="1:32">
      <c r="A3745" t="s">
        <v>3795</v>
      </c>
      <c r="B3745" t="s">
        <v>11328</v>
      </c>
      <c r="C3745" t="s">
        <v>15475</v>
      </c>
      <c r="D3745" t="s">
        <v>16206</v>
      </c>
      <c r="E3745" t="s">
        <v>16218</v>
      </c>
      <c r="F3745" t="s">
        <v>16220</v>
      </c>
      <c r="G3745" t="s">
        <v>16275</v>
      </c>
      <c r="H3745" t="s">
        <v>16276</v>
      </c>
      <c r="I3745" t="s">
        <v>16352</v>
      </c>
      <c r="J3745" t="s">
        <v>16386</v>
      </c>
      <c r="K3745">
        <v>0.145</v>
      </c>
      <c r="L3745">
        <v>6324</v>
      </c>
      <c r="M3745">
        <v>1561</v>
      </c>
      <c r="N3745" t="s">
        <v>16393</v>
      </c>
      <c r="O3745" s="4">
        <v>49444</v>
      </c>
      <c r="P3745" s="4">
        <v>87975</v>
      </c>
      <c r="Q3745" s="4">
        <v>137419</v>
      </c>
      <c r="R3745" s="4">
        <v>412257</v>
      </c>
      <c r="S3745" t="s">
        <v>20057</v>
      </c>
      <c r="T3745" s="6">
        <v>44798</v>
      </c>
      <c r="U3745" s="4">
        <v>325000</v>
      </c>
      <c r="V3745" t="s">
        <v>23739</v>
      </c>
      <c r="W3745" t="s">
        <v>25629</v>
      </c>
      <c r="X3745" t="s">
        <v>3</v>
      </c>
      <c r="AA3745" s="5" t="str">
        <f>HYPERLINK("https://www.zillow.com/homes/1120-LAKEWOOD-CIR-NAPERVILLE-IL-60540_rb/","check listing")</f>
        <v>check listing</v>
      </c>
      <c r="AB3745" s="5" t="str">
        <f>HYPERLINK("https://propertylookup.dupagecounty.gov/Datalets/Datalet.aspx?UseSearch=no&amp;mode=sales&amp;pin=0727206016","sales record")</f>
        <v>sales record</v>
      </c>
      <c r="AC3745" t="s">
        <v>3</v>
      </c>
      <c r="AD3745">
        <v>41.750374</v>
      </c>
      <c r="AE3745">
        <v>-88.191726</v>
      </c>
      <c r="AF3745" s="5" t="str">
        <f>HYPERLINK("https://www.google.com/maps/search/?api=1&amp;query=41.750374,-88.191726","map")</f>
        <v>map</v>
      </c>
    </row>
    <row r="3746" spans="1:32">
      <c r="A3746" t="s">
        <v>3796</v>
      </c>
      <c r="B3746" t="s">
        <v>11329</v>
      </c>
      <c r="C3746" t="s">
        <v>15600</v>
      </c>
      <c r="D3746" t="s">
        <v>16206</v>
      </c>
      <c r="E3746" t="s">
        <v>16218</v>
      </c>
      <c r="F3746" t="s">
        <v>16220</v>
      </c>
      <c r="G3746" t="s">
        <v>16275</v>
      </c>
      <c r="H3746" t="s">
        <v>16276</v>
      </c>
      <c r="I3746" t="s">
        <v>16352</v>
      </c>
      <c r="J3746" t="s">
        <v>16386</v>
      </c>
      <c r="K3746">
        <v>0.145</v>
      </c>
      <c r="L3746">
        <v>6324</v>
      </c>
      <c r="M3746">
        <v>2102</v>
      </c>
      <c r="N3746" t="s">
        <v>16393</v>
      </c>
      <c r="O3746" s="4">
        <v>49444</v>
      </c>
      <c r="P3746" s="4">
        <v>112727</v>
      </c>
      <c r="Q3746" s="4">
        <v>162171</v>
      </c>
      <c r="R3746" s="4">
        <v>486513</v>
      </c>
      <c r="S3746" t="s">
        <v>20058</v>
      </c>
      <c r="T3746" s="6">
        <v>40452</v>
      </c>
      <c r="U3746" s="4">
        <v>315000</v>
      </c>
      <c r="V3746" t="s">
        <v>23739</v>
      </c>
      <c r="W3746" t="s">
        <v>25630</v>
      </c>
      <c r="X3746" t="s">
        <v>3</v>
      </c>
      <c r="AA3746" s="5" t="str">
        <f>HYPERLINK("https://www.zillow.com/homes/1112-LAKEWOOD-CIR-NAPERVILLE-IL-605401901_rb/","check listing")</f>
        <v>check listing</v>
      </c>
      <c r="AB3746" s="5" t="str">
        <f>HYPERLINK("https://propertylookup.dupagecounty.gov/Datalets/Datalet.aspx?UseSearch=no&amp;mode=sales&amp;pin=0727206014","sales record")</f>
        <v>sales record</v>
      </c>
      <c r="AC3746" t="s">
        <v>3</v>
      </c>
      <c r="AD3746">
        <v>41.750371</v>
      </c>
      <c r="AE3746">
        <v>-88.19214700000001</v>
      </c>
      <c r="AF3746" s="5" t="str">
        <f>HYPERLINK("https://www.google.com/maps/search/?api=1&amp;query=41.750371,-88.192147","map")</f>
        <v>map</v>
      </c>
    </row>
    <row r="3747" spans="1:32">
      <c r="A3747" t="s">
        <v>3797</v>
      </c>
      <c r="B3747" t="s">
        <v>11330</v>
      </c>
      <c r="C3747" t="s">
        <v>15475</v>
      </c>
      <c r="D3747" t="s">
        <v>16206</v>
      </c>
      <c r="E3747" t="s">
        <v>16218</v>
      </c>
      <c r="F3747" t="s">
        <v>16220</v>
      </c>
      <c r="G3747" t="s">
        <v>16275</v>
      </c>
      <c r="H3747" t="s">
        <v>16276</v>
      </c>
      <c r="I3747" t="s">
        <v>16352</v>
      </c>
      <c r="J3747" t="s">
        <v>16386</v>
      </c>
      <c r="K3747">
        <v>0.145</v>
      </c>
      <c r="L3747">
        <v>6324</v>
      </c>
      <c r="M3747">
        <v>1984</v>
      </c>
      <c r="N3747" t="s">
        <v>16393</v>
      </c>
      <c r="O3747" s="4">
        <v>49444</v>
      </c>
      <c r="P3747" s="4">
        <v>107821</v>
      </c>
      <c r="Q3747" s="4">
        <v>157265</v>
      </c>
      <c r="R3747" s="4">
        <v>471795</v>
      </c>
      <c r="S3747" t="s">
        <v>20059</v>
      </c>
      <c r="T3747" s="6">
        <v>41091</v>
      </c>
      <c r="U3747" s="4">
        <v>293000</v>
      </c>
      <c r="V3747" t="s">
        <v>23739</v>
      </c>
      <c r="W3747" t="s">
        <v>25631</v>
      </c>
      <c r="X3747" t="s">
        <v>3</v>
      </c>
      <c r="AA3747" s="5" t="str">
        <f>HYPERLINK("https://www.zillow.com/homes/1036-LAKEWOOD-CIR-NAPERVILLE-IL-60540_rb/","check listing")</f>
        <v>check listing</v>
      </c>
      <c r="AB3747" s="5" t="str">
        <f>HYPERLINK("https://propertylookup.dupagecounty.gov/Datalets/Datalet.aspx?UseSearch=no&amp;mode=sales&amp;pin=0727206008","sales record")</f>
        <v>sales record</v>
      </c>
      <c r="AC3747" t="s">
        <v>3</v>
      </c>
      <c r="AD3747">
        <v>41.750228</v>
      </c>
      <c r="AE3747">
        <v>-88.193411</v>
      </c>
      <c r="AF3747" s="5" t="str">
        <f>HYPERLINK("https://www.google.com/maps/search/?api=1&amp;query=41.750228,-88.193411","map")</f>
        <v>map</v>
      </c>
    </row>
    <row r="3748" spans="1:32">
      <c r="A3748" t="s">
        <v>3798</v>
      </c>
      <c r="B3748" t="s">
        <v>11331</v>
      </c>
      <c r="C3748" t="s">
        <v>15600</v>
      </c>
      <c r="D3748" t="s">
        <v>16206</v>
      </c>
      <c r="E3748" t="s">
        <v>16218</v>
      </c>
      <c r="F3748" t="s">
        <v>16220</v>
      </c>
      <c r="G3748" t="s">
        <v>16275</v>
      </c>
      <c r="H3748" t="s">
        <v>16276</v>
      </c>
      <c r="I3748" t="s">
        <v>16352</v>
      </c>
      <c r="J3748" t="s">
        <v>16386</v>
      </c>
      <c r="K3748">
        <v>0.145</v>
      </c>
      <c r="L3748">
        <v>6324</v>
      </c>
      <c r="M3748">
        <v>2129</v>
      </c>
      <c r="N3748" t="s">
        <v>16393</v>
      </c>
      <c r="O3748" s="4">
        <v>49444</v>
      </c>
      <c r="P3748" s="4">
        <v>116974</v>
      </c>
      <c r="Q3748" s="4">
        <v>166418</v>
      </c>
      <c r="R3748" s="4">
        <v>499254</v>
      </c>
      <c r="S3748" t="s">
        <v>20060</v>
      </c>
      <c r="T3748" s="6">
        <v>44682</v>
      </c>
      <c r="U3748" s="4">
        <v>478000</v>
      </c>
      <c r="V3748" t="s">
        <v>23739</v>
      </c>
      <c r="W3748" t="s">
        <v>25632</v>
      </c>
      <c r="X3748" t="s">
        <v>3</v>
      </c>
      <c r="AA3748" s="5" t="str">
        <f>HYPERLINK("https://www.zillow.com/homes/1116-LAKEWOOD-CIR-NAPERVILLE-IL-605401901_rb/","check listing")</f>
        <v>check listing</v>
      </c>
      <c r="AB3748" s="5" t="str">
        <f>HYPERLINK("https://propertylookup.dupagecounty.gov/Datalets/Datalet.aspx?UseSearch=no&amp;mode=sales&amp;pin=0727206015","sales record")</f>
        <v>sales record</v>
      </c>
      <c r="AC3748" t="s">
        <v>3</v>
      </c>
      <c r="AD3748">
        <v>41.750372</v>
      </c>
      <c r="AE3748">
        <v>-88.191936</v>
      </c>
      <c r="AF3748" s="5" t="str">
        <f>HYPERLINK("https://www.google.com/maps/search/?api=1&amp;query=41.750372,-88.191936","map")</f>
        <v>map</v>
      </c>
    </row>
    <row r="3749" spans="1:32">
      <c r="A3749" t="s">
        <v>3799</v>
      </c>
      <c r="B3749" t="s">
        <v>11332</v>
      </c>
      <c r="C3749" t="s">
        <v>15581</v>
      </c>
      <c r="D3749" t="s">
        <v>16206</v>
      </c>
      <c r="E3749" t="s">
        <v>16218</v>
      </c>
      <c r="F3749" t="s">
        <v>16220</v>
      </c>
      <c r="G3749" t="s">
        <v>16275</v>
      </c>
      <c r="H3749" t="s">
        <v>16276</v>
      </c>
      <c r="I3749" t="s">
        <v>16352</v>
      </c>
      <c r="J3749" t="s">
        <v>16386</v>
      </c>
      <c r="K3749">
        <v>0.145</v>
      </c>
      <c r="L3749">
        <v>6324</v>
      </c>
      <c r="M3749">
        <v>2029</v>
      </c>
      <c r="N3749" t="s">
        <v>16393</v>
      </c>
      <c r="O3749" s="4">
        <v>49444</v>
      </c>
      <c r="P3749" s="4">
        <v>107931</v>
      </c>
      <c r="Q3749" s="4">
        <v>157375</v>
      </c>
      <c r="R3749" s="4">
        <v>472125</v>
      </c>
      <c r="S3749" t="s">
        <v>20061</v>
      </c>
      <c r="T3749" s="6">
        <v>44105</v>
      </c>
      <c r="U3749" s="4">
        <v>290000</v>
      </c>
      <c r="V3749" t="s">
        <v>23739</v>
      </c>
      <c r="W3749" t="s">
        <v>20061</v>
      </c>
      <c r="X3749" t="s">
        <v>3</v>
      </c>
      <c r="AA3749" s="5" t="str">
        <f>HYPERLINK("https://www.zillow.com/homes/1115-LAKEWOOD-CIR-NAPERVILLE-IL-605400999_rb/","check listing")</f>
        <v>check listing</v>
      </c>
      <c r="AB3749" s="5" t="str">
        <f>HYPERLINK("https://propertylookup.dupagecounty.gov/Datalets/Datalet.aspx?UseSearch=no&amp;mode=sales&amp;pin=0727205029","sales record")</f>
        <v>sales record</v>
      </c>
      <c r="AC3749" t="s">
        <v>3</v>
      </c>
      <c r="AD3749">
        <v>41.750855</v>
      </c>
      <c r="AE3749">
        <v>-88.19199</v>
      </c>
      <c r="AF3749" s="5" t="str">
        <f>HYPERLINK("https://www.google.com/maps/search/?api=1&amp;query=41.750855,-88.19199","map")</f>
        <v>map</v>
      </c>
    </row>
    <row r="3750" spans="1:32">
      <c r="A3750" t="s">
        <v>3800</v>
      </c>
      <c r="B3750" t="s">
        <v>11333</v>
      </c>
      <c r="C3750" t="s">
        <v>15475</v>
      </c>
      <c r="D3750" t="s">
        <v>16206</v>
      </c>
      <c r="E3750" t="s">
        <v>16218</v>
      </c>
      <c r="F3750" t="s">
        <v>16220</v>
      </c>
      <c r="G3750" t="s">
        <v>16275</v>
      </c>
      <c r="H3750" t="s">
        <v>16276</v>
      </c>
      <c r="I3750" t="s">
        <v>16352</v>
      </c>
      <c r="J3750" t="s">
        <v>16386</v>
      </c>
      <c r="K3750">
        <v>0.145</v>
      </c>
      <c r="L3750">
        <v>6324</v>
      </c>
      <c r="M3750">
        <v>2150</v>
      </c>
      <c r="N3750" t="s">
        <v>16393</v>
      </c>
      <c r="O3750" s="4">
        <v>49444</v>
      </c>
      <c r="P3750" s="4">
        <v>95981</v>
      </c>
      <c r="Q3750" s="4">
        <v>145425</v>
      </c>
      <c r="R3750" s="4">
        <v>436275</v>
      </c>
      <c r="S3750" t="s">
        <v>20062</v>
      </c>
      <c r="T3750" s="6">
        <v>37288</v>
      </c>
      <c r="U3750" s="4">
        <v>207500</v>
      </c>
      <c r="V3750" t="s">
        <v>23739</v>
      </c>
      <c r="W3750" t="s">
        <v>25633</v>
      </c>
      <c r="X3750" t="s">
        <v>3</v>
      </c>
      <c r="AA3750" s="5" t="str">
        <f>HYPERLINK("https://www.zillow.com/homes/1119-LAKEWOOD-CIR-NAPERVILLE-IL-60540_rb/","check listing")</f>
        <v>check listing</v>
      </c>
      <c r="AB3750" s="5" t="str">
        <f>HYPERLINK("https://propertylookup.dupagecounty.gov/Datalets/Datalet.aspx?UseSearch=no&amp;mode=sales&amp;pin=0727205028","sales record")</f>
        <v>sales record</v>
      </c>
      <c r="AC3750" t="s">
        <v>3</v>
      </c>
      <c r="AD3750">
        <v>41.750857</v>
      </c>
      <c r="AE3750">
        <v>-88.191779</v>
      </c>
      <c r="AF3750" s="5" t="str">
        <f>HYPERLINK("https://www.google.com/maps/search/?api=1&amp;query=41.750857,-88.191779","map")</f>
        <v>map</v>
      </c>
    </row>
    <row r="3751" spans="1:32">
      <c r="A3751" t="s">
        <v>3801</v>
      </c>
      <c r="B3751" t="s">
        <v>11334</v>
      </c>
      <c r="C3751" t="s">
        <v>15478</v>
      </c>
      <c r="D3751" t="s">
        <v>16206</v>
      </c>
      <c r="E3751" t="s">
        <v>16218</v>
      </c>
      <c r="F3751" t="s">
        <v>16220</v>
      </c>
      <c r="G3751" t="s">
        <v>16274</v>
      </c>
      <c r="H3751" t="s">
        <v>16269</v>
      </c>
      <c r="I3751" t="s">
        <v>16352</v>
      </c>
      <c r="J3751" t="s">
        <v>16386</v>
      </c>
      <c r="K3751">
        <v>0.145</v>
      </c>
      <c r="L3751">
        <v>6324</v>
      </c>
      <c r="M3751">
        <v>2725</v>
      </c>
      <c r="N3751" t="s">
        <v>16393</v>
      </c>
      <c r="O3751" s="4">
        <v>48576</v>
      </c>
      <c r="P3751" s="4">
        <v>104806</v>
      </c>
      <c r="Q3751" s="4">
        <v>153382</v>
      </c>
      <c r="R3751" s="4">
        <v>460146</v>
      </c>
      <c r="S3751" t="s">
        <v>20063</v>
      </c>
      <c r="T3751" s="6">
        <v>36678</v>
      </c>
      <c r="U3751" s="4">
        <v>195500</v>
      </c>
      <c r="V3751" t="s">
        <v>23739</v>
      </c>
      <c r="W3751" t="s">
        <v>25634</v>
      </c>
      <c r="X3751" t="s">
        <v>3</v>
      </c>
      <c r="AA3751" s="5" t="str">
        <f>HYPERLINK("https://www.zillow.com/homes/721-SMALL-CT-NAPERVILLE-IL-60563_rb/","check listing")</f>
        <v>check listing</v>
      </c>
      <c r="AB3751" s="5" t="str">
        <f>HYPERLINK("https://propertylookup.dupagecounty.gov/Datalets/Datalet.aspx?UseSearch=no&amp;mode=sales&amp;pin=0715206006","sales record")</f>
        <v>sales record</v>
      </c>
      <c r="AC3751" t="s">
        <v>3</v>
      </c>
      <c r="AD3751">
        <v>41.781079</v>
      </c>
      <c r="AE3751">
        <v>-88.188344</v>
      </c>
      <c r="AF3751" s="5" t="str">
        <f>HYPERLINK("https://www.google.com/maps/search/?api=1&amp;query=41.781079,-88.188344","map")</f>
        <v>map</v>
      </c>
    </row>
    <row r="3752" spans="1:32">
      <c r="A3752" t="s">
        <v>3802</v>
      </c>
      <c r="B3752" t="s">
        <v>11335</v>
      </c>
      <c r="C3752" t="s">
        <v>15475</v>
      </c>
      <c r="D3752" t="s">
        <v>16206</v>
      </c>
      <c r="E3752" t="s">
        <v>16218</v>
      </c>
      <c r="F3752" t="s">
        <v>16220</v>
      </c>
      <c r="G3752" t="s">
        <v>16275</v>
      </c>
      <c r="H3752" t="s">
        <v>16276</v>
      </c>
      <c r="I3752" t="s">
        <v>16352</v>
      </c>
      <c r="J3752" t="s">
        <v>16386</v>
      </c>
      <c r="K3752">
        <v>0.145</v>
      </c>
      <c r="L3752">
        <v>6324</v>
      </c>
      <c r="M3752">
        <v>2205</v>
      </c>
      <c r="N3752" t="s">
        <v>16393</v>
      </c>
      <c r="O3752" s="4">
        <v>49444</v>
      </c>
      <c r="P3752" s="4">
        <v>120099</v>
      </c>
      <c r="Q3752" s="4">
        <v>169543</v>
      </c>
      <c r="R3752" s="4">
        <v>508629</v>
      </c>
      <c r="S3752" t="s">
        <v>20064</v>
      </c>
      <c r="T3752" s="6">
        <v>36739</v>
      </c>
      <c r="U3752" s="4">
        <v>225000</v>
      </c>
      <c r="V3752" t="s">
        <v>23739</v>
      </c>
      <c r="W3752" t="s">
        <v>25635</v>
      </c>
      <c r="X3752" t="s">
        <v>3</v>
      </c>
      <c r="AA3752" s="5" t="str">
        <f>HYPERLINK("https://www.zillow.com/homes/1123-LAKEWOOD-CIR-NAPERVILLE-IL-60540_rb/","check listing")</f>
        <v>check listing</v>
      </c>
      <c r="AB3752" s="5" t="str">
        <f>HYPERLINK("https://propertylookup.dupagecounty.gov/Datalets/Datalet.aspx?UseSearch=no&amp;mode=sales&amp;pin=0727205027","sales record")</f>
        <v>sales record</v>
      </c>
      <c r="AC3752" t="s">
        <v>3</v>
      </c>
      <c r="AD3752">
        <v>41.750859</v>
      </c>
      <c r="AE3752">
        <v>-88.191569</v>
      </c>
      <c r="AF3752" s="5" t="str">
        <f>HYPERLINK("https://www.google.com/maps/search/?api=1&amp;query=41.750859,-88.191569","map")</f>
        <v>map</v>
      </c>
    </row>
    <row r="3753" spans="1:32">
      <c r="A3753" t="s">
        <v>3803</v>
      </c>
      <c r="B3753" t="s">
        <v>11336</v>
      </c>
      <c r="C3753" t="s">
        <v>15475</v>
      </c>
      <c r="D3753" t="s">
        <v>16206</v>
      </c>
      <c r="E3753" t="s">
        <v>16218</v>
      </c>
      <c r="F3753" t="s">
        <v>16220</v>
      </c>
      <c r="G3753" t="s">
        <v>16275</v>
      </c>
      <c r="H3753" t="s">
        <v>16276</v>
      </c>
      <c r="I3753" t="s">
        <v>16352</v>
      </c>
      <c r="J3753" t="s">
        <v>16386</v>
      </c>
      <c r="K3753">
        <v>0.145</v>
      </c>
      <c r="L3753">
        <v>6324</v>
      </c>
      <c r="M3753">
        <v>1761</v>
      </c>
      <c r="N3753" t="s">
        <v>16393</v>
      </c>
      <c r="O3753" s="4">
        <v>49444</v>
      </c>
      <c r="P3753" s="4">
        <v>92100</v>
      </c>
      <c r="Q3753" s="4">
        <v>141544</v>
      </c>
      <c r="R3753" s="4">
        <v>424632</v>
      </c>
      <c r="S3753" t="s">
        <v>20065</v>
      </c>
      <c r="T3753" s="6">
        <v>40391</v>
      </c>
      <c r="U3753" s="4">
        <v>276500</v>
      </c>
      <c r="V3753" t="s">
        <v>23739</v>
      </c>
      <c r="W3753" t="s">
        <v>25199</v>
      </c>
      <c r="X3753" t="s">
        <v>3</v>
      </c>
      <c r="AA3753" s="5" t="str">
        <f>HYPERLINK("https://www.zillow.com/homes/2052-CROSSING-LN-NAPERVILLE-IL-60540_rb/","check listing")</f>
        <v>check listing</v>
      </c>
      <c r="AB3753" s="5" t="str">
        <f>HYPERLINK("https://propertylookup.dupagecounty.gov/Datalets/Datalet.aspx?UseSearch=no&amp;mode=sales&amp;pin=0727204003","sales record")</f>
        <v>sales record</v>
      </c>
      <c r="AC3753" t="s">
        <v>3</v>
      </c>
      <c r="AD3753">
        <v>41.750396</v>
      </c>
      <c r="AE3753">
        <v>-88.18880799999999</v>
      </c>
      <c r="AF3753" s="5" t="str">
        <f>HYPERLINK("https://www.google.com/maps/search/?api=1&amp;query=41.750396,-88.188808","map")</f>
        <v>map</v>
      </c>
    </row>
    <row r="3754" spans="1:32">
      <c r="A3754" t="s">
        <v>3804</v>
      </c>
      <c r="B3754" t="s">
        <v>11337</v>
      </c>
      <c r="C3754" t="s">
        <v>15475</v>
      </c>
      <c r="D3754" t="s">
        <v>16206</v>
      </c>
      <c r="E3754" t="s">
        <v>16218</v>
      </c>
      <c r="F3754" t="s">
        <v>16220</v>
      </c>
      <c r="G3754" t="s">
        <v>16275</v>
      </c>
      <c r="H3754" t="s">
        <v>16276</v>
      </c>
      <c r="I3754" t="s">
        <v>16352</v>
      </c>
      <c r="J3754" t="s">
        <v>16386</v>
      </c>
      <c r="K3754">
        <v>0.145</v>
      </c>
      <c r="L3754">
        <v>6324</v>
      </c>
      <c r="M3754">
        <v>1600</v>
      </c>
      <c r="N3754" t="s">
        <v>16393</v>
      </c>
      <c r="O3754" s="4">
        <v>49444</v>
      </c>
      <c r="P3754" s="4">
        <v>88841</v>
      </c>
      <c r="Q3754" s="4">
        <v>138285</v>
      </c>
      <c r="R3754" s="4">
        <v>414855</v>
      </c>
      <c r="S3754" t="s">
        <v>20066</v>
      </c>
      <c r="T3754" s="6">
        <v>34274</v>
      </c>
      <c r="U3754" s="4">
        <v>164590</v>
      </c>
      <c r="X3754" t="s">
        <v>3</v>
      </c>
      <c r="AA3754" s="5" t="str">
        <f>HYPERLINK("https://www.zillow.com/homes/1207-LAKEWOOD-CIR-NAPERVILLE-IL-60540_rb/","check listing")</f>
        <v>check listing</v>
      </c>
      <c r="AB3754" s="5" t="str">
        <f>HYPERLINK("https://propertylookup.dupagecounty.gov/Datalets/Datalet.aspx?UseSearch=no&amp;mode=sales&amp;pin=0727201033","sales record")</f>
        <v>sales record</v>
      </c>
      <c r="AC3754" t="s">
        <v>3</v>
      </c>
      <c r="AD3754">
        <v>41.748738</v>
      </c>
      <c r="AE3754">
        <v>-88.19035599999999</v>
      </c>
      <c r="AF3754" s="5" t="str">
        <f>HYPERLINK("https://www.google.com/maps/search/?api=1&amp;query=41.748738,-88.190356","map")</f>
        <v>map</v>
      </c>
    </row>
    <row r="3755" spans="1:32">
      <c r="A3755" t="s">
        <v>3805</v>
      </c>
      <c r="B3755" t="s">
        <v>11338</v>
      </c>
      <c r="C3755" t="s">
        <v>15581</v>
      </c>
      <c r="D3755" t="s">
        <v>16206</v>
      </c>
      <c r="E3755" t="s">
        <v>16218</v>
      </c>
      <c r="F3755" t="s">
        <v>16220</v>
      </c>
      <c r="G3755" t="s">
        <v>16275</v>
      </c>
      <c r="H3755" t="s">
        <v>16276</v>
      </c>
      <c r="I3755" t="s">
        <v>16352</v>
      </c>
      <c r="J3755" t="s">
        <v>16386</v>
      </c>
      <c r="K3755">
        <v>0.145</v>
      </c>
      <c r="L3755">
        <v>6323</v>
      </c>
      <c r="M3755">
        <v>1994</v>
      </c>
      <c r="N3755" t="s">
        <v>16393</v>
      </c>
      <c r="O3755" s="4">
        <v>49444</v>
      </c>
      <c r="P3755" s="4">
        <v>121747</v>
      </c>
      <c r="Q3755" s="4">
        <v>171191</v>
      </c>
      <c r="R3755" s="4">
        <v>513573</v>
      </c>
      <c r="S3755" t="s">
        <v>20067</v>
      </c>
      <c r="T3755" s="6">
        <v>44713</v>
      </c>
      <c r="U3755" s="4">
        <v>496000</v>
      </c>
      <c r="V3755" t="s">
        <v>23739</v>
      </c>
      <c r="W3755" t="s">
        <v>25636</v>
      </c>
      <c r="X3755" t="s">
        <v>3</v>
      </c>
      <c r="AA3755" s="5" t="str">
        <f>HYPERLINK("https://www.zillow.com/homes/1171-LAKEWOOD-CIR-NAPERVILLE-IL-605400999_rb/","check listing")</f>
        <v>check listing</v>
      </c>
      <c r="AB3755" s="5" t="str">
        <f>HYPERLINK("https://propertylookup.dupagecounty.gov/Datalets/Datalet.aspx?UseSearch=no&amp;mode=sales&amp;pin=0727205015","sales record")</f>
        <v>sales record</v>
      </c>
      <c r="AC3755" t="s">
        <v>3</v>
      </c>
      <c r="AD3755">
        <v>41.749635</v>
      </c>
      <c r="AE3755">
        <v>-88.190136</v>
      </c>
      <c r="AF3755" s="5" t="str">
        <f>HYPERLINK("https://www.google.com/maps/search/?api=1&amp;query=41.749635,-88.190136","map")</f>
        <v>map</v>
      </c>
    </row>
    <row r="3756" spans="1:32">
      <c r="A3756" t="s">
        <v>3806</v>
      </c>
      <c r="B3756" t="s">
        <v>11339</v>
      </c>
      <c r="C3756" t="s">
        <v>15478</v>
      </c>
      <c r="D3756" t="s">
        <v>16206</v>
      </c>
      <c r="E3756" t="s">
        <v>16218</v>
      </c>
      <c r="F3756" t="s">
        <v>16220</v>
      </c>
      <c r="G3756" t="s">
        <v>16274</v>
      </c>
      <c r="H3756" t="s">
        <v>16269</v>
      </c>
      <c r="I3756" t="s">
        <v>16352</v>
      </c>
      <c r="J3756" t="s">
        <v>16386</v>
      </c>
      <c r="K3756">
        <v>0.145</v>
      </c>
      <c r="L3756">
        <v>6319</v>
      </c>
      <c r="M3756">
        <v>1814</v>
      </c>
      <c r="N3756" t="s">
        <v>16393</v>
      </c>
      <c r="O3756" s="4">
        <v>48576</v>
      </c>
      <c r="P3756" s="4">
        <v>94272</v>
      </c>
      <c r="Q3756" s="4">
        <v>142848</v>
      </c>
      <c r="R3756" s="4">
        <v>428544</v>
      </c>
      <c r="S3756" t="s">
        <v>20068</v>
      </c>
      <c r="T3756" s="6">
        <v>33390</v>
      </c>
      <c r="U3756" s="4">
        <v>138860</v>
      </c>
      <c r="X3756" t="s">
        <v>3</v>
      </c>
      <c r="AA3756" s="5" t="str">
        <f>HYPERLINK("https://www.zillow.com/homes/1608-TERRI-CIR-NAPERVILLE-IL-60563_rb/","check listing")</f>
        <v>check listing</v>
      </c>
      <c r="AB3756" s="5" t="str">
        <f>HYPERLINK("https://propertylookup.dupagecounty.gov/Datalets/Datalet.aspx?UseSearch=no&amp;mode=sales&amp;pin=0715205002","sales record")</f>
        <v>sales record</v>
      </c>
      <c r="AC3756" t="s">
        <v>3</v>
      </c>
      <c r="AD3756">
        <v>41.78189</v>
      </c>
      <c r="AE3756">
        <v>-88.19071099999999</v>
      </c>
      <c r="AF3756" s="5" t="str">
        <f>HYPERLINK("https://www.google.com/maps/search/?api=1&amp;query=41.78189,-88.190711","map")</f>
        <v>map</v>
      </c>
    </row>
    <row r="3757" spans="1:32">
      <c r="A3757" t="s">
        <v>3807</v>
      </c>
      <c r="B3757" t="s">
        <v>11340</v>
      </c>
      <c r="C3757" t="s">
        <v>15475</v>
      </c>
      <c r="D3757" t="s">
        <v>16206</v>
      </c>
      <c r="E3757" t="s">
        <v>16218</v>
      </c>
      <c r="F3757" t="s">
        <v>16220</v>
      </c>
      <c r="G3757" t="s">
        <v>16275</v>
      </c>
      <c r="H3757" t="s">
        <v>16276</v>
      </c>
      <c r="I3757" t="s">
        <v>16352</v>
      </c>
      <c r="J3757" t="s">
        <v>16386</v>
      </c>
      <c r="K3757">
        <v>0.145</v>
      </c>
      <c r="L3757">
        <v>6310</v>
      </c>
      <c r="M3757">
        <v>1336</v>
      </c>
      <c r="N3757" t="s">
        <v>16393</v>
      </c>
      <c r="O3757" s="4">
        <v>49444</v>
      </c>
      <c r="P3757" s="4">
        <v>92100</v>
      </c>
      <c r="Q3757" s="4">
        <v>141544</v>
      </c>
      <c r="R3757" s="4">
        <v>424632</v>
      </c>
      <c r="S3757" t="s">
        <v>20069</v>
      </c>
      <c r="T3757" s="6">
        <v>38838</v>
      </c>
      <c r="U3757" s="4">
        <v>275000</v>
      </c>
      <c r="V3757" t="s">
        <v>23739</v>
      </c>
      <c r="W3757" t="s">
        <v>25637</v>
      </c>
      <c r="X3757" t="s">
        <v>3</v>
      </c>
      <c r="AA3757" s="5" t="str">
        <f>HYPERLINK("https://www.zillow.com/homes/1131-SELMA-LN-NAPERVILLE-IL-60540_rb/","check listing")</f>
        <v>check listing</v>
      </c>
      <c r="AB3757" s="5" t="str">
        <f>HYPERLINK("https://propertylookup.dupagecounty.gov/Datalets/Datalet.aspx?UseSearch=no&amp;mode=sales&amp;pin=0727205011","sales record")</f>
        <v>sales record</v>
      </c>
      <c r="AC3757" t="s">
        <v>3</v>
      </c>
      <c r="AD3757">
        <v>41.749384</v>
      </c>
      <c r="AE3757">
        <v>-88.189735</v>
      </c>
      <c r="AF3757" s="5" t="str">
        <f>HYPERLINK("https://www.google.com/maps/search/?api=1&amp;query=41.749384,-88.189735","map")</f>
        <v>map</v>
      </c>
    </row>
    <row r="3758" spans="1:32">
      <c r="A3758" t="s">
        <v>3808</v>
      </c>
      <c r="B3758" t="s">
        <v>11341</v>
      </c>
      <c r="C3758" t="s">
        <v>15475</v>
      </c>
      <c r="D3758" t="s">
        <v>16206</v>
      </c>
      <c r="E3758" t="s">
        <v>16218</v>
      </c>
      <c r="F3758" t="s">
        <v>16220</v>
      </c>
      <c r="G3758" t="s">
        <v>16275</v>
      </c>
      <c r="H3758" t="s">
        <v>16276</v>
      </c>
      <c r="I3758" t="s">
        <v>16352</v>
      </c>
      <c r="J3758" t="s">
        <v>16386</v>
      </c>
      <c r="K3758">
        <v>0.145</v>
      </c>
      <c r="L3758">
        <v>6307</v>
      </c>
      <c r="M3758">
        <v>1584</v>
      </c>
      <c r="N3758" t="s">
        <v>16393</v>
      </c>
      <c r="O3758" s="4">
        <v>51103</v>
      </c>
      <c r="P3758" s="4">
        <v>100949</v>
      </c>
      <c r="Q3758" s="4">
        <v>152052</v>
      </c>
      <c r="R3758" s="4">
        <v>456156</v>
      </c>
      <c r="S3758" t="s">
        <v>20070</v>
      </c>
      <c r="T3758" s="6">
        <v>40603</v>
      </c>
      <c r="U3758" s="4">
        <v>260000</v>
      </c>
      <c r="V3758" t="s">
        <v>23739</v>
      </c>
      <c r="W3758" t="s">
        <v>25638</v>
      </c>
      <c r="X3758" t="s">
        <v>3</v>
      </c>
      <c r="AA3758" s="5" t="str">
        <f>HYPERLINK("https://www.zillow.com/homes/740-VIOLET-CIR-NAPERVILLE-IL-60540_rb/","check listing")</f>
        <v>check listing</v>
      </c>
      <c r="AB3758" s="5" t="str">
        <f>HYPERLINK("https://propertylookup.dupagecounty.gov/Datalets/Datalet.aspx?UseSearch=no&amp;mode=sales&amp;pin=0722410017","sales record")</f>
        <v>sales record</v>
      </c>
      <c r="AC3758" t="s">
        <v>3</v>
      </c>
      <c r="AD3758">
        <v>41.760341</v>
      </c>
      <c r="AE3758">
        <v>-88.189801</v>
      </c>
      <c r="AF3758" s="5" t="str">
        <f>HYPERLINK("https://www.google.com/maps/search/?api=1&amp;query=41.760341,-88.189801","map")</f>
        <v>map</v>
      </c>
    </row>
    <row r="3759" spans="1:32">
      <c r="A3759" t="s">
        <v>3809</v>
      </c>
      <c r="B3759" t="s">
        <v>11342</v>
      </c>
      <c r="C3759" t="s">
        <v>15475</v>
      </c>
      <c r="D3759" t="s">
        <v>16206</v>
      </c>
      <c r="E3759" t="s">
        <v>16218</v>
      </c>
      <c r="F3759" t="s">
        <v>16220</v>
      </c>
      <c r="G3759" t="s">
        <v>16275</v>
      </c>
      <c r="H3759" t="s">
        <v>16276</v>
      </c>
      <c r="I3759" t="s">
        <v>16352</v>
      </c>
      <c r="J3759" t="s">
        <v>16386</v>
      </c>
      <c r="K3759">
        <v>0.145</v>
      </c>
      <c r="L3759">
        <v>6305</v>
      </c>
      <c r="M3759">
        <v>2213</v>
      </c>
      <c r="N3759" t="s">
        <v>16393</v>
      </c>
      <c r="O3759" s="4">
        <v>49444</v>
      </c>
      <c r="P3759" s="4">
        <v>121661</v>
      </c>
      <c r="Q3759" s="4">
        <v>171105</v>
      </c>
      <c r="R3759" s="4">
        <v>513315</v>
      </c>
      <c r="S3759" t="s">
        <v>20071</v>
      </c>
      <c r="T3759" s="6">
        <v>38353</v>
      </c>
      <c r="U3759" s="4">
        <v>300000</v>
      </c>
      <c r="V3759" t="s">
        <v>23739</v>
      </c>
      <c r="W3759" t="s">
        <v>20071</v>
      </c>
      <c r="X3759" t="s">
        <v>3</v>
      </c>
      <c r="AA3759" s="5" t="str">
        <f>HYPERLINK("https://www.zillow.com/homes/1127-SELMA-LN-NAPERVILLE-IL-60540_rb/","check listing")</f>
        <v>check listing</v>
      </c>
      <c r="AB3759" s="5" t="str">
        <f>HYPERLINK("https://propertylookup.dupagecounty.gov/Datalets/Datalet.aspx?UseSearch=no&amp;mode=sales&amp;pin=0727205010","sales record")</f>
        <v>sales record</v>
      </c>
      <c r="AC3759" t="s">
        <v>3</v>
      </c>
      <c r="AD3759">
        <v>41.749477</v>
      </c>
      <c r="AE3759">
        <v>-88.189735</v>
      </c>
      <c r="AF3759" s="5" t="str">
        <f>HYPERLINK("https://www.google.com/maps/search/?api=1&amp;query=41.749477,-88.189735","map")</f>
        <v>map</v>
      </c>
    </row>
    <row r="3760" spans="1:32">
      <c r="A3760" t="s">
        <v>3810</v>
      </c>
      <c r="B3760" t="s">
        <v>11343</v>
      </c>
      <c r="C3760" t="s">
        <v>15475</v>
      </c>
      <c r="D3760" t="s">
        <v>16206</v>
      </c>
      <c r="E3760" t="s">
        <v>16218</v>
      </c>
      <c r="F3760" t="s">
        <v>16220</v>
      </c>
      <c r="G3760" t="s">
        <v>16275</v>
      </c>
      <c r="H3760" t="s">
        <v>16276</v>
      </c>
      <c r="I3760" t="s">
        <v>16352</v>
      </c>
      <c r="J3760" t="s">
        <v>16386</v>
      </c>
      <c r="K3760">
        <v>0.145</v>
      </c>
      <c r="L3760">
        <v>6305</v>
      </c>
      <c r="M3760">
        <v>1977</v>
      </c>
      <c r="N3760" t="s">
        <v>16393</v>
      </c>
      <c r="O3760" s="4">
        <v>49444</v>
      </c>
      <c r="P3760" s="4">
        <v>108528</v>
      </c>
      <c r="Q3760" s="4">
        <v>157972</v>
      </c>
      <c r="R3760" s="4">
        <v>473916</v>
      </c>
      <c r="S3760" t="s">
        <v>20072</v>
      </c>
      <c r="T3760" s="6">
        <v>34274</v>
      </c>
      <c r="U3760" s="4">
        <v>155880</v>
      </c>
      <c r="X3760" t="s">
        <v>3</v>
      </c>
      <c r="AA3760" s="5" t="str">
        <f>HYPERLINK("https://www.zillow.com/homes/1119-SELMA-LN-NAPERVILLE-IL-60540_rb/","check listing")</f>
        <v>check listing</v>
      </c>
      <c r="AB3760" s="5" t="str">
        <f>HYPERLINK("https://propertylookup.dupagecounty.gov/Datalets/Datalet.aspx?UseSearch=no&amp;mode=sales&amp;pin=0727205008","sales record")</f>
        <v>sales record</v>
      </c>
      <c r="AC3760" t="s">
        <v>3</v>
      </c>
      <c r="AD3760">
        <v>41.749792</v>
      </c>
      <c r="AE3760">
        <v>-88.189733</v>
      </c>
      <c r="AF3760" s="5" t="str">
        <f>HYPERLINK("https://www.google.com/maps/search/?api=1&amp;query=41.749792,-88.189733","map")</f>
        <v>map</v>
      </c>
    </row>
    <row r="3761" spans="1:32">
      <c r="A3761" t="s">
        <v>3811</v>
      </c>
      <c r="B3761" t="s">
        <v>11344</v>
      </c>
      <c r="C3761" t="s">
        <v>15611</v>
      </c>
      <c r="D3761" t="s">
        <v>16206</v>
      </c>
      <c r="E3761" t="s">
        <v>16218</v>
      </c>
      <c r="F3761" t="s">
        <v>16220</v>
      </c>
      <c r="G3761" t="s">
        <v>16269</v>
      </c>
      <c r="H3761" t="s">
        <v>16269</v>
      </c>
      <c r="I3761" t="s">
        <v>16352</v>
      </c>
      <c r="J3761" t="s">
        <v>16386</v>
      </c>
      <c r="K3761">
        <v>0.145</v>
      </c>
      <c r="L3761">
        <v>6302</v>
      </c>
      <c r="M3761">
        <v>1592</v>
      </c>
      <c r="N3761" t="s">
        <v>16393</v>
      </c>
      <c r="O3761" s="4">
        <v>73336</v>
      </c>
      <c r="P3761" s="4">
        <v>101519</v>
      </c>
      <c r="Q3761" s="4">
        <v>174855</v>
      </c>
      <c r="R3761" s="4">
        <v>524565</v>
      </c>
      <c r="S3761" t="s">
        <v>20073</v>
      </c>
      <c r="T3761" s="6">
        <v>42795</v>
      </c>
      <c r="U3761" s="4">
        <v>352000</v>
      </c>
      <c r="V3761" t="s">
        <v>23739</v>
      </c>
      <c r="W3761" t="s">
        <v>25639</v>
      </c>
      <c r="X3761" t="s">
        <v>3</v>
      </c>
      <c r="AA3761" s="5" t="str">
        <f>HYPERLINK("https://www.zillow.com/homes/1808-RAMPART-CT-NAPERVILLE-IL-605654407_rb/","check listing")</f>
        <v>check listing</v>
      </c>
      <c r="AB3761" s="5" t="str">
        <f>HYPERLINK("https://propertylookup.dupagecounty.gov/Datalets/Datalet.aspx?UseSearch=no&amp;mode=sales&amp;pin=0832117027","sales record")</f>
        <v>sales record</v>
      </c>
      <c r="AC3761" t="s">
        <v>3</v>
      </c>
      <c r="AD3761">
        <v>41.734703</v>
      </c>
      <c r="AE3761">
        <v>-88.118495</v>
      </c>
      <c r="AF3761" s="5" t="str">
        <f>HYPERLINK("https://www.google.com/maps/search/?api=1&amp;query=41.734703,-88.118495","map")</f>
        <v>map</v>
      </c>
    </row>
    <row r="3762" spans="1:32">
      <c r="A3762" t="s">
        <v>3812</v>
      </c>
      <c r="B3762" t="s">
        <v>11345</v>
      </c>
      <c r="C3762" t="s">
        <v>15476</v>
      </c>
      <c r="D3762" t="s">
        <v>16206</v>
      </c>
      <c r="E3762" t="s">
        <v>16218</v>
      </c>
      <c r="F3762" t="s">
        <v>16220</v>
      </c>
      <c r="G3762" t="s">
        <v>16269</v>
      </c>
      <c r="H3762" t="s">
        <v>16269</v>
      </c>
      <c r="I3762" t="s">
        <v>16352</v>
      </c>
      <c r="J3762" t="s">
        <v>16386</v>
      </c>
      <c r="K3762">
        <v>0.145</v>
      </c>
      <c r="L3762">
        <v>6300</v>
      </c>
      <c r="M3762">
        <v>1632</v>
      </c>
      <c r="N3762" t="s">
        <v>16393</v>
      </c>
      <c r="O3762" s="4">
        <v>71707</v>
      </c>
      <c r="P3762" s="4">
        <v>78449</v>
      </c>
      <c r="Q3762" s="4">
        <v>150156</v>
      </c>
      <c r="R3762" s="4">
        <v>450468</v>
      </c>
      <c r="S3762" t="s">
        <v>20074</v>
      </c>
      <c r="T3762" s="6">
        <v>33817</v>
      </c>
      <c r="U3762" s="4">
        <v>142000</v>
      </c>
      <c r="X3762" t="s">
        <v>3</v>
      </c>
      <c r="AA3762" s="5" t="str">
        <f>HYPERLINK("https://www.zillow.com/homes/1732-COACH-DR-NAPERVILLE-IL-60565_rb/","check listing")</f>
        <v>check listing</v>
      </c>
      <c r="AB3762" s="5" t="str">
        <f>HYPERLINK("https://propertylookup.dupagecounty.gov/Datalets/Datalet.aspx?UseSearch=no&amp;mode=sales&amp;pin=0832114050","sales record")</f>
        <v>sales record</v>
      </c>
      <c r="AC3762" t="s">
        <v>3</v>
      </c>
      <c r="AD3762">
        <v>41.736099</v>
      </c>
      <c r="AE3762">
        <v>-88.122719</v>
      </c>
      <c r="AF3762" s="5" t="str">
        <f>HYPERLINK("https://www.google.com/maps/search/?api=1&amp;query=41.736099,-88.122719","map")</f>
        <v>map</v>
      </c>
    </row>
    <row r="3763" spans="1:32">
      <c r="A3763" t="s">
        <v>3813</v>
      </c>
      <c r="B3763" t="s">
        <v>11346</v>
      </c>
      <c r="C3763" t="s">
        <v>15476</v>
      </c>
      <c r="D3763" t="s">
        <v>16206</v>
      </c>
      <c r="E3763" t="s">
        <v>16218</v>
      </c>
      <c r="F3763" t="s">
        <v>16220</v>
      </c>
      <c r="G3763" t="s">
        <v>16269</v>
      </c>
      <c r="H3763" t="s">
        <v>16269</v>
      </c>
      <c r="I3763" t="s">
        <v>16352</v>
      </c>
      <c r="J3763" t="s">
        <v>16386</v>
      </c>
      <c r="K3763">
        <v>0.145</v>
      </c>
      <c r="L3763">
        <v>6299</v>
      </c>
      <c r="M3763">
        <v>1748</v>
      </c>
      <c r="N3763" t="s">
        <v>16393</v>
      </c>
      <c r="O3763" s="4">
        <v>71707</v>
      </c>
      <c r="P3763" s="4">
        <v>89699</v>
      </c>
      <c r="Q3763" s="4">
        <v>161406</v>
      </c>
      <c r="R3763" s="4">
        <v>484218</v>
      </c>
      <c r="S3763" t="s">
        <v>20075</v>
      </c>
      <c r="T3763" s="6">
        <v>41456</v>
      </c>
      <c r="U3763" s="4">
        <v>266000</v>
      </c>
      <c r="V3763" t="s">
        <v>23739</v>
      </c>
      <c r="W3763" t="s">
        <v>25640</v>
      </c>
      <c r="X3763" t="s">
        <v>3</v>
      </c>
      <c r="AA3763" s="5" t="str">
        <f>HYPERLINK("https://www.zillow.com/homes/1736-COACH-DR-NAPERVILLE-IL-60565_rb/","check listing")</f>
        <v>check listing</v>
      </c>
      <c r="AB3763" s="5" t="str">
        <f>HYPERLINK("https://propertylookup.dupagecounty.gov/Datalets/Datalet.aspx?UseSearch=no&amp;mode=sales&amp;pin=0832114051","sales record")</f>
        <v>sales record</v>
      </c>
      <c r="AC3763" t="s">
        <v>3</v>
      </c>
      <c r="AD3763">
        <v>41.735973</v>
      </c>
      <c r="AE3763">
        <v>-88.122722</v>
      </c>
      <c r="AF3763" s="5" t="str">
        <f>HYPERLINK("https://www.google.com/maps/search/?api=1&amp;query=41.735973,-88.122722","map")</f>
        <v>map</v>
      </c>
    </row>
    <row r="3764" spans="1:32">
      <c r="A3764" t="s">
        <v>3814</v>
      </c>
      <c r="B3764" t="s">
        <v>11347</v>
      </c>
      <c r="C3764" t="s">
        <v>15475</v>
      </c>
      <c r="D3764" t="s">
        <v>16206</v>
      </c>
      <c r="E3764" t="s">
        <v>16218</v>
      </c>
      <c r="F3764" t="s">
        <v>16220</v>
      </c>
      <c r="G3764" t="s">
        <v>16275</v>
      </c>
      <c r="H3764" t="s">
        <v>16276</v>
      </c>
      <c r="I3764" t="s">
        <v>16352</v>
      </c>
      <c r="J3764" t="s">
        <v>16386</v>
      </c>
      <c r="K3764">
        <v>0.145</v>
      </c>
      <c r="L3764">
        <v>6298</v>
      </c>
      <c r="M3764">
        <v>1814</v>
      </c>
      <c r="N3764" t="s">
        <v>16393</v>
      </c>
      <c r="O3764" s="4">
        <v>49444</v>
      </c>
      <c r="P3764" s="4">
        <v>112519</v>
      </c>
      <c r="Q3764" s="4">
        <v>161963</v>
      </c>
      <c r="R3764" s="4">
        <v>485889</v>
      </c>
      <c r="S3764" t="s">
        <v>20076</v>
      </c>
      <c r="T3764" s="6">
        <v>37987</v>
      </c>
      <c r="U3764" s="4">
        <v>271000</v>
      </c>
      <c r="V3764" t="s">
        <v>23739</v>
      </c>
      <c r="W3764" t="s">
        <v>25641</v>
      </c>
      <c r="X3764" t="s">
        <v>3</v>
      </c>
      <c r="AA3764" s="5" t="str">
        <f>HYPERLINK("https://www.zillow.com/homes/1123-SELMA-LN-NAPERVILLE-IL-60540_rb/","check listing")</f>
        <v>check listing</v>
      </c>
      <c r="AB3764" s="5" t="str">
        <f>HYPERLINK("https://propertylookup.dupagecounty.gov/Datalets/Datalet.aspx?UseSearch=no&amp;mode=sales&amp;pin=0727205009","sales record")</f>
        <v>sales record</v>
      </c>
      <c r="AC3764" t="s">
        <v>3</v>
      </c>
      <c r="AD3764">
        <v>41.749634</v>
      </c>
      <c r="AE3764">
        <v>-88.189734</v>
      </c>
      <c r="AF3764" s="5" t="str">
        <f>HYPERLINK("https://www.google.com/maps/search/?api=1&amp;query=41.749634,-88.189734","map")</f>
        <v>map</v>
      </c>
    </row>
    <row r="3765" spans="1:32">
      <c r="A3765" t="s">
        <v>3815</v>
      </c>
      <c r="B3765" t="s">
        <v>11348</v>
      </c>
      <c r="C3765" t="s">
        <v>15476</v>
      </c>
      <c r="D3765" t="s">
        <v>16206</v>
      </c>
      <c r="E3765" t="s">
        <v>16218</v>
      </c>
      <c r="F3765" t="s">
        <v>16220</v>
      </c>
      <c r="G3765" t="s">
        <v>16269</v>
      </c>
      <c r="H3765" t="s">
        <v>16269</v>
      </c>
      <c r="I3765" t="s">
        <v>16352</v>
      </c>
      <c r="J3765" t="s">
        <v>16386</v>
      </c>
      <c r="K3765">
        <v>0.144</v>
      </c>
      <c r="L3765">
        <v>6294</v>
      </c>
      <c r="M3765">
        <v>1422</v>
      </c>
      <c r="N3765" t="s">
        <v>16393</v>
      </c>
      <c r="O3765" s="4">
        <v>75072</v>
      </c>
      <c r="P3765" s="4">
        <v>86713</v>
      </c>
      <c r="Q3765" s="4">
        <v>161785</v>
      </c>
      <c r="R3765" s="4">
        <v>485355</v>
      </c>
      <c r="S3765" t="s">
        <v>20077</v>
      </c>
      <c r="T3765" s="6">
        <v>33482</v>
      </c>
      <c r="U3765" s="4">
        <v>155000</v>
      </c>
      <c r="X3765" t="s">
        <v>3</v>
      </c>
      <c r="AA3765" s="5" t="str">
        <f>HYPERLINK("https://www.zillow.com/homes/1728-CHALMETTE-CT-NAPERVILLE-IL-60565_rb/","check listing")</f>
        <v>check listing</v>
      </c>
      <c r="AB3765" s="5" t="str">
        <f>HYPERLINK("https://propertylookup.dupagecounty.gov/Datalets/Datalet.aspx?UseSearch=no&amp;mode=sales&amp;pin=0832114076","sales record")</f>
        <v>sales record</v>
      </c>
      <c r="AC3765" t="s">
        <v>3</v>
      </c>
      <c r="AD3765">
        <v>41.735135</v>
      </c>
      <c r="AE3765">
        <v>-88.121724</v>
      </c>
      <c r="AF3765" s="5" t="str">
        <f>HYPERLINK("https://www.google.com/maps/search/?api=1&amp;query=41.735135,-88.121724","map")</f>
        <v>map</v>
      </c>
    </row>
    <row r="3766" spans="1:32">
      <c r="A3766" t="s">
        <v>3816</v>
      </c>
      <c r="B3766" t="s">
        <v>11349</v>
      </c>
      <c r="C3766" t="s">
        <v>15476</v>
      </c>
      <c r="D3766" t="s">
        <v>16206</v>
      </c>
      <c r="E3766" t="s">
        <v>16218</v>
      </c>
      <c r="F3766" t="s">
        <v>16220</v>
      </c>
      <c r="G3766" t="s">
        <v>16269</v>
      </c>
      <c r="H3766" t="s">
        <v>16269</v>
      </c>
      <c r="I3766" t="s">
        <v>16352</v>
      </c>
      <c r="J3766" t="s">
        <v>16386</v>
      </c>
      <c r="K3766">
        <v>0.144</v>
      </c>
      <c r="L3766">
        <v>6293</v>
      </c>
      <c r="M3766">
        <v>1942</v>
      </c>
      <c r="N3766" t="s">
        <v>16393</v>
      </c>
      <c r="O3766" s="4">
        <v>71707</v>
      </c>
      <c r="P3766" s="4">
        <v>117965</v>
      </c>
      <c r="Q3766" s="4">
        <v>189672</v>
      </c>
      <c r="R3766" s="4">
        <v>569016</v>
      </c>
      <c r="S3766" t="s">
        <v>20078</v>
      </c>
      <c r="T3766" s="6">
        <v>35704</v>
      </c>
      <c r="U3766" s="4">
        <v>240000</v>
      </c>
      <c r="X3766" t="s">
        <v>3</v>
      </c>
      <c r="AA3766" s="5" t="str">
        <f>HYPERLINK("https://www.zillow.com/homes/428-BOURBON-LN-NAPERVILLE-IL-60565_rb/","check listing")</f>
        <v>check listing</v>
      </c>
      <c r="AB3766" s="5" t="str">
        <f>HYPERLINK("https://propertylookup.dupagecounty.gov/Datalets/Datalet.aspx?UseSearch=no&amp;mode=sales&amp;pin=0832117007","sales record")</f>
        <v>sales record</v>
      </c>
      <c r="AC3766" t="s">
        <v>3</v>
      </c>
      <c r="AD3766">
        <v>41.734191</v>
      </c>
      <c r="AE3766">
        <v>-88.12147400000001</v>
      </c>
      <c r="AF3766" s="5" t="str">
        <f>HYPERLINK("https://www.google.com/maps/search/?api=1&amp;query=41.734191,-88.121474","map")</f>
        <v>map</v>
      </c>
    </row>
    <row r="3767" spans="1:32">
      <c r="A3767" t="s">
        <v>3817</v>
      </c>
      <c r="B3767" t="s">
        <v>11350</v>
      </c>
      <c r="C3767" t="s">
        <v>15475</v>
      </c>
      <c r="D3767" t="s">
        <v>16206</v>
      </c>
      <c r="E3767" t="s">
        <v>16218</v>
      </c>
      <c r="F3767" t="s">
        <v>16220</v>
      </c>
      <c r="G3767" t="s">
        <v>16276</v>
      </c>
      <c r="H3767" t="s">
        <v>16276</v>
      </c>
      <c r="I3767" t="s">
        <v>16352</v>
      </c>
      <c r="J3767" t="s">
        <v>16386</v>
      </c>
      <c r="K3767">
        <v>0.144</v>
      </c>
      <c r="L3767">
        <v>6279</v>
      </c>
      <c r="M3767">
        <v>2159</v>
      </c>
      <c r="N3767" t="s">
        <v>16393</v>
      </c>
      <c r="O3767" s="4">
        <v>49444</v>
      </c>
      <c r="P3767" s="4">
        <v>105868</v>
      </c>
      <c r="Q3767" s="4">
        <v>155312</v>
      </c>
      <c r="R3767" s="4">
        <v>465936</v>
      </c>
      <c r="S3767" t="s">
        <v>20079</v>
      </c>
      <c r="T3767" s="6">
        <v>37500</v>
      </c>
      <c r="U3767" s="4">
        <v>226000</v>
      </c>
      <c r="V3767" t="s">
        <v>23739</v>
      </c>
      <c r="W3767" t="s">
        <v>25642</v>
      </c>
      <c r="X3767" t="s">
        <v>3</v>
      </c>
      <c r="AA3767" s="5" t="str">
        <f>HYPERLINK("https://www.zillow.com/homes/1015-MEAGAN-CT-NAPERVILLE-IL-60540_rb/","check listing")</f>
        <v>check listing</v>
      </c>
      <c r="AB3767" s="5" t="str">
        <f>HYPERLINK("https://propertylookup.dupagecounty.gov/Datalets/Datalet.aspx?UseSearch=no&amp;mode=sales&amp;pin=0727205053","sales record")</f>
        <v>sales record</v>
      </c>
      <c r="AC3767" t="s">
        <v>3</v>
      </c>
      <c r="AD3767">
        <v>41.751809</v>
      </c>
      <c r="AE3767">
        <v>-88.191177</v>
      </c>
      <c r="AF3767" s="5" t="str">
        <f>HYPERLINK("https://www.google.com/maps/search/?api=1&amp;query=41.751809,-88.191177","map")</f>
        <v>map</v>
      </c>
    </row>
    <row r="3768" spans="1:32">
      <c r="A3768" t="s">
        <v>3818</v>
      </c>
      <c r="B3768" t="s">
        <v>11351</v>
      </c>
      <c r="C3768" t="s">
        <v>15603</v>
      </c>
      <c r="D3768" t="s">
        <v>16206</v>
      </c>
      <c r="E3768" t="s">
        <v>16218</v>
      </c>
      <c r="F3768" t="s">
        <v>16220</v>
      </c>
      <c r="G3768" t="s">
        <v>16276</v>
      </c>
      <c r="H3768" t="s">
        <v>16276</v>
      </c>
      <c r="I3768" t="s">
        <v>16352</v>
      </c>
      <c r="J3768" t="s">
        <v>16386</v>
      </c>
      <c r="K3768">
        <v>0.144</v>
      </c>
      <c r="L3768">
        <v>6277</v>
      </c>
      <c r="M3768">
        <v>1918</v>
      </c>
      <c r="N3768" t="s">
        <v>16393</v>
      </c>
      <c r="O3768" s="4">
        <v>49444</v>
      </c>
      <c r="P3768" s="4">
        <v>105868</v>
      </c>
      <c r="Q3768" s="4">
        <v>155312</v>
      </c>
      <c r="R3768" s="4">
        <v>465936</v>
      </c>
      <c r="S3768" t="s">
        <v>20080</v>
      </c>
      <c r="T3768" s="6">
        <v>38169</v>
      </c>
      <c r="U3768" s="4">
        <v>272000</v>
      </c>
      <c r="V3768" t="s">
        <v>23739</v>
      </c>
      <c r="W3768" t="s">
        <v>20080</v>
      </c>
      <c r="X3768" t="s">
        <v>3</v>
      </c>
      <c r="AA3768" s="5" t="str">
        <f>HYPERLINK("https://www.zillow.com/homes/1019-MEAGAN-CT-NAPERVILLE-IL-605401928_rb/","check listing")</f>
        <v>check listing</v>
      </c>
      <c r="AB3768" s="5" t="str">
        <f>HYPERLINK("https://propertylookup.dupagecounty.gov/Datalets/Datalet.aspx?UseSearch=no&amp;mode=sales&amp;pin=0727205052","sales record")</f>
        <v>sales record</v>
      </c>
      <c r="AC3768" t="s">
        <v>3</v>
      </c>
      <c r="AD3768">
        <v>41.751643</v>
      </c>
      <c r="AE3768">
        <v>-88.19117799999999</v>
      </c>
      <c r="AF3768" s="5" t="str">
        <f>HYPERLINK("https://www.google.com/maps/search/?api=1&amp;query=41.751643,-88.191178","map")</f>
        <v>map</v>
      </c>
    </row>
    <row r="3769" spans="1:32">
      <c r="A3769" t="s">
        <v>3819</v>
      </c>
      <c r="B3769" t="s">
        <v>11352</v>
      </c>
      <c r="C3769" t="s">
        <v>15507</v>
      </c>
      <c r="D3769" t="s">
        <v>16206</v>
      </c>
      <c r="E3769" t="s">
        <v>16218</v>
      </c>
      <c r="F3769" t="s">
        <v>16220</v>
      </c>
      <c r="G3769" t="s">
        <v>16269</v>
      </c>
      <c r="H3769" t="s">
        <v>16269</v>
      </c>
      <c r="I3769" t="s">
        <v>16352</v>
      </c>
      <c r="J3769" t="s">
        <v>16386</v>
      </c>
      <c r="K3769">
        <v>0.144</v>
      </c>
      <c r="L3769">
        <v>6277</v>
      </c>
      <c r="M3769">
        <v>2068</v>
      </c>
      <c r="N3769" t="s">
        <v>16393</v>
      </c>
      <c r="O3769" s="4">
        <v>71707</v>
      </c>
      <c r="P3769" s="4">
        <v>116859</v>
      </c>
      <c r="Q3769" s="4">
        <v>188566</v>
      </c>
      <c r="R3769" s="4">
        <v>565698</v>
      </c>
      <c r="S3769" t="s">
        <v>20081</v>
      </c>
      <c r="T3769" s="6">
        <v>43831</v>
      </c>
      <c r="U3769" s="4">
        <v>438000</v>
      </c>
      <c r="V3769" t="s">
        <v>23739</v>
      </c>
      <c r="W3769" t="s">
        <v>25643</v>
      </c>
      <c r="X3769" t="s">
        <v>3</v>
      </c>
      <c r="AA3769" s="5" t="str">
        <f>HYPERLINK("https://www.zillow.com/homes/1732-CHALMETTE-CT-NAPERVILLE-IL-605654403_rb/","check listing")</f>
        <v>check listing</v>
      </c>
      <c r="AB3769" s="5" t="str">
        <f>HYPERLINK("https://propertylookup.dupagecounty.gov/Datalets/Datalet.aspx?UseSearch=no&amp;mode=sales&amp;pin=0832114077","sales record")</f>
        <v>sales record</v>
      </c>
      <c r="AC3769" t="s">
        <v>3</v>
      </c>
      <c r="AD3769">
        <v>41.734956</v>
      </c>
      <c r="AE3769">
        <v>-88.121728</v>
      </c>
      <c r="AF3769" s="5" t="str">
        <f>HYPERLINK("https://www.google.com/maps/search/?api=1&amp;query=41.734956,-88.121728","map")</f>
        <v>map</v>
      </c>
    </row>
    <row r="3770" spans="1:32">
      <c r="A3770" t="s">
        <v>3820</v>
      </c>
      <c r="B3770" t="s">
        <v>11353</v>
      </c>
      <c r="C3770" t="s">
        <v>15475</v>
      </c>
      <c r="D3770" t="s">
        <v>16206</v>
      </c>
      <c r="E3770" t="s">
        <v>16218</v>
      </c>
      <c r="F3770" t="s">
        <v>16220</v>
      </c>
      <c r="G3770" t="s">
        <v>16276</v>
      </c>
      <c r="H3770" t="s">
        <v>16276</v>
      </c>
      <c r="I3770" t="s">
        <v>16352</v>
      </c>
      <c r="J3770" t="s">
        <v>16386</v>
      </c>
      <c r="K3770">
        <v>0.144</v>
      </c>
      <c r="L3770">
        <v>6273</v>
      </c>
      <c r="M3770">
        <v>1979</v>
      </c>
      <c r="N3770" t="s">
        <v>16393</v>
      </c>
      <c r="O3770" s="4">
        <v>49444</v>
      </c>
      <c r="P3770" s="4">
        <v>102170</v>
      </c>
      <c r="Q3770" s="4">
        <v>151614</v>
      </c>
      <c r="R3770" s="4">
        <v>454842</v>
      </c>
      <c r="S3770" t="s">
        <v>20082</v>
      </c>
      <c r="T3770" s="6">
        <v>41852</v>
      </c>
      <c r="U3770" s="4">
        <v>292000</v>
      </c>
      <c r="V3770" t="s">
        <v>23739</v>
      </c>
      <c r="W3770" t="s">
        <v>25644</v>
      </c>
      <c r="X3770" t="s">
        <v>3</v>
      </c>
      <c r="AA3770" s="5" t="str">
        <f>HYPERLINK("https://www.zillow.com/homes/1011-MEAGAN-CT-NAPERVILLE-IL-60540_rb/","check listing")</f>
        <v>check listing</v>
      </c>
      <c r="AB3770" s="5" t="str">
        <f>HYPERLINK("https://propertylookup.dupagecounty.gov/Datalets/Datalet.aspx?UseSearch=no&amp;mode=sales&amp;pin=0727205054","sales record")</f>
        <v>sales record</v>
      </c>
      <c r="AC3770" t="s">
        <v>3</v>
      </c>
      <c r="AD3770">
        <v>41.751956</v>
      </c>
      <c r="AE3770">
        <v>-88.191177</v>
      </c>
      <c r="AF3770" s="5" t="str">
        <f>HYPERLINK("https://www.google.com/maps/search/?api=1&amp;query=41.751956,-88.191177","map")</f>
        <v>map</v>
      </c>
    </row>
    <row r="3771" spans="1:32">
      <c r="A3771" t="s">
        <v>3821</v>
      </c>
      <c r="B3771" t="s">
        <v>11354</v>
      </c>
      <c r="C3771" t="s">
        <v>15610</v>
      </c>
      <c r="D3771" t="s">
        <v>16206</v>
      </c>
      <c r="E3771" t="s">
        <v>16218</v>
      </c>
      <c r="F3771" t="s">
        <v>16220</v>
      </c>
      <c r="G3771" t="s">
        <v>16276</v>
      </c>
      <c r="H3771" t="s">
        <v>16276</v>
      </c>
      <c r="I3771" t="s">
        <v>16352</v>
      </c>
      <c r="J3771" t="s">
        <v>16386</v>
      </c>
      <c r="K3771">
        <v>0.144</v>
      </c>
      <c r="L3771">
        <v>6272</v>
      </c>
      <c r="M3771">
        <v>2257</v>
      </c>
      <c r="N3771" t="s">
        <v>16393</v>
      </c>
      <c r="O3771" s="4">
        <v>49444</v>
      </c>
      <c r="P3771" s="4">
        <v>134000</v>
      </c>
      <c r="Q3771" s="4">
        <v>183444</v>
      </c>
      <c r="R3771" s="4">
        <v>550332</v>
      </c>
      <c r="S3771" t="s">
        <v>20083</v>
      </c>
      <c r="T3771" s="6">
        <v>37803</v>
      </c>
      <c r="U3771" s="4">
        <v>275000</v>
      </c>
      <c r="V3771" t="s">
        <v>23739</v>
      </c>
      <c r="W3771" t="s">
        <v>25645</v>
      </c>
      <c r="X3771" t="s">
        <v>3</v>
      </c>
      <c r="AA3771" s="5" t="str">
        <f>HYPERLINK("https://www.zillow.com/homes/1016-SANCTUARY-LN-NAPERVILLE-IL-605401921_rb/","check listing")</f>
        <v>check listing</v>
      </c>
      <c r="AB3771" s="5" t="str">
        <f>HYPERLINK("https://propertylookup.dupagecounty.gov/Datalets/Datalet.aspx?UseSearch=no&amp;mode=sales&amp;pin=0727208007","sales record")</f>
        <v>sales record</v>
      </c>
      <c r="AC3771" t="s">
        <v>3</v>
      </c>
      <c r="AD3771">
        <v>41.752954</v>
      </c>
      <c r="AE3771">
        <v>-88.18809899999999</v>
      </c>
      <c r="AF3771" s="5" t="str">
        <f>HYPERLINK("https://www.google.com/maps/search/?api=1&amp;query=41.752954,-88.188099","map")</f>
        <v>map</v>
      </c>
    </row>
    <row r="3772" spans="1:32">
      <c r="A3772" t="s">
        <v>3822</v>
      </c>
      <c r="B3772" t="s">
        <v>11355</v>
      </c>
      <c r="C3772" t="s">
        <v>15476</v>
      </c>
      <c r="D3772" t="s">
        <v>16206</v>
      </c>
      <c r="E3772" t="s">
        <v>16218</v>
      </c>
      <c r="F3772" t="s">
        <v>16220</v>
      </c>
      <c r="G3772" t="s">
        <v>16269</v>
      </c>
      <c r="H3772" t="s">
        <v>16269</v>
      </c>
      <c r="I3772" t="s">
        <v>16352</v>
      </c>
      <c r="J3772" t="s">
        <v>16386</v>
      </c>
      <c r="K3772">
        <v>0.144</v>
      </c>
      <c r="L3772">
        <v>6272</v>
      </c>
      <c r="M3772">
        <v>1781</v>
      </c>
      <c r="N3772" t="s">
        <v>16393</v>
      </c>
      <c r="O3772" s="4">
        <v>71707</v>
      </c>
      <c r="P3772" s="4">
        <v>106585</v>
      </c>
      <c r="Q3772" s="4">
        <v>178292</v>
      </c>
      <c r="R3772" s="4">
        <v>534876</v>
      </c>
      <c r="S3772" t="s">
        <v>20084</v>
      </c>
      <c r="T3772" s="6">
        <v>38930</v>
      </c>
      <c r="U3772" s="4">
        <v>380000</v>
      </c>
      <c r="V3772" t="s">
        <v>23739</v>
      </c>
      <c r="W3772" t="s">
        <v>25646</v>
      </c>
      <c r="X3772" t="s">
        <v>3</v>
      </c>
      <c r="AA3772" s="5" t="str">
        <f>HYPERLINK("https://www.zillow.com/homes/432-BOURBON-LN-NAPERVILLE-IL-60565_rb/","check listing")</f>
        <v>check listing</v>
      </c>
      <c r="AB3772" s="5" t="str">
        <f>HYPERLINK("https://propertylookup.dupagecounty.gov/Datalets/Datalet.aspx?UseSearch=no&amp;mode=sales&amp;pin=0832117008","sales record")</f>
        <v>sales record</v>
      </c>
      <c r="AC3772" t="s">
        <v>3</v>
      </c>
      <c r="AD3772">
        <v>41.734196</v>
      </c>
      <c r="AE3772">
        <v>-88.121255</v>
      </c>
      <c r="AF3772" s="5" t="str">
        <f>HYPERLINK("https://www.google.com/maps/search/?api=1&amp;query=41.734196,-88.121255","map")</f>
        <v>map</v>
      </c>
    </row>
    <row r="3773" spans="1:32">
      <c r="A3773" t="s">
        <v>3823</v>
      </c>
      <c r="B3773" t="s">
        <v>11356</v>
      </c>
      <c r="C3773" t="s">
        <v>15612</v>
      </c>
      <c r="D3773" t="s">
        <v>16206</v>
      </c>
      <c r="E3773" t="s">
        <v>16218</v>
      </c>
      <c r="F3773" t="s">
        <v>16220</v>
      </c>
      <c r="G3773" t="s">
        <v>16275</v>
      </c>
      <c r="H3773" t="s">
        <v>16276</v>
      </c>
      <c r="I3773" t="s">
        <v>16352</v>
      </c>
      <c r="J3773" t="s">
        <v>16386</v>
      </c>
      <c r="K3773">
        <v>0.144</v>
      </c>
      <c r="L3773">
        <v>6272</v>
      </c>
      <c r="M3773">
        <v>2279</v>
      </c>
      <c r="N3773" t="s">
        <v>16393</v>
      </c>
      <c r="O3773" s="4">
        <v>51103</v>
      </c>
      <c r="P3773" s="4">
        <v>146950</v>
      </c>
      <c r="Q3773" s="4">
        <v>198053</v>
      </c>
      <c r="R3773" s="4">
        <v>594159</v>
      </c>
      <c r="S3773" t="s">
        <v>20085</v>
      </c>
      <c r="T3773" s="6">
        <v>43678</v>
      </c>
      <c r="U3773" s="4">
        <v>411000</v>
      </c>
      <c r="V3773" t="s">
        <v>23739</v>
      </c>
      <c r="W3773" t="s">
        <v>25647</v>
      </c>
      <c r="X3773" t="s">
        <v>3</v>
      </c>
      <c r="AA3773" s="5" t="str">
        <f>HYPERLINK("https://www.zillow.com/homes/2128-FELDOTT-LN-NAPERVILLE-IL-605409214_rb/","check listing")</f>
        <v>check listing</v>
      </c>
      <c r="AB3773" s="5" t="str">
        <f>HYPERLINK("https://propertylookup.dupagecounty.gov/Datalets/Datalet.aspx?UseSearch=no&amp;mode=sales&amp;pin=0722409017","sales record")</f>
        <v>sales record</v>
      </c>
      <c r="AC3773" t="s">
        <v>3</v>
      </c>
      <c r="AD3773">
        <v>41.761511</v>
      </c>
      <c r="AE3773">
        <v>-88.190129</v>
      </c>
      <c r="AF3773" s="5" t="str">
        <f>HYPERLINK("https://www.google.com/maps/search/?api=1&amp;query=41.761511,-88.190129","map")</f>
        <v>map</v>
      </c>
    </row>
    <row r="3774" spans="1:32">
      <c r="A3774" t="s">
        <v>3824</v>
      </c>
      <c r="B3774" t="s">
        <v>11357</v>
      </c>
      <c r="C3774" t="s">
        <v>15475</v>
      </c>
      <c r="D3774" t="s">
        <v>16206</v>
      </c>
      <c r="E3774" t="s">
        <v>16218</v>
      </c>
      <c r="F3774" t="s">
        <v>16220</v>
      </c>
      <c r="G3774" t="s">
        <v>16276</v>
      </c>
      <c r="H3774" t="s">
        <v>16276</v>
      </c>
      <c r="I3774" t="s">
        <v>16352</v>
      </c>
      <c r="J3774" t="s">
        <v>16386</v>
      </c>
      <c r="K3774">
        <v>0.144</v>
      </c>
      <c r="L3774">
        <v>6272</v>
      </c>
      <c r="M3774">
        <v>1648</v>
      </c>
      <c r="N3774" t="s">
        <v>16393</v>
      </c>
      <c r="O3774" s="4">
        <v>49444</v>
      </c>
      <c r="P3774" s="4">
        <v>99228</v>
      </c>
      <c r="Q3774" s="4">
        <v>148672</v>
      </c>
      <c r="R3774" s="4">
        <v>446016</v>
      </c>
      <c r="S3774" t="s">
        <v>20086</v>
      </c>
      <c r="T3774" s="6">
        <v>44075</v>
      </c>
      <c r="U3774" s="4">
        <v>365000</v>
      </c>
      <c r="V3774" t="s">
        <v>23739</v>
      </c>
      <c r="W3774" t="s">
        <v>25648</v>
      </c>
      <c r="X3774" t="s">
        <v>3</v>
      </c>
      <c r="AA3774" s="5" t="str">
        <f>HYPERLINK("https://www.zillow.com/homes/932-MATTHEW-CT-NAPERVILLE-IL-60540_rb/","check listing")</f>
        <v>check listing</v>
      </c>
      <c r="AB3774" s="5" t="str">
        <f>HYPERLINK("https://propertylookup.dupagecounty.gov/Datalets/Datalet.aspx?UseSearch=no&amp;mode=sales&amp;pin=0727209017","sales record")</f>
        <v>sales record</v>
      </c>
      <c r="AC3774" t="s">
        <v>3</v>
      </c>
      <c r="AD3774">
        <v>41.752908</v>
      </c>
      <c r="AE3774">
        <v>-88.190529</v>
      </c>
      <c r="AF3774" s="5" t="str">
        <f>HYPERLINK("https://www.google.com/maps/search/?api=1&amp;query=41.752908,-88.190529","map")</f>
        <v>map</v>
      </c>
    </row>
    <row r="3775" spans="1:32">
      <c r="A3775" t="s">
        <v>3825</v>
      </c>
      <c r="B3775" t="s">
        <v>11358</v>
      </c>
      <c r="C3775" t="s">
        <v>15603</v>
      </c>
      <c r="D3775" t="s">
        <v>16206</v>
      </c>
      <c r="E3775" t="s">
        <v>16218</v>
      </c>
      <c r="F3775" t="s">
        <v>16220</v>
      </c>
      <c r="G3775" t="s">
        <v>16276</v>
      </c>
      <c r="H3775" t="s">
        <v>16276</v>
      </c>
      <c r="I3775" t="s">
        <v>16352</v>
      </c>
      <c r="J3775" t="s">
        <v>16386</v>
      </c>
      <c r="K3775">
        <v>0.144</v>
      </c>
      <c r="L3775">
        <v>6272</v>
      </c>
      <c r="M3775">
        <v>1996</v>
      </c>
      <c r="N3775" t="s">
        <v>16393</v>
      </c>
      <c r="O3775" s="4">
        <v>49444</v>
      </c>
      <c r="P3775" s="4">
        <v>107222</v>
      </c>
      <c r="Q3775" s="4">
        <v>156666</v>
      </c>
      <c r="R3775" s="4">
        <v>469998</v>
      </c>
      <c r="S3775" t="s">
        <v>20087</v>
      </c>
      <c r="T3775" s="6">
        <v>43617</v>
      </c>
      <c r="U3775" s="4">
        <v>345000</v>
      </c>
      <c r="V3775" t="s">
        <v>23739</v>
      </c>
      <c r="W3775" t="s">
        <v>20087</v>
      </c>
      <c r="X3775" t="s">
        <v>3</v>
      </c>
      <c r="AA3775" s="5" t="str">
        <f>HYPERLINK("https://www.zillow.com/homes/1007-MEAGAN-CT-NAPERVILLE-IL-605401928_rb/","check listing")</f>
        <v>check listing</v>
      </c>
      <c r="AB3775" s="5" t="str">
        <f>HYPERLINK("https://propertylookup.dupagecounty.gov/Datalets/Datalet.aspx?UseSearch=no&amp;mode=sales&amp;pin=0727205055","sales record")</f>
        <v>sales record</v>
      </c>
      <c r="AC3775" t="s">
        <v>3</v>
      </c>
      <c r="AD3775">
        <v>41.752121</v>
      </c>
      <c r="AE3775">
        <v>-88.191176</v>
      </c>
      <c r="AF3775" s="5" t="str">
        <f>HYPERLINK("https://www.google.com/maps/search/?api=1&amp;query=41.752121,-88.191176","map")</f>
        <v>map</v>
      </c>
    </row>
    <row r="3776" spans="1:32">
      <c r="A3776" t="s">
        <v>3826</v>
      </c>
      <c r="B3776" t="s">
        <v>11359</v>
      </c>
      <c r="C3776" t="s">
        <v>15610</v>
      </c>
      <c r="D3776" t="s">
        <v>16206</v>
      </c>
      <c r="E3776" t="s">
        <v>16218</v>
      </c>
      <c r="F3776" t="s">
        <v>16220</v>
      </c>
      <c r="G3776" t="s">
        <v>16276</v>
      </c>
      <c r="H3776" t="s">
        <v>16276</v>
      </c>
      <c r="I3776" t="s">
        <v>16352</v>
      </c>
      <c r="J3776" t="s">
        <v>16386</v>
      </c>
      <c r="K3776">
        <v>0.144</v>
      </c>
      <c r="L3776">
        <v>6271</v>
      </c>
      <c r="M3776">
        <v>1973</v>
      </c>
      <c r="N3776" t="s">
        <v>16393</v>
      </c>
      <c r="O3776" s="4">
        <v>49444</v>
      </c>
      <c r="P3776" s="4">
        <v>105832</v>
      </c>
      <c r="Q3776" s="4">
        <v>155276</v>
      </c>
      <c r="R3776" s="4">
        <v>465828</v>
      </c>
      <c r="S3776" t="s">
        <v>20088</v>
      </c>
      <c r="T3776" s="6">
        <v>37500</v>
      </c>
      <c r="U3776" s="4">
        <v>245000</v>
      </c>
      <c r="V3776" t="s">
        <v>23739</v>
      </c>
      <c r="W3776" t="s">
        <v>25649</v>
      </c>
      <c r="X3776" t="s">
        <v>3</v>
      </c>
      <c r="AA3776" s="5" t="str">
        <f>HYPERLINK("https://www.zillow.com/homes/1020-SANCTUARY-LN-NAPERVILLE-IL-605401921_rb/","check listing")</f>
        <v>check listing</v>
      </c>
      <c r="AB3776" s="5" t="str">
        <f>HYPERLINK("https://propertylookup.dupagecounty.gov/Datalets/Datalet.aspx?UseSearch=no&amp;mode=sales&amp;pin=0727208006","sales record")</f>
        <v>sales record</v>
      </c>
      <c r="AC3776" t="s">
        <v>3</v>
      </c>
      <c r="AD3776">
        <v>41.752887</v>
      </c>
      <c r="AE3776">
        <v>-88.188288</v>
      </c>
      <c r="AF3776" s="5" t="str">
        <f>HYPERLINK("https://www.google.com/maps/search/?api=1&amp;query=41.752887,-88.188288","map")</f>
        <v>map</v>
      </c>
    </row>
    <row r="3777" spans="1:32">
      <c r="A3777" t="s">
        <v>3827</v>
      </c>
      <c r="B3777" t="s">
        <v>11360</v>
      </c>
      <c r="C3777" t="s">
        <v>15610</v>
      </c>
      <c r="D3777" t="s">
        <v>16206</v>
      </c>
      <c r="E3777" t="s">
        <v>16218</v>
      </c>
      <c r="F3777" t="s">
        <v>16220</v>
      </c>
      <c r="G3777" t="s">
        <v>16276</v>
      </c>
      <c r="H3777" t="s">
        <v>16276</v>
      </c>
      <c r="I3777" t="s">
        <v>16352</v>
      </c>
      <c r="J3777" t="s">
        <v>16386</v>
      </c>
      <c r="K3777">
        <v>0.144</v>
      </c>
      <c r="L3777">
        <v>6271</v>
      </c>
      <c r="M3777">
        <v>2262</v>
      </c>
      <c r="N3777" t="s">
        <v>16393</v>
      </c>
      <c r="O3777" s="4">
        <v>49444</v>
      </c>
      <c r="P3777" s="4">
        <v>132731</v>
      </c>
      <c r="Q3777" s="4">
        <v>182175</v>
      </c>
      <c r="R3777" s="4">
        <v>546525</v>
      </c>
      <c r="S3777" t="s">
        <v>20089</v>
      </c>
      <c r="T3777" s="6">
        <v>44105</v>
      </c>
      <c r="U3777" s="4">
        <v>420500</v>
      </c>
      <c r="V3777" t="s">
        <v>23739</v>
      </c>
      <c r="W3777" t="s">
        <v>25650</v>
      </c>
      <c r="X3777" t="s">
        <v>3</v>
      </c>
      <c r="AA3777" s="5" t="str">
        <f>HYPERLINK("https://www.zillow.com/homes/1028-SANCTUARY-LN-NAPERVILLE-IL-605401921_rb/","check listing")</f>
        <v>check listing</v>
      </c>
      <c r="AB3777" s="5" t="str">
        <f>HYPERLINK("https://propertylookup.dupagecounty.gov/Datalets/Datalet.aspx?UseSearch=no&amp;mode=sales&amp;pin=0727208004","sales record")</f>
        <v>sales record</v>
      </c>
      <c r="AC3777" t="s">
        <v>3</v>
      </c>
      <c r="AD3777">
        <v>41.752753</v>
      </c>
      <c r="AE3777">
        <v>-88.188665</v>
      </c>
      <c r="AF3777" s="5" t="str">
        <f>HYPERLINK("https://www.google.com/maps/search/?api=1&amp;query=41.752753,-88.188665","map")</f>
        <v>map</v>
      </c>
    </row>
    <row r="3778" spans="1:32">
      <c r="A3778" t="s">
        <v>3828</v>
      </c>
      <c r="B3778" t="s">
        <v>11361</v>
      </c>
      <c r="C3778" t="s">
        <v>15475</v>
      </c>
      <c r="D3778" t="s">
        <v>16206</v>
      </c>
      <c r="E3778" t="s">
        <v>16218</v>
      </c>
      <c r="F3778" t="s">
        <v>16220</v>
      </c>
      <c r="G3778" t="s">
        <v>16275</v>
      </c>
      <c r="H3778" t="s">
        <v>16276</v>
      </c>
      <c r="I3778" t="s">
        <v>16352</v>
      </c>
      <c r="J3778" t="s">
        <v>16386</v>
      </c>
      <c r="K3778">
        <v>0.144</v>
      </c>
      <c r="L3778">
        <v>6271</v>
      </c>
      <c r="M3778">
        <v>2308</v>
      </c>
      <c r="N3778" t="s">
        <v>16393</v>
      </c>
      <c r="O3778" s="4">
        <v>51103</v>
      </c>
      <c r="P3778" s="4">
        <v>142691</v>
      </c>
      <c r="Q3778" s="4">
        <v>193794</v>
      </c>
      <c r="R3778" s="4">
        <v>581382</v>
      </c>
      <c r="S3778" t="s">
        <v>20090</v>
      </c>
      <c r="T3778" s="6">
        <v>45005</v>
      </c>
      <c r="U3778" s="4">
        <v>561500</v>
      </c>
      <c r="V3778" t="s">
        <v>23739</v>
      </c>
      <c r="W3778" t="s">
        <v>25651</v>
      </c>
      <c r="X3778" t="s">
        <v>3</v>
      </c>
      <c r="AA3778" s="5" t="str">
        <f>HYPERLINK("https://www.zillow.com/homes/2308-FELDOTT-LN-NAPERVILLE-IL-60540_rb/","check listing")</f>
        <v>check listing</v>
      </c>
      <c r="AB3778" s="5" t="str">
        <f>HYPERLINK("https://propertylookup.dupagecounty.gov/Datalets/Datalet.aspx?UseSearch=no&amp;mode=sales&amp;pin=0722409002","sales record")</f>
        <v>sales record</v>
      </c>
      <c r="AC3778" t="s">
        <v>3</v>
      </c>
      <c r="AD3778">
        <v>41.759741</v>
      </c>
      <c r="AE3778">
        <v>-88.19212</v>
      </c>
      <c r="AF3778" s="5" t="str">
        <f>HYPERLINK("https://www.google.com/maps/search/?api=1&amp;query=41.759741,-88.19212","map")</f>
        <v>map</v>
      </c>
    </row>
    <row r="3779" spans="1:32">
      <c r="A3779" t="s">
        <v>3829</v>
      </c>
      <c r="B3779" t="s">
        <v>11362</v>
      </c>
      <c r="C3779" t="s">
        <v>15475</v>
      </c>
      <c r="D3779" t="s">
        <v>16206</v>
      </c>
      <c r="E3779" t="s">
        <v>16218</v>
      </c>
      <c r="F3779" t="s">
        <v>16220</v>
      </c>
      <c r="G3779" t="s">
        <v>16275</v>
      </c>
      <c r="H3779" t="s">
        <v>16276</v>
      </c>
      <c r="I3779" t="s">
        <v>16352</v>
      </c>
      <c r="J3779" t="s">
        <v>16386</v>
      </c>
      <c r="K3779">
        <v>0.144</v>
      </c>
      <c r="L3779">
        <v>6271</v>
      </c>
      <c r="M3779">
        <v>2428</v>
      </c>
      <c r="N3779" t="s">
        <v>16393</v>
      </c>
      <c r="O3779" s="4">
        <v>51103</v>
      </c>
      <c r="P3779" s="4">
        <v>143863</v>
      </c>
      <c r="Q3779" s="4">
        <v>194966</v>
      </c>
      <c r="R3779" s="4">
        <v>584898</v>
      </c>
      <c r="S3779" t="s">
        <v>20091</v>
      </c>
      <c r="T3779" s="6">
        <v>36617</v>
      </c>
      <c r="U3779" s="4">
        <v>257000</v>
      </c>
      <c r="V3779" t="s">
        <v>23739</v>
      </c>
      <c r="W3779" t="s">
        <v>25652</v>
      </c>
      <c r="X3779" t="s">
        <v>3</v>
      </c>
      <c r="AA3779" s="5" t="str">
        <f>HYPERLINK("https://www.zillow.com/homes/2304-FELDOTT-LN-NAPERVILLE-IL-60540_rb/","check listing")</f>
        <v>check listing</v>
      </c>
      <c r="AB3779" s="5" t="str">
        <f>HYPERLINK("https://propertylookup.dupagecounty.gov/Datalets/Datalet.aspx?UseSearch=no&amp;mode=sales&amp;pin=0722409003","sales record")</f>
        <v>sales record</v>
      </c>
      <c r="AC3779" t="s">
        <v>3</v>
      </c>
      <c r="AD3779">
        <v>41.75986</v>
      </c>
      <c r="AE3779">
        <v>-88.191985</v>
      </c>
      <c r="AF3779" s="5" t="str">
        <f>HYPERLINK("https://www.google.com/maps/search/?api=1&amp;query=41.75986,-88.191985","map")</f>
        <v>map</v>
      </c>
    </row>
    <row r="3780" spans="1:32">
      <c r="A3780" t="s">
        <v>3830</v>
      </c>
      <c r="B3780" t="s">
        <v>11363</v>
      </c>
      <c r="C3780" t="s">
        <v>15507</v>
      </c>
      <c r="D3780" t="s">
        <v>16206</v>
      </c>
      <c r="E3780" t="s">
        <v>16218</v>
      </c>
      <c r="F3780" t="s">
        <v>16220</v>
      </c>
      <c r="G3780" t="s">
        <v>16269</v>
      </c>
      <c r="H3780" t="s">
        <v>16269</v>
      </c>
      <c r="I3780" t="s">
        <v>16352</v>
      </c>
      <c r="J3780" t="s">
        <v>16386</v>
      </c>
      <c r="K3780">
        <v>0.144</v>
      </c>
      <c r="L3780">
        <v>6270</v>
      </c>
      <c r="M3780">
        <v>1561</v>
      </c>
      <c r="N3780" t="s">
        <v>16393</v>
      </c>
      <c r="O3780" s="4">
        <v>71707</v>
      </c>
      <c r="P3780" s="4">
        <v>76309</v>
      </c>
      <c r="Q3780" s="4">
        <v>148016</v>
      </c>
      <c r="R3780" s="4">
        <v>444048</v>
      </c>
      <c r="S3780" t="s">
        <v>20092</v>
      </c>
      <c r="T3780" s="6">
        <v>44136</v>
      </c>
      <c r="U3780" s="4">
        <v>310000</v>
      </c>
      <c r="V3780" t="s">
        <v>23739</v>
      </c>
      <c r="W3780" t="s">
        <v>25653</v>
      </c>
      <c r="X3780" t="s">
        <v>3</v>
      </c>
      <c r="AA3780" s="5" t="str">
        <f>HYPERLINK("https://www.zillow.com/homes/1736-CHALMETTE-CT-NAPERVILLE-IL-605654403_rb/","check listing")</f>
        <v>check listing</v>
      </c>
      <c r="AB3780" s="5" t="str">
        <f>HYPERLINK("https://propertylookup.dupagecounty.gov/Datalets/Datalet.aspx?UseSearch=no&amp;mode=sales&amp;pin=0832114078","sales record")</f>
        <v>sales record</v>
      </c>
      <c r="AC3780" t="s">
        <v>3</v>
      </c>
      <c r="AD3780">
        <v>41.734791</v>
      </c>
      <c r="AE3780">
        <v>-88.12173199999999</v>
      </c>
      <c r="AF3780" s="5" t="str">
        <f>HYPERLINK("https://www.google.com/maps/search/?api=1&amp;query=41.734791,-88.121732","map")</f>
        <v>map</v>
      </c>
    </row>
    <row r="3781" spans="1:32">
      <c r="A3781" t="s">
        <v>3831</v>
      </c>
      <c r="B3781" t="s">
        <v>11364</v>
      </c>
      <c r="C3781" t="s">
        <v>15475</v>
      </c>
      <c r="D3781" t="s">
        <v>16206</v>
      </c>
      <c r="E3781" t="s">
        <v>16218</v>
      </c>
      <c r="F3781" t="s">
        <v>16220</v>
      </c>
      <c r="G3781" t="s">
        <v>16275</v>
      </c>
      <c r="H3781" t="s">
        <v>16276</v>
      </c>
      <c r="I3781" t="s">
        <v>16352</v>
      </c>
      <c r="J3781" t="s">
        <v>16386</v>
      </c>
      <c r="K3781">
        <v>0.144</v>
      </c>
      <c r="L3781">
        <v>6269</v>
      </c>
      <c r="M3781">
        <v>2309</v>
      </c>
      <c r="N3781" t="s">
        <v>16393</v>
      </c>
      <c r="O3781" s="4">
        <v>51103</v>
      </c>
      <c r="P3781" s="4">
        <v>131559</v>
      </c>
      <c r="Q3781" s="4">
        <v>182662</v>
      </c>
      <c r="R3781" s="4">
        <v>547986</v>
      </c>
      <c r="S3781" t="s">
        <v>20093</v>
      </c>
      <c r="T3781" s="6">
        <v>35551</v>
      </c>
      <c r="U3781" s="4">
        <v>206000</v>
      </c>
      <c r="X3781" t="s">
        <v>3</v>
      </c>
      <c r="AA3781" s="5" t="str">
        <f>HYPERLINK("https://www.zillow.com/homes/2228-FELDOTT-LN-NAPERVILLE-IL-60540_rb/","check listing")</f>
        <v>check listing</v>
      </c>
      <c r="AB3781" s="5" t="str">
        <f>HYPERLINK("https://propertylookup.dupagecounty.gov/Datalets/Datalet.aspx?UseSearch=no&amp;mode=sales&amp;pin=0722409004","sales record")</f>
        <v>sales record</v>
      </c>
      <c r="AC3781" t="s">
        <v>3</v>
      </c>
      <c r="AD3781">
        <v>41.759979</v>
      </c>
      <c r="AE3781">
        <v>-88.191849</v>
      </c>
      <c r="AF3781" s="5" t="str">
        <f>HYPERLINK("https://www.google.com/maps/search/?api=1&amp;query=41.759979,-88.191849","map")</f>
        <v>map</v>
      </c>
    </row>
    <row r="3782" spans="1:32">
      <c r="A3782" t="s">
        <v>3832</v>
      </c>
      <c r="B3782" t="s">
        <v>11365</v>
      </c>
      <c r="C3782" t="s">
        <v>15475</v>
      </c>
      <c r="D3782" t="s">
        <v>16206</v>
      </c>
      <c r="E3782" t="s">
        <v>16218</v>
      </c>
      <c r="F3782" t="s">
        <v>16220</v>
      </c>
      <c r="G3782" t="s">
        <v>16276</v>
      </c>
      <c r="H3782" t="s">
        <v>16276</v>
      </c>
      <c r="I3782" t="s">
        <v>16352</v>
      </c>
      <c r="J3782" t="s">
        <v>16386</v>
      </c>
      <c r="K3782">
        <v>0.144</v>
      </c>
      <c r="L3782">
        <v>6269</v>
      </c>
      <c r="M3782">
        <v>2225</v>
      </c>
      <c r="N3782" t="s">
        <v>16393</v>
      </c>
      <c r="O3782" s="4">
        <v>49444</v>
      </c>
      <c r="P3782" s="4">
        <v>132487</v>
      </c>
      <c r="Q3782" s="4">
        <v>181931</v>
      </c>
      <c r="R3782" s="4">
        <v>545793</v>
      </c>
      <c r="S3782" t="s">
        <v>20094</v>
      </c>
      <c r="T3782" s="6">
        <v>38261</v>
      </c>
      <c r="U3782" s="4">
        <v>320000</v>
      </c>
      <c r="V3782" t="s">
        <v>23739</v>
      </c>
      <c r="W3782" t="s">
        <v>20094</v>
      </c>
      <c r="X3782" t="s">
        <v>3</v>
      </c>
      <c r="AA3782" s="5" t="str">
        <f>HYPERLINK("https://www.zillow.com/homes/1032-SANCTUARY-LN-NAPERVILLE-IL-60540_rb/","check listing")</f>
        <v>check listing</v>
      </c>
      <c r="AB3782" s="5" t="str">
        <f>HYPERLINK("https://propertylookup.dupagecounty.gov/Datalets/Datalet.aspx?UseSearch=no&amp;mode=sales&amp;pin=0727208003","sales record")</f>
        <v>sales record</v>
      </c>
      <c r="AC3782" t="s">
        <v>3</v>
      </c>
      <c r="AD3782">
        <v>41.752686</v>
      </c>
      <c r="AE3782">
        <v>-88.18885400000001</v>
      </c>
      <c r="AF3782" s="5" t="str">
        <f>HYPERLINK("https://www.google.com/maps/search/?api=1&amp;query=41.752686,-88.188854","map")</f>
        <v>map</v>
      </c>
    </row>
    <row r="3783" spans="1:32">
      <c r="A3783" t="s">
        <v>3833</v>
      </c>
      <c r="B3783" t="s">
        <v>11366</v>
      </c>
      <c r="C3783" t="s">
        <v>15475</v>
      </c>
      <c r="D3783" t="s">
        <v>16206</v>
      </c>
      <c r="E3783" t="s">
        <v>16218</v>
      </c>
      <c r="F3783" t="s">
        <v>16220</v>
      </c>
      <c r="G3783" t="s">
        <v>16275</v>
      </c>
      <c r="H3783" t="s">
        <v>16276</v>
      </c>
      <c r="I3783" t="s">
        <v>16352</v>
      </c>
      <c r="J3783" t="s">
        <v>16386</v>
      </c>
      <c r="K3783">
        <v>0.144</v>
      </c>
      <c r="L3783">
        <v>6269</v>
      </c>
      <c r="M3783">
        <v>2539</v>
      </c>
      <c r="N3783" t="s">
        <v>16393</v>
      </c>
      <c r="O3783" s="4">
        <v>51103</v>
      </c>
      <c r="P3783" s="4">
        <v>138712</v>
      </c>
      <c r="Q3783" s="4">
        <v>189815</v>
      </c>
      <c r="R3783" s="4">
        <v>569445</v>
      </c>
      <c r="S3783" t="s">
        <v>20095</v>
      </c>
      <c r="T3783" s="6">
        <v>42005</v>
      </c>
      <c r="U3783" s="4">
        <v>350000</v>
      </c>
      <c r="V3783" t="s">
        <v>23739</v>
      </c>
      <c r="W3783" t="s">
        <v>25654</v>
      </c>
      <c r="X3783" t="s">
        <v>3</v>
      </c>
      <c r="AA3783" s="5" t="str">
        <f>HYPERLINK("https://www.zillow.com/homes/2312-FELDOTT-NAPERVILLE-IL-60540_rb/","check listing")</f>
        <v>check listing</v>
      </c>
      <c r="AB3783" s="5" t="str">
        <f>HYPERLINK("https://propertylookup.dupagecounty.gov/Datalets/Datalet.aspx?UseSearch=no&amp;mode=sales&amp;pin=0722409001","sales record")</f>
        <v>sales record</v>
      </c>
      <c r="AC3783" t="s">
        <v>3</v>
      </c>
      <c r="AD3783">
        <v>41.759621</v>
      </c>
      <c r="AE3783">
        <v>-88.192255</v>
      </c>
      <c r="AF3783" s="5" t="str">
        <f>HYPERLINK("https://www.google.com/maps/search/?api=1&amp;query=41.759621,-88.192255","map")</f>
        <v>map</v>
      </c>
    </row>
    <row r="3784" spans="1:32">
      <c r="A3784" t="s">
        <v>3834</v>
      </c>
      <c r="B3784" t="s">
        <v>11367</v>
      </c>
      <c r="C3784" t="s">
        <v>15475</v>
      </c>
      <c r="D3784" t="s">
        <v>16206</v>
      </c>
      <c r="E3784" t="s">
        <v>16218</v>
      </c>
      <c r="F3784" t="s">
        <v>16220</v>
      </c>
      <c r="G3784" t="s">
        <v>16276</v>
      </c>
      <c r="H3784" t="s">
        <v>16276</v>
      </c>
      <c r="I3784" t="s">
        <v>16352</v>
      </c>
      <c r="J3784" t="s">
        <v>16386</v>
      </c>
      <c r="K3784">
        <v>0.144</v>
      </c>
      <c r="L3784">
        <v>6269</v>
      </c>
      <c r="M3784">
        <v>1995</v>
      </c>
      <c r="N3784" t="s">
        <v>16393</v>
      </c>
      <c r="O3784" s="4">
        <v>49444</v>
      </c>
      <c r="P3784" s="4">
        <v>106063</v>
      </c>
      <c r="Q3784" s="4">
        <v>155507</v>
      </c>
      <c r="R3784" s="4">
        <v>466521</v>
      </c>
      <c r="S3784" t="s">
        <v>20096</v>
      </c>
      <c r="T3784" s="6">
        <v>39508</v>
      </c>
      <c r="U3784" s="4">
        <v>287500</v>
      </c>
      <c r="V3784" t="s">
        <v>23739</v>
      </c>
      <c r="W3784" t="s">
        <v>25655</v>
      </c>
      <c r="X3784" t="s">
        <v>3</v>
      </c>
      <c r="AA3784" s="5" t="str">
        <f>HYPERLINK("https://www.zillow.com/homes/1024-SANCTUARY-LN-NAPERVILLE-IL-60540_rb/","check listing")</f>
        <v>check listing</v>
      </c>
      <c r="AB3784" s="5" t="str">
        <f>HYPERLINK("https://propertylookup.dupagecounty.gov/Datalets/Datalet.aspx?UseSearch=no&amp;mode=sales&amp;pin=0727208005","sales record")</f>
        <v>sales record</v>
      </c>
      <c r="AC3784" t="s">
        <v>3</v>
      </c>
      <c r="AD3784">
        <v>41.75282</v>
      </c>
      <c r="AE3784">
        <v>-88.18847599999999</v>
      </c>
      <c r="AF3784" s="5" t="str">
        <f>HYPERLINK("https://www.google.com/maps/search/?api=1&amp;query=41.75282,-88.188476","map")</f>
        <v>map</v>
      </c>
    </row>
    <row r="3785" spans="1:32">
      <c r="A3785" t="s">
        <v>3835</v>
      </c>
      <c r="B3785" t="s">
        <v>11368</v>
      </c>
      <c r="C3785" t="s">
        <v>15605</v>
      </c>
      <c r="D3785" t="s">
        <v>16206</v>
      </c>
      <c r="E3785" t="s">
        <v>16218</v>
      </c>
      <c r="F3785" t="s">
        <v>16220</v>
      </c>
      <c r="G3785" t="s">
        <v>16275</v>
      </c>
      <c r="H3785" t="s">
        <v>16276</v>
      </c>
      <c r="I3785" t="s">
        <v>16352</v>
      </c>
      <c r="J3785" t="s">
        <v>16386</v>
      </c>
      <c r="K3785">
        <v>0.144</v>
      </c>
      <c r="L3785">
        <v>6268</v>
      </c>
      <c r="M3785">
        <v>2337</v>
      </c>
      <c r="N3785" t="s">
        <v>16393</v>
      </c>
      <c r="O3785" s="4">
        <v>51103</v>
      </c>
      <c r="P3785" s="4">
        <v>146169</v>
      </c>
      <c r="Q3785" s="4">
        <v>197272</v>
      </c>
      <c r="R3785" s="4">
        <v>591816</v>
      </c>
      <c r="S3785" t="s">
        <v>20097</v>
      </c>
      <c r="T3785" s="6">
        <v>36281</v>
      </c>
      <c r="U3785" s="4">
        <v>249900</v>
      </c>
      <c r="X3785" t="s">
        <v>3</v>
      </c>
      <c r="AA3785" s="5" t="str">
        <f>HYPERLINK("https://www.zillow.com/homes/608-WINTERGREEN-CIR-NAPERVILLE-IL-605409201_rb/","check listing")</f>
        <v>check listing</v>
      </c>
      <c r="AB3785" s="5" t="str">
        <f>HYPERLINK("https://propertylookup.dupagecounty.gov/Datalets/Datalet.aspx?UseSearch=no&amp;mode=sales&amp;pin=0722405018","sales record")</f>
        <v>sales record</v>
      </c>
      <c r="AC3785" t="s">
        <v>3</v>
      </c>
      <c r="AD3785">
        <v>41.760143</v>
      </c>
      <c r="AE3785">
        <v>-88.192767</v>
      </c>
      <c r="AF3785" s="5" t="str">
        <f>HYPERLINK("https://www.google.com/maps/search/?api=1&amp;query=41.760143,-88.192767","map")</f>
        <v>map</v>
      </c>
    </row>
    <row r="3786" spans="1:32">
      <c r="A3786" t="s">
        <v>3836</v>
      </c>
      <c r="B3786" t="s">
        <v>11369</v>
      </c>
      <c r="C3786" t="s">
        <v>15475</v>
      </c>
      <c r="D3786" t="s">
        <v>16206</v>
      </c>
      <c r="E3786" t="s">
        <v>16218</v>
      </c>
      <c r="F3786" t="s">
        <v>16220</v>
      </c>
      <c r="G3786" t="s">
        <v>16275</v>
      </c>
      <c r="H3786" t="s">
        <v>16276</v>
      </c>
      <c r="I3786" t="s">
        <v>16352</v>
      </c>
      <c r="J3786" t="s">
        <v>16386</v>
      </c>
      <c r="K3786">
        <v>0.144</v>
      </c>
      <c r="L3786">
        <v>6268</v>
      </c>
      <c r="M3786">
        <v>1320</v>
      </c>
      <c r="N3786" t="s">
        <v>16393</v>
      </c>
      <c r="O3786" s="4">
        <v>51103</v>
      </c>
      <c r="P3786" s="4">
        <v>96287</v>
      </c>
      <c r="Q3786" s="4">
        <v>147390</v>
      </c>
      <c r="R3786" s="4">
        <v>442170</v>
      </c>
      <c r="S3786" t="s">
        <v>20098</v>
      </c>
      <c r="T3786" s="6">
        <v>36281</v>
      </c>
      <c r="U3786" s="4">
        <v>175500</v>
      </c>
      <c r="X3786" t="s">
        <v>3</v>
      </c>
      <c r="AA3786" s="5" t="str">
        <f>HYPERLINK("https://www.zillow.com/homes/736-WILDFLOWER-CIR-NAPERVILLE-IL-60540_rb/","check listing")</f>
        <v>check listing</v>
      </c>
      <c r="AB3786" s="5" t="str">
        <f>HYPERLINK("https://propertylookup.dupagecounty.gov/Datalets/Datalet.aspx?UseSearch=no&amp;mode=sales&amp;pin=0722406012","sales record")</f>
        <v>sales record</v>
      </c>
      <c r="AC3786" t="s">
        <v>3</v>
      </c>
      <c r="AD3786">
        <v>41.758005</v>
      </c>
      <c r="AE3786">
        <v>-88.19436</v>
      </c>
      <c r="AF3786" s="5" t="str">
        <f>HYPERLINK("https://www.google.com/maps/search/?api=1&amp;query=41.758005,-88.19436","map")</f>
        <v>map</v>
      </c>
    </row>
    <row r="3787" spans="1:32">
      <c r="A3787" t="s">
        <v>3837</v>
      </c>
      <c r="B3787" t="s">
        <v>11370</v>
      </c>
      <c r="C3787" t="s">
        <v>15475</v>
      </c>
      <c r="D3787" t="s">
        <v>16206</v>
      </c>
      <c r="E3787" t="s">
        <v>16218</v>
      </c>
      <c r="F3787" t="s">
        <v>16220</v>
      </c>
      <c r="G3787" t="s">
        <v>16276</v>
      </c>
      <c r="H3787" t="s">
        <v>16276</v>
      </c>
      <c r="I3787" t="s">
        <v>16352</v>
      </c>
      <c r="J3787" t="s">
        <v>16386</v>
      </c>
      <c r="K3787">
        <v>0.144</v>
      </c>
      <c r="L3787">
        <v>6263</v>
      </c>
      <c r="M3787">
        <v>2541</v>
      </c>
      <c r="N3787" t="s">
        <v>16393</v>
      </c>
      <c r="O3787" s="4">
        <v>52555</v>
      </c>
      <c r="P3787" s="4">
        <v>116755</v>
      </c>
      <c r="Q3787" s="4">
        <v>169310</v>
      </c>
      <c r="R3787" s="4">
        <v>507930</v>
      </c>
      <c r="S3787" t="s">
        <v>20099</v>
      </c>
      <c r="T3787" s="6">
        <v>40118</v>
      </c>
      <c r="U3787" s="4">
        <v>355000</v>
      </c>
      <c r="V3787" t="s">
        <v>23739</v>
      </c>
      <c r="W3787" t="s">
        <v>25656</v>
      </c>
      <c r="X3787" t="s">
        <v>3</v>
      </c>
      <c r="AA3787" s="5" t="str">
        <f>HYPERLINK("https://www.zillow.com/homes/903-LOWELL-LN-NAPERVILLE-IL-60540_rb/","check listing")</f>
        <v>check listing</v>
      </c>
      <c r="AB3787" s="5" t="str">
        <f>HYPERLINK("https://propertylookup.dupagecounty.gov/Datalets/Datalet.aspx?UseSearch=no&amp;mode=sales&amp;pin=0727209030","sales record")</f>
        <v>sales record</v>
      </c>
      <c r="AC3787" t="s">
        <v>3</v>
      </c>
      <c r="AD3787">
        <v>41.754356</v>
      </c>
      <c r="AE3787">
        <v>-88.189835</v>
      </c>
      <c r="AF3787" s="5" t="str">
        <f>HYPERLINK("https://www.google.com/maps/search/?api=1&amp;query=41.754356,-88.189835","map")</f>
        <v>map</v>
      </c>
    </row>
    <row r="3788" spans="1:32">
      <c r="A3788" t="s">
        <v>3838</v>
      </c>
      <c r="B3788" t="s">
        <v>11371</v>
      </c>
      <c r="C3788" t="s">
        <v>15475</v>
      </c>
      <c r="D3788" t="s">
        <v>16206</v>
      </c>
      <c r="E3788" t="s">
        <v>16218</v>
      </c>
      <c r="F3788" t="s">
        <v>16220</v>
      </c>
      <c r="G3788" t="s">
        <v>16276</v>
      </c>
      <c r="H3788" t="s">
        <v>16276</v>
      </c>
      <c r="I3788" t="s">
        <v>16352</v>
      </c>
      <c r="J3788" t="s">
        <v>16386</v>
      </c>
      <c r="K3788">
        <v>0.144</v>
      </c>
      <c r="L3788">
        <v>6263</v>
      </c>
      <c r="M3788">
        <v>2226</v>
      </c>
      <c r="N3788" t="s">
        <v>16393</v>
      </c>
      <c r="O3788" s="4">
        <v>49444</v>
      </c>
      <c r="P3788" s="4">
        <v>108907</v>
      </c>
      <c r="Q3788" s="4">
        <v>158351</v>
      </c>
      <c r="R3788" s="4">
        <v>475053</v>
      </c>
      <c r="S3788" t="s">
        <v>20100</v>
      </c>
      <c r="T3788" s="6">
        <v>35065</v>
      </c>
      <c r="U3788" s="4">
        <v>182370</v>
      </c>
      <c r="X3788" t="s">
        <v>3</v>
      </c>
      <c r="AA3788" s="5" t="str">
        <f>HYPERLINK("https://www.zillow.com/homes/931-MATTHEW-CT-NAPERVILLE-IL-60540_rb/","check listing")</f>
        <v>check listing</v>
      </c>
      <c r="AB3788" s="5" t="str">
        <f>HYPERLINK("https://propertylookup.dupagecounty.gov/Datalets/Datalet.aspx?UseSearch=no&amp;mode=sales&amp;pin=0727209002","sales record")</f>
        <v>sales record</v>
      </c>
      <c r="AC3788" t="s">
        <v>3</v>
      </c>
      <c r="AD3788">
        <v>41.752891</v>
      </c>
      <c r="AE3788">
        <v>-88.191174</v>
      </c>
      <c r="AF3788" s="5" t="str">
        <f>HYPERLINK("https://www.google.com/maps/search/?api=1&amp;query=41.752891,-88.191174","map")</f>
        <v>map</v>
      </c>
    </row>
    <row r="3789" spans="1:32">
      <c r="A3789" t="s">
        <v>3839</v>
      </c>
      <c r="B3789" t="s">
        <v>11372</v>
      </c>
      <c r="C3789" t="s">
        <v>15571</v>
      </c>
      <c r="D3789" t="s">
        <v>16206</v>
      </c>
      <c r="E3789" t="s">
        <v>16218</v>
      </c>
      <c r="F3789" t="s">
        <v>16220</v>
      </c>
      <c r="G3789" t="s">
        <v>16276</v>
      </c>
      <c r="H3789" t="s">
        <v>16276</v>
      </c>
      <c r="I3789" t="s">
        <v>16352</v>
      </c>
      <c r="J3789" t="s">
        <v>16386</v>
      </c>
      <c r="K3789">
        <v>0.144</v>
      </c>
      <c r="L3789">
        <v>6262</v>
      </c>
      <c r="M3789">
        <v>2284</v>
      </c>
      <c r="N3789" t="s">
        <v>16393</v>
      </c>
      <c r="O3789" s="4">
        <v>49444</v>
      </c>
      <c r="P3789" s="4">
        <v>125347</v>
      </c>
      <c r="Q3789" s="4">
        <v>174791</v>
      </c>
      <c r="R3789" s="4">
        <v>524373</v>
      </c>
      <c r="S3789" t="s">
        <v>20101</v>
      </c>
      <c r="T3789" s="6">
        <v>44317</v>
      </c>
      <c r="U3789" s="4">
        <v>368000</v>
      </c>
      <c r="V3789" t="s">
        <v>23740</v>
      </c>
      <c r="W3789" t="s">
        <v>20101</v>
      </c>
      <c r="X3789" t="s">
        <v>3</v>
      </c>
      <c r="AA3789" s="5" t="str">
        <f>HYPERLINK("https://www.zillow.com/homes/2059-SCHUMACHER-DR-NAPERVILLE-IL-605401930_rb/","check listing")</f>
        <v>check listing</v>
      </c>
      <c r="AB3789" s="5" t="str">
        <f>HYPERLINK("https://propertylookup.dupagecounty.gov/Datalets/Datalet.aspx?UseSearch=no&amp;mode=sales&amp;pin=0727210016","sales record")</f>
        <v>sales record</v>
      </c>
      <c r="AC3789" t="s">
        <v>3</v>
      </c>
      <c r="AD3789">
        <v>41.753744</v>
      </c>
      <c r="AE3789">
        <v>-88.187606</v>
      </c>
      <c r="AF3789" s="5" t="str">
        <f>HYPERLINK("https://www.google.com/maps/search/?api=1&amp;query=41.753744,-88.187606","map")</f>
        <v>map</v>
      </c>
    </row>
    <row r="3790" spans="1:32">
      <c r="A3790" t="s">
        <v>3840</v>
      </c>
      <c r="B3790" t="s">
        <v>11373</v>
      </c>
      <c r="C3790" t="s">
        <v>15475</v>
      </c>
      <c r="D3790" t="s">
        <v>16206</v>
      </c>
      <c r="E3790" t="s">
        <v>16218</v>
      </c>
      <c r="F3790" t="s">
        <v>16220</v>
      </c>
      <c r="G3790" t="s">
        <v>16276</v>
      </c>
      <c r="H3790" t="s">
        <v>16276</v>
      </c>
      <c r="I3790" t="s">
        <v>16352</v>
      </c>
      <c r="J3790" t="s">
        <v>16386</v>
      </c>
      <c r="K3790">
        <v>0.144</v>
      </c>
      <c r="L3790">
        <v>6260</v>
      </c>
      <c r="M3790">
        <v>1978</v>
      </c>
      <c r="N3790" t="s">
        <v>16393</v>
      </c>
      <c r="O3790" s="4">
        <v>49444</v>
      </c>
      <c r="P3790" s="4">
        <v>89843</v>
      </c>
      <c r="Q3790" s="4">
        <v>139287</v>
      </c>
      <c r="R3790" s="4">
        <v>417861</v>
      </c>
      <c r="S3790" t="s">
        <v>20102</v>
      </c>
      <c r="T3790" s="6">
        <v>41791</v>
      </c>
      <c r="U3790" s="4">
        <v>259927</v>
      </c>
      <c r="V3790" t="s">
        <v>23739</v>
      </c>
      <c r="W3790" t="s">
        <v>25657</v>
      </c>
      <c r="X3790" t="s">
        <v>3</v>
      </c>
      <c r="AA3790" s="5" t="str">
        <f>HYPERLINK("https://www.zillow.com/homes/927-MATTHEW-CT-NAPERVILLE-IL-60540_rb/","check listing")</f>
        <v>check listing</v>
      </c>
      <c r="AB3790" s="5" t="str">
        <f>HYPERLINK("https://propertylookup.dupagecounty.gov/Datalets/Datalet.aspx?UseSearch=no&amp;mode=sales&amp;pin=0727209003","sales record")</f>
        <v>sales record</v>
      </c>
      <c r="AC3790" t="s">
        <v>3</v>
      </c>
      <c r="AD3790">
        <v>41.753</v>
      </c>
      <c r="AE3790">
        <v>-88.19117300000001</v>
      </c>
      <c r="AF3790" s="5" t="str">
        <f>HYPERLINK("https://www.google.com/maps/search/?api=1&amp;query=41.753,-88.191173","map")</f>
        <v>map</v>
      </c>
    </row>
    <row r="3791" spans="1:32">
      <c r="A3791" t="s">
        <v>3841</v>
      </c>
      <c r="B3791" t="s">
        <v>11374</v>
      </c>
      <c r="C3791" t="s">
        <v>15520</v>
      </c>
      <c r="D3791" t="s">
        <v>16206</v>
      </c>
      <c r="E3791" t="s">
        <v>16218</v>
      </c>
      <c r="F3791" t="s">
        <v>16220</v>
      </c>
      <c r="G3791" t="s">
        <v>16276</v>
      </c>
      <c r="H3791" t="s">
        <v>16276</v>
      </c>
      <c r="I3791" t="s">
        <v>16352</v>
      </c>
      <c r="J3791" t="s">
        <v>16386</v>
      </c>
      <c r="K3791">
        <v>0.144</v>
      </c>
      <c r="L3791">
        <v>6259</v>
      </c>
      <c r="M3791">
        <v>1484</v>
      </c>
      <c r="N3791" t="s">
        <v>16393</v>
      </c>
      <c r="O3791" s="4">
        <v>49444</v>
      </c>
      <c r="P3791" s="4">
        <v>99985</v>
      </c>
      <c r="Q3791" s="4">
        <v>149429</v>
      </c>
      <c r="R3791" s="4">
        <v>448287</v>
      </c>
      <c r="S3791" t="s">
        <v>20103</v>
      </c>
      <c r="T3791" s="6">
        <v>37591</v>
      </c>
      <c r="U3791" s="4">
        <v>220000</v>
      </c>
      <c r="V3791" t="s">
        <v>23739</v>
      </c>
      <c r="W3791" t="s">
        <v>25658</v>
      </c>
      <c r="X3791" t="s">
        <v>3</v>
      </c>
      <c r="AA3791" s="5" t="str">
        <f>HYPERLINK("https://www.zillow.com/homes/923-MATTHEW-CT-NAPERVILLE-IL-605401958_rb/","check listing")</f>
        <v>check listing</v>
      </c>
      <c r="AB3791" s="5" t="str">
        <f>HYPERLINK("https://propertylookup.dupagecounty.gov/Datalets/Datalet.aspx?UseSearch=no&amp;mode=sales&amp;pin=0727209004","sales record")</f>
        <v>sales record</v>
      </c>
      <c r="AC3791" t="s">
        <v>3</v>
      </c>
      <c r="AD3791">
        <v>41.753177</v>
      </c>
      <c r="AE3791">
        <v>-88.19117300000001</v>
      </c>
      <c r="AF3791" s="5" t="str">
        <f>HYPERLINK("https://www.google.com/maps/search/?api=1&amp;query=41.753177,-88.191173","map")</f>
        <v>map</v>
      </c>
    </row>
    <row r="3792" spans="1:32">
      <c r="A3792" t="s">
        <v>3842</v>
      </c>
      <c r="B3792" t="s">
        <v>11375</v>
      </c>
      <c r="C3792" t="s">
        <v>15517</v>
      </c>
      <c r="D3792" t="s">
        <v>16206</v>
      </c>
      <c r="E3792" t="s">
        <v>16218</v>
      </c>
      <c r="F3792" t="s">
        <v>16220</v>
      </c>
      <c r="G3792" t="s">
        <v>16276</v>
      </c>
      <c r="H3792" t="s">
        <v>16276</v>
      </c>
      <c r="I3792" t="s">
        <v>16352</v>
      </c>
      <c r="J3792" t="s">
        <v>16386</v>
      </c>
      <c r="K3792">
        <v>0.144</v>
      </c>
      <c r="L3792">
        <v>6257</v>
      </c>
      <c r="M3792">
        <v>2031</v>
      </c>
      <c r="N3792" t="s">
        <v>16393</v>
      </c>
      <c r="O3792" s="4">
        <v>49444</v>
      </c>
      <c r="P3792" s="4">
        <v>113606</v>
      </c>
      <c r="Q3792" s="4">
        <v>163050</v>
      </c>
      <c r="R3792" s="4">
        <v>489150</v>
      </c>
      <c r="S3792" t="s">
        <v>20104</v>
      </c>
      <c r="T3792" s="6">
        <v>44348</v>
      </c>
      <c r="U3792" s="4">
        <v>446000</v>
      </c>
      <c r="V3792" t="s">
        <v>23739</v>
      </c>
      <c r="W3792" t="s">
        <v>20104</v>
      </c>
      <c r="X3792" t="s">
        <v>3</v>
      </c>
      <c r="AA3792" s="5" t="str">
        <f>HYPERLINK("https://www.zillow.com/homes/2012-SCHUMACHER-DR-NAPERVILLE-IL-605401929_rb/","check listing")</f>
        <v>check listing</v>
      </c>
      <c r="AB3792" s="5" t="str">
        <f>HYPERLINK("https://propertylookup.dupagecounty.gov/Datalets/Datalet.aspx?UseSearch=no&amp;mode=sales&amp;pin=0727211003","sales record")</f>
        <v>sales record</v>
      </c>
      <c r="AC3792" t="s">
        <v>3</v>
      </c>
      <c r="AD3792">
        <v>41.754581</v>
      </c>
      <c r="AE3792">
        <v>-88.188834</v>
      </c>
      <c r="AF3792" s="5" t="str">
        <f>HYPERLINK("https://www.google.com/maps/search/?api=1&amp;query=41.754581,-88.188834","map")</f>
        <v>map</v>
      </c>
    </row>
    <row r="3793" spans="1:32">
      <c r="A3793" t="s">
        <v>3843</v>
      </c>
      <c r="B3793" t="s">
        <v>11376</v>
      </c>
      <c r="C3793" t="s">
        <v>15475</v>
      </c>
      <c r="D3793" t="s">
        <v>16206</v>
      </c>
      <c r="E3793" t="s">
        <v>16218</v>
      </c>
      <c r="F3793" t="s">
        <v>16220</v>
      </c>
      <c r="G3793" t="s">
        <v>16276</v>
      </c>
      <c r="H3793" t="s">
        <v>16276</v>
      </c>
      <c r="I3793" t="s">
        <v>16352</v>
      </c>
      <c r="J3793" t="s">
        <v>16386</v>
      </c>
      <c r="K3793">
        <v>0.144</v>
      </c>
      <c r="L3793">
        <v>6257</v>
      </c>
      <c r="M3793">
        <v>2186</v>
      </c>
      <c r="N3793" t="s">
        <v>16393</v>
      </c>
      <c r="O3793" s="4">
        <v>49444</v>
      </c>
      <c r="P3793" s="4">
        <v>118073</v>
      </c>
      <c r="Q3793" s="4">
        <v>167517</v>
      </c>
      <c r="R3793" s="4">
        <v>502551</v>
      </c>
      <c r="S3793" t="s">
        <v>20105</v>
      </c>
      <c r="T3793" s="6">
        <v>41122</v>
      </c>
      <c r="U3793" s="4">
        <v>297000</v>
      </c>
      <c r="V3793" t="s">
        <v>23739</v>
      </c>
      <c r="W3793" t="s">
        <v>25659</v>
      </c>
      <c r="X3793" t="s">
        <v>3</v>
      </c>
      <c r="AA3793" s="5" t="str">
        <f>HYPERLINK("https://www.zillow.com/homes/2008-SCHUMACHER-LN-NAPERVILLE-IL-60540_rb/","check listing")</f>
        <v>check listing</v>
      </c>
      <c r="AB3793" s="5" t="str">
        <f>HYPERLINK("https://propertylookup.dupagecounty.gov/Datalets/Datalet.aspx?UseSearch=no&amp;mode=sales&amp;pin=0727211002","sales record")</f>
        <v>sales record</v>
      </c>
      <c r="AC3793" t="s">
        <v>3</v>
      </c>
      <c r="AD3793">
        <v>41.754579</v>
      </c>
      <c r="AE3793">
        <v>-88.189042</v>
      </c>
      <c r="AF3793" s="5" t="str">
        <f>HYPERLINK("https://www.google.com/maps/search/?api=1&amp;query=41.754579,-88.189042","map")</f>
        <v>map</v>
      </c>
    </row>
    <row r="3794" spans="1:32">
      <c r="A3794" t="s">
        <v>3844</v>
      </c>
      <c r="B3794" t="s">
        <v>11377</v>
      </c>
      <c r="C3794" t="s">
        <v>15475</v>
      </c>
      <c r="D3794" t="s">
        <v>16206</v>
      </c>
      <c r="E3794" t="s">
        <v>16218</v>
      </c>
      <c r="F3794" t="s">
        <v>16220</v>
      </c>
      <c r="G3794" t="s">
        <v>16275</v>
      </c>
      <c r="H3794" t="s">
        <v>16276</v>
      </c>
      <c r="I3794" t="s">
        <v>16352</v>
      </c>
      <c r="J3794" t="s">
        <v>16386</v>
      </c>
      <c r="K3794">
        <v>0.144</v>
      </c>
      <c r="L3794">
        <v>6256</v>
      </c>
      <c r="M3794">
        <v>1648</v>
      </c>
      <c r="N3794" t="s">
        <v>16393</v>
      </c>
      <c r="O3794" s="4">
        <v>51103</v>
      </c>
      <c r="P3794" s="4">
        <v>101656</v>
      </c>
      <c r="Q3794" s="4">
        <v>152759</v>
      </c>
      <c r="R3794" s="4">
        <v>458277</v>
      </c>
      <c r="S3794" t="s">
        <v>20106</v>
      </c>
      <c r="T3794" s="6">
        <v>38626</v>
      </c>
      <c r="U3794" s="4">
        <v>296000</v>
      </c>
      <c r="V3794" t="s">
        <v>23739</v>
      </c>
      <c r="W3794" t="s">
        <v>20106</v>
      </c>
      <c r="X3794" t="s">
        <v>3</v>
      </c>
      <c r="AA3794" s="5" t="str">
        <f>HYPERLINK("https://www.zillow.com/homes/2216-PERIWINKLE-LN-NAPERVILLE-IL-60540_rb/","check listing")</f>
        <v>check listing</v>
      </c>
      <c r="AB3794" s="5" t="str">
        <f>HYPERLINK("https://propertylookup.dupagecounty.gov/Datalets/Datalet.aspx?UseSearch=no&amp;mode=sales&amp;pin=0722410002","sales record")</f>
        <v>sales record</v>
      </c>
      <c r="AC3794" t="s">
        <v>3</v>
      </c>
      <c r="AD3794">
        <v>41.759298</v>
      </c>
      <c r="AE3794">
        <v>-88.19120700000001</v>
      </c>
      <c r="AF3794" s="5" t="str">
        <f>HYPERLINK("https://www.google.com/maps/search/?api=1&amp;query=41.759298,-88.191207","map")</f>
        <v>map</v>
      </c>
    </row>
    <row r="3795" spans="1:32">
      <c r="A3795" t="s">
        <v>3845</v>
      </c>
      <c r="B3795" t="s">
        <v>11378</v>
      </c>
      <c r="C3795" t="s">
        <v>15517</v>
      </c>
      <c r="D3795" t="s">
        <v>16206</v>
      </c>
      <c r="E3795" t="s">
        <v>16218</v>
      </c>
      <c r="F3795" t="s">
        <v>16220</v>
      </c>
      <c r="G3795" t="s">
        <v>16276</v>
      </c>
      <c r="H3795" t="s">
        <v>16276</v>
      </c>
      <c r="I3795" t="s">
        <v>16352</v>
      </c>
      <c r="J3795" t="s">
        <v>16386</v>
      </c>
      <c r="K3795">
        <v>0.144</v>
      </c>
      <c r="L3795">
        <v>6255</v>
      </c>
      <c r="M3795">
        <v>1965</v>
      </c>
      <c r="N3795" t="s">
        <v>16393</v>
      </c>
      <c r="O3795" s="4">
        <v>49444</v>
      </c>
      <c r="P3795" s="4">
        <v>103878</v>
      </c>
      <c r="Q3795" s="4">
        <v>153322</v>
      </c>
      <c r="R3795" s="4">
        <v>459966</v>
      </c>
      <c r="S3795" t="s">
        <v>20107</v>
      </c>
      <c r="T3795" s="6">
        <v>44197</v>
      </c>
      <c r="U3795" s="4">
        <v>335000</v>
      </c>
      <c r="V3795" t="s">
        <v>23739</v>
      </c>
      <c r="W3795" t="s">
        <v>25660</v>
      </c>
      <c r="X3795" t="s">
        <v>3</v>
      </c>
      <c r="AA3795" s="5" t="str">
        <f>HYPERLINK("https://www.zillow.com/homes/2028-SCHUMACHER-DR-NAPERVILLE-IL-605401929_rb/","check listing")</f>
        <v>check listing</v>
      </c>
      <c r="AB3795" s="5" t="str">
        <f>HYPERLINK("https://propertylookup.dupagecounty.gov/Datalets/Datalet.aspx?UseSearch=no&amp;mode=sales&amp;pin=0727211007","sales record")</f>
        <v>sales record</v>
      </c>
      <c r="AC3795" t="s">
        <v>3</v>
      </c>
      <c r="AD3795">
        <v>41.754588</v>
      </c>
      <c r="AE3795">
        <v>-88.187999</v>
      </c>
      <c r="AF3795" s="5" t="str">
        <f>HYPERLINK("https://www.google.com/maps/search/?api=1&amp;query=41.754588,-88.187999","map")</f>
        <v>map</v>
      </c>
    </row>
    <row r="3796" spans="1:32">
      <c r="A3796" t="s">
        <v>3846</v>
      </c>
      <c r="B3796" t="s">
        <v>11379</v>
      </c>
      <c r="C3796" t="s">
        <v>15475</v>
      </c>
      <c r="D3796" t="s">
        <v>16206</v>
      </c>
      <c r="E3796" t="s">
        <v>16218</v>
      </c>
      <c r="F3796" t="s">
        <v>16220</v>
      </c>
      <c r="G3796" t="s">
        <v>16276</v>
      </c>
      <c r="H3796" t="s">
        <v>16276</v>
      </c>
      <c r="I3796" t="s">
        <v>16352</v>
      </c>
      <c r="J3796" t="s">
        <v>16386</v>
      </c>
      <c r="K3796">
        <v>0.144</v>
      </c>
      <c r="L3796">
        <v>6254</v>
      </c>
      <c r="M3796">
        <v>1980</v>
      </c>
      <c r="N3796" t="s">
        <v>16393</v>
      </c>
      <c r="O3796" s="4">
        <v>50993</v>
      </c>
      <c r="P3796" s="4">
        <v>92784</v>
      </c>
      <c r="Q3796" s="4">
        <v>143777</v>
      </c>
      <c r="R3796" s="4">
        <v>431331</v>
      </c>
      <c r="S3796" t="s">
        <v>20108</v>
      </c>
      <c r="T3796" s="6">
        <v>36982</v>
      </c>
      <c r="U3796" s="4">
        <v>209000</v>
      </c>
      <c r="V3796" t="s">
        <v>23739</v>
      </c>
      <c r="W3796" t="s">
        <v>25661</v>
      </c>
      <c r="X3796" t="s">
        <v>3</v>
      </c>
      <c r="AA3796" s="5" t="str">
        <f>HYPERLINK("https://www.zillow.com/homes/919-MATTHEW-CT-NAPERVILLE-IL-60540_rb/","check listing")</f>
        <v>check listing</v>
      </c>
      <c r="AB3796" s="5" t="str">
        <f>HYPERLINK("https://propertylookup.dupagecounty.gov/Datalets/Datalet.aspx?UseSearch=no&amp;mode=sales&amp;pin=0727209005","sales record")</f>
        <v>sales record</v>
      </c>
      <c r="AC3796" t="s">
        <v>3</v>
      </c>
      <c r="AD3796">
        <v>41.75335</v>
      </c>
      <c r="AE3796">
        <v>-88.19117199999999</v>
      </c>
      <c r="AF3796" s="5" t="str">
        <f>HYPERLINK("https://www.google.com/maps/search/?api=1&amp;query=41.75335,-88.191172","map")</f>
        <v>map</v>
      </c>
    </row>
    <row r="3797" spans="1:32">
      <c r="A3797" t="s">
        <v>3847</v>
      </c>
      <c r="B3797" t="s">
        <v>11380</v>
      </c>
      <c r="C3797" t="s">
        <v>15475</v>
      </c>
      <c r="D3797" t="s">
        <v>16206</v>
      </c>
      <c r="E3797" t="s">
        <v>16218</v>
      </c>
      <c r="F3797" t="s">
        <v>16220</v>
      </c>
      <c r="G3797" t="s">
        <v>16276</v>
      </c>
      <c r="H3797" t="s">
        <v>16276</v>
      </c>
      <c r="I3797" t="s">
        <v>16352</v>
      </c>
      <c r="J3797" t="s">
        <v>16386</v>
      </c>
      <c r="K3797">
        <v>0.144</v>
      </c>
      <c r="L3797">
        <v>6254</v>
      </c>
      <c r="M3797">
        <v>1970</v>
      </c>
      <c r="N3797" t="s">
        <v>16393</v>
      </c>
      <c r="O3797" s="4">
        <v>49444</v>
      </c>
      <c r="P3797" s="4">
        <v>104269</v>
      </c>
      <c r="Q3797" s="4">
        <v>153713</v>
      </c>
      <c r="R3797" s="4">
        <v>461139</v>
      </c>
      <c r="S3797" t="s">
        <v>20109</v>
      </c>
      <c r="T3797" s="6">
        <v>38504</v>
      </c>
      <c r="U3797" s="4">
        <v>290000</v>
      </c>
      <c r="V3797" t="s">
        <v>23739</v>
      </c>
      <c r="W3797" t="s">
        <v>25662</v>
      </c>
      <c r="X3797" t="s">
        <v>3</v>
      </c>
      <c r="AA3797" s="5" t="str">
        <f>HYPERLINK("https://www.zillow.com/homes/2032-SCHUMACHER-LN-NAPERVILLE-IL-60540_rb/","check listing")</f>
        <v>check listing</v>
      </c>
      <c r="AB3797" s="5" t="str">
        <f>HYPERLINK("https://propertylookup.dupagecounty.gov/Datalets/Datalet.aspx?UseSearch=no&amp;mode=sales&amp;pin=0727211008","sales record")</f>
        <v>sales record</v>
      </c>
      <c r="AC3797" t="s">
        <v>3</v>
      </c>
      <c r="AD3797">
        <v>41.754589</v>
      </c>
      <c r="AE3797">
        <v>-88.18779000000001</v>
      </c>
      <c r="AF3797" s="5" t="str">
        <f>HYPERLINK("https://www.google.com/maps/search/?api=1&amp;query=41.754589,-88.18779","map")</f>
        <v>map</v>
      </c>
    </row>
    <row r="3798" spans="1:32">
      <c r="A3798" t="s">
        <v>3848</v>
      </c>
      <c r="B3798" t="s">
        <v>11381</v>
      </c>
      <c r="C3798" t="s">
        <v>15475</v>
      </c>
      <c r="D3798" t="s">
        <v>16206</v>
      </c>
      <c r="E3798" t="s">
        <v>16218</v>
      </c>
      <c r="F3798" t="s">
        <v>16220</v>
      </c>
      <c r="G3798" t="s">
        <v>16276</v>
      </c>
      <c r="H3798" t="s">
        <v>16276</v>
      </c>
      <c r="I3798" t="s">
        <v>16352</v>
      </c>
      <c r="J3798" t="s">
        <v>16386</v>
      </c>
      <c r="K3798">
        <v>0.144</v>
      </c>
      <c r="L3798">
        <v>6254</v>
      </c>
      <c r="M3798">
        <v>1780</v>
      </c>
      <c r="N3798" t="s">
        <v>16393</v>
      </c>
      <c r="O3798" s="4">
        <v>49444</v>
      </c>
      <c r="P3798" s="4">
        <v>94541</v>
      </c>
      <c r="Q3798" s="4">
        <v>143985</v>
      </c>
      <c r="R3798" s="4">
        <v>431955</v>
      </c>
      <c r="S3798" t="s">
        <v>20110</v>
      </c>
      <c r="T3798" s="6">
        <v>38504</v>
      </c>
      <c r="U3798" s="4">
        <v>274000</v>
      </c>
      <c r="V3798" t="s">
        <v>23739</v>
      </c>
      <c r="W3798" t="s">
        <v>25663</v>
      </c>
      <c r="X3798" t="s">
        <v>3</v>
      </c>
      <c r="AA3798" s="5" t="str">
        <f>HYPERLINK("https://www.zillow.com/homes/2024-SCHUMACHER-LN-NAPERVILLE-IL-60540_rb/","check listing")</f>
        <v>check listing</v>
      </c>
      <c r="AB3798" s="5" t="str">
        <f>HYPERLINK("https://propertylookup.dupagecounty.gov/Datalets/Datalet.aspx?UseSearch=no&amp;mode=sales&amp;pin=0727211006","sales record")</f>
        <v>sales record</v>
      </c>
      <c r="AC3798" t="s">
        <v>3</v>
      </c>
      <c r="AD3798">
        <v>41.754586</v>
      </c>
      <c r="AE3798">
        <v>-88.188208</v>
      </c>
      <c r="AF3798" s="5" t="str">
        <f>HYPERLINK("https://www.google.com/maps/search/?api=1&amp;query=41.754586,-88.188208","map")</f>
        <v>map</v>
      </c>
    </row>
    <row r="3799" spans="1:32">
      <c r="A3799" t="s">
        <v>3849</v>
      </c>
      <c r="B3799" t="s">
        <v>11382</v>
      </c>
      <c r="C3799" t="s">
        <v>15475</v>
      </c>
      <c r="D3799" t="s">
        <v>16206</v>
      </c>
      <c r="E3799" t="s">
        <v>16218</v>
      </c>
      <c r="F3799" t="s">
        <v>16220</v>
      </c>
      <c r="G3799" t="s">
        <v>16276</v>
      </c>
      <c r="H3799" t="s">
        <v>16276</v>
      </c>
      <c r="I3799" t="s">
        <v>16352</v>
      </c>
      <c r="J3799" t="s">
        <v>16386</v>
      </c>
      <c r="K3799">
        <v>0.144</v>
      </c>
      <c r="L3799">
        <v>6252</v>
      </c>
      <c r="M3799">
        <v>2376</v>
      </c>
      <c r="N3799" t="s">
        <v>16393</v>
      </c>
      <c r="O3799" s="4">
        <v>52555</v>
      </c>
      <c r="P3799" s="4">
        <v>105465</v>
      </c>
      <c r="Q3799" s="4">
        <v>158020</v>
      </c>
      <c r="R3799" s="4">
        <v>474060</v>
      </c>
      <c r="S3799" t="s">
        <v>20111</v>
      </c>
      <c r="T3799" s="6">
        <v>40299</v>
      </c>
      <c r="U3799" s="4">
        <v>275000</v>
      </c>
      <c r="V3799" t="s">
        <v>23739</v>
      </c>
      <c r="W3799" t="s">
        <v>25664</v>
      </c>
      <c r="X3799" t="s">
        <v>3</v>
      </c>
      <c r="AA3799" s="5" t="str">
        <f>HYPERLINK("https://www.zillow.com/homes/915-MATTHEW-CT-NAPERVILLE-IL-60540_rb/","check listing")</f>
        <v>check listing</v>
      </c>
      <c r="AB3799" s="5" t="str">
        <f>HYPERLINK("https://propertylookup.dupagecounty.gov/Datalets/Datalet.aspx?UseSearch=no&amp;mode=sales&amp;pin=0727209006","sales record")</f>
        <v>sales record</v>
      </c>
      <c r="AC3799" t="s">
        <v>3</v>
      </c>
      <c r="AD3799">
        <v>41.75349</v>
      </c>
      <c r="AE3799">
        <v>-88.19117199999999</v>
      </c>
      <c r="AF3799" s="5" t="str">
        <f>HYPERLINK("https://www.google.com/maps/search/?api=1&amp;query=41.75349,-88.191172","map")</f>
        <v>map</v>
      </c>
    </row>
    <row r="3800" spans="1:32">
      <c r="A3800" t="s">
        <v>3850</v>
      </c>
      <c r="B3800" t="s">
        <v>11383</v>
      </c>
      <c r="C3800" t="s">
        <v>15476</v>
      </c>
      <c r="D3800" t="s">
        <v>16206</v>
      </c>
      <c r="E3800" t="s">
        <v>16218</v>
      </c>
      <c r="F3800" t="s">
        <v>16220</v>
      </c>
      <c r="G3800" t="s">
        <v>16269</v>
      </c>
      <c r="H3800" t="s">
        <v>16269</v>
      </c>
      <c r="I3800" t="s">
        <v>16352</v>
      </c>
      <c r="J3800" t="s">
        <v>16386</v>
      </c>
      <c r="K3800">
        <v>0.143</v>
      </c>
      <c r="L3800">
        <v>6250</v>
      </c>
      <c r="M3800">
        <v>2164</v>
      </c>
      <c r="N3800" t="s">
        <v>16393</v>
      </c>
      <c r="O3800" s="4">
        <v>71719</v>
      </c>
      <c r="P3800" s="4">
        <v>118583</v>
      </c>
      <c r="Q3800" s="4">
        <v>190302</v>
      </c>
      <c r="R3800" s="4">
        <v>570906</v>
      </c>
      <c r="S3800" t="s">
        <v>20112</v>
      </c>
      <c r="T3800" s="6">
        <v>45260</v>
      </c>
      <c r="U3800" s="4">
        <v>555000</v>
      </c>
      <c r="V3800" t="s">
        <v>23739</v>
      </c>
      <c r="W3800" t="s">
        <v>25665</v>
      </c>
      <c r="X3800" t="s">
        <v>3</v>
      </c>
      <c r="AA3800" s="5" t="str">
        <f>HYPERLINK("https://www.zillow.com/homes/436-BOURBON-LN-NAPERVILLE-IL-60565_rb/","check listing")</f>
        <v>check listing</v>
      </c>
      <c r="AB3800" s="5" t="str">
        <f>HYPERLINK("https://propertylookup.dupagecounty.gov/Datalets/Datalet.aspx?UseSearch=no&amp;mode=sales&amp;pin=0832117009","sales record")</f>
        <v>sales record</v>
      </c>
      <c r="AC3800" t="s">
        <v>3</v>
      </c>
      <c r="AD3800">
        <v>41.734201</v>
      </c>
      <c r="AE3800">
        <v>-88.12103500000001</v>
      </c>
      <c r="AF3800" s="5" t="str">
        <f>HYPERLINK("https://www.google.com/maps/search/?api=1&amp;query=41.734201,-88.121035","map")</f>
        <v>map</v>
      </c>
    </row>
    <row r="3801" spans="1:32">
      <c r="A3801" t="s">
        <v>3851</v>
      </c>
      <c r="B3801" t="s">
        <v>11384</v>
      </c>
      <c r="C3801" t="s">
        <v>15475</v>
      </c>
      <c r="D3801" t="s">
        <v>16206</v>
      </c>
      <c r="E3801" t="s">
        <v>16218</v>
      </c>
      <c r="F3801" t="s">
        <v>16220</v>
      </c>
      <c r="G3801" t="s">
        <v>16276</v>
      </c>
      <c r="H3801" t="s">
        <v>16276</v>
      </c>
      <c r="I3801" t="s">
        <v>16352</v>
      </c>
      <c r="J3801" t="s">
        <v>16386</v>
      </c>
      <c r="K3801">
        <v>0.143</v>
      </c>
      <c r="L3801">
        <v>6243</v>
      </c>
      <c r="M3801">
        <v>1702</v>
      </c>
      <c r="N3801" t="s">
        <v>16393</v>
      </c>
      <c r="O3801" s="4">
        <v>49444</v>
      </c>
      <c r="P3801" s="4">
        <v>103890</v>
      </c>
      <c r="Q3801" s="4">
        <v>153334</v>
      </c>
      <c r="R3801" s="4">
        <v>460002</v>
      </c>
      <c r="S3801" t="s">
        <v>20113</v>
      </c>
      <c r="T3801" s="6">
        <v>41791</v>
      </c>
      <c r="U3801" s="4">
        <v>285000</v>
      </c>
      <c r="V3801" t="s">
        <v>23739</v>
      </c>
      <c r="W3801" t="s">
        <v>25666</v>
      </c>
      <c r="X3801" t="s">
        <v>3</v>
      </c>
      <c r="AA3801" s="5" t="str">
        <f>HYPERLINK("https://www.zillow.com/homes/2023-SCHUMACHER-LN-NAPERVILLE-IL-60540_rb/","check listing")</f>
        <v>check listing</v>
      </c>
      <c r="AB3801" s="5" t="str">
        <f>HYPERLINK("https://propertylookup.dupagecounty.gov/Datalets/Datalet.aspx?UseSearch=no&amp;mode=sales&amp;pin=0727210012","sales record")</f>
        <v>sales record</v>
      </c>
      <c r="AC3801" t="s">
        <v>3</v>
      </c>
      <c r="AD3801">
        <v>41.754155</v>
      </c>
      <c r="AE3801">
        <v>-88.18819999999999</v>
      </c>
      <c r="AF3801" s="5" t="str">
        <f>HYPERLINK("https://www.google.com/maps/search/?api=1&amp;query=41.754155,-88.1882","map")</f>
        <v>map</v>
      </c>
    </row>
    <row r="3802" spans="1:32">
      <c r="A3802" t="s">
        <v>3852</v>
      </c>
      <c r="B3802" t="s">
        <v>11385</v>
      </c>
      <c r="C3802" t="s">
        <v>15475</v>
      </c>
      <c r="D3802" t="s">
        <v>16206</v>
      </c>
      <c r="E3802" t="s">
        <v>16218</v>
      </c>
      <c r="F3802" t="s">
        <v>16220</v>
      </c>
      <c r="G3802" t="s">
        <v>16276</v>
      </c>
      <c r="H3802" t="s">
        <v>16276</v>
      </c>
      <c r="I3802" t="s">
        <v>16352</v>
      </c>
      <c r="J3802" t="s">
        <v>16386</v>
      </c>
      <c r="K3802">
        <v>0.143</v>
      </c>
      <c r="L3802">
        <v>6243</v>
      </c>
      <c r="M3802">
        <v>2621</v>
      </c>
      <c r="N3802" t="s">
        <v>16393</v>
      </c>
      <c r="O3802" s="4">
        <v>49444</v>
      </c>
      <c r="P3802" s="4">
        <v>117609</v>
      </c>
      <c r="Q3802" s="4">
        <v>167053</v>
      </c>
      <c r="R3802" s="4">
        <v>501159</v>
      </c>
      <c r="S3802" t="s">
        <v>20114</v>
      </c>
      <c r="T3802" s="6">
        <v>45083</v>
      </c>
      <c r="U3802" s="4">
        <v>426000</v>
      </c>
      <c r="V3802" t="s">
        <v>23739</v>
      </c>
      <c r="W3802" t="s">
        <v>25667</v>
      </c>
      <c r="X3802" t="s">
        <v>3</v>
      </c>
      <c r="AA3802" s="5" t="str">
        <f>HYPERLINK("https://www.zillow.com/homes/2019-SCHUMACHER-LN-NAPERVILLE-IL-60540_rb/","check listing")</f>
        <v>check listing</v>
      </c>
      <c r="AB3802" s="5" t="str">
        <f>HYPERLINK("https://propertylookup.dupagecounty.gov/Datalets/Datalet.aspx?UseSearch=no&amp;mode=sales&amp;pin=0727210011","sales record")</f>
        <v>sales record</v>
      </c>
      <c r="AC3802" t="s">
        <v>3</v>
      </c>
      <c r="AD3802">
        <v>41.754153</v>
      </c>
      <c r="AE3802">
        <v>-88.18840899999999</v>
      </c>
      <c r="AF3802" s="5" t="str">
        <f>HYPERLINK("https://www.google.com/maps/search/?api=1&amp;query=41.754153,-88.188409","map")</f>
        <v>map</v>
      </c>
    </row>
    <row r="3803" spans="1:32">
      <c r="A3803" t="s">
        <v>3853</v>
      </c>
      <c r="B3803" t="s">
        <v>11386</v>
      </c>
      <c r="C3803" t="s">
        <v>15571</v>
      </c>
      <c r="D3803" t="s">
        <v>16206</v>
      </c>
      <c r="E3803" t="s">
        <v>16218</v>
      </c>
      <c r="F3803" t="s">
        <v>16220</v>
      </c>
      <c r="G3803" t="s">
        <v>16276</v>
      </c>
      <c r="H3803" t="s">
        <v>16276</v>
      </c>
      <c r="I3803" t="s">
        <v>16352</v>
      </c>
      <c r="J3803" t="s">
        <v>16386</v>
      </c>
      <c r="K3803">
        <v>0.143</v>
      </c>
      <c r="L3803">
        <v>6243</v>
      </c>
      <c r="M3803">
        <v>1995</v>
      </c>
      <c r="N3803" t="s">
        <v>16393</v>
      </c>
      <c r="O3803" s="4">
        <v>49444</v>
      </c>
      <c r="P3803" s="4">
        <v>117267</v>
      </c>
      <c r="Q3803" s="4">
        <v>166711</v>
      </c>
      <c r="R3803" s="4">
        <v>500133</v>
      </c>
      <c r="S3803" t="s">
        <v>20115</v>
      </c>
      <c r="T3803" s="6">
        <v>43647</v>
      </c>
      <c r="U3803" s="4">
        <v>179000</v>
      </c>
      <c r="V3803" t="s">
        <v>23742</v>
      </c>
      <c r="W3803" t="s">
        <v>25668</v>
      </c>
      <c r="X3803" t="s">
        <v>3</v>
      </c>
      <c r="AA3803" s="5" t="str">
        <f>HYPERLINK("https://www.zillow.com/homes/2015-SCHUMACHER-DR-NAPERVILLE-IL-605401930_rb/","check listing")</f>
        <v>check listing</v>
      </c>
      <c r="AB3803" s="5" t="str">
        <f>HYPERLINK("https://propertylookup.dupagecounty.gov/Datalets/Datalet.aspx?UseSearch=no&amp;mode=sales&amp;pin=0727210010","sales record")</f>
        <v>sales record</v>
      </c>
      <c r="AC3803" t="s">
        <v>3</v>
      </c>
      <c r="AD3803">
        <v>41.754152</v>
      </c>
      <c r="AE3803">
        <v>-88.18861800000001</v>
      </c>
      <c r="AF3803" s="5" t="str">
        <f>HYPERLINK("https://www.google.com/maps/search/?api=1&amp;query=41.754152,-88.188618","map")</f>
        <v>map</v>
      </c>
    </row>
    <row r="3804" spans="1:32">
      <c r="A3804" t="s">
        <v>3854</v>
      </c>
      <c r="B3804" t="s">
        <v>11387</v>
      </c>
      <c r="C3804" t="s">
        <v>15476</v>
      </c>
      <c r="D3804" t="s">
        <v>16206</v>
      </c>
      <c r="E3804" t="s">
        <v>16218</v>
      </c>
      <c r="F3804" t="s">
        <v>16220</v>
      </c>
      <c r="G3804" t="s">
        <v>16269</v>
      </c>
      <c r="H3804" t="s">
        <v>16269</v>
      </c>
      <c r="I3804" t="s">
        <v>16352</v>
      </c>
      <c r="J3804" t="s">
        <v>16386</v>
      </c>
      <c r="K3804">
        <v>0.143</v>
      </c>
      <c r="L3804">
        <v>6241</v>
      </c>
      <c r="M3804">
        <v>1583</v>
      </c>
      <c r="N3804" t="s">
        <v>16393</v>
      </c>
      <c r="O3804" s="4">
        <v>71707</v>
      </c>
      <c r="P3804" s="4">
        <v>85394</v>
      </c>
      <c r="Q3804" s="4">
        <v>157101</v>
      </c>
      <c r="R3804" s="4">
        <v>471303</v>
      </c>
      <c r="S3804" t="s">
        <v>20116</v>
      </c>
      <c r="T3804" s="6">
        <v>33420</v>
      </c>
      <c r="U3804" s="4">
        <v>150927</v>
      </c>
      <c r="X3804" t="s">
        <v>3</v>
      </c>
      <c r="AA3804" s="5" t="str">
        <f>HYPERLINK("https://www.zillow.com/homes/1719-CHALMETTE-CT-NAPERVILLE-IL-60565_rb/","check listing")</f>
        <v>check listing</v>
      </c>
      <c r="AB3804" s="5" t="str">
        <f>HYPERLINK("https://propertylookup.dupagecounty.gov/Datalets/Datalet.aspx?UseSearch=no&amp;mode=sales&amp;pin=0832114065","sales record")</f>
        <v>sales record</v>
      </c>
      <c r="AC3804" t="s">
        <v>3</v>
      </c>
      <c r="AD3804">
        <v>41.735412</v>
      </c>
      <c r="AE3804">
        <v>-88.122348</v>
      </c>
      <c r="AF3804" s="5" t="str">
        <f>HYPERLINK("https://www.google.com/maps/search/?api=1&amp;query=41.735412,-88.122348","map")</f>
        <v>map</v>
      </c>
    </row>
    <row r="3805" spans="1:32">
      <c r="A3805" t="s">
        <v>3855</v>
      </c>
      <c r="B3805" t="s">
        <v>11388</v>
      </c>
      <c r="C3805" t="s">
        <v>15475</v>
      </c>
      <c r="D3805" t="s">
        <v>16206</v>
      </c>
      <c r="E3805" t="s">
        <v>16218</v>
      </c>
      <c r="F3805" t="s">
        <v>16220</v>
      </c>
      <c r="G3805" t="s">
        <v>16275</v>
      </c>
      <c r="H3805" t="s">
        <v>16276</v>
      </c>
      <c r="I3805" t="s">
        <v>16352</v>
      </c>
      <c r="J3805" t="s">
        <v>16386</v>
      </c>
      <c r="K3805">
        <v>0.143</v>
      </c>
      <c r="L3805">
        <v>6239</v>
      </c>
      <c r="M3805">
        <v>1976</v>
      </c>
      <c r="N3805" t="s">
        <v>16393</v>
      </c>
      <c r="O3805" s="4">
        <v>49444</v>
      </c>
      <c r="P3805" s="4">
        <v>113777</v>
      </c>
      <c r="Q3805" s="4">
        <v>163221</v>
      </c>
      <c r="R3805" s="4">
        <v>489663</v>
      </c>
      <c r="S3805" t="s">
        <v>20117</v>
      </c>
      <c r="T3805" s="6">
        <v>39234</v>
      </c>
      <c r="U3805" s="4">
        <v>339900</v>
      </c>
      <c r="V3805" t="s">
        <v>23739</v>
      </c>
      <c r="W3805" t="s">
        <v>25669</v>
      </c>
      <c r="X3805" t="s">
        <v>3</v>
      </c>
      <c r="AA3805" s="5" t="str">
        <f>HYPERLINK("https://www.zillow.com/homes/1127-HANNAH-CT-NAPERVILLE-IL-60540_rb/","check listing")</f>
        <v>check listing</v>
      </c>
      <c r="AB3805" s="5" t="str">
        <f>HYPERLINK("https://propertylookup.dupagecounty.gov/Datalets/Datalet.aspx?UseSearch=no&amp;mode=sales&amp;pin=0727204021","sales record")</f>
        <v>sales record</v>
      </c>
      <c r="AC3805" t="s">
        <v>3</v>
      </c>
      <c r="AD3805">
        <v>41.749581</v>
      </c>
      <c r="AE3805">
        <v>-88.188571</v>
      </c>
      <c r="AF3805" s="5" t="str">
        <f>HYPERLINK("https://www.google.com/maps/search/?api=1&amp;query=41.749581,-88.188571","map")</f>
        <v>map</v>
      </c>
    </row>
    <row r="3806" spans="1:32">
      <c r="A3806" t="s">
        <v>3856</v>
      </c>
      <c r="B3806" t="s">
        <v>11389</v>
      </c>
      <c r="C3806" t="s">
        <v>15475</v>
      </c>
      <c r="D3806" t="s">
        <v>16206</v>
      </c>
      <c r="E3806" t="s">
        <v>16218</v>
      </c>
      <c r="F3806" t="s">
        <v>16220</v>
      </c>
      <c r="G3806" t="s">
        <v>16275</v>
      </c>
      <c r="H3806" t="s">
        <v>16276</v>
      </c>
      <c r="I3806" t="s">
        <v>16352</v>
      </c>
      <c r="J3806" t="s">
        <v>16386</v>
      </c>
      <c r="K3806">
        <v>0.143</v>
      </c>
      <c r="L3806">
        <v>6223</v>
      </c>
      <c r="M3806">
        <v>2465</v>
      </c>
      <c r="N3806" t="s">
        <v>16393</v>
      </c>
      <c r="O3806" s="4">
        <v>49444</v>
      </c>
      <c r="P3806" s="4">
        <v>109968</v>
      </c>
      <c r="Q3806" s="4">
        <v>159412</v>
      </c>
      <c r="R3806" s="4">
        <v>478236</v>
      </c>
      <c r="S3806" t="s">
        <v>20118</v>
      </c>
      <c r="T3806" s="6">
        <v>35827</v>
      </c>
      <c r="U3806" s="4">
        <v>191000</v>
      </c>
      <c r="X3806" t="s">
        <v>3</v>
      </c>
      <c r="AA3806" s="5" t="str">
        <f>HYPERLINK("https://www.zillow.com/homes/2008-CROSSING-LN-NAPERVILLE-IL-60540_rb/","check listing")</f>
        <v>check listing</v>
      </c>
      <c r="AB3806" s="5" t="str">
        <f>HYPERLINK("https://propertylookup.dupagecounty.gov/Datalets/Datalet.aspx?UseSearch=no&amp;mode=sales&amp;pin=0727204012","sales record")</f>
        <v>sales record</v>
      </c>
      <c r="AC3806" t="s">
        <v>3</v>
      </c>
      <c r="AD3806">
        <v>41.749827</v>
      </c>
      <c r="AE3806">
        <v>-88.187425</v>
      </c>
      <c r="AF3806" s="5" t="str">
        <f>HYPERLINK("https://www.google.com/maps/search/?api=1&amp;query=41.749827,-88.187425","map")</f>
        <v>map</v>
      </c>
    </row>
    <row r="3807" spans="1:32">
      <c r="A3807" t="s">
        <v>3857</v>
      </c>
      <c r="B3807" t="s">
        <v>11390</v>
      </c>
      <c r="C3807" t="s">
        <v>15613</v>
      </c>
      <c r="D3807" t="s">
        <v>16206</v>
      </c>
      <c r="E3807" t="s">
        <v>16218</v>
      </c>
      <c r="F3807" t="s">
        <v>16220</v>
      </c>
      <c r="G3807" t="s">
        <v>16275</v>
      </c>
      <c r="H3807" t="s">
        <v>16276</v>
      </c>
      <c r="I3807" t="s">
        <v>16352</v>
      </c>
      <c r="J3807" t="s">
        <v>16386</v>
      </c>
      <c r="K3807">
        <v>0.143</v>
      </c>
      <c r="L3807">
        <v>6223</v>
      </c>
      <c r="M3807">
        <v>1978</v>
      </c>
      <c r="N3807" t="s">
        <v>16393</v>
      </c>
      <c r="O3807" s="4">
        <v>51103</v>
      </c>
      <c r="P3807" s="4">
        <v>113337</v>
      </c>
      <c r="Q3807" s="4">
        <v>164440</v>
      </c>
      <c r="R3807" s="4">
        <v>493320</v>
      </c>
      <c r="S3807" t="s">
        <v>20119</v>
      </c>
      <c r="T3807" s="6">
        <v>44409</v>
      </c>
      <c r="U3807" s="4">
        <v>392000</v>
      </c>
      <c r="V3807" t="s">
        <v>23739</v>
      </c>
      <c r="W3807" t="s">
        <v>25670</v>
      </c>
      <c r="X3807" t="s">
        <v>3</v>
      </c>
      <c r="AA3807" s="5" t="str">
        <f>HYPERLINK("https://www.zillow.com/homes/2203-PERIWINKLE-LN-NAPERVILLE-IL-605409222_rb/","check listing")</f>
        <v>check listing</v>
      </c>
      <c r="AB3807" s="5" t="str">
        <f>HYPERLINK("https://propertylookup.dupagecounty.gov/Datalets/Datalet.aspx?UseSearch=no&amp;mode=sales&amp;pin=0722409032","sales record")</f>
        <v>sales record</v>
      </c>
      <c r="AC3807" t="s">
        <v>3</v>
      </c>
      <c r="AD3807">
        <v>41.760009</v>
      </c>
      <c r="AE3807">
        <v>-88.191304</v>
      </c>
      <c r="AF3807" s="5" t="str">
        <f>HYPERLINK("https://www.google.com/maps/search/?api=1&amp;query=41.760009,-88.191304","map")</f>
        <v>map</v>
      </c>
    </row>
    <row r="3808" spans="1:32">
      <c r="A3808" t="s">
        <v>3858</v>
      </c>
      <c r="B3808" t="s">
        <v>11391</v>
      </c>
      <c r="C3808" t="s">
        <v>15614</v>
      </c>
      <c r="D3808" t="s">
        <v>16206</v>
      </c>
      <c r="E3808" t="s">
        <v>16218</v>
      </c>
      <c r="F3808" t="s">
        <v>16220</v>
      </c>
      <c r="G3808" t="s">
        <v>16275</v>
      </c>
      <c r="H3808" t="s">
        <v>16276</v>
      </c>
      <c r="I3808" t="s">
        <v>16352</v>
      </c>
      <c r="J3808" t="s">
        <v>16386</v>
      </c>
      <c r="K3808">
        <v>0.143</v>
      </c>
      <c r="L3808">
        <v>6220</v>
      </c>
      <c r="M3808">
        <v>1935</v>
      </c>
      <c r="N3808" t="s">
        <v>16393</v>
      </c>
      <c r="O3808" s="4">
        <v>51103</v>
      </c>
      <c r="P3808" s="4">
        <v>103036</v>
      </c>
      <c r="Q3808" s="4">
        <v>154139</v>
      </c>
      <c r="R3808" s="4">
        <v>462417</v>
      </c>
      <c r="S3808" t="s">
        <v>20120</v>
      </c>
      <c r="T3808" s="6">
        <v>42705</v>
      </c>
      <c r="U3808" s="4">
        <v>310000</v>
      </c>
      <c r="V3808" t="s">
        <v>23739</v>
      </c>
      <c r="W3808" t="s">
        <v>25671</v>
      </c>
      <c r="X3808" t="s">
        <v>3</v>
      </c>
      <c r="AA3808" s="5" t="str">
        <f>HYPERLINK("https://www.zillow.com/homes/804-VIOLET-CIR-NAPERVILLE-IL-605409230_rb/","check listing")</f>
        <v>check listing</v>
      </c>
      <c r="AB3808" s="5" t="str">
        <f>HYPERLINK("https://propertylookup.dupagecounty.gov/Datalets/Datalet.aspx?UseSearch=no&amp;mode=sales&amp;pin=0722410025","sales record")</f>
        <v>sales record</v>
      </c>
      <c r="AC3808" t="s">
        <v>3</v>
      </c>
      <c r="AD3808">
        <v>41.759309</v>
      </c>
      <c r="AE3808">
        <v>-88.190195</v>
      </c>
      <c r="AF3808" s="5" t="str">
        <f>HYPERLINK("https://www.google.com/maps/search/?api=1&amp;query=41.759309,-88.190195","map")</f>
        <v>map</v>
      </c>
    </row>
    <row r="3809" spans="1:32">
      <c r="A3809" t="s">
        <v>3859</v>
      </c>
      <c r="B3809" t="s">
        <v>11392</v>
      </c>
      <c r="C3809" t="s">
        <v>15475</v>
      </c>
      <c r="D3809" t="s">
        <v>16206</v>
      </c>
      <c r="E3809" t="s">
        <v>16218</v>
      </c>
      <c r="F3809" t="s">
        <v>16220</v>
      </c>
      <c r="G3809" t="s">
        <v>16275</v>
      </c>
      <c r="H3809" t="s">
        <v>16276</v>
      </c>
      <c r="I3809" t="s">
        <v>16352</v>
      </c>
      <c r="J3809" t="s">
        <v>16386</v>
      </c>
      <c r="K3809">
        <v>0.143</v>
      </c>
      <c r="L3809">
        <v>6216</v>
      </c>
      <c r="M3809">
        <v>2473</v>
      </c>
      <c r="N3809" t="s">
        <v>16393</v>
      </c>
      <c r="O3809" s="4">
        <v>55058</v>
      </c>
      <c r="P3809" s="4">
        <v>146657</v>
      </c>
      <c r="Q3809" s="4">
        <v>201715</v>
      </c>
      <c r="R3809" s="4">
        <v>605145</v>
      </c>
      <c r="S3809" t="s">
        <v>20121</v>
      </c>
      <c r="T3809" s="6">
        <v>38504</v>
      </c>
      <c r="U3809" s="4">
        <v>365000</v>
      </c>
      <c r="V3809" t="s">
        <v>23739</v>
      </c>
      <c r="W3809" t="s">
        <v>25672</v>
      </c>
      <c r="X3809" t="s">
        <v>3</v>
      </c>
      <c r="AA3809" s="5" t="str">
        <f>HYPERLINK("https://www.zillow.com/homes/2127-FELDOTT-LN-NAPERVILLE-IL-60540_rb/","check listing")</f>
        <v>check listing</v>
      </c>
      <c r="AB3809" s="5" t="str">
        <f>HYPERLINK("https://propertylookup.dupagecounty.gov/Datalets/Datalet.aspx?UseSearch=no&amp;mode=sales&amp;pin=0722404042","sales record")</f>
        <v>sales record</v>
      </c>
      <c r="AC3809" t="s">
        <v>3</v>
      </c>
      <c r="AD3809">
        <v>41.762058</v>
      </c>
      <c r="AE3809">
        <v>-88.190358</v>
      </c>
      <c r="AF3809" s="5" t="str">
        <f>HYPERLINK("https://www.google.com/maps/search/?api=1&amp;query=41.762058,-88.190358","map")</f>
        <v>map</v>
      </c>
    </row>
    <row r="3810" spans="1:32">
      <c r="A3810" t="s">
        <v>3860</v>
      </c>
      <c r="B3810" t="s">
        <v>11393</v>
      </c>
      <c r="C3810" t="s">
        <v>15475</v>
      </c>
      <c r="D3810" t="s">
        <v>16206</v>
      </c>
      <c r="E3810" t="s">
        <v>16218</v>
      </c>
      <c r="F3810" t="s">
        <v>16220</v>
      </c>
      <c r="G3810" t="s">
        <v>16275</v>
      </c>
      <c r="H3810" t="s">
        <v>16276</v>
      </c>
      <c r="I3810" t="s">
        <v>16352</v>
      </c>
      <c r="J3810" t="s">
        <v>16386</v>
      </c>
      <c r="K3810">
        <v>0.143</v>
      </c>
      <c r="L3810">
        <v>6210</v>
      </c>
      <c r="M3810">
        <v>1648</v>
      </c>
      <c r="N3810" t="s">
        <v>16393</v>
      </c>
      <c r="O3810" s="4">
        <v>51103</v>
      </c>
      <c r="P3810" s="4">
        <v>103464</v>
      </c>
      <c r="Q3810" s="4">
        <v>154567</v>
      </c>
      <c r="R3810" s="4">
        <v>463701</v>
      </c>
      <c r="S3810" t="s">
        <v>20122</v>
      </c>
      <c r="T3810" s="6">
        <v>38749</v>
      </c>
      <c r="U3810" s="4">
        <v>277000</v>
      </c>
      <c r="V3810" t="s">
        <v>23739</v>
      </c>
      <c r="W3810" t="s">
        <v>25673</v>
      </c>
      <c r="X3810" t="s">
        <v>3</v>
      </c>
      <c r="AA3810" s="5" t="str">
        <f>HYPERLINK("https://www.zillow.com/homes/712-WILDFLOWER-CIR-NAPERVILLE-IL-60540_rb/","check listing")</f>
        <v>check listing</v>
      </c>
      <c r="AB3810" s="5" t="str">
        <f>HYPERLINK("https://propertylookup.dupagecounty.gov/Datalets/Datalet.aspx?UseSearch=no&amp;mode=sales&amp;pin=0722406017","sales record")</f>
        <v>sales record</v>
      </c>
      <c r="AC3810" t="s">
        <v>3</v>
      </c>
      <c r="AD3810">
        <v>41.758671</v>
      </c>
      <c r="AE3810">
        <v>-88.19397600000001</v>
      </c>
      <c r="AF3810" s="5" t="str">
        <f>HYPERLINK("https://www.google.com/maps/search/?api=1&amp;query=41.758671,-88.193976","map")</f>
        <v>map</v>
      </c>
    </row>
    <row r="3811" spans="1:32">
      <c r="A3811" t="s">
        <v>3861</v>
      </c>
      <c r="B3811" t="s">
        <v>11394</v>
      </c>
      <c r="C3811" t="s">
        <v>15590</v>
      </c>
      <c r="D3811" t="s">
        <v>16206</v>
      </c>
      <c r="E3811" t="s">
        <v>16218</v>
      </c>
      <c r="F3811" t="s">
        <v>16220</v>
      </c>
      <c r="G3811" t="s">
        <v>16275</v>
      </c>
      <c r="H3811" t="s">
        <v>16276</v>
      </c>
      <c r="I3811" t="s">
        <v>16352</v>
      </c>
      <c r="J3811" t="s">
        <v>16386</v>
      </c>
      <c r="K3811">
        <v>0.143</v>
      </c>
      <c r="L3811">
        <v>6210</v>
      </c>
      <c r="M3811">
        <v>1975</v>
      </c>
      <c r="N3811" t="s">
        <v>16393</v>
      </c>
      <c r="O3811" s="4">
        <v>51103</v>
      </c>
      <c r="P3811" s="4">
        <v>113032</v>
      </c>
      <c r="Q3811" s="4">
        <v>164135</v>
      </c>
      <c r="R3811" s="4">
        <v>492405</v>
      </c>
      <c r="S3811" t="s">
        <v>20123</v>
      </c>
      <c r="T3811" s="6">
        <v>35916</v>
      </c>
      <c r="U3811" s="4">
        <v>193000</v>
      </c>
      <c r="X3811" t="s">
        <v>3</v>
      </c>
      <c r="AA3811" s="5" t="str">
        <f>HYPERLINK("https://www.zillow.com/homes/708-WILDFLOWER-CIR-NAPERVILLE-IL-605406222_rb/","check listing")</f>
        <v>check listing</v>
      </c>
      <c r="AB3811" s="5" t="str">
        <f>HYPERLINK("https://propertylookup.dupagecounty.gov/Datalets/Datalet.aspx?UseSearch=no&amp;mode=sales&amp;pin=0722406018","sales record")</f>
        <v>sales record</v>
      </c>
      <c r="AC3811" t="s">
        <v>3</v>
      </c>
      <c r="AD3811">
        <v>41.758803</v>
      </c>
      <c r="AE3811">
        <v>-88.194029</v>
      </c>
      <c r="AF3811" s="5" t="str">
        <f>HYPERLINK("https://www.google.com/maps/search/?api=1&amp;query=41.758803,-88.194029","map")</f>
        <v>map</v>
      </c>
    </row>
    <row r="3812" spans="1:32">
      <c r="A3812" t="s">
        <v>3862</v>
      </c>
      <c r="B3812" t="s">
        <v>11395</v>
      </c>
      <c r="C3812" t="s">
        <v>15583</v>
      </c>
      <c r="D3812" t="s">
        <v>16206</v>
      </c>
      <c r="E3812" t="s">
        <v>16218</v>
      </c>
      <c r="F3812" t="s">
        <v>16220</v>
      </c>
      <c r="G3812" t="s">
        <v>16275</v>
      </c>
      <c r="H3812" t="s">
        <v>16276</v>
      </c>
      <c r="I3812" t="s">
        <v>16352</v>
      </c>
      <c r="J3812" t="s">
        <v>16386</v>
      </c>
      <c r="K3812">
        <v>0.142</v>
      </c>
      <c r="L3812">
        <v>6198</v>
      </c>
      <c r="M3812">
        <v>2297</v>
      </c>
      <c r="N3812" t="s">
        <v>16393</v>
      </c>
      <c r="O3812" s="4">
        <v>55058</v>
      </c>
      <c r="P3812" s="4">
        <v>137919</v>
      </c>
      <c r="Q3812" s="4">
        <v>192977</v>
      </c>
      <c r="R3812" s="4">
        <v>578931</v>
      </c>
      <c r="S3812" t="s">
        <v>20124</v>
      </c>
      <c r="T3812" s="6">
        <v>40026</v>
      </c>
      <c r="U3812" s="4">
        <v>335000</v>
      </c>
      <c r="V3812" t="s">
        <v>23739</v>
      </c>
      <c r="W3812" t="s">
        <v>25674</v>
      </c>
      <c r="X3812" t="s">
        <v>3</v>
      </c>
      <c r="AA3812" s="5" t="str">
        <f>HYPERLINK("https://www.zillow.com/homes/2139-FELDOTT-LN-NAPERVILLE-IL-605409212_rb/","check listing")</f>
        <v>check listing</v>
      </c>
      <c r="AB3812" s="5" t="str">
        <f>HYPERLINK("https://propertylookup.dupagecounty.gov/Datalets/Datalet.aspx?UseSearch=no&amp;mode=sales&amp;pin=0722404039","sales record")</f>
        <v>sales record</v>
      </c>
      <c r="AC3812" t="s">
        <v>3</v>
      </c>
      <c r="AD3812">
        <v>41.761848</v>
      </c>
      <c r="AE3812">
        <v>-88.190949</v>
      </c>
      <c r="AF3812" s="5" t="str">
        <f>HYPERLINK("https://www.google.com/maps/search/?api=1&amp;query=41.761848,-88.190949","map")</f>
        <v>map</v>
      </c>
    </row>
    <row r="3813" spans="1:32">
      <c r="A3813" t="s">
        <v>3863</v>
      </c>
      <c r="B3813" t="s">
        <v>11396</v>
      </c>
      <c r="C3813" t="s">
        <v>15556</v>
      </c>
      <c r="D3813" t="s">
        <v>16206</v>
      </c>
      <c r="E3813" t="s">
        <v>16218</v>
      </c>
      <c r="F3813" t="s">
        <v>16220</v>
      </c>
      <c r="G3813" t="s">
        <v>16269</v>
      </c>
      <c r="H3813" t="s">
        <v>16269</v>
      </c>
      <c r="I3813" t="s">
        <v>16352</v>
      </c>
      <c r="J3813" t="s">
        <v>16386</v>
      </c>
      <c r="K3813">
        <v>0.142</v>
      </c>
      <c r="L3813">
        <v>6195</v>
      </c>
      <c r="M3813">
        <v>1568</v>
      </c>
      <c r="N3813" t="s">
        <v>16393</v>
      </c>
      <c r="O3813" s="4">
        <v>71707</v>
      </c>
      <c r="P3813" s="4">
        <v>89472</v>
      </c>
      <c r="Q3813" s="4">
        <v>161179</v>
      </c>
      <c r="R3813" s="4">
        <v>483537</v>
      </c>
      <c r="S3813" t="s">
        <v>20125</v>
      </c>
      <c r="T3813" s="6">
        <v>44256</v>
      </c>
      <c r="U3813" s="4">
        <v>360000</v>
      </c>
      <c r="V3813" t="s">
        <v>23739</v>
      </c>
      <c r="W3813" t="s">
        <v>20125</v>
      </c>
      <c r="X3813" t="s">
        <v>3</v>
      </c>
      <c r="AA3813" s="5" t="str">
        <f>HYPERLINK("https://www.zillow.com/homes/1748-COACH-DR-NAPERVILLE-IL-605652414_rb/","check listing")</f>
        <v>check listing</v>
      </c>
      <c r="AB3813" s="5" t="str">
        <f>HYPERLINK("https://propertylookup.dupagecounty.gov/Datalets/Datalet.aspx?UseSearch=no&amp;mode=sales&amp;pin=0832114054","sales record")</f>
        <v>sales record</v>
      </c>
      <c r="AC3813" t="s">
        <v>3</v>
      </c>
      <c r="AD3813">
        <v>41.735447</v>
      </c>
      <c r="AE3813">
        <v>-88.122733</v>
      </c>
      <c r="AF3813" s="5" t="str">
        <f>HYPERLINK("https://www.google.com/maps/search/?api=1&amp;query=41.735447,-88.122733","map")</f>
        <v>map</v>
      </c>
    </row>
    <row r="3814" spans="1:32">
      <c r="A3814" t="s">
        <v>3864</v>
      </c>
      <c r="B3814" t="s">
        <v>11397</v>
      </c>
      <c r="C3814" t="s">
        <v>15476</v>
      </c>
      <c r="D3814" t="s">
        <v>16206</v>
      </c>
      <c r="E3814" t="s">
        <v>16218</v>
      </c>
      <c r="F3814" t="s">
        <v>16220</v>
      </c>
      <c r="G3814" t="s">
        <v>16269</v>
      </c>
      <c r="H3814" t="s">
        <v>16269</v>
      </c>
      <c r="I3814" t="s">
        <v>16352</v>
      </c>
      <c r="J3814" t="s">
        <v>16386</v>
      </c>
      <c r="K3814">
        <v>0.142</v>
      </c>
      <c r="L3814">
        <v>6195</v>
      </c>
      <c r="M3814">
        <v>1980</v>
      </c>
      <c r="N3814" t="s">
        <v>16393</v>
      </c>
      <c r="O3814" s="4">
        <v>71707</v>
      </c>
      <c r="P3814" s="4">
        <v>74822</v>
      </c>
      <c r="Q3814" s="4">
        <v>146529</v>
      </c>
      <c r="R3814" s="4">
        <v>439587</v>
      </c>
      <c r="S3814" t="s">
        <v>20126</v>
      </c>
      <c r="T3814" s="6">
        <v>37773</v>
      </c>
      <c r="U3814" s="4">
        <v>232500</v>
      </c>
      <c r="V3814" t="s">
        <v>23740</v>
      </c>
      <c r="W3814" t="s">
        <v>25675</v>
      </c>
      <c r="X3814" t="s">
        <v>3</v>
      </c>
      <c r="AA3814" s="5" t="str">
        <f>HYPERLINK("https://www.zillow.com/homes/1764-COACH-DR-NAPERVILLE-IL-60565_rb/","check listing")</f>
        <v>check listing</v>
      </c>
      <c r="AB3814" s="5" t="str">
        <f>HYPERLINK("https://propertylookup.dupagecounty.gov/Datalets/Datalet.aspx?UseSearch=no&amp;mode=sales&amp;pin=0832114058","sales record")</f>
        <v>sales record</v>
      </c>
      <c r="AC3814" t="s">
        <v>3</v>
      </c>
      <c r="AD3814">
        <v>41.734799</v>
      </c>
      <c r="AE3814">
        <v>-88.12274600000001</v>
      </c>
      <c r="AF3814" s="5" t="str">
        <f>HYPERLINK("https://www.google.com/maps/search/?api=1&amp;query=41.734799,-88.122746","map")</f>
        <v>map</v>
      </c>
    </row>
    <row r="3815" spans="1:32">
      <c r="A3815" t="s">
        <v>3865</v>
      </c>
      <c r="B3815" t="s">
        <v>11398</v>
      </c>
      <c r="C3815" t="s">
        <v>15476</v>
      </c>
      <c r="D3815" t="s">
        <v>16206</v>
      </c>
      <c r="E3815" t="s">
        <v>16218</v>
      </c>
      <c r="F3815" t="s">
        <v>16220</v>
      </c>
      <c r="G3815" t="s">
        <v>16269</v>
      </c>
      <c r="H3815" t="s">
        <v>16269</v>
      </c>
      <c r="I3815" t="s">
        <v>16352</v>
      </c>
      <c r="J3815" t="s">
        <v>16386</v>
      </c>
      <c r="K3815">
        <v>0.142</v>
      </c>
      <c r="L3815">
        <v>6195</v>
      </c>
      <c r="M3815">
        <v>2258</v>
      </c>
      <c r="N3815" t="s">
        <v>16393</v>
      </c>
      <c r="O3815" s="4">
        <v>71707</v>
      </c>
      <c r="P3815" s="4">
        <v>120332</v>
      </c>
      <c r="Q3815" s="4">
        <v>192039</v>
      </c>
      <c r="R3815" s="4">
        <v>576117</v>
      </c>
      <c r="S3815" t="s">
        <v>20127</v>
      </c>
      <c r="T3815" s="6">
        <v>38200</v>
      </c>
      <c r="U3815" s="4">
        <v>335000</v>
      </c>
      <c r="V3815" t="s">
        <v>23739</v>
      </c>
      <c r="W3815" t="s">
        <v>20127</v>
      </c>
      <c r="X3815" t="s">
        <v>3</v>
      </c>
      <c r="AA3815" s="5" t="str">
        <f>HYPERLINK("https://www.zillow.com/homes/1735-CHALMETTE-CT-NAPERVILLE-IL-60565_rb/","check listing")</f>
        <v>check listing</v>
      </c>
      <c r="AB3815" s="5" t="str">
        <f>HYPERLINK("https://propertylookup.dupagecounty.gov/Datalets/Datalet.aspx?UseSearch=no&amp;mode=sales&amp;pin=0832114061","sales record")</f>
        <v>sales record</v>
      </c>
      <c r="AC3815" t="s">
        <v>3</v>
      </c>
      <c r="AD3815">
        <v>41.734795</v>
      </c>
      <c r="AE3815">
        <v>-88.122361</v>
      </c>
      <c r="AF3815" s="5" t="str">
        <f>HYPERLINK("https://www.google.com/maps/search/?api=1&amp;query=41.734795,-88.122361","map")</f>
        <v>map</v>
      </c>
    </row>
    <row r="3816" spans="1:32">
      <c r="A3816" t="s">
        <v>3866</v>
      </c>
      <c r="B3816" t="s">
        <v>11399</v>
      </c>
      <c r="C3816" t="s">
        <v>15507</v>
      </c>
      <c r="D3816" t="s">
        <v>16206</v>
      </c>
      <c r="E3816" t="s">
        <v>16218</v>
      </c>
      <c r="F3816" t="s">
        <v>16220</v>
      </c>
      <c r="G3816" t="s">
        <v>16269</v>
      </c>
      <c r="H3816" t="s">
        <v>16269</v>
      </c>
      <c r="I3816" t="s">
        <v>16352</v>
      </c>
      <c r="J3816" t="s">
        <v>16386</v>
      </c>
      <c r="K3816">
        <v>0.142</v>
      </c>
      <c r="L3816">
        <v>6195</v>
      </c>
      <c r="M3816">
        <v>2099</v>
      </c>
      <c r="N3816" t="s">
        <v>16393</v>
      </c>
      <c r="O3816" s="4">
        <v>71707</v>
      </c>
      <c r="P3816" s="4">
        <v>118857</v>
      </c>
      <c r="Q3816" s="4">
        <v>190564</v>
      </c>
      <c r="R3816" s="4">
        <v>571692</v>
      </c>
      <c r="S3816" t="s">
        <v>20128</v>
      </c>
      <c r="T3816" s="6">
        <v>45762</v>
      </c>
      <c r="U3816" s="4">
        <v>640000</v>
      </c>
      <c r="V3816" t="s">
        <v>23739</v>
      </c>
      <c r="W3816" t="s">
        <v>25676</v>
      </c>
      <c r="X3816" t="s">
        <v>3</v>
      </c>
      <c r="AA3816" s="5" t="str">
        <f>HYPERLINK("https://www.zillow.com/homes/1731-CHALMETTE-CT-NAPERVILLE-IL-605654403_rb/","check listing")</f>
        <v>check listing</v>
      </c>
      <c r="AB3816" s="5" t="str">
        <f>HYPERLINK("https://propertylookup.dupagecounty.gov/Datalets/Datalet.aspx?UseSearch=no&amp;mode=sales&amp;pin=0832114062","sales record")</f>
        <v>sales record</v>
      </c>
      <c r="AC3816" t="s">
        <v>3</v>
      </c>
      <c r="AD3816">
        <v>41.734957</v>
      </c>
      <c r="AE3816">
        <v>-88.12235800000001</v>
      </c>
      <c r="AF3816" s="5" t="str">
        <f>HYPERLINK("https://www.google.com/maps/search/?api=1&amp;query=41.734957,-88.122358","map")</f>
        <v>map</v>
      </c>
    </row>
    <row r="3817" spans="1:32">
      <c r="A3817" t="s">
        <v>3867</v>
      </c>
      <c r="B3817" t="s">
        <v>11400</v>
      </c>
      <c r="C3817" t="s">
        <v>15476</v>
      </c>
      <c r="D3817" t="s">
        <v>16206</v>
      </c>
      <c r="E3817" t="s">
        <v>16218</v>
      </c>
      <c r="F3817" t="s">
        <v>16220</v>
      </c>
      <c r="G3817" t="s">
        <v>16269</v>
      </c>
      <c r="H3817" t="s">
        <v>16269</v>
      </c>
      <c r="I3817" t="s">
        <v>16352</v>
      </c>
      <c r="J3817" t="s">
        <v>16386</v>
      </c>
      <c r="K3817">
        <v>0.142</v>
      </c>
      <c r="L3817">
        <v>6195</v>
      </c>
      <c r="M3817">
        <v>1981</v>
      </c>
      <c r="N3817" t="s">
        <v>16393</v>
      </c>
      <c r="O3817" s="4">
        <v>71707</v>
      </c>
      <c r="P3817" s="4">
        <v>106334</v>
      </c>
      <c r="Q3817" s="4">
        <v>178041</v>
      </c>
      <c r="R3817" s="4">
        <v>534123</v>
      </c>
      <c r="S3817" t="s">
        <v>20129</v>
      </c>
      <c r="T3817" s="6">
        <v>33451</v>
      </c>
      <c r="U3817" s="4">
        <v>171000</v>
      </c>
      <c r="X3817" t="s">
        <v>3</v>
      </c>
      <c r="AA3817" s="5" t="str">
        <f>HYPERLINK("https://www.zillow.com/homes/1760-COACH-DR-NAPERVILLE-IL-60565_rb/","check listing")</f>
        <v>check listing</v>
      </c>
      <c r="AB3817" s="5" t="str">
        <f>HYPERLINK("https://propertylookup.dupagecounty.gov/Datalets/Datalet.aspx?UseSearch=no&amp;mode=sales&amp;pin=0832114057","sales record")</f>
        <v>sales record</v>
      </c>
      <c r="AC3817" t="s">
        <v>3</v>
      </c>
      <c r="AD3817">
        <v>41.734961</v>
      </c>
      <c r="AE3817">
        <v>-88.122742</v>
      </c>
      <c r="AF3817" s="5" t="str">
        <f>HYPERLINK("https://www.google.com/maps/search/?api=1&amp;query=41.734961,-88.122742","map")</f>
        <v>map</v>
      </c>
    </row>
    <row r="3818" spans="1:32">
      <c r="A3818" t="s">
        <v>3868</v>
      </c>
      <c r="B3818" t="s">
        <v>11401</v>
      </c>
      <c r="C3818" t="s">
        <v>15476</v>
      </c>
      <c r="D3818" t="s">
        <v>16206</v>
      </c>
      <c r="E3818" t="s">
        <v>16218</v>
      </c>
      <c r="F3818" t="s">
        <v>16220</v>
      </c>
      <c r="G3818" t="s">
        <v>16269</v>
      </c>
      <c r="H3818" t="s">
        <v>16269</v>
      </c>
      <c r="I3818" t="s">
        <v>16352</v>
      </c>
      <c r="J3818" t="s">
        <v>16386</v>
      </c>
      <c r="K3818">
        <v>0.142</v>
      </c>
      <c r="L3818">
        <v>6195</v>
      </c>
      <c r="M3818">
        <v>1573</v>
      </c>
      <c r="N3818" t="s">
        <v>16393</v>
      </c>
      <c r="O3818" s="4">
        <v>71707</v>
      </c>
      <c r="P3818" s="4">
        <v>78901</v>
      </c>
      <c r="Q3818" s="4">
        <v>150608</v>
      </c>
      <c r="R3818" s="4">
        <v>451824</v>
      </c>
      <c r="S3818" t="s">
        <v>20130</v>
      </c>
      <c r="T3818" s="6">
        <v>37681</v>
      </c>
      <c r="U3818" s="4">
        <v>225000</v>
      </c>
      <c r="V3818" t="s">
        <v>23739</v>
      </c>
      <c r="W3818" t="s">
        <v>25677</v>
      </c>
      <c r="X3818" t="s">
        <v>3</v>
      </c>
      <c r="AA3818" s="5" t="str">
        <f>HYPERLINK("https://www.zillow.com/homes/1740-COACH-DR-NAPERVILLE-IL-60565_rb/","check listing")</f>
        <v>check listing</v>
      </c>
      <c r="AB3818" s="5" t="str">
        <f>HYPERLINK("https://propertylookup.dupagecounty.gov/Datalets/Datalet.aspx?UseSearch=no&amp;mode=sales&amp;pin=0832114052","sales record")</f>
        <v>sales record</v>
      </c>
      <c r="AC3818" t="s">
        <v>3</v>
      </c>
      <c r="AD3818">
        <v>41.735771</v>
      </c>
      <c r="AE3818">
        <v>-88.122726</v>
      </c>
      <c r="AF3818" s="5" t="str">
        <f>HYPERLINK("https://www.google.com/maps/search/?api=1&amp;query=41.735771,-88.122726","map")</f>
        <v>map</v>
      </c>
    </row>
    <row r="3819" spans="1:32">
      <c r="A3819" t="s">
        <v>3869</v>
      </c>
      <c r="B3819" t="s">
        <v>11402</v>
      </c>
      <c r="C3819" t="s">
        <v>15475</v>
      </c>
      <c r="D3819" t="s">
        <v>16206</v>
      </c>
      <c r="E3819" t="s">
        <v>16218</v>
      </c>
      <c r="F3819" t="s">
        <v>16220</v>
      </c>
      <c r="G3819" t="s">
        <v>16269</v>
      </c>
      <c r="H3819" t="s">
        <v>16269</v>
      </c>
      <c r="I3819" t="s">
        <v>16352</v>
      </c>
      <c r="J3819" t="s">
        <v>16386</v>
      </c>
      <c r="K3819">
        <v>0.142</v>
      </c>
      <c r="L3819">
        <v>6195</v>
      </c>
      <c r="M3819">
        <v>2091</v>
      </c>
      <c r="N3819" t="s">
        <v>16393</v>
      </c>
      <c r="O3819" s="4">
        <v>71707</v>
      </c>
      <c r="P3819" s="4">
        <v>127752</v>
      </c>
      <c r="Q3819" s="4">
        <v>199459</v>
      </c>
      <c r="R3819" s="4">
        <v>598377</v>
      </c>
      <c r="S3819" t="s">
        <v>20131</v>
      </c>
      <c r="T3819" s="6">
        <v>33756</v>
      </c>
      <c r="U3819" s="4">
        <v>192500</v>
      </c>
      <c r="X3819" t="s">
        <v>3</v>
      </c>
      <c r="AA3819" s="5" t="str">
        <f>HYPERLINK("https://www.zillow.com/homes/1723-CHALMETTE-CT-NAPERVILLE-IL-60540_rb/","check listing")</f>
        <v>check listing</v>
      </c>
      <c r="AB3819" s="5" t="str">
        <f>HYPERLINK("https://propertylookup.dupagecounty.gov/Datalets/Datalet.aspx?UseSearch=no&amp;mode=sales&amp;pin=0832114064","sales record")</f>
        <v>sales record</v>
      </c>
      <c r="AC3819" t="s">
        <v>3</v>
      </c>
      <c r="AD3819">
        <v>41.735281</v>
      </c>
      <c r="AE3819">
        <v>-88.12235099999999</v>
      </c>
      <c r="AF3819" s="5" t="str">
        <f>HYPERLINK("https://www.google.com/maps/search/?api=1&amp;query=41.735281,-88.122351","map")</f>
        <v>map</v>
      </c>
    </row>
    <row r="3820" spans="1:32">
      <c r="A3820" t="s">
        <v>3870</v>
      </c>
      <c r="B3820" t="s">
        <v>11403</v>
      </c>
      <c r="C3820" t="s">
        <v>15476</v>
      </c>
      <c r="D3820" t="s">
        <v>16206</v>
      </c>
      <c r="E3820" t="s">
        <v>16218</v>
      </c>
      <c r="F3820" t="s">
        <v>16220</v>
      </c>
      <c r="G3820" t="s">
        <v>16269</v>
      </c>
      <c r="H3820" t="s">
        <v>16269</v>
      </c>
      <c r="I3820" t="s">
        <v>16352</v>
      </c>
      <c r="J3820" t="s">
        <v>16386</v>
      </c>
      <c r="K3820">
        <v>0.142</v>
      </c>
      <c r="L3820">
        <v>6195</v>
      </c>
      <c r="M3820">
        <v>1650</v>
      </c>
      <c r="N3820" t="s">
        <v>16393</v>
      </c>
      <c r="O3820" s="4">
        <v>71707</v>
      </c>
      <c r="P3820" s="4">
        <v>105431</v>
      </c>
      <c r="Q3820" s="4">
        <v>177138</v>
      </c>
      <c r="R3820" s="4">
        <v>531414</v>
      </c>
      <c r="S3820" t="s">
        <v>20132</v>
      </c>
      <c r="T3820" s="6">
        <v>44593</v>
      </c>
      <c r="U3820" s="4">
        <v>412000</v>
      </c>
      <c r="V3820" t="s">
        <v>23739</v>
      </c>
      <c r="W3820" t="s">
        <v>25678</v>
      </c>
      <c r="X3820" t="s">
        <v>3</v>
      </c>
      <c r="AA3820" s="5" t="str">
        <f>HYPERLINK("https://www.zillow.com/homes/1752-COACH-DR-NAPERVILLE-IL-60565_rb/","check listing")</f>
        <v>check listing</v>
      </c>
      <c r="AB3820" s="5" t="str">
        <f>HYPERLINK("https://propertylookup.dupagecounty.gov/Datalets/Datalet.aspx?UseSearch=no&amp;mode=sales&amp;pin=0832114055","sales record")</f>
        <v>sales record</v>
      </c>
      <c r="AC3820" t="s">
        <v>3</v>
      </c>
      <c r="AD3820">
        <v>41.735285</v>
      </c>
      <c r="AE3820">
        <v>-88.122736</v>
      </c>
      <c r="AF3820" s="5" t="str">
        <f>HYPERLINK("https://www.google.com/maps/search/?api=1&amp;query=41.735285,-88.122736","map")</f>
        <v>map</v>
      </c>
    </row>
    <row r="3821" spans="1:32">
      <c r="A3821" t="s">
        <v>3871</v>
      </c>
      <c r="B3821" t="s">
        <v>11404</v>
      </c>
      <c r="C3821" t="s">
        <v>15556</v>
      </c>
      <c r="D3821" t="s">
        <v>16206</v>
      </c>
      <c r="E3821" t="s">
        <v>16218</v>
      </c>
      <c r="F3821" t="s">
        <v>16220</v>
      </c>
      <c r="G3821" t="s">
        <v>16269</v>
      </c>
      <c r="H3821" t="s">
        <v>16269</v>
      </c>
      <c r="I3821" t="s">
        <v>16352</v>
      </c>
      <c r="J3821" t="s">
        <v>16386</v>
      </c>
      <c r="K3821">
        <v>0.142</v>
      </c>
      <c r="L3821">
        <v>6195</v>
      </c>
      <c r="M3821">
        <v>1647</v>
      </c>
      <c r="N3821" t="s">
        <v>16393</v>
      </c>
      <c r="O3821" s="4">
        <v>71707</v>
      </c>
      <c r="P3821" s="4">
        <v>82124</v>
      </c>
      <c r="Q3821" s="4">
        <v>153831</v>
      </c>
      <c r="R3821" s="4">
        <v>461493</v>
      </c>
      <c r="S3821" t="s">
        <v>20133</v>
      </c>
      <c r="T3821" s="6">
        <v>44621</v>
      </c>
      <c r="U3821" s="4">
        <v>401000</v>
      </c>
      <c r="V3821" t="s">
        <v>23739</v>
      </c>
      <c r="W3821" t="s">
        <v>25679</v>
      </c>
      <c r="X3821" t="s">
        <v>3</v>
      </c>
      <c r="AA3821" s="5" t="str">
        <f>HYPERLINK("https://www.zillow.com/homes/1744-COACH-DR-NAPERVILLE-IL-605652414_rb/","check listing")</f>
        <v>check listing</v>
      </c>
      <c r="AB3821" s="5" t="str">
        <f>HYPERLINK("https://propertylookup.dupagecounty.gov/Datalets/Datalet.aspx?UseSearch=no&amp;mode=sales&amp;pin=0832114053","sales record")</f>
        <v>sales record</v>
      </c>
      <c r="AC3821" t="s">
        <v>3</v>
      </c>
      <c r="AD3821">
        <v>41.735609</v>
      </c>
      <c r="AE3821">
        <v>-88.12272900000001</v>
      </c>
      <c r="AF3821" s="5" t="str">
        <f>HYPERLINK("https://www.google.com/maps/search/?api=1&amp;query=41.735609,-88.122729","map")</f>
        <v>map</v>
      </c>
    </row>
    <row r="3822" spans="1:32">
      <c r="A3822" t="s">
        <v>3872</v>
      </c>
      <c r="B3822" t="s">
        <v>11405</v>
      </c>
      <c r="C3822" t="s">
        <v>15476</v>
      </c>
      <c r="D3822" t="s">
        <v>16206</v>
      </c>
      <c r="E3822" t="s">
        <v>16218</v>
      </c>
      <c r="F3822" t="s">
        <v>16220</v>
      </c>
      <c r="G3822" t="s">
        <v>16269</v>
      </c>
      <c r="H3822" t="s">
        <v>16269</v>
      </c>
      <c r="I3822" t="s">
        <v>16352</v>
      </c>
      <c r="J3822" t="s">
        <v>16386</v>
      </c>
      <c r="K3822">
        <v>0.142</v>
      </c>
      <c r="L3822">
        <v>6195</v>
      </c>
      <c r="M3822">
        <v>1576</v>
      </c>
      <c r="N3822" t="s">
        <v>16393</v>
      </c>
      <c r="O3822" s="4">
        <v>71707</v>
      </c>
      <c r="P3822" s="4">
        <v>84371</v>
      </c>
      <c r="Q3822" s="4">
        <v>156078</v>
      </c>
      <c r="R3822" s="4">
        <v>468234</v>
      </c>
      <c r="S3822" t="s">
        <v>20134</v>
      </c>
      <c r="T3822" s="6">
        <v>33451</v>
      </c>
      <c r="U3822" s="4">
        <v>155900</v>
      </c>
      <c r="X3822" t="s">
        <v>3</v>
      </c>
      <c r="AA3822" s="5" t="str">
        <f>HYPERLINK("https://www.zillow.com/homes/1727-CHALMETTE-CT-NAPERVILLE-IL-60565_rb/","check listing")</f>
        <v>check listing</v>
      </c>
      <c r="AB3822" s="5" t="str">
        <f>HYPERLINK("https://propertylookup.dupagecounty.gov/Datalets/Datalet.aspx?UseSearch=no&amp;mode=sales&amp;pin=0832114063","sales record")</f>
        <v>sales record</v>
      </c>
      <c r="AC3822" t="s">
        <v>3</v>
      </c>
      <c r="AD3822">
        <v>41.735119</v>
      </c>
      <c r="AE3822">
        <v>-88.122354</v>
      </c>
      <c r="AF3822" s="5" t="str">
        <f>HYPERLINK("https://www.google.com/maps/search/?api=1&amp;query=41.735119,-88.122354","map")</f>
        <v>map</v>
      </c>
    </row>
    <row r="3823" spans="1:32">
      <c r="A3823" t="s">
        <v>3873</v>
      </c>
      <c r="B3823" t="s">
        <v>11406</v>
      </c>
      <c r="C3823" t="s">
        <v>15476</v>
      </c>
      <c r="D3823" t="s">
        <v>16206</v>
      </c>
      <c r="E3823" t="s">
        <v>16218</v>
      </c>
      <c r="F3823" t="s">
        <v>16220</v>
      </c>
      <c r="G3823" t="s">
        <v>16269</v>
      </c>
      <c r="H3823" t="s">
        <v>16269</v>
      </c>
      <c r="I3823" t="s">
        <v>16352</v>
      </c>
      <c r="J3823" t="s">
        <v>16386</v>
      </c>
      <c r="K3823">
        <v>0.142</v>
      </c>
      <c r="L3823">
        <v>6193</v>
      </c>
      <c r="M3823">
        <v>1842</v>
      </c>
      <c r="N3823" t="s">
        <v>16393</v>
      </c>
      <c r="O3823" s="4">
        <v>71707</v>
      </c>
      <c r="P3823" s="4">
        <v>89164</v>
      </c>
      <c r="Q3823" s="4">
        <v>160871</v>
      </c>
      <c r="R3823" s="4">
        <v>482613</v>
      </c>
      <c r="S3823" t="s">
        <v>20135</v>
      </c>
      <c r="T3823" s="6">
        <v>36161</v>
      </c>
      <c r="U3823" s="4">
        <v>193000</v>
      </c>
      <c r="X3823" t="s">
        <v>3</v>
      </c>
      <c r="AA3823" s="5" t="str">
        <f>HYPERLINK("https://www.zillow.com/homes/1756-COACH-DR-NAPERVILLE-IL-60565_rb/","check listing")</f>
        <v>check listing</v>
      </c>
      <c r="AB3823" s="5" t="str">
        <f>HYPERLINK("https://propertylookup.dupagecounty.gov/Datalets/Datalet.aspx?UseSearch=no&amp;mode=sales&amp;pin=0832114056","sales record")</f>
        <v>sales record</v>
      </c>
      <c r="AC3823" t="s">
        <v>3</v>
      </c>
      <c r="AD3823">
        <v>41.735123</v>
      </c>
      <c r="AE3823">
        <v>-88.122739</v>
      </c>
      <c r="AF3823" s="5" t="str">
        <f>HYPERLINK("https://www.google.com/maps/search/?api=1&amp;query=41.735123,-88.122739","map")</f>
        <v>map</v>
      </c>
    </row>
    <row r="3824" spans="1:32">
      <c r="A3824" t="s">
        <v>3874</v>
      </c>
      <c r="B3824" t="s">
        <v>11407</v>
      </c>
      <c r="C3824" t="s">
        <v>15614</v>
      </c>
      <c r="D3824" t="s">
        <v>16206</v>
      </c>
      <c r="E3824" t="s">
        <v>16218</v>
      </c>
      <c r="F3824" t="s">
        <v>16220</v>
      </c>
      <c r="G3824" t="s">
        <v>16275</v>
      </c>
      <c r="H3824" t="s">
        <v>16276</v>
      </c>
      <c r="I3824" t="s">
        <v>16352</v>
      </c>
      <c r="J3824" t="s">
        <v>16386</v>
      </c>
      <c r="K3824">
        <v>0.142</v>
      </c>
      <c r="L3824">
        <v>6174</v>
      </c>
      <c r="M3824">
        <v>1806</v>
      </c>
      <c r="N3824" t="s">
        <v>16393</v>
      </c>
      <c r="O3824" s="4">
        <v>51103</v>
      </c>
      <c r="P3824" s="4">
        <v>89989</v>
      </c>
      <c r="Q3824" s="4">
        <v>141092</v>
      </c>
      <c r="R3824" s="4">
        <v>423276</v>
      </c>
      <c r="S3824" t="s">
        <v>20136</v>
      </c>
      <c r="T3824" s="6">
        <v>44348</v>
      </c>
      <c r="U3824" s="4">
        <v>329000</v>
      </c>
      <c r="V3824" t="s">
        <v>23739</v>
      </c>
      <c r="W3824" t="s">
        <v>25680</v>
      </c>
      <c r="X3824" t="s">
        <v>3</v>
      </c>
      <c r="AA3824" s="5" t="str">
        <f>HYPERLINK("https://www.zillow.com/homes/840-VIOLET-CIR-NAPERVILLE-IL-605409230_rb/","check listing")</f>
        <v>check listing</v>
      </c>
      <c r="AB3824" s="5" t="str">
        <f>HYPERLINK("https://propertylookup.dupagecounty.gov/Datalets/Datalet.aspx?UseSearch=no&amp;mode=sales&amp;pin=0722410032","sales record")</f>
        <v>sales record</v>
      </c>
      <c r="AC3824" t="s">
        <v>3</v>
      </c>
      <c r="AD3824">
        <v>41.75892</v>
      </c>
      <c r="AE3824">
        <v>-88.19149400000001</v>
      </c>
      <c r="AF3824" s="5" t="str">
        <f>HYPERLINK("https://www.google.com/maps/search/?api=1&amp;query=41.75892,-88.191494","map")</f>
        <v>map</v>
      </c>
    </row>
    <row r="3825" spans="1:32">
      <c r="A3825" t="s">
        <v>3875</v>
      </c>
      <c r="B3825" t="s">
        <v>11408</v>
      </c>
      <c r="C3825" t="s">
        <v>15475</v>
      </c>
      <c r="D3825" t="s">
        <v>16206</v>
      </c>
      <c r="E3825" t="s">
        <v>16218</v>
      </c>
      <c r="F3825" t="s">
        <v>16220</v>
      </c>
      <c r="G3825" t="s">
        <v>16275</v>
      </c>
      <c r="H3825" t="s">
        <v>16276</v>
      </c>
      <c r="I3825" t="s">
        <v>16352</v>
      </c>
      <c r="J3825" t="s">
        <v>16386</v>
      </c>
      <c r="K3825">
        <v>0.142</v>
      </c>
      <c r="L3825">
        <v>6171</v>
      </c>
      <c r="M3825">
        <v>1649</v>
      </c>
      <c r="N3825" t="s">
        <v>16393</v>
      </c>
      <c r="O3825" s="4">
        <v>51103</v>
      </c>
      <c r="P3825" s="4">
        <v>106453</v>
      </c>
      <c r="Q3825" s="4">
        <v>157556</v>
      </c>
      <c r="R3825" s="4">
        <v>472668</v>
      </c>
      <c r="S3825" t="s">
        <v>20137</v>
      </c>
      <c r="T3825" s="6">
        <v>34912</v>
      </c>
      <c r="U3825" s="4">
        <v>178620</v>
      </c>
      <c r="X3825" t="s">
        <v>3</v>
      </c>
      <c r="AA3825" s="5" t="str">
        <f>HYPERLINK("https://www.zillow.com/homes/2147-PERIWINKLE-LN-NAPERVILLE-IL-60540_rb/","check listing")</f>
        <v>check listing</v>
      </c>
      <c r="AB3825" s="5" t="str">
        <f>HYPERLINK("https://propertylookup.dupagecounty.gov/Datalets/Datalet.aspx?UseSearch=no&amp;mode=sales&amp;pin=0722409031","sales record")</f>
        <v>sales record</v>
      </c>
      <c r="AC3825" t="s">
        <v>3</v>
      </c>
      <c r="AD3825">
        <v>41.7601</v>
      </c>
      <c r="AE3825">
        <v>-88.19116099999999</v>
      </c>
      <c r="AF3825" s="5" t="str">
        <f>HYPERLINK("https://www.google.com/maps/search/?api=1&amp;query=41.7601,-88.191161","map")</f>
        <v>map</v>
      </c>
    </row>
    <row r="3826" spans="1:32">
      <c r="A3826" t="s">
        <v>3876</v>
      </c>
      <c r="B3826" t="s">
        <v>11409</v>
      </c>
      <c r="C3826" t="s">
        <v>15475</v>
      </c>
      <c r="D3826" t="s">
        <v>16206</v>
      </c>
      <c r="E3826" t="s">
        <v>16218</v>
      </c>
      <c r="F3826" t="s">
        <v>16220</v>
      </c>
      <c r="G3826" t="s">
        <v>16275</v>
      </c>
      <c r="H3826" t="s">
        <v>16276</v>
      </c>
      <c r="I3826" t="s">
        <v>16352</v>
      </c>
      <c r="J3826" t="s">
        <v>16386</v>
      </c>
      <c r="K3826">
        <v>0.142</v>
      </c>
      <c r="L3826">
        <v>6165</v>
      </c>
      <c r="M3826">
        <v>1913</v>
      </c>
      <c r="N3826" t="s">
        <v>16393</v>
      </c>
      <c r="O3826" s="4">
        <v>50993</v>
      </c>
      <c r="P3826" s="4">
        <v>125885</v>
      </c>
      <c r="Q3826" s="4">
        <v>176878</v>
      </c>
      <c r="R3826" s="4">
        <v>530634</v>
      </c>
      <c r="S3826" t="s">
        <v>20138</v>
      </c>
      <c r="T3826" s="6">
        <v>40269</v>
      </c>
      <c r="U3826" s="4">
        <v>337000</v>
      </c>
      <c r="V3826" t="s">
        <v>23739</v>
      </c>
      <c r="W3826" t="s">
        <v>25681</v>
      </c>
      <c r="X3826" t="s">
        <v>3</v>
      </c>
      <c r="AA3826" s="5" t="str">
        <f>HYPERLINK("https://www.zillow.com/homes/1115-MALLORY-CT-NAPERVILLE-IL-60540_rb/","check listing")</f>
        <v>check listing</v>
      </c>
      <c r="AB3826" s="5" t="str">
        <f>HYPERLINK("https://propertylookup.dupagecounty.gov/Datalets/Datalet.aspx?UseSearch=no&amp;mode=sales&amp;pin=0727206033","sales record")</f>
        <v>sales record</v>
      </c>
      <c r="AC3826" t="s">
        <v>3</v>
      </c>
      <c r="AD3826">
        <v>41.749644</v>
      </c>
      <c r="AE3826">
        <v>-88.19199999999999</v>
      </c>
      <c r="AF3826" s="5" t="str">
        <f>HYPERLINK("https://www.google.com/maps/search/?api=1&amp;query=41.749644,-88.192","map")</f>
        <v>map</v>
      </c>
    </row>
    <row r="3827" spans="1:32">
      <c r="A3827" t="s">
        <v>3877</v>
      </c>
      <c r="B3827" t="s">
        <v>11410</v>
      </c>
      <c r="C3827" t="s">
        <v>15475</v>
      </c>
      <c r="D3827" t="s">
        <v>16206</v>
      </c>
      <c r="E3827" t="s">
        <v>16218</v>
      </c>
      <c r="F3827" t="s">
        <v>16220</v>
      </c>
      <c r="G3827" t="s">
        <v>16275</v>
      </c>
      <c r="H3827" t="s">
        <v>16276</v>
      </c>
      <c r="I3827" t="s">
        <v>16352</v>
      </c>
      <c r="J3827" t="s">
        <v>16386</v>
      </c>
      <c r="K3827">
        <v>0.141</v>
      </c>
      <c r="L3827">
        <v>6157</v>
      </c>
      <c r="M3827">
        <v>1715</v>
      </c>
      <c r="N3827" t="s">
        <v>16393</v>
      </c>
      <c r="O3827" s="4">
        <v>51103</v>
      </c>
      <c r="P3827" s="4">
        <v>114265</v>
      </c>
      <c r="Q3827" s="4">
        <v>165368</v>
      </c>
      <c r="R3827" s="4">
        <v>496104</v>
      </c>
      <c r="S3827" t="s">
        <v>20139</v>
      </c>
      <c r="T3827" s="6">
        <v>38412</v>
      </c>
      <c r="U3827" s="4">
        <v>308000</v>
      </c>
      <c r="V3827" t="s">
        <v>23739</v>
      </c>
      <c r="W3827" t="s">
        <v>25682</v>
      </c>
      <c r="X3827" t="s">
        <v>3</v>
      </c>
      <c r="AA3827" s="5" t="str">
        <f>HYPERLINK("https://www.zillow.com/homes/740-WILDFLOWER-CIR-NAPERVILLE-IL-60540_rb/","check listing")</f>
        <v>check listing</v>
      </c>
      <c r="AB3827" s="5" t="str">
        <f>HYPERLINK("https://propertylookup.dupagecounty.gov/Datalets/Datalet.aspx?UseSearch=no&amp;mode=sales&amp;pin=0722406011","sales record")</f>
        <v>sales record</v>
      </c>
      <c r="AC3827" t="s">
        <v>3</v>
      </c>
      <c r="AD3827">
        <v>41.757947</v>
      </c>
      <c r="AE3827">
        <v>-88.19454399999999</v>
      </c>
      <c r="AF3827" s="5" t="str">
        <f>HYPERLINK("https://www.google.com/maps/search/?api=1&amp;query=41.757947,-88.194544","map")</f>
        <v>map</v>
      </c>
    </row>
    <row r="3828" spans="1:32">
      <c r="A3828" t="s">
        <v>3878</v>
      </c>
      <c r="B3828" t="s">
        <v>11411</v>
      </c>
      <c r="C3828" t="s">
        <v>15475</v>
      </c>
      <c r="D3828" t="s">
        <v>16206</v>
      </c>
      <c r="E3828" t="s">
        <v>16218</v>
      </c>
      <c r="F3828" t="s">
        <v>16220</v>
      </c>
      <c r="G3828" t="s">
        <v>16276</v>
      </c>
      <c r="H3828" t="s">
        <v>16276</v>
      </c>
      <c r="I3828" t="s">
        <v>16352</v>
      </c>
      <c r="J3828" t="s">
        <v>16386</v>
      </c>
      <c r="K3828">
        <v>0.141</v>
      </c>
      <c r="L3828">
        <v>6125</v>
      </c>
      <c r="M3828">
        <v>2164</v>
      </c>
      <c r="N3828" t="s">
        <v>16393</v>
      </c>
      <c r="O3828" s="4">
        <v>49444</v>
      </c>
      <c r="P3828" s="4">
        <v>131413</v>
      </c>
      <c r="Q3828" s="4">
        <v>180857</v>
      </c>
      <c r="R3828" s="4">
        <v>542571</v>
      </c>
      <c r="S3828" t="s">
        <v>20140</v>
      </c>
      <c r="T3828" s="6">
        <v>36161</v>
      </c>
      <c r="U3828" s="4">
        <v>226000</v>
      </c>
      <c r="X3828" t="s">
        <v>3</v>
      </c>
      <c r="AA3828" s="5" t="str">
        <f>HYPERLINK("https://www.zillow.com/homes/1075-SELMA-LN-NAPERVILLE-IL-60540_rb/","check listing")</f>
        <v>check listing</v>
      </c>
      <c r="AB3828" s="5" t="str">
        <f>HYPERLINK("https://propertylookup.dupagecounty.gov/Datalets/Datalet.aspx?UseSearch=no&amp;mode=sales&amp;pin=0727205034","sales record")</f>
        <v>sales record</v>
      </c>
      <c r="AC3828" t="s">
        <v>3</v>
      </c>
      <c r="AD3828">
        <v>41.751426</v>
      </c>
      <c r="AE3828">
        <v>-88.189961</v>
      </c>
      <c r="AF3828" s="5" t="str">
        <f>HYPERLINK("https://www.google.com/maps/search/?api=1&amp;query=41.751426,-88.189961","map")</f>
        <v>map</v>
      </c>
    </row>
    <row r="3829" spans="1:32">
      <c r="A3829" t="s">
        <v>3879</v>
      </c>
      <c r="B3829" t="s">
        <v>11412</v>
      </c>
      <c r="C3829" t="s">
        <v>15475</v>
      </c>
      <c r="D3829" t="s">
        <v>16206</v>
      </c>
      <c r="E3829" t="s">
        <v>16218</v>
      </c>
      <c r="F3829" t="s">
        <v>16220</v>
      </c>
      <c r="G3829" t="s">
        <v>16276</v>
      </c>
      <c r="H3829" t="s">
        <v>16276</v>
      </c>
      <c r="I3829" t="s">
        <v>16352</v>
      </c>
      <c r="J3829" t="s">
        <v>16386</v>
      </c>
      <c r="K3829">
        <v>0.14</v>
      </c>
      <c r="L3829">
        <v>6107</v>
      </c>
      <c r="M3829">
        <v>1979</v>
      </c>
      <c r="N3829" t="s">
        <v>16393</v>
      </c>
      <c r="O3829" s="4">
        <v>47905</v>
      </c>
      <c r="P3829" s="4">
        <v>80505</v>
      </c>
      <c r="Q3829" s="4">
        <v>128410</v>
      </c>
      <c r="R3829" s="4">
        <v>385230</v>
      </c>
      <c r="S3829" t="s">
        <v>20141</v>
      </c>
      <c r="T3829" s="6">
        <v>45838</v>
      </c>
      <c r="U3829" s="4">
        <v>425000</v>
      </c>
      <c r="V3829" t="s">
        <v>23739</v>
      </c>
      <c r="W3829" t="s">
        <v>25683</v>
      </c>
      <c r="X3829" t="s">
        <v>3</v>
      </c>
      <c r="AA3829" s="5" t="str">
        <f>HYPERLINK("https://www.zillow.com/homes/1068-SELMA-LN-NAPERVILLE-IL-60540_rb/","check listing")</f>
        <v>check listing</v>
      </c>
      <c r="AB3829" s="5" t="str">
        <f>HYPERLINK("https://propertylookup.dupagecounty.gov/Datalets/Datalet.aspx?UseSearch=no&amp;mode=sales&amp;pin=0727208023","sales record")</f>
        <v>sales record</v>
      </c>
      <c r="AC3829" t="s">
        <v>3</v>
      </c>
      <c r="AD3829">
        <v>41.751917</v>
      </c>
      <c r="AE3829">
        <v>-88.189358</v>
      </c>
      <c r="AF3829" s="5" t="str">
        <f>HYPERLINK("https://www.google.com/maps/search/?api=1&amp;query=41.751917,-88.189358","map")</f>
        <v>map</v>
      </c>
    </row>
    <row r="3830" spans="1:32">
      <c r="A3830" t="s">
        <v>3880</v>
      </c>
      <c r="B3830" t="s">
        <v>11413</v>
      </c>
      <c r="C3830" t="s">
        <v>15576</v>
      </c>
      <c r="D3830" t="s">
        <v>16206</v>
      </c>
      <c r="E3830" t="s">
        <v>16218</v>
      </c>
      <c r="F3830" t="s">
        <v>16220</v>
      </c>
      <c r="G3830" t="s">
        <v>16275</v>
      </c>
      <c r="H3830" t="s">
        <v>16276</v>
      </c>
      <c r="I3830" t="s">
        <v>16352</v>
      </c>
      <c r="J3830" t="s">
        <v>16386</v>
      </c>
      <c r="K3830">
        <v>0.14</v>
      </c>
      <c r="L3830">
        <v>6099</v>
      </c>
      <c r="M3830">
        <v>1649</v>
      </c>
      <c r="N3830" t="s">
        <v>16393</v>
      </c>
      <c r="O3830" s="4">
        <v>51103</v>
      </c>
      <c r="P3830" s="4">
        <v>103500</v>
      </c>
      <c r="Q3830" s="4">
        <v>154603</v>
      </c>
      <c r="R3830" s="4">
        <v>463809</v>
      </c>
      <c r="S3830" t="s">
        <v>20142</v>
      </c>
      <c r="T3830" s="6">
        <v>43800</v>
      </c>
      <c r="U3830" s="4">
        <v>320000</v>
      </c>
      <c r="V3830" t="s">
        <v>23739</v>
      </c>
      <c r="W3830" t="s">
        <v>25684</v>
      </c>
      <c r="X3830" t="s">
        <v>3</v>
      </c>
      <c r="AA3830" s="5" t="str">
        <f>HYPERLINK("https://www.zillow.com/homes/2135-PERIWINKLE-LN-NAPERVILLE-IL-605409221_rb/","check listing")</f>
        <v>check listing</v>
      </c>
      <c r="AB3830" s="5" t="str">
        <f>HYPERLINK("https://propertylookup.dupagecounty.gov/Datalets/Datalet.aspx?UseSearch=no&amp;mode=sales&amp;pin=0722409028","sales record")</f>
        <v>sales record</v>
      </c>
      <c r="AC3830" t="s">
        <v>3</v>
      </c>
      <c r="AD3830">
        <v>41.760544</v>
      </c>
      <c r="AE3830">
        <v>-88.190983</v>
      </c>
      <c r="AF3830" s="5" t="str">
        <f>HYPERLINK("https://www.google.com/maps/search/?api=1&amp;query=41.760544,-88.190983","map")</f>
        <v>map</v>
      </c>
    </row>
    <row r="3831" spans="1:32">
      <c r="A3831" t="s">
        <v>3881</v>
      </c>
      <c r="B3831" t="s">
        <v>11414</v>
      </c>
      <c r="C3831" t="s">
        <v>15478</v>
      </c>
      <c r="D3831" t="s">
        <v>16206</v>
      </c>
      <c r="E3831" t="s">
        <v>16218</v>
      </c>
      <c r="F3831" t="s">
        <v>16220</v>
      </c>
      <c r="G3831" t="s">
        <v>16274</v>
      </c>
      <c r="H3831" t="s">
        <v>16269</v>
      </c>
      <c r="I3831" t="s">
        <v>16352</v>
      </c>
      <c r="J3831" t="s">
        <v>16386</v>
      </c>
      <c r="K3831">
        <v>0.14</v>
      </c>
      <c r="L3831">
        <v>6092</v>
      </c>
      <c r="M3831">
        <v>2177</v>
      </c>
      <c r="N3831" t="s">
        <v>16393</v>
      </c>
      <c r="O3831" s="4">
        <v>48576</v>
      </c>
      <c r="P3831" s="4">
        <v>111213</v>
      </c>
      <c r="Q3831" s="4">
        <v>159789</v>
      </c>
      <c r="R3831" s="4">
        <v>479367</v>
      </c>
      <c r="S3831" t="s">
        <v>20143</v>
      </c>
      <c r="T3831" s="6">
        <v>35551</v>
      </c>
      <c r="U3831" s="4">
        <v>173000</v>
      </c>
      <c r="X3831" t="s">
        <v>3</v>
      </c>
      <c r="AA3831" s="5" t="str">
        <f>HYPERLINK("https://www.zillow.com/homes/705-STACIE-CT-NAPERVILLE-IL-60563_rb/","check listing")</f>
        <v>check listing</v>
      </c>
      <c r="AB3831" s="5" t="str">
        <f>HYPERLINK("https://propertylookup.dupagecounty.gov/Datalets/Datalet.aspx?UseSearch=no&amp;mode=sales&amp;pin=0715205011","sales record")</f>
        <v>sales record</v>
      </c>
      <c r="AC3831" t="s">
        <v>3</v>
      </c>
      <c r="AD3831">
        <v>41.781125</v>
      </c>
      <c r="AE3831">
        <v>-88.191087</v>
      </c>
      <c r="AF3831" s="5" t="str">
        <f>HYPERLINK("https://www.google.com/maps/search/?api=1&amp;query=41.781125,-88.191087","map")</f>
        <v>map</v>
      </c>
    </row>
    <row r="3832" spans="1:32">
      <c r="A3832" t="s">
        <v>3882</v>
      </c>
      <c r="B3832" t="s">
        <v>11415</v>
      </c>
      <c r="C3832" t="s">
        <v>15475</v>
      </c>
      <c r="D3832" t="s">
        <v>16206</v>
      </c>
      <c r="E3832" t="s">
        <v>16218</v>
      </c>
      <c r="F3832" t="s">
        <v>16220</v>
      </c>
      <c r="G3832" t="s">
        <v>16275</v>
      </c>
      <c r="H3832" t="s">
        <v>16276</v>
      </c>
      <c r="I3832" t="s">
        <v>16352</v>
      </c>
      <c r="J3832" t="s">
        <v>16386</v>
      </c>
      <c r="K3832">
        <v>0.14</v>
      </c>
      <c r="L3832">
        <v>6080</v>
      </c>
      <c r="M3832">
        <v>2748</v>
      </c>
      <c r="N3832" t="s">
        <v>16393</v>
      </c>
      <c r="O3832" s="4">
        <v>55058</v>
      </c>
      <c r="P3832" s="4">
        <v>130449</v>
      </c>
      <c r="Q3832" s="4">
        <v>185507</v>
      </c>
      <c r="R3832" s="4">
        <v>556521</v>
      </c>
      <c r="S3832" t="s">
        <v>20144</v>
      </c>
      <c r="T3832" s="6">
        <v>37834</v>
      </c>
      <c r="U3832" s="4">
        <v>299000</v>
      </c>
      <c r="V3832" t="s">
        <v>23739</v>
      </c>
      <c r="W3832" t="s">
        <v>25685</v>
      </c>
      <c r="X3832" t="s">
        <v>3</v>
      </c>
      <c r="AA3832" s="5" t="str">
        <f>HYPERLINK("https://www.zillow.com/homes/2135-FELDOTT-LN-NAPERVILLE-IL-60540_rb/","check listing")</f>
        <v>check listing</v>
      </c>
      <c r="AB3832" s="5" t="str">
        <f>HYPERLINK("https://propertylookup.dupagecounty.gov/Datalets/Datalet.aspx?UseSearch=no&amp;mode=sales&amp;pin=0722404040","sales record")</f>
        <v>sales record</v>
      </c>
      <c r="AC3832" t="s">
        <v>3</v>
      </c>
      <c r="AD3832">
        <v>41.761893</v>
      </c>
      <c r="AE3832">
        <v>-88.190736</v>
      </c>
      <c r="AF3832" s="5" t="str">
        <f>HYPERLINK("https://www.google.com/maps/search/?api=1&amp;query=41.761893,-88.190736","map")</f>
        <v>map</v>
      </c>
    </row>
    <row r="3833" spans="1:32">
      <c r="A3833" t="s">
        <v>3883</v>
      </c>
      <c r="B3833" t="s">
        <v>11416</v>
      </c>
      <c r="C3833" t="s">
        <v>15475</v>
      </c>
      <c r="D3833" t="s">
        <v>16206</v>
      </c>
      <c r="E3833" t="s">
        <v>16218</v>
      </c>
      <c r="F3833" t="s">
        <v>16220</v>
      </c>
      <c r="G3833" t="s">
        <v>16275</v>
      </c>
      <c r="H3833" t="s">
        <v>16276</v>
      </c>
      <c r="I3833" t="s">
        <v>16352</v>
      </c>
      <c r="J3833" t="s">
        <v>16386</v>
      </c>
      <c r="K3833">
        <v>0.14</v>
      </c>
      <c r="L3833">
        <v>6079</v>
      </c>
      <c r="M3833">
        <v>2072</v>
      </c>
      <c r="N3833" t="s">
        <v>16393</v>
      </c>
      <c r="O3833" s="4">
        <v>46367</v>
      </c>
      <c r="P3833" s="4">
        <v>94053</v>
      </c>
      <c r="Q3833" s="4">
        <v>140420</v>
      </c>
      <c r="R3833" s="4">
        <v>421260</v>
      </c>
      <c r="S3833" t="s">
        <v>20145</v>
      </c>
      <c r="T3833" s="6">
        <v>38930</v>
      </c>
      <c r="U3833" s="4">
        <v>278500</v>
      </c>
      <c r="V3833" t="s">
        <v>23739</v>
      </c>
      <c r="W3833" t="s">
        <v>20145</v>
      </c>
      <c r="X3833" t="s">
        <v>3</v>
      </c>
      <c r="AA3833" s="5" t="str">
        <f>HYPERLINK("https://www.zillow.com/homes/2019-THREE-FARMS-AVE-NAPERVILLE-IL-60540_rb/","check listing")</f>
        <v>check listing</v>
      </c>
      <c r="AB3833" s="5" t="str">
        <f>HYPERLINK("https://propertylookup.dupagecounty.gov/Datalets/Datalet.aspx?UseSearch=no&amp;mode=sales&amp;pin=0727204023","sales record")</f>
        <v>sales record</v>
      </c>
      <c r="AC3833" t="s">
        <v>3</v>
      </c>
      <c r="AD3833">
        <v>41.74938</v>
      </c>
      <c r="AE3833">
        <v>-88.18870099999999</v>
      </c>
      <c r="AF3833" s="5" t="str">
        <f>HYPERLINK("https://www.google.com/maps/search/?api=1&amp;query=41.74938,-88.188701","map")</f>
        <v>map</v>
      </c>
    </row>
    <row r="3834" spans="1:32">
      <c r="A3834" t="s">
        <v>3884</v>
      </c>
      <c r="B3834" t="s">
        <v>11417</v>
      </c>
      <c r="C3834" t="s">
        <v>15475</v>
      </c>
      <c r="D3834" t="s">
        <v>16206</v>
      </c>
      <c r="E3834" t="s">
        <v>16218</v>
      </c>
      <c r="F3834" t="s">
        <v>16220</v>
      </c>
      <c r="G3834" t="s">
        <v>16275</v>
      </c>
      <c r="H3834" t="s">
        <v>16276</v>
      </c>
      <c r="I3834" t="s">
        <v>16352</v>
      </c>
      <c r="J3834" t="s">
        <v>16386</v>
      </c>
      <c r="K3834">
        <v>0.14</v>
      </c>
      <c r="L3834">
        <v>6079</v>
      </c>
      <c r="M3834">
        <v>2512</v>
      </c>
      <c r="N3834" t="s">
        <v>16393</v>
      </c>
      <c r="O3834" s="4">
        <v>55058</v>
      </c>
      <c r="P3834" s="4">
        <v>141507</v>
      </c>
      <c r="Q3834" s="4">
        <v>196565</v>
      </c>
      <c r="R3834" s="4">
        <v>589695</v>
      </c>
      <c r="S3834" t="s">
        <v>20146</v>
      </c>
      <c r="T3834" s="6">
        <v>37530</v>
      </c>
      <c r="U3834" s="4">
        <v>310000</v>
      </c>
      <c r="V3834" t="s">
        <v>23739</v>
      </c>
      <c r="W3834" t="s">
        <v>25686</v>
      </c>
      <c r="X3834" t="s">
        <v>3</v>
      </c>
      <c r="AA3834" s="5" t="str">
        <f>HYPERLINK("https://www.zillow.com/homes/2131-FELDOTT-LN-NAPERVILLE-IL-60540_rb/","check listing")</f>
        <v>check listing</v>
      </c>
      <c r="AB3834" s="5" t="str">
        <f>HYPERLINK("https://propertylookup.dupagecounty.gov/Datalets/Datalet.aspx?UseSearch=no&amp;mode=sales&amp;pin=0722404041","sales record")</f>
        <v>sales record</v>
      </c>
      <c r="AC3834" t="s">
        <v>3</v>
      </c>
      <c r="AD3834">
        <v>41.761925</v>
      </c>
      <c r="AE3834">
        <v>-88.19052000000001</v>
      </c>
      <c r="AF3834" s="5" t="str">
        <f>HYPERLINK("https://www.google.com/maps/search/?api=1&amp;query=41.761925,-88.19052","map")</f>
        <v>map</v>
      </c>
    </row>
    <row r="3835" spans="1:32">
      <c r="A3835" t="s">
        <v>3885</v>
      </c>
      <c r="B3835" t="s">
        <v>11418</v>
      </c>
      <c r="C3835" t="s">
        <v>15613</v>
      </c>
      <c r="D3835" t="s">
        <v>16206</v>
      </c>
      <c r="E3835" t="s">
        <v>16218</v>
      </c>
      <c r="F3835" t="s">
        <v>16220</v>
      </c>
      <c r="G3835" t="s">
        <v>16275</v>
      </c>
      <c r="H3835" t="s">
        <v>16276</v>
      </c>
      <c r="I3835" t="s">
        <v>16352</v>
      </c>
      <c r="J3835" t="s">
        <v>16386</v>
      </c>
      <c r="K3835">
        <v>0.139</v>
      </c>
      <c r="L3835">
        <v>6074</v>
      </c>
      <c r="M3835">
        <v>1715</v>
      </c>
      <c r="N3835" t="s">
        <v>16393</v>
      </c>
      <c r="O3835" s="4">
        <v>51103</v>
      </c>
      <c r="P3835" s="4">
        <v>99411</v>
      </c>
      <c r="Q3835" s="4">
        <v>150514</v>
      </c>
      <c r="R3835" s="4">
        <v>451542</v>
      </c>
      <c r="S3835" t="s">
        <v>20147</v>
      </c>
      <c r="T3835" s="6">
        <v>35156</v>
      </c>
      <c r="U3835" s="4">
        <v>166000</v>
      </c>
      <c r="X3835" t="s">
        <v>3</v>
      </c>
      <c r="AA3835" s="5" t="str">
        <f>HYPERLINK("https://www.zillow.com/homes/2227-PERIWINKLE-LN-NAPERVILLE-IL-605409222_rb/","check listing")</f>
        <v>check listing</v>
      </c>
      <c r="AB3835" s="5" t="str">
        <f>HYPERLINK("https://propertylookup.dupagecounty.gov/Datalets/Datalet.aspx?UseSearch=no&amp;mode=sales&amp;pin=0722409038","sales record")</f>
        <v>sales record</v>
      </c>
      <c r="AC3835" t="s">
        <v>3</v>
      </c>
      <c r="AD3835">
        <v>41.759367</v>
      </c>
      <c r="AE3835">
        <v>-88.19213999999999</v>
      </c>
      <c r="AF3835" s="5" t="str">
        <f>HYPERLINK("https://www.google.com/maps/search/?api=1&amp;query=41.759367,-88.19214","map")</f>
        <v>map</v>
      </c>
    </row>
    <row r="3836" spans="1:32">
      <c r="A3836" t="s">
        <v>3886</v>
      </c>
      <c r="B3836" t="s">
        <v>11419</v>
      </c>
      <c r="C3836" t="s">
        <v>15475</v>
      </c>
      <c r="D3836" t="s">
        <v>16206</v>
      </c>
      <c r="E3836" t="s">
        <v>16218</v>
      </c>
      <c r="F3836" t="s">
        <v>16220</v>
      </c>
      <c r="G3836" t="s">
        <v>16276</v>
      </c>
      <c r="H3836" t="s">
        <v>16276</v>
      </c>
      <c r="I3836" t="s">
        <v>16352</v>
      </c>
      <c r="J3836" t="s">
        <v>16386</v>
      </c>
      <c r="K3836">
        <v>0.139</v>
      </c>
      <c r="L3836">
        <v>6065</v>
      </c>
      <c r="M3836">
        <v>1980</v>
      </c>
      <c r="N3836" t="s">
        <v>16393</v>
      </c>
      <c r="O3836" s="4">
        <v>49444</v>
      </c>
      <c r="P3836" s="4">
        <v>100742</v>
      </c>
      <c r="Q3836" s="4">
        <v>150186</v>
      </c>
      <c r="R3836" s="4">
        <v>450558</v>
      </c>
      <c r="S3836" t="s">
        <v>20148</v>
      </c>
      <c r="T3836" s="6">
        <v>40210</v>
      </c>
      <c r="U3836" s="4">
        <v>291000</v>
      </c>
      <c r="V3836" t="s">
        <v>23739</v>
      </c>
      <c r="W3836" t="s">
        <v>25687</v>
      </c>
      <c r="X3836" t="s">
        <v>3</v>
      </c>
      <c r="AA3836" s="5" t="str">
        <f>HYPERLINK("https://www.zillow.com/homes/1079-SELMA-LN-NAPERVILLE-IL-60540_rb/","check listing")</f>
        <v>check listing</v>
      </c>
      <c r="AB3836" s="5" t="str">
        <f>HYPERLINK("https://propertylookup.dupagecounty.gov/Datalets/Datalet.aspx?UseSearch=no&amp;mode=sales&amp;pin=0727205033","sales record")</f>
        <v>sales record</v>
      </c>
      <c r="AC3836" t="s">
        <v>3</v>
      </c>
      <c r="AD3836">
        <v>41.751258</v>
      </c>
      <c r="AE3836">
        <v>-88.189967</v>
      </c>
      <c r="AF3836" s="5" t="str">
        <f>HYPERLINK("https://www.google.com/maps/search/?api=1&amp;query=41.751258,-88.189967","map")</f>
        <v>map</v>
      </c>
    </row>
    <row r="3837" spans="1:32">
      <c r="A3837" t="s">
        <v>3887</v>
      </c>
      <c r="B3837" t="s">
        <v>11420</v>
      </c>
      <c r="C3837" t="s">
        <v>15613</v>
      </c>
      <c r="D3837" t="s">
        <v>16206</v>
      </c>
      <c r="E3837" t="s">
        <v>16218</v>
      </c>
      <c r="F3837" t="s">
        <v>16220</v>
      </c>
      <c r="G3837" t="s">
        <v>16275</v>
      </c>
      <c r="H3837" t="s">
        <v>16276</v>
      </c>
      <c r="I3837" t="s">
        <v>16352</v>
      </c>
      <c r="J3837" t="s">
        <v>16386</v>
      </c>
      <c r="K3837">
        <v>0.139</v>
      </c>
      <c r="L3837">
        <v>6048</v>
      </c>
      <c r="M3837">
        <v>1814</v>
      </c>
      <c r="N3837" t="s">
        <v>16393</v>
      </c>
      <c r="O3837" s="4">
        <v>51103</v>
      </c>
      <c r="P3837" s="4">
        <v>103500</v>
      </c>
      <c r="Q3837" s="4">
        <v>154603</v>
      </c>
      <c r="R3837" s="4">
        <v>463809</v>
      </c>
      <c r="S3837" t="s">
        <v>20149</v>
      </c>
      <c r="T3837" s="6">
        <v>43221</v>
      </c>
      <c r="U3837" s="4">
        <v>320000</v>
      </c>
      <c r="V3837" t="s">
        <v>23739</v>
      </c>
      <c r="W3837" t="s">
        <v>20149</v>
      </c>
      <c r="X3837" t="s">
        <v>3</v>
      </c>
      <c r="AA3837" s="5" t="str">
        <f>HYPERLINK("https://www.zillow.com/homes/2207-PERIWINKLE-LN-NAPERVILLE-IL-605409222_rb/","check listing")</f>
        <v>check listing</v>
      </c>
      <c r="AB3837" s="5" t="str">
        <f>HYPERLINK("https://propertylookup.dupagecounty.gov/Datalets/Datalet.aspx?UseSearch=no&amp;mode=sales&amp;pin=0722409033","sales record")</f>
        <v>sales record</v>
      </c>
      <c r="AC3837" t="s">
        <v>3</v>
      </c>
      <c r="AD3837">
        <v>41.759885</v>
      </c>
      <c r="AE3837">
        <v>-88.191427</v>
      </c>
      <c r="AF3837" s="5" t="str">
        <f>HYPERLINK("https://www.google.com/maps/search/?api=1&amp;query=41.759885,-88.191427","map")</f>
        <v>map</v>
      </c>
    </row>
    <row r="3838" spans="1:32">
      <c r="A3838" t="s">
        <v>3888</v>
      </c>
      <c r="B3838" t="s">
        <v>11421</v>
      </c>
      <c r="C3838" t="s">
        <v>15475</v>
      </c>
      <c r="D3838" t="s">
        <v>16206</v>
      </c>
      <c r="E3838" t="s">
        <v>16218</v>
      </c>
      <c r="F3838" t="s">
        <v>16220</v>
      </c>
      <c r="G3838" t="s">
        <v>16275</v>
      </c>
      <c r="H3838" t="s">
        <v>16276</v>
      </c>
      <c r="I3838" t="s">
        <v>16352</v>
      </c>
      <c r="J3838" t="s">
        <v>16386</v>
      </c>
      <c r="K3838">
        <v>0.138</v>
      </c>
      <c r="L3838">
        <v>6020</v>
      </c>
      <c r="M3838">
        <v>1979</v>
      </c>
      <c r="N3838" t="s">
        <v>16393</v>
      </c>
      <c r="O3838" s="4">
        <v>51103</v>
      </c>
      <c r="P3838" s="4">
        <v>116608</v>
      </c>
      <c r="Q3838" s="4">
        <v>167711</v>
      </c>
      <c r="R3838" s="4">
        <v>503133</v>
      </c>
      <c r="S3838" t="s">
        <v>20150</v>
      </c>
      <c r="T3838" s="6">
        <v>37865</v>
      </c>
      <c r="U3838" s="4">
        <v>273000</v>
      </c>
      <c r="V3838" t="s">
        <v>23739</v>
      </c>
      <c r="W3838" t="s">
        <v>25688</v>
      </c>
      <c r="X3838" t="s">
        <v>3</v>
      </c>
      <c r="AA3838" s="5" t="str">
        <f>HYPERLINK("https://www.zillow.com/homes/2223-PERIWINKLE-LN-NAPERVILLE-IL-60540_rb/","check listing")</f>
        <v>check listing</v>
      </c>
      <c r="AB3838" s="5" t="str">
        <f>HYPERLINK("https://propertylookup.dupagecounty.gov/Datalets/Datalet.aspx?UseSearch=no&amp;mode=sales&amp;pin=0722409037","sales record")</f>
        <v>sales record</v>
      </c>
      <c r="AC3838" t="s">
        <v>3</v>
      </c>
      <c r="AD3838">
        <v>41.759418</v>
      </c>
      <c r="AE3838">
        <v>-88.191962</v>
      </c>
      <c r="AF3838" s="5" t="str">
        <f>HYPERLINK("https://www.google.com/maps/search/?api=1&amp;query=41.759418,-88.191962","map")</f>
        <v>map</v>
      </c>
    </row>
    <row r="3839" spans="1:32">
      <c r="A3839" t="s">
        <v>3889</v>
      </c>
      <c r="B3839" t="s">
        <v>11422</v>
      </c>
      <c r="C3839" t="s">
        <v>15475</v>
      </c>
      <c r="D3839" t="s">
        <v>16206</v>
      </c>
      <c r="E3839" t="s">
        <v>16218</v>
      </c>
      <c r="F3839" t="s">
        <v>16220</v>
      </c>
      <c r="G3839" t="s">
        <v>16275</v>
      </c>
      <c r="H3839" t="s">
        <v>16276</v>
      </c>
      <c r="I3839" t="s">
        <v>16352</v>
      </c>
      <c r="J3839" t="s">
        <v>16386</v>
      </c>
      <c r="K3839">
        <v>0.138</v>
      </c>
      <c r="L3839">
        <v>6019</v>
      </c>
      <c r="M3839">
        <v>1960</v>
      </c>
      <c r="N3839" t="s">
        <v>16393</v>
      </c>
      <c r="O3839" s="4">
        <v>51103</v>
      </c>
      <c r="P3839" s="4">
        <v>101010</v>
      </c>
      <c r="Q3839" s="4">
        <v>152113</v>
      </c>
      <c r="R3839" s="4">
        <v>456339</v>
      </c>
      <c r="S3839" t="s">
        <v>20151</v>
      </c>
      <c r="T3839" s="6">
        <v>38777</v>
      </c>
      <c r="U3839" s="4">
        <v>304200</v>
      </c>
      <c r="V3839" t="s">
        <v>23739</v>
      </c>
      <c r="W3839" t="s">
        <v>20151</v>
      </c>
      <c r="X3839" t="s">
        <v>3</v>
      </c>
      <c r="AA3839" s="5" t="str">
        <f>HYPERLINK("https://www.zillow.com/homes/2219-PERIWINKLE-LN-NAPERVILLE-IL-60540_rb/","check listing")</f>
        <v>check listing</v>
      </c>
      <c r="AB3839" s="5" t="str">
        <f>HYPERLINK("https://propertylookup.dupagecounty.gov/Datalets/Datalet.aspx?UseSearch=no&amp;mode=sales&amp;pin=0722409036","sales record")</f>
        <v>sales record</v>
      </c>
      <c r="AC3839" t="s">
        <v>3</v>
      </c>
      <c r="AD3839">
        <v>41.75954</v>
      </c>
      <c r="AE3839">
        <v>-88.19182499999999</v>
      </c>
      <c r="AF3839" s="5" t="str">
        <f>HYPERLINK("https://www.google.com/maps/search/?api=1&amp;query=41.75954,-88.191825","map")</f>
        <v>map</v>
      </c>
    </row>
    <row r="3840" spans="1:32">
      <c r="A3840" t="s">
        <v>3890</v>
      </c>
      <c r="B3840" t="s">
        <v>11423</v>
      </c>
      <c r="C3840" t="s">
        <v>15475</v>
      </c>
      <c r="D3840" t="s">
        <v>16206</v>
      </c>
      <c r="E3840" t="s">
        <v>16218</v>
      </c>
      <c r="F3840" t="s">
        <v>16220</v>
      </c>
      <c r="G3840" t="s">
        <v>16275</v>
      </c>
      <c r="H3840" t="s">
        <v>16276</v>
      </c>
      <c r="I3840" t="s">
        <v>16352</v>
      </c>
      <c r="J3840" t="s">
        <v>16386</v>
      </c>
      <c r="K3840">
        <v>0.138</v>
      </c>
      <c r="L3840">
        <v>6016</v>
      </c>
      <c r="M3840">
        <v>1485</v>
      </c>
      <c r="N3840" t="s">
        <v>16393</v>
      </c>
      <c r="O3840" s="4">
        <v>51103</v>
      </c>
      <c r="P3840" s="4">
        <v>95981</v>
      </c>
      <c r="Q3840" s="4">
        <v>147084</v>
      </c>
      <c r="R3840" s="4">
        <v>441252</v>
      </c>
      <c r="S3840" t="s">
        <v>20152</v>
      </c>
      <c r="T3840" s="6">
        <v>40664</v>
      </c>
      <c r="U3840" s="4">
        <v>201000</v>
      </c>
      <c r="V3840" t="s">
        <v>23739</v>
      </c>
      <c r="W3840" t="s">
        <v>25354</v>
      </c>
      <c r="X3840" t="s">
        <v>3</v>
      </c>
      <c r="AA3840" s="5" t="str">
        <f>HYPERLINK("https://www.zillow.com/homes/824-VIOLET-CIR-NAPERVILLE-IL-60540_rb/","check listing")</f>
        <v>check listing</v>
      </c>
      <c r="AB3840" s="5" t="str">
        <f>HYPERLINK("https://propertylookup.dupagecounty.gov/Datalets/Datalet.aspx?UseSearch=no&amp;mode=sales&amp;pin=0722410030","sales record")</f>
        <v>sales record</v>
      </c>
      <c r="AC3840" t="s">
        <v>3</v>
      </c>
      <c r="AD3840">
        <v>41.759005</v>
      </c>
      <c r="AE3840">
        <v>-88.19108799999999</v>
      </c>
      <c r="AF3840" s="5" t="str">
        <f>HYPERLINK("https://www.google.com/maps/search/?api=1&amp;query=41.759005,-88.191088","map")</f>
        <v>map</v>
      </c>
    </row>
    <row r="3841" spans="1:32">
      <c r="A3841" t="s">
        <v>3891</v>
      </c>
      <c r="B3841" t="s">
        <v>11424</v>
      </c>
      <c r="C3841" t="s">
        <v>15615</v>
      </c>
      <c r="D3841" t="s">
        <v>16206</v>
      </c>
      <c r="E3841" t="s">
        <v>16218</v>
      </c>
      <c r="F3841" t="s">
        <v>16220</v>
      </c>
      <c r="G3841" t="s">
        <v>16275</v>
      </c>
      <c r="H3841" t="s">
        <v>16276</v>
      </c>
      <c r="I3841" t="s">
        <v>16352</v>
      </c>
      <c r="J3841" t="s">
        <v>16386</v>
      </c>
      <c r="K3841">
        <v>0.138</v>
      </c>
      <c r="L3841">
        <v>6012</v>
      </c>
      <c r="M3841">
        <v>1647</v>
      </c>
      <c r="N3841" t="s">
        <v>16393</v>
      </c>
      <c r="O3841" s="4">
        <v>51103</v>
      </c>
      <c r="P3841" s="4">
        <v>106294</v>
      </c>
      <c r="Q3841" s="4">
        <v>157397</v>
      </c>
      <c r="R3841" s="4">
        <v>472191</v>
      </c>
      <c r="S3841" t="s">
        <v>20153</v>
      </c>
      <c r="T3841" s="6">
        <v>44797</v>
      </c>
      <c r="U3841" s="4">
        <v>445000</v>
      </c>
      <c r="V3841" t="s">
        <v>23739</v>
      </c>
      <c r="W3841" t="s">
        <v>25689</v>
      </c>
      <c r="X3841" t="s">
        <v>3</v>
      </c>
      <c r="AA3841" s="5" t="str">
        <f>HYPERLINK("https://www.zillow.com/homes/736-VIOLET-CIR-NAPERVILLE-IL-605409229_rb/","check listing")</f>
        <v>check listing</v>
      </c>
      <c r="AB3841" s="5" t="str">
        <f>HYPERLINK("https://propertylookup.dupagecounty.gov/Datalets/Datalet.aspx?UseSearch=no&amp;mode=sales&amp;pin=0722410016","sales record")</f>
        <v>sales record</v>
      </c>
      <c r="AC3841" t="s">
        <v>3</v>
      </c>
      <c r="AD3841">
        <v>41.760537</v>
      </c>
      <c r="AE3841">
        <v>-88.18979299999999</v>
      </c>
      <c r="AF3841" s="5" t="str">
        <f>HYPERLINK("https://www.google.com/maps/search/?api=1&amp;query=41.760537,-88.189793","map")</f>
        <v>map</v>
      </c>
    </row>
    <row r="3842" spans="1:32">
      <c r="A3842" t="s">
        <v>3892</v>
      </c>
      <c r="B3842" t="s">
        <v>11425</v>
      </c>
      <c r="C3842" t="s">
        <v>15613</v>
      </c>
      <c r="D3842" t="s">
        <v>16206</v>
      </c>
      <c r="E3842" t="s">
        <v>16218</v>
      </c>
      <c r="F3842" t="s">
        <v>16220</v>
      </c>
      <c r="G3842" t="s">
        <v>16275</v>
      </c>
      <c r="H3842" t="s">
        <v>16276</v>
      </c>
      <c r="I3842" t="s">
        <v>16352</v>
      </c>
      <c r="J3842" t="s">
        <v>16386</v>
      </c>
      <c r="K3842">
        <v>0.138</v>
      </c>
      <c r="L3842">
        <v>6007</v>
      </c>
      <c r="M3842">
        <v>1988</v>
      </c>
      <c r="N3842" t="s">
        <v>16393</v>
      </c>
      <c r="O3842" s="4">
        <v>51103</v>
      </c>
      <c r="P3842" s="4">
        <v>99411</v>
      </c>
      <c r="Q3842" s="4">
        <v>150514</v>
      </c>
      <c r="R3842" s="4">
        <v>451542</v>
      </c>
      <c r="S3842" t="s">
        <v>20154</v>
      </c>
      <c r="T3842" s="6">
        <v>44317</v>
      </c>
      <c r="U3842" s="4">
        <v>340000</v>
      </c>
      <c r="V3842" t="s">
        <v>23739</v>
      </c>
      <c r="W3842" t="s">
        <v>25690</v>
      </c>
      <c r="X3842" t="s">
        <v>3</v>
      </c>
      <c r="AA3842" s="5" t="str">
        <f>HYPERLINK("https://www.zillow.com/homes/2211-PERIWINKLE-LN-NAPERVILLE-IL-605409222_rb/","check listing")</f>
        <v>check listing</v>
      </c>
      <c r="AB3842" s="5" t="str">
        <f>HYPERLINK("https://propertylookup.dupagecounty.gov/Datalets/Datalet.aspx?UseSearch=no&amp;mode=sales&amp;pin=0722409034","sales record")</f>
        <v>sales record</v>
      </c>
      <c r="AC3842" t="s">
        <v>3</v>
      </c>
      <c r="AD3842">
        <v>41.759769</v>
      </c>
      <c r="AE3842">
        <v>-88.191557</v>
      </c>
      <c r="AF3842" s="5" t="str">
        <f>HYPERLINK("https://www.google.com/maps/search/?api=1&amp;query=41.759769,-88.191557","map")</f>
        <v>map</v>
      </c>
    </row>
    <row r="3843" spans="1:32">
      <c r="A3843" t="s">
        <v>3893</v>
      </c>
      <c r="B3843" t="s">
        <v>11426</v>
      </c>
      <c r="C3843" t="s">
        <v>15576</v>
      </c>
      <c r="D3843" t="s">
        <v>16206</v>
      </c>
      <c r="E3843" t="s">
        <v>16218</v>
      </c>
      <c r="F3843" t="s">
        <v>16220</v>
      </c>
      <c r="G3843" t="s">
        <v>16275</v>
      </c>
      <c r="H3843" t="s">
        <v>16276</v>
      </c>
      <c r="I3843" t="s">
        <v>16352</v>
      </c>
      <c r="J3843" t="s">
        <v>16386</v>
      </c>
      <c r="K3843">
        <v>0.138</v>
      </c>
      <c r="L3843">
        <v>6007</v>
      </c>
      <c r="M3843">
        <v>1847</v>
      </c>
      <c r="N3843" t="s">
        <v>16393</v>
      </c>
      <c r="O3843" s="4">
        <v>51103</v>
      </c>
      <c r="P3843" s="4">
        <v>115205</v>
      </c>
      <c r="Q3843" s="4">
        <v>166308</v>
      </c>
      <c r="R3843" s="4">
        <v>498924</v>
      </c>
      <c r="S3843" t="s">
        <v>20155</v>
      </c>
      <c r="T3843" s="6">
        <v>43252</v>
      </c>
      <c r="U3843" s="4">
        <v>347000</v>
      </c>
      <c r="V3843" t="s">
        <v>23739</v>
      </c>
      <c r="W3843" t="s">
        <v>25691</v>
      </c>
      <c r="X3843" t="s">
        <v>3</v>
      </c>
      <c r="AA3843" s="5" t="str">
        <f>HYPERLINK("https://www.zillow.com/homes/2143-PERIWINKLE-LN-NAPERVILLE-IL-605409221_rb/","check listing")</f>
        <v>check listing</v>
      </c>
      <c r="AB3843" s="5" t="str">
        <f>HYPERLINK("https://propertylookup.dupagecounty.gov/Datalets/Datalet.aspx?UseSearch=no&amp;mode=sales&amp;pin=0722409030","sales record")</f>
        <v>sales record</v>
      </c>
      <c r="AC3843" t="s">
        <v>3</v>
      </c>
      <c r="AD3843">
        <v>41.76027</v>
      </c>
      <c r="AE3843">
        <v>-88.19111599999999</v>
      </c>
      <c r="AF3843" s="5" t="str">
        <f>HYPERLINK("https://www.google.com/maps/search/?api=1&amp;query=41.76027,-88.191116","map")</f>
        <v>map</v>
      </c>
    </row>
    <row r="3844" spans="1:32">
      <c r="A3844" t="s">
        <v>3894</v>
      </c>
      <c r="B3844" t="s">
        <v>11427</v>
      </c>
      <c r="C3844" t="s">
        <v>15615</v>
      </c>
      <c r="D3844" t="s">
        <v>16206</v>
      </c>
      <c r="E3844" t="s">
        <v>16218</v>
      </c>
      <c r="F3844" t="s">
        <v>16220</v>
      </c>
      <c r="G3844" t="s">
        <v>16275</v>
      </c>
      <c r="H3844" t="s">
        <v>16276</v>
      </c>
      <c r="I3844" t="s">
        <v>16352</v>
      </c>
      <c r="J3844" t="s">
        <v>16386</v>
      </c>
      <c r="K3844">
        <v>0.138</v>
      </c>
      <c r="L3844">
        <v>6005</v>
      </c>
      <c r="M3844">
        <v>1949</v>
      </c>
      <c r="N3844" t="s">
        <v>16393</v>
      </c>
      <c r="O3844" s="4">
        <v>51103</v>
      </c>
      <c r="P3844" s="4">
        <v>105501</v>
      </c>
      <c r="Q3844" s="4">
        <v>156604</v>
      </c>
      <c r="R3844" s="4">
        <v>469812</v>
      </c>
      <c r="S3844" t="s">
        <v>20156</v>
      </c>
      <c r="T3844" s="6">
        <v>43617</v>
      </c>
      <c r="U3844" s="4">
        <v>347000</v>
      </c>
      <c r="V3844" t="s">
        <v>23739</v>
      </c>
      <c r="W3844" t="s">
        <v>25692</v>
      </c>
      <c r="X3844" t="s">
        <v>3</v>
      </c>
      <c r="AA3844" s="5" t="str">
        <f>HYPERLINK("https://www.zillow.com/homes/744-VIOLET-CIR-NAPERVILLE-IL-605409229_rb/","check listing")</f>
        <v>check listing</v>
      </c>
      <c r="AB3844" s="5" t="str">
        <f>HYPERLINK("https://propertylookup.dupagecounty.gov/Datalets/Datalet.aspx?UseSearch=no&amp;mode=sales&amp;pin=0722410018","sales record")</f>
        <v>sales record</v>
      </c>
      <c r="AC3844" t="s">
        <v>3</v>
      </c>
      <c r="AD3844">
        <v>41.760261</v>
      </c>
      <c r="AE3844">
        <v>-88.189797</v>
      </c>
      <c r="AF3844" s="5" t="str">
        <f>HYPERLINK("https://www.google.com/maps/search/?api=1&amp;query=41.760261,-88.189797","map")</f>
        <v>map</v>
      </c>
    </row>
    <row r="3845" spans="1:32">
      <c r="A3845" t="s">
        <v>3895</v>
      </c>
      <c r="B3845" t="s">
        <v>11428</v>
      </c>
      <c r="C3845" t="s">
        <v>15475</v>
      </c>
      <c r="D3845" t="s">
        <v>16206</v>
      </c>
      <c r="E3845" t="s">
        <v>16218</v>
      </c>
      <c r="F3845" t="s">
        <v>16220</v>
      </c>
      <c r="G3845" t="s">
        <v>16275</v>
      </c>
      <c r="H3845" t="s">
        <v>16276</v>
      </c>
      <c r="I3845" t="s">
        <v>16352</v>
      </c>
      <c r="J3845" t="s">
        <v>16386</v>
      </c>
      <c r="K3845">
        <v>0.138</v>
      </c>
      <c r="L3845">
        <v>6004</v>
      </c>
      <c r="M3845">
        <v>1629</v>
      </c>
      <c r="N3845" t="s">
        <v>16393</v>
      </c>
      <c r="O3845" s="4">
        <v>51103</v>
      </c>
      <c r="P3845" s="4">
        <v>105818</v>
      </c>
      <c r="Q3845" s="4">
        <v>156921</v>
      </c>
      <c r="R3845" s="4">
        <v>470763</v>
      </c>
      <c r="S3845" t="s">
        <v>20157</v>
      </c>
      <c r="T3845" s="6">
        <v>37104</v>
      </c>
      <c r="U3845" s="4">
        <v>237500</v>
      </c>
      <c r="V3845" t="s">
        <v>23739</v>
      </c>
      <c r="W3845" t="s">
        <v>25693</v>
      </c>
      <c r="X3845" t="s">
        <v>3</v>
      </c>
      <c r="AA3845" s="5" t="str">
        <f>HYPERLINK("https://www.zillow.com/homes/752-VIOLET-CIR-NAPERVILLE-IL-60540_rb/","check listing")</f>
        <v>check listing</v>
      </c>
      <c r="AB3845" s="5" t="str">
        <f>HYPERLINK("https://propertylookup.dupagecounty.gov/Datalets/Datalet.aspx?UseSearch=no&amp;mode=sales&amp;pin=0722410020","sales record")</f>
        <v>sales record</v>
      </c>
      <c r="AC3845" t="s">
        <v>3</v>
      </c>
      <c r="AD3845">
        <v>41.75994</v>
      </c>
      <c r="AE3845">
        <v>-88.189801</v>
      </c>
      <c r="AF3845" s="5" t="str">
        <f>HYPERLINK("https://www.google.com/maps/search/?api=1&amp;query=41.75994,-88.189801","map")</f>
        <v>map</v>
      </c>
    </row>
    <row r="3846" spans="1:32">
      <c r="A3846" t="s">
        <v>3896</v>
      </c>
      <c r="B3846" t="s">
        <v>11429</v>
      </c>
      <c r="C3846" t="s">
        <v>15475</v>
      </c>
      <c r="D3846" t="s">
        <v>16206</v>
      </c>
      <c r="E3846" t="s">
        <v>16218</v>
      </c>
      <c r="F3846" t="s">
        <v>16220</v>
      </c>
      <c r="G3846" t="s">
        <v>16275</v>
      </c>
      <c r="H3846" t="s">
        <v>16276</v>
      </c>
      <c r="I3846" t="s">
        <v>16352</v>
      </c>
      <c r="J3846" t="s">
        <v>16386</v>
      </c>
      <c r="K3846">
        <v>0.138</v>
      </c>
      <c r="L3846">
        <v>6003</v>
      </c>
      <c r="M3846">
        <v>1883</v>
      </c>
      <c r="N3846" t="s">
        <v>16393</v>
      </c>
      <c r="O3846" s="4">
        <v>51103</v>
      </c>
      <c r="P3846" s="4">
        <v>122259</v>
      </c>
      <c r="Q3846" s="4">
        <v>173362</v>
      </c>
      <c r="R3846" s="4">
        <v>520086</v>
      </c>
      <c r="S3846" t="s">
        <v>20158</v>
      </c>
      <c r="T3846" s="6">
        <v>35217</v>
      </c>
      <c r="U3846" s="4">
        <v>182936</v>
      </c>
      <c r="X3846" t="s">
        <v>3</v>
      </c>
      <c r="AA3846" s="5" t="str">
        <f>HYPERLINK("https://www.zillow.com/homes/812-VIOLET-CIR-NAPERVILLE-IL-60540_rb/","check listing")</f>
        <v>check listing</v>
      </c>
      <c r="AB3846" s="5" t="str">
        <f>HYPERLINK("https://propertylookup.dupagecounty.gov/Datalets/Datalet.aspx?UseSearch=no&amp;mode=sales&amp;pin=0722410027","sales record")</f>
        <v>sales record</v>
      </c>
      <c r="AC3846" t="s">
        <v>3</v>
      </c>
      <c r="AD3846">
        <v>41.759191</v>
      </c>
      <c r="AE3846">
        <v>-88.190556</v>
      </c>
      <c r="AF3846" s="5" t="str">
        <f>HYPERLINK("https://www.google.com/maps/search/?api=1&amp;query=41.759191,-88.190556","map")</f>
        <v>map</v>
      </c>
    </row>
    <row r="3847" spans="1:32">
      <c r="A3847" t="s">
        <v>3897</v>
      </c>
      <c r="B3847" t="s">
        <v>11430</v>
      </c>
      <c r="C3847" t="s">
        <v>15475</v>
      </c>
      <c r="D3847" t="s">
        <v>16206</v>
      </c>
      <c r="E3847" t="s">
        <v>16218</v>
      </c>
      <c r="F3847" t="s">
        <v>16220</v>
      </c>
      <c r="G3847" t="s">
        <v>16275</v>
      </c>
      <c r="H3847" t="s">
        <v>16276</v>
      </c>
      <c r="I3847" t="s">
        <v>16352</v>
      </c>
      <c r="J3847" t="s">
        <v>16386</v>
      </c>
      <c r="K3847">
        <v>0.138</v>
      </c>
      <c r="L3847">
        <v>6002</v>
      </c>
      <c r="M3847">
        <v>1978</v>
      </c>
      <c r="N3847" t="s">
        <v>16393</v>
      </c>
      <c r="O3847" s="4">
        <v>51103</v>
      </c>
      <c r="P3847" s="4">
        <v>111129</v>
      </c>
      <c r="Q3847" s="4">
        <v>162232</v>
      </c>
      <c r="R3847" s="4">
        <v>486696</v>
      </c>
      <c r="S3847" t="s">
        <v>20159</v>
      </c>
      <c r="T3847" s="6">
        <v>41183</v>
      </c>
      <c r="U3847" s="4">
        <v>301000</v>
      </c>
      <c r="V3847" t="s">
        <v>23739</v>
      </c>
      <c r="W3847" t="s">
        <v>25694</v>
      </c>
      <c r="X3847" t="s">
        <v>3</v>
      </c>
      <c r="AA3847" s="5" t="str">
        <f>HYPERLINK("https://www.zillow.com/homes/2139-PERIWINKLE-LN-NAPERVILLE-IL-60540_rb/","check listing")</f>
        <v>check listing</v>
      </c>
      <c r="AB3847" s="5" t="str">
        <f>HYPERLINK("https://propertylookup.dupagecounty.gov/Datalets/Datalet.aspx?UseSearch=no&amp;mode=sales&amp;pin=0722409029","sales record")</f>
        <v>sales record</v>
      </c>
      <c r="AC3847" t="s">
        <v>3</v>
      </c>
      <c r="AD3847">
        <v>41.760406</v>
      </c>
      <c r="AE3847">
        <v>-88.19104799999999</v>
      </c>
      <c r="AF3847" s="5" t="str">
        <f>HYPERLINK("https://www.google.com/maps/search/?api=1&amp;query=41.760406,-88.191048","map")</f>
        <v>map</v>
      </c>
    </row>
    <row r="3848" spans="1:32">
      <c r="A3848" t="s">
        <v>3898</v>
      </c>
      <c r="B3848" t="s">
        <v>11431</v>
      </c>
      <c r="C3848" t="s">
        <v>15475</v>
      </c>
      <c r="D3848" t="s">
        <v>16206</v>
      </c>
      <c r="E3848" t="s">
        <v>16218</v>
      </c>
      <c r="F3848" t="s">
        <v>16220</v>
      </c>
      <c r="G3848" t="s">
        <v>16275</v>
      </c>
      <c r="H3848" t="s">
        <v>16276</v>
      </c>
      <c r="I3848" t="s">
        <v>16352</v>
      </c>
      <c r="J3848" t="s">
        <v>16386</v>
      </c>
      <c r="K3848">
        <v>0.138</v>
      </c>
      <c r="L3848">
        <v>6002</v>
      </c>
      <c r="M3848">
        <v>1978</v>
      </c>
      <c r="N3848" t="s">
        <v>16393</v>
      </c>
      <c r="O3848" s="4">
        <v>51103</v>
      </c>
      <c r="P3848" s="4">
        <v>104452</v>
      </c>
      <c r="Q3848" s="4">
        <v>155555</v>
      </c>
      <c r="R3848" s="4">
        <v>466665</v>
      </c>
      <c r="S3848" t="s">
        <v>20160</v>
      </c>
      <c r="T3848" s="6">
        <v>44075</v>
      </c>
      <c r="U3848" s="4">
        <v>339000</v>
      </c>
      <c r="V3848" t="s">
        <v>23739</v>
      </c>
      <c r="W3848" t="s">
        <v>20160</v>
      </c>
      <c r="X3848" t="s">
        <v>3</v>
      </c>
      <c r="AA3848" s="5" t="str">
        <f>HYPERLINK("https://www.zillow.com/homes/820-VIOLET-CIR-NAPERVILLE-IL-60540_rb/","check listing")</f>
        <v>check listing</v>
      </c>
      <c r="AB3848" s="5" t="str">
        <f>HYPERLINK("https://propertylookup.dupagecounty.gov/Datalets/Datalet.aspx?UseSearch=no&amp;mode=sales&amp;pin=0722410029","sales record")</f>
        <v>sales record</v>
      </c>
      <c r="AC3848" t="s">
        <v>3</v>
      </c>
      <c r="AD3848">
        <v>41.759079</v>
      </c>
      <c r="AE3848">
        <v>-88.190915</v>
      </c>
      <c r="AF3848" s="5" t="str">
        <f>HYPERLINK("https://www.google.com/maps/search/?api=1&amp;query=41.759079,-88.190915","map")</f>
        <v>map</v>
      </c>
    </row>
    <row r="3849" spans="1:32">
      <c r="A3849" t="s">
        <v>3899</v>
      </c>
      <c r="B3849" t="s">
        <v>11432</v>
      </c>
      <c r="C3849" t="s">
        <v>15475</v>
      </c>
      <c r="D3849" t="s">
        <v>16206</v>
      </c>
      <c r="E3849" t="s">
        <v>16218</v>
      </c>
      <c r="F3849" t="s">
        <v>16220</v>
      </c>
      <c r="G3849" t="s">
        <v>16275</v>
      </c>
      <c r="H3849" t="s">
        <v>16276</v>
      </c>
      <c r="I3849" t="s">
        <v>16352</v>
      </c>
      <c r="J3849" t="s">
        <v>16386</v>
      </c>
      <c r="K3849">
        <v>0.138</v>
      </c>
      <c r="L3849">
        <v>6002</v>
      </c>
      <c r="M3849">
        <v>1807</v>
      </c>
      <c r="N3849" t="s">
        <v>16393</v>
      </c>
      <c r="O3849" s="4">
        <v>51103</v>
      </c>
      <c r="P3849" s="4">
        <v>95981</v>
      </c>
      <c r="Q3849" s="4">
        <v>147084</v>
      </c>
      <c r="R3849" s="4">
        <v>441252</v>
      </c>
      <c r="S3849" t="s">
        <v>20161</v>
      </c>
      <c r="T3849" s="6">
        <v>41456</v>
      </c>
      <c r="U3849" s="4">
        <v>250000</v>
      </c>
      <c r="V3849" t="s">
        <v>23739</v>
      </c>
      <c r="W3849" t="s">
        <v>25695</v>
      </c>
      <c r="X3849" t="s">
        <v>3</v>
      </c>
      <c r="AA3849" s="5" t="str">
        <f>HYPERLINK("https://www.zillow.com/homes/816-VIOLET-CIR-NAPERVILLE-IL-60540_rb/","check listing")</f>
        <v>check listing</v>
      </c>
      <c r="AB3849" s="5" t="str">
        <f>HYPERLINK("https://propertylookup.dupagecounty.gov/Datalets/Datalet.aspx?UseSearch=no&amp;mode=sales&amp;pin=0722410028","sales record")</f>
        <v>sales record</v>
      </c>
      <c r="AC3849" t="s">
        <v>3</v>
      </c>
      <c r="AD3849">
        <v>41.759135</v>
      </c>
      <c r="AE3849">
        <v>-88.190736</v>
      </c>
      <c r="AF3849" s="5" t="str">
        <f>HYPERLINK("https://www.google.com/maps/search/?api=1&amp;query=41.759135,-88.190736","map")</f>
        <v>map</v>
      </c>
    </row>
    <row r="3850" spans="1:32">
      <c r="A3850" t="s">
        <v>3900</v>
      </c>
      <c r="B3850" t="s">
        <v>11433</v>
      </c>
      <c r="C3850" t="s">
        <v>15475</v>
      </c>
      <c r="D3850" t="s">
        <v>16206</v>
      </c>
      <c r="E3850" t="s">
        <v>16218</v>
      </c>
      <c r="F3850" t="s">
        <v>16220</v>
      </c>
      <c r="G3850" t="s">
        <v>16275</v>
      </c>
      <c r="H3850" t="s">
        <v>16276</v>
      </c>
      <c r="I3850" t="s">
        <v>16352</v>
      </c>
      <c r="J3850" t="s">
        <v>16386</v>
      </c>
      <c r="K3850">
        <v>0.138</v>
      </c>
      <c r="L3850">
        <v>6002</v>
      </c>
      <c r="M3850">
        <v>1979</v>
      </c>
      <c r="N3850" t="s">
        <v>16393</v>
      </c>
      <c r="O3850" s="4">
        <v>51103</v>
      </c>
      <c r="P3850" s="4">
        <v>101815</v>
      </c>
      <c r="Q3850" s="4">
        <v>152918</v>
      </c>
      <c r="R3850" s="4">
        <v>458754</v>
      </c>
      <c r="S3850" t="s">
        <v>20162</v>
      </c>
      <c r="T3850" s="6">
        <v>45946</v>
      </c>
      <c r="U3850" s="4">
        <v>445000</v>
      </c>
      <c r="V3850" t="s">
        <v>23739</v>
      </c>
      <c r="W3850" t="s">
        <v>25696</v>
      </c>
      <c r="X3850" t="s">
        <v>3</v>
      </c>
      <c r="AA3850" s="5" t="str">
        <f>HYPERLINK("https://www.zillow.com/homes/808-VIOLET-CIR-NAPERVILLE-IL-60540_rb/","check listing")</f>
        <v>check listing</v>
      </c>
      <c r="AB3850" s="5" t="str">
        <f>HYPERLINK("https://propertylookup.dupagecounty.gov/Datalets/Datalet.aspx?UseSearch=no&amp;mode=sales&amp;pin=0722410026","sales record")</f>
        <v>sales record</v>
      </c>
      <c r="AC3850" t="s">
        <v>3</v>
      </c>
      <c r="AD3850">
        <v>41.759247</v>
      </c>
      <c r="AE3850">
        <v>-88.190377</v>
      </c>
      <c r="AF3850" s="5" t="str">
        <f>HYPERLINK("https://www.google.com/maps/search/?api=1&amp;query=41.759247,-88.190377","map")</f>
        <v>map</v>
      </c>
    </row>
    <row r="3851" spans="1:32">
      <c r="A3851" t="s">
        <v>3901</v>
      </c>
      <c r="B3851" t="s">
        <v>11434</v>
      </c>
      <c r="C3851" t="s">
        <v>15615</v>
      </c>
      <c r="D3851" t="s">
        <v>16206</v>
      </c>
      <c r="E3851" t="s">
        <v>16218</v>
      </c>
      <c r="F3851" t="s">
        <v>16220</v>
      </c>
      <c r="G3851" t="s">
        <v>16275</v>
      </c>
      <c r="H3851" t="s">
        <v>16276</v>
      </c>
      <c r="I3851" t="s">
        <v>16352</v>
      </c>
      <c r="J3851" t="s">
        <v>16386</v>
      </c>
      <c r="K3851">
        <v>0.138</v>
      </c>
      <c r="L3851">
        <v>6001</v>
      </c>
      <c r="M3851">
        <v>1649</v>
      </c>
      <c r="N3851" t="s">
        <v>16393</v>
      </c>
      <c r="O3851" s="4">
        <v>51103</v>
      </c>
      <c r="P3851" s="4">
        <v>112690</v>
      </c>
      <c r="Q3851" s="4">
        <v>163793</v>
      </c>
      <c r="R3851" s="4">
        <v>491379</v>
      </c>
      <c r="S3851" t="s">
        <v>20163</v>
      </c>
      <c r="T3851" s="6">
        <v>39692</v>
      </c>
      <c r="U3851" s="4">
        <v>311500</v>
      </c>
      <c r="V3851" t="s">
        <v>23739</v>
      </c>
      <c r="W3851" t="s">
        <v>25697</v>
      </c>
      <c r="X3851" t="s">
        <v>3</v>
      </c>
      <c r="AA3851" s="5" t="str">
        <f>HYPERLINK("https://www.zillow.com/homes/756-VIOLET-CIR-NAPERVILLE-IL-605409229_rb/","check listing")</f>
        <v>check listing</v>
      </c>
      <c r="AB3851" s="5" t="str">
        <f>HYPERLINK("https://propertylookup.dupagecounty.gov/Datalets/Datalet.aspx?UseSearch=no&amp;mode=sales&amp;pin=0722410021","sales record")</f>
        <v>sales record</v>
      </c>
      <c r="AC3851" t="s">
        <v>3</v>
      </c>
      <c r="AD3851">
        <v>41.759828</v>
      </c>
      <c r="AE3851">
        <v>-88.189803</v>
      </c>
      <c r="AF3851" s="5" t="str">
        <f>HYPERLINK("https://www.google.com/maps/search/?api=1&amp;query=41.759828,-88.189803","map")</f>
        <v>map</v>
      </c>
    </row>
    <row r="3852" spans="1:32">
      <c r="A3852" t="s">
        <v>3902</v>
      </c>
      <c r="B3852" t="s">
        <v>11435</v>
      </c>
      <c r="C3852" t="s">
        <v>15475</v>
      </c>
      <c r="D3852" t="s">
        <v>16206</v>
      </c>
      <c r="E3852" t="s">
        <v>16218</v>
      </c>
      <c r="F3852" t="s">
        <v>16220</v>
      </c>
      <c r="G3852" t="s">
        <v>16275</v>
      </c>
      <c r="H3852" t="s">
        <v>16276</v>
      </c>
      <c r="I3852" t="s">
        <v>16352</v>
      </c>
      <c r="J3852" t="s">
        <v>16386</v>
      </c>
      <c r="K3852">
        <v>0.138</v>
      </c>
      <c r="L3852">
        <v>6000</v>
      </c>
      <c r="M3852">
        <v>1849</v>
      </c>
      <c r="N3852" t="s">
        <v>16393</v>
      </c>
      <c r="O3852" s="4">
        <v>51103</v>
      </c>
      <c r="P3852" s="4">
        <v>99411</v>
      </c>
      <c r="Q3852" s="4">
        <v>150514</v>
      </c>
      <c r="R3852" s="4">
        <v>451542</v>
      </c>
      <c r="S3852" t="s">
        <v>20164</v>
      </c>
      <c r="T3852" s="6">
        <v>39142</v>
      </c>
      <c r="U3852" s="4">
        <v>320000</v>
      </c>
      <c r="V3852" t="s">
        <v>23739</v>
      </c>
      <c r="W3852" t="s">
        <v>25698</v>
      </c>
      <c r="X3852" t="s">
        <v>3</v>
      </c>
      <c r="AA3852" s="5" t="str">
        <f>HYPERLINK("https://www.zillow.com/homes/748-VIOLET-CIR-NAPERVILLE-IL-60540_rb/","check listing")</f>
        <v>check listing</v>
      </c>
      <c r="AB3852" s="5" t="str">
        <f>HYPERLINK("https://propertylookup.dupagecounty.gov/Datalets/Datalet.aspx?UseSearch=no&amp;mode=sales&amp;pin=0722410019","sales record")</f>
        <v>sales record</v>
      </c>
      <c r="AC3852" t="s">
        <v>3</v>
      </c>
      <c r="AD3852">
        <v>41.76006</v>
      </c>
      <c r="AE3852">
        <v>-88.18979899999999</v>
      </c>
      <c r="AF3852" s="5" t="str">
        <f>HYPERLINK("https://www.google.com/maps/search/?api=1&amp;query=41.76006,-88.189799","map")</f>
        <v>map</v>
      </c>
    </row>
    <row r="3853" spans="1:32">
      <c r="A3853" t="s">
        <v>3903</v>
      </c>
      <c r="B3853" t="s">
        <v>11436</v>
      </c>
      <c r="C3853" t="s">
        <v>15556</v>
      </c>
      <c r="D3853" t="s">
        <v>16206</v>
      </c>
      <c r="E3853" t="s">
        <v>16218</v>
      </c>
      <c r="F3853" t="s">
        <v>16220</v>
      </c>
      <c r="G3853" t="s">
        <v>16269</v>
      </c>
      <c r="H3853" t="s">
        <v>16269</v>
      </c>
      <c r="I3853" t="s">
        <v>16352</v>
      </c>
      <c r="J3853" t="s">
        <v>16386</v>
      </c>
      <c r="K3853">
        <v>0.138</v>
      </c>
      <c r="L3853">
        <v>6000</v>
      </c>
      <c r="M3853">
        <v>2015</v>
      </c>
      <c r="N3853" t="s">
        <v>16393</v>
      </c>
      <c r="O3853" s="4">
        <v>71707</v>
      </c>
      <c r="P3853" s="4">
        <v>81018</v>
      </c>
      <c r="Q3853" s="4">
        <v>152725</v>
      </c>
      <c r="R3853" s="4">
        <v>458175</v>
      </c>
      <c r="S3853" t="s">
        <v>20165</v>
      </c>
      <c r="T3853" s="6">
        <v>43617</v>
      </c>
      <c r="U3853" s="4">
        <v>325000</v>
      </c>
      <c r="V3853" t="s">
        <v>23739</v>
      </c>
      <c r="W3853" t="s">
        <v>25699</v>
      </c>
      <c r="X3853" t="s">
        <v>3</v>
      </c>
      <c r="AA3853" s="5" t="str">
        <f>HYPERLINK("https://www.zillow.com/homes/1728-COACH-DR-NAPERVILLE-IL-605652414_rb/","check listing")</f>
        <v>check listing</v>
      </c>
      <c r="AB3853" s="5" t="str">
        <f>HYPERLINK("https://propertylookup.dupagecounty.gov/Datalets/Datalet.aspx?UseSearch=no&amp;mode=sales&amp;pin=0832114049","sales record")</f>
        <v>sales record</v>
      </c>
      <c r="AC3853" t="s">
        <v>3</v>
      </c>
      <c r="AD3853">
        <v>41.736263</v>
      </c>
      <c r="AE3853">
        <v>-88.122725</v>
      </c>
      <c r="AF3853" s="5" t="str">
        <f>HYPERLINK("https://www.google.com/maps/search/?api=1&amp;query=41.736263,-88.122725","map")</f>
        <v>map</v>
      </c>
    </row>
    <row r="3854" spans="1:32">
      <c r="A3854" t="s">
        <v>3904</v>
      </c>
      <c r="B3854" t="s">
        <v>11437</v>
      </c>
      <c r="C3854" t="s">
        <v>15475</v>
      </c>
      <c r="D3854" t="s">
        <v>16206</v>
      </c>
      <c r="E3854" t="s">
        <v>16218</v>
      </c>
      <c r="F3854" t="s">
        <v>16220</v>
      </c>
      <c r="G3854" t="s">
        <v>16275</v>
      </c>
      <c r="H3854" t="s">
        <v>16276</v>
      </c>
      <c r="I3854" t="s">
        <v>16352</v>
      </c>
      <c r="J3854" t="s">
        <v>16386</v>
      </c>
      <c r="K3854">
        <v>0.138</v>
      </c>
      <c r="L3854">
        <v>5999</v>
      </c>
      <c r="M3854">
        <v>2353</v>
      </c>
      <c r="N3854" t="s">
        <v>16393</v>
      </c>
      <c r="O3854" s="4">
        <v>51103</v>
      </c>
      <c r="P3854" s="4">
        <v>105575</v>
      </c>
      <c r="Q3854" s="4">
        <v>156678</v>
      </c>
      <c r="R3854" s="4">
        <v>470034</v>
      </c>
      <c r="S3854" t="s">
        <v>20166</v>
      </c>
      <c r="T3854" s="6">
        <v>41334</v>
      </c>
      <c r="U3854" s="4">
        <v>269000</v>
      </c>
      <c r="V3854" t="s">
        <v>23739</v>
      </c>
      <c r="W3854" t="s">
        <v>25700</v>
      </c>
      <c r="X3854" t="s">
        <v>3</v>
      </c>
      <c r="AA3854" s="5" t="str">
        <f>HYPERLINK("https://www.zillow.com/homes/832-VIOLET-CIR-NAPERVILLE-IL-60540_rb/","check listing")</f>
        <v>check listing</v>
      </c>
      <c r="AB3854" s="5" t="str">
        <f>HYPERLINK("https://propertylookup.dupagecounty.gov/Datalets/Datalet.aspx?UseSearch=no&amp;mode=sales&amp;pin=0722410031","sales record")</f>
        <v>sales record</v>
      </c>
      <c r="AC3854" t="s">
        <v>3</v>
      </c>
      <c r="AD3854">
        <v>41.758951</v>
      </c>
      <c r="AE3854">
        <v>-88.191282</v>
      </c>
      <c r="AF3854" s="5" t="str">
        <f>HYPERLINK("https://www.google.com/maps/search/?api=1&amp;query=41.758951,-88.191282","map")</f>
        <v>map</v>
      </c>
    </row>
    <row r="3855" spans="1:32">
      <c r="A3855" t="s">
        <v>3905</v>
      </c>
      <c r="B3855" t="s">
        <v>11438</v>
      </c>
      <c r="C3855" t="s">
        <v>15476</v>
      </c>
      <c r="D3855" t="s">
        <v>16206</v>
      </c>
      <c r="E3855" t="s">
        <v>16218</v>
      </c>
      <c r="F3855" t="s">
        <v>16220</v>
      </c>
      <c r="G3855" t="s">
        <v>16269</v>
      </c>
      <c r="H3855" t="s">
        <v>16269</v>
      </c>
      <c r="I3855" t="s">
        <v>16352</v>
      </c>
      <c r="J3855" t="s">
        <v>16386</v>
      </c>
      <c r="K3855">
        <v>0.121</v>
      </c>
      <c r="L3855">
        <v>5282</v>
      </c>
      <c r="N3855" t="s">
        <v>16393</v>
      </c>
      <c r="O3855" s="4">
        <v>28041</v>
      </c>
      <c r="P3855" s="4">
        <v>164711</v>
      </c>
      <c r="Q3855" s="4">
        <v>192752</v>
      </c>
      <c r="R3855" s="4">
        <v>578256</v>
      </c>
      <c r="S3855" t="s">
        <v>20167</v>
      </c>
      <c r="T3855" s="6">
        <v>44105</v>
      </c>
      <c r="U3855" s="4">
        <v>425000</v>
      </c>
      <c r="V3855" t="s">
        <v>23739</v>
      </c>
      <c r="W3855" t="s">
        <v>25701</v>
      </c>
      <c r="X3855" t="s">
        <v>3</v>
      </c>
      <c r="AA3855" s="5" t="str">
        <f>HYPERLINK("https://www.zillow.com/homes/651-BOURBON-CT-NAPERVILLE-IL-60565_rb/","check listing")</f>
        <v>check listing</v>
      </c>
      <c r="AB3855" s="5" t="str">
        <f>HYPERLINK("https://propertylookup.dupagecounty.gov/Datalets/Datalet.aspx?UseSearch=no&amp;mode=sales&amp;pin=0832104067","sales record")</f>
        <v>sales record</v>
      </c>
      <c r="AC3855" t="s">
        <v>3</v>
      </c>
      <c r="AD3855">
        <v>41.737006</v>
      </c>
      <c r="AE3855">
        <v>-88.118002</v>
      </c>
      <c r="AF3855" s="5" t="str">
        <f>HYPERLINK("https://www.google.com/maps/search/?api=1&amp;query=41.737006,-88.118002","map")</f>
        <v>map</v>
      </c>
    </row>
    <row r="3856" spans="1:32">
      <c r="A3856" t="s">
        <v>3906</v>
      </c>
      <c r="B3856" t="s">
        <v>11439</v>
      </c>
      <c r="C3856" t="s">
        <v>15476</v>
      </c>
      <c r="D3856" t="s">
        <v>16206</v>
      </c>
      <c r="E3856" t="s">
        <v>16218</v>
      </c>
      <c r="F3856" t="s">
        <v>16220</v>
      </c>
      <c r="G3856" t="s">
        <v>16269</v>
      </c>
      <c r="H3856" t="s">
        <v>16269</v>
      </c>
      <c r="I3856" t="s">
        <v>16352</v>
      </c>
      <c r="J3856" t="s">
        <v>16386</v>
      </c>
      <c r="K3856">
        <v>0.117</v>
      </c>
      <c r="L3856">
        <v>5088</v>
      </c>
      <c r="N3856" t="s">
        <v>16393</v>
      </c>
      <c r="O3856" s="4">
        <v>28041</v>
      </c>
      <c r="P3856" s="4">
        <v>193750</v>
      </c>
      <c r="Q3856" s="4">
        <v>221791</v>
      </c>
      <c r="R3856" s="4">
        <v>665373</v>
      </c>
      <c r="S3856" t="s">
        <v>20168</v>
      </c>
      <c r="T3856" s="6">
        <v>45184</v>
      </c>
      <c r="U3856" s="4">
        <v>615000</v>
      </c>
      <c r="V3856" t="s">
        <v>23741</v>
      </c>
      <c r="W3856" t="s">
        <v>25702</v>
      </c>
      <c r="X3856" t="s">
        <v>3</v>
      </c>
      <c r="AA3856" s="5" t="str">
        <f>HYPERLINK("https://www.zillow.com/homes/615-BOURBON-CT-NAPERVILLE-IL-60565_rb/","check listing")</f>
        <v>check listing</v>
      </c>
      <c r="AB3856" s="5" t="str">
        <f>HYPERLINK("https://propertylookup.dupagecounty.gov/Datalets/Datalet.aspx?UseSearch=no&amp;mode=sales&amp;pin=0832104061","sales record")</f>
        <v>sales record</v>
      </c>
      <c r="AC3856" t="s">
        <v>3</v>
      </c>
      <c r="AD3856">
        <v>41.736918</v>
      </c>
      <c r="AE3856">
        <v>-88.11955500000001</v>
      </c>
      <c r="AF3856" s="5" t="str">
        <f>HYPERLINK("https://www.google.com/maps/search/?api=1&amp;query=41.736918,-88.119555","map")</f>
        <v>map</v>
      </c>
    </row>
    <row r="3857" spans="1:32">
      <c r="A3857" t="s">
        <v>3907</v>
      </c>
      <c r="B3857" t="s">
        <v>11440</v>
      </c>
      <c r="C3857" t="s">
        <v>15476</v>
      </c>
      <c r="D3857" t="s">
        <v>16206</v>
      </c>
      <c r="E3857" t="s">
        <v>16218</v>
      </c>
      <c r="F3857" t="s">
        <v>16220</v>
      </c>
      <c r="G3857" t="s">
        <v>16269</v>
      </c>
      <c r="H3857" t="s">
        <v>16269</v>
      </c>
      <c r="I3857" t="s">
        <v>16352</v>
      </c>
      <c r="J3857" t="s">
        <v>16386</v>
      </c>
      <c r="K3857">
        <v>0.116</v>
      </c>
      <c r="L3857">
        <v>5037</v>
      </c>
      <c r="N3857" t="s">
        <v>16393</v>
      </c>
      <c r="O3857" s="4">
        <v>28041</v>
      </c>
      <c r="P3857" s="4">
        <v>153961</v>
      </c>
      <c r="Q3857" s="4">
        <v>182002</v>
      </c>
      <c r="R3857" s="4">
        <v>546006</v>
      </c>
      <c r="S3857" t="s">
        <v>20169</v>
      </c>
      <c r="T3857" s="6">
        <v>45891</v>
      </c>
      <c r="U3857" s="4">
        <v>585000</v>
      </c>
      <c r="V3857" t="s">
        <v>23739</v>
      </c>
      <c r="W3857" t="s">
        <v>25703</v>
      </c>
      <c r="X3857" t="s">
        <v>3</v>
      </c>
      <c r="AA3857" s="5" t="str">
        <f>HYPERLINK("https://www.zillow.com/homes/657-BOURBON-CT-NAPERVILLE-IL-60565_rb/","check listing")</f>
        <v>check listing</v>
      </c>
      <c r="AB3857" s="5" t="str">
        <f>HYPERLINK("https://propertylookup.dupagecounty.gov/Datalets/Datalet.aspx?UseSearch=no&amp;mode=sales&amp;pin=0832104070","sales record")</f>
        <v>sales record</v>
      </c>
      <c r="AC3857" t="s">
        <v>3</v>
      </c>
      <c r="AD3857">
        <v>41.73672</v>
      </c>
      <c r="AE3857">
        <v>-88.11803999999999</v>
      </c>
      <c r="AF3857" s="5" t="str">
        <f>HYPERLINK("https://www.google.com/maps/search/?api=1&amp;query=41.73672,-88.11804","map")</f>
        <v>map</v>
      </c>
    </row>
    <row r="3858" spans="1:32">
      <c r="A3858" t="s">
        <v>3908</v>
      </c>
      <c r="B3858" t="s">
        <v>11441</v>
      </c>
      <c r="C3858" t="s">
        <v>15476</v>
      </c>
      <c r="D3858" t="s">
        <v>16206</v>
      </c>
      <c r="E3858" t="s">
        <v>16218</v>
      </c>
      <c r="F3858" t="s">
        <v>16220</v>
      </c>
      <c r="G3858" t="s">
        <v>16269</v>
      </c>
      <c r="H3858" t="s">
        <v>16269</v>
      </c>
      <c r="I3858" t="s">
        <v>16352</v>
      </c>
      <c r="J3858" t="s">
        <v>16386</v>
      </c>
      <c r="K3858">
        <v>0.108</v>
      </c>
      <c r="L3858">
        <v>4709</v>
      </c>
      <c r="M3858">
        <v>1076</v>
      </c>
      <c r="N3858" t="s">
        <v>16393</v>
      </c>
      <c r="O3858" s="4">
        <v>29682</v>
      </c>
      <c r="P3858" s="4">
        <v>95704</v>
      </c>
      <c r="Q3858" s="4">
        <v>125386</v>
      </c>
      <c r="R3858" s="4">
        <v>376158</v>
      </c>
      <c r="S3858" t="s">
        <v>20170</v>
      </c>
      <c r="T3858" s="6">
        <v>43160</v>
      </c>
      <c r="U3858" s="4">
        <v>259900</v>
      </c>
      <c r="V3858" t="s">
        <v>23738</v>
      </c>
      <c r="W3858" t="s">
        <v>20170</v>
      </c>
      <c r="X3858" t="s">
        <v>3</v>
      </c>
      <c r="AA3858" s="5" t="str">
        <f>HYPERLINK("https://www.zillow.com/homes/1701-NAPOLEON-DR-NAPERVILLE-IL-60565_rb/","check listing")</f>
        <v>check listing</v>
      </c>
      <c r="AB3858" s="5" t="str">
        <f>HYPERLINK("https://propertylookup.dupagecounty.gov/Datalets/Datalet.aspx?UseSearch=no&amp;mode=sales&amp;pin=0832114024","sales record")</f>
        <v>sales record</v>
      </c>
      <c r="AC3858" t="s">
        <v>27873</v>
      </c>
      <c r="AD3858">
        <v>41.737485</v>
      </c>
      <c r="AE3858">
        <v>-88.12087099999999</v>
      </c>
      <c r="AF3858" s="5" t="str">
        <f>HYPERLINK("https://www.google.com/maps/search/?api=1&amp;query=41.737485,-88.120871","map")</f>
        <v>map</v>
      </c>
    </row>
    <row r="3859" spans="1:32">
      <c r="A3859" t="s">
        <v>3909</v>
      </c>
      <c r="B3859" t="s">
        <v>11442</v>
      </c>
      <c r="C3859" t="s">
        <v>15476</v>
      </c>
      <c r="D3859" t="s">
        <v>16206</v>
      </c>
      <c r="E3859" t="s">
        <v>16218</v>
      </c>
      <c r="F3859" t="s">
        <v>16220</v>
      </c>
      <c r="G3859" t="s">
        <v>16269</v>
      </c>
      <c r="H3859" t="s">
        <v>16269</v>
      </c>
      <c r="I3859" t="s">
        <v>16352</v>
      </c>
      <c r="J3859" t="s">
        <v>16386</v>
      </c>
      <c r="K3859">
        <v>0.097</v>
      </c>
      <c r="L3859">
        <v>4239</v>
      </c>
      <c r="N3859" t="s">
        <v>16393</v>
      </c>
      <c r="O3859" s="4">
        <v>28041</v>
      </c>
      <c r="P3859" s="4">
        <v>178149</v>
      </c>
      <c r="Q3859" s="4">
        <v>206190</v>
      </c>
      <c r="R3859" s="4">
        <v>618570</v>
      </c>
      <c r="S3859" t="s">
        <v>20171</v>
      </c>
      <c r="T3859" s="6">
        <v>44957</v>
      </c>
      <c r="U3859" s="4">
        <v>550000</v>
      </c>
      <c r="V3859" t="s">
        <v>23739</v>
      </c>
      <c r="W3859" t="s">
        <v>25704</v>
      </c>
      <c r="X3859" t="s">
        <v>3</v>
      </c>
      <c r="AA3859" s="5" t="str">
        <f>HYPERLINK("https://www.zillow.com/homes/641-BOURBON-CT-NAPERVILLE-IL-60565_rb/","check listing")</f>
        <v>check listing</v>
      </c>
      <c r="AB3859" s="5" t="str">
        <f>HYPERLINK("https://propertylookup.dupagecounty.gov/Datalets/Datalet.aspx?UseSearch=no&amp;mode=sales&amp;pin=0832104064","sales record")</f>
        <v>sales record</v>
      </c>
      <c r="AC3859" t="s">
        <v>3</v>
      </c>
      <c r="AD3859">
        <v>41.737105</v>
      </c>
      <c r="AE3859">
        <v>-88.118526</v>
      </c>
      <c r="AF3859" s="5" t="str">
        <f>HYPERLINK("https://www.google.com/maps/search/?api=1&amp;query=41.737105,-88.118526","map")</f>
        <v>map</v>
      </c>
    </row>
    <row r="3860" spans="1:32">
      <c r="A3860" t="s">
        <v>3910</v>
      </c>
      <c r="B3860" t="s">
        <v>11443</v>
      </c>
      <c r="C3860" t="s">
        <v>15526</v>
      </c>
      <c r="D3860" t="s">
        <v>16206</v>
      </c>
      <c r="E3860" t="s">
        <v>16218</v>
      </c>
      <c r="F3860" t="s">
        <v>16220</v>
      </c>
      <c r="G3860" t="s">
        <v>16269</v>
      </c>
      <c r="H3860" t="s">
        <v>16269</v>
      </c>
      <c r="I3860" t="s">
        <v>16352</v>
      </c>
      <c r="J3860" t="s">
        <v>16386</v>
      </c>
      <c r="K3860">
        <v>0.083</v>
      </c>
      <c r="L3860">
        <v>3630</v>
      </c>
      <c r="N3860" t="s">
        <v>16393</v>
      </c>
      <c r="O3860" s="4">
        <v>28041</v>
      </c>
      <c r="P3860" s="4">
        <v>178149</v>
      </c>
      <c r="Q3860" s="4">
        <v>206190</v>
      </c>
      <c r="R3860" s="4">
        <v>618570</v>
      </c>
      <c r="S3860" t="s">
        <v>20172</v>
      </c>
      <c r="T3860" s="6">
        <v>44739</v>
      </c>
      <c r="U3860" s="4">
        <v>550000</v>
      </c>
      <c r="V3860" t="s">
        <v>23739</v>
      </c>
      <c r="W3860" t="s">
        <v>25705</v>
      </c>
      <c r="X3860" t="s">
        <v>3</v>
      </c>
      <c r="AA3860" s="5" t="str">
        <f>HYPERLINK("https://www.zillow.com/homes/643-BOURBON-CT-NAPERVILLE-IL-605652402_rb/","check listing")</f>
        <v>check listing</v>
      </c>
      <c r="AB3860" s="5" t="str">
        <f>HYPERLINK("https://propertylookup.dupagecounty.gov/Datalets/Datalet.aspx?UseSearch=no&amp;mode=sales&amp;pin=0832104065","sales record")</f>
        <v>sales record</v>
      </c>
      <c r="AC3860" t="s">
        <v>3</v>
      </c>
      <c r="AD3860">
        <v>41.737108</v>
      </c>
      <c r="AE3860">
        <v>-88.11838299999999</v>
      </c>
      <c r="AF3860" s="5" t="str">
        <f>HYPERLINK("https://www.google.com/maps/search/?api=1&amp;query=41.737108,-88.118383","map")</f>
        <v>map</v>
      </c>
    </row>
    <row r="3861" spans="1:32">
      <c r="A3861" t="s">
        <v>3911</v>
      </c>
      <c r="B3861" t="s">
        <v>11444</v>
      </c>
      <c r="C3861" t="s">
        <v>15476</v>
      </c>
      <c r="D3861" t="s">
        <v>16206</v>
      </c>
      <c r="E3861" t="s">
        <v>16218</v>
      </c>
      <c r="F3861" t="s">
        <v>16220</v>
      </c>
      <c r="G3861" t="s">
        <v>16269</v>
      </c>
      <c r="H3861" t="s">
        <v>16269</v>
      </c>
      <c r="I3861" t="s">
        <v>16352</v>
      </c>
      <c r="J3861" t="s">
        <v>16386</v>
      </c>
      <c r="K3861">
        <v>0.076</v>
      </c>
      <c r="L3861">
        <v>3328</v>
      </c>
      <c r="N3861" t="s">
        <v>16393</v>
      </c>
      <c r="O3861" s="4">
        <v>28041</v>
      </c>
      <c r="P3861" s="4">
        <v>156280</v>
      </c>
      <c r="Q3861" s="4">
        <v>184321</v>
      </c>
      <c r="R3861" s="4">
        <v>552963</v>
      </c>
      <c r="S3861" t="s">
        <v>20173</v>
      </c>
      <c r="T3861" s="6">
        <v>45162</v>
      </c>
      <c r="U3861" s="4">
        <v>535000</v>
      </c>
      <c r="V3861" t="s">
        <v>23739</v>
      </c>
      <c r="W3861" t="s">
        <v>25706</v>
      </c>
      <c r="X3861" t="s">
        <v>3</v>
      </c>
      <c r="AA3861" s="5" t="str">
        <f>HYPERLINK("https://www.zillow.com/homes/627-BOURBON-CT-NAPERVILLE-IL-60565_rb/","check listing")</f>
        <v>check listing</v>
      </c>
      <c r="AB3861" s="5" t="str">
        <f>HYPERLINK("https://propertylookup.dupagecounty.gov/Datalets/Datalet.aspx?UseSearch=no&amp;mode=sales&amp;pin=0832104078","sales record")</f>
        <v>sales record</v>
      </c>
      <c r="AC3861" t="s">
        <v>3</v>
      </c>
      <c r="AD3861">
        <v>41.737105</v>
      </c>
      <c r="AE3861">
        <v>-88.11909799999999</v>
      </c>
      <c r="AF3861" s="5" t="str">
        <f>HYPERLINK("https://www.google.com/maps/search/?api=1&amp;query=41.737105,-88.119098","map")</f>
        <v>map</v>
      </c>
    </row>
    <row r="3862" spans="1:32">
      <c r="A3862" t="s">
        <v>3912</v>
      </c>
      <c r="B3862" t="s">
        <v>11445</v>
      </c>
      <c r="C3862" t="s">
        <v>15476</v>
      </c>
      <c r="D3862" t="s">
        <v>16206</v>
      </c>
      <c r="E3862" t="s">
        <v>16218</v>
      </c>
      <c r="F3862" t="s">
        <v>16220</v>
      </c>
      <c r="G3862" t="s">
        <v>16269</v>
      </c>
      <c r="H3862" t="s">
        <v>16269</v>
      </c>
      <c r="I3862" t="s">
        <v>16352</v>
      </c>
      <c r="J3862" t="s">
        <v>16386</v>
      </c>
      <c r="K3862">
        <v>0.076</v>
      </c>
      <c r="L3862">
        <v>3291</v>
      </c>
      <c r="N3862" t="s">
        <v>16393</v>
      </c>
      <c r="O3862" s="4">
        <v>28041</v>
      </c>
      <c r="P3862" s="4">
        <v>157097</v>
      </c>
      <c r="Q3862" s="4">
        <v>185138</v>
      </c>
      <c r="R3862" s="4">
        <v>555414</v>
      </c>
      <c r="S3862" t="s">
        <v>20174</v>
      </c>
      <c r="X3862" t="s">
        <v>3</v>
      </c>
      <c r="AA3862" s="5" t="str">
        <f>HYPERLINK("https://www.zillow.com/homes/637-BOURBON-CT-304-NAPERVILLE-IL-60565_rb/","check listing")</f>
        <v>check listing</v>
      </c>
      <c r="AB3862" s="5" t="str">
        <f>HYPERLINK("https://propertylookup.dupagecounty.gov/Datalets/Datalet.aspx?UseSearch=no&amp;mode=sales&amp;pin=0832104074","sales record")</f>
        <v>sales record</v>
      </c>
      <c r="AC3862" t="s">
        <v>3</v>
      </c>
      <c r="AD3862">
        <v>41.737102</v>
      </c>
      <c r="AE3862">
        <v>-88.118663</v>
      </c>
      <c r="AF3862" s="5" t="str">
        <f>HYPERLINK("https://www.google.com/maps/search/?api=1&amp;query=41.737102,-88.118663","map")</f>
        <v>map</v>
      </c>
    </row>
    <row r="3863" spans="1:32">
      <c r="A3863" t="s">
        <v>3913</v>
      </c>
      <c r="B3863" t="s">
        <v>11446</v>
      </c>
      <c r="C3863" t="s">
        <v>15476</v>
      </c>
      <c r="D3863" t="s">
        <v>16206</v>
      </c>
      <c r="E3863" t="s">
        <v>16218</v>
      </c>
      <c r="F3863" t="s">
        <v>16220</v>
      </c>
      <c r="G3863" t="s">
        <v>16269</v>
      </c>
      <c r="H3863" t="s">
        <v>16269</v>
      </c>
      <c r="I3863" t="s">
        <v>16352</v>
      </c>
      <c r="J3863" t="s">
        <v>16386</v>
      </c>
      <c r="K3863">
        <v>0.073</v>
      </c>
      <c r="L3863">
        <v>3198</v>
      </c>
      <c r="N3863" t="s">
        <v>16393</v>
      </c>
      <c r="O3863" s="4">
        <v>28041</v>
      </c>
      <c r="P3863" s="4">
        <v>157173</v>
      </c>
      <c r="Q3863" s="4">
        <v>185214</v>
      </c>
      <c r="R3863" s="4">
        <v>555642</v>
      </c>
      <c r="S3863" t="s">
        <v>20175</v>
      </c>
      <c r="T3863" s="6">
        <v>44378</v>
      </c>
      <c r="U3863" s="4">
        <v>435000</v>
      </c>
      <c r="V3863" t="s">
        <v>23739</v>
      </c>
      <c r="W3863" t="s">
        <v>25707</v>
      </c>
      <c r="X3863" t="s">
        <v>3</v>
      </c>
      <c r="AA3863" s="5" t="str">
        <f>HYPERLINK("https://www.zillow.com/homes/631-BOURBON-CT-NAPERVILLE-IL-60565_rb/","check listing")</f>
        <v>check listing</v>
      </c>
      <c r="AB3863" s="5" t="str">
        <f>HYPERLINK("https://propertylookup.dupagecounty.gov/Datalets/Datalet.aspx?UseSearch=no&amp;mode=sales&amp;pin=0832104071","sales record")</f>
        <v>sales record</v>
      </c>
      <c r="AC3863" t="s">
        <v>3</v>
      </c>
      <c r="AD3863">
        <v>41.737094</v>
      </c>
      <c r="AE3863">
        <v>-88.118978</v>
      </c>
      <c r="AF3863" s="5" t="str">
        <f>HYPERLINK("https://www.google.com/maps/search/?api=1&amp;query=41.737094,-88.118978","map")</f>
        <v>map</v>
      </c>
    </row>
    <row r="3864" spans="1:32">
      <c r="A3864" t="s">
        <v>3914</v>
      </c>
      <c r="B3864" t="s">
        <v>11447</v>
      </c>
      <c r="C3864" t="s">
        <v>15526</v>
      </c>
      <c r="D3864" t="s">
        <v>16206</v>
      </c>
      <c r="E3864" t="s">
        <v>16218</v>
      </c>
      <c r="F3864" t="s">
        <v>16220</v>
      </c>
      <c r="G3864" t="s">
        <v>16269</v>
      </c>
      <c r="H3864" t="s">
        <v>16269</v>
      </c>
      <c r="I3864" t="s">
        <v>16352</v>
      </c>
      <c r="J3864" t="s">
        <v>16386</v>
      </c>
      <c r="K3864">
        <v>0.07199999999999999</v>
      </c>
      <c r="L3864">
        <v>3119</v>
      </c>
      <c r="N3864" t="s">
        <v>16393</v>
      </c>
      <c r="O3864" s="4">
        <v>28041</v>
      </c>
      <c r="P3864" s="4">
        <v>142188</v>
      </c>
      <c r="Q3864" s="4">
        <v>170229</v>
      </c>
      <c r="R3864" s="4">
        <v>510687</v>
      </c>
      <c r="S3864" t="s">
        <v>20176</v>
      </c>
      <c r="T3864" s="6">
        <v>45226</v>
      </c>
      <c r="U3864" s="4">
        <v>500000</v>
      </c>
      <c r="V3864" t="s">
        <v>23739</v>
      </c>
      <c r="W3864" t="s">
        <v>25708</v>
      </c>
      <c r="X3864" t="s">
        <v>3</v>
      </c>
      <c r="AA3864" s="5" t="str">
        <f>HYPERLINK("https://www.zillow.com/homes/613-BOURBON-CT-NAPERVILLE-IL-605652402_rb/","check listing")</f>
        <v>check listing</v>
      </c>
      <c r="AB3864" s="5" t="str">
        <f>HYPERLINK("https://propertylookup.dupagecounty.gov/Datalets/Datalet.aspx?UseSearch=no&amp;mode=sales&amp;pin=0832104062","sales record")</f>
        <v>sales record</v>
      </c>
      <c r="AC3864" t="s">
        <v>3</v>
      </c>
      <c r="AD3864">
        <v>41.7368</v>
      </c>
      <c r="AE3864">
        <v>-88.119522</v>
      </c>
      <c r="AF3864" s="5" t="str">
        <f>HYPERLINK("https://www.google.com/maps/search/?api=1&amp;query=41.7368,-88.119522","map")</f>
        <v>map</v>
      </c>
    </row>
    <row r="3865" spans="1:32">
      <c r="A3865" t="s">
        <v>3915</v>
      </c>
      <c r="B3865" t="s">
        <v>11448</v>
      </c>
      <c r="C3865" t="s">
        <v>15475</v>
      </c>
      <c r="D3865" t="s">
        <v>16206</v>
      </c>
      <c r="E3865" t="s">
        <v>16217</v>
      </c>
      <c r="F3865" t="s">
        <v>16220</v>
      </c>
      <c r="G3865" t="s">
        <v>16269</v>
      </c>
      <c r="H3865" t="s">
        <v>16269</v>
      </c>
      <c r="I3865" t="s">
        <v>16352</v>
      </c>
      <c r="J3865" t="s">
        <v>16386</v>
      </c>
      <c r="K3865">
        <v>0.528</v>
      </c>
      <c r="L3865">
        <v>22998</v>
      </c>
      <c r="N3865" t="s">
        <v>16392</v>
      </c>
      <c r="O3865" s="4">
        <v>76356</v>
      </c>
      <c r="P3865" s="4">
        <v>0</v>
      </c>
      <c r="Q3865" s="4">
        <v>76356</v>
      </c>
      <c r="R3865" s="4">
        <v>229068</v>
      </c>
      <c r="S3865" t="s">
        <v>18353</v>
      </c>
      <c r="T3865" s="6">
        <v>43862</v>
      </c>
      <c r="U3865" s="4">
        <v>1500000</v>
      </c>
      <c r="V3865" t="s">
        <v>23740</v>
      </c>
      <c r="W3865" t="s">
        <v>25709</v>
      </c>
      <c r="X3865" t="s">
        <v>3</v>
      </c>
      <c r="AA3865" s="5" t="str">
        <f>HYPERLINK("https://www.zillow.com/homes/N-MILL-ST-NAPERVILLE-IL-60540_rb/","check listing")</f>
        <v>check listing</v>
      </c>
      <c r="AB3865" s="5" t="str">
        <f>HYPERLINK("https://propertylookup.dupagecounty.gov/Datalets/Datalet.aspx?UseSearch=no&amp;mode=sales&amp;pin=0712403005","sales record")</f>
        <v>sales record</v>
      </c>
      <c r="AC3865" t="s">
        <v>3</v>
      </c>
      <c r="AD3865">
        <v>41.788727</v>
      </c>
      <c r="AE3865">
        <v>-88.15402400000001</v>
      </c>
      <c r="AF3865" s="5" t="str">
        <f>HYPERLINK("https://www.google.com/maps/search/?api=1&amp;query=41.788727,-88.154024","map")</f>
        <v>map</v>
      </c>
    </row>
    <row r="3866" spans="1:32">
      <c r="A3866" t="s">
        <v>3916</v>
      </c>
      <c r="B3866" t="s">
        <v>11449</v>
      </c>
      <c r="C3866" t="s">
        <v>15616</v>
      </c>
      <c r="D3866" t="s">
        <v>16206</v>
      </c>
      <c r="E3866" t="s">
        <v>16217</v>
      </c>
      <c r="F3866" t="s">
        <v>16220</v>
      </c>
      <c r="G3866" t="s">
        <v>16275</v>
      </c>
      <c r="H3866" t="s">
        <v>16276</v>
      </c>
      <c r="I3866" t="s">
        <v>16352</v>
      </c>
      <c r="J3866" t="s">
        <v>16386</v>
      </c>
      <c r="K3866">
        <v>0.164</v>
      </c>
      <c r="L3866">
        <v>7151</v>
      </c>
      <c r="M3866">
        <v>1814</v>
      </c>
      <c r="N3866" t="s">
        <v>16393</v>
      </c>
      <c r="O3866" s="4">
        <v>47905</v>
      </c>
      <c r="P3866" s="4">
        <v>0</v>
      </c>
      <c r="Q3866" s="4">
        <v>47905</v>
      </c>
      <c r="R3866" s="4">
        <v>143715</v>
      </c>
      <c r="S3866" t="s">
        <v>20177</v>
      </c>
      <c r="T3866" s="6">
        <v>42887</v>
      </c>
      <c r="U3866" s="4">
        <v>332000</v>
      </c>
      <c r="V3866" t="s">
        <v>23739</v>
      </c>
      <c r="W3866" t="s">
        <v>25710</v>
      </c>
      <c r="X3866" t="s">
        <v>3</v>
      </c>
      <c r="AA3866" s="5" t="str">
        <f>HYPERLINK("https://www.zillow.com/homes/703-WILDFLOWER-CIR-NAPERVILLE-IL-605409240_rb/","check listing")</f>
        <v>check listing</v>
      </c>
      <c r="AB3866" s="5" t="str">
        <f>HYPERLINK("https://propertylookup.dupagecounty.gov/Datalets/Datalet.aspx?UseSearch=no&amp;mode=sales&amp;pin=0722407024","sales record")</f>
        <v>sales record</v>
      </c>
      <c r="AC3866" t="s">
        <v>11</v>
      </c>
      <c r="AD3866">
        <v>41.759107</v>
      </c>
      <c r="AE3866">
        <v>-88.193462</v>
      </c>
      <c r="AF3866" s="5" t="str">
        <f>HYPERLINK("https://www.google.com/maps/search/?api=1&amp;query=41.759107,-88.193462","map")</f>
        <v>map</v>
      </c>
    </row>
    <row r="3867" spans="1:32">
      <c r="A3867" t="s">
        <v>3917</v>
      </c>
      <c r="B3867" t="s">
        <v>11450</v>
      </c>
      <c r="C3867" t="s">
        <v>15478</v>
      </c>
      <c r="D3867" t="s">
        <v>16206</v>
      </c>
      <c r="E3867" t="s">
        <v>16218</v>
      </c>
      <c r="F3867" t="s">
        <v>16221</v>
      </c>
      <c r="G3867" t="s">
        <v>16277</v>
      </c>
      <c r="H3867" t="s">
        <v>16277</v>
      </c>
      <c r="I3867" t="s">
        <v>16353</v>
      </c>
      <c r="J3867" t="s">
        <v>16386</v>
      </c>
      <c r="K3867">
        <v>0.66</v>
      </c>
      <c r="L3867">
        <v>28756</v>
      </c>
      <c r="M3867">
        <v>2308</v>
      </c>
      <c r="N3867" t="s">
        <v>16393</v>
      </c>
      <c r="O3867" s="4">
        <v>77570</v>
      </c>
      <c r="P3867" s="4">
        <v>80351</v>
      </c>
      <c r="Q3867" s="4">
        <v>157921</v>
      </c>
      <c r="R3867" s="4">
        <v>473763</v>
      </c>
      <c r="S3867" t="s">
        <v>20178</v>
      </c>
      <c r="T3867" s="6">
        <v>39083</v>
      </c>
      <c r="U3867" s="4">
        <v>305000</v>
      </c>
      <c r="V3867" t="s">
        <v>23739</v>
      </c>
      <c r="W3867" t="s">
        <v>25711</v>
      </c>
      <c r="X3867" t="s">
        <v>3</v>
      </c>
      <c r="AA3867" s="5" t="str">
        <f>HYPERLINK("https://www.zillow.com/homes/581-OLD-PLANK-RD-NAPERVILLE-IL-60563_rb/","check listing")</f>
        <v>check listing</v>
      </c>
      <c r="AB3867" s="5" t="str">
        <f>HYPERLINK("https://propertylookup.dupagecounty.gov/Datalets/Datalet.aspx?UseSearch=no&amp;mode=sales&amp;pin=0818206065","sales record")</f>
        <v>sales record</v>
      </c>
      <c r="AC3867" t="s">
        <v>3</v>
      </c>
      <c r="AD3867">
        <v>41.782209</v>
      </c>
      <c r="AE3867">
        <v>-88.132015</v>
      </c>
      <c r="AF3867" s="5" t="str">
        <f>HYPERLINK("https://www.google.com/maps/search/?api=1&amp;query=41.782209,-88.132015","map")</f>
        <v>map</v>
      </c>
    </row>
    <row r="3868" spans="1:32">
      <c r="A3868" t="s">
        <v>3918</v>
      </c>
      <c r="B3868" t="s">
        <v>11451</v>
      </c>
      <c r="C3868" t="s">
        <v>15617</v>
      </c>
      <c r="D3868" t="s">
        <v>16206</v>
      </c>
      <c r="E3868" t="s">
        <v>16218</v>
      </c>
      <c r="F3868" t="s">
        <v>16221</v>
      </c>
      <c r="G3868" t="s">
        <v>16277</v>
      </c>
      <c r="H3868" t="s">
        <v>16277</v>
      </c>
      <c r="I3868" t="s">
        <v>16353</v>
      </c>
      <c r="J3868" t="s">
        <v>16386</v>
      </c>
      <c r="K3868">
        <v>0.601</v>
      </c>
      <c r="L3868">
        <v>26165</v>
      </c>
      <c r="M3868">
        <v>3429</v>
      </c>
      <c r="N3868" t="s">
        <v>16393</v>
      </c>
      <c r="O3868" s="4">
        <v>186092</v>
      </c>
      <c r="P3868" s="4">
        <v>75220</v>
      </c>
      <c r="Q3868" s="4">
        <v>261312</v>
      </c>
      <c r="R3868" s="4">
        <v>783936</v>
      </c>
      <c r="S3868" t="s">
        <v>20179</v>
      </c>
      <c r="T3868" s="6">
        <v>33482</v>
      </c>
      <c r="U3868" s="4">
        <v>227900</v>
      </c>
      <c r="X3868" t="s">
        <v>3</v>
      </c>
      <c r="AA3868" s="5" t="str">
        <f>HYPERLINK("https://www.zillow.com/homes/49-S-MILL-ST-NAPERVILLE-IL-605404441_rb/","check listing")</f>
        <v>check listing</v>
      </c>
      <c r="AB3868" s="5" t="str">
        <f>HYPERLINK("https://propertylookup.dupagecounty.gov/Datalets/Datalet.aspx?UseSearch=no&amp;mode=sales&amp;pin=0713415019","sales record")</f>
        <v>sales record</v>
      </c>
      <c r="AC3868" t="s">
        <v>3</v>
      </c>
      <c r="AD3868">
        <v>41.773785</v>
      </c>
      <c r="AE3868">
        <v>-88.15510999999999</v>
      </c>
      <c r="AF3868" s="5" t="str">
        <f>HYPERLINK("https://www.google.com/maps/search/?api=1&amp;query=41.773785,-88.15511","map")</f>
        <v>map</v>
      </c>
    </row>
    <row r="3869" spans="1:32">
      <c r="A3869" t="s">
        <v>3919</v>
      </c>
      <c r="B3869" t="s">
        <v>11452</v>
      </c>
      <c r="C3869" t="s">
        <v>15618</v>
      </c>
      <c r="D3869" t="s">
        <v>16206</v>
      </c>
      <c r="E3869" t="s">
        <v>16218</v>
      </c>
      <c r="F3869" t="s">
        <v>16221</v>
      </c>
      <c r="G3869" t="s">
        <v>16277</v>
      </c>
      <c r="H3869" t="s">
        <v>16277</v>
      </c>
      <c r="I3869" t="s">
        <v>16353</v>
      </c>
      <c r="J3869" t="s">
        <v>16386</v>
      </c>
      <c r="K3869">
        <v>0.5600000000000001</v>
      </c>
      <c r="L3869">
        <v>24381</v>
      </c>
      <c r="M3869">
        <v>3757</v>
      </c>
      <c r="N3869" t="s">
        <v>16393</v>
      </c>
      <c r="O3869" s="4">
        <v>304910</v>
      </c>
      <c r="P3869" s="4">
        <v>632301</v>
      </c>
      <c r="Q3869" s="4">
        <v>937211</v>
      </c>
      <c r="R3869" s="4">
        <v>2811633</v>
      </c>
      <c r="S3869" t="s">
        <v>20180</v>
      </c>
      <c r="X3869" t="s">
        <v>3</v>
      </c>
      <c r="AA3869" s="5" t="str">
        <f>HYPERLINK("https://www.zillow.com/homes/104-S-EWING-ST-NAPERVILLE-IL-605404430_rb/","check listing")</f>
        <v>check listing</v>
      </c>
      <c r="AB3869" s="5" t="str">
        <f>HYPERLINK("https://propertylookup.dupagecounty.gov/Datalets/Datalet.aspx?UseSearch=no&amp;mode=sales&amp;pin=0713415031","sales record")</f>
        <v>sales record</v>
      </c>
      <c r="AC3869" t="s">
        <v>3</v>
      </c>
      <c r="AD3869">
        <v>41.77418</v>
      </c>
      <c r="AE3869">
        <v>-88.15581899999999</v>
      </c>
      <c r="AF3869" s="5" t="str">
        <f>HYPERLINK("https://www.google.com/maps/search/?api=1&amp;query=41.77418,-88.155819","map")</f>
        <v>map</v>
      </c>
    </row>
    <row r="3870" spans="1:32">
      <c r="A3870" t="s">
        <v>3920</v>
      </c>
      <c r="B3870" t="s">
        <v>11453</v>
      </c>
      <c r="C3870" t="s">
        <v>15617</v>
      </c>
      <c r="D3870" t="s">
        <v>16206</v>
      </c>
      <c r="E3870" t="s">
        <v>16218</v>
      </c>
      <c r="F3870" t="s">
        <v>16221</v>
      </c>
      <c r="G3870" t="s">
        <v>16277</v>
      </c>
      <c r="H3870" t="s">
        <v>16277</v>
      </c>
      <c r="I3870" t="s">
        <v>16353</v>
      </c>
      <c r="J3870" t="s">
        <v>16386</v>
      </c>
      <c r="K3870">
        <v>0.551</v>
      </c>
      <c r="L3870">
        <v>23982</v>
      </c>
      <c r="M3870">
        <v>4748</v>
      </c>
      <c r="N3870" t="s">
        <v>16393</v>
      </c>
      <c r="O3870" s="4">
        <v>177231</v>
      </c>
      <c r="P3870" s="4">
        <v>328429</v>
      </c>
      <c r="Q3870" s="4">
        <v>505660</v>
      </c>
      <c r="R3870" s="4">
        <v>1516980</v>
      </c>
      <c r="S3870" t="s">
        <v>20181</v>
      </c>
      <c r="T3870" s="6">
        <v>44075</v>
      </c>
      <c r="U3870" s="4">
        <v>950000</v>
      </c>
      <c r="V3870" t="s">
        <v>23739</v>
      </c>
      <c r="W3870" t="s">
        <v>25712</v>
      </c>
      <c r="X3870" t="s">
        <v>3</v>
      </c>
      <c r="AA3870" s="5" t="str">
        <f>HYPERLINK("https://www.zillow.com/homes/31-S-MILL-ST-NAPERVILLE-IL-605404441_rb/","check listing")</f>
        <v>check listing</v>
      </c>
      <c r="AB3870" s="5" t="str">
        <f>HYPERLINK("https://propertylookup.dupagecounty.gov/Datalets/Datalet.aspx?UseSearch=no&amp;mode=sales&amp;pin=0713415027","sales record")</f>
        <v>sales record</v>
      </c>
      <c r="AC3870" t="s">
        <v>3</v>
      </c>
      <c r="AD3870">
        <v>41.774487</v>
      </c>
      <c r="AE3870">
        <v>-88.155074</v>
      </c>
      <c r="AF3870" s="5" t="str">
        <f>HYPERLINK("https://www.google.com/maps/search/?api=1&amp;query=41.774487,-88.155074","map")</f>
        <v>map</v>
      </c>
    </row>
    <row r="3871" spans="1:32">
      <c r="A3871" t="s">
        <v>3921</v>
      </c>
      <c r="B3871" t="s">
        <v>11454</v>
      </c>
      <c r="C3871" t="s">
        <v>15475</v>
      </c>
      <c r="D3871" t="s">
        <v>16206</v>
      </c>
      <c r="E3871" t="s">
        <v>16218</v>
      </c>
      <c r="F3871" t="s">
        <v>16221</v>
      </c>
      <c r="G3871" t="s">
        <v>16277</v>
      </c>
      <c r="H3871" t="s">
        <v>16277</v>
      </c>
      <c r="I3871" t="s">
        <v>16353</v>
      </c>
      <c r="J3871" t="s">
        <v>16386</v>
      </c>
      <c r="K3871">
        <v>0.527</v>
      </c>
      <c r="L3871">
        <v>22968</v>
      </c>
      <c r="M3871">
        <v>1336</v>
      </c>
      <c r="N3871" t="s">
        <v>16393</v>
      </c>
      <c r="O3871" s="4">
        <v>173332</v>
      </c>
      <c r="P3871" s="4">
        <v>136575</v>
      </c>
      <c r="Q3871" s="4">
        <v>309907</v>
      </c>
      <c r="R3871" s="4">
        <v>929721</v>
      </c>
      <c r="S3871" t="s">
        <v>20182</v>
      </c>
      <c r="T3871" s="6">
        <v>42552</v>
      </c>
      <c r="U3871" s="4">
        <v>590000</v>
      </c>
      <c r="V3871" t="s">
        <v>23739</v>
      </c>
      <c r="W3871" t="s">
        <v>25713</v>
      </c>
      <c r="X3871" t="s">
        <v>3</v>
      </c>
      <c r="AA3871" s="5" t="str">
        <f>HYPERLINK("https://www.zillow.com/homes/406-E-4TH-AVE-NAPERVILLE-IL-60540_rb/","check listing")</f>
        <v>check listing</v>
      </c>
      <c r="AB3871" s="5" t="str">
        <f>HYPERLINK("https://propertylookup.dupagecounty.gov/Datalets/Datalet.aspx?UseSearch=no&amp;mode=sales&amp;pin=0818136001","sales record")</f>
        <v>sales record</v>
      </c>
      <c r="AC3871" t="s">
        <v>27873</v>
      </c>
      <c r="AD3871">
        <v>41.779363</v>
      </c>
      <c r="AE3871">
        <v>-88.141727</v>
      </c>
      <c r="AF3871" s="5" t="str">
        <f>HYPERLINK("https://www.google.com/maps/search/?api=1&amp;query=41.779363,-88.141727","map")</f>
        <v>map</v>
      </c>
    </row>
    <row r="3872" spans="1:32">
      <c r="A3872" t="s">
        <v>3922</v>
      </c>
      <c r="B3872" t="s">
        <v>11455</v>
      </c>
      <c r="C3872" t="s">
        <v>15475</v>
      </c>
      <c r="D3872" t="s">
        <v>16206</v>
      </c>
      <c r="E3872" t="s">
        <v>16218</v>
      </c>
      <c r="F3872" t="s">
        <v>16221</v>
      </c>
      <c r="G3872" t="s">
        <v>16277</v>
      </c>
      <c r="H3872" t="s">
        <v>16277</v>
      </c>
      <c r="I3872" t="s">
        <v>16353</v>
      </c>
      <c r="J3872" t="s">
        <v>16386</v>
      </c>
      <c r="K3872">
        <v>0.518</v>
      </c>
      <c r="L3872">
        <v>22572</v>
      </c>
      <c r="M3872">
        <v>2957</v>
      </c>
      <c r="N3872" t="s">
        <v>16393</v>
      </c>
      <c r="O3872" s="4">
        <v>276552</v>
      </c>
      <c r="P3872" s="4">
        <v>114612</v>
      </c>
      <c r="Q3872" s="4">
        <v>391164</v>
      </c>
      <c r="R3872" s="4">
        <v>1173492</v>
      </c>
      <c r="S3872" t="s">
        <v>20183</v>
      </c>
      <c r="T3872" s="6">
        <v>34455</v>
      </c>
      <c r="U3872" s="4">
        <v>270000</v>
      </c>
      <c r="X3872" t="s">
        <v>3</v>
      </c>
      <c r="AA3872" s="5" t="str">
        <f>HYPERLINK("https://www.zillow.com/homes/30-S-BRAINARD-ST-NAPERVILLE-IL-60540_rb/","check listing")</f>
        <v>check listing</v>
      </c>
      <c r="AB3872" s="5" t="str">
        <f>HYPERLINK("https://propertylookup.dupagecounty.gov/Datalets/Datalet.aspx?UseSearch=no&amp;mode=sales&amp;pin=0818315003","sales record")</f>
        <v>sales record</v>
      </c>
      <c r="AC3872" t="s">
        <v>3</v>
      </c>
      <c r="AD3872">
        <v>41.774253</v>
      </c>
      <c r="AE3872">
        <v>-88.14333499999999</v>
      </c>
      <c r="AF3872" s="5" t="str">
        <f>HYPERLINK("https://www.google.com/maps/search/?api=1&amp;query=41.774253,-88.143335","map")</f>
        <v>map</v>
      </c>
    </row>
    <row r="3873" spans="1:32">
      <c r="A3873" t="s">
        <v>3923</v>
      </c>
      <c r="B3873" t="s">
        <v>11456</v>
      </c>
      <c r="C3873" t="s">
        <v>15619</v>
      </c>
      <c r="D3873" t="s">
        <v>16206</v>
      </c>
      <c r="E3873" t="s">
        <v>16218</v>
      </c>
      <c r="F3873" t="s">
        <v>16221</v>
      </c>
      <c r="G3873" t="s">
        <v>16277</v>
      </c>
      <c r="H3873" t="s">
        <v>16277</v>
      </c>
      <c r="I3873" t="s">
        <v>16353</v>
      </c>
      <c r="J3873" t="s">
        <v>16386</v>
      </c>
      <c r="K3873">
        <v>0.511</v>
      </c>
      <c r="L3873">
        <v>22246</v>
      </c>
      <c r="M3873">
        <v>4187</v>
      </c>
      <c r="N3873" t="s">
        <v>16393</v>
      </c>
      <c r="O3873" s="4">
        <v>263816</v>
      </c>
      <c r="P3873" s="4">
        <v>222029</v>
      </c>
      <c r="Q3873" s="4">
        <v>485845</v>
      </c>
      <c r="R3873" s="4">
        <v>1457535</v>
      </c>
      <c r="S3873" t="s">
        <v>20184</v>
      </c>
      <c r="X3873" t="s">
        <v>3</v>
      </c>
      <c r="AA3873" s="5" t="str">
        <f>HYPERLINK("https://www.zillow.com/homes/119-S-COLUMBIA-ST-NAPERVILLE-IL-60566_rb/","check listing")</f>
        <v>check listing</v>
      </c>
      <c r="AB3873" s="5" t="str">
        <f>HYPERLINK("https://propertylookup.dupagecounty.gov/Datalets/Datalet.aspx?UseSearch=no&amp;mode=sales&amp;pin=0818409011","sales record")</f>
        <v>sales record</v>
      </c>
      <c r="AC3873" t="s">
        <v>3</v>
      </c>
      <c r="AD3873">
        <v>41.77335</v>
      </c>
      <c r="AE3873">
        <v>-88.138543</v>
      </c>
      <c r="AF3873" s="5" t="str">
        <f>HYPERLINK("https://www.google.com/maps/search/?api=1&amp;query=41.77335,-88.138543","map")</f>
        <v>map</v>
      </c>
    </row>
    <row r="3874" spans="1:32">
      <c r="A3874" t="s">
        <v>3924</v>
      </c>
      <c r="B3874" t="s">
        <v>11457</v>
      </c>
      <c r="C3874" t="s">
        <v>15475</v>
      </c>
      <c r="D3874" t="s">
        <v>16206</v>
      </c>
      <c r="E3874" t="s">
        <v>16218</v>
      </c>
      <c r="F3874" t="s">
        <v>16221</v>
      </c>
      <c r="G3874" t="s">
        <v>16277</v>
      </c>
      <c r="H3874" t="s">
        <v>16277</v>
      </c>
      <c r="I3874" t="s">
        <v>16353</v>
      </c>
      <c r="J3874" t="s">
        <v>16386</v>
      </c>
      <c r="K3874">
        <v>0.491</v>
      </c>
      <c r="L3874">
        <v>21375</v>
      </c>
      <c r="M3874">
        <v>2707</v>
      </c>
      <c r="N3874" t="s">
        <v>16393</v>
      </c>
      <c r="O3874" s="4">
        <v>188277</v>
      </c>
      <c r="P3874" s="4">
        <v>551576</v>
      </c>
      <c r="Q3874" s="4">
        <v>739853</v>
      </c>
      <c r="R3874" s="4">
        <v>2219559</v>
      </c>
      <c r="S3874" t="s">
        <v>20185</v>
      </c>
      <c r="T3874" s="6">
        <v>35916</v>
      </c>
      <c r="U3874" s="4">
        <v>270000</v>
      </c>
      <c r="X3874" t="s">
        <v>3</v>
      </c>
      <c r="AA3874" s="5" t="str">
        <f>HYPERLINK("https://www.zillow.com/homes/526-S-WEBSTER-ST-NAPERVILLE-IL-60540_rb/","check listing")</f>
        <v>check listing</v>
      </c>
      <c r="AB3874" s="5" t="str">
        <f>HYPERLINK("https://propertylookup.dupagecounty.gov/Datalets/Datalet.aspx?UseSearch=no&amp;mode=sales&amp;pin=0724202006","sales record")</f>
        <v>sales record</v>
      </c>
      <c r="AC3874" t="s">
        <v>3</v>
      </c>
      <c r="AD3874">
        <v>41.769286</v>
      </c>
      <c r="AE3874">
        <v>-88.150921</v>
      </c>
      <c r="AF3874" s="5" t="str">
        <f>HYPERLINK("https://www.google.com/maps/search/?api=1&amp;query=41.769286,-88.150921","map")</f>
        <v>map</v>
      </c>
    </row>
    <row r="3875" spans="1:32">
      <c r="A3875" t="s">
        <v>3925</v>
      </c>
      <c r="B3875" t="s">
        <v>11458</v>
      </c>
      <c r="C3875" t="s">
        <v>15478</v>
      </c>
      <c r="D3875" t="s">
        <v>16206</v>
      </c>
      <c r="E3875" t="s">
        <v>16218</v>
      </c>
      <c r="F3875" t="s">
        <v>16221</v>
      </c>
      <c r="G3875" t="s">
        <v>16277</v>
      </c>
      <c r="H3875" t="s">
        <v>16277</v>
      </c>
      <c r="I3875" t="s">
        <v>16353</v>
      </c>
      <c r="J3875" t="s">
        <v>16386</v>
      </c>
      <c r="K3875">
        <v>0.459</v>
      </c>
      <c r="L3875">
        <v>19995</v>
      </c>
      <c r="M3875">
        <v>3447</v>
      </c>
      <c r="N3875" t="s">
        <v>16393</v>
      </c>
      <c r="O3875" s="4">
        <v>59696</v>
      </c>
      <c r="P3875" s="4">
        <v>108975</v>
      </c>
      <c r="Q3875" s="4">
        <v>168671</v>
      </c>
      <c r="R3875" s="4">
        <v>506013</v>
      </c>
      <c r="S3875" t="s">
        <v>20186</v>
      </c>
      <c r="T3875" s="6">
        <v>37653</v>
      </c>
      <c r="U3875" s="4">
        <v>379900</v>
      </c>
      <c r="V3875" t="s">
        <v>23740</v>
      </c>
      <c r="W3875" t="s">
        <v>20186</v>
      </c>
      <c r="X3875" t="s">
        <v>3</v>
      </c>
      <c r="AA3875" s="5" t="str">
        <f>HYPERLINK("https://www.zillow.com/homes/84246-COLUMBIA-ST-NAPERVILLE-IL-60563_rb/","check listing")</f>
        <v>check listing</v>
      </c>
      <c r="AB3875" s="5" t="str">
        <f>HYPERLINK("https://propertylookup.dupagecounty.gov/Datalets/Datalet.aspx?UseSearch=no&amp;mode=sales&amp;pin=0818212001","sales record")</f>
        <v>sales record</v>
      </c>
      <c r="AC3875" t="s">
        <v>3</v>
      </c>
      <c r="AD3875">
        <v>41.784508</v>
      </c>
      <c r="AE3875">
        <v>-88.13638400000001</v>
      </c>
      <c r="AF3875" s="5" t="str">
        <f>HYPERLINK("https://www.google.com/maps/search/?api=1&amp;query=41.784508,-88.136384","map")</f>
        <v>map</v>
      </c>
    </row>
    <row r="3876" spans="1:32">
      <c r="A3876" t="s">
        <v>3926</v>
      </c>
      <c r="B3876" t="s">
        <v>11459</v>
      </c>
      <c r="C3876" t="s">
        <v>15478</v>
      </c>
      <c r="D3876" t="s">
        <v>16206</v>
      </c>
      <c r="E3876" t="s">
        <v>16218</v>
      </c>
      <c r="F3876" t="s">
        <v>16221</v>
      </c>
      <c r="G3876" t="s">
        <v>16277</v>
      </c>
      <c r="H3876" t="s">
        <v>16277</v>
      </c>
      <c r="I3876" t="s">
        <v>16353</v>
      </c>
      <c r="J3876" t="s">
        <v>16386</v>
      </c>
      <c r="K3876">
        <v>0.428</v>
      </c>
      <c r="L3876">
        <v>18653</v>
      </c>
      <c r="M3876">
        <v>2310</v>
      </c>
      <c r="N3876" t="s">
        <v>16393</v>
      </c>
      <c r="O3876" s="4">
        <v>80649</v>
      </c>
      <c r="P3876" s="4">
        <v>94325</v>
      </c>
      <c r="Q3876" s="4">
        <v>174974</v>
      </c>
      <c r="R3876" s="4">
        <v>524922</v>
      </c>
      <c r="S3876" t="s">
        <v>20187</v>
      </c>
      <c r="T3876" s="6">
        <v>37681</v>
      </c>
      <c r="U3876" s="4">
        <v>290000</v>
      </c>
      <c r="V3876" t="s">
        <v>23739</v>
      </c>
      <c r="W3876" t="s">
        <v>25714</v>
      </c>
      <c r="X3876" t="s">
        <v>3</v>
      </c>
      <c r="AA3876" s="5" t="str">
        <f>HYPERLINK("https://www.zillow.com/homes/585-OLD-PLANK-RD-NAPERVILLE-IL-60563_rb/","check listing")</f>
        <v>check listing</v>
      </c>
      <c r="AB3876" s="5" t="str">
        <f>HYPERLINK("https://propertylookup.dupagecounty.gov/Datalets/Datalet.aspx?UseSearch=no&amp;mode=sales&amp;pin=0818206066","sales record")</f>
        <v>sales record</v>
      </c>
      <c r="AC3876" t="s">
        <v>3</v>
      </c>
      <c r="AD3876">
        <v>41.782502</v>
      </c>
      <c r="AE3876">
        <v>-88.1318</v>
      </c>
      <c r="AF3876" s="5" t="str">
        <f>HYPERLINK("https://www.google.com/maps/search/?api=1&amp;query=41.782502,-88.1318","map")</f>
        <v>map</v>
      </c>
    </row>
    <row r="3877" spans="1:32">
      <c r="A3877" t="s">
        <v>3927</v>
      </c>
      <c r="B3877" t="s">
        <v>11460</v>
      </c>
      <c r="C3877" t="s">
        <v>15620</v>
      </c>
      <c r="D3877" t="s">
        <v>16206</v>
      </c>
      <c r="E3877" t="s">
        <v>16218</v>
      </c>
      <c r="F3877" t="s">
        <v>16221</v>
      </c>
      <c r="G3877" t="s">
        <v>16277</v>
      </c>
      <c r="H3877" t="s">
        <v>16277</v>
      </c>
      <c r="I3877" t="s">
        <v>16353</v>
      </c>
      <c r="J3877" t="s">
        <v>16386</v>
      </c>
      <c r="K3877">
        <v>0.426</v>
      </c>
      <c r="L3877">
        <v>18554</v>
      </c>
      <c r="M3877">
        <v>3760</v>
      </c>
      <c r="N3877" t="s">
        <v>16393</v>
      </c>
      <c r="O3877" s="4">
        <v>53727</v>
      </c>
      <c r="P3877" s="4">
        <v>149371</v>
      </c>
      <c r="Q3877" s="4">
        <v>203098</v>
      </c>
      <c r="R3877" s="4">
        <v>609294</v>
      </c>
      <c r="S3877" t="s">
        <v>20188</v>
      </c>
      <c r="T3877" s="6">
        <v>42826</v>
      </c>
      <c r="U3877" s="4">
        <v>470000</v>
      </c>
      <c r="V3877" t="s">
        <v>23740</v>
      </c>
      <c r="W3877" t="s">
        <v>25715</v>
      </c>
      <c r="X3877" t="s">
        <v>3</v>
      </c>
      <c r="AA3877" s="5" t="str">
        <f>HYPERLINK("https://www.zillow.com/homes/866-N-COLUMBIA-ST-NAPERVILLE-IL-605633218_rb/","check listing")</f>
        <v>check listing</v>
      </c>
      <c r="AB3877" s="5" t="str">
        <f>HYPERLINK("https://propertylookup.dupagecounty.gov/Datalets/Datalet.aspx?UseSearch=no&amp;mode=sales&amp;pin=0807415002","sales record")</f>
        <v>sales record</v>
      </c>
      <c r="AC3877" t="s">
        <v>3</v>
      </c>
      <c r="AD3877">
        <v>41.785315</v>
      </c>
      <c r="AE3877">
        <v>-88.136275</v>
      </c>
      <c r="AF3877" s="5" t="str">
        <f>HYPERLINK("https://www.google.com/maps/search/?api=1&amp;query=41.785315,-88.136275","map")</f>
        <v>map</v>
      </c>
    </row>
    <row r="3878" spans="1:32">
      <c r="A3878" t="s">
        <v>3928</v>
      </c>
      <c r="B3878" t="s">
        <v>11461</v>
      </c>
      <c r="C3878" t="s">
        <v>15621</v>
      </c>
      <c r="D3878" t="s">
        <v>16206</v>
      </c>
      <c r="E3878" t="s">
        <v>16218</v>
      </c>
      <c r="F3878" t="s">
        <v>16221</v>
      </c>
      <c r="G3878" t="s">
        <v>16278</v>
      </c>
      <c r="H3878" t="s">
        <v>16277</v>
      </c>
      <c r="I3878" t="s">
        <v>16353</v>
      </c>
      <c r="J3878" t="s">
        <v>16386</v>
      </c>
      <c r="K3878">
        <v>0.417</v>
      </c>
      <c r="L3878">
        <v>18186</v>
      </c>
      <c r="N3878" t="s">
        <v>16393</v>
      </c>
      <c r="O3878" s="4">
        <v>72755</v>
      </c>
      <c r="P3878" s="4">
        <v>162353</v>
      </c>
      <c r="Q3878" s="4">
        <v>235108</v>
      </c>
      <c r="R3878" s="4">
        <v>705324</v>
      </c>
      <c r="S3878" t="s">
        <v>20189</v>
      </c>
      <c r="T3878" s="6">
        <v>43405</v>
      </c>
      <c r="U3878" s="4">
        <v>519928</v>
      </c>
      <c r="V3878" t="s">
        <v>16232</v>
      </c>
      <c r="W3878" t="s">
        <v>25716</v>
      </c>
      <c r="X3878" t="s">
        <v>3</v>
      </c>
      <c r="AA3878" s="5" t="str">
        <f>HYPERLINK("https://www.zillow.com/homes/2424-COASTAL-SAGE-CT-NAPERVILLE-IL-605633613_rb/","check listing")</f>
        <v>check listing</v>
      </c>
      <c r="AB3878" s="5" t="str">
        <f>HYPERLINK("https://propertylookup.dupagecounty.gov/Datalets/Datalet.aspx?UseSearch=no&amp;mode=sales&amp;pin=0709311065","sales record")</f>
        <v>sales record</v>
      </c>
      <c r="AC3878" t="s">
        <v>3</v>
      </c>
      <c r="AD3878">
        <v>41.786088</v>
      </c>
      <c r="AE3878">
        <v>-88.219714</v>
      </c>
      <c r="AF3878" s="5" t="str">
        <f>HYPERLINK("https://www.google.com/maps/search/?api=1&amp;query=41.786088,-88.219714","map")</f>
        <v>map</v>
      </c>
    </row>
    <row r="3879" spans="1:32">
      <c r="A3879" t="s">
        <v>3929</v>
      </c>
      <c r="B3879" t="s">
        <v>11462</v>
      </c>
      <c r="C3879" t="s">
        <v>15478</v>
      </c>
      <c r="D3879" t="s">
        <v>16206</v>
      </c>
      <c r="E3879" t="s">
        <v>16218</v>
      </c>
      <c r="F3879" t="s">
        <v>16221</v>
      </c>
      <c r="G3879" t="s">
        <v>16277</v>
      </c>
      <c r="H3879" t="s">
        <v>16277</v>
      </c>
      <c r="I3879" t="s">
        <v>16353</v>
      </c>
      <c r="J3879" t="s">
        <v>16386</v>
      </c>
      <c r="K3879">
        <v>0.416</v>
      </c>
      <c r="L3879">
        <v>18122</v>
      </c>
      <c r="M3879">
        <v>4749</v>
      </c>
      <c r="N3879" t="s">
        <v>16393</v>
      </c>
      <c r="O3879" s="4">
        <v>90484</v>
      </c>
      <c r="P3879" s="4">
        <v>92564</v>
      </c>
      <c r="Q3879" s="4">
        <v>183048</v>
      </c>
      <c r="R3879" s="4">
        <v>549144</v>
      </c>
      <c r="S3879" t="s">
        <v>20190</v>
      </c>
      <c r="T3879" s="6">
        <v>45880</v>
      </c>
      <c r="U3879" s="4">
        <v>570000</v>
      </c>
      <c r="V3879" t="s">
        <v>23739</v>
      </c>
      <c r="W3879" t="s">
        <v>25717</v>
      </c>
      <c r="X3879" t="s">
        <v>3</v>
      </c>
      <c r="AA3879" s="5" t="str">
        <f>HYPERLINK("https://www.zillow.com/homes/822-N-WASHINGTON-ST-NAPERVILLE-IL-60563_rb/","check listing")</f>
        <v>check listing</v>
      </c>
      <c r="AB3879" s="5" t="str">
        <f>HYPERLINK("https://propertylookup.dupagecounty.gov/Datalets/Datalet.aspx?UseSearch=no&amp;mode=sales&amp;pin=0807313002","sales record")</f>
        <v>sales record</v>
      </c>
      <c r="AC3879" t="s">
        <v>3</v>
      </c>
      <c r="AD3879">
        <v>41.784914</v>
      </c>
      <c r="AE3879">
        <v>-88.1469</v>
      </c>
      <c r="AF3879" s="5" t="str">
        <f>HYPERLINK("https://www.google.com/maps/search/?api=1&amp;query=41.784914,-88.1469","map")</f>
        <v>map</v>
      </c>
    </row>
    <row r="3880" spans="1:32">
      <c r="A3880" t="s">
        <v>3930</v>
      </c>
      <c r="B3880" t="s">
        <v>11463</v>
      </c>
      <c r="C3880" t="s">
        <v>15475</v>
      </c>
      <c r="D3880" t="s">
        <v>16206</v>
      </c>
      <c r="E3880" t="s">
        <v>16218</v>
      </c>
      <c r="F3880" t="s">
        <v>16221</v>
      </c>
      <c r="G3880" t="s">
        <v>16277</v>
      </c>
      <c r="H3880" t="s">
        <v>16277</v>
      </c>
      <c r="I3880" t="s">
        <v>16353</v>
      </c>
      <c r="J3880" t="s">
        <v>16386</v>
      </c>
      <c r="K3880">
        <v>0.411</v>
      </c>
      <c r="L3880">
        <v>17887</v>
      </c>
      <c r="M3880">
        <v>1286</v>
      </c>
      <c r="N3880" t="s">
        <v>16393</v>
      </c>
      <c r="O3880" s="4">
        <v>99105</v>
      </c>
      <c r="P3880" s="4">
        <v>48197</v>
      </c>
      <c r="Q3880" s="4">
        <v>147302</v>
      </c>
      <c r="R3880" s="4">
        <v>441906</v>
      </c>
      <c r="S3880" t="s">
        <v>20191</v>
      </c>
      <c r="T3880" s="6">
        <v>32417</v>
      </c>
      <c r="U3880" s="4">
        <v>115000</v>
      </c>
      <c r="X3880" t="s">
        <v>3</v>
      </c>
      <c r="AA3880" s="5" t="str">
        <f>HYPERLINK("https://www.zillow.com/homes/810-N-SLEIGHT-ST-NAPERVILLE-IL-60540_rb/","check listing")</f>
        <v>check listing</v>
      </c>
      <c r="AB3880" s="5" t="str">
        <f>HYPERLINK("https://propertylookup.dupagecounty.gov/Datalets/Datalet.aspx?UseSearch=no&amp;mode=sales&amp;pin=0818122001","sales record")</f>
        <v>sales record</v>
      </c>
      <c r="AC3880" t="s">
        <v>3</v>
      </c>
      <c r="AD3880">
        <v>41.784277</v>
      </c>
      <c r="AE3880">
        <v>-88.13952399999999</v>
      </c>
      <c r="AF3880" s="5" t="str">
        <f>HYPERLINK("https://www.google.com/maps/search/?api=1&amp;query=41.784277,-88.139524","map")</f>
        <v>map</v>
      </c>
    </row>
    <row r="3881" spans="1:32">
      <c r="A3881" t="s">
        <v>3931</v>
      </c>
      <c r="B3881" t="s">
        <v>11464</v>
      </c>
      <c r="C3881" t="s">
        <v>15475</v>
      </c>
      <c r="D3881" t="s">
        <v>16206</v>
      </c>
      <c r="E3881" t="s">
        <v>16218</v>
      </c>
      <c r="F3881" t="s">
        <v>16221</v>
      </c>
      <c r="G3881" t="s">
        <v>16277</v>
      </c>
      <c r="H3881" t="s">
        <v>16277</v>
      </c>
      <c r="I3881" t="s">
        <v>16353</v>
      </c>
      <c r="J3881" t="s">
        <v>16386</v>
      </c>
      <c r="K3881">
        <v>0.408</v>
      </c>
      <c r="L3881">
        <v>17779</v>
      </c>
      <c r="M3881">
        <v>5143</v>
      </c>
      <c r="N3881" t="s">
        <v>16393</v>
      </c>
      <c r="O3881" s="4">
        <v>177231</v>
      </c>
      <c r="P3881" s="4">
        <v>500791</v>
      </c>
      <c r="Q3881" s="4">
        <v>678022</v>
      </c>
      <c r="R3881" s="4">
        <v>2034066</v>
      </c>
      <c r="S3881" t="s">
        <v>20192</v>
      </c>
      <c r="X3881" t="s">
        <v>3</v>
      </c>
      <c r="AA3881" s="5" t="str">
        <f>HYPERLINK("https://www.zillow.com/homes/507-W-VAN-BUREN-AVE-NAPERVILLE-IL-60540_rb/","check listing")</f>
        <v>check listing</v>
      </c>
      <c r="AB3881" s="5" t="str">
        <f>HYPERLINK("https://propertylookup.dupagecounty.gov/Datalets/Datalet.aspx?UseSearch=no&amp;mode=sales&amp;pin=0713413009","sales record")</f>
        <v>sales record</v>
      </c>
      <c r="AC3881" t="s">
        <v>3</v>
      </c>
      <c r="AD3881">
        <v>41.774659</v>
      </c>
      <c r="AE3881">
        <v>-88.156584</v>
      </c>
      <c r="AF3881" s="5" t="str">
        <f>HYPERLINK("https://www.google.com/maps/search/?api=1&amp;query=41.774659,-88.156584","map")</f>
        <v>map</v>
      </c>
    </row>
    <row r="3882" spans="1:32">
      <c r="A3882" t="s">
        <v>3932</v>
      </c>
      <c r="B3882" t="s">
        <v>11465</v>
      </c>
      <c r="C3882" t="s">
        <v>15475</v>
      </c>
      <c r="D3882" t="s">
        <v>16206</v>
      </c>
      <c r="E3882" t="s">
        <v>16218</v>
      </c>
      <c r="F3882" t="s">
        <v>16221</v>
      </c>
      <c r="G3882" t="s">
        <v>16277</v>
      </c>
      <c r="H3882" t="s">
        <v>16277</v>
      </c>
      <c r="I3882" t="s">
        <v>16353</v>
      </c>
      <c r="J3882" t="s">
        <v>16386</v>
      </c>
      <c r="K3882">
        <v>0.382</v>
      </c>
      <c r="L3882">
        <v>16654</v>
      </c>
      <c r="M3882">
        <v>4321</v>
      </c>
      <c r="N3882" t="s">
        <v>16393</v>
      </c>
      <c r="O3882" s="4">
        <v>188601</v>
      </c>
      <c r="P3882" s="4">
        <v>293747</v>
      </c>
      <c r="Q3882" s="4">
        <v>482348</v>
      </c>
      <c r="R3882" s="4">
        <v>1447044</v>
      </c>
      <c r="S3882" t="s">
        <v>20193</v>
      </c>
      <c r="X3882" t="s">
        <v>3</v>
      </c>
      <c r="AA3882" s="5" t="str">
        <f>HYPERLINK("https://www.zillow.com/homes/227-E-JEFFERSON-AVE-NAPERVILLE-IL-60540_rb/","check listing")</f>
        <v>check listing</v>
      </c>
      <c r="AB3882" s="5" t="str">
        <f>HYPERLINK("https://propertylookup.dupagecounty.gov/Datalets/Datalet.aspx?UseSearch=no&amp;mode=sales&amp;pin=0818319015","sales record")</f>
        <v>sales record</v>
      </c>
      <c r="AC3882" t="s">
        <v>3</v>
      </c>
      <c r="AD3882">
        <v>41.773084</v>
      </c>
      <c r="AE3882">
        <v>-88.14420200000001</v>
      </c>
      <c r="AF3882" s="5" t="str">
        <f>HYPERLINK("https://www.google.com/maps/search/?api=1&amp;query=41.773084,-88.144202","map")</f>
        <v>map</v>
      </c>
    </row>
    <row r="3883" spans="1:32">
      <c r="A3883" t="s">
        <v>3933</v>
      </c>
      <c r="B3883" t="s">
        <v>11466</v>
      </c>
      <c r="C3883" t="s">
        <v>15475</v>
      </c>
      <c r="D3883" t="s">
        <v>16206</v>
      </c>
      <c r="E3883" t="s">
        <v>16218</v>
      </c>
      <c r="F3883" t="s">
        <v>16221</v>
      </c>
      <c r="G3883" t="s">
        <v>16277</v>
      </c>
      <c r="H3883" t="s">
        <v>16277</v>
      </c>
      <c r="I3883" t="s">
        <v>16353</v>
      </c>
      <c r="J3883" t="s">
        <v>16386</v>
      </c>
      <c r="K3883">
        <v>0.379</v>
      </c>
      <c r="L3883">
        <v>16501</v>
      </c>
      <c r="M3883">
        <v>2475</v>
      </c>
      <c r="N3883" t="s">
        <v>16393</v>
      </c>
      <c r="O3883" s="4">
        <v>178952</v>
      </c>
      <c r="P3883" s="4">
        <v>54850</v>
      </c>
      <c r="Q3883" s="4">
        <v>233802</v>
      </c>
      <c r="R3883" s="4">
        <v>701406</v>
      </c>
      <c r="S3883" t="s">
        <v>20194</v>
      </c>
      <c r="T3883" s="6">
        <v>29768</v>
      </c>
      <c r="U3883" s="4">
        <v>66250</v>
      </c>
      <c r="X3883" t="s">
        <v>3</v>
      </c>
      <c r="AA3883" s="5" t="str">
        <f>HYPERLINK("https://www.zillow.com/homes/220-N-FREMONT-ST-NAPERVILLE-IL-60540_rb/","check listing")</f>
        <v>check listing</v>
      </c>
      <c r="AB3883" s="5" t="str">
        <f>HYPERLINK("https://propertylookup.dupagecounty.gov/Datalets/Datalet.aspx?UseSearch=no&amp;mode=sales&amp;pin=0713106003","sales record")</f>
        <v>sales record</v>
      </c>
      <c r="AC3883" t="s">
        <v>3</v>
      </c>
      <c r="AD3883">
        <v>41.77796</v>
      </c>
      <c r="AE3883">
        <v>-88.158277</v>
      </c>
      <c r="AF3883" s="5" t="str">
        <f>HYPERLINK("https://www.google.com/maps/search/?api=1&amp;query=41.77796,-88.158277","map")</f>
        <v>map</v>
      </c>
    </row>
    <row r="3884" spans="1:32">
      <c r="A3884" t="s">
        <v>3934</v>
      </c>
      <c r="B3884" t="s">
        <v>11467</v>
      </c>
      <c r="C3884" t="s">
        <v>15475</v>
      </c>
      <c r="D3884" t="s">
        <v>16206</v>
      </c>
      <c r="E3884" t="s">
        <v>16218</v>
      </c>
      <c r="F3884" t="s">
        <v>16221</v>
      </c>
      <c r="G3884" t="s">
        <v>16278</v>
      </c>
      <c r="H3884" t="s">
        <v>16277</v>
      </c>
      <c r="I3884" t="s">
        <v>16353</v>
      </c>
      <c r="J3884" t="s">
        <v>16386</v>
      </c>
      <c r="K3884">
        <v>0.37</v>
      </c>
      <c r="L3884">
        <v>16117</v>
      </c>
      <c r="N3884" t="s">
        <v>16393</v>
      </c>
      <c r="O3884" s="4">
        <v>64321</v>
      </c>
      <c r="P3884" s="4">
        <v>177585</v>
      </c>
      <c r="Q3884" s="4">
        <v>241906</v>
      </c>
      <c r="R3884" s="4">
        <v>725718</v>
      </c>
      <c r="S3884" t="s">
        <v>20195</v>
      </c>
      <c r="T3884" s="6">
        <v>43101</v>
      </c>
      <c r="U3884" s="4">
        <v>484716</v>
      </c>
      <c r="V3884" t="s">
        <v>16232</v>
      </c>
      <c r="W3884" t="s">
        <v>20195</v>
      </c>
      <c r="X3884" t="s">
        <v>3</v>
      </c>
      <c r="AA3884" s="5" t="str">
        <f>HYPERLINK("https://www.zillow.com/homes/2547-BASIN-TRAIL-LN-NAPERVILLE-IL-60540_rb/","check listing")</f>
        <v>check listing</v>
      </c>
      <c r="AB3884" s="5" t="str">
        <f>HYPERLINK("https://propertylookup.dupagecounty.gov/Datalets/Datalet.aspx?UseSearch=no&amp;mode=sales&amp;pin=0709109028","sales record")</f>
        <v>sales record</v>
      </c>
      <c r="AC3884" t="s">
        <v>3</v>
      </c>
      <c r="AD3884">
        <v>41.795967</v>
      </c>
      <c r="AE3884">
        <v>-88.22483200000001</v>
      </c>
      <c r="AF3884" s="5" t="str">
        <f>HYPERLINK("https://www.google.com/maps/search/?api=1&amp;query=41.795967,-88.224832","map")</f>
        <v>map</v>
      </c>
    </row>
    <row r="3885" spans="1:32">
      <c r="A3885" t="s">
        <v>3935</v>
      </c>
      <c r="B3885" t="s">
        <v>11468</v>
      </c>
      <c r="C3885" t="s">
        <v>15622</v>
      </c>
      <c r="D3885" t="s">
        <v>16206</v>
      </c>
      <c r="E3885" t="s">
        <v>16218</v>
      </c>
      <c r="F3885" t="s">
        <v>16221</v>
      </c>
      <c r="G3885" t="s">
        <v>16277</v>
      </c>
      <c r="H3885" t="s">
        <v>16277</v>
      </c>
      <c r="I3885" t="s">
        <v>16353</v>
      </c>
      <c r="J3885" t="s">
        <v>16386</v>
      </c>
      <c r="K3885">
        <v>0.364</v>
      </c>
      <c r="L3885">
        <v>15855</v>
      </c>
      <c r="M3885">
        <v>2904</v>
      </c>
      <c r="N3885" t="s">
        <v>16393</v>
      </c>
      <c r="O3885" s="4">
        <v>171454</v>
      </c>
      <c r="P3885" s="4">
        <v>93908</v>
      </c>
      <c r="Q3885" s="4">
        <v>265362</v>
      </c>
      <c r="R3885" s="4">
        <v>796086</v>
      </c>
      <c r="S3885" t="s">
        <v>20196</v>
      </c>
      <c r="T3885" s="6">
        <v>44893</v>
      </c>
      <c r="U3885" s="4">
        <v>845000</v>
      </c>
      <c r="V3885" t="s">
        <v>23739</v>
      </c>
      <c r="W3885" t="s">
        <v>25718</v>
      </c>
      <c r="X3885" t="s">
        <v>3</v>
      </c>
      <c r="AA3885" s="5" t="str">
        <f>HYPERLINK("https://www.zillow.com/homes/132-S-WRIGHT-ST-NAPERVILLE-IL-605404960_rb/","check listing")</f>
        <v>check listing</v>
      </c>
      <c r="AB3885" s="5" t="str">
        <f>HYPERLINK("https://propertylookup.dupagecounty.gov/Datalets/Datalet.aspx?UseSearch=no&amp;mode=sales&amp;pin=0818323004","sales record")</f>
        <v>sales record</v>
      </c>
      <c r="AC3885" t="s">
        <v>3</v>
      </c>
      <c r="AD3885">
        <v>41.772893</v>
      </c>
      <c r="AE3885">
        <v>-88.139178</v>
      </c>
      <c r="AF3885" s="5" t="str">
        <f>HYPERLINK("https://www.google.com/maps/search/?api=1&amp;query=41.772893,-88.139178","map")</f>
        <v>map</v>
      </c>
    </row>
    <row r="3886" spans="1:32">
      <c r="A3886" t="s">
        <v>3936</v>
      </c>
      <c r="B3886" t="s">
        <v>11469</v>
      </c>
      <c r="C3886" t="s">
        <v>15475</v>
      </c>
      <c r="D3886" t="s">
        <v>16206</v>
      </c>
      <c r="E3886" t="s">
        <v>16218</v>
      </c>
      <c r="F3886" t="s">
        <v>16221</v>
      </c>
      <c r="G3886" t="s">
        <v>16277</v>
      </c>
      <c r="H3886" t="s">
        <v>16277</v>
      </c>
      <c r="I3886" t="s">
        <v>16353</v>
      </c>
      <c r="J3886" t="s">
        <v>16386</v>
      </c>
      <c r="K3886">
        <v>0.363</v>
      </c>
      <c r="L3886">
        <v>15830</v>
      </c>
      <c r="M3886">
        <v>2077</v>
      </c>
      <c r="N3886" t="s">
        <v>16393</v>
      </c>
      <c r="O3886" s="4">
        <v>172703</v>
      </c>
      <c r="P3886" s="4">
        <v>124113</v>
      </c>
      <c r="Q3886" s="4">
        <v>296816</v>
      </c>
      <c r="R3886" s="4">
        <v>890448</v>
      </c>
      <c r="S3886" t="s">
        <v>20197</v>
      </c>
      <c r="T3886" s="6">
        <v>33329</v>
      </c>
      <c r="U3886" s="4">
        <v>250000</v>
      </c>
      <c r="X3886" t="s">
        <v>3</v>
      </c>
      <c r="AA3886" s="5" t="str">
        <f>HYPERLINK("https://www.zillow.com/homes/144-S-SLEIGHT-ST-NAPERVILLE-IL-60540_rb/","check listing")</f>
        <v>check listing</v>
      </c>
      <c r="AB3886" s="5" t="str">
        <f>HYPERLINK("https://propertylookup.dupagecounty.gov/Datalets/Datalet.aspx?UseSearch=no&amp;mode=sales&amp;pin=0818322007","sales record")</f>
        <v>sales record</v>
      </c>
      <c r="AC3886" t="s">
        <v>3</v>
      </c>
      <c r="AD3886">
        <v>41.772735</v>
      </c>
      <c r="AE3886">
        <v>-88.140585</v>
      </c>
      <c r="AF3886" s="5" t="str">
        <f>HYPERLINK("https://www.google.com/maps/search/?api=1&amp;query=41.772735,-88.140585","map")</f>
        <v>map</v>
      </c>
    </row>
    <row r="3887" spans="1:32">
      <c r="A3887" t="s">
        <v>3937</v>
      </c>
      <c r="B3887" t="s">
        <v>11470</v>
      </c>
      <c r="C3887" t="s">
        <v>15623</v>
      </c>
      <c r="D3887" t="s">
        <v>16206</v>
      </c>
      <c r="E3887" t="s">
        <v>16218</v>
      </c>
      <c r="F3887" t="s">
        <v>16221</v>
      </c>
      <c r="G3887" t="s">
        <v>16277</v>
      </c>
      <c r="H3887" t="s">
        <v>16277</v>
      </c>
      <c r="I3887" t="s">
        <v>16353</v>
      </c>
      <c r="J3887" t="s">
        <v>16386</v>
      </c>
      <c r="K3887">
        <v>0.359</v>
      </c>
      <c r="L3887">
        <v>15628</v>
      </c>
      <c r="M3887">
        <v>5342</v>
      </c>
      <c r="N3887" t="s">
        <v>16393</v>
      </c>
      <c r="O3887" s="4">
        <v>154652</v>
      </c>
      <c r="P3887" s="4">
        <v>378251</v>
      </c>
      <c r="Q3887" s="4">
        <v>532903</v>
      </c>
      <c r="R3887" s="4">
        <v>1598709</v>
      </c>
      <c r="S3887" t="s">
        <v>20198</v>
      </c>
      <c r="T3887" s="6">
        <v>40695</v>
      </c>
      <c r="U3887" s="4">
        <v>1050000</v>
      </c>
      <c r="V3887" t="s">
        <v>23739</v>
      </c>
      <c r="W3887" t="s">
        <v>25719</v>
      </c>
      <c r="X3887" t="s">
        <v>3</v>
      </c>
      <c r="AA3887" s="5" t="str">
        <f>HYPERLINK("https://www.zillow.com/homes/340-SPRING-AVE-NAPERVILLE-IL-605404448_rb/","check listing")</f>
        <v>check listing</v>
      </c>
      <c r="AB3887" s="5" t="str">
        <f>HYPERLINK("https://propertylookup.dupagecounty.gov/Datalets/Datalet.aspx?UseSearch=no&amp;mode=sales&amp;pin=0713224019","sales record")</f>
        <v>sales record</v>
      </c>
      <c r="AC3887" t="s">
        <v>3</v>
      </c>
      <c r="AD3887">
        <v>41.77815</v>
      </c>
      <c r="AE3887">
        <v>-88.154116</v>
      </c>
      <c r="AF3887" s="5" t="str">
        <f>HYPERLINK("https://www.google.com/maps/search/?api=1&amp;query=41.77815,-88.154116","map")</f>
        <v>map</v>
      </c>
    </row>
    <row r="3888" spans="1:32">
      <c r="A3888" t="s">
        <v>3938</v>
      </c>
      <c r="B3888" t="s">
        <v>11471</v>
      </c>
      <c r="C3888" t="s">
        <v>15475</v>
      </c>
      <c r="D3888" t="s">
        <v>16206</v>
      </c>
      <c r="E3888" t="s">
        <v>16218</v>
      </c>
      <c r="F3888" t="s">
        <v>16221</v>
      </c>
      <c r="G3888" t="s">
        <v>16277</v>
      </c>
      <c r="H3888" t="s">
        <v>16277</v>
      </c>
      <c r="I3888" t="s">
        <v>16353</v>
      </c>
      <c r="J3888" t="s">
        <v>16386</v>
      </c>
      <c r="K3888">
        <v>0.351</v>
      </c>
      <c r="L3888">
        <v>15296</v>
      </c>
      <c r="M3888">
        <v>2506</v>
      </c>
      <c r="N3888" t="s">
        <v>16393</v>
      </c>
      <c r="O3888" s="4">
        <v>184653</v>
      </c>
      <c r="P3888" s="4">
        <v>82255</v>
      </c>
      <c r="Q3888" s="4">
        <v>266908</v>
      </c>
      <c r="R3888" s="4">
        <v>800724</v>
      </c>
      <c r="S3888" t="s">
        <v>20199</v>
      </c>
      <c r="T3888" s="6">
        <v>35582</v>
      </c>
      <c r="U3888" s="4">
        <v>279000</v>
      </c>
      <c r="X3888" t="s">
        <v>3</v>
      </c>
      <c r="AA3888" s="5" t="str">
        <f>HYPERLINK("https://www.zillow.com/homes/206-N-ELLSWORTH-ST-NAPERVILLE-IL-60540_rb/","check listing")</f>
        <v>check listing</v>
      </c>
      <c r="AB3888" s="5" t="str">
        <f>HYPERLINK("https://propertylookup.dupagecounty.gov/Datalets/Datalet.aspx?UseSearch=no&amp;mode=sales&amp;pin=0818132006","sales record")</f>
        <v>sales record</v>
      </c>
      <c r="AC3888" t="s">
        <v>3</v>
      </c>
      <c r="AD3888">
        <v>41.77773</v>
      </c>
      <c r="AE3888">
        <v>-88.144566</v>
      </c>
      <c r="AF3888" s="5" t="str">
        <f>HYPERLINK("https://www.google.com/maps/search/?api=1&amp;query=41.77773,-88.144566","map")</f>
        <v>map</v>
      </c>
    </row>
    <row r="3889" spans="1:32">
      <c r="A3889" t="s">
        <v>3939</v>
      </c>
      <c r="B3889" t="s">
        <v>11472</v>
      </c>
      <c r="C3889" t="s">
        <v>15624</v>
      </c>
      <c r="D3889" t="s">
        <v>16206</v>
      </c>
      <c r="E3889" t="s">
        <v>16218</v>
      </c>
      <c r="F3889" t="s">
        <v>16221</v>
      </c>
      <c r="G3889" t="s">
        <v>16277</v>
      </c>
      <c r="H3889" t="s">
        <v>16277</v>
      </c>
      <c r="I3889" t="s">
        <v>16353</v>
      </c>
      <c r="J3889" t="s">
        <v>16386</v>
      </c>
      <c r="K3889">
        <v>0.348</v>
      </c>
      <c r="L3889">
        <v>15149</v>
      </c>
      <c r="M3889">
        <v>2441</v>
      </c>
      <c r="N3889" t="s">
        <v>16393</v>
      </c>
      <c r="O3889" s="4">
        <v>171454</v>
      </c>
      <c r="P3889" s="4">
        <v>83051</v>
      </c>
      <c r="Q3889" s="4">
        <v>254505</v>
      </c>
      <c r="R3889" s="4">
        <v>763515</v>
      </c>
      <c r="S3889" t="s">
        <v>20200</v>
      </c>
      <c r="T3889" s="6">
        <v>42705</v>
      </c>
      <c r="U3889" s="4">
        <v>450000</v>
      </c>
      <c r="V3889" t="s">
        <v>23739</v>
      </c>
      <c r="W3889" t="s">
        <v>25720</v>
      </c>
      <c r="X3889" t="s">
        <v>3</v>
      </c>
      <c r="AA3889" s="5" t="str">
        <f>HYPERLINK("https://www.zillow.com/homes/124-S-COLUMBIA-ST-NAPERVILLE-IL-605404917_rb/","check listing")</f>
        <v>check listing</v>
      </c>
      <c r="AB3889" s="5" t="str">
        <f>HYPERLINK("https://propertylookup.dupagecounty.gov/Datalets/Datalet.aspx?UseSearch=no&amp;mode=sales&amp;pin=0818410005","sales record")</f>
        <v>sales record</v>
      </c>
      <c r="AC3889" t="s">
        <v>3</v>
      </c>
      <c r="AD3889">
        <v>41.773177</v>
      </c>
      <c r="AE3889">
        <v>-88.137767</v>
      </c>
      <c r="AF3889" s="5" t="str">
        <f>HYPERLINK("https://www.google.com/maps/search/?api=1&amp;query=41.773177,-88.137767","map")</f>
        <v>map</v>
      </c>
    </row>
    <row r="3890" spans="1:32">
      <c r="A3890" t="s">
        <v>3940</v>
      </c>
      <c r="B3890" t="s">
        <v>11473</v>
      </c>
      <c r="C3890" t="s">
        <v>15475</v>
      </c>
      <c r="D3890" t="s">
        <v>16206</v>
      </c>
      <c r="E3890" t="s">
        <v>16218</v>
      </c>
      <c r="F3890" t="s">
        <v>16221</v>
      </c>
      <c r="G3890" t="s">
        <v>16277</v>
      </c>
      <c r="H3890" t="s">
        <v>16277</v>
      </c>
      <c r="I3890" t="s">
        <v>16353</v>
      </c>
      <c r="J3890" t="s">
        <v>16386</v>
      </c>
      <c r="K3890">
        <v>0.347</v>
      </c>
      <c r="L3890">
        <v>15136</v>
      </c>
      <c r="M3890">
        <v>4713</v>
      </c>
      <c r="N3890" t="s">
        <v>16393</v>
      </c>
      <c r="O3890" s="4">
        <v>171073</v>
      </c>
      <c r="P3890" s="4">
        <v>226037</v>
      </c>
      <c r="Q3890" s="4">
        <v>397110</v>
      </c>
      <c r="R3890" s="4">
        <v>1191330</v>
      </c>
      <c r="S3890" t="s">
        <v>20201</v>
      </c>
      <c r="X3890" t="s">
        <v>3</v>
      </c>
      <c r="AA3890" s="5" t="str">
        <f>HYPERLINK("https://www.zillow.com/homes/15-S-LOOMIS-ST-NAPERVILLE-IL-60540_rb/","check listing")</f>
        <v>check listing</v>
      </c>
      <c r="AB3890" s="5" t="str">
        <f>HYPERLINK("https://propertylookup.dupagecounty.gov/Datalets/Datalet.aspx?UseSearch=no&amp;mode=sales&amp;pin=0818315005","sales record")</f>
        <v>sales record</v>
      </c>
      <c r="AC3890" t="s">
        <v>3</v>
      </c>
      <c r="AD3890">
        <v>41.77457</v>
      </c>
      <c r="AE3890">
        <v>-88.1427</v>
      </c>
      <c r="AF3890" s="5" t="str">
        <f>HYPERLINK("https://www.google.com/maps/search/?api=1&amp;query=41.77457,-88.1427","map")</f>
        <v>map</v>
      </c>
    </row>
    <row r="3891" spans="1:32">
      <c r="A3891" t="s">
        <v>3941</v>
      </c>
      <c r="B3891" t="s">
        <v>11474</v>
      </c>
      <c r="C3891" t="s">
        <v>15625</v>
      </c>
      <c r="D3891" t="s">
        <v>16206</v>
      </c>
      <c r="E3891" t="s">
        <v>16218</v>
      </c>
      <c r="F3891" t="s">
        <v>16221</v>
      </c>
      <c r="G3891" t="s">
        <v>16277</v>
      </c>
      <c r="H3891" t="s">
        <v>16277</v>
      </c>
      <c r="I3891" t="s">
        <v>16353</v>
      </c>
      <c r="J3891" t="s">
        <v>16386</v>
      </c>
      <c r="K3891">
        <v>0.346</v>
      </c>
      <c r="L3891">
        <v>15080</v>
      </c>
      <c r="M3891">
        <v>3067</v>
      </c>
      <c r="N3891" t="s">
        <v>16393</v>
      </c>
      <c r="O3891" s="4">
        <v>167779</v>
      </c>
      <c r="P3891" s="4">
        <v>137242</v>
      </c>
      <c r="Q3891" s="4">
        <v>305021</v>
      </c>
      <c r="R3891" s="4">
        <v>915063</v>
      </c>
      <c r="S3891" t="s">
        <v>20202</v>
      </c>
      <c r="T3891" s="6">
        <v>43466</v>
      </c>
      <c r="U3891" s="4">
        <v>760000</v>
      </c>
      <c r="V3891" t="s">
        <v>23740</v>
      </c>
      <c r="W3891" t="s">
        <v>25721</v>
      </c>
      <c r="X3891" t="s">
        <v>3</v>
      </c>
      <c r="AA3891" s="5" t="str">
        <f>HYPERLINK("https://www.zillow.com/homes/810-N-ELLSWORTH-ST-NAPERVILLE-IL-605633151_rb/","check listing")</f>
        <v>check listing</v>
      </c>
      <c r="AB3891" s="5" t="str">
        <f>HYPERLINK("https://propertylookup.dupagecounty.gov/Datalets/Datalet.aspx?UseSearch=no&amp;mode=sales&amp;pin=0818110004","sales record")</f>
        <v>sales record</v>
      </c>
      <c r="AC3891" t="s">
        <v>3</v>
      </c>
      <c r="AD3891">
        <v>41.784332</v>
      </c>
      <c r="AE3891">
        <v>-88.144074</v>
      </c>
      <c r="AF3891" s="5" t="str">
        <f>HYPERLINK("https://www.google.com/maps/search/?api=1&amp;query=41.784332,-88.144074","map")</f>
        <v>map</v>
      </c>
    </row>
    <row r="3892" spans="1:32">
      <c r="A3892" t="s">
        <v>3942</v>
      </c>
      <c r="B3892" t="s">
        <v>11475</v>
      </c>
      <c r="C3892" t="s">
        <v>15475</v>
      </c>
      <c r="D3892" t="s">
        <v>16206</v>
      </c>
      <c r="E3892" t="s">
        <v>16218</v>
      </c>
      <c r="F3892" t="s">
        <v>16221</v>
      </c>
      <c r="G3892" t="s">
        <v>16277</v>
      </c>
      <c r="H3892" t="s">
        <v>16277</v>
      </c>
      <c r="I3892" t="s">
        <v>16353</v>
      </c>
      <c r="J3892" t="s">
        <v>16386</v>
      </c>
      <c r="K3892">
        <v>0.345</v>
      </c>
      <c r="L3892">
        <v>15032</v>
      </c>
      <c r="M3892">
        <v>1726</v>
      </c>
      <c r="N3892" t="s">
        <v>16393</v>
      </c>
      <c r="O3892" s="4">
        <v>184653</v>
      </c>
      <c r="P3892" s="4">
        <v>143544</v>
      </c>
      <c r="Q3892" s="4">
        <v>328197</v>
      </c>
      <c r="R3892" s="4">
        <v>984591</v>
      </c>
      <c r="S3892" t="s">
        <v>20203</v>
      </c>
      <c r="X3892" t="s">
        <v>3</v>
      </c>
      <c r="AA3892" s="5" t="str">
        <f>HYPERLINK("https://www.zillow.com/homes/119-S-SLEIGHT-ST-NAPERVILLE-IL-60540_rb/","check listing")</f>
        <v>check listing</v>
      </c>
      <c r="AB3892" s="5" t="str">
        <f>HYPERLINK("https://propertylookup.dupagecounty.gov/Datalets/Datalet.aspx?UseSearch=no&amp;mode=sales&amp;pin=0818321013","sales record")</f>
        <v>sales record</v>
      </c>
      <c r="AC3892" t="s">
        <v>27873</v>
      </c>
      <c r="AD3892">
        <v>41.773292</v>
      </c>
      <c r="AE3892">
        <v>-88.141357</v>
      </c>
      <c r="AF3892" s="5" t="str">
        <f>HYPERLINK("https://www.google.com/maps/search/?api=1&amp;query=41.773292,-88.141357","map")</f>
        <v>map</v>
      </c>
    </row>
    <row r="3893" spans="1:32">
      <c r="A3893" t="s">
        <v>3943</v>
      </c>
      <c r="B3893" t="s">
        <v>11476</v>
      </c>
      <c r="C3893" t="s">
        <v>15622</v>
      </c>
      <c r="D3893" t="s">
        <v>16206</v>
      </c>
      <c r="E3893" t="s">
        <v>16218</v>
      </c>
      <c r="F3893" t="s">
        <v>16221</v>
      </c>
      <c r="G3893" t="s">
        <v>16277</v>
      </c>
      <c r="H3893" t="s">
        <v>16277</v>
      </c>
      <c r="I3893" t="s">
        <v>16353</v>
      </c>
      <c r="J3893" t="s">
        <v>16386</v>
      </c>
      <c r="K3893">
        <v>0.341</v>
      </c>
      <c r="L3893">
        <v>14845</v>
      </c>
      <c r="M3893">
        <v>2720</v>
      </c>
      <c r="N3893" t="s">
        <v>16393</v>
      </c>
      <c r="O3893" s="4">
        <v>184653</v>
      </c>
      <c r="P3893" s="4">
        <v>201445</v>
      </c>
      <c r="Q3893" s="4">
        <v>386098</v>
      </c>
      <c r="R3893" s="4">
        <v>1158294</v>
      </c>
      <c r="S3893" t="s">
        <v>20204</v>
      </c>
      <c r="T3893" s="6">
        <v>45408</v>
      </c>
      <c r="U3893" s="4">
        <v>1435000</v>
      </c>
      <c r="V3893" t="s">
        <v>23741</v>
      </c>
      <c r="W3893" t="s">
        <v>25722</v>
      </c>
      <c r="X3893" t="s">
        <v>3</v>
      </c>
      <c r="AA3893" s="5" t="str">
        <f>HYPERLINK("https://www.zillow.com/homes/104-S-WRIGHT-ST-NAPERVILLE-IL-605404960_rb/","check listing")</f>
        <v>check listing</v>
      </c>
      <c r="AB3893" s="5" t="str">
        <f>HYPERLINK("https://propertylookup.dupagecounty.gov/Datalets/Datalet.aspx?UseSearch=no&amp;mode=sales&amp;pin=0818323005","sales record")</f>
        <v>sales record</v>
      </c>
      <c r="AC3893" t="s">
        <v>27873</v>
      </c>
      <c r="AD3893">
        <v>41.773631</v>
      </c>
      <c r="AE3893">
        <v>-88.13912500000001</v>
      </c>
      <c r="AF3893" s="5" t="str">
        <f>HYPERLINK("https://www.google.com/maps/search/?api=1&amp;query=41.773631,-88.139125","map")</f>
        <v>map</v>
      </c>
    </row>
    <row r="3894" spans="1:32">
      <c r="A3894" t="s">
        <v>3944</v>
      </c>
      <c r="B3894" t="s">
        <v>11477</v>
      </c>
      <c r="C3894" t="s">
        <v>15475</v>
      </c>
      <c r="D3894" t="s">
        <v>16206</v>
      </c>
      <c r="E3894" t="s">
        <v>16218</v>
      </c>
      <c r="F3894" t="s">
        <v>16221</v>
      </c>
      <c r="G3894" t="s">
        <v>16277</v>
      </c>
      <c r="H3894" t="s">
        <v>16277</v>
      </c>
      <c r="I3894" t="s">
        <v>16353</v>
      </c>
      <c r="J3894" t="s">
        <v>16386</v>
      </c>
      <c r="K3894">
        <v>0.34</v>
      </c>
      <c r="L3894">
        <v>14817</v>
      </c>
      <c r="M3894">
        <v>4023</v>
      </c>
      <c r="N3894" t="s">
        <v>16393</v>
      </c>
      <c r="O3894" s="4">
        <v>147426</v>
      </c>
      <c r="P3894" s="4">
        <v>272590</v>
      </c>
      <c r="Q3894" s="4">
        <v>420016</v>
      </c>
      <c r="R3894" s="4">
        <v>1260048</v>
      </c>
      <c r="S3894" t="s">
        <v>20205</v>
      </c>
      <c r="X3894" t="s">
        <v>3</v>
      </c>
      <c r="AA3894" s="5" t="str">
        <f>HYPERLINK("https://www.zillow.com/homes/519-S-MAIN-ST-NAPERVILLE-IL-60540_rb/","check listing")</f>
        <v>check listing</v>
      </c>
      <c r="AB3894" s="5" t="str">
        <f>HYPERLINK("https://propertylookup.dupagecounty.gov/Datalets/Datalet.aspx?UseSearch=no&amp;mode=sales&amp;pin=0724202025","sales record")</f>
        <v>sales record</v>
      </c>
      <c r="AC3894" t="s">
        <v>3</v>
      </c>
      <c r="AD3894">
        <v>41.769339</v>
      </c>
      <c r="AE3894">
        <v>-88.150194</v>
      </c>
      <c r="AF3894" s="5" t="str">
        <f>HYPERLINK("https://www.google.com/maps/search/?api=1&amp;query=41.769339,-88.150194","map")</f>
        <v>map</v>
      </c>
    </row>
    <row r="3895" spans="1:32">
      <c r="A3895" t="s">
        <v>3945</v>
      </c>
      <c r="B3895" t="s">
        <v>11478</v>
      </c>
      <c r="C3895" t="s">
        <v>15478</v>
      </c>
      <c r="D3895" t="s">
        <v>16206</v>
      </c>
      <c r="E3895" t="s">
        <v>16218</v>
      </c>
      <c r="F3895" t="s">
        <v>16221</v>
      </c>
      <c r="G3895" t="s">
        <v>16278</v>
      </c>
      <c r="H3895" t="s">
        <v>16277</v>
      </c>
      <c r="I3895" t="s">
        <v>16353</v>
      </c>
      <c r="J3895" t="s">
        <v>16386</v>
      </c>
      <c r="K3895">
        <v>0.34</v>
      </c>
      <c r="L3895">
        <v>14809</v>
      </c>
      <c r="N3895" t="s">
        <v>16393</v>
      </c>
      <c r="O3895" s="4">
        <v>67703</v>
      </c>
      <c r="P3895" s="4">
        <v>214896</v>
      </c>
      <c r="Q3895" s="4">
        <v>282599</v>
      </c>
      <c r="R3895" s="4">
        <v>847797</v>
      </c>
      <c r="S3895" t="s">
        <v>20206</v>
      </c>
      <c r="T3895" s="6">
        <v>43313</v>
      </c>
      <c r="U3895" s="4">
        <v>573128</v>
      </c>
      <c r="V3895" t="s">
        <v>16232</v>
      </c>
      <c r="W3895" t="s">
        <v>25723</v>
      </c>
      <c r="X3895" t="s">
        <v>3</v>
      </c>
      <c r="AA3895" s="5" t="str">
        <f>HYPERLINK("https://www.zillow.com/homes/2315-COUNTRY-CLUB-BLV-NAPERVILLE-IL-60563_rb/","check listing")</f>
        <v>check listing</v>
      </c>
      <c r="AB3895" s="5" t="str">
        <f>HYPERLINK("https://propertylookup.dupagecounty.gov/Datalets/Datalet.aspx?UseSearch=no&amp;mode=sales&amp;pin=0709102037","sales record")</f>
        <v>sales record</v>
      </c>
      <c r="AC3895" t="s">
        <v>3</v>
      </c>
      <c r="AD3895">
        <v>41.796818</v>
      </c>
      <c r="AE3895">
        <v>-88.216869</v>
      </c>
      <c r="AF3895" s="5" t="str">
        <f>HYPERLINK("https://www.google.com/maps/search/?api=1&amp;query=41.796818,-88.216869","map")</f>
        <v>map</v>
      </c>
    </row>
    <row r="3896" spans="1:32">
      <c r="A3896" t="s">
        <v>3946</v>
      </c>
      <c r="B3896" t="s">
        <v>11479</v>
      </c>
      <c r="C3896" t="s">
        <v>15626</v>
      </c>
      <c r="D3896" t="s">
        <v>16206</v>
      </c>
      <c r="E3896" t="s">
        <v>16218</v>
      </c>
      <c r="F3896" t="s">
        <v>16221</v>
      </c>
      <c r="G3896" t="s">
        <v>16277</v>
      </c>
      <c r="H3896" t="s">
        <v>16277</v>
      </c>
      <c r="I3896" t="s">
        <v>16353</v>
      </c>
      <c r="J3896" t="s">
        <v>16386</v>
      </c>
      <c r="K3896">
        <v>0.34</v>
      </c>
      <c r="L3896">
        <v>14801</v>
      </c>
      <c r="M3896">
        <v>3226</v>
      </c>
      <c r="N3896" t="s">
        <v>16393</v>
      </c>
      <c r="O3896" s="4">
        <v>184677</v>
      </c>
      <c r="P3896" s="4">
        <v>252435</v>
      </c>
      <c r="Q3896" s="4">
        <v>437112</v>
      </c>
      <c r="R3896" s="4">
        <v>1311336</v>
      </c>
      <c r="S3896" t="s">
        <v>20207</v>
      </c>
      <c r="T3896" s="6">
        <v>45089</v>
      </c>
      <c r="U3896" s="4">
        <v>1500000</v>
      </c>
      <c r="V3896" t="s">
        <v>23739</v>
      </c>
      <c r="W3896" t="s">
        <v>25724</v>
      </c>
      <c r="X3896" t="s">
        <v>3</v>
      </c>
      <c r="AA3896" s="5" t="str">
        <f>HYPERLINK("https://www.zillow.com/homes/8-N-LOOMIS-ST-NAPERVILLE-IL-605404721_rb/","check listing")</f>
        <v>check listing</v>
      </c>
      <c r="AB3896" s="5" t="str">
        <f>HYPERLINK("https://propertylookup.dupagecounty.gov/Datalets/Datalet.aspx?UseSearch=no&amp;mode=sales&amp;pin=0818310004","sales record")</f>
        <v>sales record</v>
      </c>
      <c r="AC3896" t="s">
        <v>27873</v>
      </c>
      <c r="AD3896">
        <v>41.775178</v>
      </c>
      <c r="AE3896">
        <v>-88.14186599999999</v>
      </c>
      <c r="AF3896" s="5" t="str">
        <f>HYPERLINK("https://www.google.com/maps/search/?api=1&amp;query=41.775178,-88.141866","map")</f>
        <v>map</v>
      </c>
    </row>
    <row r="3897" spans="1:32">
      <c r="A3897" t="s">
        <v>3947</v>
      </c>
      <c r="B3897" t="s">
        <v>11480</v>
      </c>
      <c r="C3897" t="s">
        <v>15475</v>
      </c>
      <c r="D3897" t="s">
        <v>16206</v>
      </c>
      <c r="E3897" t="s">
        <v>16218</v>
      </c>
      <c r="F3897" t="s">
        <v>16221</v>
      </c>
      <c r="G3897" t="s">
        <v>16277</v>
      </c>
      <c r="H3897" t="s">
        <v>16277</v>
      </c>
      <c r="I3897" t="s">
        <v>16353</v>
      </c>
      <c r="J3897" t="s">
        <v>16386</v>
      </c>
      <c r="K3897">
        <v>0.337</v>
      </c>
      <c r="L3897">
        <v>14674</v>
      </c>
      <c r="M3897">
        <v>4694</v>
      </c>
      <c r="N3897" t="s">
        <v>16393</v>
      </c>
      <c r="O3897" s="4">
        <v>222744</v>
      </c>
      <c r="P3897" s="4">
        <v>461001</v>
      </c>
      <c r="Q3897" s="4">
        <v>683745</v>
      </c>
      <c r="R3897" s="4">
        <v>2051235</v>
      </c>
      <c r="S3897" t="s">
        <v>20208</v>
      </c>
      <c r="X3897" t="s">
        <v>3</v>
      </c>
      <c r="AA3897" s="5" t="str">
        <f>HYPERLINK("https://www.zillow.com/homes/318-W-SPRING-AVE-NAPERVILLE-IL-60540_rb/","check listing")</f>
        <v>check listing</v>
      </c>
      <c r="AB3897" s="5" t="str">
        <f>HYPERLINK("https://propertylookup.dupagecounty.gov/Datalets/Datalet.aspx?UseSearch=no&amp;mode=sales&amp;pin=0713224021","sales record")</f>
        <v>sales record</v>
      </c>
      <c r="AC3897" t="s">
        <v>27873</v>
      </c>
      <c r="AD3897">
        <v>41.778185</v>
      </c>
      <c r="AE3897">
        <v>-88.153195</v>
      </c>
      <c r="AF3897" s="5" t="str">
        <f>HYPERLINK("https://www.google.com/maps/search/?api=1&amp;query=41.778185,-88.153195","map")</f>
        <v>map</v>
      </c>
    </row>
    <row r="3898" spans="1:32">
      <c r="A3898" t="s">
        <v>3948</v>
      </c>
      <c r="B3898" t="s">
        <v>11481</v>
      </c>
      <c r="C3898" t="s">
        <v>15627</v>
      </c>
      <c r="D3898" t="s">
        <v>16206</v>
      </c>
      <c r="E3898" t="s">
        <v>16218</v>
      </c>
      <c r="F3898" t="s">
        <v>16221</v>
      </c>
      <c r="G3898" t="s">
        <v>16277</v>
      </c>
      <c r="H3898" t="s">
        <v>16277</v>
      </c>
      <c r="I3898" t="s">
        <v>16353</v>
      </c>
      <c r="J3898" t="s">
        <v>16386</v>
      </c>
      <c r="K3898">
        <v>0.336</v>
      </c>
      <c r="L3898">
        <v>14642</v>
      </c>
      <c r="M3898">
        <v>4422</v>
      </c>
      <c r="N3898" t="s">
        <v>16393</v>
      </c>
      <c r="O3898" s="4">
        <v>156922</v>
      </c>
      <c r="P3898" s="4">
        <v>323881</v>
      </c>
      <c r="Q3898" s="4">
        <v>480803</v>
      </c>
      <c r="R3898" s="4">
        <v>1442409</v>
      </c>
      <c r="S3898" t="s">
        <v>20209</v>
      </c>
      <c r="T3898" s="6">
        <v>42522</v>
      </c>
      <c r="U3898" s="4">
        <v>950000</v>
      </c>
      <c r="V3898" t="s">
        <v>23739</v>
      </c>
      <c r="W3898" t="s">
        <v>25725</v>
      </c>
      <c r="X3898" t="s">
        <v>3</v>
      </c>
      <c r="AA3898" s="5" t="str">
        <f>HYPERLINK("https://www.zillow.com/homes/820-E-CHICAGO-AVE-NAPERVILLE-IL-605405508_rb/","check listing")</f>
        <v>check listing</v>
      </c>
      <c r="AB3898" s="5" t="str">
        <f>HYPERLINK("https://propertylookup.dupagecounty.gov/Datalets/Datalet.aspx?UseSearch=no&amp;mode=sales&amp;pin=0818417041","sales record")</f>
        <v>sales record</v>
      </c>
      <c r="AC3898" t="s">
        <v>3</v>
      </c>
      <c r="AD3898">
        <v>41.772983</v>
      </c>
      <c r="AE3898">
        <v>-88.135959</v>
      </c>
      <c r="AF3898" s="5" t="str">
        <f>HYPERLINK("https://www.google.com/maps/search/?api=1&amp;query=41.772983,-88.135959","map")</f>
        <v>map</v>
      </c>
    </row>
    <row r="3899" spans="1:32">
      <c r="A3899" t="s">
        <v>3949</v>
      </c>
      <c r="B3899" t="s">
        <v>11482</v>
      </c>
      <c r="C3899" t="s">
        <v>15628</v>
      </c>
      <c r="D3899" t="s">
        <v>16206</v>
      </c>
      <c r="E3899" t="s">
        <v>16218</v>
      </c>
      <c r="F3899" t="s">
        <v>16221</v>
      </c>
      <c r="G3899" t="s">
        <v>16277</v>
      </c>
      <c r="H3899" t="s">
        <v>16277</v>
      </c>
      <c r="I3899" t="s">
        <v>16353</v>
      </c>
      <c r="J3899" t="s">
        <v>16386</v>
      </c>
      <c r="K3899">
        <v>0.332</v>
      </c>
      <c r="L3899">
        <v>14455</v>
      </c>
      <c r="M3899">
        <v>2243</v>
      </c>
      <c r="N3899" t="s">
        <v>16393</v>
      </c>
      <c r="O3899" s="4">
        <v>149787</v>
      </c>
      <c r="P3899" s="4">
        <v>202503</v>
      </c>
      <c r="Q3899" s="4">
        <v>352290</v>
      </c>
      <c r="R3899" s="4">
        <v>1056870</v>
      </c>
      <c r="S3899" t="s">
        <v>20210</v>
      </c>
      <c r="T3899" s="6">
        <v>44044</v>
      </c>
      <c r="U3899" s="4">
        <v>990000</v>
      </c>
      <c r="V3899" t="s">
        <v>23739</v>
      </c>
      <c r="W3899" t="s">
        <v>20210</v>
      </c>
      <c r="X3899" t="s">
        <v>3</v>
      </c>
      <c r="AA3899" s="5" t="str">
        <f>HYPERLINK("https://www.zillow.com/homes/105-S-ELLSWORTH-ST-NAPERVILLE-IL-605404921_rb/","check listing")</f>
        <v>check listing</v>
      </c>
      <c r="AB3899" s="5" t="str">
        <f>HYPERLINK("https://propertylookup.dupagecounty.gov/Datalets/Datalet.aspx?UseSearch=no&amp;mode=sales&amp;pin=0818313013","sales record")</f>
        <v>sales record</v>
      </c>
      <c r="AC3899" t="s">
        <v>3</v>
      </c>
      <c r="AD3899">
        <v>41.773836</v>
      </c>
      <c r="AE3899">
        <v>-88.14561</v>
      </c>
      <c r="AF3899" s="5" t="str">
        <f>HYPERLINK("https://www.google.com/maps/search/?api=1&amp;query=41.773836,-88.14561","map")</f>
        <v>map</v>
      </c>
    </row>
    <row r="3900" spans="1:32">
      <c r="A3900" t="s">
        <v>3950</v>
      </c>
      <c r="B3900" t="s">
        <v>11483</v>
      </c>
      <c r="C3900" t="s">
        <v>15475</v>
      </c>
      <c r="D3900" t="s">
        <v>16206</v>
      </c>
      <c r="E3900" t="s">
        <v>16218</v>
      </c>
      <c r="F3900" t="s">
        <v>16221</v>
      </c>
      <c r="G3900" t="s">
        <v>16278</v>
      </c>
      <c r="H3900" t="s">
        <v>16277</v>
      </c>
      <c r="I3900" t="s">
        <v>16353</v>
      </c>
      <c r="J3900" t="s">
        <v>16386</v>
      </c>
      <c r="K3900">
        <v>0.328</v>
      </c>
      <c r="L3900">
        <v>14290</v>
      </c>
      <c r="N3900" t="s">
        <v>16393</v>
      </c>
      <c r="O3900" s="4">
        <v>71095</v>
      </c>
      <c r="P3900" s="4">
        <v>161633</v>
      </c>
      <c r="Q3900" s="4">
        <v>232728</v>
      </c>
      <c r="R3900" s="4">
        <v>698184</v>
      </c>
      <c r="S3900" t="s">
        <v>20211</v>
      </c>
      <c r="T3900" s="6">
        <v>43374</v>
      </c>
      <c r="U3900" s="4">
        <v>522038</v>
      </c>
      <c r="V3900" t="s">
        <v>16232</v>
      </c>
      <c r="W3900" t="s">
        <v>25726</v>
      </c>
      <c r="X3900" t="s">
        <v>3</v>
      </c>
      <c r="AA3900" s="5" t="str">
        <f>HYPERLINK("https://www.zillow.com/homes/2420-COASTAL-SAGE-CT-NAPERVILLE-IL-60540_rb/","check listing")</f>
        <v>check listing</v>
      </c>
      <c r="AB3900" s="5" t="str">
        <f>HYPERLINK("https://propertylookup.dupagecounty.gov/Datalets/Datalet.aspx?UseSearch=no&amp;mode=sales&amp;pin=0709311066","sales record")</f>
        <v>sales record</v>
      </c>
      <c r="AC3900" t="s">
        <v>3</v>
      </c>
      <c r="AD3900">
        <v>41.786164</v>
      </c>
      <c r="AE3900">
        <v>-88.219396</v>
      </c>
      <c r="AF3900" s="5" t="str">
        <f>HYPERLINK("https://www.google.com/maps/search/?api=1&amp;query=41.786164,-88.219396","map")</f>
        <v>map</v>
      </c>
    </row>
    <row r="3901" spans="1:32">
      <c r="A3901" t="s">
        <v>3951</v>
      </c>
      <c r="B3901" t="s">
        <v>11484</v>
      </c>
      <c r="C3901" t="s">
        <v>15629</v>
      </c>
      <c r="D3901" t="s">
        <v>16206</v>
      </c>
      <c r="E3901" t="s">
        <v>16218</v>
      </c>
      <c r="F3901" t="s">
        <v>16221</v>
      </c>
      <c r="G3901" t="s">
        <v>16278</v>
      </c>
      <c r="H3901" t="s">
        <v>16277</v>
      </c>
      <c r="I3901" t="s">
        <v>16353</v>
      </c>
      <c r="J3901" t="s">
        <v>16386</v>
      </c>
      <c r="K3901">
        <v>0.327</v>
      </c>
      <c r="L3901">
        <v>14230</v>
      </c>
      <c r="N3901" t="s">
        <v>16393</v>
      </c>
      <c r="O3901" s="4">
        <v>64321</v>
      </c>
      <c r="P3901" s="4">
        <v>218265</v>
      </c>
      <c r="Q3901" s="4">
        <v>282586</v>
      </c>
      <c r="R3901" s="4">
        <v>847758</v>
      </c>
      <c r="S3901" t="s">
        <v>20212</v>
      </c>
      <c r="T3901" s="6">
        <v>43405</v>
      </c>
      <c r="U3901" s="4">
        <v>649422</v>
      </c>
      <c r="V3901" t="s">
        <v>16232</v>
      </c>
      <c r="W3901" t="s">
        <v>20212</v>
      </c>
      <c r="X3901" t="s">
        <v>3</v>
      </c>
      <c r="AA3901" s="5" t="str">
        <f>HYPERLINK("https://www.zillow.com/homes/1320-BAYOU-PATH-CT-NAPERVILLE-IL-605633609_rb/","check listing")</f>
        <v>check listing</v>
      </c>
      <c r="AB3901" s="5" t="str">
        <f>HYPERLINK("https://propertylookup.dupagecounty.gov/Datalets/Datalet.aspx?UseSearch=no&amp;mode=sales&amp;pin=0709311090","sales record")</f>
        <v>sales record</v>
      </c>
      <c r="AC3901" t="s">
        <v>3</v>
      </c>
      <c r="AD3901">
        <v>41.785305</v>
      </c>
      <c r="AE3901">
        <v>-88.217247</v>
      </c>
      <c r="AF3901" s="5" t="str">
        <f>HYPERLINK("https://www.google.com/maps/search/?api=1&amp;query=41.785305,-88.217247","map")</f>
        <v>map</v>
      </c>
    </row>
    <row r="3902" spans="1:32">
      <c r="A3902" t="s">
        <v>3952</v>
      </c>
      <c r="B3902" t="s">
        <v>11485</v>
      </c>
      <c r="C3902" t="s">
        <v>15475</v>
      </c>
      <c r="D3902" t="s">
        <v>16206</v>
      </c>
      <c r="E3902" t="s">
        <v>16218</v>
      </c>
      <c r="F3902" t="s">
        <v>16221</v>
      </c>
      <c r="G3902" t="s">
        <v>16277</v>
      </c>
      <c r="H3902" t="s">
        <v>16277</v>
      </c>
      <c r="I3902" t="s">
        <v>16353</v>
      </c>
      <c r="J3902" t="s">
        <v>16386</v>
      </c>
      <c r="K3902">
        <v>0.326</v>
      </c>
      <c r="L3902">
        <v>14191</v>
      </c>
      <c r="M3902">
        <v>4347</v>
      </c>
      <c r="N3902" t="s">
        <v>16393</v>
      </c>
      <c r="O3902" s="4">
        <v>178089</v>
      </c>
      <c r="P3902" s="4">
        <v>289930</v>
      </c>
      <c r="Q3902" s="4">
        <v>468019</v>
      </c>
      <c r="R3902" s="4">
        <v>1404057</v>
      </c>
      <c r="S3902" t="s">
        <v>20213</v>
      </c>
      <c r="T3902" s="6">
        <v>32509</v>
      </c>
      <c r="U3902" s="4">
        <v>190000</v>
      </c>
      <c r="X3902" t="s">
        <v>3</v>
      </c>
      <c r="AA3902" s="5" t="str">
        <f>HYPERLINK("https://www.zillow.com/homes/152-N-ELLSWORTH-ST-NAPERVILLE-IL-60540_rb/","check listing")</f>
        <v>check listing</v>
      </c>
      <c r="AB3902" s="5" t="str">
        <f>HYPERLINK("https://propertylookup.dupagecounty.gov/Datalets/Datalet.aspx?UseSearch=no&amp;mode=sales&amp;pin=0818133001","sales record")</f>
        <v>sales record</v>
      </c>
      <c r="AC3902" t="s">
        <v>3</v>
      </c>
      <c r="AD3902">
        <v>41.777353</v>
      </c>
      <c r="AE3902">
        <v>-88.14458500000001</v>
      </c>
      <c r="AF3902" s="5" t="str">
        <f>HYPERLINK("https://www.google.com/maps/search/?api=1&amp;query=41.777353,-88.144585","map")</f>
        <v>map</v>
      </c>
    </row>
    <row r="3903" spans="1:32">
      <c r="A3903" t="s">
        <v>3953</v>
      </c>
      <c r="B3903" t="s">
        <v>11486</v>
      </c>
      <c r="C3903" t="s">
        <v>15630</v>
      </c>
      <c r="D3903" t="s">
        <v>16206</v>
      </c>
      <c r="E3903" t="s">
        <v>16218</v>
      </c>
      <c r="F3903" t="s">
        <v>16221</v>
      </c>
      <c r="G3903" t="s">
        <v>16277</v>
      </c>
      <c r="H3903" t="s">
        <v>16277</v>
      </c>
      <c r="I3903" t="s">
        <v>16353</v>
      </c>
      <c r="J3903" t="s">
        <v>16386</v>
      </c>
      <c r="K3903">
        <v>0.324</v>
      </c>
      <c r="L3903">
        <v>14129</v>
      </c>
      <c r="M3903">
        <v>3463</v>
      </c>
      <c r="N3903" t="s">
        <v>16393</v>
      </c>
      <c r="O3903" s="4">
        <v>178089</v>
      </c>
      <c r="P3903" s="4">
        <v>158801</v>
      </c>
      <c r="Q3903" s="4">
        <v>336890</v>
      </c>
      <c r="R3903" s="4">
        <v>1010670</v>
      </c>
      <c r="S3903" t="s">
        <v>20214</v>
      </c>
      <c r="T3903" s="6">
        <v>44013</v>
      </c>
      <c r="U3903" s="4">
        <v>725000</v>
      </c>
      <c r="V3903" t="s">
        <v>23740</v>
      </c>
      <c r="W3903" t="s">
        <v>25727</v>
      </c>
      <c r="X3903" t="s">
        <v>3</v>
      </c>
      <c r="AA3903" s="5" t="str">
        <f>HYPERLINK("https://www.zillow.com/homes/110-S-SLEIGHT-ST-NAPERVILLE-IL-605404944_rb/","check listing")</f>
        <v>check listing</v>
      </c>
      <c r="AB3903" s="5" t="str">
        <f>HYPERLINK("https://propertylookup.dupagecounty.gov/Datalets/Datalet.aspx?UseSearch=no&amp;mode=sales&amp;pin=0818322001","sales record")</f>
        <v>sales record</v>
      </c>
      <c r="AC3903" t="s">
        <v>27873</v>
      </c>
      <c r="AD3903">
        <v>41.773677</v>
      </c>
      <c r="AE3903">
        <v>-88.140533</v>
      </c>
      <c r="AF3903" s="5" t="str">
        <f>HYPERLINK("https://www.google.com/maps/search/?api=1&amp;query=41.773677,-88.140533","map")</f>
        <v>map</v>
      </c>
    </row>
    <row r="3904" spans="1:32">
      <c r="A3904" t="s">
        <v>3954</v>
      </c>
      <c r="B3904" t="s">
        <v>11487</v>
      </c>
      <c r="C3904" t="s">
        <v>15475</v>
      </c>
      <c r="D3904" t="s">
        <v>16206</v>
      </c>
      <c r="E3904" t="s">
        <v>16218</v>
      </c>
      <c r="F3904" t="s">
        <v>16221</v>
      </c>
      <c r="G3904" t="s">
        <v>16277</v>
      </c>
      <c r="H3904" t="s">
        <v>16277</v>
      </c>
      <c r="I3904" t="s">
        <v>16353</v>
      </c>
      <c r="J3904" t="s">
        <v>16386</v>
      </c>
      <c r="K3904">
        <v>0.317</v>
      </c>
      <c r="L3904">
        <v>13810</v>
      </c>
      <c r="M3904">
        <v>5145</v>
      </c>
      <c r="N3904" t="s">
        <v>16393</v>
      </c>
      <c r="O3904" s="4">
        <v>167125</v>
      </c>
      <c r="P3904" s="4">
        <v>402876</v>
      </c>
      <c r="Q3904" s="4">
        <v>570001</v>
      </c>
      <c r="R3904" s="4">
        <v>1710003</v>
      </c>
      <c r="S3904" t="s">
        <v>20215</v>
      </c>
      <c r="T3904" s="6">
        <v>38412</v>
      </c>
      <c r="U3904" s="4">
        <v>475000</v>
      </c>
      <c r="V3904" t="s">
        <v>23739</v>
      </c>
      <c r="W3904" t="s">
        <v>25728</v>
      </c>
      <c r="X3904" t="s">
        <v>3</v>
      </c>
      <c r="AA3904" s="5" t="str">
        <f>HYPERLINK("https://www.zillow.com/homes/110-S-LOOMIS-ST-NAPERVILLE-IL-60540_rb/","check listing")</f>
        <v>check listing</v>
      </c>
      <c r="AB3904" s="5" t="str">
        <f>HYPERLINK("https://propertylookup.dupagecounty.gov/Datalets/Datalet.aspx?UseSearch=no&amp;mode=sales&amp;pin=0818321001","sales record")</f>
        <v>sales record</v>
      </c>
      <c r="AC3904" t="s">
        <v>3</v>
      </c>
      <c r="AD3904">
        <v>41.773797</v>
      </c>
      <c r="AE3904">
        <v>-88.141942</v>
      </c>
      <c r="AF3904" s="5" t="str">
        <f>HYPERLINK("https://www.google.com/maps/search/?api=1&amp;query=41.773797,-88.141942","map")</f>
        <v>map</v>
      </c>
    </row>
    <row r="3905" spans="1:32">
      <c r="A3905" t="s">
        <v>3955</v>
      </c>
      <c r="B3905" t="s">
        <v>11488</v>
      </c>
      <c r="C3905" t="s">
        <v>15631</v>
      </c>
      <c r="D3905" t="s">
        <v>16206</v>
      </c>
      <c r="E3905" t="s">
        <v>16218</v>
      </c>
      <c r="F3905" t="s">
        <v>16221</v>
      </c>
      <c r="G3905" t="s">
        <v>16277</v>
      </c>
      <c r="H3905" t="s">
        <v>16277</v>
      </c>
      <c r="I3905" t="s">
        <v>16353</v>
      </c>
      <c r="J3905" t="s">
        <v>16386</v>
      </c>
      <c r="K3905">
        <v>0.315</v>
      </c>
      <c r="L3905">
        <v>13742</v>
      </c>
      <c r="M3905">
        <v>2837</v>
      </c>
      <c r="N3905" t="s">
        <v>16393</v>
      </c>
      <c r="O3905" s="4">
        <v>171454</v>
      </c>
      <c r="P3905" s="4">
        <v>101317</v>
      </c>
      <c r="Q3905" s="4">
        <v>272771</v>
      </c>
      <c r="R3905" s="4">
        <v>818313</v>
      </c>
      <c r="S3905" t="s">
        <v>20216</v>
      </c>
      <c r="T3905" s="6">
        <v>45118</v>
      </c>
      <c r="U3905" s="4">
        <v>930000</v>
      </c>
      <c r="V3905" t="s">
        <v>23741</v>
      </c>
      <c r="W3905" t="s">
        <v>25729</v>
      </c>
      <c r="X3905" t="s">
        <v>3</v>
      </c>
      <c r="AA3905" s="5" t="str">
        <f>HYPERLINK("https://www.zillow.com/homes/124-S-LOOMIS-ST-NAPERVILLE-IL-605404939_rb/","check listing")</f>
        <v>check listing</v>
      </c>
      <c r="AB3905" s="5" t="str">
        <f>HYPERLINK("https://propertylookup.dupagecounty.gov/Datalets/Datalet.aspx?UseSearch=no&amp;mode=sales&amp;pin=0818321003","sales record")</f>
        <v>sales record</v>
      </c>
      <c r="AC3905" t="s">
        <v>3</v>
      </c>
      <c r="AD3905">
        <v>41.773245</v>
      </c>
      <c r="AE3905">
        <v>-88.141972</v>
      </c>
      <c r="AF3905" s="5" t="str">
        <f>HYPERLINK("https://www.google.com/maps/search/?api=1&amp;query=41.773245,-88.141972","map")</f>
        <v>map</v>
      </c>
    </row>
    <row r="3906" spans="1:32">
      <c r="A3906" t="s">
        <v>3956</v>
      </c>
      <c r="B3906" t="s">
        <v>11489</v>
      </c>
      <c r="C3906" t="s">
        <v>15475</v>
      </c>
      <c r="D3906" t="s">
        <v>16206</v>
      </c>
      <c r="E3906" t="s">
        <v>16218</v>
      </c>
      <c r="F3906" t="s">
        <v>16221</v>
      </c>
      <c r="G3906" t="s">
        <v>16277</v>
      </c>
      <c r="H3906" t="s">
        <v>16277</v>
      </c>
      <c r="I3906" t="s">
        <v>16353</v>
      </c>
      <c r="J3906" t="s">
        <v>16386</v>
      </c>
      <c r="K3906">
        <v>0.315</v>
      </c>
      <c r="L3906">
        <v>13709</v>
      </c>
      <c r="M3906">
        <v>3216</v>
      </c>
      <c r="N3906" t="s">
        <v>16393</v>
      </c>
      <c r="O3906" s="4">
        <v>171454</v>
      </c>
      <c r="P3906" s="4">
        <v>338935</v>
      </c>
      <c r="Q3906" s="4">
        <v>510389</v>
      </c>
      <c r="R3906" s="4">
        <v>1531167</v>
      </c>
      <c r="S3906" t="s">
        <v>20217</v>
      </c>
      <c r="T3906" s="6">
        <v>45778</v>
      </c>
      <c r="U3906" s="4">
        <v>2000000</v>
      </c>
      <c r="V3906" t="s">
        <v>23739</v>
      </c>
      <c r="W3906" t="s">
        <v>25730</v>
      </c>
      <c r="X3906" t="s">
        <v>3</v>
      </c>
      <c r="AA3906" s="5" t="str">
        <f>HYPERLINK("https://www.zillow.com/homes/132-S-LOOMIS-ST-NAPERVILLE-IL-60540_rb/","check listing")</f>
        <v>check listing</v>
      </c>
      <c r="AB3906" s="5" t="str">
        <f>HYPERLINK("https://propertylookup.dupagecounty.gov/Datalets/Datalet.aspx?UseSearch=no&amp;mode=sales&amp;pin=0818321017","sales record")</f>
        <v>sales record</v>
      </c>
      <c r="AC3906" t="s">
        <v>3</v>
      </c>
      <c r="AD3906">
        <v>41.773052</v>
      </c>
      <c r="AE3906">
        <v>-88.141982</v>
      </c>
      <c r="AF3906" s="5" t="str">
        <f>HYPERLINK("https://www.google.com/maps/search/?api=1&amp;query=41.773052,-88.141982","map")</f>
        <v>map</v>
      </c>
    </row>
    <row r="3907" spans="1:32">
      <c r="A3907" t="s">
        <v>3957</v>
      </c>
      <c r="B3907" t="s">
        <v>11490</v>
      </c>
      <c r="C3907" t="s">
        <v>15632</v>
      </c>
      <c r="D3907" t="s">
        <v>16206</v>
      </c>
      <c r="E3907" t="s">
        <v>16218</v>
      </c>
      <c r="F3907" t="s">
        <v>16221</v>
      </c>
      <c r="G3907" t="s">
        <v>16278</v>
      </c>
      <c r="H3907" t="s">
        <v>16277</v>
      </c>
      <c r="I3907" t="s">
        <v>16353</v>
      </c>
      <c r="J3907" t="s">
        <v>16386</v>
      </c>
      <c r="K3907">
        <v>0.311</v>
      </c>
      <c r="L3907">
        <v>13568</v>
      </c>
      <c r="N3907" t="s">
        <v>16393</v>
      </c>
      <c r="O3907" s="4">
        <v>67703</v>
      </c>
      <c r="P3907" s="4">
        <v>168895</v>
      </c>
      <c r="Q3907" s="4">
        <v>236598</v>
      </c>
      <c r="R3907" s="4">
        <v>709794</v>
      </c>
      <c r="S3907" t="s">
        <v>20218</v>
      </c>
      <c r="T3907" s="6">
        <v>44828</v>
      </c>
      <c r="U3907" s="4">
        <v>618000</v>
      </c>
      <c r="V3907" t="s">
        <v>23739</v>
      </c>
      <c r="W3907" t="s">
        <v>25731</v>
      </c>
      <c r="X3907" t="s">
        <v>3</v>
      </c>
      <c r="AA3907" s="5" t="str">
        <f>HYPERLINK("https://www.zillow.com/homes/2543-BASIN-TRAIL-LN-NAPERVILLE-IL-605633593_rb/","check listing")</f>
        <v>check listing</v>
      </c>
      <c r="AB3907" s="5" t="str">
        <f>HYPERLINK("https://propertylookup.dupagecounty.gov/Datalets/Datalet.aspx?UseSearch=no&amp;mode=sales&amp;pin=0709109026","sales record")</f>
        <v>sales record</v>
      </c>
      <c r="AC3907" t="s">
        <v>3</v>
      </c>
      <c r="AD3907">
        <v>41.795987</v>
      </c>
      <c r="AE3907">
        <v>-88.224503</v>
      </c>
      <c r="AF3907" s="5" t="str">
        <f>HYPERLINK("https://www.google.com/maps/search/?api=1&amp;query=41.795987,-88.224503","map")</f>
        <v>map</v>
      </c>
    </row>
    <row r="3908" spans="1:32">
      <c r="A3908" t="s">
        <v>3958</v>
      </c>
      <c r="B3908" t="s">
        <v>11491</v>
      </c>
      <c r="C3908" t="s">
        <v>15633</v>
      </c>
      <c r="D3908" t="s">
        <v>16206</v>
      </c>
      <c r="E3908" t="s">
        <v>16218</v>
      </c>
      <c r="F3908" t="s">
        <v>16221</v>
      </c>
      <c r="G3908" t="s">
        <v>16277</v>
      </c>
      <c r="H3908" t="s">
        <v>16277</v>
      </c>
      <c r="I3908" t="s">
        <v>16353</v>
      </c>
      <c r="J3908" t="s">
        <v>16386</v>
      </c>
      <c r="K3908">
        <v>0.311</v>
      </c>
      <c r="L3908">
        <v>13551</v>
      </c>
      <c r="M3908">
        <v>3364</v>
      </c>
      <c r="N3908" t="s">
        <v>16393</v>
      </c>
      <c r="O3908" s="4">
        <v>159046</v>
      </c>
      <c r="P3908" s="4">
        <v>524884</v>
      </c>
      <c r="Q3908" s="4">
        <v>683930</v>
      </c>
      <c r="R3908" s="4">
        <v>2051790</v>
      </c>
      <c r="S3908" t="s">
        <v>20219</v>
      </c>
      <c r="T3908" s="6">
        <v>42064</v>
      </c>
      <c r="U3908" s="4">
        <v>500000</v>
      </c>
      <c r="V3908" t="s">
        <v>23739</v>
      </c>
      <c r="W3908" t="s">
        <v>25732</v>
      </c>
      <c r="X3908" t="s">
        <v>3</v>
      </c>
      <c r="AA3908" s="5" t="str">
        <f>HYPERLINK("https://www.zillow.com/homes/315-W-JEFFERSON-AVE-NAPERVILLE-IL-605405215_rb/","check listing")</f>
        <v>check listing</v>
      </c>
      <c r="AB3908" s="5" t="str">
        <f>HYPERLINK("https://propertylookup.dupagecounty.gov/Datalets/Datalet.aspx?UseSearch=no&amp;mode=sales&amp;pin=0713416022","sales record")</f>
        <v>sales record</v>
      </c>
      <c r="AC3908" t="s">
        <v>3</v>
      </c>
      <c r="AD3908">
        <v>41.773409</v>
      </c>
      <c r="AE3908">
        <v>-88.153459</v>
      </c>
      <c r="AF3908" s="5" t="str">
        <f>HYPERLINK("https://www.google.com/maps/search/?api=1&amp;query=41.773409,-88.153459","map")</f>
        <v>map</v>
      </c>
    </row>
    <row r="3909" spans="1:32">
      <c r="A3909" t="s">
        <v>3959</v>
      </c>
      <c r="B3909" t="s">
        <v>11492</v>
      </c>
      <c r="C3909" t="s">
        <v>15475</v>
      </c>
      <c r="D3909" t="s">
        <v>16206</v>
      </c>
      <c r="E3909" t="s">
        <v>16218</v>
      </c>
      <c r="F3909" t="s">
        <v>16221</v>
      </c>
      <c r="G3909" t="s">
        <v>16277</v>
      </c>
      <c r="H3909" t="s">
        <v>16277</v>
      </c>
      <c r="I3909" t="s">
        <v>16353</v>
      </c>
      <c r="J3909" t="s">
        <v>16386</v>
      </c>
      <c r="K3909">
        <v>0.311</v>
      </c>
      <c r="L3909">
        <v>13540</v>
      </c>
      <c r="M3909">
        <v>3166</v>
      </c>
      <c r="N3909" t="s">
        <v>16393</v>
      </c>
      <c r="O3909" s="4">
        <v>171454</v>
      </c>
      <c r="P3909" s="4">
        <v>296339</v>
      </c>
      <c r="Q3909" s="4">
        <v>467793</v>
      </c>
      <c r="R3909" s="4">
        <v>1403379</v>
      </c>
      <c r="S3909" t="s">
        <v>20220</v>
      </c>
      <c r="T3909" s="6">
        <v>40634</v>
      </c>
      <c r="U3909" s="4">
        <v>990000</v>
      </c>
      <c r="V3909" t="s">
        <v>23739</v>
      </c>
      <c r="W3909" t="s">
        <v>25733</v>
      </c>
      <c r="X3909" t="s">
        <v>3</v>
      </c>
      <c r="AA3909" s="5" t="str">
        <f>HYPERLINK("https://www.zillow.com/homes/109-S-BRAINARD-ST-NAPERVILLE-IL-60540_rb/","check listing")</f>
        <v>check listing</v>
      </c>
      <c r="AB3909" s="5" t="str">
        <f>HYPERLINK("https://propertylookup.dupagecounty.gov/Datalets/Datalet.aspx?UseSearch=no&amp;mode=sales&amp;pin=0818319012","sales record")</f>
        <v>sales record</v>
      </c>
      <c r="AC3909" t="s">
        <v>3</v>
      </c>
      <c r="AD3909">
        <v>41.77381</v>
      </c>
      <c r="AE3909">
        <v>-88.144159</v>
      </c>
      <c r="AF3909" s="5" t="str">
        <f>HYPERLINK("https://www.google.com/maps/search/?api=1&amp;query=41.77381,-88.144159","map")</f>
        <v>map</v>
      </c>
    </row>
    <row r="3910" spans="1:32">
      <c r="A3910" t="s">
        <v>3960</v>
      </c>
      <c r="B3910" t="s">
        <v>11493</v>
      </c>
      <c r="C3910" t="s">
        <v>15634</v>
      </c>
      <c r="D3910" t="s">
        <v>16206</v>
      </c>
      <c r="E3910" t="s">
        <v>16218</v>
      </c>
      <c r="F3910" t="s">
        <v>16221</v>
      </c>
      <c r="G3910" t="s">
        <v>16278</v>
      </c>
      <c r="H3910" t="s">
        <v>16277</v>
      </c>
      <c r="I3910" t="s">
        <v>16353</v>
      </c>
      <c r="J3910" t="s">
        <v>16386</v>
      </c>
      <c r="K3910">
        <v>0.308</v>
      </c>
      <c r="L3910">
        <v>13438</v>
      </c>
      <c r="N3910" t="s">
        <v>16393</v>
      </c>
      <c r="O3910" s="4">
        <v>64321</v>
      </c>
      <c r="P3910" s="4">
        <v>181674</v>
      </c>
      <c r="Q3910" s="4">
        <v>245995</v>
      </c>
      <c r="R3910" s="4">
        <v>737985</v>
      </c>
      <c r="S3910" t="s">
        <v>20221</v>
      </c>
      <c r="T3910" s="6">
        <v>42826</v>
      </c>
      <c r="U3910" s="4">
        <v>531248</v>
      </c>
      <c r="V3910" t="s">
        <v>16232</v>
      </c>
      <c r="W3910" t="s">
        <v>25734</v>
      </c>
      <c r="X3910" t="s">
        <v>3</v>
      </c>
      <c r="AA3910" s="5" t="str">
        <f>HYPERLINK("https://www.zillow.com/homes/1584-BAYOU-PATH-DR-NAPERVILLE-IL-605631791_rb/","check listing")</f>
        <v>check listing</v>
      </c>
      <c r="AB3910" s="5" t="str">
        <f>HYPERLINK("https://propertylookup.dupagecounty.gov/Datalets/Datalet.aspx?UseSearch=no&amp;mode=sales&amp;pin=0709105015","sales record")</f>
        <v>sales record</v>
      </c>
      <c r="AC3910" t="s">
        <v>3</v>
      </c>
      <c r="AD3910">
        <v>41.795485</v>
      </c>
      <c r="AE3910">
        <v>-88.21808799999999</v>
      </c>
      <c r="AF3910" s="5" t="str">
        <f>HYPERLINK("https://www.google.com/maps/search/?api=1&amp;query=41.795485,-88.218088","map")</f>
        <v>map</v>
      </c>
    </row>
    <row r="3911" spans="1:32">
      <c r="A3911" t="s">
        <v>3961</v>
      </c>
      <c r="B3911" t="s">
        <v>11494</v>
      </c>
      <c r="C3911" t="s">
        <v>15635</v>
      </c>
      <c r="D3911" t="s">
        <v>16206</v>
      </c>
      <c r="E3911" t="s">
        <v>16218</v>
      </c>
      <c r="F3911" t="s">
        <v>16221</v>
      </c>
      <c r="G3911" t="s">
        <v>16277</v>
      </c>
      <c r="H3911" t="s">
        <v>16277</v>
      </c>
      <c r="I3911" t="s">
        <v>16353</v>
      </c>
      <c r="J3911" t="s">
        <v>16386</v>
      </c>
      <c r="K3911">
        <v>0.308</v>
      </c>
      <c r="L3911">
        <v>13429</v>
      </c>
      <c r="M3911">
        <v>2977</v>
      </c>
      <c r="N3911" t="s">
        <v>16393</v>
      </c>
      <c r="O3911" s="4">
        <v>171454</v>
      </c>
      <c r="P3911" s="4">
        <v>170717</v>
      </c>
      <c r="Q3911" s="4">
        <v>342171</v>
      </c>
      <c r="R3911" s="4">
        <v>1026513</v>
      </c>
      <c r="S3911" t="s">
        <v>20222</v>
      </c>
      <c r="T3911" s="6">
        <v>44652</v>
      </c>
      <c r="U3911" s="4">
        <v>860000</v>
      </c>
      <c r="V3911" t="s">
        <v>23739</v>
      </c>
      <c r="W3911" t="s">
        <v>25735</v>
      </c>
      <c r="X3911" t="s">
        <v>3</v>
      </c>
      <c r="AA3911" s="5" t="str">
        <f>HYPERLINK("https://www.zillow.com/homes/29-S-SLEIGHT-ST-NAPERVILLE-IL-605404941_rb/","check listing")</f>
        <v>check listing</v>
      </c>
      <c r="AB3911" s="5" t="str">
        <f>HYPERLINK("https://propertylookup.dupagecounty.gov/Datalets/Datalet.aspx?UseSearch=no&amp;mode=sales&amp;pin=0818316010","sales record")</f>
        <v>sales record</v>
      </c>
      <c r="AC3911" t="s">
        <v>3</v>
      </c>
      <c r="AD3911">
        <v>41.774047</v>
      </c>
      <c r="AE3911">
        <v>-88.141313</v>
      </c>
      <c r="AF3911" s="5" t="str">
        <f>HYPERLINK("https://www.google.com/maps/search/?api=1&amp;query=41.774047,-88.141313","map")</f>
        <v>map</v>
      </c>
    </row>
    <row r="3912" spans="1:32">
      <c r="A3912" t="s">
        <v>3962</v>
      </c>
      <c r="B3912" t="s">
        <v>11495</v>
      </c>
      <c r="C3912" t="s">
        <v>15636</v>
      </c>
      <c r="D3912" t="s">
        <v>16206</v>
      </c>
      <c r="E3912" t="s">
        <v>16218</v>
      </c>
      <c r="F3912" t="s">
        <v>16221</v>
      </c>
      <c r="G3912" t="s">
        <v>16277</v>
      </c>
      <c r="H3912" t="s">
        <v>16277</v>
      </c>
      <c r="I3912" t="s">
        <v>16353</v>
      </c>
      <c r="J3912" t="s">
        <v>16386</v>
      </c>
      <c r="K3912">
        <v>0.306</v>
      </c>
      <c r="L3912">
        <v>13321</v>
      </c>
      <c r="M3912">
        <v>4173</v>
      </c>
      <c r="N3912" t="s">
        <v>16393</v>
      </c>
      <c r="O3912" s="4">
        <v>149965</v>
      </c>
      <c r="P3912" s="4">
        <v>438520</v>
      </c>
      <c r="Q3912" s="4">
        <v>588485</v>
      </c>
      <c r="R3912" s="4">
        <v>1765455</v>
      </c>
      <c r="S3912" t="s">
        <v>20223</v>
      </c>
      <c r="T3912" s="6">
        <v>43252</v>
      </c>
      <c r="U3912" s="4">
        <v>1050000</v>
      </c>
      <c r="V3912" t="s">
        <v>23740</v>
      </c>
      <c r="W3912" t="s">
        <v>25736</v>
      </c>
      <c r="X3912" t="s">
        <v>3</v>
      </c>
      <c r="AA3912" s="5" t="str">
        <f>HYPERLINK("https://www.zillow.com/homes/39-S-WEST-ST-NAPERVILLE-IL-605404350_rb/","check listing")</f>
        <v>check listing</v>
      </c>
      <c r="AB3912" s="5" t="str">
        <f>HYPERLINK("https://propertylookup.dupagecounty.gov/Datalets/Datalet.aspx?UseSearch=no&amp;mode=sales&amp;pin=0713311014","sales record")</f>
        <v>sales record</v>
      </c>
      <c r="AC3912" t="s">
        <v>3</v>
      </c>
      <c r="AD3912">
        <v>41.774357</v>
      </c>
      <c r="AE3912">
        <v>-88.158354</v>
      </c>
      <c r="AF3912" s="5" t="str">
        <f>HYPERLINK("https://www.google.com/maps/search/?api=1&amp;query=41.774357,-88.158354","map")</f>
        <v>map</v>
      </c>
    </row>
    <row r="3913" spans="1:32">
      <c r="A3913" t="s">
        <v>3963</v>
      </c>
      <c r="B3913" t="s">
        <v>11496</v>
      </c>
      <c r="C3913" t="s">
        <v>15478</v>
      </c>
      <c r="D3913" t="s">
        <v>16206</v>
      </c>
      <c r="E3913" t="s">
        <v>16218</v>
      </c>
      <c r="F3913" t="s">
        <v>16221</v>
      </c>
      <c r="G3913" t="s">
        <v>16277</v>
      </c>
      <c r="H3913" t="s">
        <v>16277</v>
      </c>
      <c r="I3913" t="s">
        <v>16353</v>
      </c>
      <c r="J3913" t="s">
        <v>16386</v>
      </c>
      <c r="K3913">
        <v>0.306</v>
      </c>
      <c r="L3913">
        <v>13314</v>
      </c>
      <c r="M3913">
        <v>1319</v>
      </c>
      <c r="N3913" t="s">
        <v>16393</v>
      </c>
      <c r="O3913" s="4">
        <v>74548</v>
      </c>
      <c r="P3913" s="4">
        <v>101994</v>
      </c>
      <c r="Q3913" s="4">
        <v>176542</v>
      </c>
      <c r="R3913" s="4">
        <v>529626</v>
      </c>
      <c r="S3913" t="s">
        <v>20224</v>
      </c>
      <c r="X3913" t="s">
        <v>3</v>
      </c>
      <c r="AA3913" s="5" t="str">
        <f>HYPERLINK("https://www.zillow.com/homes/953-N-LOOMIS-ST-NAPERVILLE-IL-60563_rb/","check listing")</f>
        <v>check listing</v>
      </c>
      <c r="AB3913" s="5" t="str">
        <f>HYPERLINK("https://propertylookup.dupagecounty.gov/Datalets/Datalet.aspx?UseSearch=no&amp;mode=sales&amp;pin=0807310030","sales record")</f>
        <v>sales record</v>
      </c>
      <c r="AC3913" t="s">
        <v>3</v>
      </c>
      <c r="AD3913">
        <v>41.787322</v>
      </c>
      <c r="AE3913">
        <v>-88.14163600000001</v>
      </c>
      <c r="AF3913" s="5" t="str">
        <f>HYPERLINK("https://www.google.com/maps/search/?api=1&amp;query=41.787322,-88.141636","map")</f>
        <v>map</v>
      </c>
    </row>
    <row r="3914" spans="1:32">
      <c r="A3914" t="s">
        <v>3964</v>
      </c>
      <c r="B3914" t="s">
        <v>11497</v>
      </c>
      <c r="C3914" t="s">
        <v>15629</v>
      </c>
      <c r="D3914" t="s">
        <v>16206</v>
      </c>
      <c r="E3914" t="s">
        <v>16218</v>
      </c>
      <c r="F3914" t="s">
        <v>16221</v>
      </c>
      <c r="G3914" t="s">
        <v>16278</v>
      </c>
      <c r="H3914" t="s">
        <v>16277</v>
      </c>
      <c r="I3914" t="s">
        <v>16353</v>
      </c>
      <c r="J3914" t="s">
        <v>16386</v>
      </c>
      <c r="K3914">
        <v>0.305</v>
      </c>
      <c r="L3914">
        <v>13287</v>
      </c>
      <c r="N3914" t="s">
        <v>16393</v>
      </c>
      <c r="O3914" s="4">
        <v>64326</v>
      </c>
      <c r="P3914" s="4">
        <v>209330</v>
      </c>
      <c r="Q3914" s="4">
        <v>273656</v>
      </c>
      <c r="R3914" s="4">
        <v>820968</v>
      </c>
      <c r="S3914" t="s">
        <v>20225</v>
      </c>
      <c r="T3914" s="6">
        <v>43586</v>
      </c>
      <c r="U3914" s="4">
        <v>563752</v>
      </c>
      <c r="V3914" t="s">
        <v>16232</v>
      </c>
      <c r="W3914" t="s">
        <v>25737</v>
      </c>
      <c r="X3914" t="s">
        <v>3</v>
      </c>
      <c r="AA3914" s="5" t="str">
        <f>HYPERLINK("https://www.zillow.com/homes/1368-BAYOU-PATH-CT-NAPERVILLE-IL-605633609_rb/","check listing")</f>
        <v>check listing</v>
      </c>
      <c r="AB3914" s="5" t="str">
        <f>HYPERLINK("https://propertylookup.dupagecounty.gov/Datalets/Datalet.aspx?UseSearch=no&amp;mode=sales&amp;pin=0709311099","sales record")</f>
        <v>sales record</v>
      </c>
      <c r="AC3914" t="s">
        <v>3</v>
      </c>
      <c r="AD3914">
        <v>41.786783</v>
      </c>
      <c r="AE3914">
        <v>-88.21825200000001</v>
      </c>
      <c r="AF3914" s="5" t="str">
        <f>HYPERLINK("https://www.google.com/maps/search/?api=1&amp;query=41.786783,-88.218252","map")</f>
        <v>map</v>
      </c>
    </row>
    <row r="3915" spans="1:32">
      <c r="A3915" t="s">
        <v>3965</v>
      </c>
      <c r="B3915" t="s">
        <v>11498</v>
      </c>
      <c r="C3915" t="s">
        <v>15475</v>
      </c>
      <c r="D3915" t="s">
        <v>16206</v>
      </c>
      <c r="E3915" t="s">
        <v>16218</v>
      </c>
      <c r="F3915" t="s">
        <v>16221</v>
      </c>
      <c r="G3915" t="s">
        <v>16277</v>
      </c>
      <c r="H3915" t="s">
        <v>16277</v>
      </c>
      <c r="I3915" t="s">
        <v>16353</v>
      </c>
      <c r="J3915" t="s">
        <v>16386</v>
      </c>
      <c r="K3915">
        <v>0.304</v>
      </c>
      <c r="L3915">
        <v>13248</v>
      </c>
      <c r="M3915">
        <v>1879</v>
      </c>
      <c r="N3915" t="s">
        <v>16393</v>
      </c>
      <c r="O3915" s="4">
        <v>45782</v>
      </c>
      <c r="P3915" s="4">
        <v>20893</v>
      </c>
      <c r="Q3915" s="4">
        <v>66675</v>
      </c>
      <c r="R3915" s="4">
        <v>200025</v>
      </c>
      <c r="S3915" t="s">
        <v>20226</v>
      </c>
      <c r="X3915" t="s">
        <v>3</v>
      </c>
      <c r="AA3915" s="5" t="str">
        <f>HYPERLINK("https://www.zillow.com/homes/605-E-4TH-AVE-NAPERVILLE-IL-60540_rb/","check listing")</f>
        <v>check listing</v>
      </c>
      <c r="AB3915" s="5" t="str">
        <f>HYPERLINK("https://propertylookup.dupagecounty.gov/Datalets/Datalet.aspx?UseSearch=no&amp;mode=sales&amp;pin=0818203001","sales record")</f>
        <v>sales record</v>
      </c>
      <c r="AC3915" t="s">
        <v>3</v>
      </c>
      <c r="AD3915">
        <v>41.77969</v>
      </c>
      <c r="AE3915">
        <v>-88.138628</v>
      </c>
      <c r="AF3915" s="5" t="str">
        <f>HYPERLINK("https://www.google.com/maps/search/?api=1&amp;query=41.77969,-88.138628","map")</f>
        <v>map</v>
      </c>
    </row>
    <row r="3916" spans="1:32">
      <c r="A3916" t="s">
        <v>3966</v>
      </c>
      <c r="B3916" t="s">
        <v>11499</v>
      </c>
      <c r="C3916" t="s">
        <v>15475</v>
      </c>
      <c r="D3916" t="s">
        <v>16206</v>
      </c>
      <c r="E3916" t="s">
        <v>16218</v>
      </c>
      <c r="F3916" t="s">
        <v>16221</v>
      </c>
      <c r="G3916" t="s">
        <v>16277</v>
      </c>
      <c r="H3916" t="s">
        <v>16277</v>
      </c>
      <c r="I3916" t="s">
        <v>16353</v>
      </c>
      <c r="J3916" t="s">
        <v>16386</v>
      </c>
      <c r="K3916">
        <v>0.304</v>
      </c>
      <c r="L3916">
        <v>13245</v>
      </c>
      <c r="M3916">
        <v>1583</v>
      </c>
      <c r="N3916" t="s">
        <v>16393</v>
      </c>
      <c r="O3916" s="4">
        <v>150819</v>
      </c>
      <c r="P3916" s="4">
        <v>364764</v>
      </c>
      <c r="Q3916" s="4">
        <v>515583</v>
      </c>
      <c r="R3916" s="4">
        <v>1546749</v>
      </c>
      <c r="S3916" t="s">
        <v>20227</v>
      </c>
      <c r="X3916" t="s">
        <v>3</v>
      </c>
      <c r="AA3916" s="5" t="str">
        <f>HYPERLINK("https://www.zillow.com/homes/626-S-WEBSTER-ST-NAPERVILLE-IL-60540_rb/","check listing")</f>
        <v>check listing</v>
      </c>
      <c r="AB3916" s="5" t="str">
        <f>HYPERLINK("https://propertylookup.dupagecounty.gov/Datalets/Datalet.aspx?UseSearch=no&amp;mode=sales&amp;pin=0724203031","sales record")</f>
        <v>sales record</v>
      </c>
      <c r="AC3916" t="s">
        <v>3</v>
      </c>
      <c r="AD3916">
        <v>41.767175</v>
      </c>
      <c r="AE3916">
        <v>-88.151068</v>
      </c>
      <c r="AF3916" s="5" t="str">
        <f>HYPERLINK("https://www.google.com/maps/search/?api=1&amp;query=41.767175,-88.151068","map")</f>
        <v>map</v>
      </c>
    </row>
    <row r="3917" spans="1:32">
      <c r="A3917" t="s">
        <v>3967</v>
      </c>
      <c r="B3917" t="s">
        <v>11500</v>
      </c>
      <c r="C3917" t="s">
        <v>15478</v>
      </c>
      <c r="D3917" t="s">
        <v>16206</v>
      </c>
      <c r="E3917" t="s">
        <v>16218</v>
      </c>
      <c r="F3917" t="s">
        <v>16221</v>
      </c>
      <c r="G3917" t="s">
        <v>16278</v>
      </c>
      <c r="H3917" t="s">
        <v>16277</v>
      </c>
      <c r="I3917" t="s">
        <v>16353</v>
      </c>
      <c r="J3917" t="s">
        <v>16386</v>
      </c>
      <c r="K3917">
        <v>0.304</v>
      </c>
      <c r="L3917">
        <v>13241</v>
      </c>
      <c r="N3917" t="s">
        <v>16393</v>
      </c>
      <c r="O3917" s="4">
        <v>67703</v>
      </c>
      <c r="P3917" s="4">
        <v>178257</v>
      </c>
      <c r="Q3917" s="4">
        <v>245960</v>
      </c>
      <c r="R3917" s="4">
        <v>737880</v>
      </c>
      <c r="S3917" t="s">
        <v>20228</v>
      </c>
      <c r="T3917" s="6">
        <v>43405</v>
      </c>
      <c r="U3917" s="4">
        <v>573468</v>
      </c>
      <c r="V3917" t="s">
        <v>16232</v>
      </c>
      <c r="W3917" t="s">
        <v>25738</v>
      </c>
      <c r="X3917" t="s">
        <v>3</v>
      </c>
      <c r="AA3917" s="5" t="str">
        <f>HYPERLINK("https://www.zillow.com/homes/1507-TAIL-LEAF-CT-NAPERVILLE-IL-60563_rb/","check listing")</f>
        <v>check listing</v>
      </c>
      <c r="AB3917" s="5" t="str">
        <f>HYPERLINK("https://propertylookup.dupagecounty.gov/Datalets/Datalet.aspx?UseSearch=no&amp;mode=sales&amp;pin=0709105029","sales record")</f>
        <v>sales record</v>
      </c>
      <c r="AC3917" t="s">
        <v>3</v>
      </c>
      <c r="AD3917">
        <v>41.795912</v>
      </c>
      <c r="AE3917">
        <v>-88.21636700000001</v>
      </c>
      <c r="AF3917" s="5" t="str">
        <f>HYPERLINK("https://www.google.com/maps/search/?api=1&amp;query=41.795912,-88.216367","map")</f>
        <v>map</v>
      </c>
    </row>
    <row r="3918" spans="1:32">
      <c r="A3918" t="s">
        <v>3968</v>
      </c>
      <c r="B3918" t="s">
        <v>11501</v>
      </c>
      <c r="C3918" t="s">
        <v>15475</v>
      </c>
      <c r="D3918" t="s">
        <v>16206</v>
      </c>
      <c r="E3918" t="s">
        <v>16218</v>
      </c>
      <c r="F3918" t="s">
        <v>16221</v>
      </c>
      <c r="G3918" t="s">
        <v>16277</v>
      </c>
      <c r="H3918" t="s">
        <v>16277</v>
      </c>
      <c r="I3918" t="s">
        <v>16353</v>
      </c>
      <c r="J3918" t="s">
        <v>16386</v>
      </c>
      <c r="K3918">
        <v>0.303</v>
      </c>
      <c r="L3918">
        <v>13205</v>
      </c>
      <c r="M3918">
        <v>4387</v>
      </c>
      <c r="N3918" t="s">
        <v>16393</v>
      </c>
      <c r="O3918" s="4">
        <v>154676</v>
      </c>
      <c r="P3918" s="4">
        <v>190315</v>
      </c>
      <c r="Q3918" s="4">
        <v>344991</v>
      </c>
      <c r="R3918" s="4">
        <v>1034973</v>
      </c>
      <c r="S3918" t="s">
        <v>20229</v>
      </c>
      <c r="T3918" s="6">
        <v>42795</v>
      </c>
      <c r="U3918" s="4">
        <v>680000</v>
      </c>
      <c r="V3918" t="s">
        <v>23739</v>
      </c>
      <c r="W3918" t="s">
        <v>25739</v>
      </c>
      <c r="X3918" t="s">
        <v>3</v>
      </c>
      <c r="AA3918" s="5" t="str">
        <f>HYPERLINK("https://www.zillow.com/homes/26-N-WEBSTER-ST-NAPERVILLE-IL-60540_rb/","check listing")</f>
        <v>check listing</v>
      </c>
      <c r="AB3918" s="5" t="str">
        <f>HYPERLINK("https://propertylookup.dupagecounty.gov/Datalets/Datalet.aspx?UseSearch=no&amp;mode=sales&amp;pin=0713410015","sales record")</f>
        <v>sales record</v>
      </c>
      <c r="AC3918" t="s">
        <v>3</v>
      </c>
      <c r="AD3918">
        <v>41.775834</v>
      </c>
      <c r="AE3918">
        <v>-88.150818</v>
      </c>
      <c r="AF3918" s="5" t="str">
        <f>HYPERLINK("https://www.google.com/maps/search/?api=1&amp;query=41.775834,-88.150818","map")</f>
        <v>map</v>
      </c>
    </row>
    <row r="3919" spans="1:32">
      <c r="A3919" t="s">
        <v>3969</v>
      </c>
      <c r="B3919" t="s">
        <v>11502</v>
      </c>
      <c r="C3919" t="s">
        <v>15637</v>
      </c>
      <c r="D3919" t="s">
        <v>16206</v>
      </c>
      <c r="E3919" t="s">
        <v>16218</v>
      </c>
      <c r="F3919" t="s">
        <v>16221</v>
      </c>
      <c r="G3919" t="s">
        <v>16277</v>
      </c>
      <c r="H3919" t="s">
        <v>16277</v>
      </c>
      <c r="I3919" t="s">
        <v>16353</v>
      </c>
      <c r="J3919" t="s">
        <v>16386</v>
      </c>
      <c r="K3919">
        <v>0.303</v>
      </c>
      <c r="L3919">
        <v>13192</v>
      </c>
      <c r="M3919">
        <v>2357</v>
      </c>
      <c r="N3919" t="s">
        <v>16393</v>
      </c>
      <c r="O3919" s="4">
        <v>74715</v>
      </c>
      <c r="P3919" s="4">
        <v>102196</v>
      </c>
      <c r="Q3919" s="4">
        <v>176911</v>
      </c>
      <c r="R3919" s="4">
        <v>530733</v>
      </c>
      <c r="S3919" t="s">
        <v>20230</v>
      </c>
      <c r="T3919" s="6">
        <v>34486</v>
      </c>
      <c r="U3919" s="4">
        <v>183000</v>
      </c>
      <c r="X3919" t="s">
        <v>3</v>
      </c>
      <c r="AA3919" s="5" t="str">
        <f>HYPERLINK("https://www.zillow.com/homes/533-PLANK-RD-NAPERVILLE-IL-605633268_rb/","check listing")</f>
        <v>check listing</v>
      </c>
      <c r="AB3919" s="5" t="str">
        <f>HYPERLINK("https://propertylookup.dupagecounty.gov/Datalets/Datalet.aspx?UseSearch=no&amp;mode=sales&amp;pin=0818206053","sales record")</f>
        <v>sales record</v>
      </c>
      <c r="AC3919" t="s">
        <v>3</v>
      </c>
      <c r="AD3919">
        <v>41.781059</v>
      </c>
      <c r="AE3919">
        <v>-88.13436400000001</v>
      </c>
      <c r="AF3919" s="5" t="str">
        <f>HYPERLINK("https://www.google.com/maps/search/?api=1&amp;query=41.781059,-88.134364","map")</f>
        <v>map</v>
      </c>
    </row>
    <row r="3920" spans="1:32">
      <c r="A3920" t="s">
        <v>3970</v>
      </c>
      <c r="B3920" t="s">
        <v>11503</v>
      </c>
      <c r="C3920" t="s">
        <v>15478</v>
      </c>
      <c r="D3920" t="s">
        <v>16206</v>
      </c>
      <c r="E3920" t="s">
        <v>16218</v>
      </c>
      <c r="F3920" t="s">
        <v>16221</v>
      </c>
      <c r="G3920" t="s">
        <v>16277</v>
      </c>
      <c r="H3920" t="s">
        <v>16277</v>
      </c>
      <c r="I3920" t="s">
        <v>16353</v>
      </c>
      <c r="J3920" t="s">
        <v>16386</v>
      </c>
      <c r="K3920">
        <v>0.302</v>
      </c>
      <c r="L3920">
        <v>13160</v>
      </c>
      <c r="M3920">
        <v>2491</v>
      </c>
      <c r="N3920" t="s">
        <v>16393</v>
      </c>
      <c r="O3920" s="4">
        <v>74905</v>
      </c>
      <c r="P3920" s="4">
        <v>61574</v>
      </c>
      <c r="Q3920" s="4">
        <v>136479</v>
      </c>
      <c r="R3920" s="4">
        <v>409437</v>
      </c>
      <c r="S3920" t="s">
        <v>20231</v>
      </c>
      <c r="X3920" t="s">
        <v>3</v>
      </c>
      <c r="AA3920" s="5" t="str">
        <f>HYPERLINK("https://www.zillow.com/homes/945-N-LOOMIS-ST-NAPERVILLE-IL-60563_rb/","check listing")</f>
        <v>check listing</v>
      </c>
      <c r="AB3920" s="5" t="str">
        <f>HYPERLINK("https://propertylookup.dupagecounty.gov/Datalets/Datalet.aspx?UseSearch=no&amp;mode=sales&amp;pin=0807310031","sales record")</f>
        <v>sales record</v>
      </c>
      <c r="AC3920" t="s">
        <v>3</v>
      </c>
      <c r="AD3920">
        <v>41.787079</v>
      </c>
      <c r="AE3920">
        <v>-88.14164700000001</v>
      </c>
      <c r="AF3920" s="5" t="str">
        <f>HYPERLINK("https://www.google.com/maps/search/?api=1&amp;query=41.787079,-88.141647","map")</f>
        <v>map</v>
      </c>
    </row>
    <row r="3921" spans="1:32">
      <c r="A3921" t="s">
        <v>3971</v>
      </c>
      <c r="B3921" t="s">
        <v>11504</v>
      </c>
      <c r="C3921" t="s">
        <v>15638</v>
      </c>
      <c r="D3921" t="s">
        <v>16206</v>
      </c>
      <c r="E3921" t="s">
        <v>16218</v>
      </c>
      <c r="F3921" t="s">
        <v>16221</v>
      </c>
      <c r="G3921" t="s">
        <v>16277</v>
      </c>
      <c r="H3921" t="s">
        <v>16277</v>
      </c>
      <c r="I3921" t="s">
        <v>16353</v>
      </c>
      <c r="J3921" t="s">
        <v>16386</v>
      </c>
      <c r="K3921">
        <v>0.302</v>
      </c>
      <c r="L3921">
        <v>13148</v>
      </c>
      <c r="M3921">
        <v>4073</v>
      </c>
      <c r="N3921" t="s">
        <v>16393</v>
      </c>
      <c r="O3921" s="4">
        <v>144876</v>
      </c>
      <c r="P3921" s="4">
        <v>64357</v>
      </c>
      <c r="Q3921" s="4">
        <v>209233</v>
      </c>
      <c r="R3921" s="4">
        <v>627699</v>
      </c>
      <c r="S3921" t="s">
        <v>20232</v>
      </c>
      <c r="T3921" s="6">
        <v>43770</v>
      </c>
      <c r="U3921" s="4">
        <v>475000</v>
      </c>
      <c r="V3921" t="s">
        <v>23739</v>
      </c>
      <c r="W3921" t="s">
        <v>25740</v>
      </c>
      <c r="X3921" t="s">
        <v>3</v>
      </c>
      <c r="AA3921" s="5" t="str">
        <f>HYPERLINK("https://www.zillow.com/homes/725-E-CHICAGO-AVE-NAPERVILLE-IL-605405505_rb/","check listing")</f>
        <v>check listing</v>
      </c>
      <c r="AB3921" s="5" t="str">
        <f>HYPERLINK("https://propertylookup.dupagecounty.gov/Datalets/Datalet.aspx?UseSearch=no&amp;mode=sales&amp;pin=0818410008","sales record")</f>
        <v>sales record</v>
      </c>
      <c r="AC3921" t="s">
        <v>3</v>
      </c>
      <c r="AD3921">
        <v>41.773332</v>
      </c>
      <c r="AE3921">
        <v>-88.137287</v>
      </c>
      <c r="AF3921" s="5" t="str">
        <f>HYPERLINK("https://www.google.com/maps/search/?api=1&amp;query=41.773332,-88.137287","map")</f>
        <v>map</v>
      </c>
    </row>
    <row r="3922" spans="1:32">
      <c r="A3922" t="s">
        <v>3972</v>
      </c>
      <c r="B3922" t="s">
        <v>11505</v>
      </c>
      <c r="C3922" t="s">
        <v>15478</v>
      </c>
      <c r="D3922" t="s">
        <v>16206</v>
      </c>
      <c r="E3922" t="s">
        <v>16218</v>
      </c>
      <c r="F3922" t="s">
        <v>16221</v>
      </c>
      <c r="G3922" t="s">
        <v>16277</v>
      </c>
      <c r="H3922" t="s">
        <v>16277</v>
      </c>
      <c r="I3922" t="s">
        <v>16353</v>
      </c>
      <c r="J3922" t="s">
        <v>16386</v>
      </c>
      <c r="K3922">
        <v>0.301</v>
      </c>
      <c r="L3922">
        <v>13090</v>
      </c>
      <c r="M3922">
        <v>2112</v>
      </c>
      <c r="N3922" t="s">
        <v>16393</v>
      </c>
      <c r="O3922" s="4">
        <v>149561</v>
      </c>
      <c r="P3922" s="4">
        <v>247381</v>
      </c>
      <c r="Q3922" s="4">
        <v>396942</v>
      </c>
      <c r="R3922" s="4">
        <v>1190826</v>
      </c>
      <c r="S3922" t="s">
        <v>20233</v>
      </c>
      <c r="T3922" s="6">
        <v>42948</v>
      </c>
      <c r="U3922" s="4">
        <v>280000</v>
      </c>
      <c r="V3922" t="s">
        <v>16232</v>
      </c>
      <c r="W3922" t="s">
        <v>25741</v>
      </c>
      <c r="X3922" t="s">
        <v>3</v>
      </c>
      <c r="AA3922" s="5" t="str">
        <f>HYPERLINK("https://www.zillow.com/homes/809-N-SLEIGHT-ST-NAPERVILLE-IL-60563_rb/","check listing")</f>
        <v>check listing</v>
      </c>
      <c r="AB3922" s="5" t="str">
        <f>HYPERLINK("https://propertylookup.dupagecounty.gov/Datalets/Datalet.aspx?UseSearch=no&amp;mode=sales&amp;pin=0818118003","sales record")</f>
        <v>sales record</v>
      </c>
      <c r="AC3922" t="s">
        <v>3</v>
      </c>
      <c r="AD3922">
        <v>41.784341</v>
      </c>
      <c r="AE3922">
        <v>-88.140393</v>
      </c>
      <c r="AF3922" s="5" t="str">
        <f>HYPERLINK("https://www.google.com/maps/search/?api=1&amp;query=41.784341,-88.140393","map")</f>
        <v>map</v>
      </c>
    </row>
    <row r="3923" spans="1:32">
      <c r="A3923" t="s">
        <v>3973</v>
      </c>
      <c r="B3923" t="s">
        <v>11506</v>
      </c>
      <c r="C3923" t="s">
        <v>15617</v>
      </c>
      <c r="D3923" t="s">
        <v>16206</v>
      </c>
      <c r="E3923" t="s">
        <v>16218</v>
      </c>
      <c r="F3923" t="s">
        <v>16221</v>
      </c>
      <c r="G3923" t="s">
        <v>16277</v>
      </c>
      <c r="H3923" t="s">
        <v>16277</v>
      </c>
      <c r="I3923" t="s">
        <v>16353</v>
      </c>
      <c r="J3923" t="s">
        <v>16386</v>
      </c>
      <c r="K3923">
        <v>0.3</v>
      </c>
      <c r="L3923">
        <v>13082</v>
      </c>
      <c r="M3923">
        <v>528</v>
      </c>
      <c r="N3923" t="s">
        <v>16393</v>
      </c>
      <c r="O3923" s="4">
        <v>160669</v>
      </c>
      <c r="P3923" s="4">
        <v>55948</v>
      </c>
      <c r="Q3923" s="4">
        <v>216617</v>
      </c>
      <c r="R3923" s="4">
        <v>649851</v>
      </c>
      <c r="S3923" t="s">
        <v>20234</v>
      </c>
      <c r="T3923" s="6">
        <v>35278</v>
      </c>
      <c r="U3923" s="4">
        <v>155000</v>
      </c>
      <c r="X3923" t="s">
        <v>3</v>
      </c>
      <c r="AA3923" s="5" t="str">
        <f>HYPERLINK("https://www.zillow.com/homes/41-S-MILL-ST-NAPERVILLE-IL-605404441_rb/","check listing")</f>
        <v>check listing</v>
      </c>
      <c r="AB3923" s="5" t="str">
        <f>HYPERLINK("https://propertylookup.dupagecounty.gov/Datalets/Datalet.aspx?UseSearch=no&amp;mode=sales&amp;pin=0713415018","sales record")</f>
        <v>sales record</v>
      </c>
      <c r="AC3923" t="s">
        <v>3</v>
      </c>
      <c r="AD3923">
        <v>41.774136</v>
      </c>
      <c r="AE3923">
        <v>-88.155092</v>
      </c>
      <c r="AF3923" s="5" t="str">
        <f>HYPERLINK("https://www.google.com/maps/search/?api=1&amp;query=41.774136,-88.155092","map")</f>
        <v>map</v>
      </c>
    </row>
    <row r="3924" spans="1:32">
      <c r="A3924" t="s">
        <v>3974</v>
      </c>
      <c r="B3924" t="s">
        <v>11507</v>
      </c>
      <c r="C3924" t="s">
        <v>15639</v>
      </c>
      <c r="D3924" t="s">
        <v>16206</v>
      </c>
      <c r="E3924" t="s">
        <v>16218</v>
      </c>
      <c r="F3924" t="s">
        <v>16221</v>
      </c>
      <c r="G3924" t="s">
        <v>16278</v>
      </c>
      <c r="H3924" t="s">
        <v>16277</v>
      </c>
      <c r="I3924" t="s">
        <v>16353</v>
      </c>
      <c r="J3924" t="s">
        <v>16386</v>
      </c>
      <c r="K3924">
        <v>0.3</v>
      </c>
      <c r="L3924">
        <v>13077</v>
      </c>
      <c r="N3924" t="s">
        <v>16393</v>
      </c>
      <c r="O3924" s="4">
        <v>64321</v>
      </c>
      <c r="P3924" s="4">
        <v>143911</v>
      </c>
      <c r="Q3924" s="4">
        <v>208232</v>
      </c>
      <c r="R3924" s="4">
        <v>624696</v>
      </c>
      <c r="S3924" t="s">
        <v>20235</v>
      </c>
      <c r="T3924" s="6">
        <v>43647</v>
      </c>
      <c r="U3924" s="4">
        <v>509000</v>
      </c>
      <c r="V3924" t="s">
        <v>16232</v>
      </c>
      <c r="W3924" t="s">
        <v>25742</v>
      </c>
      <c r="X3924" t="s">
        <v>3</v>
      </c>
      <c r="AA3924" s="5" t="str">
        <f>HYPERLINK("https://www.zillow.com/homes/1503-TAIL-LEAF-CT-NAPERVILLE-IL-605632183_rb/","check listing")</f>
        <v>check listing</v>
      </c>
      <c r="AB3924" s="5" t="str">
        <f>HYPERLINK("https://propertylookup.dupagecounty.gov/Datalets/Datalet.aspx?UseSearch=no&amp;mode=sales&amp;pin=0709105030","sales record")</f>
        <v>sales record</v>
      </c>
      <c r="AC3924" t="s">
        <v>3</v>
      </c>
      <c r="AD3924">
        <v>41.795951</v>
      </c>
      <c r="AE3924">
        <v>-88.216004</v>
      </c>
      <c r="AF3924" s="5" t="str">
        <f>HYPERLINK("https://www.google.com/maps/search/?api=1&amp;query=41.795951,-88.216004","map")</f>
        <v>map</v>
      </c>
    </row>
    <row r="3925" spans="1:32">
      <c r="A3925" t="s">
        <v>3975</v>
      </c>
      <c r="B3925" t="s">
        <v>11508</v>
      </c>
      <c r="C3925" t="s">
        <v>15618</v>
      </c>
      <c r="D3925" t="s">
        <v>16206</v>
      </c>
      <c r="E3925" t="s">
        <v>16218</v>
      </c>
      <c r="F3925" t="s">
        <v>16221</v>
      </c>
      <c r="G3925" t="s">
        <v>16277</v>
      </c>
      <c r="H3925" t="s">
        <v>16277</v>
      </c>
      <c r="I3925" t="s">
        <v>16353</v>
      </c>
      <c r="J3925" t="s">
        <v>16386</v>
      </c>
      <c r="K3925">
        <v>0.3</v>
      </c>
      <c r="L3925">
        <v>13073</v>
      </c>
      <c r="M3925">
        <v>7613</v>
      </c>
      <c r="N3925" t="s">
        <v>16393</v>
      </c>
      <c r="O3925" s="4">
        <v>162451</v>
      </c>
      <c r="P3925" s="4">
        <v>525445</v>
      </c>
      <c r="Q3925" s="4">
        <v>687896</v>
      </c>
      <c r="R3925" s="4">
        <v>2063688</v>
      </c>
      <c r="S3925" t="s">
        <v>20236</v>
      </c>
      <c r="X3925" t="s">
        <v>3</v>
      </c>
      <c r="AA3925" s="5" t="str">
        <f>HYPERLINK("https://www.zillow.com/homes/20-S-EWING-ST-NAPERVILLE-IL-605404430_rb/","check listing")</f>
        <v>check listing</v>
      </c>
      <c r="AB3925" s="5" t="str">
        <f>HYPERLINK("https://propertylookup.dupagecounty.gov/Datalets/Datalet.aspx?UseSearch=no&amp;mode=sales&amp;pin=0713415030","sales record")</f>
        <v>sales record</v>
      </c>
      <c r="AC3925" t="s">
        <v>3</v>
      </c>
      <c r="AD3925">
        <v>41.774492</v>
      </c>
      <c r="AE3925">
        <v>-88.15580300000001</v>
      </c>
      <c r="AF3925" s="5" t="str">
        <f>HYPERLINK("https://www.google.com/maps/search/?api=1&amp;query=41.774492,-88.155803","map")</f>
        <v>map</v>
      </c>
    </row>
    <row r="3926" spans="1:32">
      <c r="A3926" t="s">
        <v>3976</v>
      </c>
      <c r="B3926" t="s">
        <v>11509</v>
      </c>
      <c r="C3926" t="s">
        <v>15475</v>
      </c>
      <c r="D3926" t="s">
        <v>16206</v>
      </c>
      <c r="E3926" t="s">
        <v>16218</v>
      </c>
      <c r="F3926" t="s">
        <v>16221</v>
      </c>
      <c r="G3926" t="s">
        <v>16277</v>
      </c>
      <c r="H3926" t="s">
        <v>16277</v>
      </c>
      <c r="I3926" t="s">
        <v>16353</v>
      </c>
      <c r="J3926" t="s">
        <v>16386</v>
      </c>
      <c r="K3926">
        <v>0.3</v>
      </c>
      <c r="L3926">
        <v>13050</v>
      </c>
      <c r="M3926">
        <v>1451</v>
      </c>
      <c r="N3926" t="s">
        <v>16393</v>
      </c>
      <c r="O3926" s="4">
        <v>170580</v>
      </c>
      <c r="P3926" s="4">
        <v>48576</v>
      </c>
      <c r="Q3926" s="4">
        <v>219156</v>
      </c>
      <c r="R3926" s="4">
        <v>657468</v>
      </c>
      <c r="S3926" t="s">
        <v>20237</v>
      </c>
      <c r="X3926" t="s">
        <v>3</v>
      </c>
      <c r="AA3926" s="5" t="str">
        <f>HYPERLINK("https://www.zillow.com/homes/120-S-EWING-ST-NAPERVILLE-IL-60540_rb/","check listing")</f>
        <v>check listing</v>
      </c>
      <c r="AB3926" s="5" t="str">
        <f>HYPERLINK("https://propertylookup.dupagecounty.gov/Datalets/Datalet.aspx?UseSearch=no&amp;mode=sales&amp;pin=0713415013","sales record")</f>
        <v>sales record</v>
      </c>
      <c r="AC3926" t="s">
        <v>3</v>
      </c>
      <c r="AD3926">
        <v>41.773797</v>
      </c>
      <c r="AE3926">
        <v>-88.155838</v>
      </c>
      <c r="AF3926" s="5" t="str">
        <f>HYPERLINK("https://www.google.com/maps/search/?api=1&amp;query=41.773797,-88.155838","map")</f>
        <v>map</v>
      </c>
    </row>
    <row r="3927" spans="1:32">
      <c r="A3927" t="s">
        <v>3977</v>
      </c>
      <c r="B3927" t="s">
        <v>11510</v>
      </c>
      <c r="C3927" t="s">
        <v>15640</v>
      </c>
      <c r="D3927" t="s">
        <v>16206</v>
      </c>
      <c r="E3927" t="s">
        <v>16218</v>
      </c>
      <c r="F3927" t="s">
        <v>16221</v>
      </c>
      <c r="G3927" t="s">
        <v>16277</v>
      </c>
      <c r="H3927" t="s">
        <v>16277</v>
      </c>
      <c r="I3927" t="s">
        <v>16353</v>
      </c>
      <c r="J3927" t="s">
        <v>16386</v>
      </c>
      <c r="K3927">
        <v>0.3</v>
      </c>
      <c r="L3927">
        <v>13050</v>
      </c>
      <c r="M3927">
        <v>3694</v>
      </c>
      <c r="N3927" t="s">
        <v>16393</v>
      </c>
      <c r="O3927" s="4">
        <v>162451</v>
      </c>
      <c r="P3927" s="4">
        <v>346041</v>
      </c>
      <c r="Q3927" s="4">
        <v>508492</v>
      </c>
      <c r="R3927" s="4">
        <v>1525476</v>
      </c>
      <c r="S3927" t="s">
        <v>20238</v>
      </c>
      <c r="T3927" s="6">
        <v>44348</v>
      </c>
      <c r="U3927" s="4">
        <v>1250000</v>
      </c>
      <c r="V3927" t="s">
        <v>23739</v>
      </c>
      <c r="W3927" t="s">
        <v>25743</v>
      </c>
      <c r="X3927" t="s">
        <v>3</v>
      </c>
      <c r="AA3927" s="5" t="str">
        <f>HYPERLINK("https://www.zillow.com/homes/114-S-EWING-ST-NAPERVILLE-IL-605404432_rb/","check listing")</f>
        <v>check listing</v>
      </c>
      <c r="AB3927" s="5" t="str">
        <f>HYPERLINK("https://propertylookup.dupagecounty.gov/Datalets/Datalet.aspx?UseSearch=no&amp;mode=sales&amp;pin=0713415028","sales record")</f>
        <v>sales record</v>
      </c>
      <c r="AC3927" t="s">
        <v>3</v>
      </c>
      <c r="AD3927">
        <v>41.773977</v>
      </c>
      <c r="AE3927">
        <v>-88.155829</v>
      </c>
      <c r="AF3927" s="5" t="str">
        <f>HYPERLINK("https://www.google.com/maps/search/?api=1&amp;query=41.773977,-88.155829","map")</f>
        <v>map</v>
      </c>
    </row>
    <row r="3928" spans="1:32">
      <c r="A3928" t="s">
        <v>3978</v>
      </c>
      <c r="B3928" t="s">
        <v>11511</v>
      </c>
      <c r="C3928" t="s">
        <v>15641</v>
      </c>
      <c r="D3928" t="s">
        <v>16206</v>
      </c>
      <c r="E3928" t="s">
        <v>16218</v>
      </c>
      <c r="F3928" t="s">
        <v>16221</v>
      </c>
      <c r="G3928" t="s">
        <v>16277</v>
      </c>
      <c r="H3928" t="s">
        <v>16277</v>
      </c>
      <c r="I3928" t="s">
        <v>16353</v>
      </c>
      <c r="J3928" t="s">
        <v>16386</v>
      </c>
      <c r="K3928">
        <v>0.299</v>
      </c>
      <c r="L3928">
        <v>13018</v>
      </c>
      <c r="M3928">
        <v>2714</v>
      </c>
      <c r="N3928" t="s">
        <v>16393</v>
      </c>
      <c r="O3928" s="4">
        <v>171454</v>
      </c>
      <c r="P3928" s="4">
        <v>175318</v>
      </c>
      <c r="Q3928" s="4">
        <v>346772</v>
      </c>
      <c r="R3928" s="4">
        <v>1040316</v>
      </c>
      <c r="S3928" t="s">
        <v>20239</v>
      </c>
      <c r="T3928" s="6">
        <v>44501</v>
      </c>
      <c r="U3928" s="4">
        <v>940000</v>
      </c>
      <c r="V3928" t="s">
        <v>23739</v>
      </c>
      <c r="W3928" t="s">
        <v>25744</v>
      </c>
      <c r="X3928" t="s">
        <v>3</v>
      </c>
      <c r="AA3928" s="5" t="str">
        <f>HYPERLINK("https://www.zillow.com/homes/23-N-COLUMBIA-ST-NAPERVILLE-IL-605404712_rb/","check listing")</f>
        <v>check listing</v>
      </c>
      <c r="AB3928" s="5" t="str">
        <f>HYPERLINK("https://propertylookup.dupagecounty.gov/Datalets/Datalet.aspx?UseSearch=no&amp;mode=sales&amp;pin=0818403008","sales record")</f>
        <v>sales record</v>
      </c>
      <c r="AC3928" t="s">
        <v>27873</v>
      </c>
      <c r="AD3928">
        <v>41.775564</v>
      </c>
      <c r="AE3928">
        <v>-88.138406</v>
      </c>
      <c r="AF3928" s="5" t="str">
        <f>HYPERLINK("https://www.google.com/maps/search/?api=1&amp;query=41.775564,-88.138406","map")</f>
        <v>map</v>
      </c>
    </row>
    <row r="3929" spans="1:32">
      <c r="A3929" t="s">
        <v>3979</v>
      </c>
      <c r="B3929" t="s">
        <v>11512</v>
      </c>
      <c r="C3929" t="s">
        <v>15478</v>
      </c>
      <c r="D3929" t="s">
        <v>16206</v>
      </c>
      <c r="E3929" t="s">
        <v>16218</v>
      </c>
      <c r="F3929" t="s">
        <v>16221</v>
      </c>
      <c r="G3929" t="s">
        <v>16277</v>
      </c>
      <c r="H3929" t="s">
        <v>16277</v>
      </c>
      <c r="I3929" t="s">
        <v>16353</v>
      </c>
      <c r="J3929" t="s">
        <v>16386</v>
      </c>
      <c r="K3929">
        <v>0.296</v>
      </c>
      <c r="L3929">
        <v>12904</v>
      </c>
      <c r="M3929">
        <v>3300</v>
      </c>
      <c r="N3929" t="s">
        <v>16393</v>
      </c>
      <c r="O3929" s="4">
        <v>99212</v>
      </c>
      <c r="P3929" s="4">
        <v>109748</v>
      </c>
      <c r="Q3929" s="4">
        <v>208960</v>
      </c>
      <c r="R3929" s="4">
        <v>626880</v>
      </c>
      <c r="S3929" t="s">
        <v>20240</v>
      </c>
      <c r="T3929" s="6">
        <v>32752</v>
      </c>
      <c r="U3929" s="4">
        <v>116500</v>
      </c>
      <c r="X3929" t="s">
        <v>3</v>
      </c>
      <c r="AA3929" s="5" t="str">
        <f>HYPERLINK("https://www.zillow.com/homes/429-E-8TH-AVE-NAPERVILLE-IL-60563_rb/","check listing")</f>
        <v>check listing</v>
      </c>
      <c r="AB3929" s="5" t="str">
        <f>HYPERLINK("https://propertylookup.dupagecounty.gov/Datalets/Datalet.aspx?UseSearch=no&amp;mode=sales&amp;pin=0818118004","sales record")</f>
        <v>sales record</v>
      </c>
      <c r="AC3929" t="s">
        <v>3</v>
      </c>
      <c r="AD3929">
        <v>41.784169</v>
      </c>
      <c r="AE3929">
        <v>-88.140417</v>
      </c>
      <c r="AF3929" s="5" t="str">
        <f>HYPERLINK("https://www.google.com/maps/search/?api=1&amp;query=41.784169,-88.140417","map")</f>
        <v>map</v>
      </c>
    </row>
    <row r="3930" spans="1:32">
      <c r="A3930" t="s">
        <v>3980</v>
      </c>
      <c r="B3930" t="s">
        <v>11513</v>
      </c>
      <c r="C3930" t="s">
        <v>15475</v>
      </c>
      <c r="D3930" t="s">
        <v>16206</v>
      </c>
      <c r="E3930" t="s">
        <v>16218</v>
      </c>
      <c r="F3930" t="s">
        <v>16221</v>
      </c>
      <c r="G3930" t="s">
        <v>16277</v>
      </c>
      <c r="H3930" t="s">
        <v>16277</v>
      </c>
      <c r="I3930" t="s">
        <v>16353</v>
      </c>
      <c r="J3930" t="s">
        <v>16386</v>
      </c>
      <c r="K3930">
        <v>0.295</v>
      </c>
      <c r="L3930">
        <v>12869</v>
      </c>
      <c r="M3930">
        <v>3100</v>
      </c>
      <c r="N3930" t="s">
        <v>16393</v>
      </c>
      <c r="O3930" s="4">
        <v>171454</v>
      </c>
      <c r="P3930" s="4">
        <v>168362</v>
      </c>
      <c r="Q3930" s="4">
        <v>339816</v>
      </c>
      <c r="R3930" s="4">
        <v>1019448</v>
      </c>
      <c r="S3930" t="s">
        <v>20241</v>
      </c>
      <c r="X3930" t="s">
        <v>3</v>
      </c>
      <c r="AA3930" s="5" t="str">
        <f>HYPERLINK("https://www.zillow.com/homes/209-N-BRAINARD-ST-NAPERVILLE-IL-60540_rb/","check listing")</f>
        <v>check listing</v>
      </c>
      <c r="AB3930" s="5" t="str">
        <f>HYPERLINK("https://propertylookup.dupagecounty.gov/Datalets/Datalet.aspx?UseSearch=no&amp;mode=sales&amp;pin=0818132015","sales record")</f>
        <v>sales record</v>
      </c>
      <c r="AC3930" t="s">
        <v>27873</v>
      </c>
      <c r="AD3930">
        <v>41.777643</v>
      </c>
      <c r="AE3930">
        <v>-88.143957</v>
      </c>
      <c r="AF3930" s="5" t="str">
        <f>HYPERLINK("https://www.google.com/maps/search/?api=1&amp;query=41.777643,-88.143957","map")</f>
        <v>map</v>
      </c>
    </row>
    <row r="3931" spans="1:32">
      <c r="A3931" t="s">
        <v>3981</v>
      </c>
      <c r="B3931" t="s">
        <v>11514</v>
      </c>
      <c r="C3931" t="s">
        <v>15478</v>
      </c>
      <c r="D3931" t="s">
        <v>16206</v>
      </c>
      <c r="E3931" t="s">
        <v>16218</v>
      </c>
      <c r="F3931" t="s">
        <v>16221</v>
      </c>
      <c r="G3931" t="s">
        <v>16278</v>
      </c>
      <c r="H3931" t="s">
        <v>16277</v>
      </c>
      <c r="I3931" t="s">
        <v>16353</v>
      </c>
      <c r="J3931" t="s">
        <v>16386</v>
      </c>
      <c r="K3931">
        <v>0.295</v>
      </c>
      <c r="L3931">
        <v>12860</v>
      </c>
      <c r="N3931" t="s">
        <v>16393</v>
      </c>
      <c r="O3931" s="4">
        <v>66140</v>
      </c>
      <c r="P3931" s="4">
        <v>187044</v>
      </c>
      <c r="Q3931" s="4">
        <v>253184</v>
      </c>
      <c r="R3931" s="4">
        <v>759552</v>
      </c>
      <c r="S3931" t="s">
        <v>20242</v>
      </c>
      <c r="T3931" s="6">
        <v>43617</v>
      </c>
      <c r="U3931" s="4">
        <v>549236</v>
      </c>
      <c r="V3931" t="s">
        <v>16232</v>
      </c>
      <c r="W3931" t="s">
        <v>20242</v>
      </c>
      <c r="X3931" t="s">
        <v>3</v>
      </c>
      <c r="AA3931" s="5" t="str">
        <f>HYPERLINK("https://www.zillow.com/homes/1332-BAYOU-PATH-CT-NAPERVILLE-IL-60563_rb/","check listing")</f>
        <v>check listing</v>
      </c>
      <c r="AB3931" s="5" t="str">
        <f>HYPERLINK("https://propertylookup.dupagecounty.gov/Datalets/Datalet.aspx?UseSearch=no&amp;mode=sales&amp;pin=0709311093","sales record")</f>
        <v>sales record</v>
      </c>
      <c r="AC3931" t="s">
        <v>3</v>
      </c>
      <c r="AD3931">
        <v>41.785897</v>
      </c>
      <c r="AE3931">
        <v>-88.21759299999999</v>
      </c>
      <c r="AF3931" s="5" t="str">
        <f>HYPERLINK("https://www.google.com/maps/search/?api=1&amp;query=41.785897,-88.217593","map")</f>
        <v>map</v>
      </c>
    </row>
    <row r="3932" spans="1:32">
      <c r="A3932" t="s">
        <v>3982</v>
      </c>
      <c r="B3932" t="s">
        <v>11515</v>
      </c>
      <c r="C3932" t="s">
        <v>15475</v>
      </c>
      <c r="D3932" t="s">
        <v>16206</v>
      </c>
      <c r="E3932" t="s">
        <v>16218</v>
      </c>
      <c r="F3932" t="s">
        <v>16221</v>
      </c>
      <c r="G3932" t="s">
        <v>16277</v>
      </c>
      <c r="H3932" t="s">
        <v>16277</v>
      </c>
      <c r="I3932" t="s">
        <v>16353</v>
      </c>
      <c r="J3932" t="s">
        <v>16386</v>
      </c>
      <c r="K3932">
        <v>0.294</v>
      </c>
      <c r="L3932">
        <v>12799</v>
      </c>
      <c r="M3932">
        <v>2172</v>
      </c>
      <c r="N3932" t="s">
        <v>16393</v>
      </c>
      <c r="O3932" s="4">
        <v>145031</v>
      </c>
      <c r="P3932" s="4">
        <v>38755</v>
      </c>
      <c r="Q3932" s="4">
        <v>183786</v>
      </c>
      <c r="R3932" s="4">
        <v>551358</v>
      </c>
      <c r="S3932" t="s">
        <v>20243</v>
      </c>
      <c r="T3932" s="6">
        <v>42309</v>
      </c>
      <c r="U3932" s="4">
        <v>410000</v>
      </c>
      <c r="V3932" t="s">
        <v>23739</v>
      </c>
      <c r="W3932" t="s">
        <v>25745</v>
      </c>
      <c r="X3932" t="s">
        <v>3</v>
      </c>
      <c r="AA3932" s="5" t="str">
        <f>HYPERLINK("https://www.zillow.com/homes/127-S-COLUMBIA-ST-NAPERVILLE-IL-60540_rb/","check listing")</f>
        <v>check listing</v>
      </c>
      <c r="AB3932" s="5" t="str">
        <f>HYPERLINK("https://propertylookup.dupagecounty.gov/Datalets/Datalet.aspx?UseSearch=no&amp;mode=sales&amp;pin=0818409004","sales record")</f>
        <v>sales record</v>
      </c>
      <c r="AC3932" t="s">
        <v>3</v>
      </c>
      <c r="AD3932">
        <v>41.773016</v>
      </c>
      <c r="AE3932">
        <v>-88.13856699999999</v>
      </c>
      <c r="AF3932" s="5" t="str">
        <f>HYPERLINK("https://www.google.com/maps/search/?api=1&amp;query=41.773016,-88.138567","map")</f>
        <v>map</v>
      </c>
    </row>
    <row r="3933" spans="1:32">
      <c r="A3933" t="s">
        <v>3983</v>
      </c>
      <c r="B3933" t="s">
        <v>11516</v>
      </c>
      <c r="C3933" t="s">
        <v>15475</v>
      </c>
      <c r="D3933" t="s">
        <v>16206</v>
      </c>
      <c r="E3933" t="s">
        <v>16218</v>
      </c>
      <c r="F3933" t="s">
        <v>16221</v>
      </c>
      <c r="G3933" t="s">
        <v>16277</v>
      </c>
      <c r="H3933" t="s">
        <v>16277</v>
      </c>
      <c r="I3933" t="s">
        <v>16353</v>
      </c>
      <c r="J3933" t="s">
        <v>16386</v>
      </c>
      <c r="K3933">
        <v>0.29</v>
      </c>
      <c r="L3933">
        <v>12653</v>
      </c>
      <c r="M3933">
        <v>4881</v>
      </c>
      <c r="N3933" t="s">
        <v>16393</v>
      </c>
      <c r="O3933" s="4">
        <v>154493</v>
      </c>
      <c r="P3933" s="4">
        <v>504074</v>
      </c>
      <c r="Q3933" s="4">
        <v>658567</v>
      </c>
      <c r="R3933" s="4">
        <v>1975701</v>
      </c>
      <c r="S3933" t="s">
        <v>19373</v>
      </c>
      <c r="T3933" s="6">
        <v>43374</v>
      </c>
      <c r="U3933" s="4">
        <v>1330000</v>
      </c>
      <c r="V3933" t="s">
        <v>23739</v>
      </c>
      <c r="W3933" t="s">
        <v>25746</v>
      </c>
      <c r="X3933" t="s">
        <v>3</v>
      </c>
      <c r="AA3933" s="5" t="str">
        <f>HYPERLINK("https://www.zillow.com/homes/21-S-WEST-ST-NAPERVILLE-IL-60540_rb/","check listing")</f>
        <v>check listing</v>
      </c>
      <c r="AB3933" s="5" t="str">
        <f>HYPERLINK("https://propertylookup.dupagecounty.gov/Datalets/Datalet.aspx?UseSearch=no&amp;mode=sales&amp;pin=0713311015","sales record")</f>
        <v>sales record</v>
      </c>
      <c r="AC3933" t="s">
        <v>3</v>
      </c>
      <c r="AD3933">
        <v>41.774882</v>
      </c>
      <c r="AE3933">
        <v>-88.15825</v>
      </c>
      <c r="AF3933" s="5" t="str">
        <f>HYPERLINK("https://www.google.com/maps/search/?api=1&amp;query=41.774882,-88.15825","map")</f>
        <v>map</v>
      </c>
    </row>
    <row r="3934" spans="1:32">
      <c r="A3934" t="s">
        <v>3984</v>
      </c>
      <c r="B3934" t="s">
        <v>11517</v>
      </c>
      <c r="C3934" t="s">
        <v>15642</v>
      </c>
      <c r="D3934" t="s">
        <v>16206</v>
      </c>
      <c r="E3934" t="s">
        <v>16218</v>
      </c>
      <c r="F3934" t="s">
        <v>16221</v>
      </c>
      <c r="G3934" t="s">
        <v>16278</v>
      </c>
      <c r="H3934" t="s">
        <v>16277</v>
      </c>
      <c r="I3934" t="s">
        <v>16353</v>
      </c>
      <c r="J3934" t="s">
        <v>16386</v>
      </c>
      <c r="K3934">
        <v>0.289</v>
      </c>
      <c r="L3934">
        <v>12589</v>
      </c>
      <c r="M3934">
        <v>2226</v>
      </c>
      <c r="N3934" t="s">
        <v>16393</v>
      </c>
      <c r="O3934" s="4">
        <v>71278</v>
      </c>
      <c r="P3934" s="4">
        <v>124005</v>
      </c>
      <c r="Q3934" s="4">
        <v>195283</v>
      </c>
      <c r="R3934" s="4">
        <v>585849</v>
      </c>
      <c r="S3934" t="s">
        <v>20244</v>
      </c>
      <c r="T3934" s="6">
        <v>45482</v>
      </c>
      <c r="U3934" s="4">
        <v>640000</v>
      </c>
      <c r="V3934" t="s">
        <v>23739</v>
      </c>
      <c r="W3934" t="s">
        <v>25747</v>
      </c>
      <c r="X3934" t="s">
        <v>3</v>
      </c>
      <c r="AA3934" s="5" t="str">
        <f>HYPERLINK("https://www.zillow.com/homes/1503-WEDGEFIELD-CIR-NAPERVILLE-IL-605636303_rb/","check listing")</f>
        <v>check listing</v>
      </c>
      <c r="AB3934" s="5" t="str">
        <f>HYPERLINK("https://propertylookup.dupagecounty.gov/Datalets/Datalet.aspx?UseSearch=no&amp;mode=sales&amp;pin=0712102008","sales record")</f>
        <v>sales record</v>
      </c>
      <c r="AC3934" t="s">
        <v>3</v>
      </c>
      <c r="AD3934">
        <v>41.795032</v>
      </c>
      <c r="AE3934">
        <v>-88.159289</v>
      </c>
      <c r="AF3934" s="5" t="str">
        <f>HYPERLINK("https://www.google.com/maps/search/?api=1&amp;query=41.795032,-88.159289","map")</f>
        <v>map</v>
      </c>
    </row>
    <row r="3935" spans="1:32">
      <c r="A3935" t="s">
        <v>3985</v>
      </c>
      <c r="B3935" t="s">
        <v>11518</v>
      </c>
      <c r="C3935" t="s">
        <v>15478</v>
      </c>
      <c r="D3935" t="s">
        <v>16206</v>
      </c>
      <c r="E3935" t="s">
        <v>16218</v>
      </c>
      <c r="F3935" t="s">
        <v>16221</v>
      </c>
      <c r="G3935" t="s">
        <v>16277</v>
      </c>
      <c r="H3935" t="s">
        <v>16277</v>
      </c>
      <c r="I3935" t="s">
        <v>16353</v>
      </c>
      <c r="J3935" t="s">
        <v>16386</v>
      </c>
      <c r="K3935">
        <v>0.288</v>
      </c>
      <c r="L3935">
        <v>12564</v>
      </c>
      <c r="M3935">
        <v>1319</v>
      </c>
      <c r="N3935" t="s">
        <v>16393</v>
      </c>
      <c r="O3935" s="4">
        <v>74905</v>
      </c>
      <c r="P3935" s="4">
        <v>33178</v>
      </c>
      <c r="Q3935" s="4">
        <v>108083</v>
      </c>
      <c r="R3935" s="4">
        <v>324249</v>
      </c>
      <c r="S3935" t="s">
        <v>20245</v>
      </c>
      <c r="T3935" s="6">
        <v>37561</v>
      </c>
      <c r="U3935" s="4">
        <v>90000</v>
      </c>
      <c r="V3935" t="s">
        <v>23740</v>
      </c>
      <c r="W3935" t="s">
        <v>25748</v>
      </c>
      <c r="X3935" t="s">
        <v>3</v>
      </c>
      <c r="AA3935" s="5" t="str">
        <f>HYPERLINK("https://www.zillow.com/homes/952-N-LOOMIS-ST-NAPERVILLE-IL-60563_rb/","check listing")</f>
        <v>check listing</v>
      </c>
      <c r="AB3935" s="5" t="str">
        <f>HYPERLINK("https://propertylookup.dupagecounty.gov/Datalets/Datalet.aspx?UseSearch=no&amp;mode=sales&amp;pin=0807311007","sales record")</f>
        <v>sales record</v>
      </c>
      <c r="AC3935" t="s">
        <v>3</v>
      </c>
      <c r="AD3935">
        <v>41.787177</v>
      </c>
      <c r="AE3935">
        <v>-88.140775</v>
      </c>
      <c r="AF3935" s="5" t="str">
        <f>HYPERLINK("https://www.google.com/maps/search/?api=1&amp;query=41.787177,-88.140775","map")</f>
        <v>map</v>
      </c>
    </row>
    <row r="3936" spans="1:32">
      <c r="A3936" t="s">
        <v>3986</v>
      </c>
      <c r="B3936" t="s">
        <v>11519</v>
      </c>
      <c r="C3936" t="s">
        <v>15621</v>
      </c>
      <c r="D3936" t="s">
        <v>16206</v>
      </c>
      <c r="E3936" t="s">
        <v>16218</v>
      </c>
      <c r="F3936" t="s">
        <v>16221</v>
      </c>
      <c r="G3936" t="s">
        <v>16278</v>
      </c>
      <c r="H3936" t="s">
        <v>16277</v>
      </c>
      <c r="I3936" t="s">
        <v>16353</v>
      </c>
      <c r="J3936" t="s">
        <v>16386</v>
      </c>
      <c r="K3936">
        <v>0.287</v>
      </c>
      <c r="L3936">
        <v>12518</v>
      </c>
      <c r="N3936" t="s">
        <v>16393</v>
      </c>
      <c r="O3936" s="4">
        <v>69447</v>
      </c>
      <c r="P3936" s="4">
        <v>145180</v>
      </c>
      <c r="Q3936" s="4">
        <v>214627</v>
      </c>
      <c r="R3936" s="4">
        <v>643881</v>
      </c>
      <c r="S3936" t="s">
        <v>20246</v>
      </c>
      <c r="T3936" s="6">
        <v>45310</v>
      </c>
      <c r="U3936" s="4">
        <v>690000</v>
      </c>
      <c r="V3936" t="s">
        <v>23739</v>
      </c>
      <c r="W3936" t="s">
        <v>25749</v>
      </c>
      <c r="X3936" t="s">
        <v>3</v>
      </c>
      <c r="AA3936" s="5" t="str">
        <f>HYPERLINK("https://www.zillow.com/homes/2423-COASTAL-SAGE-CT-NAPERVILLE-IL-605633613_rb/","check listing")</f>
        <v>check listing</v>
      </c>
      <c r="AB3936" s="5" t="str">
        <f>HYPERLINK("https://propertylookup.dupagecounty.gov/Datalets/Datalet.aspx?UseSearch=no&amp;mode=sales&amp;pin=0709311063","sales record")</f>
        <v>sales record</v>
      </c>
      <c r="AC3936" t="s">
        <v>3</v>
      </c>
      <c r="AD3936">
        <v>41.786363</v>
      </c>
      <c r="AE3936">
        <v>-88.220161</v>
      </c>
      <c r="AF3936" s="5" t="str">
        <f>HYPERLINK("https://www.google.com/maps/search/?api=1&amp;query=41.786363,-88.220161","map")</f>
        <v>map</v>
      </c>
    </row>
    <row r="3937" spans="1:32">
      <c r="A3937" t="s">
        <v>3987</v>
      </c>
      <c r="B3937" t="s">
        <v>11520</v>
      </c>
      <c r="C3937" t="s">
        <v>15478</v>
      </c>
      <c r="D3937" t="s">
        <v>16206</v>
      </c>
      <c r="E3937" t="s">
        <v>16218</v>
      </c>
      <c r="F3937" t="s">
        <v>16221</v>
      </c>
      <c r="G3937" t="s">
        <v>16277</v>
      </c>
      <c r="H3937" t="s">
        <v>16277</v>
      </c>
      <c r="I3937" t="s">
        <v>16353</v>
      </c>
      <c r="J3937" t="s">
        <v>16386</v>
      </c>
      <c r="K3937">
        <v>0.287</v>
      </c>
      <c r="L3937">
        <v>12512</v>
      </c>
      <c r="M3937">
        <v>4122</v>
      </c>
      <c r="N3937" t="s">
        <v>16393</v>
      </c>
      <c r="O3937" s="4">
        <v>72741</v>
      </c>
      <c r="P3937" s="4">
        <v>379807</v>
      </c>
      <c r="Q3937" s="4">
        <v>452548</v>
      </c>
      <c r="R3937" s="4">
        <v>1357644</v>
      </c>
      <c r="S3937" t="s">
        <v>20247</v>
      </c>
      <c r="T3937" s="6">
        <v>45420</v>
      </c>
      <c r="U3937" s="4">
        <v>1275000</v>
      </c>
      <c r="V3937" t="s">
        <v>23739</v>
      </c>
      <c r="W3937" t="s">
        <v>25750</v>
      </c>
      <c r="X3937" t="s">
        <v>3</v>
      </c>
      <c r="AA3937" s="5" t="str">
        <f>HYPERLINK("https://www.zillow.com/homes/958-N-LOOMIS-ST-NAPERVILLE-IL-60563_rb/","check listing")</f>
        <v>check listing</v>
      </c>
      <c r="AB3937" s="5" t="str">
        <f>HYPERLINK("https://propertylookup.dupagecounty.gov/Datalets/Datalet.aspx?UseSearch=no&amp;mode=sales&amp;pin=0807311031","sales record")</f>
        <v>sales record</v>
      </c>
      <c r="AC3937" t="s">
        <v>3</v>
      </c>
      <c r="AD3937">
        <v>41.787421</v>
      </c>
      <c r="AE3937">
        <v>-88.14076300000001</v>
      </c>
      <c r="AF3937" s="5" t="str">
        <f>HYPERLINK("https://www.google.com/maps/search/?api=1&amp;query=41.787421,-88.140763","map")</f>
        <v>map</v>
      </c>
    </row>
    <row r="3938" spans="1:32">
      <c r="A3938" t="s">
        <v>3988</v>
      </c>
      <c r="B3938" t="s">
        <v>11521</v>
      </c>
      <c r="C3938" t="s">
        <v>15643</v>
      </c>
      <c r="D3938" t="s">
        <v>16206</v>
      </c>
      <c r="E3938" t="s">
        <v>16218</v>
      </c>
      <c r="F3938" t="s">
        <v>16221</v>
      </c>
      <c r="G3938" t="s">
        <v>16277</v>
      </c>
      <c r="H3938" t="s">
        <v>16277</v>
      </c>
      <c r="I3938" t="s">
        <v>16353</v>
      </c>
      <c r="J3938" t="s">
        <v>16386</v>
      </c>
      <c r="K3938">
        <v>0.285</v>
      </c>
      <c r="L3938">
        <v>12429</v>
      </c>
      <c r="M3938">
        <v>4419</v>
      </c>
      <c r="N3938" t="s">
        <v>16393</v>
      </c>
      <c r="O3938" s="4">
        <v>143829</v>
      </c>
      <c r="P3938" s="4">
        <v>306055</v>
      </c>
      <c r="Q3938" s="4">
        <v>449884</v>
      </c>
      <c r="R3938" s="4">
        <v>1349652</v>
      </c>
      <c r="S3938" t="s">
        <v>20248</v>
      </c>
      <c r="X3938" t="s">
        <v>3</v>
      </c>
      <c r="AA3938" s="5" t="str">
        <f>HYPERLINK("https://www.zillow.com/homes/424-E-CHICAGO-AVE-NAPERVILLE-IL-605405408_rb/","check listing")</f>
        <v>check listing</v>
      </c>
      <c r="AB3938" s="5" t="str">
        <f>HYPERLINK("https://propertylookup.dupagecounty.gov/Datalets/Datalet.aspx?UseSearch=no&amp;mode=sales&amp;pin=0818328023","sales record")</f>
        <v>sales record</v>
      </c>
      <c r="AC3938" t="s">
        <v>3</v>
      </c>
      <c r="AD3938">
        <v>41.772016</v>
      </c>
      <c r="AE3938">
        <v>-88.141448</v>
      </c>
      <c r="AF3938" s="5" t="str">
        <f>HYPERLINK("https://www.google.com/maps/search/?api=1&amp;query=41.772016,-88.141448","map")</f>
        <v>map</v>
      </c>
    </row>
    <row r="3939" spans="1:32">
      <c r="A3939" t="s">
        <v>3989</v>
      </c>
      <c r="B3939" t="s">
        <v>11522</v>
      </c>
      <c r="C3939" t="s">
        <v>15644</v>
      </c>
      <c r="D3939" t="s">
        <v>16206</v>
      </c>
      <c r="E3939" t="s">
        <v>16218</v>
      </c>
      <c r="F3939" t="s">
        <v>16221</v>
      </c>
      <c r="G3939" t="s">
        <v>16277</v>
      </c>
      <c r="H3939" t="s">
        <v>16277</v>
      </c>
      <c r="I3939" t="s">
        <v>16353</v>
      </c>
      <c r="J3939" t="s">
        <v>16386</v>
      </c>
      <c r="K3939">
        <v>0.285</v>
      </c>
      <c r="L3939">
        <v>12400</v>
      </c>
      <c r="N3939" t="s">
        <v>16393</v>
      </c>
      <c r="O3939" s="4">
        <v>127959</v>
      </c>
      <c r="P3939" s="4">
        <v>248753</v>
      </c>
      <c r="Q3939" s="4">
        <v>376712</v>
      </c>
      <c r="R3939" s="4">
        <v>1130136</v>
      </c>
      <c r="S3939" t="s">
        <v>20249</v>
      </c>
      <c r="T3939" s="6">
        <v>43435</v>
      </c>
      <c r="U3939" s="4">
        <v>210000</v>
      </c>
      <c r="V3939" t="s">
        <v>23739</v>
      </c>
      <c r="W3939" t="s">
        <v>25751</v>
      </c>
      <c r="X3939" t="s">
        <v>3</v>
      </c>
      <c r="AA3939" s="5" t="str">
        <f>HYPERLINK("https://www.zillow.com/homes/244-N-LAIRD-ST-NAPERVILLE-IL-605404335_rb/","check listing")</f>
        <v>check listing</v>
      </c>
      <c r="AB3939" s="5" t="str">
        <f>HYPERLINK("https://propertylookup.dupagecounty.gov/Datalets/Datalet.aspx?UseSearch=no&amp;mode=sales&amp;pin=0713103022","sales record")</f>
        <v>sales record</v>
      </c>
      <c r="AC3939" t="s">
        <v>3</v>
      </c>
      <c r="AD3939">
        <v>41.779171</v>
      </c>
      <c r="AE3939">
        <v>-88.159362</v>
      </c>
      <c r="AF3939" s="5" t="str">
        <f>HYPERLINK("https://www.google.com/maps/search/?api=1&amp;query=41.779171,-88.159362","map")</f>
        <v>map</v>
      </c>
    </row>
    <row r="3940" spans="1:32">
      <c r="A3940" t="s">
        <v>3990</v>
      </c>
      <c r="B3940" t="s">
        <v>11523</v>
      </c>
      <c r="C3940" t="s">
        <v>15475</v>
      </c>
      <c r="D3940" t="s">
        <v>16206</v>
      </c>
      <c r="E3940" t="s">
        <v>16218</v>
      </c>
      <c r="F3940" t="s">
        <v>16221</v>
      </c>
      <c r="G3940" t="s">
        <v>16277</v>
      </c>
      <c r="H3940" t="s">
        <v>16277</v>
      </c>
      <c r="I3940" t="s">
        <v>16353</v>
      </c>
      <c r="J3940" t="s">
        <v>16386</v>
      </c>
      <c r="K3940">
        <v>0.283</v>
      </c>
      <c r="L3940">
        <v>12347</v>
      </c>
      <c r="M3940">
        <v>3371</v>
      </c>
      <c r="N3940" t="s">
        <v>16393</v>
      </c>
      <c r="O3940" s="4">
        <v>154517</v>
      </c>
      <c r="P3940" s="4">
        <v>300101</v>
      </c>
      <c r="Q3940" s="4">
        <v>454618</v>
      </c>
      <c r="R3940" s="4">
        <v>1363854</v>
      </c>
      <c r="S3940" t="s">
        <v>20250</v>
      </c>
      <c r="T3940" s="6">
        <v>40634</v>
      </c>
      <c r="U3940" s="4">
        <v>725000</v>
      </c>
      <c r="V3940" t="s">
        <v>23739</v>
      </c>
      <c r="W3940" t="s">
        <v>25752</v>
      </c>
      <c r="X3940" t="s">
        <v>3</v>
      </c>
      <c r="AA3940" s="5" t="str">
        <f>HYPERLINK("https://www.zillow.com/homes/533-W-JEFFERSON-AVE-NAPERVILLE-IL-60540_rb/","check listing")</f>
        <v>check listing</v>
      </c>
      <c r="AB3940" s="5" t="str">
        <f>HYPERLINK("https://propertylookup.dupagecounty.gov/Datalets/Datalet.aspx?UseSearch=no&amp;mode=sales&amp;pin=0713314009","sales record")</f>
        <v>sales record</v>
      </c>
      <c r="AC3940" t="s">
        <v>3</v>
      </c>
      <c r="AD3940">
        <v>41.773638</v>
      </c>
      <c r="AE3940">
        <v>-88.157555</v>
      </c>
      <c r="AF3940" s="5" t="str">
        <f>HYPERLINK("https://www.google.com/maps/search/?api=1&amp;query=41.773638,-88.157555","map")</f>
        <v>map</v>
      </c>
    </row>
    <row r="3941" spans="1:32">
      <c r="A3941" t="s">
        <v>3991</v>
      </c>
      <c r="B3941" t="s">
        <v>11524</v>
      </c>
      <c r="C3941" t="s">
        <v>15629</v>
      </c>
      <c r="D3941" t="s">
        <v>16206</v>
      </c>
      <c r="E3941" t="s">
        <v>16218</v>
      </c>
      <c r="F3941" t="s">
        <v>16221</v>
      </c>
      <c r="G3941" t="s">
        <v>16278</v>
      </c>
      <c r="H3941" t="s">
        <v>16277</v>
      </c>
      <c r="I3941" t="s">
        <v>16353</v>
      </c>
      <c r="J3941" t="s">
        <v>16386</v>
      </c>
      <c r="K3941">
        <v>0.283</v>
      </c>
      <c r="L3941">
        <v>12334</v>
      </c>
      <c r="N3941" t="s">
        <v>16393</v>
      </c>
      <c r="O3941" s="4">
        <v>66136</v>
      </c>
      <c r="P3941" s="4">
        <v>191760</v>
      </c>
      <c r="Q3941" s="4">
        <v>257896</v>
      </c>
      <c r="R3941" s="4">
        <v>773688</v>
      </c>
      <c r="S3941" t="s">
        <v>20251</v>
      </c>
      <c r="T3941" s="6">
        <v>43282</v>
      </c>
      <c r="U3941" s="4">
        <v>574396</v>
      </c>
      <c r="V3941" t="s">
        <v>16232</v>
      </c>
      <c r="W3941" t="s">
        <v>25753</v>
      </c>
      <c r="X3941" t="s">
        <v>3</v>
      </c>
      <c r="AA3941" s="5" t="str">
        <f>HYPERLINK("https://www.zillow.com/homes/1324-BAYOU-PATH-CT-NAPERVILLE-IL-605633609_rb/","check listing")</f>
        <v>check listing</v>
      </c>
      <c r="AB3941" s="5" t="str">
        <f>HYPERLINK("https://propertylookup.dupagecounty.gov/Datalets/Datalet.aspx?UseSearch=no&amp;mode=sales&amp;pin=0709311091","sales record")</f>
        <v>sales record</v>
      </c>
      <c r="AC3941" t="s">
        <v>3</v>
      </c>
      <c r="AD3941">
        <v>41.785604</v>
      </c>
      <c r="AE3941">
        <v>-88.217146</v>
      </c>
      <c r="AF3941" s="5" t="str">
        <f>HYPERLINK("https://www.google.com/maps/search/?api=1&amp;query=41.785604,-88.217146","map")</f>
        <v>map</v>
      </c>
    </row>
    <row r="3942" spans="1:32">
      <c r="A3942" t="s">
        <v>3992</v>
      </c>
      <c r="B3942" t="s">
        <v>11525</v>
      </c>
      <c r="C3942" t="s">
        <v>15645</v>
      </c>
      <c r="D3942" t="s">
        <v>16206</v>
      </c>
      <c r="E3942" t="s">
        <v>16218</v>
      </c>
      <c r="F3942" t="s">
        <v>16221</v>
      </c>
      <c r="G3942" t="s">
        <v>16278</v>
      </c>
      <c r="H3942" t="s">
        <v>16277</v>
      </c>
      <c r="I3942" t="s">
        <v>16353</v>
      </c>
      <c r="J3942" t="s">
        <v>16386</v>
      </c>
      <c r="K3942">
        <v>0.282</v>
      </c>
      <c r="L3942">
        <v>12291</v>
      </c>
      <c r="N3942" t="s">
        <v>16393</v>
      </c>
      <c r="O3942" s="4">
        <v>69447</v>
      </c>
      <c r="P3942" s="4">
        <v>167491</v>
      </c>
      <c r="Q3942" s="4">
        <v>236938</v>
      </c>
      <c r="R3942" s="4">
        <v>710814</v>
      </c>
      <c r="S3942" t="s">
        <v>20252</v>
      </c>
      <c r="T3942" s="6">
        <v>42979</v>
      </c>
      <c r="U3942" s="4">
        <v>493042</v>
      </c>
      <c r="V3942" t="s">
        <v>16232</v>
      </c>
      <c r="W3942" t="s">
        <v>25754</v>
      </c>
      <c r="X3942" t="s">
        <v>3</v>
      </c>
      <c r="AA3942" s="5" t="str">
        <f>HYPERLINK("https://www.zillow.com/homes/2532-BASIN-TRAIL-LN-NAPERVILLE-IL-605633595_rb/","check listing")</f>
        <v>check listing</v>
      </c>
      <c r="AB3942" s="5" t="str">
        <f>HYPERLINK("https://propertylookup.dupagecounty.gov/Datalets/Datalet.aspx?UseSearch=no&amp;mode=sales&amp;pin=0709110003","sales record")</f>
        <v>sales record</v>
      </c>
      <c r="AC3942" t="s">
        <v>3</v>
      </c>
      <c r="AD3942">
        <v>41.795381</v>
      </c>
      <c r="AE3942">
        <v>-88.22382899999999</v>
      </c>
      <c r="AF3942" s="5" t="str">
        <f>HYPERLINK("https://www.google.com/maps/search/?api=1&amp;query=41.795381,-88.223829","map")</f>
        <v>map</v>
      </c>
    </row>
    <row r="3943" spans="1:32">
      <c r="A3943" t="s">
        <v>3993</v>
      </c>
      <c r="B3943" t="s">
        <v>11526</v>
      </c>
      <c r="C3943" t="s">
        <v>15475</v>
      </c>
      <c r="D3943" t="s">
        <v>16206</v>
      </c>
      <c r="E3943" t="s">
        <v>16218</v>
      </c>
      <c r="F3943" t="s">
        <v>16221</v>
      </c>
      <c r="G3943" t="s">
        <v>16277</v>
      </c>
      <c r="H3943" t="s">
        <v>16277</v>
      </c>
      <c r="I3943" t="s">
        <v>16353</v>
      </c>
      <c r="J3943" t="s">
        <v>16386</v>
      </c>
      <c r="K3943">
        <v>0.282</v>
      </c>
      <c r="L3943">
        <v>12285</v>
      </c>
      <c r="N3943" t="s">
        <v>16393</v>
      </c>
      <c r="O3943" s="4">
        <v>134281</v>
      </c>
      <c r="P3943" s="4">
        <v>250499</v>
      </c>
      <c r="Q3943" s="4">
        <v>384780</v>
      </c>
      <c r="R3943" s="4">
        <v>1154340</v>
      </c>
      <c r="S3943" t="s">
        <v>20253</v>
      </c>
      <c r="T3943" s="6">
        <v>43709</v>
      </c>
      <c r="U3943" s="4">
        <v>755000</v>
      </c>
      <c r="V3943" t="s">
        <v>23739</v>
      </c>
      <c r="W3943" t="s">
        <v>20253</v>
      </c>
      <c r="X3943" t="s">
        <v>3</v>
      </c>
      <c r="AA3943" s="5" t="str">
        <f>HYPERLINK("https://www.zillow.com/homes/243-N-LAIRD-ST-NAPERVILLE-IL-60540_rb/","check listing")</f>
        <v>check listing</v>
      </c>
      <c r="AB3943" s="5" t="str">
        <f>HYPERLINK("https://propertylookup.dupagecounty.gov/Datalets/Datalet.aspx?UseSearch=no&amp;mode=sales&amp;pin=0713101017","sales record")</f>
        <v>sales record</v>
      </c>
      <c r="AC3943" t="s">
        <v>3</v>
      </c>
      <c r="AD3943">
        <v>41.779147</v>
      </c>
      <c r="AE3943">
        <v>-88.160494</v>
      </c>
      <c r="AF3943" s="5" t="str">
        <f>HYPERLINK("https://www.google.com/maps/search/?api=1&amp;query=41.779147,-88.160494","map")</f>
        <v>map</v>
      </c>
    </row>
    <row r="3944" spans="1:32">
      <c r="A3944" t="s">
        <v>3994</v>
      </c>
      <c r="B3944" t="s">
        <v>11527</v>
      </c>
      <c r="C3944" t="s">
        <v>15643</v>
      </c>
      <c r="D3944" t="s">
        <v>16206</v>
      </c>
      <c r="E3944" t="s">
        <v>16218</v>
      </c>
      <c r="F3944" t="s">
        <v>16221</v>
      </c>
      <c r="G3944" t="s">
        <v>16277</v>
      </c>
      <c r="H3944" t="s">
        <v>16277</v>
      </c>
      <c r="I3944" t="s">
        <v>16353</v>
      </c>
      <c r="J3944" t="s">
        <v>16386</v>
      </c>
      <c r="K3944">
        <v>0.282</v>
      </c>
      <c r="L3944">
        <v>12283</v>
      </c>
      <c r="N3944" t="s">
        <v>16393</v>
      </c>
      <c r="O3944" s="4">
        <v>149454</v>
      </c>
      <c r="P3944" s="4">
        <v>166506</v>
      </c>
      <c r="Q3944" s="4">
        <v>315960</v>
      </c>
      <c r="R3944" s="4">
        <v>947880</v>
      </c>
      <c r="S3944" t="s">
        <v>20254</v>
      </c>
      <c r="T3944" s="6">
        <v>44317</v>
      </c>
      <c r="U3944" s="4">
        <v>525000</v>
      </c>
      <c r="V3944" t="s">
        <v>23739</v>
      </c>
      <c r="W3944" t="s">
        <v>25755</v>
      </c>
      <c r="X3944" t="s">
        <v>3</v>
      </c>
      <c r="AA3944" s="5" t="str">
        <f>HYPERLINK("https://www.zillow.com/homes/428-E-CHICAGO-AVE-NAPERVILLE-IL-605405408_rb/","check listing")</f>
        <v>check listing</v>
      </c>
      <c r="AB3944" s="5" t="str">
        <f>HYPERLINK("https://propertylookup.dupagecounty.gov/Datalets/Datalet.aspx?UseSearch=no&amp;mode=sales&amp;pin=0818328024","sales record")</f>
        <v>sales record</v>
      </c>
      <c r="AC3944" t="s">
        <v>3</v>
      </c>
      <c r="AD3944">
        <v>41.772064</v>
      </c>
      <c r="AE3944">
        <v>-88.14115700000001</v>
      </c>
      <c r="AF3944" s="5" t="str">
        <f>HYPERLINK("https://www.google.com/maps/search/?api=1&amp;query=41.772064,-88.141157","map")</f>
        <v>map</v>
      </c>
    </row>
    <row r="3945" spans="1:32">
      <c r="A3945" t="s">
        <v>3995</v>
      </c>
      <c r="B3945" t="s">
        <v>11528</v>
      </c>
      <c r="C3945" t="s">
        <v>15632</v>
      </c>
      <c r="D3945" t="s">
        <v>16206</v>
      </c>
      <c r="E3945" t="s">
        <v>16218</v>
      </c>
      <c r="F3945" t="s">
        <v>16221</v>
      </c>
      <c r="G3945" t="s">
        <v>16278</v>
      </c>
      <c r="H3945" t="s">
        <v>16277</v>
      </c>
      <c r="I3945" t="s">
        <v>16353</v>
      </c>
      <c r="J3945" t="s">
        <v>16386</v>
      </c>
      <c r="K3945">
        <v>0.282</v>
      </c>
      <c r="L3945">
        <v>12263</v>
      </c>
      <c r="N3945" t="s">
        <v>16393</v>
      </c>
      <c r="O3945" s="4">
        <v>62832</v>
      </c>
      <c r="P3945" s="4">
        <v>166906</v>
      </c>
      <c r="Q3945" s="4">
        <v>229738</v>
      </c>
      <c r="R3945" s="4">
        <v>689214</v>
      </c>
      <c r="S3945" t="s">
        <v>20255</v>
      </c>
      <c r="T3945" s="6">
        <v>43617</v>
      </c>
      <c r="U3945" s="4">
        <v>485000</v>
      </c>
      <c r="V3945" t="s">
        <v>23739</v>
      </c>
      <c r="W3945" t="s">
        <v>25756</v>
      </c>
      <c r="X3945" t="s">
        <v>3</v>
      </c>
      <c r="AA3945" s="5" t="str">
        <f>HYPERLINK("https://www.zillow.com/homes/2503-BASIN-TRAIL-LN-NAPERVILLE-IL-605633593_rb/","check listing")</f>
        <v>check listing</v>
      </c>
      <c r="AB3945" s="5" t="str">
        <f>HYPERLINK("https://propertylookup.dupagecounty.gov/Datalets/Datalet.aspx?UseSearch=no&amp;mode=sales&amp;pin=0709109016","sales record")</f>
        <v>sales record</v>
      </c>
      <c r="AC3945" t="s">
        <v>3</v>
      </c>
      <c r="AD3945">
        <v>41.795919</v>
      </c>
      <c r="AE3945">
        <v>-88.222264</v>
      </c>
      <c r="AF3945" s="5" t="str">
        <f>HYPERLINK("https://www.google.com/maps/search/?api=1&amp;query=41.795919,-88.222264","map")</f>
        <v>map</v>
      </c>
    </row>
    <row r="3946" spans="1:32">
      <c r="A3946" t="s">
        <v>3996</v>
      </c>
      <c r="B3946" t="s">
        <v>11529</v>
      </c>
      <c r="C3946" t="s">
        <v>15646</v>
      </c>
      <c r="D3946" t="s">
        <v>16206</v>
      </c>
      <c r="E3946" t="s">
        <v>16218</v>
      </c>
      <c r="F3946" t="s">
        <v>16221</v>
      </c>
      <c r="G3946" t="s">
        <v>16278</v>
      </c>
      <c r="H3946" t="s">
        <v>16277</v>
      </c>
      <c r="I3946" t="s">
        <v>16353</v>
      </c>
      <c r="J3946" t="s">
        <v>16386</v>
      </c>
      <c r="K3946">
        <v>0.279</v>
      </c>
      <c r="L3946">
        <v>12156</v>
      </c>
      <c r="N3946" t="s">
        <v>16393</v>
      </c>
      <c r="O3946" s="4">
        <v>79364</v>
      </c>
      <c r="P3946" s="4">
        <v>179086</v>
      </c>
      <c r="Q3946" s="4">
        <v>258450</v>
      </c>
      <c r="R3946" s="4">
        <v>775350</v>
      </c>
      <c r="S3946" t="s">
        <v>20256</v>
      </c>
      <c r="T3946" s="6">
        <v>43313</v>
      </c>
      <c r="U3946" s="4">
        <v>530200</v>
      </c>
      <c r="V3946" t="s">
        <v>16232</v>
      </c>
      <c r="W3946" t="s">
        <v>25757</v>
      </c>
      <c r="X3946" t="s">
        <v>3</v>
      </c>
      <c r="AA3946" s="5" t="str">
        <f>HYPERLINK("https://www.zillow.com/homes/2620-BASIN-TRAIL-CT-NAPERVILLE-IL-605633603_rb/","check listing")</f>
        <v>check listing</v>
      </c>
      <c r="AB3946" s="5" t="str">
        <f>HYPERLINK("https://propertylookup.dupagecounty.gov/Datalets/Datalet.aspx?UseSearch=no&amp;mode=sales&amp;pin=0709109048","sales record")</f>
        <v>sales record</v>
      </c>
      <c r="AC3946" t="s">
        <v>3</v>
      </c>
      <c r="AD3946">
        <v>41.793215</v>
      </c>
      <c r="AE3946">
        <v>-88.223979</v>
      </c>
      <c r="AF3946" s="5" t="str">
        <f>HYPERLINK("https://www.google.com/maps/search/?api=1&amp;query=41.793215,-88.223979","map")</f>
        <v>map</v>
      </c>
    </row>
    <row r="3947" spans="1:32">
      <c r="A3947" t="s">
        <v>3997</v>
      </c>
      <c r="B3947" t="s">
        <v>11530</v>
      </c>
      <c r="C3947" t="s">
        <v>15478</v>
      </c>
      <c r="D3947" t="s">
        <v>16206</v>
      </c>
      <c r="E3947" t="s">
        <v>16218</v>
      </c>
      <c r="F3947" t="s">
        <v>16221</v>
      </c>
      <c r="G3947" t="s">
        <v>16278</v>
      </c>
      <c r="H3947" t="s">
        <v>16277</v>
      </c>
      <c r="I3947" t="s">
        <v>16353</v>
      </c>
      <c r="J3947" t="s">
        <v>16386</v>
      </c>
      <c r="K3947">
        <v>0.279</v>
      </c>
      <c r="L3947">
        <v>12134</v>
      </c>
      <c r="N3947" t="s">
        <v>16393</v>
      </c>
      <c r="O3947" s="4">
        <v>79370</v>
      </c>
      <c r="P3947" s="4">
        <v>143630</v>
      </c>
      <c r="Q3947" s="4">
        <v>223000</v>
      </c>
      <c r="R3947" s="4">
        <v>669000</v>
      </c>
      <c r="S3947" t="s">
        <v>20257</v>
      </c>
      <c r="T3947" s="6">
        <v>43344</v>
      </c>
      <c r="U3947" s="4">
        <v>476282</v>
      </c>
      <c r="V3947" t="s">
        <v>16232</v>
      </c>
      <c r="W3947" t="s">
        <v>25758</v>
      </c>
      <c r="X3947" t="s">
        <v>3</v>
      </c>
      <c r="AA3947" s="5" t="str">
        <f>HYPERLINK("https://www.zillow.com/homes/2619-BASIN-TRAIL-CT-NAPERVILLE-IL-60563_rb/","check listing")</f>
        <v>check listing</v>
      </c>
      <c r="AB3947" s="5" t="str">
        <f>HYPERLINK("https://propertylookup.dupagecounty.gov/Datalets/Datalet.aspx?UseSearch=no&amp;mode=sales&amp;pin=0709109046","sales record")</f>
        <v>sales record</v>
      </c>
      <c r="AC3947" t="s">
        <v>3</v>
      </c>
      <c r="AD3947">
        <v>41.793001</v>
      </c>
      <c r="AE3947">
        <v>-88.224597</v>
      </c>
      <c r="AF3947" s="5" t="str">
        <f>HYPERLINK("https://www.google.com/maps/search/?api=1&amp;query=41.793001,-88.224597","map")</f>
        <v>map</v>
      </c>
    </row>
    <row r="3948" spans="1:32">
      <c r="A3948" t="s">
        <v>3998</v>
      </c>
      <c r="B3948" t="s">
        <v>11531</v>
      </c>
      <c r="C3948" t="s">
        <v>15635</v>
      </c>
      <c r="D3948" t="s">
        <v>16206</v>
      </c>
      <c r="E3948" t="s">
        <v>16218</v>
      </c>
      <c r="F3948" t="s">
        <v>16221</v>
      </c>
      <c r="G3948" t="s">
        <v>16277</v>
      </c>
      <c r="H3948" t="s">
        <v>16277</v>
      </c>
      <c r="I3948" t="s">
        <v>16353</v>
      </c>
      <c r="J3948" t="s">
        <v>16386</v>
      </c>
      <c r="K3948">
        <v>0.278</v>
      </c>
      <c r="L3948">
        <v>12114</v>
      </c>
      <c r="M3948">
        <v>2394</v>
      </c>
      <c r="N3948" t="s">
        <v>16393</v>
      </c>
      <c r="O3948" s="4">
        <v>162249</v>
      </c>
      <c r="P3948" s="4">
        <v>152058</v>
      </c>
      <c r="Q3948" s="4">
        <v>314307</v>
      </c>
      <c r="R3948" s="4">
        <v>942921</v>
      </c>
      <c r="S3948" t="s">
        <v>20258</v>
      </c>
      <c r="T3948" s="6">
        <v>35490</v>
      </c>
      <c r="U3948" s="4">
        <v>210000</v>
      </c>
      <c r="X3948" t="s">
        <v>3</v>
      </c>
      <c r="AA3948" s="5" t="str">
        <f>HYPERLINK("https://www.zillow.com/homes/7-S-SLEIGHT-ST-NAPERVILLE-IL-605404941_rb/","check listing")</f>
        <v>check listing</v>
      </c>
      <c r="AB3948" s="5" t="str">
        <f>HYPERLINK("https://propertylookup.dupagecounty.gov/Datalets/Datalet.aspx?UseSearch=no&amp;mode=sales&amp;pin=0818316007","sales record")</f>
        <v>sales record</v>
      </c>
      <c r="AC3948" t="s">
        <v>3</v>
      </c>
      <c r="AD3948">
        <v>41.774749</v>
      </c>
      <c r="AE3948">
        <v>-88.141273</v>
      </c>
      <c r="AF3948" s="5" t="str">
        <f>HYPERLINK("https://www.google.com/maps/search/?api=1&amp;query=41.774749,-88.141273","map")</f>
        <v>map</v>
      </c>
    </row>
    <row r="3949" spans="1:32">
      <c r="A3949" t="s">
        <v>3999</v>
      </c>
      <c r="B3949" t="s">
        <v>11532</v>
      </c>
      <c r="C3949" t="s">
        <v>15475</v>
      </c>
      <c r="D3949" t="s">
        <v>16206</v>
      </c>
      <c r="E3949" t="s">
        <v>16218</v>
      </c>
      <c r="F3949" t="s">
        <v>16221</v>
      </c>
      <c r="G3949" t="s">
        <v>16277</v>
      </c>
      <c r="H3949" t="s">
        <v>16277</v>
      </c>
      <c r="I3949" t="s">
        <v>16353</v>
      </c>
      <c r="J3949" t="s">
        <v>16386</v>
      </c>
      <c r="K3949">
        <v>0.277</v>
      </c>
      <c r="L3949">
        <v>12071</v>
      </c>
      <c r="M3949">
        <v>3561</v>
      </c>
      <c r="N3949" t="s">
        <v>16393</v>
      </c>
      <c r="O3949" s="4">
        <v>207574</v>
      </c>
      <c r="P3949" s="4">
        <v>109725</v>
      </c>
      <c r="Q3949" s="4">
        <v>317299</v>
      </c>
      <c r="R3949" s="4">
        <v>951897</v>
      </c>
      <c r="S3949" t="s">
        <v>20259</v>
      </c>
      <c r="X3949" t="s">
        <v>3</v>
      </c>
      <c r="AA3949" s="5" t="str">
        <f>HYPERLINK("https://www.zillow.com/homes/205-N-EAGLE-ST-NAPERVILLE-IL-60540_rb/","check listing")</f>
        <v>check listing</v>
      </c>
      <c r="AB3949" s="5" t="str">
        <f>HYPERLINK("https://propertylookup.dupagecounty.gov/Datalets/Datalet.aspx?UseSearch=no&amp;mode=sales&amp;pin=0713224018","sales record")</f>
        <v>sales record</v>
      </c>
      <c r="AC3949" t="s">
        <v>3</v>
      </c>
      <c r="AD3949">
        <v>41.777517</v>
      </c>
      <c r="AE3949">
        <v>-88.15304500000001</v>
      </c>
      <c r="AF3949" s="5" t="str">
        <f>HYPERLINK("https://www.google.com/maps/search/?api=1&amp;query=41.777517,-88.153045","map")</f>
        <v>map</v>
      </c>
    </row>
    <row r="3950" spans="1:32">
      <c r="A3950" t="s">
        <v>4000</v>
      </c>
      <c r="B3950" t="s">
        <v>11533</v>
      </c>
      <c r="C3950" t="s">
        <v>15475</v>
      </c>
      <c r="D3950" t="s">
        <v>16206</v>
      </c>
      <c r="E3950" t="s">
        <v>16218</v>
      </c>
      <c r="F3950" t="s">
        <v>16221</v>
      </c>
      <c r="G3950" t="s">
        <v>16277</v>
      </c>
      <c r="H3950" t="s">
        <v>16277</v>
      </c>
      <c r="I3950" t="s">
        <v>16353</v>
      </c>
      <c r="J3950" t="s">
        <v>16386</v>
      </c>
      <c r="K3950">
        <v>0.277</v>
      </c>
      <c r="L3950">
        <v>12069</v>
      </c>
      <c r="M3950">
        <v>2177</v>
      </c>
      <c r="N3950" t="s">
        <v>16393</v>
      </c>
      <c r="O3950" s="4">
        <v>157459</v>
      </c>
      <c r="P3950" s="4">
        <v>69045</v>
      </c>
      <c r="Q3950" s="4">
        <v>226504</v>
      </c>
      <c r="R3950" s="4">
        <v>679512</v>
      </c>
      <c r="S3950" t="s">
        <v>20260</v>
      </c>
      <c r="X3950" t="s">
        <v>3</v>
      </c>
      <c r="AA3950" s="5" t="str">
        <f>HYPERLINK("https://www.zillow.com/homes/44-N-FREMONT-ST-NAPERVILLE-IL-60540_rb/","check listing")</f>
        <v>check listing</v>
      </c>
      <c r="AB3950" s="5" t="str">
        <f>HYPERLINK("https://propertylookup.dupagecounty.gov/Datalets/Datalet.aspx?UseSearch=no&amp;mode=sales&amp;pin=0713304001","sales record")</f>
        <v>sales record</v>
      </c>
      <c r="AC3950" t="s">
        <v>3</v>
      </c>
      <c r="AD3950">
        <v>41.776513</v>
      </c>
      <c r="AE3950">
        <v>-88.15869499999999</v>
      </c>
      <c r="AF3950" s="5" t="str">
        <f>HYPERLINK("https://www.google.com/maps/search/?api=1&amp;query=41.776513,-88.158695","map")</f>
        <v>map</v>
      </c>
    </row>
    <row r="3951" spans="1:32">
      <c r="A3951" t="s">
        <v>4001</v>
      </c>
      <c r="B3951" t="s">
        <v>11534</v>
      </c>
      <c r="C3951" t="s">
        <v>15478</v>
      </c>
      <c r="D3951" t="s">
        <v>16206</v>
      </c>
      <c r="E3951" t="s">
        <v>16218</v>
      </c>
      <c r="F3951" t="s">
        <v>16221</v>
      </c>
      <c r="G3951" t="s">
        <v>16277</v>
      </c>
      <c r="H3951" t="s">
        <v>16277</v>
      </c>
      <c r="I3951" t="s">
        <v>16353</v>
      </c>
      <c r="J3951" t="s">
        <v>16386</v>
      </c>
      <c r="K3951">
        <v>0.277</v>
      </c>
      <c r="L3951">
        <v>12068</v>
      </c>
      <c r="M3951">
        <v>2012</v>
      </c>
      <c r="N3951" t="s">
        <v>16393</v>
      </c>
      <c r="O3951" s="4">
        <v>129215</v>
      </c>
      <c r="P3951" s="4">
        <v>47626</v>
      </c>
      <c r="Q3951" s="4">
        <v>176841</v>
      </c>
      <c r="R3951" s="4">
        <v>530523</v>
      </c>
      <c r="S3951" t="s">
        <v>20261</v>
      </c>
      <c r="T3951" s="6">
        <v>43132</v>
      </c>
      <c r="U3951" s="4">
        <v>351000</v>
      </c>
      <c r="V3951" t="s">
        <v>23739</v>
      </c>
      <c r="W3951" t="s">
        <v>20261</v>
      </c>
      <c r="X3951" t="s">
        <v>3</v>
      </c>
      <c r="AA3951" s="5" t="str">
        <f>HYPERLINK("https://www.zillow.com/homes/85052-N-CENTER-ST-NAPERVILLE-IL-60563_rb/","check listing")</f>
        <v>check listing</v>
      </c>
      <c r="AB3951" s="5" t="str">
        <f>HYPERLINK("https://propertylookup.dupagecounty.gov/Datalets/Datalet.aspx?UseSearch=no&amp;mode=sales&amp;pin=0807314001","sales record")</f>
        <v>sales record</v>
      </c>
      <c r="AC3951" t="s">
        <v>3</v>
      </c>
      <c r="AD3951">
        <v>41.785507</v>
      </c>
      <c r="AE3951">
        <v>-88.145386</v>
      </c>
      <c r="AF3951" s="5" t="str">
        <f>HYPERLINK("https://www.google.com/maps/search/?api=1&amp;query=41.785507,-88.145386","map")</f>
        <v>map</v>
      </c>
    </row>
    <row r="3952" spans="1:32">
      <c r="A3952" t="s">
        <v>4002</v>
      </c>
      <c r="B3952" t="s">
        <v>11535</v>
      </c>
      <c r="C3952" t="s">
        <v>15647</v>
      </c>
      <c r="D3952" t="s">
        <v>16206</v>
      </c>
      <c r="E3952" t="s">
        <v>16218</v>
      </c>
      <c r="F3952" t="s">
        <v>16221</v>
      </c>
      <c r="G3952" t="s">
        <v>16278</v>
      </c>
      <c r="H3952" t="s">
        <v>16277</v>
      </c>
      <c r="I3952" t="s">
        <v>16353</v>
      </c>
      <c r="J3952" t="s">
        <v>16386</v>
      </c>
      <c r="K3952">
        <v>0.276</v>
      </c>
      <c r="L3952">
        <v>12006</v>
      </c>
      <c r="N3952" t="s">
        <v>16393</v>
      </c>
      <c r="O3952" s="4">
        <v>69447</v>
      </c>
      <c r="P3952" s="4">
        <v>175401</v>
      </c>
      <c r="Q3952" s="4">
        <v>244848</v>
      </c>
      <c r="R3952" s="4">
        <v>734544</v>
      </c>
      <c r="S3952" t="s">
        <v>20262</v>
      </c>
      <c r="T3952" s="6">
        <v>43040</v>
      </c>
      <c r="U3952" s="4">
        <v>500833</v>
      </c>
      <c r="V3952" t="s">
        <v>16232</v>
      </c>
      <c r="W3952" t="s">
        <v>25759</v>
      </c>
      <c r="X3952" t="s">
        <v>3</v>
      </c>
      <c r="AA3952" s="5" t="str">
        <f>HYPERLINK("https://www.zillow.com/homes/2495-BASIN-TRAIL-LN-NAPERVILLE-IL-605633594_rb/","check listing")</f>
        <v>check listing</v>
      </c>
      <c r="AB3952" s="5" t="str">
        <f>HYPERLINK("https://propertylookup.dupagecounty.gov/Datalets/Datalet.aspx?UseSearch=no&amp;mode=sales&amp;pin=0709111005","sales record")</f>
        <v>sales record</v>
      </c>
      <c r="AC3952" t="s">
        <v>3</v>
      </c>
      <c r="AD3952">
        <v>41.795623</v>
      </c>
      <c r="AE3952">
        <v>-88.221812</v>
      </c>
      <c r="AF3952" s="5" t="str">
        <f>HYPERLINK("https://www.google.com/maps/search/?api=1&amp;query=41.795623,-88.221812","map")</f>
        <v>map</v>
      </c>
    </row>
    <row r="3953" spans="1:32">
      <c r="A3953" t="s">
        <v>4003</v>
      </c>
      <c r="B3953" t="s">
        <v>11536</v>
      </c>
      <c r="C3953" t="s">
        <v>15475</v>
      </c>
      <c r="D3953" t="s">
        <v>16206</v>
      </c>
      <c r="E3953" t="s">
        <v>16218</v>
      </c>
      <c r="F3953" t="s">
        <v>16221</v>
      </c>
      <c r="G3953" t="s">
        <v>16277</v>
      </c>
      <c r="H3953" t="s">
        <v>16277</v>
      </c>
      <c r="I3953" t="s">
        <v>16353</v>
      </c>
      <c r="J3953" t="s">
        <v>16386</v>
      </c>
      <c r="K3953">
        <v>0.276</v>
      </c>
      <c r="L3953">
        <v>12006</v>
      </c>
      <c r="M3953">
        <v>1978</v>
      </c>
      <c r="N3953" t="s">
        <v>16393</v>
      </c>
      <c r="O3953" s="4">
        <v>161047</v>
      </c>
      <c r="P3953" s="4">
        <v>66628</v>
      </c>
      <c r="Q3953" s="4">
        <v>227675</v>
      </c>
      <c r="R3953" s="4">
        <v>683025</v>
      </c>
      <c r="S3953" t="s">
        <v>20263</v>
      </c>
      <c r="T3953" s="6">
        <v>36739</v>
      </c>
      <c r="U3953" s="4">
        <v>234000</v>
      </c>
      <c r="V3953" t="s">
        <v>23739</v>
      </c>
      <c r="W3953" t="s">
        <v>20263</v>
      </c>
      <c r="X3953" t="s">
        <v>3</v>
      </c>
      <c r="AA3953" s="5" t="str">
        <f>HYPERLINK("https://www.zillow.com/homes/431-W-FRANKLIN-AVE-NAPERVILLE-IL-60540_rb/","check listing")</f>
        <v>check listing</v>
      </c>
      <c r="AB3953" s="5" t="str">
        <f>HYPERLINK("https://propertylookup.dupagecounty.gov/Datalets/Datalet.aspx?UseSearch=no&amp;mode=sales&amp;pin=0713401010","sales record")</f>
        <v>sales record</v>
      </c>
      <c r="AC3953" t="s">
        <v>3</v>
      </c>
      <c r="AD3953">
        <v>41.776558</v>
      </c>
      <c r="AE3953">
        <v>-88.155708</v>
      </c>
      <c r="AF3953" s="5" t="str">
        <f>HYPERLINK("https://www.google.com/maps/search/?api=1&amp;query=41.776558,-88.155708","map")</f>
        <v>map</v>
      </c>
    </row>
    <row r="3954" spans="1:32">
      <c r="A3954" t="s">
        <v>4004</v>
      </c>
      <c r="B3954" t="s">
        <v>11537</v>
      </c>
      <c r="C3954" t="s">
        <v>15475</v>
      </c>
      <c r="D3954" t="s">
        <v>16206</v>
      </c>
      <c r="E3954" t="s">
        <v>16218</v>
      </c>
      <c r="F3954" t="s">
        <v>16221</v>
      </c>
      <c r="G3954" t="s">
        <v>16277</v>
      </c>
      <c r="H3954" t="s">
        <v>16277</v>
      </c>
      <c r="I3954" t="s">
        <v>16353</v>
      </c>
      <c r="J3954" t="s">
        <v>16386</v>
      </c>
      <c r="K3954">
        <v>0.274</v>
      </c>
      <c r="L3954">
        <v>11949</v>
      </c>
      <c r="M3954">
        <v>3707</v>
      </c>
      <c r="N3954" t="s">
        <v>16393</v>
      </c>
      <c r="O3954" s="4">
        <v>162249</v>
      </c>
      <c r="P3954" s="4">
        <v>149299</v>
      </c>
      <c r="Q3954" s="4">
        <v>311548</v>
      </c>
      <c r="R3954" s="4">
        <v>934644</v>
      </c>
      <c r="S3954" t="s">
        <v>20264</v>
      </c>
      <c r="X3954" t="s">
        <v>3</v>
      </c>
      <c r="AA3954" s="5" t="str">
        <f>HYPERLINK("https://www.zillow.com/homes/15-S-SLEIGHT-ST-NAPERVILLE-IL-60540_rb/","check listing")</f>
        <v>check listing</v>
      </c>
      <c r="AB3954" s="5" t="str">
        <f>HYPERLINK("https://propertylookup.dupagecounty.gov/Datalets/Datalet.aspx?UseSearch=no&amp;mode=sales&amp;pin=0818316012","sales record")</f>
        <v>sales record</v>
      </c>
      <c r="AC3954" t="s">
        <v>3</v>
      </c>
      <c r="AD3954">
        <v>41.774459</v>
      </c>
      <c r="AE3954">
        <v>-88.14129</v>
      </c>
      <c r="AF3954" s="5" t="str">
        <f>HYPERLINK("https://www.google.com/maps/search/?api=1&amp;query=41.774459,-88.14129","map")</f>
        <v>map</v>
      </c>
    </row>
    <row r="3955" spans="1:32">
      <c r="A3955" t="s">
        <v>4005</v>
      </c>
      <c r="B3955" t="s">
        <v>11538</v>
      </c>
      <c r="C3955" t="s">
        <v>15645</v>
      </c>
      <c r="D3955" t="s">
        <v>16206</v>
      </c>
      <c r="E3955" t="s">
        <v>16218</v>
      </c>
      <c r="F3955" t="s">
        <v>16221</v>
      </c>
      <c r="G3955" t="s">
        <v>16278</v>
      </c>
      <c r="H3955" t="s">
        <v>16277</v>
      </c>
      <c r="I3955" t="s">
        <v>16353</v>
      </c>
      <c r="J3955" t="s">
        <v>16386</v>
      </c>
      <c r="K3955">
        <v>0.274</v>
      </c>
      <c r="L3955">
        <v>11946</v>
      </c>
      <c r="N3955" t="s">
        <v>16393</v>
      </c>
      <c r="O3955" s="4">
        <v>69447</v>
      </c>
      <c r="P3955" s="4">
        <v>123748</v>
      </c>
      <c r="Q3955" s="4">
        <v>193195</v>
      </c>
      <c r="R3955" s="4">
        <v>579585</v>
      </c>
      <c r="S3955" t="s">
        <v>20265</v>
      </c>
      <c r="T3955" s="6">
        <v>43070</v>
      </c>
      <c r="U3955" s="4">
        <v>426656</v>
      </c>
      <c r="V3955" t="s">
        <v>16232</v>
      </c>
      <c r="W3955" t="s">
        <v>20265</v>
      </c>
      <c r="X3955" t="s">
        <v>3</v>
      </c>
      <c r="AA3955" s="5" t="str">
        <f>HYPERLINK("https://www.zillow.com/homes/2556-BASIN-TRAIL-LN-NAPERVILLE-IL-605633595_rb/","check listing")</f>
        <v>check listing</v>
      </c>
      <c r="AB3955" s="5" t="str">
        <f>HYPERLINK("https://propertylookup.dupagecounty.gov/Datalets/Datalet.aspx?UseSearch=no&amp;mode=sales&amp;pin=0709110002","sales record")</f>
        <v>sales record</v>
      </c>
      <c r="AC3955" t="s">
        <v>3</v>
      </c>
      <c r="AD3955">
        <v>41.79532</v>
      </c>
      <c r="AE3955">
        <v>-88.224082</v>
      </c>
      <c r="AF3955" s="5" t="str">
        <f>HYPERLINK("https://www.google.com/maps/search/?api=1&amp;query=41.79532,-88.224082","map")</f>
        <v>map</v>
      </c>
    </row>
    <row r="3956" spans="1:32">
      <c r="A3956" t="s">
        <v>4006</v>
      </c>
      <c r="B3956" t="s">
        <v>11539</v>
      </c>
      <c r="C3956" t="s">
        <v>15478</v>
      </c>
      <c r="D3956" t="s">
        <v>16206</v>
      </c>
      <c r="E3956" t="s">
        <v>16218</v>
      </c>
      <c r="F3956" t="s">
        <v>16221</v>
      </c>
      <c r="G3956" t="s">
        <v>16278</v>
      </c>
      <c r="H3956" t="s">
        <v>16277</v>
      </c>
      <c r="I3956" t="s">
        <v>16353</v>
      </c>
      <c r="J3956" t="s">
        <v>16386</v>
      </c>
      <c r="K3956">
        <v>0.274</v>
      </c>
      <c r="L3956">
        <v>11938</v>
      </c>
      <c r="N3956" t="s">
        <v>16393</v>
      </c>
      <c r="O3956" s="4">
        <v>69447</v>
      </c>
      <c r="P3956" s="4">
        <v>124895</v>
      </c>
      <c r="Q3956" s="4">
        <v>194342</v>
      </c>
      <c r="R3956" s="4">
        <v>583026</v>
      </c>
      <c r="S3956" t="s">
        <v>20266</v>
      </c>
      <c r="T3956" s="6">
        <v>43070</v>
      </c>
      <c r="U3956" s="4">
        <v>431178</v>
      </c>
      <c r="V3956" t="s">
        <v>16232</v>
      </c>
      <c r="W3956" t="s">
        <v>20266</v>
      </c>
      <c r="X3956" t="s">
        <v>3</v>
      </c>
      <c r="AA3956" s="5" t="str">
        <f>HYPERLINK("https://www.zillow.com/homes/2523-SILVER-LOCH-RD-NAPERVILLE-IL-60563_rb/","check listing")</f>
        <v>check listing</v>
      </c>
      <c r="AB3956" s="5" t="str">
        <f>HYPERLINK("https://propertylookup.dupagecounty.gov/Datalets/Datalet.aspx?UseSearch=no&amp;mode=sales&amp;pin=0709110015","sales record")</f>
        <v>sales record</v>
      </c>
      <c r="AC3956" t="s">
        <v>3</v>
      </c>
      <c r="AD3956">
        <v>41.794381</v>
      </c>
      <c r="AE3956">
        <v>-88.22217999999999</v>
      </c>
      <c r="AF3956" s="5" t="str">
        <f>HYPERLINK("https://www.google.com/maps/search/?api=1&amp;query=41.794381,-88.22218","map")</f>
        <v>map</v>
      </c>
    </row>
    <row r="3957" spans="1:32">
      <c r="A3957" t="s">
        <v>4007</v>
      </c>
      <c r="B3957" t="s">
        <v>11540</v>
      </c>
      <c r="C3957" t="s">
        <v>15621</v>
      </c>
      <c r="D3957" t="s">
        <v>16206</v>
      </c>
      <c r="E3957" t="s">
        <v>16218</v>
      </c>
      <c r="F3957" t="s">
        <v>16221</v>
      </c>
      <c r="G3957" t="s">
        <v>16278</v>
      </c>
      <c r="H3957" t="s">
        <v>16277</v>
      </c>
      <c r="I3957" t="s">
        <v>16353</v>
      </c>
      <c r="J3957" t="s">
        <v>16386</v>
      </c>
      <c r="K3957">
        <v>0.273</v>
      </c>
      <c r="L3957">
        <v>11899</v>
      </c>
      <c r="N3957" t="s">
        <v>16393</v>
      </c>
      <c r="O3957" s="4">
        <v>69447</v>
      </c>
      <c r="P3957" s="4">
        <v>186264</v>
      </c>
      <c r="Q3957" s="4">
        <v>255711</v>
      </c>
      <c r="R3957" s="4">
        <v>767133</v>
      </c>
      <c r="S3957" t="s">
        <v>20267</v>
      </c>
      <c r="T3957" s="6">
        <v>43344</v>
      </c>
      <c r="U3957" s="4">
        <v>546542</v>
      </c>
      <c r="V3957" t="s">
        <v>16232</v>
      </c>
      <c r="W3957" t="s">
        <v>20267</v>
      </c>
      <c r="X3957" t="s">
        <v>3</v>
      </c>
      <c r="AA3957" s="5" t="str">
        <f>HYPERLINK("https://www.zillow.com/homes/2416-COASTAL-SAGE-CT-NAPERVILLE-IL-605633613_rb/","check listing")</f>
        <v>check listing</v>
      </c>
      <c r="AB3957" s="5" t="str">
        <f>HYPERLINK("https://propertylookup.dupagecounty.gov/Datalets/Datalet.aspx?UseSearch=no&amp;mode=sales&amp;pin=0709311067","sales record")</f>
        <v>sales record</v>
      </c>
      <c r="AC3957" t="s">
        <v>3</v>
      </c>
      <c r="AD3957">
        <v>41.786179</v>
      </c>
      <c r="AE3957">
        <v>-88.219117</v>
      </c>
      <c r="AF3957" s="5" t="str">
        <f>HYPERLINK("https://www.google.com/maps/search/?api=1&amp;query=41.786179,-88.219117","map")</f>
        <v>map</v>
      </c>
    </row>
    <row r="3958" spans="1:32">
      <c r="A3958" t="s">
        <v>4008</v>
      </c>
      <c r="B3958" t="s">
        <v>11541</v>
      </c>
      <c r="C3958" t="s">
        <v>15617</v>
      </c>
      <c r="D3958" t="s">
        <v>16206</v>
      </c>
      <c r="E3958" t="s">
        <v>16218</v>
      </c>
      <c r="F3958" t="s">
        <v>16221</v>
      </c>
      <c r="G3958" t="s">
        <v>16277</v>
      </c>
      <c r="H3958" t="s">
        <v>16277</v>
      </c>
      <c r="I3958" t="s">
        <v>16353</v>
      </c>
      <c r="J3958" t="s">
        <v>16386</v>
      </c>
      <c r="K3958">
        <v>0.273</v>
      </c>
      <c r="L3958">
        <v>11893</v>
      </c>
      <c r="M3958">
        <v>1286</v>
      </c>
      <c r="N3958" t="s">
        <v>16393</v>
      </c>
      <c r="O3958" s="4">
        <v>139518</v>
      </c>
      <c r="P3958" s="4">
        <v>361505</v>
      </c>
      <c r="Q3958" s="4">
        <v>501023</v>
      </c>
      <c r="R3958" s="4">
        <v>1503069</v>
      </c>
      <c r="S3958" t="s">
        <v>20268</v>
      </c>
      <c r="T3958" s="6">
        <v>44075</v>
      </c>
      <c r="U3958" s="4">
        <v>445000</v>
      </c>
      <c r="V3958" t="s">
        <v>23739</v>
      </c>
      <c r="W3958" t="s">
        <v>25760</v>
      </c>
      <c r="X3958" t="s">
        <v>3</v>
      </c>
      <c r="AA3958" s="5" t="str">
        <f>HYPERLINK("https://www.zillow.com/homes/37-S-MILL-ST-NAPERVILLE-IL-605404441_rb/","check listing")</f>
        <v>check listing</v>
      </c>
      <c r="AB3958" s="5" t="str">
        <f>HYPERLINK("https://propertylookup.dupagecounty.gov/Datalets/Datalet.aspx?UseSearch=no&amp;mode=sales&amp;pin=0713415017","sales record")</f>
        <v>sales record</v>
      </c>
      <c r="AC3958" t="s">
        <v>3</v>
      </c>
      <c r="AD3958">
        <v>41.774309</v>
      </c>
      <c r="AE3958">
        <v>-88.155083</v>
      </c>
      <c r="AF3958" s="5" t="str">
        <f>HYPERLINK("https://www.google.com/maps/search/?api=1&amp;query=41.774309,-88.155083","map")</f>
        <v>map</v>
      </c>
    </row>
    <row r="3959" spans="1:32">
      <c r="A3959" t="s">
        <v>4009</v>
      </c>
      <c r="B3959" t="s">
        <v>11542</v>
      </c>
      <c r="C3959" t="s">
        <v>15478</v>
      </c>
      <c r="D3959" t="s">
        <v>16206</v>
      </c>
      <c r="E3959" t="s">
        <v>16218</v>
      </c>
      <c r="F3959" t="s">
        <v>16221</v>
      </c>
      <c r="G3959" t="s">
        <v>16278</v>
      </c>
      <c r="H3959" t="s">
        <v>16277</v>
      </c>
      <c r="I3959" t="s">
        <v>16353</v>
      </c>
      <c r="J3959" t="s">
        <v>16386</v>
      </c>
      <c r="K3959">
        <v>0.273</v>
      </c>
      <c r="L3959">
        <v>11890</v>
      </c>
      <c r="M3959">
        <v>2441</v>
      </c>
      <c r="N3959" t="s">
        <v>16393</v>
      </c>
      <c r="O3959" s="4">
        <v>66494</v>
      </c>
      <c r="P3959" s="4">
        <v>132658</v>
      </c>
      <c r="Q3959" s="4">
        <v>199152</v>
      </c>
      <c r="R3959" s="4">
        <v>597456</v>
      </c>
      <c r="S3959" t="s">
        <v>20269</v>
      </c>
      <c r="T3959" s="6">
        <v>31929</v>
      </c>
      <c r="U3959" s="4">
        <v>157000</v>
      </c>
      <c r="X3959" t="s">
        <v>3</v>
      </c>
      <c r="AA3959" s="5" t="str">
        <f>HYPERLINK("https://www.zillow.com/homes/1509-WEDGEFIELD-CIR-NAPERVILLE-IL-60563_rb/","check listing")</f>
        <v>check listing</v>
      </c>
      <c r="AB3959" s="5" t="str">
        <f>HYPERLINK("https://propertylookup.dupagecounty.gov/Datalets/Datalet.aspx?UseSearch=no&amp;mode=sales&amp;pin=0712102005","sales record")</f>
        <v>sales record</v>
      </c>
      <c r="AC3959" t="s">
        <v>3</v>
      </c>
      <c r="AD3959">
        <v>41.795816</v>
      </c>
      <c r="AE3959">
        <v>-88.159285</v>
      </c>
      <c r="AF3959" s="5" t="str">
        <f>HYPERLINK("https://www.google.com/maps/search/?api=1&amp;query=41.795816,-88.159285","map")</f>
        <v>map</v>
      </c>
    </row>
    <row r="3960" spans="1:32">
      <c r="A3960" t="s">
        <v>4010</v>
      </c>
      <c r="B3960" t="s">
        <v>11543</v>
      </c>
      <c r="C3960" t="s">
        <v>15648</v>
      </c>
      <c r="D3960" t="s">
        <v>16206</v>
      </c>
      <c r="E3960" t="s">
        <v>16218</v>
      </c>
      <c r="F3960" t="s">
        <v>16221</v>
      </c>
      <c r="G3960" t="s">
        <v>16278</v>
      </c>
      <c r="H3960" t="s">
        <v>16277</v>
      </c>
      <c r="I3960" t="s">
        <v>16353</v>
      </c>
      <c r="J3960" t="s">
        <v>16386</v>
      </c>
      <c r="K3960">
        <v>0.273</v>
      </c>
      <c r="L3960">
        <v>11875</v>
      </c>
      <c r="N3960" t="s">
        <v>16393</v>
      </c>
      <c r="O3960" s="4">
        <v>66140</v>
      </c>
      <c r="P3960" s="4">
        <v>212651</v>
      </c>
      <c r="Q3960" s="4">
        <v>278791</v>
      </c>
      <c r="R3960" s="4">
        <v>836373</v>
      </c>
      <c r="S3960" t="s">
        <v>20270</v>
      </c>
      <c r="T3960" s="6">
        <v>42887</v>
      </c>
      <c r="U3960" s="4">
        <v>601613</v>
      </c>
      <c r="V3960" t="s">
        <v>16232</v>
      </c>
      <c r="W3960" t="s">
        <v>25761</v>
      </c>
      <c r="X3960" t="s">
        <v>3</v>
      </c>
      <c r="AA3960" s="5" t="str">
        <f>HYPERLINK("https://www.zillow.com/homes/1660-ALDERLEAF-LN-NAPERVILLE-IL-605632049_rb/","check listing")</f>
        <v>check listing</v>
      </c>
      <c r="AB3960" s="5" t="str">
        <f>HYPERLINK("https://propertylookup.dupagecounty.gov/Datalets/Datalet.aspx?UseSearch=no&amp;mode=sales&amp;pin=0709102020","sales record")</f>
        <v>sales record</v>
      </c>
      <c r="AC3960" t="s">
        <v>3</v>
      </c>
      <c r="AD3960">
        <v>41.797414</v>
      </c>
      <c r="AE3960">
        <v>-88.220214</v>
      </c>
      <c r="AF3960" s="5" t="str">
        <f>HYPERLINK("https://www.google.com/maps/search/?api=1&amp;query=41.797414,-88.220214","map")</f>
        <v>map</v>
      </c>
    </row>
    <row r="3961" spans="1:32">
      <c r="A3961" t="s">
        <v>4011</v>
      </c>
      <c r="B3961" t="s">
        <v>11544</v>
      </c>
      <c r="C3961" t="s">
        <v>15649</v>
      </c>
      <c r="D3961" t="s">
        <v>16206</v>
      </c>
      <c r="E3961" t="s">
        <v>16218</v>
      </c>
      <c r="F3961" t="s">
        <v>16221</v>
      </c>
      <c r="G3961" t="s">
        <v>16278</v>
      </c>
      <c r="H3961" t="s">
        <v>16277</v>
      </c>
      <c r="I3961" t="s">
        <v>16353</v>
      </c>
      <c r="J3961" t="s">
        <v>16386</v>
      </c>
      <c r="K3961">
        <v>0.272</v>
      </c>
      <c r="L3961">
        <v>11846</v>
      </c>
      <c r="N3961" t="s">
        <v>16393</v>
      </c>
      <c r="O3961" s="4">
        <v>72755</v>
      </c>
      <c r="P3961" s="4">
        <v>199274</v>
      </c>
      <c r="Q3961" s="4">
        <v>272029</v>
      </c>
      <c r="R3961" s="4">
        <v>816087</v>
      </c>
      <c r="S3961" t="s">
        <v>20271</v>
      </c>
      <c r="T3961" s="6">
        <v>42675</v>
      </c>
      <c r="U3961" s="4">
        <v>573300</v>
      </c>
      <c r="V3961" t="s">
        <v>16232</v>
      </c>
      <c r="W3961" t="s">
        <v>20271</v>
      </c>
      <c r="X3961" t="s">
        <v>3</v>
      </c>
      <c r="AA3961" s="5" t="str">
        <f>HYPERLINK("https://www.zillow.com/homes/1504-ALDERLEAF-CT-NAPERVILLE-IL-605632142_rb/","check listing")</f>
        <v>check listing</v>
      </c>
      <c r="AB3961" s="5" t="str">
        <f>HYPERLINK("https://propertylookup.dupagecounty.gov/Datalets/Datalet.aspx?UseSearch=no&amp;mode=sales&amp;pin=0709105019","sales record")</f>
        <v>sales record</v>
      </c>
      <c r="AC3961" t="s">
        <v>3</v>
      </c>
      <c r="AD3961">
        <v>41.795111</v>
      </c>
      <c r="AE3961">
        <v>-88.21763799999999</v>
      </c>
      <c r="AF3961" s="5" t="str">
        <f>HYPERLINK("https://www.google.com/maps/search/?api=1&amp;query=41.795111,-88.217638","map")</f>
        <v>map</v>
      </c>
    </row>
    <row r="3962" spans="1:32">
      <c r="A3962" t="s">
        <v>4012</v>
      </c>
      <c r="B3962" t="s">
        <v>11545</v>
      </c>
      <c r="C3962" t="s">
        <v>15478</v>
      </c>
      <c r="D3962" t="s">
        <v>16206</v>
      </c>
      <c r="E3962" t="s">
        <v>16218</v>
      </c>
      <c r="F3962" t="s">
        <v>16221</v>
      </c>
      <c r="G3962" t="s">
        <v>16277</v>
      </c>
      <c r="H3962" t="s">
        <v>16277</v>
      </c>
      <c r="I3962" t="s">
        <v>16353</v>
      </c>
      <c r="J3962" t="s">
        <v>16386</v>
      </c>
      <c r="K3962">
        <v>0.271</v>
      </c>
      <c r="L3962">
        <v>11811</v>
      </c>
      <c r="M3962">
        <v>2730</v>
      </c>
      <c r="N3962" t="s">
        <v>16393</v>
      </c>
      <c r="O3962" s="4">
        <v>131783</v>
      </c>
      <c r="P3962" s="4">
        <v>54428</v>
      </c>
      <c r="Q3962" s="4">
        <v>186211</v>
      </c>
      <c r="R3962" s="4">
        <v>558633</v>
      </c>
      <c r="S3962" t="s">
        <v>20272</v>
      </c>
      <c r="T3962" s="6">
        <v>42826</v>
      </c>
      <c r="U3962" s="4">
        <v>394900</v>
      </c>
      <c r="V3962" t="s">
        <v>23739</v>
      </c>
      <c r="W3962" t="s">
        <v>25762</v>
      </c>
      <c r="X3962" t="s">
        <v>3</v>
      </c>
      <c r="AA3962" s="5" t="str">
        <f>HYPERLINK("https://www.zillow.com/homes/810-E-CHICAGO-AVE-NAPERVILLE-IL-60563_rb/","check listing")</f>
        <v>check listing</v>
      </c>
      <c r="AB3962" s="5" t="str">
        <f>HYPERLINK("https://propertylookup.dupagecounty.gov/Datalets/Datalet.aspx?UseSearch=no&amp;mode=sales&amp;pin=0818417037","sales record")</f>
        <v>sales record</v>
      </c>
      <c r="AC3962" t="s">
        <v>3</v>
      </c>
      <c r="AD3962">
        <v>41.772862</v>
      </c>
      <c r="AE3962">
        <v>-88.136201</v>
      </c>
      <c r="AF3962" s="5" t="str">
        <f>HYPERLINK("https://www.google.com/maps/search/?api=1&amp;query=41.772862,-88.136201","map")</f>
        <v>map</v>
      </c>
    </row>
    <row r="3963" spans="1:32">
      <c r="A3963" t="s">
        <v>4013</v>
      </c>
      <c r="B3963" t="s">
        <v>11546</v>
      </c>
      <c r="C3963" t="s">
        <v>15475</v>
      </c>
      <c r="D3963" t="s">
        <v>16206</v>
      </c>
      <c r="E3963" t="s">
        <v>16218</v>
      </c>
      <c r="F3963" t="s">
        <v>16221</v>
      </c>
      <c r="G3963" t="s">
        <v>16278</v>
      </c>
      <c r="H3963" t="s">
        <v>16277</v>
      </c>
      <c r="I3963" t="s">
        <v>16353</v>
      </c>
      <c r="J3963" t="s">
        <v>16386</v>
      </c>
      <c r="K3963">
        <v>0.271</v>
      </c>
      <c r="L3963">
        <v>11791</v>
      </c>
      <c r="N3963" t="s">
        <v>16393</v>
      </c>
      <c r="O3963" s="4">
        <v>79370</v>
      </c>
      <c r="P3963" s="4">
        <v>179843</v>
      </c>
      <c r="Q3963" s="4">
        <v>259213</v>
      </c>
      <c r="R3963" s="4">
        <v>777639</v>
      </c>
      <c r="S3963" t="s">
        <v>20273</v>
      </c>
      <c r="T3963" s="6">
        <v>43374</v>
      </c>
      <c r="U3963" s="4">
        <v>593170</v>
      </c>
      <c r="V3963" t="s">
        <v>16232</v>
      </c>
      <c r="W3963" t="s">
        <v>25763</v>
      </c>
      <c r="X3963" t="s">
        <v>3</v>
      </c>
      <c r="AA3963" s="5" t="str">
        <f>HYPERLINK("https://www.zillow.com/homes/2623-BASIN-TRAIL-CT-NAPERVILLE-IL-60540_rb/","check listing")</f>
        <v>check listing</v>
      </c>
      <c r="AB3963" s="5" t="str">
        <f>HYPERLINK("https://propertylookup.dupagecounty.gov/Datalets/Datalet.aspx?UseSearch=no&amp;mode=sales&amp;pin=0709109047","sales record")</f>
        <v>sales record</v>
      </c>
      <c r="AC3963" t="s">
        <v>3</v>
      </c>
      <c r="AD3963">
        <v>41.793115</v>
      </c>
      <c r="AE3963">
        <v>-88.224282</v>
      </c>
      <c r="AF3963" s="5" t="str">
        <f>HYPERLINK("https://www.google.com/maps/search/?api=1&amp;query=41.793115,-88.224282","map")</f>
        <v>map</v>
      </c>
    </row>
    <row r="3964" spans="1:32">
      <c r="A3964" t="s">
        <v>4014</v>
      </c>
      <c r="B3964" t="s">
        <v>11547</v>
      </c>
      <c r="C3964" t="s">
        <v>15634</v>
      </c>
      <c r="D3964" t="s">
        <v>16206</v>
      </c>
      <c r="E3964" t="s">
        <v>16218</v>
      </c>
      <c r="F3964" t="s">
        <v>16221</v>
      </c>
      <c r="G3964" t="s">
        <v>16278</v>
      </c>
      <c r="H3964" t="s">
        <v>16277</v>
      </c>
      <c r="I3964" t="s">
        <v>16353</v>
      </c>
      <c r="J3964" t="s">
        <v>16386</v>
      </c>
      <c r="K3964">
        <v>0.271</v>
      </c>
      <c r="L3964">
        <v>11788</v>
      </c>
      <c r="N3964" t="s">
        <v>16393</v>
      </c>
      <c r="O3964" s="4">
        <v>69447</v>
      </c>
      <c r="P3964" s="4">
        <v>186117</v>
      </c>
      <c r="Q3964" s="4">
        <v>255564</v>
      </c>
      <c r="R3964" s="4">
        <v>766692</v>
      </c>
      <c r="S3964" t="s">
        <v>20274</v>
      </c>
      <c r="T3964" s="6">
        <v>44075</v>
      </c>
      <c r="U3964" s="4">
        <v>592000</v>
      </c>
      <c r="V3964" t="s">
        <v>23739</v>
      </c>
      <c r="W3964" t="s">
        <v>25764</v>
      </c>
      <c r="X3964" t="s">
        <v>3</v>
      </c>
      <c r="AA3964" s="5" t="str">
        <f>HYPERLINK("https://www.zillow.com/homes/1580-BAYOU-PATH-DR-NAPERVILLE-IL-605631791_rb/","check listing")</f>
        <v>check listing</v>
      </c>
      <c r="AB3964" s="5" t="str">
        <f>HYPERLINK("https://propertylookup.dupagecounty.gov/Datalets/Datalet.aspx?UseSearch=no&amp;mode=sales&amp;pin=0709105014","sales record")</f>
        <v>sales record</v>
      </c>
      <c r="AC3964" t="s">
        <v>3</v>
      </c>
      <c r="AD3964">
        <v>41.795092</v>
      </c>
      <c r="AE3964">
        <v>-88.217985</v>
      </c>
      <c r="AF3964" s="5" t="str">
        <f>HYPERLINK("https://www.google.com/maps/search/?api=1&amp;query=41.795092,-88.217985","map")</f>
        <v>map</v>
      </c>
    </row>
    <row r="3965" spans="1:32">
      <c r="A3965" t="s">
        <v>4015</v>
      </c>
      <c r="B3965" t="s">
        <v>11548</v>
      </c>
      <c r="C3965" t="s">
        <v>15478</v>
      </c>
      <c r="D3965" t="s">
        <v>16206</v>
      </c>
      <c r="E3965" t="s">
        <v>16218</v>
      </c>
      <c r="F3965" t="s">
        <v>16221</v>
      </c>
      <c r="G3965" t="s">
        <v>16277</v>
      </c>
      <c r="H3965" t="s">
        <v>16277</v>
      </c>
      <c r="I3965" t="s">
        <v>16353</v>
      </c>
      <c r="J3965" t="s">
        <v>16386</v>
      </c>
      <c r="K3965">
        <v>0.271</v>
      </c>
      <c r="L3965">
        <v>11785</v>
      </c>
      <c r="M3965">
        <v>2132</v>
      </c>
      <c r="N3965" t="s">
        <v>16393</v>
      </c>
      <c r="O3965" s="4">
        <v>70862</v>
      </c>
      <c r="P3965" s="4">
        <v>46960</v>
      </c>
      <c r="Q3965" s="4">
        <v>117822</v>
      </c>
      <c r="R3965" s="4">
        <v>353466</v>
      </c>
      <c r="S3965" t="s">
        <v>20275</v>
      </c>
      <c r="T3965" s="6">
        <v>42430</v>
      </c>
      <c r="U3965" s="4">
        <v>245000</v>
      </c>
      <c r="V3965" t="s">
        <v>23739</v>
      </c>
      <c r="W3965" t="s">
        <v>25765</v>
      </c>
      <c r="X3965" t="s">
        <v>3</v>
      </c>
      <c r="AA3965" s="5" t="str">
        <f>HYPERLINK("https://www.zillow.com/homes/925-N-LOOMIS-ST-NAPERVILLE-IL-60563_rb/","check listing")</f>
        <v>check listing</v>
      </c>
      <c r="AB3965" s="5" t="str">
        <f>HYPERLINK("https://propertylookup.dupagecounty.gov/Datalets/Datalet.aspx?UseSearch=no&amp;mode=sales&amp;pin=0807310025","sales record")</f>
        <v>sales record</v>
      </c>
      <c r="AC3965" t="s">
        <v>3</v>
      </c>
      <c r="AD3965">
        <v>41.786356</v>
      </c>
      <c r="AE3965">
        <v>-88.14167999999999</v>
      </c>
      <c r="AF3965" s="5" t="str">
        <f>HYPERLINK("https://www.google.com/maps/search/?api=1&amp;query=41.786356,-88.14168","map")</f>
        <v>map</v>
      </c>
    </row>
    <row r="3966" spans="1:32">
      <c r="A3966" t="s">
        <v>4016</v>
      </c>
      <c r="B3966" t="s">
        <v>11549</v>
      </c>
      <c r="C3966" t="s">
        <v>15649</v>
      </c>
      <c r="D3966" t="s">
        <v>16206</v>
      </c>
      <c r="E3966" t="s">
        <v>16218</v>
      </c>
      <c r="F3966" t="s">
        <v>16221</v>
      </c>
      <c r="G3966" t="s">
        <v>16278</v>
      </c>
      <c r="H3966" t="s">
        <v>16277</v>
      </c>
      <c r="I3966" t="s">
        <v>16353</v>
      </c>
      <c r="J3966" t="s">
        <v>16386</v>
      </c>
      <c r="K3966">
        <v>0.27</v>
      </c>
      <c r="L3966">
        <v>11755</v>
      </c>
      <c r="N3966" t="s">
        <v>16393</v>
      </c>
      <c r="O3966" s="4">
        <v>69447</v>
      </c>
      <c r="P3966" s="4">
        <v>201239</v>
      </c>
      <c r="Q3966" s="4">
        <v>270686</v>
      </c>
      <c r="R3966" s="4">
        <v>812058</v>
      </c>
      <c r="S3966" t="s">
        <v>20276</v>
      </c>
      <c r="T3966" s="6">
        <v>44166</v>
      </c>
      <c r="U3966" s="4">
        <v>625000</v>
      </c>
      <c r="V3966" t="s">
        <v>23739</v>
      </c>
      <c r="W3966" t="s">
        <v>20276</v>
      </c>
      <c r="X3966" t="s">
        <v>3</v>
      </c>
      <c r="AA3966" s="5" t="str">
        <f>HYPERLINK("https://www.zillow.com/homes/1503-ALDERLEAF-CT-NAPERVILLE-IL-605632142_rb/","check listing")</f>
        <v>check listing</v>
      </c>
      <c r="AB3966" s="5" t="str">
        <f>HYPERLINK("https://propertylookup.dupagecounty.gov/Datalets/Datalet.aspx?UseSearch=no&amp;mode=sales&amp;pin=0709105018","sales record")</f>
        <v>sales record</v>
      </c>
      <c r="AC3966" t="s">
        <v>3</v>
      </c>
      <c r="AD3966">
        <v>41.795495</v>
      </c>
      <c r="AE3966">
        <v>-88.21768899999999</v>
      </c>
      <c r="AF3966" s="5" t="str">
        <f>HYPERLINK("https://www.google.com/maps/search/?api=1&amp;query=41.795495,-88.217689","map")</f>
        <v>map</v>
      </c>
    </row>
    <row r="3967" spans="1:32">
      <c r="A3967" t="s">
        <v>4017</v>
      </c>
      <c r="B3967" t="s">
        <v>11550</v>
      </c>
      <c r="C3967" t="s">
        <v>15478</v>
      </c>
      <c r="D3967" t="s">
        <v>16206</v>
      </c>
      <c r="E3967" t="s">
        <v>16218</v>
      </c>
      <c r="F3967" t="s">
        <v>16221</v>
      </c>
      <c r="G3967" t="s">
        <v>16278</v>
      </c>
      <c r="H3967" t="s">
        <v>16277</v>
      </c>
      <c r="I3967" t="s">
        <v>16353</v>
      </c>
      <c r="J3967" t="s">
        <v>16386</v>
      </c>
      <c r="K3967">
        <v>0.269</v>
      </c>
      <c r="L3967">
        <v>11704</v>
      </c>
      <c r="N3967" t="s">
        <v>16393</v>
      </c>
      <c r="O3967" s="4">
        <v>59524</v>
      </c>
      <c r="P3967" s="4">
        <v>172691</v>
      </c>
      <c r="Q3967" s="4">
        <v>232215</v>
      </c>
      <c r="R3967" s="4">
        <v>696645</v>
      </c>
      <c r="S3967" t="s">
        <v>20277</v>
      </c>
      <c r="T3967" s="6">
        <v>44811</v>
      </c>
      <c r="U3967" s="4">
        <v>650000</v>
      </c>
      <c r="V3967" t="s">
        <v>23739</v>
      </c>
      <c r="W3967" t="s">
        <v>25766</v>
      </c>
      <c r="X3967" t="s">
        <v>3</v>
      </c>
      <c r="AA3967" s="5" t="str">
        <f>HYPERLINK("https://www.zillow.com/homes/2303-COUNTRY-CLUB-DR-NAPERVILLE-IL-60563_rb/","check listing")</f>
        <v>check listing</v>
      </c>
      <c r="AB3967" s="5" t="str">
        <f>HYPERLINK("https://propertylookup.dupagecounty.gov/Datalets/Datalet.aspx?UseSearch=no&amp;mode=sales&amp;pin=0709102040","sales record")</f>
        <v>sales record</v>
      </c>
      <c r="AC3967" t="s">
        <v>3</v>
      </c>
      <c r="AD3967">
        <v>41.79701</v>
      </c>
      <c r="AE3967">
        <v>-88.215932</v>
      </c>
      <c r="AF3967" s="5" t="str">
        <f>HYPERLINK("https://www.google.com/maps/search/?api=1&amp;query=41.79701,-88.215932","map")</f>
        <v>map</v>
      </c>
    </row>
    <row r="3968" spans="1:32">
      <c r="A3968" t="s">
        <v>4018</v>
      </c>
      <c r="B3968" t="s">
        <v>11551</v>
      </c>
      <c r="C3968" t="s">
        <v>15475</v>
      </c>
      <c r="D3968" t="s">
        <v>16206</v>
      </c>
      <c r="E3968" t="s">
        <v>16218</v>
      </c>
      <c r="F3968" t="s">
        <v>16221</v>
      </c>
      <c r="G3968" t="s">
        <v>16277</v>
      </c>
      <c r="H3968" t="s">
        <v>16277</v>
      </c>
      <c r="I3968" t="s">
        <v>16353</v>
      </c>
      <c r="J3968" t="s">
        <v>16386</v>
      </c>
      <c r="K3968">
        <v>0.267</v>
      </c>
      <c r="L3968">
        <v>11651</v>
      </c>
      <c r="M3968">
        <v>4781</v>
      </c>
      <c r="N3968" t="s">
        <v>16393</v>
      </c>
      <c r="O3968" s="4">
        <v>124957</v>
      </c>
      <c r="P3968" s="4">
        <v>365899</v>
      </c>
      <c r="Q3968" s="4">
        <v>490856</v>
      </c>
      <c r="R3968" s="4">
        <v>1472568</v>
      </c>
      <c r="S3968" t="s">
        <v>20278</v>
      </c>
      <c r="T3968" s="6">
        <v>40603</v>
      </c>
      <c r="U3968" s="4">
        <v>1261855</v>
      </c>
      <c r="V3968" t="s">
        <v>23739</v>
      </c>
      <c r="W3968" t="s">
        <v>25767</v>
      </c>
      <c r="X3968" t="s">
        <v>3</v>
      </c>
      <c r="AA3968" s="5" t="str">
        <f>HYPERLINK("https://www.zillow.com/homes/539-W-JEFFERSON-AVE-NAPERVILLE-IL-60540_rb/","check listing")</f>
        <v>check listing</v>
      </c>
      <c r="AB3968" s="5" t="str">
        <f>HYPERLINK("https://propertylookup.dupagecounty.gov/Datalets/Datalet.aspx?UseSearch=no&amp;mode=sales&amp;pin=0713314010","sales record")</f>
        <v>sales record</v>
      </c>
      <c r="AC3968" t="s">
        <v>3</v>
      </c>
      <c r="AD3968">
        <v>41.773642</v>
      </c>
      <c r="AE3968">
        <v>-88.157808</v>
      </c>
      <c r="AF3968" s="5" t="str">
        <f>HYPERLINK("https://www.google.com/maps/search/?api=1&amp;query=41.773642,-88.157808","map")</f>
        <v>map</v>
      </c>
    </row>
    <row r="3969" spans="1:32">
      <c r="A3969" t="s">
        <v>4019</v>
      </c>
      <c r="B3969" t="s">
        <v>11552</v>
      </c>
      <c r="C3969" t="s">
        <v>15650</v>
      </c>
      <c r="D3969" t="s">
        <v>16206</v>
      </c>
      <c r="E3969" t="s">
        <v>16218</v>
      </c>
      <c r="F3969" t="s">
        <v>16221</v>
      </c>
      <c r="G3969" t="s">
        <v>16278</v>
      </c>
      <c r="H3969" t="s">
        <v>16277</v>
      </c>
      <c r="I3969" t="s">
        <v>16353</v>
      </c>
      <c r="J3969" t="s">
        <v>16386</v>
      </c>
      <c r="K3969">
        <v>0.266</v>
      </c>
      <c r="L3969">
        <v>11600</v>
      </c>
      <c r="N3969" t="s">
        <v>16393</v>
      </c>
      <c r="O3969" s="4">
        <v>76063</v>
      </c>
      <c r="P3969" s="4">
        <v>154188</v>
      </c>
      <c r="Q3969" s="4">
        <v>230251</v>
      </c>
      <c r="R3969" s="4">
        <v>690753</v>
      </c>
      <c r="S3969" t="s">
        <v>20279</v>
      </c>
      <c r="T3969" s="6">
        <v>43800</v>
      </c>
      <c r="U3969" s="4">
        <v>537688</v>
      </c>
      <c r="V3969" t="s">
        <v>16232</v>
      </c>
      <c r="W3969" t="s">
        <v>25768</v>
      </c>
      <c r="X3969" t="s">
        <v>3</v>
      </c>
      <c r="AA3969" s="5" t="str">
        <f>HYPERLINK("https://www.zillow.com/homes/2508-SILVER-LOCH-RD-NAPERVILLE-IL-605633597_rb/","check listing")</f>
        <v>check listing</v>
      </c>
      <c r="AB3969" s="5" t="str">
        <f>HYPERLINK("https://propertylookup.dupagecounty.gov/Datalets/Datalet.aspx?UseSearch=no&amp;mode=sales&amp;pin=0709114004","sales record")</f>
        <v>sales record</v>
      </c>
      <c r="AC3969" t="s">
        <v>3</v>
      </c>
      <c r="AD3969">
        <v>41.79401</v>
      </c>
      <c r="AE3969">
        <v>-88.221311</v>
      </c>
      <c r="AF3969" s="5" t="str">
        <f>HYPERLINK("https://www.google.com/maps/search/?api=1&amp;query=41.79401,-88.221311","map")</f>
        <v>map</v>
      </c>
    </row>
    <row r="3970" spans="1:32">
      <c r="A3970" t="s">
        <v>4020</v>
      </c>
      <c r="B3970" t="s">
        <v>11553</v>
      </c>
      <c r="C3970" t="s">
        <v>15649</v>
      </c>
      <c r="D3970" t="s">
        <v>16206</v>
      </c>
      <c r="E3970" t="s">
        <v>16218</v>
      </c>
      <c r="F3970" t="s">
        <v>16221</v>
      </c>
      <c r="G3970" t="s">
        <v>16278</v>
      </c>
      <c r="H3970" t="s">
        <v>16277</v>
      </c>
      <c r="I3970" t="s">
        <v>16353</v>
      </c>
      <c r="J3970" t="s">
        <v>16386</v>
      </c>
      <c r="K3970">
        <v>0.266</v>
      </c>
      <c r="L3970">
        <v>11596</v>
      </c>
      <c r="N3970" t="s">
        <v>16393</v>
      </c>
      <c r="O3970" s="4">
        <v>66140</v>
      </c>
      <c r="P3970" s="4">
        <v>189864</v>
      </c>
      <c r="Q3970" s="4">
        <v>256004</v>
      </c>
      <c r="R3970" s="4">
        <v>768012</v>
      </c>
      <c r="S3970" t="s">
        <v>20280</v>
      </c>
      <c r="T3970" s="6">
        <v>42887</v>
      </c>
      <c r="U3970" s="4">
        <v>529474</v>
      </c>
      <c r="V3970" t="s">
        <v>16232</v>
      </c>
      <c r="W3970" t="s">
        <v>25769</v>
      </c>
      <c r="X3970" t="s">
        <v>3</v>
      </c>
      <c r="AA3970" s="5" t="str">
        <f>HYPERLINK("https://www.zillow.com/homes/1520-ALDERLEAF-CT-NAPERVILLE-IL-605632142_rb/","check listing")</f>
        <v>check listing</v>
      </c>
      <c r="AB3970" s="5" t="str">
        <f>HYPERLINK("https://propertylookup.dupagecounty.gov/Datalets/Datalet.aspx?UseSearch=no&amp;mode=sales&amp;pin=0709105023","sales record")</f>
        <v>sales record</v>
      </c>
      <c r="AC3970" t="s">
        <v>3</v>
      </c>
      <c r="AD3970">
        <v>41.795184</v>
      </c>
      <c r="AE3970">
        <v>-88.21651900000001</v>
      </c>
      <c r="AF3970" s="5" t="str">
        <f>HYPERLINK("https://www.google.com/maps/search/?api=1&amp;query=41.795184,-88.216519","map")</f>
        <v>map</v>
      </c>
    </row>
    <row r="3971" spans="1:32">
      <c r="A3971" t="s">
        <v>4021</v>
      </c>
      <c r="B3971" t="s">
        <v>11554</v>
      </c>
      <c r="C3971" t="s">
        <v>15651</v>
      </c>
      <c r="D3971" t="s">
        <v>16206</v>
      </c>
      <c r="E3971" t="s">
        <v>16218</v>
      </c>
      <c r="F3971" t="s">
        <v>16221</v>
      </c>
      <c r="G3971" t="s">
        <v>16277</v>
      </c>
      <c r="H3971" t="s">
        <v>16277</v>
      </c>
      <c r="I3971" t="s">
        <v>16353</v>
      </c>
      <c r="J3971" t="s">
        <v>16386</v>
      </c>
      <c r="K3971">
        <v>0.265</v>
      </c>
      <c r="L3971">
        <v>11546</v>
      </c>
      <c r="M3971">
        <v>2269</v>
      </c>
      <c r="N3971" t="s">
        <v>16393</v>
      </c>
      <c r="O3971" s="4">
        <v>158349</v>
      </c>
      <c r="P3971" s="4">
        <v>218747</v>
      </c>
      <c r="Q3971" s="4">
        <v>377096</v>
      </c>
      <c r="R3971" s="4">
        <v>1131288</v>
      </c>
      <c r="S3971" t="s">
        <v>20281</v>
      </c>
      <c r="T3971" s="6">
        <v>44501</v>
      </c>
      <c r="U3971" s="4">
        <v>900000</v>
      </c>
      <c r="V3971" t="s">
        <v>23739</v>
      </c>
      <c r="W3971" t="s">
        <v>25770</v>
      </c>
      <c r="X3971" t="s">
        <v>3</v>
      </c>
      <c r="AA3971" s="5" t="str">
        <f>HYPERLINK("https://www.zillow.com/homes/213-N-SLEIGHT-ST-NAPERVILLE-IL-605404741_rb/","check listing")</f>
        <v>check listing</v>
      </c>
      <c r="AB3971" s="5" t="str">
        <f>HYPERLINK("https://propertylookup.dupagecounty.gov/Datalets/Datalet.aspx?UseSearch=no&amp;mode=sales&amp;pin=0818137007","sales record")</f>
        <v>sales record</v>
      </c>
      <c r="AC3971" t="s">
        <v>27873</v>
      </c>
      <c r="AD3971">
        <v>41.77783</v>
      </c>
      <c r="AE3971">
        <v>-88.141141</v>
      </c>
      <c r="AF3971" s="5" t="str">
        <f>HYPERLINK("https://www.google.com/maps/search/?api=1&amp;query=41.77783,-88.141141","map")</f>
        <v>map</v>
      </c>
    </row>
    <row r="3972" spans="1:32">
      <c r="A3972" t="s">
        <v>4022</v>
      </c>
      <c r="B3972" t="s">
        <v>11555</v>
      </c>
      <c r="C3972" t="s">
        <v>15652</v>
      </c>
      <c r="D3972" t="s">
        <v>16206</v>
      </c>
      <c r="E3972" t="s">
        <v>16218</v>
      </c>
      <c r="F3972" t="s">
        <v>16221</v>
      </c>
      <c r="G3972" t="s">
        <v>16277</v>
      </c>
      <c r="H3972" t="s">
        <v>16277</v>
      </c>
      <c r="I3972" t="s">
        <v>16353</v>
      </c>
      <c r="J3972" t="s">
        <v>16386</v>
      </c>
      <c r="K3972">
        <v>0.265</v>
      </c>
      <c r="L3972">
        <v>11535</v>
      </c>
      <c r="M3972">
        <v>3505</v>
      </c>
      <c r="N3972" t="s">
        <v>16393</v>
      </c>
      <c r="O3972" s="4">
        <v>158314</v>
      </c>
      <c r="P3972" s="4">
        <v>394338</v>
      </c>
      <c r="Q3972" s="4">
        <v>552652</v>
      </c>
      <c r="R3972" s="4">
        <v>1657956</v>
      </c>
      <c r="S3972" t="s">
        <v>20282</v>
      </c>
      <c r="T3972" s="6">
        <v>44075</v>
      </c>
      <c r="U3972" s="4">
        <v>1350000</v>
      </c>
      <c r="V3972" t="s">
        <v>23739</v>
      </c>
      <c r="W3972" t="s">
        <v>25771</v>
      </c>
      <c r="X3972" t="s">
        <v>3</v>
      </c>
      <c r="AA3972" s="5" t="str">
        <f>HYPERLINK("https://www.zillow.com/homes/24-S-SLEIGHT-ST-NAPERVILLE-IL-605404942_rb/","check listing")</f>
        <v>check listing</v>
      </c>
      <c r="AB3972" s="5" t="str">
        <f>HYPERLINK("https://propertylookup.dupagecounty.gov/Datalets/Datalet.aspx?UseSearch=no&amp;mode=sales&amp;pin=0818317014","sales record")</f>
        <v>sales record</v>
      </c>
      <c r="AC3972" t="s">
        <v>27873</v>
      </c>
      <c r="AD3972">
        <v>41.774292</v>
      </c>
      <c r="AE3972">
        <v>-88.140503</v>
      </c>
      <c r="AF3972" s="5" t="str">
        <f>HYPERLINK("https://www.google.com/maps/search/?api=1&amp;query=41.774292,-88.140503","map")</f>
        <v>map</v>
      </c>
    </row>
    <row r="3973" spans="1:32">
      <c r="A3973" t="s">
        <v>4023</v>
      </c>
      <c r="B3973" t="s">
        <v>11556</v>
      </c>
      <c r="C3973" t="s">
        <v>15652</v>
      </c>
      <c r="D3973" t="s">
        <v>16206</v>
      </c>
      <c r="E3973" t="s">
        <v>16218</v>
      </c>
      <c r="F3973" t="s">
        <v>16221</v>
      </c>
      <c r="G3973" t="s">
        <v>16277</v>
      </c>
      <c r="H3973" t="s">
        <v>16277</v>
      </c>
      <c r="I3973" t="s">
        <v>16353</v>
      </c>
      <c r="J3973" t="s">
        <v>16386</v>
      </c>
      <c r="K3973">
        <v>0.265</v>
      </c>
      <c r="L3973">
        <v>11523</v>
      </c>
      <c r="M3973">
        <v>2112</v>
      </c>
      <c r="N3973" t="s">
        <v>16393</v>
      </c>
      <c r="O3973" s="4">
        <v>158325</v>
      </c>
      <c r="P3973" s="4">
        <v>286945</v>
      </c>
      <c r="Q3973" s="4">
        <v>445270</v>
      </c>
      <c r="R3973" s="4">
        <v>1335810</v>
      </c>
      <c r="S3973" t="s">
        <v>20283</v>
      </c>
      <c r="X3973" t="s">
        <v>3</v>
      </c>
      <c r="AA3973" s="5" t="str">
        <f>HYPERLINK("https://www.zillow.com/homes/32-S-SLEIGHT-ST-NAPERVILLE-IL-605404942_rb/","check listing")</f>
        <v>check listing</v>
      </c>
      <c r="AB3973" s="5" t="str">
        <f>HYPERLINK("https://propertylookup.dupagecounty.gov/Datalets/Datalet.aspx?UseSearch=no&amp;mode=sales&amp;pin=0818317016","sales record")</f>
        <v>sales record</v>
      </c>
      <c r="AC3973" t="s">
        <v>3</v>
      </c>
      <c r="AD3973">
        <v>41.774018</v>
      </c>
      <c r="AE3973">
        <v>-88.140519</v>
      </c>
      <c r="AF3973" s="5" t="str">
        <f>HYPERLINK("https://www.google.com/maps/search/?api=1&amp;query=41.774018,-88.140519","map")</f>
        <v>map</v>
      </c>
    </row>
    <row r="3974" spans="1:32">
      <c r="A3974" t="s">
        <v>4024</v>
      </c>
      <c r="B3974" t="s">
        <v>11557</v>
      </c>
      <c r="C3974" t="s">
        <v>15653</v>
      </c>
      <c r="D3974" t="s">
        <v>16206</v>
      </c>
      <c r="E3974" t="s">
        <v>16218</v>
      </c>
      <c r="F3974" t="s">
        <v>16221</v>
      </c>
      <c r="G3974" t="s">
        <v>16278</v>
      </c>
      <c r="H3974" t="s">
        <v>16277</v>
      </c>
      <c r="I3974" t="s">
        <v>16353</v>
      </c>
      <c r="J3974" t="s">
        <v>16386</v>
      </c>
      <c r="K3974">
        <v>0.264</v>
      </c>
      <c r="L3974">
        <v>11501</v>
      </c>
      <c r="N3974" t="s">
        <v>16393</v>
      </c>
      <c r="O3974" s="4">
        <v>66140</v>
      </c>
      <c r="P3974" s="4">
        <v>203155</v>
      </c>
      <c r="Q3974" s="4">
        <v>269295</v>
      </c>
      <c r="R3974" s="4">
        <v>807885</v>
      </c>
      <c r="S3974" t="s">
        <v>20284</v>
      </c>
      <c r="T3974" s="6">
        <v>43405</v>
      </c>
      <c r="U3974" s="4">
        <v>631302</v>
      </c>
      <c r="V3974" t="s">
        <v>16232</v>
      </c>
      <c r="W3974" t="s">
        <v>25772</v>
      </c>
      <c r="X3974" t="s">
        <v>3</v>
      </c>
      <c r="AA3974" s="5" t="str">
        <f>HYPERLINK("https://www.zillow.com/homes/2307-COUNTRY-CLUB-BLV-NAPERVILLE-IL-605631721_rb/","check listing")</f>
        <v>check listing</v>
      </c>
      <c r="AB3974" s="5" t="str">
        <f>HYPERLINK("https://propertylookup.dupagecounty.gov/Datalets/Datalet.aspx?UseSearch=no&amp;mode=sales&amp;pin=0709102039","sales record")</f>
        <v>sales record</v>
      </c>
      <c r="AC3974" t="s">
        <v>3</v>
      </c>
      <c r="AD3974">
        <v>41.797004</v>
      </c>
      <c r="AE3974">
        <v>-88.21622000000001</v>
      </c>
      <c r="AF3974" s="5" t="str">
        <f>HYPERLINK("https://www.google.com/maps/search/?api=1&amp;query=41.797004,-88.21622","map")</f>
        <v>map</v>
      </c>
    </row>
    <row r="3975" spans="1:32">
      <c r="A3975" t="s">
        <v>4025</v>
      </c>
      <c r="B3975" t="s">
        <v>11558</v>
      </c>
      <c r="C3975" t="s">
        <v>15618</v>
      </c>
      <c r="D3975" t="s">
        <v>16206</v>
      </c>
      <c r="E3975" t="s">
        <v>16218</v>
      </c>
      <c r="F3975" t="s">
        <v>16221</v>
      </c>
      <c r="G3975" t="s">
        <v>16277</v>
      </c>
      <c r="H3975" t="s">
        <v>16277</v>
      </c>
      <c r="I3975" t="s">
        <v>16353</v>
      </c>
      <c r="J3975" t="s">
        <v>16386</v>
      </c>
      <c r="K3975">
        <v>0.263</v>
      </c>
      <c r="L3975">
        <v>11475</v>
      </c>
      <c r="M3975">
        <v>1847</v>
      </c>
      <c r="N3975" t="s">
        <v>16393</v>
      </c>
      <c r="O3975" s="4">
        <v>144973</v>
      </c>
      <c r="P3975" s="4">
        <v>545049</v>
      </c>
      <c r="Q3975" s="4">
        <v>690022</v>
      </c>
      <c r="R3975" s="4">
        <v>2070066</v>
      </c>
      <c r="S3975" t="s">
        <v>20285</v>
      </c>
      <c r="T3975" s="6">
        <v>45233</v>
      </c>
      <c r="U3975" s="4">
        <v>600000</v>
      </c>
      <c r="V3975" t="s">
        <v>23741</v>
      </c>
      <c r="W3975" t="s">
        <v>25773</v>
      </c>
      <c r="X3975" t="s">
        <v>3</v>
      </c>
      <c r="AA3975" s="5" t="str">
        <f>HYPERLINK("https://www.zillow.com/homes/12-S-EWING-ST-NAPERVILLE-IL-605404430_rb/","check listing")</f>
        <v>check listing</v>
      </c>
      <c r="AB3975" s="5" t="str">
        <f>HYPERLINK("https://propertylookup.dupagecounty.gov/Datalets/Datalet.aspx?UseSearch=no&amp;mode=sales&amp;pin=0713415007","sales record")</f>
        <v>sales record</v>
      </c>
      <c r="AC3975" t="s">
        <v>3</v>
      </c>
      <c r="AD3975">
        <v>41.774801</v>
      </c>
      <c r="AE3975">
        <v>-88.155787</v>
      </c>
      <c r="AF3975" s="5" t="str">
        <f>HYPERLINK("https://www.google.com/maps/search/?api=1&amp;query=41.774801,-88.155787","map")</f>
        <v>map</v>
      </c>
    </row>
    <row r="3976" spans="1:32">
      <c r="A3976" t="s">
        <v>4026</v>
      </c>
      <c r="B3976" t="s">
        <v>11559</v>
      </c>
      <c r="C3976" t="s">
        <v>15475</v>
      </c>
      <c r="D3976" t="s">
        <v>16206</v>
      </c>
      <c r="E3976" t="s">
        <v>16218</v>
      </c>
      <c r="F3976" t="s">
        <v>16221</v>
      </c>
      <c r="G3976" t="s">
        <v>16277</v>
      </c>
      <c r="H3976" t="s">
        <v>16277</v>
      </c>
      <c r="I3976" t="s">
        <v>16353</v>
      </c>
      <c r="J3976" t="s">
        <v>16386</v>
      </c>
      <c r="K3976">
        <v>0.263</v>
      </c>
      <c r="L3976">
        <v>11465</v>
      </c>
      <c r="M3976">
        <v>1187</v>
      </c>
      <c r="N3976" t="s">
        <v>16393</v>
      </c>
      <c r="O3976" s="4">
        <v>143829</v>
      </c>
      <c r="P3976" s="4">
        <v>11654</v>
      </c>
      <c r="Q3976" s="4">
        <v>155483</v>
      </c>
      <c r="R3976" s="4">
        <v>466449</v>
      </c>
      <c r="S3976" t="s">
        <v>20286</v>
      </c>
      <c r="T3976" s="6">
        <v>34669</v>
      </c>
      <c r="U3976" s="4">
        <v>107000</v>
      </c>
      <c r="X3976" t="s">
        <v>3</v>
      </c>
      <c r="AA3976" s="5" t="str">
        <f>HYPERLINK("https://www.zillow.com/homes/331-N-WRIGHT-ST-NAPERVILLE-IL-60540_rb/","check listing")</f>
        <v>check listing</v>
      </c>
      <c r="AB3976" s="5" t="str">
        <f>HYPERLINK("https://propertylookup.dupagecounty.gov/Datalets/Datalet.aspx?UseSearch=no&amp;mode=sales&amp;pin=0818139006","sales record")</f>
        <v>sales record</v>
      </c>
      <c r="AC3976" t="s">
        <v>27873</v>
      </c>
      <c r="AD3976">
        <v>41.779182</v>
      </c>
      <c r="AE3976">
        <v>-88.139589</v>
      </c>
      <c r="AF3976" s="5" t="str">
        <f>HYPERLINK("https://www.google.com/maps/search/?api=1&amp;query=41.779182,-88.139589","map")</f>
        <v>map</v>
      </c>
    </row>
    <row r="3977" spans="1:32">
      <c r="A3977" t="s">
        <v>4027</v>
      </c>
      <c r="B3977" t="s">
        <v>11560</v>
      </c>
      <c r="C3977" t="s">
        <v>15651</v>
      </c>
      <c r="D3977" t="s">
        <v>16206</v>
      </c>
      <c r="E3977" t="s">
        <v>16218</v>
      </c>
      <c r="F3977" t="s">
        <v>16221</v>
      </c>
      <c r="G3977" t="s">
        <v>16277</v>
      </c>
      <c r="H3977" t="s">
        <v>16277</v>
      </c>
      <c r="I3977" t="s">
        <v>16353</v>
      </c>
      <c r="J3977" t="s">
        <v>16386</v>
      </c>
      <c r="K3977">
        <v>0.262</v>
      </c>
      <c r="L3977">
        <v>11410</v>
      </c>
      <c r="M3977">
        <v>890</v>
      </c>
      <c r="N3977" t="s">
        <v>16393</v>
      </c>
      <c r="O3977" s="4">
        <v>151713</v>
      </c>
      <c r="P3977" s="4">
        <v>59434</v>
      </c>
      <c r="Q3977" s="4">
        <v>211147</v>
      </c>
      <c r="R3977" s="4">
        <v>633441</v>
      </c>
      <c r="S3977" t="s">
        <v>20287</v>
      </c>
      <c r="T3977" s="6">
        <v>45415</v>
      </c>
      <c r="U3977" s="4">
        <v>450000</v>
      </c>
      <c r="V3977" t="s">
        <v>16232</v>
      </c>
      <c r="W3977" t="s">
        <v>25774</v>
      </c>
      <c r="X3977" t="s">
        <v>3</v>
      </c>
      <c r="AA3977" s="5" t="str">
        <f>HYPERLINK("https://www.zillow.com/homes/225-N-SLEIGHT-ST-NAPERVILLE-IL-605404741_rb/","check listing")</f>
        <v>check listing</v>
      </c>
      <c r="AB3977" s="5" t="str">
        <f>HYPERLINK("https://propertylookup.dupagecounty.gov/Datalets/Datalet.aspx?UseSearch=no&amp;mode=sales&amp;pin=0818137005","sales record")</f>
        <v>sales record</v>
      </c>
      <c r="AC3977" t="s">
        <v>27873</v>
      </c>
      <c r="AD3977">
        <v>41.77814</v>
      </c>
      <c r="AE3977">
        <v>-88.14112299999999</v>
      </c>
      <c r="AF3977" s="5" t="str">
        <f>HYPERLINK("https://www.google.com/maps/search/?api=1&amp;query=41.77814,-88.141123","map")</f>
        <v>map</v>
      </c>
    </row>
    <row r="3978" spans="1:32">
      <c r="A3978" t="s">
        <v>4028</v>
      </c>
      <c r="B3978" t="s">
        <v>11561</v>
      </c>
      <c r="C3978" t="s">
        <v>15654</v>
      </c>
      <c r="D3978" t="s">
        <v>16206</v>
      </c>
      <c r="E3978" t="s">
        <v>16218</v>
      </c>
      <c r="F3978" t="s">
        <v>16221</v>
      </c>
      <c r="G3978" t="s">
        <v>16277</v>
      </c>
      <c r="H3978" t="s">
        <v>16277</v>
      </c>
      <c r="I3978" t="s">
        <v>16353</v>
      </c>
      <c r="J3978" t="s">
        <v>16386</v>
      </c>
      <c r="K3978">
        <v>0.262</v>
      </c>
      <c r="L3978">
        <v>11406</v>
      </c>
      <c r="M3978">
        <v>2604</v>
      </c>
      <c r="N3978" t="s">
        <v>16393</v>
      </c>
      <c r="O3978" s="4">
        <v>143829</v>
      </c>
      <c r="P3978" s="4">
        <v>82124</v>
      </c>
      <c r="Q3978" s="4">
        <v>225953</v>
      </c>
      <c r="R3978" s="4">
        <v>677859</v>
      </c>
      <c r="S3978" t="s">
        <v>20288</v>
      </c>
      <c r="T3978" s="6">
        <v>44166</v>
      </c>
      <c r="U3978" s="4">
        <v>475000</v>
      </c>
      <c r="V3978" t="s">
        <v>23739</v>
      </c>
      <c r="W3978" t="s">
        <v>25775</v>
      </c>
      <c r="X3978" t="s">
        <v>3</v>
      </c>
      <c r="AA3978" s="5" t="str">
        <f>HYPERLINK("https://www.zillow.com/homes/429-NORTH-AVE-NAPERVILLE-IL-605404727_rb/","check listing")</f>
        <v>check listing</v>
      </c>
      <c r="AB3978" s="5" t="str">
        <f>HYPERLINK("https://propertylookup.dupagecounty.gov/Datalets/Datalet.aspx?UseSearch=no&amp;mode=sales&amp;pin=0818136012","sales record")</f>
        <v>sales record</v>
      </c>
      <c r="AC3978" t="s">
        <v>3</v>
      </c>
      <c r="AD3978">
        <v>41.778706</v>
      </c>
      <c r="AE3978">
        <v>-88.140968</v>
      </c>
      <c r="AF3978" s="5" t="str">
        <f>HYPERLINK("https://www.google.com/maps/search/?api=1&amp;query=41.778706,-88.140968","map")</f>
        <v>map</v>
      </c>
    </row>
    <row r="3979" spans="1:32">
      <c r="A3979" t="s">
        <v>4029</v>
      </c>
      <c r="B3979" t="s">
        <v>11562</v>
      </c>
      <c r="C3979" t="s">
        <v>15639</v>
      </c>
      <c r="D3979" t="s">
        <v>16206</v>
      </c>
      <c r="E3979" t="s">
        <v>16218</v>
      </c>
      <c r="F3979" t="s">
        <v>16221</v>
      </c>
      <c r="G3979" t="s">
        <v>16278</v>
      </c>
      <c r="H3979" t="s">
        <v>16277</v>
      </c>
      <c r="I3979" t="s">
        <v>16353</v>
      </c>
      <c r="J3979" t="s">
        <v>16386</v>
      </c>
      <c r="K3979">
        <v>0.261</v>
      </c>
      <c r="L3979">
        <v>11375</v>
      </c>
      <c r="N3979" t="s">
        <v>16393</v>
      </c>
      <c r="O3979" s="4">
        <v>62832</v>
      </c>
      <c r="P3979" s="4">
        <v>199994</v>
      </c>
      <c r="Q3979" s="4">
        <v>262826</v>
      </c>
      <c r="R3979" s="4">
        <v>788478</v>
      </c>
      <c r="S3979" t="s">
        <v>20289</v>
      </c>
      <c r="T3979" s="6">
        <v>43770</v>
      </c>
      <c r="U3979" s="4">
        <v>654712</v>
      </c>
      <c r="V3979" t="s">
        <v>16232</v>
      </c>
      <c r="W3979" t="s">
        <v>25776</v>
      </c>
      <c r="X3979" t="s">
        <v>3</v>
      </c>
      <c r="AA3979" s="5" t="str">
        <f>HYPERLINK("https://www.zillow.com/homes/1504-TAIL-LEAF-CT-NAPERVILLE-IL-605632183_rb/","check listing")</f>
        <v>check listing</v>
      </c>
      <c r="AB3979" s="5" t="str">
        <f>HYPERLINK("https://propertylookup.dupagecounty.gov/Datalets/Datalet.aspx?UseSearch=no&amp;mode=sales&amp;pin=0709105031","sales record")</f>
        <v>sales record</v>
      </c>
      <c r="AC3979" t="s">
        <v>3</v>
      </c>
      <c r="AD3979">
        <v>41.795898</v>
      </c>
      <c r="AE3979">
        <v>-88.215695</v>
      </c>
      <c r="AF3979" s="5" t="str">
        <f>HYPERLINK("https://www.google.com/maps/search/?api=1&amp;query=41.795898,-88.215695","map")</f>
        <v>map</v>
      </c>
    </row>
    <row r="3980" spans="1:32">
      <c r="A3980" t="s">
        <v>4030</v>
      </c>
      <c r="B3980" t="s">
        <v>11563</v>
      </c>
      <c r="C3980" t="s">
        <v>15475</v>
      </c>
      <c r="D3980" t="s">
        <v>16206</v>
      </c>
      <c r="E3980" t="s">
        <v>16218</v>
      </c>
      <c r="F3980" t="s">
        <v>16221</v>
      </c>
      <c r="G3980" t="s">
        <v>16278</v>
      </c>
      <c r="H3980" t="s">
        <v>16277</v>
      </c>
      <c r="I3980" t="s">
        <v>16353</v>
      </c>
      <c r="J3980" t="s">
        <v>16386</v>
      </c>
      <c r="K3980">
        <v>0.261</v>
      </c>
      <c r="L3980">
        <v>11363</v>
      </c>
      <c r="N3980" t="s">
        <v>16393</v>
      </c>
      <c r="O3980" s="4">
        <v>69447</v>
      </c>
      <c r="P3980" s="4">
        <v>146218</v>
      </c>
      <c r="Q3980" s="4">
        <v>215665</v>
      </c>
      <c r="R3980" s="4">
        <v>646995</v>
      </c>
      <c r="S3980" t="s">
        <v>20290</v>
      </c>
      <c r="T3980" s="6">
        <v>42826</v>
      </c>
      <c r="U3980" s="4">
        <v>462771</v>
      </c>
      <c r="V3980" t="s">
        <v>16232</v>
      </c>
      <c r="W3980" t="s">
        <v>25777</v>
      </c>
      <c r="X3980" t="s">
        <v>3</v>
      </c>
      <c r="AA3980" s="5" t="str">
        <f>HYPERLINK("https://www.zillow.com/homes/2508-BASIN-TRAIL-LN-NAPERVILLE-IL-60540_rb/","check listing")</f>
        <v>check listing</v>
      </c>
      <c r="AB3980" s="5" t="str">
        <f>HYPERLINK("https://propertylookup.dupagecounty.gov/Datalets/Datalet.aspx?UseSearch=no&amp;mode=sales&amp;pin=0709110008","sales record")</f>
        <v>sales record</v>
      </c>
      <c r="AC3980" t="s">
        <v>3</v>
      </c>
      <c r="AD3980">
        <v>41.795404</v>
      </c>
      <c r="AE3980">
        <v>-88.222683</v>
      </c>
      <c r="AF3980" s="5" t="str">
        <f>HYPERLINK("https://www.google.com/maps/search/?api=1&amp;query=41.795404,-88.222683","map")</f>
        <v>map</v>
      </c>
    </row>
    <row r="3981" spans="1:32">
      <c r="A3981" t="s">
        <v>4031</v>
      </c>
      <c r="B3981" t="s">
        <v>11564</v>
      </c>
      <c r="C3981" t="s">
        <v>15475</v>
      </c>
      <c r="D3981" t="s">
        <v>16206</v>
      </c>
      <c r="E3981" t="s">
        <v>16218</v>
      </c>
      <c r="F3981" t="s">
        <v>16221</v>
      </c>
      <c r="G3981" t="s">
        <v>16277</v>
      </c>
      <c r="H3981" t="s">
        <v>16277</v>
      </c>
      <c r="I3981" t="s">
        <v>16353</v>
      </c>
      <c r="J3981" t="s">
        <v>16386</v>
      </c>
      <c r="K3981">
        <v>0.26</v>
      </c>
      <c r="L3981">
        <v>11307</v>
      </c>
      <c r="M3981">
        <v>2449</v>
      </c>
      <c r="N3981" t="s">
        <v>16393</v>
      </c>
      <c r="O3981" s="4">
        <v>158349</v>
      </c>
      <c r="P3981" s="4">
        <v>128227</v>
      </c>
      <c r="Q3981" s="4">
        <v>286576</v>
      </c>
      <c r="R3981" s="4">
        <v>859728</v>
      </c>
      <c r="S3981" t="s">
        <v>20291</v>
      </c>
      <c r="T3981" s="6">
        <v>36831</v>
      </c>
      <c r="U3981" s="4">
        <v>387000</v>
      </c>
      <c r="V3981" t="s">
        <v>23739</v>
      </c>
      <c r="W3981" t="s">
        <v>25778</v>
      </c>
      <c r="X3981" t="s">
        <v>3</v>
      </c>
      <c r="AA3981" s="5" t="str">
        <f>HYPERLINK("https://www.zillow.com/homes/105-S-SLEIGHT-ST-NAPERVILLE-IL-60540_rb/","check listing")</f>
        <v>check listing</v>
      </c>
      <c r="AB3981" s="5" t="str">
        <f>HYPERLINK("https://propertylookup.dupagecounty.gov/Datalets/Datalet.aspx?UseSearch=no&amp;mode=sales&amp;pin=0818321011","sales record")</f>
        <v>sales record</v>
      </c>
      <c r="AC3981" t="s">
        <v>3</v>
      </c>
      <c r="AD3981">
        <v>41.773774</v>
      </c>
      <c r="AE3981">
        <v>-88.141329</v>
      </c>
      <c r="AF3981" s="5" t="str">
        <f>HYPERLINK("https://www.google.com/maps/search/?api=1&amp;query=41.773774,-88.141329","map")</f>
        <v>map</v>
      </c>
    </row>
    <row r="3982" spans="1:32">
      <c r="A3982" t="s">
        <v>4032</v>
      </c>
      <c r="B3982" t="s">
        <v>11565</v>
      </c>
      <c r="C3982" t="s">
        <v>15475</v>
      </c>
      <c r="D3982" t="s">
        <v>16206</v>
      </c>
      <c r="E3982" t="s">
        <v>16218</v>
      </c>
      <c r="F3982" t="s">
        <v>16221</v>
      </c>
      <c r="G3982" t="s">
        <v>16277</v>
      </c>
      <c r="H3982" t="s">
        <v>16277</v>
      </c>
      <c r="I3982" t="s">
        <v>16353</v>
      </c>
      <c r="J3982" t="s">
        <v>16386</v>
      </c>
      <c r="K3982">
        <v>0.259</v>
      </c>
      <c r="L3982">
        <v>11292</v>
      </c>
      <c r="M3982">
        <v>2109</v>
      </c>
      <c r="N3982" t="s">
        <v>16393</v>
      </c>
      <c r="O3982" s="4">
        <v>158325</v>
      </c>
      <c r="P3982" s="4">
        <v>184487</v>
      </c>
      <c r="Q3982" s="4">
        <v>342812</v>
      </c>
      <c r="R3982" s="4">
        <v>1028436</v>
      </c>
      <c r="S3982" t="s">
        <v>20292</v>
      </c>
      <c r="T3982" s="6">
        <v>41821</v>
      </c>
      <c r="U3982" s="4">
        <v>715000</v>
      </c>
      <c r="V3982" t="s">
        <v>23739</v>
      </c>
      <c r="W3982" t="s">
        <v>25779</v>
      </c>
      <c r="X3982" t="s">
        <v>3</v>
      </c>
      <c r="AA3982" s="5" t="str">
        <f>HYPERLINK("https://www.zillow.com/homes/111-S-SLEIGHT-ST-NAPERVILLE-IL-60540_rb/","check listing")</f>
        <v>check listing</v>
      </c>
      <c r="AB3982" s="5" t="str">
        <f>HYPERLINK("https://propertylookup.dupagecounty.gov/Datalets/Datalet.aspx?UseSearch=no&amp;mode=sales&amp;pin=0818321012","sales record")</f>
        <v>sales record</v>
      </c>
      <c r="AC3982" t="s">
        <v>27873</v>
      </c>
      <c r="AD3982">
        <v>41.773499</v>
      </c>
      <c r="AE3982">
        <v>-88.141345</v>
      </c>
      <c r="AF3982" s="5" t="str">
        <f>HYPERLINK("https://www.google.com/maps/search/?api=1&amp;query=41.773499,-88.141345","map")</f>
        <v>map</v>
      </c>
    </row>
    <row r="3983" spans="1:32">
      <c r="A3983" t="s">
        <v>4033</v>
      </c>
      <c r="B3983" t="s">
        <v>11566</v>
      </c>
      <c r="C3983" t="s">
        <v>15655</v>
      </c>
      <c r="D3983" t="s">
        <v>16206</v>
      </c>
      <c r="E3983" t="s">
        <v>16218</v>
      </c>
      <c r="F3983" t="s">
        <v>16221</v>
      </c>
      <c r="G3983" t="s">
        <v>16277</v>
      </c>
      <c r="H3983" t="s">
        <v>16277</v>
      </c>
      <c r="I3983" t="s">
        <v>16353</v>
      </c>
      <c r="J3983" t="s">
        <v>16386</v>
      </c>
      <c r="K3983">
        <v>0.259</v>
      </c>
      <c r="L3983">
        <v>11287</v>
      </c>
      <c r="M3983">
        <v>552</v>
      </c>
      <c r="N3983" t="s">
        <v>16393</v>
      </c>
      <c r="O3983" s="4">
        <v>150928</v>
      </c>
      <c r="P3983" s="4">
        <v>395516</v>
      </c>
      <c r="Q3983" s="4">
        <v>546444</v>
      </c>
      <c r="R3983" s="4">
        <v>1639332</v>
      </c>
      <c r="S3983" t="s">
        <v>20293</v>
      </c>
      <c r="T3983" s="6">
        <v>44256</v>
      </c>
      <c r="U3983" s="4">
        <v>1843000</v>
      </c>
      <c r="V3983" t="s">
        <v>23739</v>
      </c>
      <c r="W3983" t="s">
        <v>25780</v>
      </c>
      <c r="X3983" t="s">
        <v>3</v>
      </c>
      <c r="AA3983" s="5" t="str">
        <f>HYPERLINK("https://www.zillow.com/homes/30-S-ELLSWORTH-ST-NAPERVILLE-IL-605404920_rb/","check listing")</f>
        <v>check listing</v>
      </c>
      <c r="AB3983" s="5" t="str">
        <f>HYPERLINK("https://propertylookup.dupagecounty.gov/Datalets/Datalet.aspx?UseSearch=no&amp;mode=sales&amp;pin=0818314014","sales record")</f>
        <v>sales record</v>
      </c>
      <c r="AC3983" t="s">
        <v>3</v>
      </c>
      <c r="AD3983">
        <v>41.774162</v>
      </c>
      <c r="AE3983">
        <v>-88.14474300000001</v>
      </c>
      <c r="AF3983" s="5" t="str">
        <f>HYPERLINK("https://www.google.com/maps/search/?api=1&amp;query=41.774162,-88.144743","map")</f>
        <v>map</v>
      </c>
    </row>
    <row r="3984" spans="1:32">
      <c r="A3984" t="s">
        <v>4034</v>
      </c>
      <c r="B3984" t="s">
        <v>11567</v>
      </c>
      <c r="C3984" t="s">
        <v>15656</v>
      </c>
      <c r="D3984" t="s">
        <v>16206</v>
      </c>
      <c r="E3984" t="s">
        <v>16218</v>
      </c>
      <c r="F3984" t="s">
        <v>16221</v>
      </c>
      <c r="G3984" t="s">
        <v>16278</v>
      </c>
      <c r="H3984" t="s">
        <v>16277</v>
      </c>
      <c r="I3984" t="s">
        <v>16353</v>
      </c>
      <c r="J3984" t="s">
        <v>16386</v>
      </c>
      <c r="K3984">
        <v>0.259</v>
      </c>
      <c r="L3984">
        <v>11286</v>
      </c>
      <c r="N3984" t="s">
        <v>16393</v>
      </c>
      <c r="O3984" s="4">
        <v>62832</v>
      </c>
      <c r="P3984" s="4">
        <v>211015</v>
      </c>
      <c r="Q3984" s="4">
        <v>273847</v>
      </c>
      <c r="R3984" s="4">
        <v>821541</v>
      </c>
      <c r="S3984" t="s">
        <v>20294</v>
      </c>
      <c r="T3984" s="6">
        <v>42887</v>
      </c>
      <c r="U3984" s="4">
        <v>616764</v>
      </c>
      <c r="V3984" t="s">
        <v>16232</v>
      </c>
      <c r="W3984" t="s">
        <v>20294</v>
      </c>
      <c r="X3984" t="s">
        <v>3</v>
      </c>
      <c r="AA3984" s="5" t="str">
        <f>HYPERLINK("https://www.zillow.com/homes/1604-BAYOU-PATH-DR-NAPERVILLE-IL-605631718_rb/","check listing")</f>
        <v>check listing</v>
      </c>
      <c r="AB3984" s="5" t="str">
        <f>HYPERLINK("https://propertylookup.dupagecounty.gov/Datalets/Datalet.aspx?UseSearch=no&amp;mode=sales&amp;pin=0709113004","sales record")</f>
        <v>sales record</v>
      </c>
      <c r="AC3984" t="s">
        <v>3</v>
      </c>
      <c r="AD3984">
        <v>41.795941</v>
      </c>
      <c r="AE3984">
        <v>-88.218114</v>
      </c>
      <c r="AF3984" s="5" t="str">
        <f>HYPERLINK("https://www.google.com/maps/search/?api=1&amp;query=41.795941,-88.218114","map")</f>
        <v>map</v>
      </c>
    </row>
    <row r="3985" spans="1:32">
      <c r="A3985" t="s">
        <v>4035</v>
      </c>
      <c r="B3985" t="s">
        <v>11568</v>
      </c>
      <c r="C3985" t="s">
        <v>15657</v>
      </c>
      <c r="D3985" t="s">
        <v>16206</v>
      </c>
      <c r="E3985" t="s">
        <v>16218</v>
      </c>
      <c r="F3985" t="s">
        <v>16221</v>
      </c>
      <c r="G3985" t="s">
        <v>16277</v>
      </c>
      <c r="H3985" t="s">
        <v>16277</v>
      </c>
      <c r="I3985" t="s">
        <v>16353</v>
      </c>
      <c r="J3985" t="s">
        <v>16386</v>
      </c>
      <c r="K3985">
        <v>0.259</v>
      </c>
      <c r="L3985">
        <v>11283</v>
      </c>
      <c r="M3985">
        <v>4451</v>
      </c>
      <c r="N3985" t="s">
        <v>16393</v>
      </c>
      <c r="O3985" s="4">
        <v>149561</v>
      </c>
      <c r="P3985" s="4">
        <v>372232</v>
      </c>
      <c r="Q3985" s="4">
        <v>521793</v>
      </c>
      <c r="R3985" s="4">
        <v>1565379</v>
      </c>
      <c r="S3985" t="s">
        <v>20295</v>
      </c>
      <c r="T3985" s="6">
        <v>43466</v>
      </c>
      <c r="U3985" s="4">
        <v>1155000</v>
      </c>
      <c r="V3985" t="s">
        <v>23739</v>
      </c>
      <c r="W3985" t="s">
        <v>25781</v>
      </c>
      <c r="X3985" t="s">
        <v>3</v>
      </c>
      <c r="AA3985" s="5" t="str">
        <f>HYPERLINK("https://www.zillow.com/homes/409-E-8TH-AVE-NAPERVILLE-IL-605633205_rb/","check listing")</f>
        <v>check listing</v>
      </c>
      <c r="AB3985" s="5" t="str">
        <f>HYPERLINK("https://propertylookup.dupagecounty.gov/Datalets/Datalet.aspx?UseSearch=no&amp;mode=sales&amp;pin=0818118002","sales record")</f>
        <v>sales record</v>
      </c>
      <c r="AC3985" t="s">
        <v>3</v>
      </c>
      <c r="AD3985">
        <v>41.784209</v>
      </c>
      <c r="AE3985">
        <v>-88.14104500000001</v>
      </c>
      <c r="AF3985" s="5" t="str">
        <f>HYPERLINK("https://www.google.com/maps/search/?api=1&amp;query=41.784209,-88.141045","map")</f>
        <v>map</v>
      </c>
    </row>
    <row r="3986" spans="1:32">
      <c r="A3986" t="s">
        <v>4036</v>
      </c>
      <c r="B3986" t="s">
        <v>11569</v>
      </c>
      <c r="C3986" t="s">
        <v>15475</v>
      </c>
      <c r="D3986" t="s">
        <v>16206</v>
      </c>
      <c r="E3986" t="s">
        <v>16218</v>
      </c>
      <c r="F3986" t="s">
        <v>16221</v>
      </c>
      <c r="G3986" t="s">
        <v>16277</v>
      </c>
      <c r="H3986" t="s">
        <v>16277</v>
      </c>
      <c r="I3986" t="s">
        <v>16353</v>
      </c>
      <c r="J3986" t="s">
        <v>16386</v>
      </c>
      <c r="K3986">
        <v>0.259</v>
      </c>
      <c r="L3986">
        <v>11265</v>
      </c>
      <c r="M3986">
        <v>3134</v>
      </c>
      <c r="N3986" t="s">
        <v>16393</v>
      </c>
      <c r="O3986" s="4">
        <v>152956</v>
      </c>
      <c r="P3986" s="4">
        <v>334337</v>
      </c>
      <c r="Q3986" s="4">
        <v>487293</v>
      </c>
      <c r="R3986" s="4">
        <v>1461879</v>
      </c>
      <c r="S3986" t="s">
        <v>20296</v>
      </c>
      <c r="T3986" s="6">
        <v>41334</v>
      </c>
      <c r="U3986" s="4">
        <v>1010000</v>
      </c>
      <c r="V3986" t="s">
        <v>23739</v>
      </c>
      <c r="W3986" t="s">
        <v>25782</v>
      </c>
      <c r="X3986" t="s">
        <v>3</v>
      </c>
      <c r="AA3986" s="5" t="str">
        <f>HYPERLINK("https://www.zillow.com/homes/529-W-FRANKLIN-AVE-NAPERVILLE-IL-60540_rb/","check listing")</f>
        <v>check listing</v>
      </c>
      <c r="AB3986" s="5" t="str">
        <f>HYPERLINK("https://propertylookup.dupagecounty.gov/Datalets/Datalet.aspx?UseSearch=no&amp;mode=sales&amp;pin=0713305004","sales record")</f>
        <v>sales record</v>
      </c>
      <c r="AC3986" t="s">
        <v>3</v>
      </c>
      <c r="AD3986">
        <v>41.776457</v>
      </c>
      <c r="AE3986">
        <v>-88.157104</v>
      </c>
      <c r="AF3986" s="5" t="str">
        <f>HYPERLINK("https://www.google.com/maps/search/?api=1&amp;query=41.776457,-88.157104","map")</f>
        <v>map</v>
      </c>
    </row>
    <row r="3987" spans="1:32">
      <c r="A3987" t="s">
        <v>4037</v>
      </c>
      <c r="B3987" t="s">
        <v>11570</v>
      </c>
      <c r="C3987" t="s">
        <v>15478</v>
      </c>
      <c r="D3987" t="s">
        <v>16206</v>
      </c>
      <c r="E3987" t="s">
        <v>16218</v>
      </c>
      <c r="F3987" t="s">
        <v>16221</v>
      </c>
      <c r="G3987" t="s">
        <v>16277</v>
      </c>
      <c r="H3987" t="s">
        <v>16277</v>
      </c>
      <c r="I3987" t="s">
        <v>16353</v>
      </c>
      <c r="J3987" t="s">
        <v>16386</v>
      </c>
      <c r="K3987">
        <v>0.259</v>
      </c>
      <c r="L3987">
        <v>11262</v>
      </c>
      <c r="M3987">
        <v>2441</v>
      </c>
      <c r="N3987" t="s">
        <v>16393</v>
      </c>
      <c r="O3987" s="4">
        <v>87308</v>
      </c>
      <c r="P3987" s="4">
        <v>96926</v>
      </c>
      <c r="Q3987" s="4">
        <v>184234</v>
      </c>
      <c r="R3987" s="4">
        <v>552702</v>
      </c>
      <c r="S3987" t="s">
        <v>20297</v>
      </c>
      <c r="T3987" s="6">
        <v>35855</v>
      </c>
      <c r="U3987" s="4">
        <v>193000</v>
      </c>
      <c r="X3987" t="s">
        <v>3</v>
      </c>
      <c r="AA3987" s="5" t="str">
        <f>HYPERLINK("https://www.zillow.com/homes/92224-N-BRAINARD-ST-NAPERVILLE-IL-60563_rb/","check listing")</f>
        <v>check listing</v>
      </c>
      <c r="AB3987" s="5" t="str">
        <f>HYPERLINK("https://propertylookup.dupagecounty.gov/Datalets/Datalet.aspx?UseSearch=no&amp;mode=sales&amp;pin=0807310011","sales record")</f>
        <v>sales record</v>
      </c>
      <c r="AC3987" t="s">
        <v>3</v>
      </c>
      <c r="AD3987">
        <v>41.786363</v>
      </c>
      <c r="AE3987">
        <v>-88.14239600000001</v>
      </c>
      <c r="AF3987" s="5" t="str">
        <f>HYPERLINK("https://www.google.com/maps/search/?api=1&amp;query=41.786363,-88.142396","map")</f>
        <v>map</v>
      </c>
    </row>
    <row r="3988" spans="1:32">
      <c r="A3988" t="s">
        <v>4038</v>
      </c>
      <c r="B3988" t="s">
        <v>11571</v>
      </c>
      <c r="C3988" t="s">
        <v>15478</v>
      </c>
      <c r="D3988" t="s">
        <v>16206</v>
      </c>
      <c r="E3988" t="s">
        <v>16218</v>
      </c>
      <c r="F3988" t="s">
        <v>16221</v>
      </c>
      <c r="G3988" t="s">
        <v>16278</v>
      </c>
      <c r="H3988" t="s">
        <v>16277</v>
      </c>
      <c r="I3988" t="s">
        <v>16353</v>
      </c>
      <c r="J3988" t="s">
        <v>16386</v>
      </c>
      <c r="K3988">
        <v>0.258</v>
      </c>
      <c r="L3988">
        <v>11258</v>
      </c>
      <c r="N3988" t="s">
        <v>16393</v>
      </c>
      <c r="O3988" s="4">
        <v>66140</v>
      </c>
      <c r="P3988" s="4">
        <v>173850</v>
      </c>
      <c r="Q3988" s="4">
        <v>239990</v>
      </c>
      <c r="R3988" s="4">
        <v>719970</v>
      </c>
      <c r="S3988" t="s">
        <v>20298</v>
      </c>
      <c r="T3988" s="6">
        <v>43435</v>
      </c>
      <c r="U3988" s="4">
        <v>546410</v>
      </c>
      <c r="V3988" t="s">
        <v>16232</v>
      </c>
      <c r="W3988" t="s">
        <v>25783</v>
      </c>
      <c r="X3988" t="s">
        <v>3</v>
      </c>
      <c r="AA3988" s="5" t="str">
        <f>HYPERLINK("https://www.zillow.com/homes/1364-BAYOU-PATH-CT-NAPERVILLE-IL-60563_rb/","check listing")</f>
        <v>check listing</v>
      </c>
      <c r="AB3988" s="5" t="str">
        <f>HYPERLINK("https://propertylookup.dupagecounty.gov/Datalets/Datalet.aspx?UseSearch=no&amp;mode=sales&amp;pin=0709311098","sales record")</f>
        <v>sales record</v>
      </c>
      <c r="AC3988" t="s">
        <v>3</v>
      </c>
      <c r="AD3988">
        <v>41.786774</v>
      </c>
      <c r="AE3988">
        <v>-88.217879</v>
      </c>
      <c r="AF3988" s="5" t="str">
        <f>HYPERLINK("https://www.google.com/maps/search/?api=1&amp;query=41.786774,-88.217879","map")</f>
        <v>map</v>
      </c>
    </row>
    <row r="3989" spans="1:32">
      <c r="A3989" t="s">
        <v>4039</v>
      </c>
      <c r="B3989" t="s">
        <v>11572</v>
      </c>
      <c r="C3989" t="s">
        <v>15475</v>
      </c>
      <c r="D3989" t="s">
        <v>16206</v>
      </c>
      <c r="E3989" t="s">
        <v>16218</v>
      </c>
      <c r="F3989" t="s">
        <v>16221</v>
      </c>
      <c r="G3989" t="s">
        <v>16277</v>
      </c>
      <c r="H3989" t="s">
        <v>16277</v>
      </c>
      <c r="I3989" t="s">
        <v>16353</v>
      </c>
      <c r="J3989" t="s">
        <v>16386</v>
      </c>
      <c r="K3989">
        <v>0.258</v>
      </c>
      <c r="L3989">
        <v>11250</v>
      </c>
      <c r="M3989">
        <v>3166</v>
      </c>
      <c r="N3989" t="s">
        <v>16393</v>
      </c>
      <c r="O3989" s="4">
        <v>168090</v>
      </c>
      <c r="P3989" s="4">
        <v>75318</v>
      </c>
      <c r="Q3989" s="4">
        <v>243408</v>
      </c>
      <c r="R3989" s="4">
        <v>730224</v>
      </c>
      <c r="S3989" t="s">
        <v>20299</v>
      </c>
      <c r="T3989" s="6">
        <v>45440</v>
      </c>
      <c r="U3989" s="4">
        <v>845000</v>
      </c>
      <c r="V3989" t="s">
        <v>23739</v>
      </c>
      <c r="W3989" t="s">
        <v>25784</v>
      </c>
      <c r="X3989" t="s">
        <v>3</v>
      </c>
      <c r="AA3989" s="5" t="str">
        <f>HYPERLINK("https://www.zillow.com/homes/565-S-MAIN-ST-NAPERVILLE-IL-60540_rb/","check listing")</f>
        <v>check listing</v>
      </c>
      <c r="AB3989" s="5" t="str">
        <f>HYPERLINK("https://propertylookup.dupagecounty.gov/Datalets/Datalet.aspx?UseSearch=no&amp;mode=sales&amp;pin=0724202024","sales record")</f>
        <v>sales record</v>
      </c>
      <c r="AC3989" t="s">
        <v>3</v>
      </c>
      <c r="AD3989">
        <v>41.768103</v>
      </c>
      <c r="AE3989">
        <v>-88.150272</v>
      </c>
      <c r="AF3989" s="5" t="str">
        <f>HYPERLINK("https://www.google.com/maps/search/?api=1&amp;query=41.768103,-88.150272","map")</f>
        <v>map</v>
      </c>
    </row>
    <row r="3990" spans="1:32">
      <c r="A3990" t="s">
        <v>4040</v>
      </c>
      <c r="B3990" t="s">
        <v>11573</v>
      </c>
      <c r="C3990" t="s">
        <v>15658</v>
      </c>
      <c r="D3990" t="s">
        <v>16206</v>
      </c>
      <c r="E3990" t="s">
        <v>16218</v>
      </c>
      <c r="F3990" t="s">
        <v>16221</v>
      </c>
      <c r="G3990" t="s">
        <v>16277</v>
      </c>
      <c r="H3990" t="s">
        <v>16277</v>
      </c>
      <c r="I3990" t="s">
        <v>16353</v>
      </c>
      <c r="J3990" t="s">
        <v>16386</v>
      </c>
      <c r="K3990">
        <v>0.258</v>
      </c>
      <c r="L3990">
        <v>11239</v>
      </c>
      <c r="M3990">
        <v>3627</v>
      </c>
      <c r="N3990" t="s">
        <v>16393</v>
      </c>
      <c r="O3990" s="4">
        <v>149965</v>
      </c>
      <c r="P3990" s="4">
        <v>470400</v>
      </c>
      <c r="Q3990" s="4">
        <v>620365</v>
      </c>
      <c r="R3990" s="4">
        <v>1861095</v>
      </c>
      <c r="S3990" t="s">
        <v>20300</v>
      </c>
      <c r="T3990" s="6">
        <v>42887</v>
      </c>
      <c r="U3990" s="4">
        <v>1230000</v>
      </c>
      <c r="V3990" t="s">
        <v>23739</v>
      </c>
      <c r="W3990" t="s">
        <v>25785</v>
      </c>
      <c r="X3990" t="s">
        <v>3</v>
      </c>
      <c r="AA3990" s="5" t="str">
        <f>HYPERLINK("https://www.zillow.com/homes/14-N-FREMONT-ST-NAPERVILLE-IL-605404323_rb/","check listing")</f>
        <v>check listing</v>
      </c>
      <c r="AB3990" s="5" t="str">
        <f>HYPERLINK("https://propertylookup.dupagecounty.gov/Datalets/Datalet.aspx?UseSearch=no&amp;mode=sales&amp;pin=0713304005","sales record")</f>
        <v>sales record</v>
      </c>
      <c r="AC3990" t="s">
        <v>3</v>
      </c>
      <c r="AD3990">
        <v>41.775858</v>
      </c>
      <c r="AE3990">
        <v>-88.158674</v>
      </c>
      <c r="AF3990" s="5" t="str">
        <f>HYPERLINK("https://www.google.com/maps/search/?api=1&amp;query=41.775858,-88.158674","map")</f>
        <v>map</v>
      </c>
    </row>
    <row r="3991" spans="1:32">
      <c r="A3991" t="s">
        <v>4041</v>
      </c>
      <c r="B3991" t="s">
        <v>11574</v>
      </c>
      <c r="C3991" t="s">
        <v>15475</v>
      </c>
      <c r="D3991" t="s">
        <v>16206</v>
      </c>
      <c r="E3991" t="s">
        <v>16218</v>
      </c>
      <c r="F3991" t="s">
        <v>16221</v>
      </c>
      <c r="G3991" t="s">
        <v>16277</v>
      </c>
      <c r="H3991" t="s">
        <v>16277</v>
      </c>
      <c r="I3991" t="s">
        <v>16353</v>
      </c>
      <c r="J3991" t="s">
        <v>16386</v>
      </c>
      <c r="K3991">
        <v>0.257</v>
      </c>
      <c r="L3991">
        <v>11215</v>
      </c>
      <c r="M3991">
        <v>2306</v>
      </c>
      <c r="N3991" t="s">
        <v>16393</v>
      </c>
      <c r="O3991" s="4">
        <v>158325</v>
      </c>
      <c r="P3991" s="4">
        <v>201171</v>
      </c>
      <c r="Q3991" s="4">
        <v>359496</v>
      </c>
      <c r="R3991" s="4">
        <v>1078488</v>
      </c>
      <c r="S3991" t="s">
        <v>20301</v>
      </c>
      <c r="X3991" t="s">
        <v>3</v>
      </c>
      <c r="AA3991" s="5" t="str">
        <f>HYPERLINK("https://www.zillow.com/homes/120-N-CENTER-ST-NAPERVILLE-IL-60540_rb/","check listing")</f>
        <v>check listing</v>
      </c>
      <c r="AB3991" s="5" t="str">
        <f>HYPERLINK("https://propertylookup.dupagecounty.gov/Datalets/Datalet.aspx?UseSearch=no&amp;mode=sales&amp;pin=0818301017","sales record")</f>
        <v>sales record</v>
      </c>
      <c r="AC3991" t="s">
        <v>3</v>
      </c>
      <c r="AD3991">
        <v>41.776539</v>
      </c>
      <c r="AE3991">
        <v>-88.145927</v>
      </c>
      <c r="AF3991" s="5" t="str">
        <f>HYPERLINK("https://www.google.com/maps/search/?api=1&amp;query=41.776539,-88.145927","map")</f>
        <v>map</v>
      </c>
    </row>
    <row r="3992" spans="1:32">
      <c r="A3992" t="s">
        <v>4042</v>
      </c>
      <c r="B3992" t="s">
        <v>11575</v>
      </c>
      <c r="C3992" t="s">
        <v>15629</v>
      </c>
      <c r="D3992" t="s">
        <v>16206</v>
      </c>
      <c r="E3992" t="s">
        <v>16218</v>
      </c>
      <c r="F3992" t="s">
        <v>16221</v>
      </c>
      <c r="G3992" t="s">
        <v>16278</v>
      </c>
      <c r="H3992" t="s">
        <v>16277</v>
      </c>
      <c r="I3992" t="s">
        <v>16353</v>
      </c>
      <c r="J3992" t="s">
        <v>16386</v>
      </c>
      <c r="K3992">
        <v>0.257</v>
      </c>
      <c r="L3992">
        <v>11210</v>
      </c>
      <c r="N3992" t="s">
        <v>16393</v>
      </c>
      <c r="O3992" s="4">
        <v>62830</v>
      </c>
      <c r="P3992" s="4">
        <v>197620</v>
      </c>
      <c r="Q3992" s="4">
        <v>260450</v>
      </c>
      <c r="R3992" s="4">
        <v>781350</v>
      </c>
      <c r="S3992" t="s">
        <v>20302</v>
      </c>
      <c r="T3992" s="6">
        <v>43252</v>
      </c>
      <c r="U3992" s="4">
        <v>564452</v>
      </c>
      <c r="V3992" t="s">
        <v>16232</v>
      </c>
      <c r="W3992" t="s">
        <v>25786</v>
      </c>
      <c r="X3992" t="s">
        <v>3</v>
      </c>
      <c r="AA3992" s="5" t="str">
        <f>HYPERLINK("https://www.zillow.com/homes/1352-BAYOU-PATH-CT-NAPERVILLE-IL-605633609_rb/","check listing")</f>
        <v>check listing</v>
      </c>
      <c r="AB3992" s="5" t="str">
        <f>HYPERLINK("https://propertylookup.dupagecounty.gov/Datalets/Datalet.aspx?UseSearch=no&amp;mode=sales&amp;pin=0709311095","sales record")</f>
        <v>sales record</v>
      </c>
      <c r="AC3992" t="s">
        <v>3</v>
      </c>
      <c r="AD3992">
        <v>41.786077</v>
      </c>
      <c r="AE3992">
        <v>-88.21809399999999</v>
      </c>
      <c r="AF3992" s="5" t="str">
        <f>HYPERLINK("https://www.google.com/maps/search/?api=1&amp;query=41.786077,-88.218094","map")</f>
        <v>map</v>
      </c>
    </row>
    <row r="3993" spans="1:32">
      <c r="A3993" t="s">
        <v>4043</v>
      </c>
      <c r="B3993" t="s">
        <v>11576</v>
      </c>
      <c r="C3993" t="s">
        <v>15659</v>
      </c>
      <c r="D3993" t="s">
        <v>16206</v>
      </c>
      <c r="E3993" t="s">
        <v>16218</v>
      </c>
      <c r="F3993" t="s">
        <v>16221</v>
      </c>
      <c r="G3993" t="s">
        <v>16277</v>
      </c>
      <c r="H3993" t="s">
        <v>16277</v>
      </c>
      <c r="I3993" t="s">
        <v>16353</v>
      </c>
      <c r="J3993" t="s">
        <v>16386</v>
      </c>
      <c r="K3993">
        <v>0.257</v>
      </c>
      <c r="L3993">
        <v>11189</v>
      </c>
      <c r="M3993">
        <v>2771</v>
      </c>
      <c r="N3993" t="s">
        <v>16393</v>
      </c>
      <c r="O3993" s="4">
        <v>149965</v>
      </c>
      <c r="P3993" s="4">
        <v>508748</v>
      </c>
      <c r="Q3993" s="4">
        <v>658713</v>
      </c>
      <c r="R3993" s="4">
        <v>1976139</v>
      </c>
      <c r="S3993" t="s">
        <v>20303</v>
      </c>
      <c r="T3993" s="6">
        <v>44501</v>
      </c>
      <c r="U3993" s="4">
        <v>525000</v>
      </c>
      <c r="V3993" t="s">
        <v>23739</v>
      </c>
      <c r="W3993" t="s">
        <v>25787</v>
      </c>
      <c r="X3993" t="s">
        <v>3</v>
      </c>
      <c r="AA3993" s="5" t="str">
        <f>HYPERLINK("https://www.zillow.com/homes/520-W-JEFFERSON-AVE-NAPERVILLE-IL-605405219_rb/","check listing")</f>
        <v>check listing</v>
      </c>
      <c r="AB3993" s="5" t="str">
        <f>HYPERLINK("https://propertylookup.dupagecounty.gov/Datalets/Datalet.aspx?UseSearch=no&amp;mode=sales&amp;pin=0713425001","sales record")</f>
        <v>sales record</v>
      </c>
      <c r="AC3993" t="s">
        <v>3</v>
      </c>
      <c r="AD3993">
        <v>41.772973</v>
      </c>
      <c r="AE3993">
        <v>-88.157096</v>
      </c>
      <c r="AF3993" s="5" t="str">
        <f>HYPERLINK("https://www.google.com/maps/search/?api=1&amp;query=41.772973,-88.157096","map")</f>
        <v>map</v>
      </c>
    </row>
    <row r="3994" spans="1:32">
      <c r="A3994" t="s">
        <v>4044</v>
      </c>
      <c r="B3994" t="s">
        <v>11577</v>
      </c>
      <c r="C3994" t="s">
        <v>15660</v>
      </c>
      <c r="D3994" t="s">
        <v>16206</v>
      </c>
      <c r="E3994" t="s">
        <v>16218</v>
      </c>
      <c r="F3994" t="s">
        <v>16221</v>
      </c>
      <c r="G3994" t="s">
        <v>16277</v>
      </c>
      <c r="H3994" t="s">
        <v>16277</v>
      </c>
      <c r="I3994" t="s">
        <v>16353</v>
      </c>
      <c r="J3994" t="s">
        <v>16386</v>
      </c>
      <c r="K3994">
        <v>0.257</v>
      </c>
      <c r="L3994">
        <v>11186</v>
      </c>
      <c r="M3994">
        <v>3554</v>
      </c>
      <c r="N3994" t="s">
        <v>16393</v>
      </c>
      <c r="O3994" s="4">
        <v>158325</v>
      </c>
      <c r="P3994" s="4">
        <v>218092</v>
      </c>
      <c r="Q3994" s="4">
        <v>376417</v>
      </c>
      <c r="R3994" s="4">
        <v>1129251</v>
      </c>
      <c r="S3994" t="s">
        <v>20304</v>
      </c>
      <c r="T3994" s="6">
        <v>44348</v>
      </c>
      <c r="U3994" s="4">
        <v>890000</v>
      </c>
      <c r="V3994" t="s">
        <v>23739</v>
      </c>
      <c r="W3994" t="s">
        <v>25788</v>
      </c>
      <c r="X3994" t="s">
        <v>3</v>
      </c>
      <c r="AA3994" s="5" t="str">
        <f>HYPERLINK("https://www.zillow.com/homes/105-S-COLUMBIA-ST-NAPERVILLE-IL-605404916_rb/","check listing")</f>
        <v>check listing</v>
      </c>
      <c r="AB3994" s="5" t="str">
        <f>HYPERLINK("https://propertylookup.dupagecounty.gov/Datalets/Datalet.aspx?UseSearch=no&amp;mode=sales&amp;pin=0818409010","sales record")</f>
        <v>sales record</v>
      </c>
      <c r="AC3994" t="s">
        <v>3</v>
      </c>
      <c r="AD3994">
        <v>41.773658</v>
      </c>
      <c r="AE3994">
        <v>-88.13852</v>
      </c>
      <c r="AF3994" s="5" t="str">
        <f>HYPERLINK("https://www.google.com/maps/search/?api=1&amp;query=41.773658,-88.13852","map")</f>
        <v>map</v>
      </c>
    </row>
    <row r="3995" spans="1:32">
      <c r="A3995" t="s">
        <v>4045</v>
      </c>
      <c r="B3995" t="s">
        <v>11578</v>
      </c>
      <c r="C3995" t="s">
        <v>15475</v>
      </c>
      <c r="D3995" t="s">
        <v>16206</v>
      </c>
      <c r="E3995" t="s">
        <v>16218</v>
      </c>
      <c r="F3995" t="s">
        <v>16221</v>
      </c>
      <c r="G3995" t="s">
        <v>16277</v>
      </c>
      <c r="H3995" t="s">
        <v>16277</v>
      </c>
      <c r="I3995" t="s">
        <v>16353</v>
      </c>
      <c r="J3995" t="s">
        <v>16386</v>
      </c>
      <c r="K3995">
        <v>0.257</v>
      </c>
      <c r="L3995">
        <v>11183</v>
      </c>
      <c r="M3995">
        <v>3520</v>
      </c>
      <c r="N3995" t="s">
        <v>16393</v>
      </c>
      <c r="O3995" s="4">
        <v>158325</v>
      </c>
      <c r="P3995" s="4">
        <v>159645</v>
      </c>
      <c r="Q3995" s="4">
        <v>317970</v>
      </c>
      <c r="R3995" s="4">
        <v>953910</v>
      </c>
      <c r="S3995" t="s">
        <v>20305</v>
      </c>
      <c r="X3995" t="s">
        <v>3</v>
      </c>
      <c r="AA3995" s="5" t="str">
        <f>HYPERLINK("https://www.zillow.com/homes/32-S-WRIGHT-ST-NAPERVILLE-IL-60540_rb/","check listing")</f>
        <v>check listing</v>
      </c>
      <c r="AB3995" s="5" t="str">
        <f>HYPERLINK("https://propertylookup.dupagecounty.gov/Datalets/Datalet.aspx?UseSearch=no&amp;mode=sales&amp;pin=0818318006","sales record")</f>
        <v>sales record</v>
      </c>
      <c r="AC3995" t="s">
        <v>3</v>
      </c>
      <c r="AD3995">
        <v>41.773975</v>
      </c>
      <c r="AE3995">
        <v>-88.13910799999999</v>
      </c>
      <c r="AF3995" s="5" t="str">
        <f>HYPERLINK("https://www.google.com/maps/search/?api=1&amp;query=41.773975,-88.139108","map")</f>
        <v>map</v>
      </c>
    </row>
    <row r="3996" spans="1:32">
      <c r="A3996" t="s">
        <v>4046</v>
      </c>
      <c r="B3996" t="s">
        <v>11579</v>
      </c>
      <c r="C3996" t="s">
        <v>15659</v>
      </c>
      <c r="D3996" t="s">
        <v>16206</v>
      </c>
      <c r="E3996" t="s">
        <v>16218</v>
      </c>
      <c r="F3996" t="s">
        <v>16221</v>
      </c>
      <c r="G3996" t="s">
        <v>16277</v>
      </c>
      <c r="H3996" t="s">
        <v>16277</v>
      </c>
      <c r="I3996" t="s">
        <v>16353</v>
      </c>
      <c r="J3996" t="s">
        <v>16386</v>
      </c>
      <c r="K3996">
        <v>0.257</v>
      </c>
      <c r="L3996">
        <v>11181</v>
      </c>
      <c r="M3996">
        <v>4289</v>
      </c>
      <c r="N3996" t="s">
        <v>16393</v>
      </c>
      <c r="O3996" s="4">
        <v>149965</v>
      </c>
      <c r="P3996" s="4">
        <v>482482</v>
      </c>
      <c r="Q3996" s="4">
        <v>632447</v>
      </c>
      <c r="R3996" s="4">
        <v>1897341</v>
      </c>
      <c r="S3996" t="s">
        <v>20306</v>
      </c>
      <c r="T3996" s="6">
        <v>44348</v>
      </c>
      <c r="U3996" s="4">
        <v>1683000</v>
      </c>
      <c r="V3996" t="s">
        <v>23739</v>
      </c>
      <c r="W3996" t="s">
        <v>25789</v>
      </c>
      <c r="X3996" t="s">
        <v>3</v>
      </c>
      <c r="AA3996" s="5" t="str">
        <f>HYPERLINK("https://www.zillow.com/homes/506-W-JEFFERSON-AVE-NAPERVILLE-IL-605405219_rb/","check listing")</f>
        <v>check listing</v>
      </c>
      <c r="AB3996" s="5" t="str">
        <f>HYPERLINK("https://propertylookup.dupagecounty.gov/Datalets/Datalet.aspx?UseSearch=no&amp;mode=sales&amp;pin=0713425003","sales record")</f>
        <v>sales record</v>
      </c>
      <c r="AC3996" t="s">
        <v>3</v>
      </c>
      <c r="AD3996">
        <v>41.772866</v>
      </c>
      <c r="AE3996">
        <v>-88.156614</v>
      </c>
      <c r="AF3996" s="5" t="str">
        <f>HYPERLINK("https://www.google.com/maps/search/?api=1&amp;query=41.772866,-88.156614","map")</f>
        <v>map</v>
      </c>
    </row>
    <row r="3997" spans="1:32">
      <c r="A3997" t="s">
        <v>4047</v>
      </c>
      <c r="B3997" t="s">
        <v>11580</v>
      </c>
      <c r="C3997" t="s">
        <v>15475</v>
      </c>
      <c r="D3997" t="s">
        <v>16206</v>
      </c>
      <c r="E3997" t="s">
        <v>16218</v>
      </c>
      <c r="F3997" t="s">
        <v>16221</v>
      </c>
      <c r="G3997" t="s">
        <v>16277</v>
      </c>
      <c r="H3997" t="s">
        <v>16277</v>
      </c>
      <c r="I3997" t="s">
        <v>16353</v>
      </c>
      <c r="J3997" t="s">
        <v>16386</v>
      </c>
      <c r="K3997">
        <v>0.257</v>
      </c>
      <c r="L3997">
        <v>11180</v>
      </c>
      <c r="M3997">
        <v>2721</v>
      </c>
      <c r="N3997" t="s">
        <v>16393</v>
      </c>
      <c r="O3997" s="4">
        <v>149965</v>
      </c>
      <c r="P3997" s="4">
        <v>296720</v>
      </c>
      <c r="Q3997" s="4">
        <v>446685</v>
      </c>
      <c r="R3997" s="4">
        <v>1340055</v>
      </c>
      <c r="S3997" t="s">
        <v>20307</v>
      </c>
      <c r="T3997" s="6">
        <v>40909</v>
      </c>
      <c r="U3997" s="4">
        <v>350000</v>
      </c>
      <c r="V3997" t="s">
        <v>23739</v>
      </c>
      <c r="W3997" t="s">
        <v>25790</v>
      </c>
      <c r="X3997" t="s">
        <v>3</v>
      </c>
      <c r="AA3997" s="5" t="str">
        <f>HYPERLINK("https://www.zillow.com/homes/514-W-JEFFERSON-AVE-NAPERVILLE-IL-60540_rb/","check listing")</f>
        <v>check listing</v>
      </c>
      <c r="AB3997" s="5" t="str">
        <f>HYPERLINK("https://propertylookup.dupagecounty.gov/Datalets/Datalet.aspx?UseSearch=no&amp;mode=sales&amp;pin=0713425002","sales record")</f>
        <v>sales record</v>
      </c>
      <c r="AC3997" t="s">
        <v>3</v>
      </c>
      <c r="AD3997">
        <v>41.772873</v>
      </c>
      <c r="AE3997">
        <v>-88.156858</v>
      </c>
      <c r="AF3997" s="5" t="str">
        <f>HYPERLINK("https://www.google.com/maps/search/?api=1&amp;query=41.772873,-88.156858","map")</f>
        <v>map</v>
      </c>
    </row>
    <row r="3998" spans="1:32">
      <c r="A3998" t="s">
        <v>4048</v>
      </c>
      <c r="B3998" t="s">
        <v>11581</v>
      </c>
      <c r="C3998" t="s">
        <v>15475</v>
      </c>
      <c r="D3998" t="s">
        <v>16206</v>
      </c>
      <c r="E3998" t="s">
        <v>16218</v>
      </c>
      <c r="F3998" t="s">
        <v>16221</v>
      </c>
      <c r="G3998" t="s">
        <v>16277</v>
      </c>
      <c r="H3998" t="s">
        <v>16277</v>
      </c>
      <c r="I3998" t="s">
        <v>16353</v>
      </c>
      <c r="J3998" t="s">
        <v>16386</v>
      </c>
      <c r="K3998">
        <v>0.257</v>
      </c>
      <c r="L3998">
        <v>11174</v>
      </c>
      <c r="M3998">
        <v>2803</v>
      </c>
      <c r="N3998" t="s">
        <v>16393</v>
      </c>
      <c r="O3998" s="4">
        <v>149561</v>
      </c>
      <c r="P3998" s="4">
        <v>275172</v>
      </c>
      <c r="Q3998" s="4">
        <v>424733</v>
      </c>
      <c r="R3998" s="4">
        <v>1274199</v>
      </c>
      <c r="S3998" t="s">
        <v>20308</v>
      </c>
      <c r="T3998" s="6">
        <v>42552</v>
      </c>
      <c r="U3998" s="4">
        <v>920000</v>
      </c>
      <c r="V3998" t="s">
        <v>23739</v>
      </c>
      <c r="W3998" t="s">
        <v>20308</v>
      </c>
      <c r="X3998" t="s">
        <v>3</v>
      </c>
      <c r="AA3998" s="5" t="str">
        <f>HYPERLINK("https://www.zillow.com/homes/810-N-LOOMIS-ST-NAPERVILLE-IL-60540_rb/","check listing")</f>
        <v>check listing</v>
      </c>
      <c r="AB3998" s="5" t="str">
        <f>HYPERLINK("https://propertylookup.dupagecounty.gov/Datalets/Datalet.aspx?UseSearch=no&amp;mode=sales&amp;pin=0818118001","sales record")</f>
        <v>sales record</v>
      </c>
      <c r="AC3998" t="s">
        <v>3</v>
      </c>
      <c r="AD3998">
        <v>41.784342</v>
      </c>
      <c r="AE3998">
        <v>-88.14102699999999</v>
      </c>
      <c r="AF3998" s="5" t="str">
        <f>HYPERLINK("https://www.google.com/maps/search/?api=1&amp;query=41.784342,-88.141027","map")</f>
        <v>map</v>
      </c>
    </row>
    <row r="3999" spans="1:32">
      <c r="A3999" t="s">
        <v>4049</v>
      </c>
      <c r="B3999" t="s">
        <v>11582</v>
      </c>
      <c r="C3999" t="s">
        <v>15661</v>
      </c>
      <c r="D3999" t="s">
        <v>16206</v>
      </c>
      <c r="E3999" t="s">
        <v>16218</v>
      </c>
      <c r="F3999" t="s">
        <v>16221</v>
      </c>
      <c r="G3999" t="s">
        <v>16277</v>
      </c>
      <c r="H3999" t="s">
        <v>16277</v>
      </c>
      <c r="I3999" t="s">
        <v>16353</v>
      </c>
      <c r="J3999" t="s">
        <v>16386</v>
      </c>
      <c r="K3999">
        <v>0.257</v>
      </c>
      <c r="L3999">
        <v>11174</v>
      </c>
      <c r="M3999">
        <v>2178</v>
      </c>
      <c r="N3999" t="s">
        <v>16393</v>
      </c>
      <c r="O3999" s="4">
        <v>87308</v>
      </c>
      <c r="P3999" s="4">
        <v>90852</v>
      </c>
      <c r="Q3999" s="4">
        <v>178160</v>
      </c>
      <c r="R3999" s="4">
        <v>534480</v>
      </c>
      <c r="S3999" t="s">
        <v>20309</v>
      </c>
      <c r="T3999" s="6">
        <v>45580</v>
      </c>
      <c r="U3999" s="4">
        <v>605000</v>
      </c>
      <c r="V3999" t="s">
        <v>23739</v>
      </c>
      <c r="W3999" t="s">
        <v>25791</v>
      </c>
      <c r="X3999" t="s">
        <v>3</v>
      </c>
      <c r="AA3999" s="5" t="str">
        <f>HYPERLINK("https://www.zillow.com/homes/936-N-BRAINARD-ST-NAPERVILLE-IL-605632735_rb/","check listing")</f>
        <v>check listing</v>
      </c>
      <c r="AB3999" s="5" t="str">
        <f>HYPERLINK("https://propertylookup.dupagecounty.gov/Datalets/Datalet.aspx?UseSearch=no&amp;mode=sales&amp;pin=0807310009","sales record")</f>
        <v>sales record</v>
      </c>
      <c r="AC3999" t="s">
        <v>3</v>
      </c>
      <c r="AD3999">
        <v>41.78664</v>
      </c>
      <c r="AE3999">
        <v>-88.142386</v>
      </c>
      <c r="AF3999" s="5" t="str">
        <f>HYPERLINK("https://www.google.com/maps/search/?api=1&amp;query=41.78664,-88.142386","map")</f>
        <v>map</v>
      </c>
    </row>
    <row r="4000" spans="1:32">
      <c r="A4000" t="s">
        <v>4050</v>
      </c>
      <c r="B4000" t="s">
        <v>11583</v>
      </c>
      <c r="C4000" t="s">
        <v>15653</v>
      </c>
      <c r="D4000" t="s">
        <v>16206</v>
      </c>
      <c r="E4000" t="s">
        <v>16218</v>
      </c>
      <c r="F4000" t="s">
        <v>16221</v>
      </c>
      <c r="G4000" t="s">
        <v>16278</v>
      </c>
      <c r="H4000" t="s">
        <v>16277</v>
      </c>
      <c r="I4000" t="s">
        <v>16353</v>
      </c>
      <c r="J4000" t="s">
        <v>16386</v>
      </c>
      <c r="K4000">
        <v>0.257</v>
      </c>
      <c r="L4000">
        <v>11174</v>
      </c>
      <c r="N4000" t="s">
        <v>16393</v>
      </c>
      <c r="O4000" s="4">
        <v>62832</v>
      </c>
      <c r="P4000" s="4">
        <v>183468</v>
      </c>
      <c r="Q4000" s="4">
        <v>246300</v>
      </c>
      <c r="R4000" s="4">
        <v>738900</v>
      </c>
      <c r="S4000" t="s">
        <v>20310</v>
      </c>
      <c r="T4000" s="6">
        <v>44991</v>
      </c>
      <c r="U4000" s="4">
        <v>665000</v>
      </c>
      <c r="V4000" t="s">
        <v>23739</v>
      </c>
      <c r="W4000" t="s">
        <v>25792</v>
      </c>
      <c r="X4000" t="s">
        <v>3</v>
      </c>
      <c r="AA4000" s="5" t="str">
        <f>HYPERLINK("https://www.zillow.com/homes/2319-COUNTRY-CLUB-BLV-NAPERVILLE-IL-605631721_rb/","check listing")</f>
        <v>check listing</v>
      </c>
      <c r="AB4000" s="5" t="str">
        <f>HYPERLINK("https://propertylookup.dupagecounty.gov/Datalets/Datalet.aspx?UseSearch=no&amp;mode=sales&amp;pin=0709102036","sales record")</f>
        <v>sales record</v>
      </c>
      <c r="AC4000" t="s">
        <v>3</v>
      </c>
      <c r="AD4000">
        <v>41.796552</v>
      </c>
      <c r="AE4000">
        <v>-88.21674899999999</v>
      </c>
      <c r="AF4000" s="5" t="str">
        <f>HYPERLINK("https://www.google.com/maps/search/?api=1&amp;query=41.796552,-88.216749","map")</f>
        <v>map</v>
      </c>
    </row>
    <row r="4001" spans="1:32">
      <c r="A4001" t="s">
        <v>4051</v>
      </c>
      <c r="B4001" t="s">
        <v>11584</v>
      </c>
      <c r="C4001" t="s">
        <v>15478</v>
      </c>
      <c r="D4001" t="s">
        <v>16206</v>
      </c>
      <c r="E4001" t="s">
        <v>16218</v>
      </c>
      <c r="F4001" t="s">
        <v>16221</v>
      </c>
      <c r="G4001" t="s">
        <v>16277</v>
      </c>
      <c r="H4001" t="s">
        <v>16277</v>
      </c>
      <c r="I4001" t="s">
        <v>16353</v>
      </c>
      <c r="J4001" t="s">
        <v>16386</v>
      </c>
      <c r="K4001">
        <v>0.256</v>
      </c>
      <c r="L4001">
        <v>11164</v>
      </c>
      <c r="M4001">
        <v>2769</v>
      </c>
      <c r="N4001" t="s">
        <v>16393</v>
      </c>
      <c r="O4001" s="4">
        <v>143722</v>
      </c>
      <c r="P4001" s="4">
        <v>91054</v>
      </c>
      <c r="Q4001" s="4">
        <v>234776</v>
      </c>
      <c r="R4001" s="4">
        <v>704328</v>
      </c>
      <c r="S4001" t="s">
        <v>20311</v>
      </c>
      <c r="T4001" s="6">
        <v>32540</v>
      </c>
      <c r="U4001" s="4">
        <v>169500</v>
      </c>
      <c r="X4001" t="s">
        <v>3</v>
      </c>
      <c r="AA4001" s="5" t="str">
        <f>HYPERLINK("https://www.zillow.com/homes/711-N-ELLSWORTH-ST-NAPERVILLE-IL-60563_rb/","check listing")</f>
        <v>check listing</v>
      </c>
      <c r="AB4001" s="5" t="str">
        <f>HYPERLINK("https://propertylookup.dupagecounty.gov/Datalets/Datalet.aspx?UseSearch=no&amp;mode=sales&amp;pin=0818106012","sales record")</f>
        <v>sales record</v>
      </c>
      <c r="AC4001" t="s">
        <v>3</v>
      </c>
      <c r="AD4001">
        <v>41.783353</v>
      </c>
      <c r="AE4001">
        <v>-88.144932</v>
      </c>
      <c r="AF4001" s="5" t="str">
        <f>HYPERLINK("https://www.google.com/maps/search/?api=1&amp;query=41.783353,-88.144932","map")</f>
        <v>map</v>
      </c>
    </row>
    <row r="4002" spans="1:32">
      <c r="A4002" t="s">
        <v>4052</v>
      </c>
      <c r="B4002" t="s">
        <v>11585</v>
      </c>
      <c r="C4002" t="s">
        <v>15662</v>
      </c>
      <c r="D4002" t="s">
        <v>16206</v>
      </c>
      <c r="E4002" t="s">
        <v>16218</v>
      </c>
      <c r="F4002" t="s">
        <v>16221</v>
      </c>
      <c r="G4002" t="s">
        <v>16278</v>
      </c>
      <c r="H4002" t="s">
        <v>16277</v>
      </c>
      <c r="I4002" t="s">
        <v>16353</v>
      </c>
      <c r="J4002" t="s">
        <v>16386</v>
      </c>
      <c r="K4002">
        <v>0.256</v>
      </c>
      <c r="L4002">
        <v>11139</v>
      </c>
      <c r="N4002" t="s">
        <v>16393</v>
      </c>
      <c r="O4002" s="4">
        <v>56141</v>
      </c>
      <c r="P4002" s="4">
        <v>218366</v>
      </c>
      <c r="Q4002" s="4">
        <v>274507</v>
      </c>
      <c r="R4002" s="4">
        <v>823521</v>
      </c>
      <c r="S4002" t="s">
        <v>20312</v>
      </c>
      <c r="T4002" s="6">
        <v>45435</v>
      </c>
      <c r="U4002" s="4">
        <v>978246</v>
      </c>
      <c r="V4002" t="s">
        <v>16232</v>
      </c>
      <c r="W4002" t="s">
        <v>25793</v>
      </c>
      <c r="X4002" t="s">
        <v>3</v>
      </c>
      <c r="AA4002" s="5" t="str">
        <f>HYPERLINK("https://www.zillow.com/homes/2648-WEATHERBEE-CT-NAPERVILLE-IL-605631594_rb/","check listing")</f>
        <v>check listing</v>
      </c>
      <c r="AB4002" s="5" t="str">
        <f>HYPERLINK("https://propertylookup.dupagecounty.gov/Datalets/Datalet.aspx?UseSearch=no&amp;mode=sales&amp;pin=0532300062","sales record")</f>
        <v>sales record</v>
      </c>
      <c r="AC4002" t="s">
        <v>3</v>
      </c>
      <c r="AD4002">
        <v>41.821041</v>
      </c>
      <c r="AE4002">
        <v>-88.12297</v>
      </c>
      <c r="AF4002" s="5" t="str">
        <f>HYPERLINK("https://www.google.com/maps/search/?api=1&amp;query=41.821041,-88.12297","map")</f>
        <v>map</v>
      </c>
    </row>
    <row r="4003" spans="1:32">
      <c r="A4003" t="s">
        <v>4053</v>
      </c>
      <c r="B4003" t="s">
        <v>11586</v>
      </c>
      <c r="C4003" t="s">
        <v>15663</v>
      </c>
      <c r="D4003" t="s">
        <v>16206</v>
      </c>
      <c r="E4003" t="s">
        <v>16218</v>
      </c>
      <c r="F4003" t="s">
        <v>16221</v>
      </c>
      <c r="G4003" t="s">
        <v>16277</v>
      </c>
      <c r="H4003" t="s">
        <v>16277</v>
      </c>
      <c r="I4003" t="s">
        <v>16353</v>
      </c>
      <c r="J4003" t="s">
        <v>16386</v>
      </c>
      <c r="K4003">
        <v>0.256</v>
      </c>
      <c r="L4003">
        <v>11139</v>
      </c>
      <c r="M4003">
        <v>3363</v>
      </c>
      <c r="N4003" t="s">
        <v>16393</v>
      </c>
      <c r="O4003" s="4">
        <v>158349</v>
      </c>
      <c r="P4003" s="4">
        <v>170288</v>
      </c>
      <c r="Q4003" s="4">
        <v>328637</v>
      </c>
      <c r="R4003" s="4">
        <v>985911</v>
      </c>
      <c r="S4003" t="s">
        <v>20313</v>
      </c>
      <c r="T4003" s="6">
        <v>44621</v>
      </c>
      <c r="U4003" s="4">
        <v>789000</v>
      </c>
      <c r="V4003" t="s">
        <v>23740</v>
      </c>
      <c r="W4003" t="s">
        <v>25794</v>
      </c>
      <c r="X4003" t="s">
        <v>3</v>
      </c>
      <c r="AA4003" s="5" t="str">
        <f>HYPERLINK("https://www.zillow.com/homes/151-N-ELLSWORTH-ST-NAPERVILLE-IL-605404620_rb/","check listing")</f>
        <v>check listing</v>
      </c>
      <c r="AB4003" s="5" t="str">
        <f>HYPERLINK("https://propertylookup.dupagecounty.gov/Datalets/Datalet.aspx?UseSearch=no&amp;mode=sales&amp;pin=0818130004","sales record")</f>
        <v>sales record</v>
      </c>
      <c r="AC4003" t="s">
        <v>3</v>
      </c>
      <c r="AD4003">
        <v>41.777406</v>
      </c>
      <c r="AE4003">
        <v>-88.145377</v>
      </c>
      <c r="AF4003" s="5" t="str">
        <f>HYPERLINK("https://www.google.com/maps/search/?api=1&amp;query=41.777406,-88.145377","map")</f>
        <v>map</v>
      </c>
    </row>
    <row r="4004" spans="1:32">
      <c r="A4004" t="s">
        <v>4054</v>
      </c>
      <c r="B4004" t="s">
        <v>11587</v>
      </c>
      <c r="C4004" t="s">
        <v>15475</v>
      </c>
      <c r="D4004" t="s">
        <v>16206</v>
      </c>
      <c r="E4004" t="s">
        <v>16218</v>
      </c>
      <c r="F4004" t="s">
        <v>16221</v>
      </c>
      <c r="G4004" t="s">
        <v>16277</v>
      </c>
      <c r="H4004" t="s">
        <v>16277</v>
      </c>
      <c r="I4004" t="s">
        <v>16353</v>
      </c>
      <c r="J4004" t="s">
        <v>16386</v>
      </c>
      <c r="K4004">
        <v>0.256</v>
      </c>
      <c r="L4004">
        <v>11135</v>
      </c>
      <c r="M4004">
        <v>2645</v>
      </c>
      <c r="N4004" t="s">
        <v>16393</v>
      </c>
      <c r="O4004" s="4">
        <v>158325</v>
      </c>
      <c r="P4004" s="4">
        <v>131545</v>
      </c>
      <c r="Q4004" s="4">
        <v>289870</v>
      </c>
      <c r="R4004" s="4">
        <v>869610</v>
      </c>
      <c r="S4004" t="s">
        <v>20314</v>
      </c>
      <c r="T4004" s="6">
        <v>46008</v>
      </c>
      <c r="U4004" s="4">
        <v>730000</v>
      </c>
      <c r="V4004" t="s">
        <v>23741</v>
      </c>
      <c r="W4004" t="s">
        <v>25795</v>
      </c>
      <c r="X4004" t="s">
        <v>3</v>
      </c>
      <c r="AA4004" s="5" t="str">
        <f>HYPERLINK("https://www.zillow.com/homes/116-S-WRIGHT-ST-NAPERVILLE-IL-60540_rb/","check listing")</f>
        <v>check listing</v>
      </c>
      <c r="AB4004" s="5" t="str">
        <f>HYPERLINK("https://propertylookup.dupagecounty.gov/Datalets/Datalet.aspx?UseSearch=no&amp;mode=sales&amp;pin=0818323002","sales record")</f>
        <v>sales record</v>
      </c>
      <c r="AC4004" t="s">
        <v>27873</v>
      </c>
      <c r="AD4004">
        <v>41.773425</v>
      </c>
      <c r="AE4004">
        <v>-88.13914</v>
      </c>
      <c r="AF4004" s="5" t="str">
        <f>HYPERLINK("https://www.google.com/maps/search/?api=1&amp;query=41.773425,-88.13914","map")</f>
        <v>map</v>
      </c>
    </row>
    <row r="4005" spans="1:32">
      <c r="A4005" t="s">
        <v>4055</v>
      </c>
      <c r="B4005" t="s">
        <v>11588</v>
      </c>
      <c r="C4005" t="s">
        <v>15475</v>
      </c>
      <c r="D4005" t="s">
        <v>16206</v>
      </c>
      <c r="E4005" t="s">
        <v>16218</v>
      </c>
      <c r="F4005" t="s">
        <v>16221</v>
      </c>
      <c r="G4005" t="s">
        <v>16277</v>
      </c>
      <c r="H4005" t="s">
        <v>16277</v>
      </c>
      <c r="I4005" t="s">
        <v>16353</v>
      </c>
      <c r="J4005" t="s">
        <v>16386</v>
      </c>
      <c r="K4005">
        <v>0.256</v>
      </c>
      <c r="L4005">
        <v>11132</v>
      </c>
      <c r="M4005">
        <v>3123</v>
      </c>
      <c r="N4005" t="s">
        <v>16393</v>
      </c>
      <c r="O4005" s="4">
        <v>158325</v>
      </c>
      <c r="P4005" s="4">
        <v>97071</v>
      </c>
      <c r="Q4005" s="4">
        <v>255396</v>
      </c>
      <c r="R4005" s="4">
        <v>766188</v>
      </c>
      <c r="S4005" t="s">
        <v>20315</v>
      </c>
      <c r="X4005" t="s">
        <v>3</v>
      </c>
      <c r="AA4005" s="5" t="str">
        <f>HYPERLINK("https://www.zillow.com/homes/122-S-WRIGHT-ST-NAPERVILLE-IL-60540_rb/","check listing")</f>
        <v>check listing</v>
      </c>
      <c r="AB4005" s="5" t="str">
        <f>HYPERLINK("https://propertylookup.dupagecounty.gov/Datalets/Datalet.aspx?UseSearch=no&amp;mode=sales&amp;pin=0818323003","sales record")</f>
        <v>sales record</v>
      </c>
      <c r="AC4005" t="s">
        <v>27873</v>
      </c>
      <c r="AD4005">
        <v>41.773151</v>
      </c>
      <c r="AE4005">
        <v>-88.13915900000001</v>
      </c>
      <c r="AF4005" s="5" t="str">
        <f>HYPERLINK("https://www.google.com/maps/search/?api=1&amp;query=41.773151,-88.139159","map")</f>
        <v>map</v>
      </c>
    </row>
    <row r="4006" spans="1:32">
      <c r="A4006" t="s">
        <v>4056</v>
      </c>
      <c r="B4006" t="s">
        <v>11589</v>
      </c>
      <c r="C4006" t="s">
        <v>15478</v>
      </c>
      <c r="D4006" t="s">
        <v>16206</v>
      </c>
      <c r="E4006" t="s">
        <v>16218</v>
      </c>
      <c r="F4006" t="s">
        <v>16221</v>
      </c>
      <c r="G4006" t="s">
        <v>16277</v>
      </c>
      <c r="H4006" t="s">
        <v>16277</v>
      </c>
      <c r="I4006" t="s">
        <v>16353</v>
      </c>
      <c r="J4006" t="s">
        <v>16386</v>
      </c>
      <c r="K4006">
        <v>0.255</v>
      </c>
      <c r="L4006">
        <v>11129</v>
      </c>
      <c r="M4006">
        <v>3002</v>
      </c>
      <c r="N4006" t="s">
        <v>16393</v>
      </c>
      <c r="O4006" s="4">
        <v>93967</v>
      </c>
      <c r="P4006" s="4">
        <v>47233</v>
      </c>
      <c r="Q4006" s="4">
        <v>141200</v>
      </c>
      <c r="R4006" s="4">
        <v>423600</v>
      </c>
      <c r="S4006" t="s">
        <v>20316</v>
      </c>
      <c r="X4006" t="s">
        <v>3</v>
      </c>
      <c r="AA4006" s="5" t="str">
        <f>HYPERLINK("https://www.zillow.com/homes/940-N-BRAINARD-ST-NAPERVILLE-IL-60563_rb/","check listing")</f>
        <v>check listing</v>
      </c>
      <c r="AB4006" s="5" t="str">
        <f>HYPERLINK("https://propertylookup.dupagecounty.gov/Datalets/Datalet.aspx?UseSearch=no&amp;mode=sales&amp;pin=0807310008","sales record")</f>
        <v>sales record</v>
      </c>
      <c r="AC4006" t="s">
        <v>3</v>
      </c>
      <c r="AD4006">
        <v>41.786778</v>
      </c>
      <c r="AE4006">
        <v>-88.14238</v>
      </c>
      <c r="AF4006" s="5" t="str">
        <f>HYPERLINK("https://www.google.com/maps/search/?api=1&amp;query=41.786778,-88.14238","map")</f>
        <v>map</v>
      </c>
    </row>
    <row r="4007" spans="1:32">
      <c r="A4007" t="s">
        <v>4057</v>
      </c>
      <c r="B4007" t="s">
        <v>11590</v>
      </c>
      <c r="C4007" t="s">
        <v>15478</v>
      </c>
      <c r="D4007" t="s">
        <v>16206</v>
      </c>
      <c r="E4007" t="s">
        <v>16218</v>
      </c>
      <c r="F4007" t="s">
        <v>16221</v>
      </c>
      <c r="G4007" t="s">
        <v>16277</v>
      </c>
      <c r="H4007" t="s">
        <v>16277</v>
      </c>
      <c r="I4007" t="s">
        <v>16353</v>
      </c>
      <c r="J4007" t="s">
        <v>16386</v>
      </c>
      <c r="K4007">
        <v>0.255</v>
      </c>
      <c r="L4007">
        <v>11127</v>
      </c>
      <c r="M4007">
        <v>2309</v>
      </c>
      <c r="N4007" t="s">
        <v>16393</v>
      </c>
      <c r="O4007" s="4">
        <v>143829</v>
      </c>
      <c r="P4007" s="4">
        <v>166209</v>
      </c>
      <c r="Q4007" s="4">
        <v>310038</v>
      </c>
      <c r="R4007" s="4">
        <v>930114</v>
      </c>
      <c r="S4007" t="s">
        <v>20317</v>
      </c>
      <c r="T4007" s="6">
        <v>28946</v>
      </c>
      <c r="U4007" s="4">
        <v>75000</v>
      </c>
      <c r="X4007" t="s">
        <v>3</v>
      </c>
      <c r="AA4007" s="5" t="str">
        <f>HYPERLINK("https://www.zillow.com/homes/725-N-ELLSWORTH-ST-NAPERVILLE-IL-60563_rb/","check listing")</f>
        <v>check listing</v>
      </c>
      <c r="AB4007" s="5" t="str">
        <f>HYPERLINK("https://propertylookup.dupagecounty.gov/Datalets/Datalet.aspx?UseSearch=no&amp;mode=sales&amp;pin=0818106010","sales record")</f>
        <v>sales record</v>
      </c>
      <c r="AC4007" t="s">
        <v>3</v>
      </c>
      <c r="AD4007">
        <v>41.783762</v>
      </c>
      <c r="AE4007">
        <v>-88.144904</v>
      </c>
      <c r="AF4007" s="5" t="str">
        <f>HYPERLINK("https://www.google.com/maps/search/?api=1&amp;query=41.783762,-88.144904","map")</f>
        <v>map</v>
      </c>
    </row>
    <row r="4008" spans="1:32">
      <c r="A4008" t="s">
        <v>4058</v>
      </c>
      <c r="B4008" t="s">
        <v>11591</v>
      </c>
      <c r="C4008" t="s">
        <v>15478</v>
      </c>
      <c r="D4008" t="s">
        <v>16206</v>
      </c>
      <c r="E4008" t="s">
        <v>16218</v>
      </c>
      <c r="F4008" t="s">
        <v>16221</v>
      </c>
      <c r="G4008" t="s">
        <v>16277</v>
      </c>
      <c r="H4008" t="s">
        <v>16277</v>
      </c>
      <c r="I4008" t="s">
        <v>16353</v>
      </c>
      <c r="J4008" t="s">
        <v>16386</v>
      </c>
      <c r="K4008">
        <v>0.255</v>
      </c>
      <c r="L4008">
        <v>11124</v>
      </c>
      <c r="M4008">
        <v>3567</v>
      </c>
      <c r="N4008" t="s">
        <v>16393</v>
      </c>
      <c r="O4008" s="4">
        <v>91637</v>
      </c>
      <c r="P4008" s="4">
        <v>78247</v>
      </c>
      <c r="Q4008" s="4">
        <v>169884</v>
      </c>
      <c r="R4008" s="4">
        <v>509652</v>
      </c>
      <c r="S4008" t="s">
        <v>20318</v>
      </c>
      <c r="T4008" s="6">
        <v>38231</v>
      </c>
      <c r="U4008" s="4">
        <v>387500</v>
      </c>
      <c r="V4008" t="s">
        <v>23739</v>
      </c>
      <c r="W4008" t="s">
        <v>25796</v>
      </c>
      <c r="X4008" t="s">
        <v>3</v>
      </c>
      <c r="AA4008" s="5" t="str">
        <f>HYPERLINK("https://www.zillow.com/homes/829-N-CENTER-ST-NAPERVILLE-IL-60563_rb/","check listing")</f>
        <v>check listing</v>
      </c>
      <c r="AB4008" s="5" t="str">
        <f>HYPERLINK("https://propertylookup.dupagecounty.gov/Datalets/Datalet.aspx?UseSearch=no&amp;mode=sales&amp;pin=0807313008","sales record")</f>
        <v>sales record</v>
      </c>
      <c r="AC4008" t="s">
        <v>27873</v>
      </c>
      <c r="AD4008">
        <v>41.785083</v>
      </c>
      <c r="AE4008">
        <v>-88.14621699999999</v>
      </c>
      <c r="AF4008" s="5" t="str">
        <f>HYPERLINK("https://www.google.com/maps/search/?api=1&amp;query=41.785083,-88.146217","map")</f>
        <v>map</v>
      </c>
    </row>
    <row r="4009" spans="1:32">
      <c r="A4009" t="s">
        <v>4059</v>
      </c>
      <c r="B4009" t="s">
        <v>11592</v>
      </c>
      <c r="C4009" t="s">
        <v>15475</v>
      </c>
      <c r="D4009" t="s">
        <v>16206</v>
      </c>
      <c r="E4009" t="s">
        <v>16218</v>
      </c>
      <c r="F4009" t="s">
        <v>16221</v>
      </c>
      <c r="G4009" t="s">
        <v>16277</v>
      </c>
      <c r="H4009" t="s">
        <v>16277</v>
      </c>
      <c r="I4009" t="s">
        <v>16353</v>
      </c>
      <c r="J4009" t="s">
        <v>16386</v>
      </c>
      <c r="K4009">
        <v>0.255</v>
      </c>
      <c r="L4009">
        <v>11097</v>
      </c>
      <c r="M4009">
        <v>3048</v>
      </c>
      <c r="N4009" t="s">
        <v>16393</v>
      </c>
      <c r="O4009" s="4">
        <v>158325</v>
      </c>
      <c r="P4009" s="4">
        <v>114564</v>
      </c>
      <c r="Q4009" s="4">
        <v>272889</v>
      </c>
      <c r="R4009" s="4">
        <v>818667</v>
      </c>
      <c r="S4009" t="s">
        <v>20319</v>
      </c>
      <c r="T4009" s="6">
        <v>42186</v>
      </c>
      <c r="U4009" s="4">
        <v>525000</v>
      </c>
      <c r="V4009" t="s">
        <v>23739</v>
      </c>
      <c r="W4009" t="s">
        <v>25797</v>
      </c>
      <c r="X4009" t="s">
        <v>3</v>
      </c>
      <c r="AA4009" s="5" t="str">
        <f>HYPERLINK("https://www.zillow.com/homes/224-N-COLUMBIA-ST-NAPERVILLE-IL-60540_rb/","check listing")</f>
        <v>check listing</v>
      </c>
      <c r="AB4009" s="5" t="str">
        <f>HYPERLINK("https://propertylookup.dupagecounty.gov/Datalets/Datalet.aspx?UseSearch=no&amp;mode=sales&amp;pin=0818209011","sales record")</f>
        <v>sales record</v>
      </c>
      <c r="AC4009" t="s">
        <v>3</v>
      </c>
      <c r="AD4009">
        <v>41.777979</v>
      </c>
      <c r="AE4009">
        <v>-88.137528</v>
      </c>
      <c r="AF4009" s="5" t="str">
        <f>HYPERLINK("https://www.google.com/maps/search/?api=1&amp;query=41.777979,-88.137528","map")</f>
        <v>map</v>
      </c>
    </row>
    <row r="4010" spans="1:32">
      <c r="A4010" t="s">
        <v>4060</v>
      </c>
      <c r="B4010" t="s">
        <v>11593</v>
      </c>
      <c r="C4010" t="s">
        <v>15664</v>
      </c>
      <c r="D4010" t="s">
        <v>16206</v>
      </c>
      <c r="E4010" t="s">
        <v>16218</v>
      </c>
      <c r="F4010" t="s">
        <v>16221</v>
      </c>
      <c r="G4010" t="s">
        <v>16277</v>
      </c>
      <c r="H4010" t="s">
        <v>16277</v>
      </c>
      <c r="I4010" t="s">
        <v>16353</v>
      </c>
      <c r="J4010" t="s">
        <v>16386</v>
      </c>
      <c r="K4010">
        <v>0.255</v>
      </c>
      <c r="L4010">
        <v>11096</v>
      </c>
      <c r="M4010">
        <v>3570</v>
      </c>
      <c r="N4010" t="s">
        <v>16393</v>
      </c>
      <c r="O4010" s="4">
        <v>158325</v>
      </c>
      <c r="P4010" s="4">
        <v>127716</v>
      </c>
      <c r="Q4010" s="4">
        <v>286041</v>
      </c>
      <c r="R4010" s="4">
        <v>858123</v>
      </c>
      <c r="S4010" t="s">
        <v>20320</v>
      </c>
      <c r="T4010" s="6">
        <v>45405</v>
      </c>
      <c r="U4010" s="4">
        <v>877000</v>
      </c>
      <c r="V4010" t="s">
        <v>23739</v>
      </c>
      <c r="W4010" t="s">
        <v>25798</v>
      </c>
      <c r="X4010" t="s">
        <v>3</v>
      </c>
      <c r="AA4010" s="5" t="str">
        <f>HYPERLINK("https://www.zillow.com/homes/18-S-COLUMBIA-ST-NAPERVILLE-IL-605404915_rb/","check listing")</f>
        <v>check listing</v>
      </c>
      <c r="AB4010" s="5" t="str">
        <f>HYPERLINK("https://propertylookup.dupagecounty.gov/Datalets/Datalet.aspx?UseSearch=no&amp;mode=sales&amp;pin=0818408003","sales record")</f>
        <v>sales record</v>
      </c>
      <c r="AC4010" t="s">
        <v>3</v>
      </c>
      <c r="AD4010">
        <v>41.774373</v>
      </c>
      <c r="AE4010">
        <v>-88.137697</v>
      </c>
      <c r="AF4010" s="5" t="str">
        <f>HYPERLINK("https://www.google.com/maps/search/?api=1&amp;query=41.774373,-88.137697","map")</f>
        <v>map</v>
      </c>
    </row>
    <row r="4011" spans="1:32">
      <c r="A4011" t="s">
        <v>4061</v>
      </c>
      <c r="B4011" t="s">
        <v>11594</v>
      </c>
      <c r="C4011" t="s">
        <v>15475</v>
      </c>
      <c r="D4011" t="s">
        <v>16206</v>
      </c>
      <c r="E4011" t="s">
        <v>16218</v>
      </c>
      <c r="F4011" t="s">
        <v>16221</v>
      </c>
      <c r="G4011" t="s">
        <v>16277</v>
      </c>
      <c r="H4011" t="s">
        <v>16277</v>
      </c>
      <c r="I4011" t="s">
        <v>16353</v>
      </c>
      <c r="J4011" t="s">
        <v>16386</v>
      </c>
      <c r="K4011">
        <v>0.255</v>
      </c>
      <c r="L4011">
        <v>11094</v>
      </c>
      <c r="M4011">
        <v>3793</v>
      </c>
      <c r="N4011" t="s">
        <v>16393</v>
      </c>
      <c r="O4011" s="4">
        <v>141714</v>
      </c>
      <c r="P4011" s="4">
        <v>81591</v>
      </c>
      <c r="Q4011" s="4">
        <v>223305</v>
      </c>
      <c r="R4011" s="4">
        <v>669915</v>
      </c>
      <c r="S4011" t="s">
        <v>20321</v>
      </c>
      <c r="T4011" s="6">
        <v>30256</v>
      </c>
      <c r="U4011" s="4">
        <v>30000</v>
      </c>
      <c r="X4011" t="s">
        <v>3</v>
      </c>
      <c r="AA4011" s="5" t="str">
        <f>HYPERLINK("https://www.zillow.com/homes/432-W-JEFFERSON-AVE-NAPERVILLE-IL-60540_rb/","check listing")</f>
        <v>check listing</v>
      </c>
      <c r="AB4011" s="5" t="str">
        <f>HYPERLINK("https://propertylookup.dupagecounty.gov/Datalets/Datalet.aspx?UseSearch=no&amp;mode=sales&amp;pin=0713426016","sales record")</f>
        <v>sales record</v>
      </c>
      <c r="AC4011" t="s">
        <v>3</v>
      </c>
      <c r="AD4011">
        <v>41.772844</v>
      </c>
      <c r="AE4011">
        <v>-88.155884</v>
      </c>
      <c r="AF4011" s="5" t="str">
        <f>HYPERLINK("https://www.google.com/maps/search/?api=1&amp;query=41.772844,-88.155884","map")</f>
        <v>map</v>
      </c>
    </row>
    <row r="4012" spans="1:32">
      <c r="A4012" t="s">
        <v>4062</v>
      </c>
      <c r="B4012" t="s">
        <v>11595</v>
      </c>
      <c r="C4012" t="s">
        <v>15475</v>
      </c>
      <c r="D4012" t="s">
        <v>16206</v>
      </c>
      <c r="E4012" t="s">
        <v>16218</v>
      </c>
      <c r="F4012" t="s">
        <v>16221</v>
      </c>
      <c r="G4012" t="s">
        <v>16277</v>
      </c>
      <c r="H4012" t="s">
        <v>16277</v>
      </c>
      <c r="I4012" t="s">
        <v>16353</v>
      </c>
      <c r="J4012" t="s">
        <v>16386</v>
      </c>
      <c r="K4012">
        <v>0.255</v>
      </c>
      <c r="L4012">
        <v>11091</v>
      </c>
      <c r="M4012">
        <v>2442</v>
      </c>
      <c r="N4012" t="s">
        <v>16393</v>
      </c>
      <c r="O4012" s="4">
        <v>157957</v>
      </c>
      <c r="P4012" s="4">
        <v>54939</v>
      </c>
      <c r="Q4012" s="4">
        <v>212896</v>
      </c>
      <c r="R4012" s="4">
        <v>638688</v>
      </c>
      <c r="S4012" t="s">
        <v>20322</v>
      </c>
      <c r="T4012" s="6">
        <v>42248</v>
      </c>
      <c r="U4012" s="4">
        <v>339000</v>
      </c>
      <c r="V4012" t="s">
        <v>23739</v>
      </c>
      <c r="W4012" t="s">
        <v>25799</v>
      </c>
      <c r="X4012" t="s">
        <v>3</v>
      </c>
      <c r="AA4012" s="5" t="str">
        <f>HYPERLINK("https://www.zillow.com/homes/32-S-COLUMBIA-ST-NAPERVILLE-IL-60540_rb/","check listing")</f>
        <v>check listing</v>
      </c>
      <c r="AB4012" s="5" t="str">
        <f>HYPERLINK("https://propertylookup.dupagecounty.gov/Datalets/Datalet.aspx?UseSearch=no&amp;mode=sales&amp;pin=0818408005","sales record")</f>
        <v>sales record</v>
      </c>
      <c r="AC4012" t="s">
        <v>3</v>
      </c>
      <c r="AD4012">
        <v>41.773964</v>
      </c>
      <c r="AE4012">
        <v>-88.137721</v>
      </c>
      <c r="AF4012" s="5" t="str">
        <f>HYPERLINK("https://www.google.com/maps/search/?api=1&amp;query=41.773964,-88.137721","map")</f>
        <v>map</v>
      </c>
    </row>
    <row r="4013" spans="1:32">
      <c r="A4013" t="s">
        <v>4063</v>
      </c>
      <c r="B4013" t="s">
        <v>11596</v>
      </c>
      <c r="C4013" t="s">
        <v>15661</v>
      </c>
      <c r="D4013" t="s">
        <v>16206</v>
      </c>
      <c r="E4013" t="s">
        <v>16218</v>
      </c>
      <c r="F4013" t="s">
        <v>16221</v>
      </c>
      <c r="G4013" t="s">
        <v>16277</v>
      </c>
      <c r="H4013" t="s">
        <v>16277</v>
      </c>
      <c r="I4013" t="s">
        <v>16353</v>
      </c>
      <c r="J4013" t="s">
        <v>16386</v>
      </c>
      <c r="K4013">
        <v>0.255</v>
      </c>
      <c r="L4013">
        <v>11087</v>
      </c>
      <c r="M4013">
        <v>3137</v>
      </c>
      <c r="N4013" t="s">
        <v>16393</v>
      </c>
      <c r="O4013" s="4">
        <v>87308</v>
      </c>
      <c r="P4013" s="4">
        <v>93730</v>
      </c>
      <c r="Q4013" s="4">
        <v>181038</v>
      </c>
      <c r="R4013" s="4">
        <v>543114</v>
      </c>
      <c r="S4013" t="s">
        <v>20297</v>
      </c>
      <c r="T4013" s="6">
        <v>42491</v>
      </c>
      <c r="U4013" s="4">
        <v>300000</v>
      </c>
      <c r="V4013" t="s">
        <v>16232</v>
      </c>
      <c r="W4013" t="s">
        <v>20297</v>
      </c>
      <c r="X4013" t="s">
        <v>3</v>
      </c>
      <c r="AA4013" s="5" t="str">
        <f>HYPERLINK("https://www.zillow.com/homes/944-N-BRAINARD-ST-NAPERVILLE-IL-605632735_rb/","check listing")</f>
        <v>check listing</v>
      </c>
      <c r="AB4013" s="5" t="str">
        <f>HYPERLINK("https://propertylookup.dupagecounty.gov/Datalets/Datalet.aspx?UseSearch=no&amp;mode=sales&amp;pin=0807310007","sales record")</f>
        <v>sales record</v>
      </c>
      <c r="AC4013" t="s">
        <v>3</v>
      </c>
      <c r="AD4013">
        <v>41.786947</v>
      </c>
      <c r="AE4013">
        <v>-88.142374</v>
      </c>
      <c r="AF4013" s="5" t="str">
        <f>HYPERLINK("https://www.google.com/maps/search/?api=1&amp;query=41.786947,-88.142374","map")</f>
        <v>map</v>
      </c>
    </row>
    <row r="4014" spans="1:32">
      <c r="A4014" t="s">
        <v>4064</v>
      </c>
      <c r="B4014" t="s">
        <v>11597</v>
      </c>
      <c r="C4014" t="s">
        <v>15665</v>
      </c>
      <c r="D4014" t="s">
        <v>16206</v>
      </c>
      <c r="E4014" t="s">
        <v>16218</v>
      </c>
      <c r="F4014" t="s">
        <v>16221</v>
      </c>
      <c r="G4014" t="s">
        <v>16277</v>
      </c>
      <c r="H4014" t="s">
        <v>16277</v>
      </c>
      <c r="I4014" t="s">
        <v>16353</v>
      </c>
      <c r="J4014" t="s">
        <v>16386</v>
      </c>
      <c r="K4014">
        <v>0.254</v>
      </c>
      <c r="L4014">
        <v>11080</v>
      </c>
      <c r="M4014">
        <v>3970</v>
      </c>
      <c r="N4014" t="s">
        <v>16393</v>
      </c>
      <c r="O4014" s="4">
        <v>134964</v>
      </c>
      <c r="P4014" s="4">
        <v>335337</v>
      </c>
      <c r="Q4014" s="4">
        <v>470301</v>
      </c>
      <c r="R4014" s="4">
        <v>1410903</v>
      </c>
      <c r="S4014" t="s">
        <v>20323</v>
      </c>
      <c r="T4014" s="6">
        <v>38047</v>
      </c>
      <c r="U4014" s="4">
        <v>1000000</v>
      </c>
      <c r="V4014" t="s">
        <v>23739</v>
      </c>
      <c r="W4014" t="s">
        <v>25800</v>
      </c>
      <c r="X4014" t="s">
        <v>3</v>
      </c>
      <c r="AA4014" s="5" t="str">
        <f>HYPERLINK("https://www.zillow.com/homes/306-W-JEFFERSON-AVE-NAPERVILLE-IL-605405235_rb/","check listing")</f>
        <v>check listing</v>
      </c>
      <c r="AB4014" s="5" t="str">
        <f>HYPERLINK("https://propertylookup.dupagecounty.gov/Datalets/Datalet.aspx?UseSearch=no&amp;mode=sales&amp;pin=0713427006","sales record")</f>
        <v>sales record</v>
      </c>
      <c r="AC4014" t="s">
        <v>3</v>
      </c>
      <c r="AD4014">
        <v>41.772764</v>
      </c>
      <c r="AE4014">
        <v>-88.15321900000001</v>
      </c>
      <c r="AF4014" s="5" t="str">
        <f>HYPERLINK("https://www.google.com/maps/search/?api=1&amp;query=41.772764,-88.153219","map")</f>
        <v>map</v>
      </c>
    </row>
    <row r="4015" spans="1:32">
      <c r="A4015" t="s">
        <v>4065</v>
      </c>
      <c r="B4015" t="s">
        <v>11598</v>
      </c>
      <c r="C4015" t="s">
        <v>15475</v>
      </c>
      <c r="D4015" t="s">
        <v>16206</v>
      </c>
      <c r="E4015" t="s">
        <v>16218</v>
      </c>
      <c r="F4015" t="s">
        <v>16221</v>
      </c>
      <c r="G4015" t="s">
        <v>16277</v>
      </c>
      <c r="H4015" t="s">
        <v>16277</v>
      </c>
      <c r="I4015" t="s">
        <v>16353</v>
      </c>
      <c r="J4015" t="s">
        <v>16386</v>
      </c>
      <c r="K4015">
        <v>0.254</v>
      </c>
      <c r="L4015">
        <v>11080</v>
      </c>
      <c r="M4015">
        <v>2574</v>
      </c>
      <c r="N4015" t="s">
        <v>16393</v>
      </c>
      <c r="O4015" s="4">
        <v>141714</v>
      </c>
      <c r="P4015" s="4">
        <v>53910</v>
      </c>
      <c r="Q4015" s="4">
        <v>195624</v>
      </c>
      <c r="R4015" s="4">
        <v>586872</v>
      </c>
      <c r="S4015" t="s">
        <v>20324</v>
      </c>
      <c r="T4015" s="6">
        <v>31898</v>
      </c>
      <c r="U4015" s="4">
        <v>74000</v>
      </c>
      <c r="X4015" t="s">
        <v>3</v>
      </c>
      <c r="AA4015" s="5" t="str">
        <f>HYPERLINK("https://www.zillow.com/homes/412-W-JEFFERSON-AVE-NAPERVILLE-IL-60540_rb/","check listing")</f>
        <v>check listing</v>
      </c>
      <c r="AB4015" s="5" t="str">
        <f>HYPERLINK("https://propertylookup.dupagecounty.gov/Datalets/Datalet.aspx?UseSearch=no&amp;mode=sales&amp;pin=0713426004","sales record")</f>
        <v>sales record</v>
      </c>
      <c r="AC4015" t="s">
        <v>3</v>
      </c>
      <c r="AD4015">
        <v>41.772822</v>
      </c>
      <c r="AE4015">
        <v>-88.155159</v>
      </c>
      <c r="AF4015" s="5" t="str">
        <f>HYPERLINK("https://www.google.com/maps/search/?api=1&amp;query=41.772822,-88.155159","map")</f>
        <v>map</v>
      </c>
    </row>
    <row r="4016" spans="1:32">
      <c r="A4016" t="s">
        <v>4066</v>
      </c>
      <c r="B4016" t="s">
        <v>11599</v>
      </c>
      <c r="C4016" t="s">
        <v>15475</v>
      </c>
      <c r="D4016" t="s">
        <v>16206</v>
      </c>
      <c r="E4016" t="s">
        <v>16218</v>
      </c>
      <c r="F4016" t="s">
        <v>16221</v>
      </c>
      <c r="G4016" t="s">
        <v>16277</v>
      </c>
      <c r="H4016" t="s">
        <v>16277</v>
      </c>
      <c r="I4016" t="s">
        <v>16353</v>
      </c>
      <c r="J4016" t="s">
        <v>16386</v>
      </c>
      <c r="K4016">
        <v>0.254</v>
      </c>
      <c r="L4016">
        <v>11077</v>
      </c>
      <c r="M4016">
        <v>5541</v>
      </c>
      <c r="N4016" t="s">
        <v>16393</v>
      </c>
      <c r="O4016" s="4">
        <v>134964</v>
      </c>
      <c r="P4016" s="4">
        <v>507027</v>
      </c>
      <c r="Q4016" s="4">
        <v>641991</v>
      </c>
      <c r="R4016" s="4">
        <v>1925973</v>
      </c>
      <c r="S4016" t="s">
        <v>20325</v>
      </c>
      <c r="T4016" s="6">
        <v>38838</v>
      </c>
      <c r="U4016" s="4">
        <v>1960150</v>
      </c>
      <c r="V4016" t="s">
        <v>23739</v>
      </c>
      <c r="W4016" t="s">
        <v>25801</v>
      </c>
      <c r="X4016" t="s">
        <v>3</v>
      </c>
      <c r="AA4016" s="5" t="str">
        <f>HYPERLINK("https://www.zillow.com/homes/408-W-JEFFERSON-AVE-NAPERVILLE-IL-60540_rb/","check listing")</f>
        <v>check listing</v>
      </c>
      <c r="AB4016" s="5" t="str">
        <f>HYPERLINK("https://propertylookup.dupagecounty.gov/Datalets/Datalet.aspx?UseSearch=no&amp;mode=sales&amp;pin=0713426005","sales record")</f>
        <v>sales record</v>
      </c>
      <c r="AC4016" t="s">
        <v>3</v>
      </c>
      <c r="AD4016">
        <v>41.772815</v>
      </c>
      <c r="AE4016">
        <v>-88.154917</v>
      </c>
      <c r="AF4016" s="5" t="str">
        <f>HYPERLINK("https://www.google.com/maps/search/?api=1&amp;query=41.772815,-88.154917","map")</f>
        <v>map</v>
      </c>
    </row>
    <row r="4017" spans="1:32">
      <c r="A4017" t="s">
        <v>4067</v>
      </c>
      <c r="B4017" t="s">
        <v>11600</v>
      </c>
      <c r="C4017" t="s">
        <v>15666</v>
      </c>
      <c r="D4017" t="s">
        <v>16206</v>
      </c>
      <c r="E4017" t="s">
        <v>16218</v>
      </c>
      <c r="F4017" t="s">
        <v>16221</v>
      </c>
      <c r="G4017" t="s">
        <v>16277</v>
      </c>
      <c r="H4017" t="s">
        <v>16277</v>
      </c>
      <c r="I4017" t="s">
        <v>16353</v>
      </c>
      <c r="J4017" t="s">
        <v>16386</v>
      </c>
      <c r="K4017">
        <v>0.253</v>
      </c>
      <c r="L4017">
        <v>11038</v>
      </c>
      <c r="M4017">
        <v>2310</v>
      </c>
      <c r="N4017" t="s">
        <v>16393</v>
      </c>
      <c r="O4017" s="4">
        <v>158325</v>
      </c>
      <c r="P4017" s="4">
        <v>78770</v>
      </c>
      <c r="Q4017" s="4">
        <v>237095</v>
      </c>
      <c r="R4017" s="4">
        <v>711285</v>
      </c>
      <c r="S4017" t="s">
        <v>20326</v>
      </c>
      <c r="X4017" t="s">
        <v>3</v>
      </c>
      <c r="AA4017" s="5" t="str">
        <f>HYPERLINK("https://www.zillow.com/homes/6-N-COLUMBIA-ST-NAPERVILLE-IL-605404713_rb/","check listing")</f>
        <v>check listing</v>
      </c>
      <c r="AB4017" s="5" t="str">
        <f>HYPERLINK("https://propertylookup.dupagecounty.gov/Datalets/Datalet.aspx?UseSearch=no&amp;mode=sales&amp;pin=0818404005","sales record")</f>
        <v>sales record</v>
      </c>
      <c r="AC4017" t="s">
        <v>3</v>
      </c>
      <c r="AD4017">
        <v>41.774993</v>
      </c>
      <c r="AE4017">
        <v>-88.137658</v>
      </c>
      <c r="AF4017" s="5" t="str">
        <f>HYPERLINK("https://www.google.com/maps/search/?api=1&amp;query=41.774993,-88.137658","map")</f>
        <v>map</v>
      </c>
    </row>
    <row r="4018" spans="1:32">
      <c r="A4018" t="s">
        <v>4068</v>
      </c>
      <c r="B4018" t="s">
        <v>11601</v>
      </c>
      <c r="C4018" t="s">
        <v>15667</v>
      </c>
      <c r="D4018" t="s">
        <v>16206</v>
      </c>
      <c r="E4018" t="s">
        <v>16218</v>
      </c>
      <c r="F4018" t="s">
        <v>16221</v>
      </c>
      <c r="G4018" t="s">
        <v>16277</v>
      </c>
      <c r="H4018" t="s">
        <v>16277</v>
      </c>
      <c r="I4018" t="s">
        <v>16353</v>
      </c>
      <c r="J4018" t="s">
        <v>16386</v>
      </c>
      <c r="K4018">
        <v>0.253</v>
      </c>
      <c r="L4018">
        <v>11034</v>
      </c>
      <c r="M4018">
        <v>2687</v>
      </c>
      <c r="N4018" t="s">
        <v>16393</v>
      </c>
      <c r="O4018" s="4">
        <v>149965</v>
      </c>
      <c r="P4018" s="4">
        <v>230727</v>
      </c>
      <c r="Q4018" s="4">
        <v>380692</v>
      </c>
      <c r="R4018" s="4">
        <v>1142076</v>
      </c>
      <c r="S4018" t="s">
        <v>20327</v>
      </c>
      <c r="T4018" s="6">
        <v>42979</v>
      </c>
      <c r="U4018" s="4">
        <v>400000</v>
      </c>
      <c r="V4018" t="s">
        <v>23739</v>
      </c>
      <c r="W4018" t="s">
        <v>25802</v>
      </c>
      <c r="X4018" t="s">
        <v>3</v>
      </c>
      <c r="AA4018" s="5" t="str">
        <f>HYPERLINK("https://www.zillow.com/homes/219-W-FRANKLIN-AVE-NAPERVILLE-IL-605404462_rb/","check listing")</f>
        <v>check listing</v>
      </c>
      <c r="AB4018" s="5" t="str">
        <f>HYPERLINK("https://propertylookup.dupagecounty.gov/Datalets/Datalet.aspx?UseSearch=no&amp;mode=sales&amp;pin=0713403012","sales record")</f>
        <v>sales record</v>
      </c>
      <c r="AC4018" t="s">
        <v>3</v>
      </c>
      <c r="AD4018">
        <v>41.776453</v>
      </c>
      <c r="AE4018">
        <v>-88.15182</v>
      </c>
      <c r="AF4018" s="5" t="str">
        <f>HYPERLINK("https://www.google.com/maps/search/?api=1&amp;query=41.776453,-88.15182","map")</f>
        <v>map</v>
      </c>
    </row>
    <row r="4019" spans="1:32">
      <c r="A4019" t="s">
        <v>4069</v>
      </c>
      <c r="B4019" t="s">
        <v>11602</v>
      </c>
      <c r="C4019" t="s">
        <v>15475</v>
      </c>
      <c r="D4019" t="s">
        <v>16206</v>
      </c>
      <c r="E4019" t="s">
        <v>16218</v>
      </c>
      <c r="F4019" t="s">
        <v>16221</v>
      </c>
      <c r="G4019" t="s">
        <v>16277</v>
      </c>
      <c r="H4019" t="s">
        <v>16277</v>
      </c>
      <c r="I4019" t="s">
        <v>16353</v>
      </c>
      <c r="J4019" t="s">
        <v>16386</v>
      </c>
      <c r="K4019">
        <v>0.253</v>
      </c>
      <c r="L4019">
        <v>11031</v>
      </c>
      <c r="M4019">
        <v>1640</v>
      </c>
      <c r="N4019" t="s">
        <v>16393</v>
      </c>
      <c r="O4019" s="4">
        <v>149965</v>
      </c>
      <c r="P4019" s="4">
        <v>496250</v>
      </c>
      <c r="Q4019" s="4">
        <v>646215</v>
      </c>
      <c r="R4019" s="4">
        <v>1938645</v>
      </c>
      <c r="S4019" t="s">
        <v>20328</v>
      </c>
      <c r="T4019" s="6">
        <v>44820</v>
      </c>
      <c r="U4019" s="4">
        <v>2400000</v>
      </c>
      <c r="V4019" t="s">
        <v>23739</v>
      </c>
      <c r="W4019" t="s">
        <v>25803</v>
      </c>
      <c r="X4019" t="s">
        <v>3</v>
      </c>
      <c r="AA4019" s="5" t="str">
        <f>HYPERLINK("https://www.zillow.com/homes/134-N-EAGLE-ST-NAPERVILLE-IL-60540_rb/","check listing")</f>
        <v>check listing</v>
      </c>
      <c r="AB4019" s="5" t="str">
        <f>HYPERLINK("https://propertylookup.dupagecounty.gov/Datalets/Datalet.aspx?UseSearch=no&amp;mode=sales&amp;pin=0713403001","sales record")</f>
        <v>sales record</v>
      </c>
      <c r="AC4019" t="s">
        <v>27873</v>
      </c>
      <c r="AD4019">
        <v>41.776907</v>
      </c>
      <c r="AE4019">
        <v>-88.152528</v>
      </c>
      <c r="AF4019" s="5" t="str">
        <f>HYPERLINK("https://www.google.com/maps/search/?api=1&amp;query=41.776907,-88.152528","map")</f>
        <v>map</v>
      </c>
    </row>
    <row r="4020" spans="1:32">
      <c r="A4020" t="s">
        <v>4070</v>
      </c>
      <c r="B4020" t="s">
        <v>11603</v>
      </c>
      <c r="C4020" t="s">
        <v>15475</v>
      </c>
      <c r="D4020" t="s">
        <v>16206</v>
      </c>
      <c r="E4020" t="s">
        <v>16218</v>
      </c>
      <c r="F4020" t="s">
        <v>16221</v>
      </c>
      <c r="G4020" t="s">
        <v>16277</v>
      </c>
      <c r="H4020" t="s">
        <v>16277</v>
      </c>
      <c r="I4020" t="s">
        <v>16353</v>
      </c>
      <c r="J4020" t="s">
        <v>16386</v>
      </c>
      <c r="K4020">
        <v>0.253</v>
      </c>
      <c r="L4020">
        <v>11030</v>
      </c>
      <c r="M4020">
        <v>3422</v>
      </c>
      <c r="N4020" t="s">
        <v>16393</v>
      </c>
      <c r="O4020" s="4">
        <v>158349</v>
      </c>
      <c r="P4020" s="4">
        <v>297564</v>
      </c>
      <c r="Q4020" s="4">
        <v>455913</v>
      </c>
      <c r="R4020" s="4">
        <v>1367739</v>
      </c>
      <c r="S4020" t="s">
        <v>20329</v>
      </c>
      <c r="T4020" s="6">
        <v>41883</v>
      </c>
      <c r="U4020" s="4">
        <v>912500</v>
      </c>
      <c r="V4020" t="s">
        <v>23739</v>
      </c>
      <c r="W4020" t="s">
        <v>20329</v>
      </c>
      <c r="X4020" t="s">
        <v>3</v>
      </c>
      <c r="AA4020" s="5" t="str">
        <f>HYPERLINK("https://www.zillow.com/homes/16-N-COLUMBIA-ST-NAPERVILLE-IL-60540_rb/","check listing")</f>
        <v>check listing</v>
      </c>
      <c r="AB4020" s="5" t="str">
        <f>HYPERLINK("https://propertylookup.dupagecounty.gov/Datalets/Datalet.aspx?UseSearch=no&amp;mode=sales&amp;pin=0818404011","sales record")</f>
        <v>sales record</v>
      </c>
      <c r="AC4020" t="s">
        <v>3</v>
      </c>
      <c r="AD4020">
        <v>41.775266</v>
      </c>
      <c r="AE4020">
        <v>-88.137643</v>
      </c>
      <c r="AF4020" s="5" t="str">
        <f>HYPERLINK("https://www.google.com/maps/search/?api=1&amp;query=41.775266,-88.137643","map")</f>
        <v>map</v>
      </c>
    </row>
    <row r="4021" spans="1:32">
      <c r="A4021" t="s">
        <v>4071</v>
      </c>
      <c r="B4021" t="s">
        <v>11604</v>
      </c>
      <c r="C4021" t="s">
        <v>15475</v>
      </c>
      <c r="D4021" t="s">
        <v>16206</v>
      </c>
      <c r="E4021" t="s">
        <v>16218</v>
      </c>
      <c r="F4021" t="s">
        <v>16221</v>
      </c>
      <c r="G4021" t="s">
        <v>16277</v>
      </c>
      <c r="H4021" t="s">
        <v>16277</v>
      </c>
      <c r="I4021" t="s">
        <v>16353</v>
      </c>
      <c r="J4021" t="s">
        <v>16386</v>
      </c>
      <c r="K4021">
        <v>0.253</v>
      </c>
      <c r="L4021">
        <v>11029</v>
      </c>
      <c r="M4021">
        <v>2639</v>
      </c>
      <c r="N4021" t="s">
        <v>16393</v>
      </c>
      <c r="O4021" s="4">
        <v>149965</v>
      </c>
      <c r="P4021" s="4">
        <v>178488</v>
      </c>
      <c r="Q4021" s="4">
        <v>328453</v>
      </c>
      <c r="R4021" s="4">
        <v>985359</v>
      </c>
      <c r="S4021" t="s">
        <v>20330</v>
      </c>
      <c r="T4021" s="6">
        <v>45072</v>
      </c>
      <c r="U4021" s="4">
        <v>1430000</v>
      </c>
      <c r="V4021" t="s">
        <v>16232</v>
      </c>
      <c r="W4021" t="s">
        <v>25804</v>
      </c>
      <c r="X4021" t="s">
        <v>3</v>
      </c>
      <c r="AA4021" s="5" t="str">
        <f>HYPERLINK("https://www.zillow.com/homes/239-W-FRANKLIN-AVE-NAPERVILLE-IL-60540_rb/","check listing")</f>
        <v>check listing</v>
      </c>
      <c r="AB4021" s="5" t="str">
        <f>HYPERLINK("https://propertylookup.dupagecounty.gov/Datalets/Datalet.aspx?UseSearch=no&amp;mode=sales&amp;pin=0713403009","sales record")</f>
        <v>sales record</v>
      </c>
      <c r="AC4021" t="s">
        <v>3</v>
      </c>
      <c r="AD4021">
        <v>41.776473</v>
      </c>
      <c r="AE4021">
        <v>-88.15255000000001</v>
      </c>
      <c r="AF4021" s="5" t="str">
        <f>HYPERLINK("https://www.google.com/maps/search/?api=1&amp;query=41.776473,-88.15255","map")</f>
        <v>map</v>
      </c>
    </row>
    <row r="4022" spans="1:32">
      <c r="A4022" t="s">
        <v>4072</v>
      </c>
      <c r="B4022" t="s">
        <v>11605</v>
      </c>
      <c r="C4022" t="s">
        <v>15478</v>
      </c>
      <c r="D4022" t="s">
        <v>16206</v>
      </c>
      <c r="E4022" t="s">
        <v>16218</v>
      </c>
      <c r="F4022" t="s">
        <v>16221</v>
      </c>
      <c r="G4022" t="s">
        <v>16278</v>
      </c>
      <c r="H4022" t="s">
        <v>16277</v>
      </c>
      <c r="I4022" t="s">
        <v>16353</v>
      </c>
      <c r="J4022" t="s">
        <v>16386</v>
      </c>
      <c r="K4022">
        <v>0.253</v>
      </c>
      <c r="L4022">
        <v>11020</v>
      </c>
      <c r="N4022" t="s">
        <v>16393</v>
      </c>
      <c r="O4022" s="4">
        <v>62832</v>
      </c>
      <c r="P4022" s="4">
        <v>194733</v>
      </c>
      <c r="Q4022" s="4">
        <v>257565</v>
      </c>
      <c r="R4022" s="4">
        <v>772695</v>
      </c>
      <c r="S4022" t="s">
        <v>20331</v>
      </c>
      <c r="T4022" s="6">
        <v>42675</v>
      </c>
      <c r="U4022" s="4">
        <v>495464</v>
      </c>
      <c r="V4022" t="s">
        <v>16232</v>
      </c>
      <c r="W4022" t="s">
        <v>20331</v>
      </c>
      <c r="X4022" t="s">
        <v>3</v>
      </c>
      <c r="AA4022" s="5" t="str">
        <f>HYPERLINK("https://www.zillow.com/homes/1535-ALDERLEAF-CT-NAPERVILLE-IL-60563_rb/","check listing")</f>
        <v>check listing</v>
      </c>
      <c r="AB4022" s="5" t="str">
        <f>HYPERLINK("https://propertylookup.dupagecounty.gov/Datalets/Datalet.aspx?UseSearch=no&amp;mode=sales&amp;pin=0709105016","sales record")</f>
        <v>sales record</v>
      </c>
      <c r="AC4022" t="s">
        <v>3</v>
      </c>
      <c r="AD4022">
        <v>41.79581</v>
      </c>
      <c r="AE4022">
        <v>-88.217438</v>
      </c>
      <c r="AF4022" s="5" t="str">
        <f>HYPERLINK("https://www.google.com/maps/search/?api=1&amp;query=41.79581,-88.217438","map")</f>
        <v>map</v>
      </c>
    </row>
    <row r="4023" spans="1:32">
      <c r="A4023" t="s">
        <v>4073</v>
      </c>
      <c r="B4023" t="s">
        <v>11606</v>
      </c>
      <c r="C4023" t="s">
        <v>15475</v>
      </c>
      <c r="D4023" t="s">
        <v>16206</v>
      </c>
      <c r="E4023" t="s">
        <v>16218</v>
      </c>
      <c r="F4023" t="s">
        <v>16221</v>
      </c>
      <c r="G4023" t="s">
        <v>16277</v>
      </c>
      <c r="H4023" t="s">
        <v>16277</v>
      </c>
      <c r="I4023" t="s">
        <v>16353</v>
      </c>
      <c r="J4023" t="s">
        <v>16386</v>
      </c>
      <c r="K4023">
        <v>0.253</v>
      </c>
      <c r="L4023">
        <v>11018</v>
      </c>
      <c r="M4023">
        <v>3166</v>
      </c>
      <c r="N4023" t="s">
        <v>16393</v>
      </c>
      <c r="O4023" s="4">
        <v>100318</v>
      </c>
      <c r="P4023" s="4">
        <v>110497</v>
      </c>
      <c r="Q4023" s="4">
        <v>210815</v>
      </c>
      <c r="R4023" s="4">
        <v>632445</v>
      </c>
      <c r="S4023" t="s">
        <v>20332</v>
      </c>
      <c r="T4023" s="6">
        <v>40118</v>
      </c>
      <c r="U4023" s="4">
        <v>355000</v>
      </c>
      <c r="V4023" t="s">
        <v>23739</v>
      </c>
      <c r="W4023" t="s">
        <v>20332</v>
      </c>
      <c r="X4023" t="s">
        <v>3</v>
      </c>
      <c r="AA4023" s="5" t="str">
        <f>HYPERLINK("https://www.zillow.com/homes/56-S-JULIAN-ST-NAPERVILLE-IL-60540_rb/","check listing")</f>
        <v>check listing</v>
      </c>
      <c r="AB4023" s="5" t="str">
        <f>HYPERLINK("https://propertylookup.dupagecounty.gov/Datalets/Datalet.aspx?UseSearch=no&amp;mode=sales&amp;pin=0818411010","sales record")</f>
        <v>sales record</v>
      </c>
      <c r="AC4023" t="s">
        <v>3</v>
      </c>
      <c r="AD4023">
        <v>41.773427</v>
      </c>
      <c r="AE4023">
        <v>-88.13641200000001</v>
      </c>
      <c r="AF4023" s="5" t="str">
        <f>HYPERLINK("https://www.google.com/maps/search/?api=1&amp;query=41.773427,-88.136412","map")</f>
        <v>map</v>
      </c>
    </row>
    <row r="4024" spans="1:32">
      <c r="A4024" t="s">
        <v>4074</v>
      </c>
      <c r="B4024" t="s">
        <v>11607</v>
      </c>
      <c r="C4024" t="s">
        <v>15656</v>
      </c>
      <c r="D4024" t="s">
        <v>16206</v>
      </c>
      <c r="E4024" t="s">
        <v>16218</v>
      </c>
      <c r="F4024" t="s">
        <v>16221</v>
      </c>
      <c r="G4024" t="s">
        <v>16278</v>
      </c>
      <c r="H4024" t="s">
        <v>16277</v>
      </c>
      <c r="I4024" t="s">
        <v>16353</v>
      </c>
      <c r="J4024" t="s">
        <v>16386</v>
      </c>
      <c r="K4024">
        <v>0.253</v>
      </c>
      <c r="L4024">
        <v>11004</v>
      </c>
      <c r="N4024" t="s">
        <v>16393</v>
      </c>
      <c r="O4024" s="4">
        <v>66140</v>
      </c>
      <c r="P4024" s="4">
        <v>221048</v>
      </c>
      <c r="Q4024" s="4">
        <v>287188</v>
      </c>
      <c r="R4024" s="4">
        <v>861564</v>
      </c>
      <c r="S4024" t="s">
        <v>20333</v>
      </c>
      <c r="T4024" s="6">
        <v>45762</v>
      </c>
      <c r="U4024" s="4">
        <v>918000</v>
      </c>
      <c r="V4024" t="s">
        <v>23739</v>
      </c>
      <c r="W4024" t="s">
        <v>25805</v>
      </c>
      <c r="X4024" t="s">
        <v>3</v>
      </c>
      <c r="AA4024" s="5" t="str">
        <f>HYPERLINK("https://www.zillow.com/homes/1612-BAYOU-PATH-DR-NAPERVILLE-IL-605631718_rb/","check listing")</f>
        <v>check listing</v>
      </c>
      <c r="AB4024" s="5" t="str">
        <f>HYPERLINK("https://propertylookup.dupagecounty.gov/Datalets/Datalet.aspx?UseSearch=no&amp;mode=sales&amp;pin=0709113002","sales record")</f>
        <v>sales record</v>
      </c>
      <c r="AC4024" t="s">
        <v>3</v>
      </c>
      <c r="AD4024">
        <v>41.796313</v>
      </c>
      <c r="AE4024">
        <v>-88.218335</v>
      </c>
      <c r="AF4024" s="5" t="str">
        <f>HYPERLINK("https://www.google.com/maps/search/?api=1&amp;query=41.796313,-88.218335","map")</f>
        <v>map</v>
      </c>
    </row>
    <row r="4025" spans="1:32">
      <c r="A4025" t="s">
        <v>4075</v>
      </c>
      <c r="B4025" t="s">
        <v>11608</v>
      </c>
      <c r="C4025" t="s">
        <v>15478</v>
      </c>
      <c r="D4025" t="s">
        <v>16206</v>
      </c>
      <c r="E4025" t="s">
        <v>16218</v>
      </c>
      <c r="F4025" t="s">
        <v>16221</v>
      </c>
      <c r="G4025" t="s">
        <v>16278</v>
      </c>
      <c r="H4025" t="s">
        <v>16277</v>
      </c>
      <c r="I4025" t="s">
        <v>16353</v>
      </c>
      <c r="J4025" t="s">
        <v>16386</v>
      </c>
      <c r="K4025">
        <v>0.253</v>
      </c>
      <c r="L4025">
        <v>11001</v>
      </c>
      <c r="M4025">
        <v>2358</v>
      </c>
      <c r="N4025" t="s">
        <v>16393</v>
      </c>
      <c r="O4025" s="4">
        <v>66494</v>
      </c>
      <c r="P4025" s="4">
        <v>136527</v>
      </c>
      <c r="Q4025" s="4">
        <v>203021</v>
      </c>
      <c r="R4025" s="4">
        <v>609063</v>
      </c>
      <c r="S4025" t="s">
        <v>20334</v>
      </c>
      <c r="T4025" s="6">
        <v>44805</v>
      </c>
      <c r="U4025" s="4">
        <v>559000</v>
      </c>
      <c r="V4025" t="s">
        <v>23739</v>
      </c>
      <c r="W4025" t="s">
        <v>25806</v>
      </c>
      <c r="X4025" t="s">
        <v>3</v>
      </c>
      <c r="AA4025" s="5" t="str">
        <f>HYPERLINK("https://www.zillow.com/homes/1505-WEDGEFIELD-CIR-NAPERVILLE-IL-60563_rb/","check listing")</f>
        <v>check listing</v>
      </c>
      <c r="AB4025" s="5" t="str">
        <f>HYPERLINK("https://propertylookup.dupagecounty.gov/Datalets/Datalet.aspx?UseSearch=no&amp;mode=sales&amp;pin=0712102007","sales record")</f>
        <v>sales record</v>
      </c>
      <c r="AC4025" t="s">
        <v>3</v>
      </c>
      <c r="AD4025">
        <v>41.795297</v>
      </c>
      <c r="AE4025">
        <v>-88.15928700000001</v>
      </c>
      <c r="AF4025" s="5" t="str">
        <f>HYPERLINK("https://www.google.com/maps/search/?api=1&amp;query=41.795297,-88.159287","map")</f>
        <v>map</v>
      </c>
    </row>
    <row r="4026" spans="1:32">
      <c r="A4026" t="s">
        <v>4076</v>
      </c>
      <c r="B4026" t="s">
        <v>11609</v>
      </c>
      <c r="C4026" t="s">
        <v>15639</v>
      </c>
      <c r="D4026" t="s">
        <v>16206</v>
      </c>
      <c r="E4026" t="s">
        <v>16218</v>
      </c>
      <c r="F4026" t="s">
        <v>16221</v>
      </c>
      <c r="G4026" t="s">
        <v>16278</v>
      </c>
      <c r="H4026" t="s">
        <v>16277</v>
      </c>
      <c r="I4026" t="s">
        <v>16353</v>
      </c>
      <c r="J4026" t="s">
        <v>16386</v>
      </c>
      <c r="K4026">
        <v>0.253</v>
      </c>
      <c r="L4026">
        <v>11001</v>
      </c>
      <c r="N4026" t="s">
        <v>16393</v>
      </c>
      <c r="O4026" s="4">
        <v>61343</v>
      </c>
      <c r="P4026" s="4">
        <v>201679</v>
      </c>
      <c r="Q4026" s="4">
        <v>263022</v>
      </c>
      <c r="R4026" s="4">
        <v>789066</v>
      </c>
      <c r="S4026" t="s">
        <v>20335</v>
      </c>
      <c r="T4026" s="6">
        <v>43709</v>
      </c>
      <c r="U4026" s="4">
        <v>657701</v>
      </c>
      <c r="V4026" t="s">
        <v>16232</v>
      </c>
      <c r="W4026" t="s">
        <v>25807</v>
      </c>
      <c r="X4026" t="s">
        <v>3</v>
      </c>
      <c r="AA4026" s="5" t="str">
        <f>HYPERLINK("https://www.zillow.com/homes/1508-TAIL-LEAF-CT-NAPERVILLE-IL-605632183_rb/","check listing")</f>
        <v>check listing</v>
      </c>
      <c r="AB4026" s="5" t="str">
        <f>HYPERLINK("https://propertylookup.dupagecounty.gov/Datalets/Datalet.aspx?UseSearch=no&amp;mode=sales&amp;pin=0709105032","sales record")</f>
        <v>sales record</v>
      </c>
      <c r="AC4026" t="s">
        <v>3</v>
      </c>
      <c r="AD4026">
        <v>41.796249</v>
      </c>
      <c r="AE4026">
        <v>-88.21562</v>
      </c>
      <c r="AF4026" s="5" t="str">
        <f>HYPERLINK("https://www.google.com/maps/search/?api=1&amp;query=41.796249,-88.21562","map")</f>
        <v>map</v>
      </c>
    </row>
    <row r="4027" spans="1:32">
      <c r="A4027" t="s">
        <v>4077</v>
      </c>
      <c r="B4027" t="s">
        <v>11610</v>
      </c>
      <c r="C4027" t="s">
        <v>15636</v>
      </c>
      <c r="D4027" t="s">
        <v>16206</v>
      </c>
      <c r="E4027" t="s">
        <v>16218</v>
      </c>
      <c r="F4027" t="s">
        <v>16221</v>
      </c>
      <c r="G4027" t="s">
        <v>16277</v>
      </c>
      <c r="H4027" t="s">
        <v>16277</v>
      </c>
      <c r="I4027" t="s">
        <v>16353</v>
      </c>
      <c r="J4027" t="s">
        <v>16386</v>
      </c>
      <c r="K4027">
        <v>0.252</v>
      </c>
      <c r="L4027">
        <v>10991</v>
      </c>
      <c r="M4027">
        <v>2639</v>
      </c>
      <c r="N4027" t="s">
        <v>16393</v>
      </c>
      <c r="O4027" s="4">
        <v>157459</v>
      </c>
      <c r="P4027" s="4">
        <v>51213</v>
      </c>
      <c r="Q4027" s="4">
        <v>208672</v>
      </c>
      <c r="R4027" s="4">
        <v>626016</v>
      </c>
      <c r="S4027" t="s">
        <v>20336</v>
      </c>
      <c r="T4027" s="6">
        <v>32295</v>
      </c>
      <c r="U4027" s="4">
        <v>96500</v>
      </c>
      <c r="X4027" t="s">
        <v>3</v>
      </c>
      <c r="AA4027" s="5" t="str">
        <f>HYPERLINK("https://www.zillow.com/homes/5-S-WEST-ST-NAPERVILLE-IL-605404350_rb/","check listing")</f>
        <v>check listing</v>
      </c>
      <c r="AB4027" s="5" t="str">
        <f>HYPERLINK("https://propertylookup.dupagecounty.gov/Datalets/Datalet.aspx?UseSearch=no&amp;mode=sales&amp;pin=0713311008","sales record")</f>
        <v>sales record</v>
      </c>
      <c r="AC4027" t="s">
        <v>3</v>
      </c>
      <c r="AD4027">
        <v>41.775244</v>
      </c>
      <c r="AE4027">
        <v>-88.158179</v>
      </c>
      <c r="AF4027" s="5" t="str">
        <f>HYPERLINK("https://www.google.com/maps/search/?api=1&amp;query=41.775244,-88.158179","map")</f>
        <v>map</v>
      </c>
    </row>
    <row r="4028" spans="1:32">
      <c r="A4028" t="s">
        <v>4078</v>
      </c>
      <c r="B4028" t="s">
        <v>11611</v>
      </c>
      <c r="C4028" t="s">
        <v>15475</v>
      </c>
      <c r="D4028" t="s">
        <v>16206</v>
      </c>
      <c r="E4028" t="s">
        <v>16218</v>
      </c>
      <c r="F4028" t="s">
        <v>16221</v>
      </c>
      <c r="G4028" t="s">
        <v>16277</v>
      </c>
      <c r="H4028" t="s">
        <v>16277</v>
      </c>
      <c r="I4028" t="s">
        <v>16353</v>
      </c>
      <c r="J4028" t="s">
        <v>16386</v>
      </c>
      <c r="K4028">
        <v>0.252</v>
      </c>
      <c r="L4028">
        <v>10988</v>
      </c>
      <c r="M4028">
        <v>2836</v>
      </c>
      <c r="N4028" t="s">
        <v>16393</v>
      </c>
      <c r="O4028" s="4">
        <v>157459</v>
      </c>
      <c r="P4028" s="4">
        <v>97446</v>
      </c>
      <c r="Q4028" s="4">
        <v>254905</v>
      </c>
      <c r="R4028" s="4">
        <v>764715</v>
      </c>
      <c r="S4028" t="s">
        <v>20337</v>
      </c>
      <c r="X4028" t="s">
        <v>3</v>
      </c>
      <c r="AA4028" s="5" t="str">
        <f>HYPERLINK("https://www.zillow.com/homes/13-S-WEST-ST-NAPERVILLE-IL-60540_rb/","check listing")</f>
        <v>check listing</v>
      </c>
      <c r="AB4028" s="5" t="str">
        <f>HYPERLINK("https://propertylookup.dupagecounty.gov/Datalets/Datalet.aspx?UseSearch=no&amp;mode=sales&amp;pin=0713311009","sales record")</f>
        <v>sales record</v>
      </c>
      <c r="AC4028" t="s">
        <v>3</v>
      </c>
      <c r="AD4028">
        <v>41.775048</v>
      </c>
      <c r="AE4028">
        <v>-88.15821699999999</v>
      </c>
      <c r="AF4028" s="5" t="str">
        <f>HYPERLINK("https://www.google.com/maps/search/?api=1&amp;query=41.775048,-88.158217","map")</f>
        <v>map</v>
      </c>
    </row>
    <row r="4029" spans="1:32">
      <c r="A4029" t="s">
        <v>4079</v>
      </c>
      <c r="B4029" t="s">
        <v>11612</v>
      </c>
      <c r="C4029" t="s">
        <v>15668</v>
      </c>
      <c r="D4029" t="s">
        <v>16206</v>
      </c>
      <c r="E4029" t="s">
        <v>16218</v>
      </c>
      <c r="F4029" t="s">
        <v>16221</v>
      </c>
      <c r="G4029" t="s">
        <v>16277</v>
      </c>
      <c r="H4029" t="s">
        <v>16277</v>
      </c>
      <c r="I4029" t="s">
        <v>16353</v>
      </c>
      <c r="J4029" t="s">
        <v>16386</v>
      </c>
      <c r="K4029">
        <v>0.252</v>
      </c>
      <c r="L4029">
        <v>10984</v>
      </c>
      <c r="M4029">
        <v>3782</v>
      </c>
      <c r="N4029" t="s">
        <v>16393</v>
      </c>
      <c r="O4029" s="4">
        <v>149959</v>
      </c>
      <c r="P4029" s="4">
        <v>272665</v>
      </c>
      <c r="Q4029" s="4">
        <v>422624</v>
      </c>
      <c r="R4029" s="4">
        <v>1267872</v>
      </c>
      <c r="S4029" t="s">
        <v>20338</v>
      </c>
      <c r="T4029" s="6">
        <v>44348</v>
      </c>
      <c r="U4029" s="4">
        <v>1180000</v>
      </c>
      <c r="V4029" t="s">
        <v>23740</v>
      </c>
      <c r="W4029" t="s">
        <v>25808</v>
      </c>
      <c r="X4029" t="s">
        <v>3</v>
      </c>
      <c r="AA4029" s="5" t="str">
        <f>HYPERLINK("https://www.zillow.com/homes/419-W-FRANKLIN-AVE-NAPERVILLE-IL-605404458_rb/","check listing")</f>
        <v>check listing</v>
      </c>
      <c r="AB4029" s="5" t="str">
        <f>HYPERLINK("https://propertylookup.dupagecounty.gov/Datalets/Datalet.aspx?UseSearch=no&amp;mode=sales&amp;pin=0713401004","sales record")</f>
        <v>sales record</v>
      </c>
      <c r="AC4029" t="s">
        <v>3</v>
      </c>
      <c r="AD4029">
        <v>41.776548</v>
      </c>
      <c r="AE4029">
        <v>-88.15521200000001</v>
      </c>
      <c r="AF4029" s="5" t="str">
        <f>HYPERLINK("https://www.google.com/maps/search/?api=1&amp;query=41.776548,-88.155212","map")</f>
        <v>map</v>
      </c>
    </row>
    <row r="4030" spans="1:32">
      <c r="A4030" t="s">
        <v>4080</v>
      </c>
      <c r="B4030" t="s">
        <v>11613</v>
      </c>
      <c r="C4030" t="s">
        <v>15669</v>
      </c>
      <c r="D4030" t="s">
        <v>16206</v>
      </c>
      <c r="E4030" t="s">
        <v>16218</v>
      </c>
      <c r="F4030" t="s">
        <v>16221</v>
      </c>
      <c r="G4030" t="s">
        <v>16277</v>
      </c>
      <c r="H4030" t="s">
        <v>16277</v>
      </c>
      <c r="I4030" t="s">
        <v>16353</v>
      </c>
      <c r="J4030" t="s">
        <v>16386</v>
      </c>
      <c r="K4030">
        <v>0.252</v>
      </c>
      <c r="L4030">
        <v>10983</v>
      </c>
      <c r="M4030">
        <v>1188</v>
      </c>
      <c r="N4030" t="s">
        <v>16393</v>
      </c>
      <c r="O4030" s="4">
        <v>149965</v>
      </c>
      <c r="P4030" s="4">
        <v>456022</v>
      </c>
      <c r="Q4030" s="4">
        <v>605987</v>
      </c>
      <c r="R4030" s="4">
        <v>1817961</v>
      </c>
      <c r="S4030" t="s">
        <v>20339</v>
      </c>
      <c r="T4030" s="6">
        <v>41640</v>
      </c>
      <c r="U4030" s="4">
        <v>323000</v>
      </c>
      <c r="V4030" t="s">
        <v>23739</v>
      </c>
      <c r="W4030" t="s">
        <v>25809</v>
      </c>
      <c r="X4030" t="s">
        <v>3</v>
      </c>
      <c r="AA4030" s="5" t="str">
        <f>HYPERLINK("https://www.zillow.com/homes/422-DOUGLAS-AVE-NAPERVILLE-IL-605404414_rb/","check listing")</f>
        <v>check listing</v>
      </c>
      <c r="AB4030" s="5" t="str">
        <f>HYPERLINK("https://propertylookup.dupagecounty.gov/Datalets/Datalet.aspx?UseSearch=no&amp;mode=sales&amp;pin=0713223004","sales record")</f>
        <v>sales record</v>
      </c>
      <c r="AC4030" t="s">
        <v>3</v>
      </c>
      <c r="AD4030">
        <v>41.776987</v>
      </c>
      <c r="AE4030">
        <v>-88.15518899999999</v>
      </c>
      <c r="AF4030" s="5" t="str">
        <f>HYPERLINK("https://www.google.com/maps/search/?api=1&amp;query=41.776987,-88.155189","map")</f>
        <v>map</v>
      </c>
    </row>
    <row r="4031" spans="1:32">
      <c r="A4031" t="s">
        <v>4081</v>
      </c>
      <c r="B4031" t="s">
        <v>11614</v>
      </c>
      <c r="C4031" t="s">
        <v>15475</v>
      </c>
      <c r="D4031" t="s">
        <v>16206</v>
      </c>
      <c r="E4031" t="s">
        <v>16218</v>
      </c>
      <c r="F4031" t="s">
        <v>16221</v>
      </c>
      <c r="G4031" t="s">
        <v>16277</v>
      </c>
      <c r="H4031" t="s">
        <v>16277</v>
      </c>
      <c r="I4031" t="s">
        <v>16353</v>
      </c>
      <c r="J4031" t="s">
        <v>16386</v>
      </c>
      <c r="K4031">
        <v>0.252</v>
      </c>
      <c r="L4031">
        <v>10982</v>
      </c>
      <c r="M4031">
        <v>1320</v>
      </c>
      <c r="N4031" t="s">
        <v>16393</v>
      </c>
      <c r="O4031" s="4">
        <v>157459</v>
      </c>
      <c r="P4031" s="4">
        <v>39838</v>
      </c>
      <c r="Q4031" s="4">
        <v>197297</v>
      </c>
      <c r="R4031" s="4">
        <v>591891</v>
      </c>
      <c r="S4031" t="s">
        <v>20340</v>
      </c>
      <c r="T4031" s="6">
        <v>41730</v>
      </c>
      <c r="U4031" s="4">
        <v>320000</v>
      </c>
      <c r="V4031" t="s">
        <v>23740</v>
      </c>
      <c r="W4031" t="s">
        <v>25810</v>
      </c>
      <c r="X4031" t="s">
        <v>3</v>
      </c>
      <c r="AA4031" s="5" t="str">
        <f>HYPERLINK("https://www.zillow.com/homes/430-DOUGLAS-AVE-NAPERVILLE-IL-60540_rb/","check listing")</f>
        <v>check listing</v>
      </c>
      <c r="AB4031" s="5" t="str">
        <f>HYPERLINK("https://propertylookup.dupagecounty.gov/Datalets/Datalet.aspx?UseSearch=no&amp;mode=sales&amp;pin=0713223003","sales record")</f>
        <v>sales record</v>
      </c>
      <c r="AC4031" t="s">
        <v>3</v>
      </c>
      <c r="AD4031">
        <v>41.776915</v>
      </c>
      <c r="AE4031">
        <v>-88.15543599999999</v>
      </c>
      <c r="AF4031" s="5" t="str">
        <f>HYPERLINK("https://www.google.com/maps/search/?api=1&amp;query=41.776915,-88.155436","map")</f>
        <v>map</v>
      </c>
    </row>
    <row r="4032" spans="1:32">
      <c r="A4032" t="s">
        <v>4082</v>
      </c>
      <c r="B4032" t="s">
        <v>11615</v>
      </c>
      <c r="C4032" t="s">
        <v>15478</v>
      </c>
      <c r="D4032" t="s">
        <v>16206</v>
      </c>
      <c r="E4032" t="s">
        <v>16218</v>
      </c>
      <c r="F4032" t="s">
        <v>16221</v>
      </c>
      <c r="G4032" t="s">
        <v>16277</v>
      </c>
      <c r="H4032" t="s">
        <v>16277</v>
      </c>
      <c r="I4032" t="s">
        <v>16353</v>
      </c>
      <c r="J4032" t="s">
        <v>16386</v>
      </c>
      <c r="K4032">
        <v>0.252</v>
      </c>
      <c r="L4032">
        <v>10979</v>
      </c>
      <c r="M4032">
        <v>3869</v>
      </c>
      <c r="N4032" t="s">
        <v>16393</v>
      </c>
      <c r="O4032" s="4">
        <v>149965</v>
      </c>
      <c r="P4032" s="4">
        <v>479322</v>
      </c>
      <c r="Q4032" s="4">
        <v>629287</v>
      </c>
      <c r="R4032" s="4">
        <v>1887861</v>
      </c>
      <c r="S4032" t="s">
        <v>20341</v>
      </c>
      <c r="T4032" s="6">
        <v>40544</v>
      </c>
      <c r="U4032" s="4">
        <v>1100000</v>
      </c>
      <c r="V4032" t="s">
        <v>23739</v>
      </c>
      <c r="W4032" t="s">
        <v>25811</v>
      </c>
      <c r="X4032" t="s">
        <v>3</v>
      </c>
      <c r="AA4032" s="5" t="str">
        <f>HYPERLINK("https://www.zillow.com/homes/434-W-DOUGLAS-AVE-NAPERVILLE-IL-60563_rb/","check listing")</f>
        <v>check listing</v>
      </c>
      <c r="AB4032" s="5" t="str">
        <f>HYPERLINK("https://propertylookup.dupagecounty.gov/Datalets/Datalet.aspx?UseSearch=no&amp;mode=sales&amp;pin=0713223002","sales record")</f>
        <v>sales record</v>
      </c>
      <c r="AC4032" t="s">
        <v>3</v>
      </c>
      <c r="AD4032">
        <v>41.776915</v>
      </c>
      <c r="AE4032">
        <v>-88.15567799999999</v>
      </c>
      <c r="AF4032" s="5" t="str">
        <f>HYPERLINK("https://www.google.com/maps/search/?api=1&amp;query=41.776915,-88.155678","map")</f>
        <v>map</v>
      </c>
    </row>
    <row r="4033" spans="1:32">
      <c r="A4033" t="s">
        <v>4083</v>
      </c>
      <c r="B4033" t="s">
        <v>11616</v>
      </c>
      <c r="C4033" t="s">
        <v>15668</v>
      </c>
      <c r="D4033" t="s">
        <v>16206</v>
      </c>
      <c r="E4033" t="s">
        <v>16218</v>
      </c>
      <c r="F4033" t="s">
        <v>16221</v>
      </c>
      <c r="G4033" t="s">
        <v>16277</v>
      </c>
      <c r="H4033" t="s">
        <v>16277</v>
      </c>
      <c r="I4033" t="s">
        <v>16353</v>
      </c>
      <c r="J4033" t="s">
        <v>16386</v>
      </c>
      <c r="K4033">
        <v>0.252</v>
      </c>
      <c r="L4033">
        <v>10978</v>
      </c>
      <c r="M4033">
        <v>3843</v>
      </c>
      <c r="N4033" t="s">
        <v>16393</v>
      </c>
      <c r="O4033" s="4">
        <v>149965</v>
      </c>
      <c r="P4033" s="4">
        <v>474061</v>
      </c>
      <c r="Q4033" s="4">
        <v>624026</v>
      </c>
      <c r="R4033" s="4">
        <v>1872078</v>
      </c>
      <c r="S4033" t="s">
        <v>20342</v>
      </c>
      <c r="T4033" s="6">
        <v>44774</v>
      </c>
      <c r="U4033" s="4">
        <v>1500000</v>
      </c>
      <c r="V4033" t="s">
        <v>23739</v>
      </c>
      <c r="W4033" t="s">
        <v>25812</v>
      </c>
      <c r="X4033" t="s">
        <v>3</v>
      </c>
      <c r="AA4033" s="5" t="str">
        <f>HYPERLINK("https://www.zillow.com/homes/425-W-FRANKLIN-AVE-NAPERVILLE-IL-605404458_rb/","check listing")</f>
        <v>check listing</v>
      </c>
      <c r="AB4033" s="5" t="str">
        <f>HYPERLINK("https://propertylookup.dupagecounty.gov/Datalets/Datalet.aspx?UseSearch=no&amp;mode=sales&amp;pin=0713401003","sales record")</f>
        <v>sales record</v>
      </c>
      <c r="AC4033" t="s">
        <v>3</v>
      </c>
      <c r="AD4033">
        <v>41.776551</v>
      </c>
      <c r="AE4033">
        <v>-88.15545400000001</v>
      </c>
      <c r="AF4033" s="5" t="str">
        <f>HYPERLINK("https://www.google.com/maps/search/?api=1&amp;query=41.776551,-88.155454","map")</f>
        <v>map</v>
      </c>
    </row>
    <row r="4034" spans="1:32">
      <c r="A4034" t="s">
        <v>4084</v>
      </c>
      <c r="B4034" t="s">
        <v>11617</v>
      </c>
      <c r="C4034" t="s">
        <v>15475</v>
      </c>
      <c r="D4034" t="s">
        <v>16206</v>
      </c>
      <c r="E4034" t="s">
        <v>16218</v>
      </c>
      <c r="F4034" t="s">
        <v>16221</v>
      </c>
      <c r="G4034" t="s">
        <v>16277</v>
      </c>
      <c r="H4034" t="s">
        <v>16277</v>
      </c>
      <c r="I4034" t="s">
        <v>16353</v>
      </c>
      <c r="J4034" t="s">
        <v>16386</v>
      </c>
      <c r="K4034">
        <v>0.252</v>
      </c>
      <c r="L4034">
        <v>10976</v>
      </c>
      <c r="M4034">
        <v>3090</v>
      </c>
      <c r="N4034" t="s">
        <v>16393</v>
      </c>
      <c r="O4034" s="4">
        <v>157459</v>
      </c>
      <c r="P4034" s="4">
        <v>61209</v>
      </c>
      <c r="Q4034" s="4">
        <v>218668</v>
      </c>
      <c r="R4034" s="4">
        <v>656004</v>
      </c>
      <c r="S4034" t="s">
        <v>20343</v>
      </c>
      <c r="T4034" s="6">
        <v>34700</v>
      </c>
      <c r="U4034" s="4">
        <v>135000</v>
      </c>
      <c r="X4034" t="s">
        <v>3</v>
      </c>
      <c r="AA4034" s="5" t="str">
        <f>HYPERLINK("https://www.zillow.com/homes/440-DOUGLAS-AVE-NAPERVILLE-IL-60540_rb/","check listing")</f>
        <v>check listing</v>
      </c>
      <c r="AB4034" s="5" t="str">
        <f>HYPERLINK("https://propertylookup.dupagecounty.gov/Datalets/Datalet.aspx?UseSearch=no&amp;mode=sales&amp;pin=0713223001","sales record")</f>
        <v>sales record</v>
      </c>
      <c r="AC4034" t="s">
        <v>3</v>
      </c>
      <c r="AD4034">
        <v>41.776916</v>
      </c>
      <c r="AE4034">
        <v>-88.15592100000001</v>
      </c>
      <c r="AF4034" s="5" t="str">
        <f>HYPERLINK("https://www.google.com/maps/search/?api=1&amp;query=41.776916,-88.155921","map")</f>
        <v>map</v>
      </c>
    </row>
    <row r="4035" spans="1:32">
      <c r="A4035" t="s">
        <v>4085</v>
      </c>
      <c r="B4035" t="s">
        <v>11618</v>
      </c>
      <c r="C4035" t="s">
        <v>15475</v>
      </c>
      <c r="D4035" t="s">
        <v>16206</v>
      </c>
      <c r="E4035" t="s">
        <v>16218</v>
      </c>
      <c r="F4035" t="s">
        <v>16221</v>
      </c>
      <c r="G4035" t="s">
        <v>16277</v>
      </c>
      <c r="H4035" t="s">
        <v>16277</v>
      </c>
      <c r="I4035" t="s">
        <v>16353</v>
      </c>
      <c r="J4035" t="s">
        <v>16386</v>
      </c>
      <c r="K4035">
        <v>0.252</v>
      </c>
      <c r="L4035">
        <v>10965</v>
      </c>
      <c r="M4035">
        <v>2110</v>
      </c>
      <c r="N4035" t="s">
        <v>16393</v>
      </c>
      <c r="O4035" s="4">
        <v>158349</v>
      </c>
      <c r="P4035" s="4">
        <v>68876</v>
      </c>
      <c r="Q4035" s="4">
        <v>227225</v>
      </c>
      <c r="R4035" s="4">
        <v>681675</v>
      </c>
      <c r="S4035" t="s">
        <v>20344</v>
      </c>
      <c r="T4035" s="6">
        <v>45420</v>
      </c>
      <c r="U4035" s="4">
        <v>680000</v>
      </c>
      <c r="V4035" t="s">
        <v>23739</v>
      </c>
      <c r="W4035" t="s">
        <v>25813</v>
      </c>
      <c r="X4035" t="s">
        <v>3</v>
      </c>
      <c r="AA4035" s="5" t="str">
        <f>HYPERLINK("https://www.zillow.com/homes/16-N-LOOMIS-ST-NAPERVILLE-IL-60540_rb/","check listing")</f>
        <v>check listing</v>
      </c>
      <c r="AB4035" s="5" t="str">
        <f>HYPERLINK("https://propertylookup.dupagecounty.gov/Datalets/Datalet.aspx?UseSearch=no&amp;mode=sales&amp;pin=0818310003","sales record")</f>
        <v>sales record</v>
      </c>
      <c r="AC4035" t="s">
        <v>27873</v>
      </c>
      <c r="AD4035">
        <v>41.775376</v>
      </c>
      <c r="AE4035">
        <v>-88.141854</v>
      </c>
      <c r="AF4035" s="5" t="str">
        <f>HYPERLINK("https://www.google.com/maps/search/?api=1&amp;query=41.775376,-88.141854","map")</f>
        <v>map</v>
      </c>
    </row>
    <row r="4036" spans="1:32">
      <c r="A4036" t="s">
        <v>4086</v>
      </c>
      <c r="B4036" t="s">
        <v>11619</v>
      </c>
      <c r="C4036" t="s">
        <v>15475</v>
      </c>
      <c r="D4036" t="s">
        <v>16206</v>
      </c>
      <c r="E4036" t="s">
        <v>16218</v>
      </c>
      <c r="F4036" t="s">
        <v>16221</v>
      </c>
      <c r="G4036" t="s">
        <v>16277</v>
      </c>
      <c r="H4036" t="s">
        <v>16277</v>
      </c>
      <c r="I4036" t="s">
        <v>16353</v>
      </c>
      <c r="J4036" t="s">
        <v>16386</v>
      </c>
      <c r="K4036">
        <v>0.252</v>
      </c>
      <c r="L4036">
        <v>10964</v>
      </c>
      <c r="M4036">
        <v>2829</v>
      </c>
      <c r="N4036" t="s">
        <v>16393</v>
      </c>
      <c r="O4036" s="4">
        <v>157459</v>
      </c>
      <c r="P4036" s="4">
        <v>122918</v>
      </c>
      <c r="Q4036" s="4">
        <v>280377</v>
      </c>
      <c r="R4036" s="4">
        <v>841131</v>
      </c>
      <c r="S4036" t="s">
        <v>20345</v>
      </c>
      <c r="T4036" s="6">
        <v>42736</v>
      </c>
      <c r="U4036" s="4">
        <v>520000</v>
      </c>
      <c r="V4036" t="s">
        <v>23739</v>
      </c>
      <c r="W4036" t="s">
        <v>25814</v>
      </c>
      <c r="X4036" t="s">
        <v>3</v>
      </c>
      <c r="AA4036" s="5" t="str">
        <f>HYPERLINK("https://www.zillow.com/homes/312-W-DOUGLAS-AVE-NAPERVILLE-IL-60540_rb/","check listing")</f>
        <v>check listing</v>
      </c>
      <c r="AB4036" s="5" t="str">
        <f>HYPERLINK("https://propertylookup.dupagecounty.gov/Datalets/Datalet.aspx?UseSearch=no&amp;mode=sales&amp;pin=0713402006","sales record")</f>
        <v>sales record</v>
      </c>
      <c r="AC4036" t="s">
        <v>3</v>
      </c>
      <c r="AD4036">
        <v>41.776909</v>
      </c>
      <c r="AE4036">
        <v>-88.153255</v>
      </c>
      <c r="AF4036" s="5" t="str">
        <f>HYPERLINK("https://www.google.com/maps/search/?api=1&amp;query=41.776909,-88.153255","map")</f>
        <v>map</v>
      </c>
    </row>
    <row r="4037" spans="1:32">
      <c r="A4037" t="s">
        <v>4087</v>
      </c>
      <c r="B4037" t="s">
        <v>11620</v>
      </c>
      <c r="C4037" t="s">
        <v>15670</v>
      </c>
      <c r="D4037" t="s">
        <v>16206</v>
      </c>
      <c r="E4037" t="s">
        <v>16218</v>
      </c>
      <c r="F4037" t="s">
        <v>16221</v>
      </c>
      <c r="G4037" t="s">
        <v>16277</v>
      </c>
      <c r="H4037" t="s">
        <v>16277</v>
      </c>
      <c r="I4037" t="s">
        <v>16353</v>
      </c>
      <c r="J4037" t="s">
        <v>16386</v>
      </c>
      <c r="K4037">
        <v>0.252</v>
      </c>
      <c r="L4037">
        <v>10963</v>
      </c>
      <c r="M4037">
        <v>2176</v>
      </c>
      <c r="N4037" t="s">
        <v>16393</v>
      </c>
      <c r="O4037" s="4">
        <v>149965</v>
      </c>
      <c r="P4037" s="4">
        <v>401916</v>
      </c>
      <c r="Q4037" s="4">
        <v>551881</v>
      </c>
      <c r="R4037" s="4">
        <v>1655643</v>
      </c>
      <c r="S4037" t="s">
        <v>20346</v>
      </c>
      <c r="T4037" s="6">
        <v>44166</v>
      </c>
      <c r="U4037" s="4">
        <v>580000</v>
      </c>
      <c r="V4037" t="s">
        <v>23740</v>
      </c>
      <c r="W4037" t="s">
        <v>25815</v>
      </c>
      <c r="X4037" t="s">
        <v>3</v>
      </c>
      <c r="AA4037" s="5" t="str">
        <f>HYPERLINK("https://www.zillow.com/homes/321-W-FRANKLIN-AVE-NAPERVILLE-IL-605404460_rb/","check listing")</f>
        <v>check listing</v>
      </c>
      <c r="AB4037" s="5" t="str">
        <f>HYPERLINK("https://propertylookup.dupagecounty.gov/Datalets/Datalet.aspx?UseSearch=no&amp;mode=sales&amp;pin=0713402011","sales record")</f>
        <v>sales record</v>
      </c>
      <c r="AC4037" t="s">
        <v>3</v>
      </c>
      <c r="AD4037">
        <v>41.776499</v>
      </c>
      <c r="AE4037">
        <v>-88.15351699999999</v>
      </c>
      <c r="AF4037" s="5" t="str">
        <f>HYPERLINK("https://www.google.com/maps/search/?api=1&amp;query=41.776499,-88.153517","map")</f>
        <v>map</v>
      </c>
    </row>
    <row r="4038" spans="1:32">
      <c r="A4038" t="s">
        <v>4088</v>
      </c>
      <c r="B4038" t="s">
        <v>11621</v>
      </c>
      <c r="C4038" t="s">
        <v>15475</v>
      </c>
      <c r="D4038" t="s">
        <v>16206</v>
      </c>
      <c r="E4038" t="s">
        <v>16218</v>
      </c>
      <c r="F4038" t="s">
        <v>16221</v>
      </c>
      <c r="G4038" t="s">
        <v>16277</v>
      </c>
      <c r="H4038" t="s">
        <v>16277</v>
      </c>
      <c r="I4038" t="s">
        <v>16353</v>
      </c>
      <c r="J4038" t="s">
        <v>16386</v>
      </c>
      <c r="K4038">
        <v>0.252</v>
      </c>
      <c r="L4038">
        <v>10963</v>
      </c>
      <c r="M4038">
        <v>2014</v>
      </c>
      <c r="N4038" t="s">
        <v>16393</v>
      </c>
      <c r="O4038" s="4">
        <v>157459</v>
      </c>
      <c r="P4038" s="4">
        <v>44366</v>
      </c>
      <c r="Q4038" s="4">
        <v>201825</v>
      </c>
      <c r="R4038" s="4">
        <v>605475</v>
      </c>
      <c r="S4038" t="s">
        <v>20347</v>
      </c>
      <c r="T4038" s="6">
        <v>39022</v>
      </c>
      <c r="U4038" s="4">
        <v>525000</v>
      </c>
      <c r="V4038" t="s">
        <v>23739</v>
      </c>
      <c r="W4038" t="s">
        <v>25816</v>
      </c>
      <c r="X4038" t="s">
        <v>3</v>
      </c>
      <c r="AA4038" s="5" t="str">
        <f>HYPERLINK("https://www.zillow.com/homes/308-DOUGLAS-AVE-NAPERVILLE-IL-60540_rb/","check listing")</f>
        <v>check listing</v>
      </c>
      <c r="AB4038" s="5" t="str">
        <f>HYPERLINK("https://propertylookup.dupagecounty.gov/Datalets/Datalet.aspx?UseSearch=no&amp;mode=sales&amp;pin=0713402007","sales record")</f>
        <v>sales record</v>
      </c>
      <c r="AC4038" t="s">
        <v>3</v>
      </c>
      <c r="AD4038">
        <v>41.776908</v>
      </c>
      <c r="AE4038">
        <v>-88.153013</v>
      </c>
      <c r="AF4038" s="5" t="str">
        <f>HYPERLINK("https://www.google.com/maps/search/?api=1&amp;query=41.776908,-88.153013","map")</f>
        <v>map</v>
      </c>
    </row>
    <row r="4039" spans="1:32">
      <c r="A4039" t="s">
        <v>4089</v>
      </c>
      <c r="B4039" t="s">
        <v>11622</v>
      </c>
      <c r="C4039" t="s">
        <v>15670</v>
      </c>
      <c r="D4039" t="s">
        <v>16206</v>
      </c>
      <c r="E4039" t="s">
        <v>16218</v>
      </c>
      <c r="F4039" t="s">
        <v>16221</v>
      </c>
      <c r="G4039" t="s">
        <v>16277</v>
      </c>
      <c r="H4039" t="s">
        <v>16277</v>
      </c>
      <c r="I4039" t="s">
        <v>16353</v>
      </c>
      <c r="J4039" t="s">
        <v>16386</v>
      </c>
      <c r="K4039">
        <v>0.252</v>
      </c>
      <c r="L4039">
        <v>10958</v>
      </c>
      <c r="M4039">
        <v>4122</v>
      </c>
      <c r="N4039" t="s">
        <v>16393</v>
      </c>
      <c r="O4039" s="4">
        <v>134964</v>
      </c>
      <c r="P4039" s="4">
        <v>480066</v>
      </c>
      <c r="Q4039" s="4">
        <v>615030</v>
      </c>
      <c r="R4039" s="4">
        <v>1845090</v>
      </c>
      <c r="S4039" t="s">
        <v>20348</v>
      </c>
      <c r="T4039" s="6">
        <v>44682</v>
      </c>
      <c r="U4039" s="4">
        <v>1549000</v>
      </c>
      <c r="V4039" t="s">
        <v>23739</v>
      </c>
      <c r="W4039" t="s">
        <v>20348</v>
      </c>
      <c r="X4039" t="s">
        <v>3</v>
      </c>
      <c r="AA4039" s="5" t="str">
        <f>HYPERLINK("https://www.zillow.com/homes/339-W-FRANKLIN-AVE-NAPERVILLE-IL-605404460_rb/","check listing")</f>
        <v>check listing</v>
      </c>
      <c r="AB4039" s="5" t="str">
        <f>HYPERLINK("https://propertylookup.dupagecounty.gov/Datalets/Datalet.aspx?UseSearch=no&amp;mode=sales&amp;pin=0713402008","sales record")</f>
        <v>sales record</v>
      </c>
      <c r="AC4039" t="s">
        <v>3</v>
      </c>
      <c r="AD4039">
        <v>41.776518</v>
      </c>
      <c r="AE4039">
        <v>-88.15424299999999</v>
      </c>
      <c r="AF4039" s="5" t="str">
        <f>HYPERLINK("https://www.google.com/maps/search/?api=1&amp;query=41.776518,-88.154243","map")</f>
        <v>map</v>
      </c>
    </row>
    <row r="4040" spans="1:32">
      <c r="A4040" t="s">
        <v>4090</v>
      </c>
      <c r="B4040" t="s">
        <v>11623</v>
      </c>
      <c r="C4040" t="s">
        <v>15475</v>
      </c>
      <c r="D4040" t="s">
        <v>16206</v>
      </c>
      <c r="E4040" t="s">
        <v>16218</v>
      </c>
      <c r="F4040" t="s">
        <v>16221</v>
      </c>
      <c r="G4040" t="s">
        <v>16277</v>
      </c>
      <c r="H4040" t="s">
        <v>16277</v>
      </c>
      <c r="I4040" t="s">
        <v>16353</v>
      </c>
      <c r="J4040" t="s">
        <v>16386</v>
      </c>
      <c r="K4040">
        <v>0.251</v>
      </c>
      <c r="L4040">
        <v>10955</v>
      </c>
      <c r="M4040">
        <v>3131</v>
      </c>
      <c r="N4040" t="s">
        <v>16393</v>
      </c>
      <c r="O4040" s="4">
        <v>158325</v>
      </c>
      <c r="P4040" s="4">
        <v>261378</v>
      </c>
      <c r="Q4040" s="4">
        <v>419703</v>
      </c>
      <c r="R4040" s="4">
        <v>1259109</v>
      </c>
      <c r="S4040" t="s">
        <v>20349</v>
      </c>
      <c r="T4040" s="6">
        <v>41609</v>
      </c>
      <c r="U4040" s="4">
        <v>840000</v>
      </c>
      <c r="V4040" t="s">
        <v>23739</v>
      </c>
      <c r="W4040" t="s">
        <v>25817</v>
      </c>
      <c r="X4040" t="s">
        <v>3</v>
      </c>
      <c r="AA4040" s="5" t="str">
        <f>HYPERLINK("https://www.zillow.com/homes/16-N-WRIGHT-ST-NAPERVILLE-IL-60540_rb/","check listing")</f>
        <v>check listing</v>
      </c>
      <c r="AB4040" s="5" t="str">
        <f>HYPERLINK("https://propertylookup.dupagecounty.gov/Datalets/Datalet.aspx?UseSearch=no&amp;mode=sales&amp;pin=0818312003","sales record")</f>
        <v>sales record</v>
      </c>
      <c r="AC4040" t="s">
        <v>27873</v>
      </c>
      <c r="AD4040">
        <v>41.775281</v>
      </c>
      <c r="AE4040">
        <v>-88.139025</v>
      </c>
      <c r="AF4040" s="5" t="str">
        <f>HYPERLINK("https://www.google.com/maps/search/?api=1&amp;query=41.775281,-88.139025","map")</f>
        <v>map</v>
      </c>
    </row>
    <row r="4041" spans="1:32">
      <c r="A4041" t="s">
        <v>4091</v>
      </c>
      <c r="B4041" t="s">
        <v>11624</v>
      </c>
      <c r="C4041" t="s">
        <v>15475</v>
      </c>
      <c r="D4041" t="s">
        <v>16206</v>
      </c>
      <c r="E4041" t="s">
        <v>16218</v>
      </c>
      <c r="F4041" t="s">
        <v>16221</v>
      </c>
      <c r="G4041" t="s">
        <v>16277</v>
      </c>
      <c r="H4041" t="s">
        <v>16277</v>
      </c>
      <c r="I4041" t="s">
        <v>16353</v>
      </c>
      <c r="J4041" t="s">
        <v>16386</v>
      </c>
      <c r="K4041">
        <v>0.251</v>
      </c>
      <c r="L4041">
        <v>10951</v>
      </c>
      <c r="M4041">
        <v>1979</v>
      </c>
      <c r="N4041" t="s">
        <v>16393</v>
      </c>
      <c r="O4041" s="4">
        <v>143806</v>
      </c>
      <c r="P4041" s="4">
        <v>222777</v>
      </c>
      <c r="Q4041" s="4">
        <v>366583</v>
      </c>
      <c r="R4041" s="4">
        <v>1099749</v>
      </c>
      <c r="S4041" t="s">
        <v>20350</v>
      </c>
      <c r="T4041" s="6">
        <v>40118</v>
      </c>
      <c r="U4041" s="4">
        <v>715000</v>
      </c>
      <c r="V4041" t="s">
        <v>23739</v>
      </c>
      <c r="W4041" t="s">
        <v>20350</v>
      </c>
      <c r="X4041" t="s">
        <v>3</v>
      </c>
      <c r="AA4041" s="5" t="str">
        <f>HYPERLINK("https://www.zillow.com/homes/214-N-HUFFMAN-ST-NAPERVILLE-IL-60540_rb/","check listing")</f>
        <v>check listing</v>
      </c>
      <c r="AB4041" s="5" t="str">
        <f>HYPERLINK("https://propertylookup.dupagecounty.gov/Datalets/Datalet.aspx?UseSearch=no&amp;mode=sales&amp;pin=0818211017","sales record")</f>
        <v>sales record</v>
      </c>
      <c r="AC4041" t="s">
        <v>3</v>
      </c>
      <c r="AD4041">
        <v>41.777621</v>
      </c>
      <c r="AE4041">
        <v>-88.134919</v>
      </c>
      <c r="AF4041" s="5" t="str">
        <f>HYPERLINK("https://www.google.com/maps/search/?api=1&amp;query=41.777621,-88.134919","map")</f>
        <v>map</v>
      </c>
    </row>
    <row r="4042" spans="1:32">
      <c r="A4042" t="s">
        <v>4092</v>
      </c>
      <c r="B4042" t="s">
        <v>11625</v>
      </c>
      <c r="C4042" t="s">
        <v>15475</v>
      </c>
      <c r="D4042" t="s">
        <v>16206</v>
      </c>
      <c r="E4042" t="s">
        <v>16218</v>
      </c>
      <c r="F4042" t="s">
        <v>16221</v>
      </c>
      <c r="G4042" t="s">
        <v>16277</v>
      </c>
      <c r="H4042" t="s">
        <v>16277</v>
      </c>
      <c r="I4042" t="s">
        <v>16353</v>
      </c>
      <c r="J4042" t="s">
        <v>16386</v>
      </c>
      <c r="K4042">
        <v>0.251</v>
      </c>
      <c r="L4042">
        <v>10951</v>
      </c>
      <c r="M4042">
        <v>2447</v>
      </c>
      <c r="N4042" t="s">
        <v>16393</v>
      </c>
      <c r="O4042" s="4">
        <v>158325</v>
      </c>
      <c r="P4042" s="4">
        <v>126682</v>
      </c>
      <c r="Q4042" s="4">
        <v>285007</v>
      </c>
      <c r="R4042" s="4">
        <v>855021</v>
      </c>
      <c r="S4042" t="s">
        <v>20351</v>
      </c>
      <c r="T4042" s="6">
        <v>42614</v>
      </c>
      <c r="U4042" s="4">
        <v>415000</v>
      </c>
      <c r="V4042" t="s">
        <v>23740</v>
      </c>
      <c r="W4042" t="s">
        <v>25818</v>
      </c>
      <c r="X4042" t="s">
        <v>3</v>
      </c>
      <c r="AA4042" s="5" t="str">
        <f>HYPERLINK("https://www.zillow.com/homes/7-N-WRIGHT-ST-NAPERVILLE-IL-60540_rb/","check listing")</f>
        <v>check listing</v>
      </c>
      <c r="AB4042" s="5" t="str">
        <f>HYPERLINK("https://propertylookup.dupagecounty.gov/Datalets/Datalet.aspx?UseSearch=no&amp;mode=sales&amp;pin=0818311008","sales record")</f>
        <v>sales record</v>
      </c>
      <c r="AC4042" t="s">
        <v>3</v>
      </c>
      <c r="AD4042">
        <v>41.775036</v>
      </c>
      <c r="AE4042">
        <v>-88.139833</v>
      </c>
      <c r="AF4042" s="5" t="str">
        <f>HYPERLINK("https://www.google.com/maps/search/?api=1&amp;query=41.775036,-88.139833","map")</f>
        <v>map</v>
      </c>
    </row>
    <row r="4043" spans="1:32">
      <c r="A4043" t="s">
        <v>4093</v>
      </c>
      <c r="B4043" t="s">
        <v>11626</v>
      </c>
      <c r="C4043" t="s">
        <v>15671</v>
      </c>
      <c r="D4043" t="s">
        <v>16206</v>
      </c>
      <c r="E4043" t="s">
        <v>16218</v>
      </c>
      <c r="F4043" t="s">
        <v>16221</v>
      </c>
      <c r="G4043" t="s">
        <v>16277</v>
      </c>
      <c r="H4043" t="s">
        <v>16277</v>
      </c>
      <c r="I4043" t="s">
        <v>16353</v>
      </c>
      <c r="J4043" t="s">
        <v>16386</v>
      </c>
      <c r="K4043">
        <v>0.251</v>
      </c>
      <c r="L4043">
        <v>10947</v>
      </c>
      <c r="M4043">
        <v>3085</v>
      </c>
      <c r="N4043" t="s">
        <v>16393</v>
      </c>
      <c r="O4043" s="4">
        <v>149965</v>
      </c>
      <c r="P4043" s="4">
        <v>552394</v>
      </c>
      <c r="Q4043" s="4">
        <v>702359</v>
      </c>
      <c r="R4043" s="4">
        <v>2107077</v>
      </c>
      <c r="S4043" t="s">
        <v>20352</v>
      </c>
      <c r="T4043" s="6">
        <v>44044</v>
      </c>
      <c r="U4043" s="4">
        <v>1435000</v>
      </c>
      <c r="V4043" t="s">
        <v>23740</v>
      </c>
      <c r="W4043" t="s">
        <v>25819</v>
      </c>
      <c r="X4043" t="s">
        <v>3</v>
      </c>
      <c r="AA4043" s="5" t="str">
        <f>HYPERLINK("https://www.zillow.com/homes/20-S-FREMONT-ST-NAPERVILLE-IL-605404329_rb/","check listing")</f>
        <v>check listing</v>
      </c>
      <c r="AB4043" s="5" t="str">
        <f>HYPERLINK("https://propertylookup.dupagecounty.gov/Datalets/Datalet.aspx?UseSearch=no&amp;mode=sales&amp;pin=0713311003","sales record")</f>
        <v>sales record</v>
      </c>
      <c r="AC4043" t="s">
        <v>3</v>
      </c>
      <c r="AD4043">
        <v>41.774941</v>
      </c>
      <c r="AE4043">
        <v>-88.15884800000001</v>
      </c>
      <c r="AF4043" s="5" t="str">
        <f>HYPERLINK("https://www.google.com/maps/search/?api=1&amp;query=41.774941,-88.158848","map")</f>
        <v>map</v>
      </c>
    </row>
    <row r="4044" spans="1:32">
      <c r="A4044" t="s">
        <v>4094</v>
      </c>
      <c r="B4044" t="s">
        <v>11627</v>
      </c>
      <c r="C4044" t="s">
        <v>15672</v>
      </c>
      <c r="D4044" t="s">
        <v>16206</v>
      </c>
      <c r="E4044" t="s">
        <v>16218</v>
      </c>
      <c r="F4044" t="s">
        <v>16221</v>
      </c>
      <c r="G4044" t="s">
        <v>16277</v>
      </c>
      <c r="H4044" t="s">
        <v>16277</v>
      </c>
      <c r="I4044" t="s">
        <v>16353</v>
      </c>
      <c r="J4044" t="s">
        <v>16386</v>
      </c>
      <c r="K4044">
        <v>0.251</v>
      </c>
      <c r="L4044">
        <v>10947</v>
      </c>
      <c r="M4044">
        <v>1864</v>
      </c>
      <c r="N4044" t="s">
        <v>16393</v>
      </c>
      <c r="O4044" s="4">
        <v>157459</v>
      </c>
      <c r="P4044" s="4">
        <v>78345</v>
      </c>
      <c r="Q4044" s="4">
        <v>235804</v>
      </c>
      <c r="R4044" s="4">
        <v>707412</v>
      </c>
      <c r="S4044" t="s">
        <v>20353</v>
      </c>
      <c r="X4044" t="s">
        <v>3</v>
      </c>
      <c r="AA4044" s="5" t="str">
        <f>HYPERLINK("https://www.zillow.com/homes/68080-W-BENTON-AVE-NAPERVILLE-IL-60564_rb/","check listing")</f>
        <v>check listing</v>
      </c>
      <c r="AB4044" s="5" t="str">
        <f>HYPERLINK("https://propertylookup.dupagecounty.gov/Datalets/Datalet.aspx?UseSearch=no&amp;mode=sales&amp;pin=0713311001","sales record")</f>
        <v>sales record</v>
      </c>
      <c r="AC4044" t="s">
        <v>3</v>
      </c>
      <c r="AD4044">
        <v>41.775302</v>
      </c>
      <c r="AE4044">
        <v>-88.158777</v>
      </c>
      <c r="AF4044" s="5" t="str">
        <f>HYPERLINK("https://www.google.com/maps/search/?api=1&amp;query=41.775302,-88.158777","map")</f>
        <v>map</v>
      </c>
    </row>
    <row r="4045" spans="1:32">
      <c r="A4045" t="s">
        <v>4095</v>
      </c>
      <c r="B4045" t="s">
        <v>11628</v>
      </c>
      <c r="C4045" t="s">
        <v>15671</v>
      </c>
      <c r="D4045" t="s">
        <v>16206</v>
      </c>
      <c r="E4045" t="s">
        <v>16218</v>
      </c>
      <c r="F4045" t="s">
        <v>16221</v>
      </c>
      <c r="G4045" t="s">
        <v>16277</v>
      </c>
      <c r="H4045" t="s">
        <v>16277</v>
      </c>
      <c r="I4045" t="s">
        <v>16353</v>
      </c>
      <c r="J4045" t="s">
        <v>16386</v>
      </c>
      <c r="K4045">
        <v>0.251</v>
      </c>
      <c r="L4045">
        <v>10942</v>
      </c>
      <c r="M4045">
        <v>2176</v>
      </c>
      <c r="N4045" t="s">
        <v>16393</v>
      </c>
      <c r="O4045" s="4">
        <v>149965</v>
      </c>
      <c r="P4045" s="4">
        <v>459464</v>
      </c>
      <c r="Q4045" s="4">
        <v>609429</v>
      </c>
      <c r="R4045" s="4">
        <v>1828287</v>
      </c>
      <c r="S4045" t="s">
        <v>20354</v>
      </c>
      <c r="X4045" t="s">
        <v>3</v>
      </c>
      <c r="AA4045" s="5" t="str">
        <f>HYPERLINK("https://www.zillow.com/homes/14-S-FREMONT-ST-NAPERVILLE-IL-605404329_rb/","check listing")</f>
        <v>check listing</v>
      </c>
      <c r="AB4045" s="5" t="str">
        <f>HYPERLINK("https://propertylookup.dupagecounty.gov/Datalets/Datalet.aspx?UseSearch=no&amp;mode=sales&amp;pin=0713311023","sales record")</f>
        <v>sales record</v>
      </c>
      <c r="AC4045" t="s">
        <v>3</v>
      </c>
      <c r="AD4045">
        <v>41.775123</v>
      </c>
      <c r="AE4045">
        <v>-88.158812</v>
      </c>
      <c r="AF4045" s="5" t="str">
        <f>HYPERLINK("https://www.google.com/maps/search/?api=1&amp;query=41.775123,-88.158812","map")</f>
        <v>map</v>
      </c>
    </row>
    <row r="4046" spans="1:32">
      <c r="A4046" t="s">
        <v>4096</v>
      </c>
      <c r="B4046" t="s">
        <v>11629</v>
      </c>
      <c r="C4046" t="s">
        <v>15671</v>
      </c>
      <c r="D4046" t="s">
        <v>16206</v>
      </c>
      <c r="E4046" t="s">
        <v>16218</v>
      </c>
      <c r="F4046" t="s">
        <v>16221</v>
      </c>
      <c r="G4046" t="s">
        <v>16277</v>
      </c>
      <c r="H4046" t="s">
        <v>16277</v>
      </c>
      <c r="I4046" t="s">
        <v>16353</v>
      </c>
      <c r="J4046" t="s">
        <v>16386</v>
      </c>
      <c r="K4046">
        <v>0.251</v>
      </c>
      <c r="L4046">
        <v>10941</v>
      </c>
      <c r="M4046">
        <v>3248</v>
      </c>
      <c r="N4046" t="s">
        <v>16393</v>
      </c>
      <c r="O4046" s="4">
        <v>149965</v>
      </c>
      <c r="P4046" s="4">
        <v>540372</v>
      </c>
      <c r="Q4046" s="4">
        <v>690337</v>
      </c>
      <c r="R4046" s="4">
        <v>2071011</v>
      </c>
      <c r="S4046" t="s">
        <v>20355</v>
      </c>
      <c r="T4046" s="6">
        <v>43040</v>
      </c>
      <c r="U4046" s="4">
        <v>1450000</v>
      </c>
      <c r="V4046" t="s">
        <v>23739</v>
      </c>
      <c r="W4046" t="s">
        <v>25820</v>
      </c>
      <c r="X4046" t="s">
        <v>3</v>
      </c>
      <c r="AA4046" s="5" t="str">
        <f>HYPERLINK("https://www.zillow.com/homes/26-S-FREMONT-ST-NAPERVILLE-IL-605404329_rb/","check listing")</f>
        <v>check listing</v>
      </c>
      <c r="AB4046" s="5" t="str">
        <f>HYPERLINK("https://propertylookup.dupagecounty.gov/Datalets/Datalet.aspx?UseSearch=no&amp;mode=sales&amp;pin=0713311004","sales record")</f>
        <v>sales record</v>
      </c>
      <c r="AC4046" t="s">
        <v>3</v>
      </c>
      <c r="AD4046">
        <v>41.774747</v>
      </c>
      <c r="AE4046">
        <v>-88.15888699999999</v>
      </c>
      <c r="AF4046" s="5" t="str">
        <f>HYPERLINK("https://www.google.com/maps/search/?api=1&amp;query=41.774747,-88.158887","map")</f>
        <v>map</v>
      </c>
    </row>
    <row r="4047" spans="1:32">
      <c r="A4047" t="s">
        <v>4097</v>
      </c>
      <c r="B4047" t="s">
        <v>11630</v>
      </c>
      <c r="C4047" t="s">
        <v>15653</v>
      </c>
      <c r="D4047" t="s">
        <v>16206</v>
      </c>
      <c r="E4047" t="s">
        <v>16218</v>
      </c>
      <c r="F4047" t="s">
        <v>16221</v>
      </c>
      <c r="G4047" t="s">
        <v>16278</v>
      </c>
      <c r="H4047" t="s">
        <v>16277</v>
      </c>
      <c r="I4047" t="s">
        <v>16353</v>
      </c>
      <c r="J4047" t="s">
        <v>16386</v>
      </c>
      <c r="K4047">
        <v>0.251</v>
      </c>
      <c r="L4047">
        <v>10936</v>
      </c>
      <c r="N4047" t="s">
        <v>16393</v>
      </c>
      <c r="O4047" s="4">
        <v>66140</v>
      </c>
      <c r="P4047" s="4">
        <v>195344</v>
      </c>
      <c r="Q4047" s="4">
        <v>261484</v>
      </c>
      <c r="R4047" s="4">
        <v>784452</v>
      </c>
      <c r="S4047" t="s">
        <v>20356</v>
      </c>
      <c r="T4047" s="6">
        <v>44501</v>
      </c>
      <c r="U4047" s="4">
        <v>700000</v>
      </c>
      <c r="V4047" t="s">
        <v>23739</v>
      </c>
      <c r="W4047" t="s">
        <v>25821</v>
      </c>
      <c r="X4047" t="s">
        <v>3</v>
      </c>
      <c r="AA4047" s="5" t="str">
        <f>HYPERLINK("https://www.zillow.com/homes/2311-COUNTRY-CLUB-NAPERVILLE-IL-605631721_rb/","check listing")</f>
        <v>check listing</v>
      </c>
      <c r="AB4047" s="5" t="str">
        <f>HYPERLINK("https://propertylookup.dupagecounty.gov/Datalets/Datalet.aspx?UseSearch=no&amp;mode=sales&amp;pin=0709102038","sales record")</f>
        <v>sales record</v>
      </c>
      <c r="AC4047" t="s">
        <v>3</v>
      </c>
      <c r="AD4047">
        <v>41.79692</v>
      </c>
      <c r="AE4047">
        <v>-88.216542</v>
      </c>
      <c r="AF4047" s="5" t="str">
        <f>HYPERLINK("https://www.google.com/maps/search/?api=1&amp;query=41.79692,-88.216542","map")</f>
        <v>map</v>
      </c>
    </row>
    <row r="4048" spans="1:32">
      <c r="A4048" t="s">
        <v>4098</v>
      </c>
      <c r="B4048" t="s">
        <v>11631</v>
      </c>
      <c r="C4048" t="s">
        <v>15629</v>
      </c>
      <c r="D4048" t="s">
        <v>16206</v>
      </c>
      <c r="E4048" t="s">
        <v>16218</v>
      </c>
      <c r="F4048" t="s">
        <v>16221</v>
      </c>
      <c r="G4048" t="s">
        <v>16278</v>
      </c>
      <c r="H4048" t="s">
        <v>16277</v>
      </c>
      <c r="I4048" t="s">
        <v>16353</v>
      </c>
      <c r="J4048" t="s">
        <v>16386</v>
      </c>
      <c r="K4048">
        <v>0.251</v>
      </c>
      <c r="L4048">
        <v>10929</v>
      </c>
      <c r="N4048" t="s">
        <v>16393</v>
      </c>
      <c r="O4048" s="4">
        <v>66140</v>
      </c>
      <c r="P4048" s="4">
        <v>193636</v>
      </c>
      <c r="Q4048" s="4">
        <v>259776</v>
      </c>
      <c r="R4048" s="4">
        <v>779328</v>
      </c>
      <c r="S4048" t="s">
        <v>20357</v>
      </c>
      <c r="T4048" s="6">
        <v>43282</v>
      </c>
      <c r="U4048" s="4">
        <v>569660</v>
      </c>
      <c r="V4048" t="s">
        <v>16232</v>
      </c>
      <c r="W4048" t="s">
        <v>25822</v>
      </c>
      <c r="X4048" t="s">
        <v>3</v>
      </c>
      <c r="AA4048" s="5" t="str">
        <f>HYPERLINK("https://www.zillow.com/homes/1328-BAYOU-PATH-CT-NAPERVILLE-IL-605633609_rb/","check listing")</f>
        <v>check listing</v>
      </c>
      <c r="AB4048" s="5" t="str">
        <f>HYPERLINK("https://propertylookup.dupagecounty.gov/Datalets/Datalet.aspx?UseSearch=no&amp;mode=sales&amp;pin=0709311092","sales record")</f>
        <v>sales record</v>
      </c>
      <c r="AC4048" t="s">
        <v>3</v>
      </c>
      <c r="AD4048">
        <v>41.785832</v>
      </c>
      <c r="AE4048">
        <v>-88.217251</v>
      </c>
      <c r="AF4048" s="5" t="str">
        <f>HYPERLINK("https://www.google.com/maps/search/?api=1&amp;query=41.785832,-88.217251","map")</f>
        <v>map</v>
      </c>
    </row>
    <row r="4049" spans="1:32">
      <c r="A4049" t="s">
        <v>4099</v>
      </c>
      <c r="B4049" t="s">
        <v>11632</v>
      </c>
      <c r="C4049" t="s">
        <v>15673</v>
      </c>
      <c r="D4049" t="s">
        <v>16206</v>
      </c>
      <c r="E4049" t="s">
        <v>16218</v>
      </c>
      <c r="F4049" t="s">
        <v>16221</v>
      </c>
      <c r="G4049" t="s">
        <v>16277</v>
      </c>
      <c r="H4049" t="s">
        <v>16277</v>
      </c>
      <c r="I4049" t="s">
        <v>16353</v>
      </c>
      <c r="J4049" t="s">
        <v>16386</v>
      </c>
      <c r="K4049">
        <v>0.251</v>
      </c>
      <c r="L4049">
        <v>10924</v>
      </c>
      <c r="M4049">
        <v>4249</v>
      </c>
      <c r="N4049" t="s">
        <v>16393</v>
      </c>
      <c r="O4049" s="4">
        <v>128227</v>
      </c>
      <c r="P4049" s="4">
        <v>401257</v>
      </c>
      <c r="Q4049" s="4">
        <v>529484</v>
      </c>
      <c r="R4049" s="4">
        <v>1588452</v>
      </c>
      <c r="S4049" t="s">
        <v>20358</v>
      </c>
      <c r="T4049" s="6">
        <v>44470</v>
      </c>
      <c r="U4049" s="4">
        <v>1125000</v>
      </c>
      <c r="V4049" t="s">
        <v>23739</v>
      </c>
      <c r="W4049" t="s">
        <v>25823</v>
      </c>
      <c r="X4049" t="s">
        <v>3</v>
      </c>
      <c r="AA4049" s="5" t="str">
        <f>HYPERLINK("https://www.zillow.com/homes/222-W-BENTON-AVE-NAPERVILLE-IL-605404402_rb/","check listing")</f>
        <v>check listing</v>
      </c>
      <c r="AB4049" s="5" t="str">
        <f>HYPERLINK("https://propertylookup.dupagecounty.gov/Datalets/Datalet.aspx?UseSearch=no&amp;mode=sales&amp;pin=0713417004","sales record")</f>
        <v>sales record</v>
      </c>
      <c r="AC4049" t="s">
        <v>3</v>
      </c>
      <c r="AD4049">
        <v>41.774909</v>
      </c>
      <c r="AE4049">
        <v>-88.15189700000001</v>
      </c>
      <c r="AF4049" s="5" t="str">
        <f>HYPERLINK("https://www.google.com/maps/search/?api=1&amp;query=41.774909,-88.151897","map")</f>
        <v>map</v>
      </c>
    </row>
    <row r="4050" spans="1:32">
      <c r="A4050" t="s">
        <v>4100</v>
      </c>
      <c r="B4050" t="s">
        <v>11633</v>
      </c>
      <c r="C4050" t="s">
        <v>15475</v>
      </c>
      <c r="D4050" t="s">
        <v>16206</v>
      </c>
      <c r="E4050" t="s">
        <v>16218</v>
      </c>
      <c r="F4050" t="s">
        <v>16221</v>
      </c>
      <c r="G4050" t="s">
        <v>16277</v>
      </c>
      <c r="H4050" t="s">
        <v>16277</v>
      </c>
      <c r="I4050" t="s">
        <v>16353</v>
      </c>
      <c r="J4050" t="s">
        <v>16386</v>
      </c>
      <c r="K4050">
        <v>0.251</v>
      </c>
      <c r="L4050">
        <v>10921</v>
      </c>
      <c r="M4050">
        <v>1682</v>
      </c>
      <c r="N4050" t="s">
        <v>16393</v>
      </c>
      <c r="O4050" s="4">
        <v>149965</v>
      </c>
      <c r="P4050" s="4">
        <v>106210</v>
      </c>
      <c r="Q4050" s="4">
        <v>256175</v>
      </c>
      <c r="R4050" s="4">
        <v>768525</v>
      </c>
      <c r="S4050" t="s">
        <v>20359</v>
      </c>
      <c r="T4050" s="6">
        <v>30529</v>
      </c>
      <c r="U4050" s="4">
        <v>81000</v>
      </c>
      <c r="X4050" t="s">
        <v>3</v>
      </c>
      <c r="AA4050" s="5" t="str">
        <f>HYPERLINK("https://www.zillow.com/homes/305-W-JEFFERSON-AVE-NAPERVILLE-IL-60540_rb/","check listing")</f>
        <v>check listing</v>
      </c>
      <c r="AB4050" s="5" t="str">
        <f>HYPERLINK("https://propertylookup.dupagecounty.gov/Datalets/Datalet.aspx?UseSearch=no&amp;mode=sales&amp;pin=0713416023","sales record")</f>
        <v>sales record</v>
      </c>
      <c r="AC4050" t="s">
        <v>3</v>
      </c>
      <c r="AD4050">
        <v>41.773401</v>
      </c>
      <c r="AE4050">
        <v>-88.153187</v>
      </c>
      <c r="AF4050" s="5" t="str">
        <f>HYPERLINK("https://www.google.com/maps/search/?api=1&amp;query=41.773401,-88.153187","map")</f>
        <v>map</v>
      </c>
    </row>
    <row r="4051" spans="1:32">
      <c r="A4051" t="s">
        <v>4101</v>
      </c>
      <c r="B4051" t="s">
        <v>11634</v>
      </c>
      <c r="C4051" t="s">
        <v>15674</v>
      </c>
      <c r="D4051" t="s">
        <v>16206</v>
      </c>
      <c r="E4051" t="s">
        <v>16218</v>
      </c>
      <c r="F4051" t="s">
        <v>16221</v>
      </c>
      <c r="G4051" t="s">
        <v>16277</v>
      </c>
      <c r="H4051" t="s">
        <v>16277</v>
      </c>
      <c r="I4051" t="s">
        <v>16353</v>
      </c>
      <c r="J4051" t="s">
        <v>16386</v>
      </c>
      <c r="K4051">
        <v>0.25</v>
      </c>
      <c r="L4051">
        <v>10906</v>
      </c>
      <c r="M4051">
        <v>3447</v>
      </c>
      <c r="N4051" t="s">
        <v>16393</v>
      </c>
      <c r="O4051" s="4">
        <v>149965</v>
      </c>
      <c r="P4051" s="4">
        <v>485632</v>
      </c>
      <c r="Q4051" s="4">
        <v>635597</v>
      </c>
      <c r="R4051" s="4">
        <v>1906791</v>
      </c>
      <c r="S4051" t="s">
        <v>20360</v>
      </c>
      <c r="T4051" s="6">
        <v>45130</v>
      </c>
      <c r="U4051" s="4">
        <v>1700000</v>
      </c>
      <c r="V4051" t="s">
        <v>23739</v>
      </c>
      <c r="W4051" t="s">
        <v>25824</v>
      </c>
      <c r="X4051" t="s">
        <v>3</v>
      </c>
      <c r="AA4051" s="5" t="str">
        <f>HYPERLINK("https://www.zillow.com/homes/411-W-JEFFERSON-AVE-NAPERVILLE-IL-605405216_rb/","check listing")</f>
        <v>check listing</v>
      </c>
      <c r="AB4051" s="5" t="str">
        <f>HYPERLINK("https://propertylookup.dupagecounty.gov/Datalets/Datalet.aspx?UseSearch=no&amp;mode=sales&amp;pin=0713415024","sales record")</f>
        <v>sales record</v>
      </c>
      <c r="AC4051" t="s">
        <v>3</v>
      </c>
      <c r="AD4051">
        <v>41.773459</v>
      </c>
      <c r="AE4051">
        <v>-88.155126</v>
      </c>
      <c r="AF4051" s="5" t="str">
        <f>HYPERLINK("https://www.google.com/maps/search/?api=1&amp;query=41.773459,-88.155126","map")</f>
        <v>map</v>
      </c>
    </row>
    <row r="4052" spans="1:32">
      <c r="A4052" t="s">
        <v>4102</v>
      </c>
      <c r="B4052" t="s">
        <v>11635</v>
      </c>
      <c r="C4052" t="s">
        <v>15475</v>
      </c>
      <c r="D4052" t="s">
        <v>16206</v>
      </c>
      <c r="E4052" t="s">
        <v>16218</v>
      </c>
      <c r="F4052" t="s">
        <v>16221</v>
      </c>
      <c r="G4052" t="s">
        <v>16277</v>
      </c>
      <c r="H4052" t="s">
        <v>16277</v>
      </c>
      <c r="I4052" t="s">
        <v>16353</v>
      </c>
      <c r="J4052" t="s">
        <v>16386</v>
      </c>
      <c r="K4052">
        <v>0.25</v>
      </c>
      <c r="L4052">
        <v>10906</v>
      </c>
      <c r="M4052">
        <v>4585</v>
      </c>
      <c r="N4052" t="s">
        <v>16393</v>
      </c>
      <c r="O4052" s="4">
        <v>128227</v>
      </c>
      <c r="P4052" s="4">
        <v>438691</v>
      </c>
      <c r="Q4052" s="4">
        <v>566918</v>
      </c>
      <c r="R4052" s="4">
        <v>1700754</v>
      </c>
      <c r="S4052" t="s">
        <v>20361</v>
      </c>
      <c r="T4052" s="6">
        <v>37712</v>
      </c>
      <c r="U4052" s="4">
        <v>860799</v>
      </c>
      <c r="V4052" t="s">
        <v>23739</v>
      </c>
      <c r="W4052" t="s">
        <v>25825</v>
      </c>
      <c r="X4052" t="s">
        <v>3</v>
      </c>
      <c r="AA4052" s="5" t="str">
        <f>HYPERLINK("https://www.zillow.com/homes/228-W-BENTON-AVE-NAPERVILLE-IL-60540_rb/","check listing")</f>
        <v>check listing</v>
      </c>
      <c r="AB4052" s="5" t="str">
        <f>HYPERLINK("https://propertylookup.dupagecounty.gov/Datalets/Datalet.aspx?UseSearch=no&amp;mode=sales&amp;pin=0713417003","sales record")</f>
        <v>sales record</v>
      </c>
      <c r="AC4052" t="s">
        <v>3</v>
      </c>
      <c r="AD4052">
        <v>41.775004</v>
      </c>
      <c r="AE4052">
        <v>-88.152136</v>
      </c>
      <c r="AF4052" s="5" t="str">
        <f>HYPERLINK("https://www.google.com/maps/search/?api=1&amp;query=41.775004,-88.152136","map")</f>
        <v>map</v>
      </c>
    </row>
    <row r="4053" spans="1:32">
      <c r="A4053" t="s">
        <v>4103</v>
      </c>
      <c r="B4053" t="s">
        <v>11636</v>
      </c>
      <c r="C4053" t="s">
        <v>15675</v>
      </c>
      <c r="D4053" t="s">
        <v>16206</v>
      </c>
      <c r="E4053" t="s">
        <v>16218</v>
      </c>
      <c r="F4053" t="s">
        <v>16221</v>
      </c>
      <c r="G4053" t="s">
        <v>16277</v>
      </c>
      <c r="H4053" t="s">
        <v>16277</v>
      </c>
      <c r="I4053" t="s">
        <v>16353</v>
      </c>
      <c r="J4053" t="s">
        <v>16386</v>
      </c>
      <c r="K4053">
        <v>0.25</v>
      </c>
      <c r="L4053">
        <v>10906</v>
      </c>
      <c r="M4053">
        <v>3463</v>
      </c>
      <c r="N4053" t="s">
        <v>16393</v>
      </c>
      <c r="O4053" s="4">
        <v>144745</v>
      </c>
      <c r="P4053" s="4">
        <v>301940</v>
      </c>
      <c r="Q4053" s="4">
        <v>446685</v>
      </c>
      <c r="R4053" s="4">
        <v>1340055</v>
      </c>
      <c r="S4053" t="s">
        <v>20362</v>
      </c>
      <c r="T4053" s="6">
        <v>44682</v>
      </c>
      <c r="U4053" s="4">
        <v>1130000</v>
      </c>
      <c r="V4053" t="s">
        <v>23739</v>
      </c>
      <c r="W4053" t="s">
        <v>25826</v>
      </c>
      <c r="X4053" t="s">
        <v>3</v>
      </c>
      <c r="AA4053" s="5" t="str">
        <f>HYPERLINK("https://www.zillow.com/homes/616-N-ELLSWORTH-ST-NAPERVILLE-IL-605633147_rb/","check listing")</f>
        <v>check listing</v>
      </c>
      <c r="AB4053" s="5" t="str">
        <f>HYPERLINK("https://propertylookup.dupagecounty.gov/Datalets/Datalet.aspx?UseSearch=no&amp;mode=sales&amp;pin=0818112016","sales record")</f>
        <v>sales record</v>
      </c>
      <c r="AC4053" t="s">
        <v>3</v>
      </c>
      <c r="AD4053">
        <v>41.782392</v>
      </c>
      <c r="AE4053">
        <v>-88.14419599999999</v>
      </c>
      <c r="AF4053" s="5" t="str">
        <f>HYPERLINK("https://www.google.com/maps/search/?api=1&amp;query=41.782392,-88.144196","map")</f>
        <v>map</v>
      </c>
    </row>
    <row r="4054" spans="1:32">
      <c r="A4054" t="s">
        <v>4104</v>
      </c>
      <c r="B4054" t="s">
        <v>11637</v>
      </c>
      <c r="C4054" t="s">
        <v>15475</v>
      </c>
      <c r="D4054" t="s">
        <v>16206</v>
      </c>
      <c r="E4054" t="s">
        <v>16218</v>
      </c>
      <c r="F4054" t="s">
        <v>16221</v>
      </c>
      <c r="G4054" t="s">
        <v>16277</v>
      </c>
      <c r="H4054" t="s">
        <v>16277</v>
      </c>
      <c r="I4054" t="s">
        <v>16353</v>
      </c>
      <c r="J4054" t="s">
        <v>16386</v>
      </c>
      <c r="K4054">
        <v>0.25</v>
      </c>
      <c r="L4054">
        <v>10906</v>
      </c>
      <c r="M4054">
        <v>2210</v>
      </c>
      <c r="N4054" t="s">
        <v>16393</v>
      </c>
      <c r="O4054" s="4">
        <v>157459</v>
      </c>
      <c r="P4054" s="4">
        <v>63736</v>
      </c>
      <c r="Q4054" s="4">
        <v>221195</v>
      </c>
      <c r="R4054" s="4">
        <v>663585</v>
      </c>
      <c r="S4054" t="s">
        <v>20363</v>
      </c>
      <c r="T4054" s="6">
        <v>35096</v>
      </c>
      <c r="U4054" s="4">
        <v>125000</v>
      </c>
      <c r="X4054" t="s">
        <v>3</v>
      </c>
      <c r="AA4054" s="5" t="str">
        <f>HYPERLINK("https://www.zillow.com/homes/407-W-JEFFERSON-AVE-NAPERVILLE-IL-60540_rb/","check listing")</f>
        <v>check listing</v>
      </c>
      <c r="AB4054" s="5" t="str">
        <f>HYPERLINK("https://propertylookup.dupagecounty.gov/Datalets/Datalet.aspx?UseSearch=no&amp;mode=sales&amp;pin=0713415025","sales record")</f>
        <v>sales record</v>
      </c>
      <c r="AC4054" t="s">
        <v>3</v>
      </c>
      <c r="AD4054">
        <v>41.773452</v>
      </c>
      <c r="AE4054">
        <v>-88.154884</v>
      </c>
      <c r="AF4054" s="5" t="str">
        <f>HYPERLINK("https://www.google.com/maps/search/?api=1&amp;query=41.773452,-88.154884","map")</f>
        <v>map</v>
      </c>
    </row>
    <row r="4055" spans="1:32">
      <c r="A4055" t="s">
        <v>4105</v>
      </c>
      <c r="B4055" t="s">
        <v>11638</v>
      </c>
      <c r="C4055" t="s">
        <v>15475</v>
      </c>
      <c r="D4055" t="s">
        <v>16206</v>
      </c>
      <c r="E4055" t="s">
        <v>16218</v>
      </c>
      <c r="F4055" t="s">
        <v>16221</v>
      </c>
      <c r="G4055" t="s">
        <v>16277</v>
      </c>
      <c r="H4055" t="s">
        <v>16277</v>
      </c>
      <c r="I4055" t="s">
        <v>16353</v>
      </c>
      <c r="J4055" t="s">
        <v>16386</v>
      </c>
      <c r="K4055">
        <v>0.25</v>
      </c>
      <c r="L4055">
        <v>10891</v>
      </c>
      <c r="M4055">
        <v>1583</v>
      </c>
      <c r="N4055" t="s">
        <v>16393</v>
      </c>
      <c r="O4055" s="4">
        <v>149965</v>
      </c>
      <c r="P4055" s="4">
        <v>467312</v>
      </c>
      <c r="Q4055" s="4">
        <v>617277</v>
      </c>
      <c r="R4055" s="4">
        <v>1851831</v>
      </c>
      <c r="S4055" t="s">
        <v>20364</v>
      </c>
      <c r="T4055" s="6">
        <v>45580</v>
      </c>
      <c r="U4055" s="4">
        <v>2185000</v>
      </c>
      <c r="V4055" t="s">
        <v>23739</v>
      </c>
      <c r="W4055" t="s">
        <v>25827</v>
      </c>
      <c r="X4055" t="s">
        <v>3</v>
      </c>
      <c r="AA4055" s="5" t="str">
        <f>HYPERLINK("https://www.zillow.com/homes/321-W-JEFFERSON-AVE-NAPERVILLE-IL-60540_rb/","check listing")</f>
        <v>check listing</v>
      </c>
      <c r="AB4055" s="5" t="str">
        <f>HYPERLINK("https://propertylookup.dupagecounty.gov/Datalets/Datalet.aspx?UseSearch=no&amp;mode=sales&amp;pin=0713416021","sales record")</f>
        <v>sales record</v>
      </c>
      <c r="AC4055" t="s">
        <v>27873</v>
      </c>
      <c r="AD4055">
        <v>41.773417</v>
      </c>
      <c r="AE4055">
        <v>-88.15373099999999</v>
      </c>
      <c r="AF4055" s="5" t="str">
        <f>HYPERLINK("https://www.google.com/maps/search/?api=1&amp;query=41.773417,-88.153731","map")</f>
        <v>map</v>
      </c>
    </row>
    <row r="4056" spans="1:32">
      <c r="A4056" t="s">
        <v>4106</v>
      </c>
      <c r="B4056" t="s">
        <v>11639</v>
      </c>
      <c r="C4056" t="s">
        <v>15475</v>
      </c>
      <c r="D4056" t="s">
        <v>16206</v>
      </c>
      <c r="E4056" t="s">
        <v>16218</v>
      </c>
      <c r="F4056" t="s">
        <v>16221</v>
      </c>
      <c r="G4056" t="s">
        <v>16277</v>
      </c>
      <c r="H4056" t="s">
        <v>16277</v>
      </c>
      <c r="I4056" t="s">
        <v>16353</v>
      </c>
      <c r="J4056" t="s">
        <v>16386</v>
      </c>
      <c r="K4056">
        <v>0.25</v>
      </c>
      <c r="L4056">
        <v>10889</v>
      </c>
      <c r="M4056">
        <v>2079</v>
      </c>
      <c r="N4056" t="s">
        <v>16393</v>
      </c>
      <c r="O4056" s="4">
        <v>157459</v>
      </c>
      <c r="P4056" s="4">
        <v>45867</v>
      </c>
      <c r="Q4056" s="4">
        <v>203326</v>
      </c>
      <c r="R4056" s="4">
        <v>609978</v>
      </c>
      <c r="S4056" t="s">
        <v>20365</v>
      </c>
      <c r="T4056" s="6">
        <v>41913</v>
      </c>
      <c r="U4056" s="4">
        <v>386000</v>
      </c>
      <c r="V4056" t="s">
        <v>23739</v>
      </c>
      <c r="W4056" t="s">
        <v>25828</v>
      </c>
      <c r="X4056" t="s">
        <v>3</v>
      </c>
      <c r="AA4056" s="5" t="str">
        <f>HYPERLINK("https://www.zillow.com/homes/433-W-JEFFERSON-AVE-NAPERVILLE-IL-60540_rb/","check listing")</f>
        <v>check listing</v>
      </c>
      <c r="AB4056" s="5" t="str">
        <f>HYPERLINK("https://propertylookup.dupagecounty.gov/Datalets/Datalet.aspx?UseSearch=no&amp;mode=sales&amp;pin=0713415021","sales record")</f>
        <v>sales record</v>
      </c>
      <c r="AC4056" t="s">
        <v>3</v>
      </c>
      <c r="AD4056">
        <v>41.773481</v>
      </c>
      <c r="AE4056">
        <v>-88.15585400000001</v>
      </c>
      <c r="AF4056" s="5" t="str">
        <f>HYPERLINK("https://www.google.com/maps/search/?api=1&amp;query=41.773481,-88.155854","map")</f>
        <v>map</v>
      </c>
    </row>
    <row r="4057" spans="1:32">
      <c r="A4057" t="s">
        <v>4107</v>
      </c>
      <c r="B4057" t="s">
        <v>11640</v>
      </c>
      <c r="C4057" t="s">
        <v>15475</v>
      </c>
      <c r="D4057" t="s">
        <v>16206</v>
      </c>
      <c r="E4057" t="s">
        <v>16218</v>
      </c>
      <c r="F4057" t="s">
        <v>16221</v>
      </c>
      <c r="G4057" t="s">
        <v>16277</v>
      </c>
      <c r="H4057" t="s">
        <v>16277</v>
      </c>
      <c r="I4057" t="s">
        <v>16353</v>
      </c>
      <c r="J4057" t="s">
        <v>16386</v>
      </c>
      <c r="K4057">
        <v>0.25</v>
      </c>
      <c r="L4057">
        <v>10889</v>
      </c>
      <c r="M4057">
        <v>3837</v>
      </c>
      <c r="N4057" t="s">
        <v>16393</v>
      </c>
      <c r="O4057" s="4">
        <v>134964</v>
      </c>
      <c r="P4057" s="4">
        <v>485546</v>
      </c>
      <c r="Q4057" s="4">
        <v>620510</v>
      </c>
      <c r="R4057" s="4">
        <v>1861530</v>
      </c>
      <c r="S4057" t="s">
        <v>20366</v>
      </c>
      <c r="T4057" s="6">
        <v>41456</v>
      </c>
      <c r="U4057" s="4">
        <v>470000</v>
      </c>
      <c r="V4057" t="s">
        <v>23739</v>
      </c>
      <c r="W4057" t="s">
        <v>25829</v>
      </c>
      <c r="X4057" t="s">
        <v>3</v>
      </c>
      <c r="AA4057" s="5" t="str">
        <f>HYPERLINK("https://www.zillow.com/homes/233-W-VAN-BUREN-AVE-NAPERVILLE-IL-60540_rb/","check listing")</f>
        <v>check listing</v>
      </c>
      <c r="AB4057" s="5" t="str">
        <f>HYPERLINK("https://propertylookup.dupagecounty.gov/Datalets/Datalet.aspx?UseSearch=no&amp;mode=sales&amp;pin=0713417012","sales record")</f>
        <v>sales record</v>
      </c>
      <c r="AC4057" t="s">
        <v>27873</v>
      </c>
      <c r="AD4057">
        <v>41.774472</v>
      </c>
      <c r="AE4057">
        <v>-88.152406</v>
      </c>
      <c r="AF4057" s="5" t="str">
        <f>HYPERLINK("https://www.google.com/maps/search/?api=1&amp;query=41.774472,-88.152406","map")</f>
        <v>map</v>
      </c>
    </row>
    <row r="4058" spans="1:32">
      <c r="A4058" t="s">
        <v>4108</v>
      </c>
      <c r="B4058" t="s">
        <v>11641</v>
      </c>
      <c r="C4058" t="s">
        <v>15475</v>
      </c>
      <c r="D4058" t="s">
        <v>16206</v>
      </c>
      <c r="E4058" t="s">
        <v>16218</v>
      </c>
      <c r="F4058" t="s">
        <v>16221</v>
      </c>
      <c r="G4058" t="s">
        <v>16277</v>
      </c>
      <c r="H4058" t="s">
        <v>16277</v>
      </c>
      <c r="I4058" t="s">
        <v>16353</v>
      </c>
      <c r="J4058" t="s">
        <v>16386</v>
      </c>
      <c r="K4058">
        <v>0.25</v>
      </c>
      <c r="L4058">
        <v>10882</v>
      </c>
      <c r="M4058">
        <v>4041</v>
      </c>
      <c r="N4058" t="s">
        <v>16393</v>
      </c>
      <c r="O4058" s="4">
        <v>134964</v>
      </c>
      <c r="P4058" s="4">
        <v>150978</v>
      </c>
      <c r="Q4058" s="4">
        <v>285942</v>
      </c>
      <c r="R4058" s="4">
        <v>857826</v>
      </c>
      <c r="S4058" t="s">
        <v>20367</v>
      </c>
      <c r="T4058" s="6">
        <v>36617</v>
      </c>
      <c r="U4058" s="4">
        <v>290000</v>
      </c>
      <c r="V4058" t="s">
        <v>23739</v>
      </c>
      <c r="W4058" t="s">
        <v>25830</v>
      </c>
      <c r="X4058" t="s">
        <v>3</v>
      </c>
      <c r="AA4058" s="5" t="str">
        <f>HYPERLINK("https://www.zillow.com/homes/315-SPRING-AVE-NAPERVILLE-IL-60540_rb/","check listing")</f>
        <v>check listing</v>
      </c>
      <c r="AB4058" s="5" t="str">
        <f>HYPERLINK("https://propertylookup.dupagecounty.gov/Datalets/Datalet.aspx?UseSearch=no&amp;mode=sales&amp;pin=0713217018","sales record")</f>
        <v>sales record</v>
      </c>
      <c r="AC4058" t="s">
        <v>3</v>
      </c>
      <c r="AD4058">
        <v>41.778767</v>
      </c>
      <c r="AE4058">
        <v>-88.15328599999999</v>
      </c>
      <c r="AF4058" s="5" t="str">
        <f>HYPERLINK("https://www.google.com/maps/search/?api=1&amp;query=41.778767,-88.153286","map")</f>
        <v>map</v>
      </c>
    </row>
    <row r="4059" spans="1:32">
      <c r="A4059" t="s">
        <v>4109</v>
      </c>
      <c r="B4059" t="s">
        <v>11642</v>
      </c>
      <c r="C4059" t="s">
        <v>15475</v>
      </c>
      <c r="D4059" t="s">
        <v>16206</v>
      </c>
      <c r="E4059" t="s">
        <v>16218</v>
      </c>
      <c r="F4059" t="s">
        <v>16221</v>
      </c>
      <c r="G4059" t="s">
        <v>16277</v>
      </c>
      <c r="H4059" t="s">
        <v>16277</v>
      </c>
      <c r="I4059" t="s">
        <v>16353</v>
      </c>
      <c r="J4059" t="s">
        <v>16386</v>
      </c>
      <c r="K4059">
        <v>0.25</v>
      </c>
      <c r="L4059">
        <v>10880</v>
      </c>
      <c r="M4059">
        <v>1319</v>
      </c>
      <c r="N4059" t="s">
        <v>16393</v>
      </c>
      <c r="O4059" s="4">
        <v>141714</v>
      </c>
      <c r="P4059" s="4">
        <v>51909</v>
      </c>
      <c r="Q4059" s="4">
        <v>193623</v>
      </c>
      <c r="R4059" s="4">
        <v>580869</v>
      </c>
      <c r="S4059" t="s">
        <v>20368</v>
      </c>
      <c r="T4059" s="6">
        <v>36982</v>
      </c>
      <c r="U4059" s="4">
        <v>410000</v>
      </c>
      <c r="V4059" t="s">
        <v>23739</v>
      </c>
      <c r="W4059" t="s">
        <v>25831</v>
      </c>
      <c r="X4059" t="s">
        <v>3</v>
      </c>
      <c r="AA4059" s="5" t="str">
        <f>HYPERLINK("https://www.zillow.com/homes/327-W-SPRING-AVE-NAPERVILLE-IL-60540_rb/","check listing")</f>
        <v>check listing</v>
      </c>
      <c r="AB4059" s="5" t="str">
        <f>HYPERLINK("https://propertylookup.dupagecounty.gov/Datalets/Datalet.aspx?UseSearch=no&amp;mode=sales&amp;pin=0713217016","sales record")</f>
        <v>sales record</v>
      </c>
      <c r="AC4059" t="s">
        <v>3</v>
      </c>
      <c r="AD4059">
        <v>41.778785</v>
      </c>
      <c r="AE4059">
        <v>-88.153769</v>
      </c>
      <c r="AF4059" s="5" t="str">
        <f>HYPERLINK("https://www.google.com/maps/search/?api=1&amp;query=41.778785,-88.153769","map")</f>
        <v>map</v>
      </c>
    </row>
    <row r="4060" spans="1:32">
      <c r="A4060" t="s">
        <v>4110</v>
      </c>
      <c r="B4060" t="s">
        <v>11643</v>
      </c>
      <c r="C4060" t="s">
        <v>15475</v>
      </c>
      <c r="D4060" t="s">
        <v>16206</v>
      </c>
      <c r="E4060" t="s">
        <v>16218</v>
      </c>
      <c r="F4060" t="s">
        <v>16221</v>
      </c>
      <c r="G4060" t="s">
        <v>16277</v>
      </c>
      <c r="H4060" t="s">
        <v>16277</v>
      </c>
      <c r="I4060" t="s">
        <v>16353</v>
      </c>
      <c r="J4060" t="s">
        <v>16386</v>
      </c>
      <c r="K4060">
        <v>0.25</v>
      </c>
      <c r="L4060">
        <v>10880</v>
      </c>
      <c r="M4060">
        <v>3455</v>
      </c>
      <c r="N4060" t="s">
        <v>16393</v>
      </c>
      <c r="O4060" s="4">
        <v>141714</v>
      </c>
      <c r="P4060" s="4">
        <v>65347</v>
      </c>
      <c r="Q4060" s="4">
        <v>207061</v>
      </c>
      <c r="R4060" s="4">
        <v>621183</v>
      </c>
      <c r="S4060" t="s">
        <v>20368</v>
      </c>
      <c r="T4060" s="6">
        <v>32933</v>
      </c>
      <c r="U4060" s="4">
        <v>150000</v>
      </c>
      <c r="X4060" t="s">
        <v>3</v>
      </c>
      <c r="AA4060" s="5" t="str">
        <f>HYPERLINK("https://www.zillow.com/homes/321-W-SPRING-AVE-NAPERVILLE-IL-60540_rb/","check listing")</f>
        <v>check listing</v>
      </c>
      <c r="AB4060" s="5" t="str">
        <f>HYPERLINK("https://propertylookup.dupagecounty.gov/Datalets/Datalet.aspx?UseSearch=no&amp;mode=sales&amp;pin=0713217017","sales record")</f>
        <v>sales record</v>
      </c>
      <c r="AC4060" t="s">
        <v>3</v>
      </c>
      <c r="AD4060">
        <v>41.778776</v>
      </c>
      <c r="AE4060">
        <v>-88.15352799999999</v>
      </c>
      <c r="AF4060" s="5" t="str">
        <f>HYPERLINK("https://www.google.com/maps/search/?api=1&amp;query=41.778776,-88.153528","map")</f>
        <v>map</v>
      </c>
    </row>
    <row r="4061" spans="1:32">
      <c r="A4061" t="s">
        <v>4111</v>
      </c>
      <c r="B4061" t="s">
        <v>11644</v>
      </c>
      <c r="C4061" t="s">
        <v>15676</v>
      </c>
      <c r="D4061" t="s">
        <v>16206</v>
      </c>
      <c r="E4061" t="s">
        <v>16218</v>
      </c>
      <c r="F4061" t="s">
        <v>16221</v>
      </c>
      <c r="G4061" t="s">
        <v>16277</v>
      </c>
      <c r="H4061" t="s">
        <v>16277</v>
      </c>
      <c r="I4061" t="s">
        <v>16353</v>
      </c>
      <c r="J4061" t="s">
        <v>16386</v>
      </c>
      <c r="K4061">
        <v>0.25</v>
      </c>
      <c r="L4061">
        <v>10874</v>
      </c>
      <c r="M4061">
        <v>3323</v>
      </c>
      <c r="N4061" t="s">
        <v>16393</v>
      </c>
      <c r="O4061" s="4">
        <v>157459</v>
      </c>
      <c r="P4061" s="4">
        <v>80029</v>
      </c>
      <c r="Q4061" s="4">
        <v>237488</v>
      </c>
      <c r="R4061" s="4">
        <v>712464</v>
      </c>
      <c r="S4061" t="s">
        <v>18950</v>
      </c>
      <c r="T4061" s="6">
        <v>45811</v>
      </c>
      <c r="U4061" s="4">
        <v>900000</v>
      </c>
      <c r="V4061" t="s">
        <v>23741</v>
      </c>
      <c r="W4061" t="s">
        <v>25832</v>
      </c>
      <c r="X4061" t="s">
        <v>3</v>
      </c>
      <c r="AA4061" s="5" t="str">
        <f>HYPERLINK("https://www.zillow.com/homes/241-W-VAN-BUREN-AVE-NAPERVILLE-IL-605405328_rb/","check listing")</f>
        <v>check listing</v>
      </c>
      <c r="AB4061" s="5" t="str">
        <f>HYPERLINK("https://propertylookup.dupagecounty.gov/Datalets/Datalet.aspx?UseSearch=no&amp;mode=sales&amp;pin=0713417011","sales record")</f>
        <v>sales record</v>
      </c>
      <c r="AC4061" t="s">
        <v>3</v>
      </c>
      <c r="AD4061">
        <v>41.77448</v>
      </c>
      <c r="AE4061">
        <v>-88.152649</v>
      </c>
      <c r="AF4061" s="5" t="str">
        <f>HYPERLINK("https://www.google.com/maps/search/?api=1&amp;query=41.77448,-88.152649","map")</f>
        <v>map</v>
      </c>
    </row>
    <row r="4062" spans="1:32">
      <c r="A4062" t="s">
        <v>4112</v>
      </c>
      <c r="B4062" t="s">
        <v>11645</v>
      </c>
      <c r="C4062" t="s">
        <v>15646</v>
      </c>
      <c r="D4062" t="s">
        <v>16206</v>
      </c>
      <c r="E4062" t="s">
        <v>16218</v>
      </c>
      <c r="F4062" t="s">
        <v>16221</v>
      </c>
      <c r="G4062" t="s">
        <v>16278</v>
      </c>
      <c r="H4062" t="s">
        <v>16277</v>
      </c>
      <c r="I4062" t="s">
        <v>16353</v>
      </c>
      <c r="J4062" t="s">
        <v>16386</v>
      </c>
      <c r="K4062">
        <v>0.249</v>
      </c>
      <c r="L4062">
        <v>10865</v>
      </c>
      <c r="N4062" t="s">
        <v>16393</v>
      </c>
      <c r="O4062" s="4">
        <v>77479</v>
      </c>
      <c r="P4062" s="4">
        <v>147756</v>
      </c>
      <c r="Q4062" s="4">
        <v>225235</v>
      </c>
      <c r="R4062" s="4">
        <v>675705</v>
      </c>
      <c r="S4062" t="s">
        <v>20369</v>
      </c>
      <c r="T4062" s="6">
        <v>43344</v>
      </c>
      <c r="U4062" s="4">
        <v>488226</v>
      </c>
      <c r="V4062" t="s">
        <v>16232</v>
      </c>
      <c r="W4062" t="s">
        <v>25833</v>
      </c>
      <c r="X4062" t="s">
        <v>3</v>
      </c>
      <c r="AA4062" s="5" t="str">
        <f>HYPERLINK("https://www.zillow.com/homes/2616-BASIN-TRAIL-CT-NAPERVILLE-IL-605633603_rb/","check listing")</f>
        <v>check listing</v>
      </c>
      <c r="AB4062" s="5" t="str">
        <f>HYPERLINK("https://propertylookup.dupagecounty.gov/Datalets/Datalet.aspx?UseSearch=no&amp;mode=sales&amp;pin=0709109049","sales record")</f>
        <v>sales record</v>
      </c>
      <c r="AC4062" t="s">
        <v>3</v>
      </c>
      <c r="AD4062">
        <v>41.79325</v>
      </c>
      <c r="AE4062">
        <v>-88.22373</v>
      </c>
      <c r="AF4062" s="5" t="str">
        <f>HYPERLINK("https://www.google.com/maps/search/?api=1&amp;query=41.79325,-88.22373","map")</f>
        <v>map</v>
      </c>
    </row>
    <row r="4063" spans="1:32">
      <c r="A4063" t="s">
        <v>4113</v>
      </c>
      <c r="B4063" t="s">
        <v>11646</v>
      </c>
      <c r="C4063" t="s">
        <v>15475</v>
      </c>
      <c r="D4063" t="s">
        <v>16206</v>
      </c>
      <c r="E4063" t="s">
        <v>16218</v>
      </c>
      <c r="F4063" t="s">
        <v>16221</v>
      </c>
      <c r="G4063" t="s">
        <v>16277</v>
      </c>
      <c r="H4063" t="s">
        <v>16277</v>
      </c>
      <c r="I4063" t="s">
        <v>16353</v>
      </c>
      <c r="J4063" t="s">
        <v>16386</v>
      </c>
      <c r="K4063">
        <v>0.249</v>
      </c>
      <c r="L4063">
        <v>10852</v>
      </c>
      <c r="M4063">
        <v>1979</v>
      </c>
      <c r="N4063" t="s">
        <v>16393</v>
      </c>
      <c r="O4063" s="4">
        <v>136429</v>
      </c>
      <c r="P4063" s="4">
        <v>31209</v>
      </c>
      <c r="Q4063" s="4">
        <v>167638</v>
      </c>
      <c r="R4063" s="4">
        <v>502914</v>
      </c>
      <c r="S4063" t="s">
        <v>18950</v>
      </c>
      <c r="T4063" s="6">
        <v>46079</v>
      </c>
      <c r="U4063" s="4">
        <v>560000</v>
      </c>
      <c r="V4063" t="s">
        <v>23739</v>
      </c>
      <c r="W4063" t="s">
        <v>25834</v>
      </c>
      <c r="X4063" t="s">
        <v>3</v>
      </c>
      <c r="AA4063" s="5" t="str">
        <f>HYPERLINK("https://www.zillow.com/homes/556-S-MAIN-ST-NAPERVILLE-IL-60540_rb/","check listing")</f>
        <v>check listing</v>
      </c>
      <c r="AB4063" s="5" t="str">
        <f>HYPERLINK("https://propertylookup.dupagecounty.gov/Datalets/Datalet.aspx?UseSearch=no&amp;mode=sales&amp;pin=0724204010","sales record")</f>
        <v>sales record</v>
      </c>
      <c r="AC4063" t="s">
        <v>3</v>
      </c>
      <c r="AD4063">
        <v>41.768317</v>
      </c>
      <c r="AE4063">
        <v>-88.14941899999999</v>
      </c>
      <c r="AF4063" s="5" t="str">
        <f>HYPERLINK("https://www.google.com/maps/search/?api=1&amp;query=41.768317,-88.149419","map")</f>
        <v>map</v>
      </c>
    </row>
    <row r="4064" spans="1:32">
      <c r="A4064" t="s">
        <v>4114</v>
      </c>
      <c r="B4064" t="s">
        <v>11647</v>
      </c>
      <c r="C4064" t="s">
        <v>15478</v>
      </c>
      <c r="D4064" t="s">
        <v>16206</v>
      </c>
      <c r="E4064" t="s">
        <v>16218</v>
      </c>
      <c r="F4064" t="s">
        <v>16221</v>
      </c>
      <c r="G4064" t="s">
        <v>16278</v>
      </c>
      <c r="H4064" t="s">
        <v>16277</v>
      </c>
      <c r="I4064" t="s">
        <v>16353</v>
      </c>
      <c r="J4064" t="s">
        <v>16386</v>
      </c>
      <c r="K4064">
        <v>0.249</v>
      </c>
      <c r="L4064">
        <v>10851</v>
      </c>
      <c r="N4064" t="s">
        <v>16393</v>
      </c>
      <c r="O4064" s="4">
        <v>64562</v>
      </c>
      <c r="P4064" s="4">
        <v>171606</v>
      </c>
      <c r="Q4064" s="4">
        <v>236168</v>
      </c>
      <c r="R4064" s="4">
        <v>708504</v>
      </c>
      <c r="S4064" t="s">
        <v>20370</v>
      </c>
      <c r="T4064" s="6">
        <v>43435</v>
      </c>
      <c r="U4064" s="4">
        <v>540848</v>
      </c>
      <c r="V4064" t="s">
        <v>16232</v>
      </c>
      <c r="W4064" t="s">
        <v>25835</v>
      </c>
      <c r="X4064" t="s">
        <v>3</v>
      </c>
      <c r="AA4064" s="5" t="str">
        <f>HYPERLINK("https://www.zillow.com/homes/1360-BAYOU-PATH-CT-NAPERVILLE-IL-60563_rb/","check listing")</f>
        <v>check listing</v>
      </c>
      <c r="AB4064" s="5" t="str">
        <f>HYPERLINK("https://propertylookup.dupagecounty.gov/Datalets/Datalet.aspx?UseSearch=no&amp;mode=sales&amp;pin=0709311097","sales record")</f>
        <v>sales record</v>
      </c>
      <c r="AC4064" t="s">
        <v>3</v>
      </c>
      <c r="AD4064">
        <v>41.786499</v>
      </c>
      <c r="AE4064">
        <v>-88.21778999999999</v>
      </c>
      <c r="AF4064" s="5" t="str">
        <f>HYPERLINK("https://www.google.com/maps/search/?api=1&amp;query=41.786499,-88.21779","map")</f>
        <v>map</v>
      </c>
    </row>
    <row r="4065" spans="1:32">
      <c r="A4065" t="s">
        <v>4115</v>
      </c>
      <c r="B4065" t="s">
        <v>11648</v>
      </c>
      <c r="C4065" t="s">
        <v>15662</v>
      </c>
      <c r="D4065" t="s">
        <v>16206</v>
      </c>
      <c r="E4065" t="s">
        <v>16218</v>
      </c>
      <c r="F4065" t="s">
        <v>16221</v>
      </c>
      <c r="G4065" t="s">
        <v>16278</v>
      </c>
      <c r="H4065" t="s">
        <v>16277</v>
      </c>
      <c r="I4065" t="s">
        <v>16353</v>
      </c>
      <c r="J4065" t="s">
        <v>16386</v>
      </c>
      <c r="K4065">
        <v>0.249</v>
      </c>
      <c r="L4065">
        <v>10838</v>
      </c>
      <c r="N4065" t="s">
        <v>16393</v>
      </c>
      <c r="O4065" s="4">
        <v>56141</v>
      </c>
      <c r="P4065" s="4">
        <v>197372</v>
      </c>
      <c r="Q4065" s="4">
        <v>253513</v>
      </c>
      <c r="R4065" s="4">
        <v>760539</v>
      </c>
      <c r="S4065" t="s">
        <v>20371</v>
      </c>
      <c r="T4065" s="6">
        <v>45552</v>
      </c>
      <c r="U4065" s="4">
        <v>751574</v>
      </c>
      <c r="V4065" t="s">
        <v>16232</v>
      </c>
      <c r="W4065" t="s">
        <v>25836</v>
      </c>
      <c r="X4065" t="s">
        <v>3</v>
      </c>
      <c r="AA4065" s="5" t="str">
        <f>HYPERLINK("https://www.zillow.com/homes/2419-WEATHERBEE-LN-NAPERVILLE-IL-605631594_rb/","check listing")</f>
        <v>check listing</v>
      </c>
      <c r="AB4065" s="5" t="str">
        <f>HYPERLINK("https://propertylookup.dupagecounty.gov/Datalets/Datalet.aspx?UseSearch=no&amp;mode=sales&amp;pin=0532305003","sales record")</f>
        <v>sales record</v>
      </c>
      <c r="AC4065" t="s">
        <v>3</v>
      </c>
      <c r="AD4065">
        <v>41.817637</v>
      </c>
      <c r="AE4065">
        <v>-88.118954</v>
      </c>
      <c r="AF4065" s="5" t="str">
        <f>HYPERLINK("https://www.google.com/maps/search/?api=1&amp;query=41.817637,-88.118954","map")</f>
        <v>map</v>
      </c>
    </row>
    <row r="4066" spans="1:32">
      <c r="A4066" t="s">
        <v>4116</v>
      </c>
      <c r="B4066" t="s">
        <v>11649</v>
      </c>
      <c r="C4066" t="s">
        <v>15644</v>
      </c>
      <c r="D4066" t="s">
        <v>16206</v>
      </c>
      <c r="E4066" t="s">
        <v>16218</v>
      </c>
      <c r="F4066" t="s">
        <v>16221</v>
      </c>
      <c r="G4066" t="s">
        <v>16277</v>
      </c>
      <c r="H4066" t="s">
        <v>16277</v>
      </c>
      <c r="I4066" t="s">
        <v>16353</v>
      </c>
      <c r="J4066" t="s">
        <v>16386</v>
      </c>
      <c r="K4066">
        <v>0.249</v>
      </c>
      <c r="L4066">
        <v>10832</v>
      </c>
      <c r="N4066" t="s">
        <v>16393</v>
      </c>
      <c r="O4066" s="4">
        <v>144509</v>
      </c>
      <c r="P4066" s="4">
        <v>321570</v>
      </c>
      <c r="Q4066" s="4">
        <v>466079</v>
      </c>
      <c r="R4066" s="4">
        <v>1398237</v>
      </c>
      <c r="S4066" t="s">
        <v>20372</v>
      </c>
      <c r="T4066" s="6">
        <v>44949</v>
      </c>
      <c r="U4066" s="4">
        <v>1100000</v>
      </c>
      <c r="V4066" t="s">
        <v>16232</v>
      </c>
      <c r="W4066" t="s">
        <v>25837</v>
      </c>
      <c r="X4066" t="s">
        <v>3</v>
      </c>
      <c r="AA4066" s="5" t="str">
        <f>HYPERLINK("https://www.zillow.com/homes/240-N-LAIRD-ST-NAPERVILLE-IL-605404335_rb/","check listing")</f>
        <v>check listing</v>
      </c>
      <c r="AB4066" s="5" t="str">
        <f>HYPERLINK("https://propertylookup.dupagecounty.gov/Datalets/Datalet.aspx?UseSearch=no&amp;mode=sales&amp;pin=0713103023","sales record")</f>
        <v>sales record</v>
      </c>
      <c r="AC4066" t="s">
        <v>3</v>
      </c>
      <c r="AD4066">
        <v>41.77903</v>
      </c>
      <c r="AE4066">
        <v>-88.15936499999999</v>
      </c>
      <c r="AF4066" s="5" t="str">
        <f>HYPERLINK("https://www.google.com/maps/search/?api=1&amp;query=41.77903,-88.159365","map")</f>
        <v>map</v>
      </c>
    </row>
    <row r="4067" spans="1:32">
      <c r="A4067" t="s">
        <v>4117</v>
      </c>
      <c r="B4067" t="s">
        <v>11650</v>
      </c>
      <c r="C4067" t="s">
        <v>15677</v>
      </c>
      <c r="D4067" t="s">
        <v>16206</v>
      </c>
      <c r="E4067" t="s">
        <v>16218</v>
      </c>
      <c r="F4067" t="s">
        <v>16221</v>
      </c>
      <c r="G4067" t="s">
        <v>16278</v>
      </c>
      <c r="H4067" t="s">
        <v>16277</v>
      </c>
      <c r="I4067" t="s">
        <v>16353</v>
      </c>
      <c r="J4067" t="s">
        <v>16386</v>
      </c>
      <c r="K4067">
        <v>0.249</v>
      </c>
      <c r="L4067">
        <v>10830</v>
      </c>
      <c r="N4067" t="s">
        <v>16393</v>
      </c>
      <c r="O4067" s="4">
        <v>56146</v>
      </c>
      <c r="P4067" s="4">
        <v>253442</v>
      </c>
      <c r="Q4067" s="4">
        <v>309588</v>
      </c>
      <c r="R4067" s="4">
        <v>928764</v>
      </c>
      <c r="S4067" t="s">
        <v>20373</v>
      </c>
      <c r="T4067" s="6">
        <v>45373</v>
      </c>
      <c r="U4067" s="4">
        <v>1058587</v>
      </c>
      <c r="V4067" t="s">
        <v>16232</v>
      </c>
      <c r="W4067" t="s">
        <v>25838</v>
      </c>
      <c r="X4067" t="s">
        <v>3</v>
      </c>
      <c r="AA4067" s="5" t="str">
        <f>HYPERLINK("https://www.zillow.com/homes/2623-WEATHERBEE-CT-NAPERVILLE-IL-605631592_rb/","check listing")</f>
        <v>check listing</v>
      </c>
      <c r="AB4067" s="5" t="str">
        <f>HYPERLINK("https://propertylookup.dupagecounty.gov/Datalets/Datalet.aspx?UseSearch=no&amp;mode=sales&amp;pin=0532300055","sales record")</f>
        <v>sales record</v>
      </c>
      <c r="AC4067" t="s">
        <v>3</v>
      </c>
      <c r="AD4067">
        <v>41.821496</v>
      </c>
      <c r="AE4067">
        <v>-88.12454200000001</v>
      </c>
      <c r="AF4067" s="5" t="str">
        <f>HYPERLINK("https://www.google.com/maps/search/?api=1&amp;query=41.821496,-88.124542","map")</f>
        <v>map</v>
      </c>
    </row>
    <row r="4068" spans="1:32">
      <c r="A4068" t="s">
        <v>4118</v>
      </c>
      <c r="B4068" t="s">
        <v>11651</v>
      </c>
      <c r="C4068" t="s">
        <v>15678</v>
      </c>
      <c r="D4068" t="s">
        <v>16206</v>
      </c>
      <c r="E4068" t="s">
        <v>16218</v>
      </c>
      <c r="F4068" t="s">
        <v>16221</v>
      </c>
      <c r="G4068" t="s">
        <v>16277</v>
      </c>
      <c r="H4068" t="s">
        <v>16277</v>
      </c>
      <c r="I4068" t="s">
        <v>16353</v>
      </c>
      <c r="J4068" t="s">
        <v>16386</v>
      </c>
      <c r="K4068">
        <v>0.248</v>
      </c>
      <c r="L4068">
        <v>10815</v>
      </c>
      <c r="M4068">
        <v>2751</v>
      </c>
      <c r="N4068" t="s">
        <v>16393</v>
      </c>
      <c r="O4068" s="4">
        <v>107650</v>
      </c>
      <c r="P4068" s="4">
        <v>331200</v>
      </c>
      <c r="Q4068" s="4">
        <v>438850</v>
      </c>
      <c r="R4068" s="4">
        <v>1316550</v>
      </c>
      <c r="S4068" t="s">
        <v>20374</v>
      </c>
      <c r="X4068" t="s">
        <v>3</v>
      </c>
      <c r="AA4068" s="5" t="str">
        <f>HYPERLINK("https://www.zillow.com/homes/660-S-WEBSTER-ST-NAPERVILLE-IL-605406530_rb/","check listing")</f>
        <v>check listing</v>
      </c>
      <c r="AB4068" s="5" t="str">
        <f>HYPERLINK("https://propertylookup.dupagecounty.gov/Datalets/Datalet.aspx?UseSearch=no&amp;mode=sales&amp;pin=0724203032","sales record")</f>
        <v>sales record</v>
      </c>
      <c r="AC4068" t="s">
        <v>3</v>
      </c>
      <c r="AD4068">
        <v>41.766369</v>
      </c>
      <c r="AE4068">
        <v>-88.15125</v>
      </c>
      <c r="AF4068" s="5" t="str">
        <f>HYPERLINK("https://www.google.com/maps/search/?api=1&amp;query=41.766369,-88.15125","map")</f>
        <v>map</v>
      </c>
    </row>
    <row r="4069" spans="1:32">
      <c r="A4069" t="s">
        <v>4119</v>
      </c>
      <c r="B4069" t="s">
        <v>11652</v>
      </c>
      <c r="C4069" t="s">
        <v>15629</v>
      </c>
      <c r="D4069" t="s">
        <v>16206</v>
      </c>
      <c r="E4069" t="s">
        <v>16218</v>
      </c>
      <c r="F4069" t="s">
        <v>16221</v>
      </c>
      <c r="G4069" t="s">
        <v>16278</v>
      </c>
      <c r="H4069" t="s">
        <v>16277</v>
      </c>
      <c r="I4069" t="s">
        <v>16353</v>
      </c>
      <c r="J4069" t="s">
        <v>16386</v>
      </c>
      <c r="K4069">
        <v>0.247</v>
      </c>
      <c r="L4069">
        <v>10781</v>
      </c>
      <c r="N4069" t="s">
        <v>16393</v>
      </c>
      <c r="O4069" s="4">
        <v>64565</v>
      </c>
      <c r="P4069" s="4">
        <v>218363</v>
      </c>
      <c r="Q4069" s="4">
        <v>282928</v>
      </c>
      <c r="R4069" s="4">
        <v>848784</v>
      </c>
      <c r="S4069" t="s">
        <v>20375</v>
      </c>
      <c r="T4069" s="6">
        <v>43435</v>
      </c>
      <c r="U4069" s="4">
        <v>712520</v>
      </c>
      <c r="V4069" t="s">
        <v>16232</v>
      </c>
      <c r="W4069" t="s">
        <v>25839</v>
      </c>
      <c r="X4069" t="s">
        <v>3</v>
      </c>
      <c r="AA4069" s="5" t="str">
        <f>HYPERLINK("https://www.zillow.com/homes/1303-BAYOU-PATH-CT-NAPERVILLE-IL-605633609_rb/","check listing")</f>
        <v>check listing</v>
      </c>
      <c r="AB4069" s="5" t="str">
        <f>HYPERLINK("https://propertylookup.dupagecounty.gov/Datalets/Datalet.aspx?UseSearch=no&amp;mode=sales&amp;pin=0709311086","sales record")</f>
        <v>sales record</v>
      </c>
      <c r="AC4069" t="s">
        <v>3</v>
      </c>
      <c r="AD4069">
        <v>41.784719</v>
      </c>
      <c r="AE4069">
        <v>-88.217263</v>
      </c>
      <c r="AF4069" s="5" t="str">
        <f>HYPERLINK("https://www.google.com/maps/search/?api=1&amp;query=41.784719,-88.217263","map")</f>
        <v>map</v>
      </c>
    </row>
    <row r="4070" spans="1:32">
      <c r="A4070" t="s">
        <v>4120</v>
      </c>
      <c r="B4070" t="s">
        <v>11653</v>
      </c>
      <c r="C4070" t="s">
        <v>15629</v>
      </c>
      <c r="D4070" t="s">
        <v>16206</v>
      </c>
      <c r="E4070" t="s">
        <v>16218</v>
      </c>
      <c r="F4070" t="s">
        <v>16221</v>
      </c>
      <c r="G4070" t="s">
        <v>16278</v>
      </c>
      <c r="H4070" t="s">
        <v>16277</v>
      </c>
      <c r="I4070" t="s">
        <v>16353</v>
      </c>
      <c r="J4070" t="s">
        <v>16386</v>
      </c>
      <c r="K4070">
        <v>0.247</v>
      </c>
      <c r="L4070">
        <v>10778</v>
      </c>
      <c r="N4070" t="s">
        <v>16393</v>
      </c>
      <c r="O4070" s="4">
        <v>64565</v>
      </c>
      <c r="P4070" s="4">
        <v>213395</v>
      </c>
      <c r="Q4070" s="4">
        <v>277960</v>
      </c>
      <c r="R4070" s="4">
        <v>833880</v>
      </c>
      <c r="S4070" t="s">
        <v>20376</v>
      </c>
      <c r="T4070" s="6">
        <v>43435</v>
      </c>
      <c r="U4070" s="4">
        <v>684362</v>
      </c>
      <c r="V4070" t="s">
        <v>16232</v>
      </c>
      <c r="W4070" t="s">
        <v>25840</v>
      </c>
      <c r="X4070" t="s">
        <v>3</v>
      </c>
      <c r="AA4070" s="5" t="str">
        <f>HYPERLINK("https://www.zillow.com/homes/1304-BAYOU-PATH-CT-NAPERVILLE-IL-605633609_rb/","check listing")</f>
        <v>check listing</v>
      </c>
      <c r="AB4070" s="5" t="str">
        <f>HYPERLINK("https://propertylookup.dupagecounty.gov/Datalets/Datalet.aspx?UseSearch=no&amp;mode=sales&amp;pin=0709311087","sales record")</f>
        <v>sales record</v>
      </c>
      <c r="AC4070" t="s">
        <v>3</v>
      </c>
      <c r="AD4070">
        <v>41.784728</v>
      </c>
      <c r="AE4070">
        <v>-88.216922</v>
      </c>
      <c r="AF4070" s="5" t="str">
        <f>HYPERLINK("https://www.google.com/maps/search/?api=1&amp;query=41.784728,-88.216922","map")</f>
        <v>map</v>
      </c>
    </row>
    <row r="4071" spans="1:32">
      <c r="A4071" t="s">
        <v>4121</v>
      </c>
      <c r="B4071" t="s">
        <v>11654</v>
      </c>
      <c r="C4071" t="s">
        <v>15478</v>
      </c>
      <c r="D4071" t="s">
        <v>16206</v>
      </c>
      <c r="E4071" t="s">
        <v>16218</v>
      </c>
      <c r="F4071" t="s">
        <v>16221</v>
      </c>
      <c r="G4071" t="s">
        <v>16278</v>
      </c>
      <c r="H4071" t="s">
        <v>16277</v>
      </c>
      <c r="I4071" t="s">
        <v>16353</v>
      </c>
      <c r="J4071" t="s">
        <v>16386</v>
      </c>
      <c r="K4071">
        <v>0.247</v>
      </c>
      <c r="L4071">
        <v>10776</v>
      </c>
      <c r="N4071" t="s">
        <v>16393</v>
      </c>
      <c r="O4071" s="4">
        <v>64565</v>
      </c>
      <c r="P4071" s="4">
        <v>208806</v>
      </c>
      <c r="Q4071" s="4">
        <v>273371</v>
      </c>
      <c r="R4071" s="4">
        <v>820113</v>
      </c>
      <c r="S4071" t="s">
        <v>20377</v>
      </c>
      <c r="T4071" s="6">
        <v>43556</v>
      </c>
      <c r="U4071" s="4">
        <v>657712</v>
      </c>
      <c r="V4071" t="s">
        <v>16232</v>
      </c>
      <c r="W4071" t="s">
        <v>25841</v>
      </c>
      <c r="X4071" t="s">
        <v>3</v>
      </c>
      <c r="AA4071" s="5" t="str">
        <f>HYPERLINK("https://www.zillow.com/homes/1308-BAYOU-PATH-CT-NAPERVILLE-IL-60563_rb/","check listing")</f>
        <v>check listing</v>
      </c>
      <c r="AB4071" s="5" t="str">
        <f>HYPERLINK("https://propertylookup.dupagecounty.gov/Datalets/Datalet.aspx?UseSearch=no&amp;mode=sales&amp;pin=0709311088","sales record")</f>
        <v>sales record</v>
      </c>
      <c r="AC4071" t="s">
        <v>3</v>
      </c>
      <c r="AD4071">
        <v>41.784978</v>
      </c>
      <c r="AE4071">
        <v>-88.216815</v>
      </c>
      <c r="AF4071" s="5" t="str">
        <f>HYPERLINK("https://www.google.com/maps/search/?api=1&amp;query=41.784978,-88.216815","map")</f>
        <v>map</v>
      </c>
    </row>
    <row r="4072" spans="1:32">
      <c r="A4072" t="s">
        <v>4122</v>
      </c>
      <c r="B4072" t="s">
        <v>11655</v>
      </c>
      <c r="C4072" t="s">
        <v>15673</v>
      </c>
      <c r="D4072" t="s">
        <v>16206</v>
      </c>
      <c r="E4072" t="s">
        <v>16218</v>
      </c>
      <c r="F4072" t="s">
        <v>16221</v>
      </c>
      <c r="G4072" t="s">
        <v>16277</v>
      </c>
      <c r="H4072" t="s">
        <v>16277</v>
      </c>
      <c r="I4072" t="s">
        <v>16353</v>
      </c>
      <c r="J4072" t="s">
        <v>16386</v>
      </c>
      <c r="K4072">
        <v>0.247</v>
      </c>
      <c r="L4072">
        <v>10772</v>
      </c>
      <c r="M4072">
        <v>2639</v>
      </c>
      <c r="N4072" t="s">
        <v>16393</v>
      </c>
      <c r="O4072" s="4">
        <v>132584</v>
      </c>
      <c r="P4072" s="4">
        <v>159669</v>
      </c>
      <c r="Q4072" s="4">
        <v>292253</v>
      </c>
      <c r="R4072" s="4">
        <v>876759</v>
      </c>
      <c r="S4072" t="s">
        <v>20378</v>
      </c>
      <c r="T4072" s="6">
        <v>43800</v>
      </c>
      <c r="U4072" s="4">
        <v>455000</v>
      </c>
      <c r="V4072" t="s">
        <v>23739</v>
      </c>
      <c r="W4072" t="s">
        <v>25842</v>
      </c>
      <c r="X4072" t="s">
        <v>3</v>
      </c>
      <c r="AA4072" s="5" t="str">
        <f>HYPERLINK("https://www.zillow.com/homes/214-W-BENTON-AVE-NAPERVILLE-IL-605404402_rb/","check listing")</f>
        <v>check listing</v>
      </c>
      <c r="AB4072" s="5" t="str">
        <f>HYPERLINK("https://propertylookup.dupagecounty.gov/Datalets/Datalet.aspx?UseSearch=no&amp;mode=sales&amp;pin=0713417005","sales record")</f>
        <v>sales record</v>
      </c>
      <c r="AC4072" t="s">
        <v>3</v>
      </c>
      <c r="AD4072">
        <v>41.774994</v>
      </c>
      <c r="AE4072">
        <v>-88.151652</v>
      </c>
      <c r="AF4072" s="5" t="str">
        <f>HYPERLINK("https://www.google.com/maps/search/?api=1&amp;query=41.774994,-88.151652","map")</f>
        <v>map</v>
      </c>
    </row>
    <row r="4073" spans="1:32">
      <c r="A4073" t="s">
        <v>4123</v>
      </c>
      <c r="B4073" t="s">
        <v>11656</v>
      </c>
      <c r="C4073" t="s">
        <v>15475</v>
      </c>
      <c r="D4073" t="s">
        <v>16206</v>
      </c>
      <c r="E4073" t="s">
        <v>16218</v>
      </c>
      <c r="F4073" t="s">
        <v>16221</v>
      </c>
      <c r="G4073" t="s">
        <v>16277</v>
      </c>
      <c r="H4073" t="s">
        <v>16277</v>
      </c>
      <c r="I4073" t="s">
        <v>16353</v>
      </c>
      <c r="J4073" t="s">
        <v>16386</v>
      </c>
      <c r="K4073">
        <v>0.247</v>
      </c>
      <c r="L4073">
        <v>10756</v>
      </c>
      <c r="M4073">
        <v>2440</v>
      </c>
      <c r="N4073" t="s">
        <v>16393</v>
      </c>
      <c r="O4073" s="4">
        <v>158314</v>
      </c>
      <c r="P4073" s="4">
        <v>51539</v>
      </c>
      <c r="Q4073" s="4">
        <v>209853</v>
      </c>
      <c r="R4073" s="4">
        <v>629559</v>
      </c>
      <c r="S4073" t="s">
        <v>20379</v>
      </c>
      <c r="T4073" s="6">
        <v>34213</v>
      </c>
      <c r="U4073" s="4">
        <v>148000</v>
      </c>
      <c r="X4073" t="s">
        <v>3</v>
      </c>
      <c r="AA4073" s="5" t="str">
        <f>HYPERLINK("https://www.zillow.com/homes/106-S-COLUMBIA-ST-NAPERVILLE-IL-60540_rb/","check listing")</f>
        <v>check listing</v>
      </c>
      <c r="AB4073" s="5" t="str">
        <f>HYPERLINK("https://propertylookup.dupagecounty.gov/Datalets/Datalet.aspx?UseSearch=no&amp;mode=sales&amp;pin=0818410011","sales record")</f>
        <v>sales record</v>
      </c>
      <c r="AC4073" t="s">
        <v>3</v>
      </c>
      <c r="AD4073">
        <v>41.773688</v>
      </c>
      <c r="AE4073">
        <v>-88.137733</v>
      </c>
      <c r="AF4073" s="5" t="str">
        <f>HYPERLINK("https://www.google.com/maps/search/?api=1&amp;query=41.773688,-88.137733","map")</f>
        <v>map</v>
      </c>
    </row>
    <row r="4074" spans="1:32">
      <c r="A4074" t="s">
        <v>4124</v>
      </c>
      <c r="B4074" t="s">
        <v>11657</v>
      </c>
      <c r="C4074" t="s">
        <v>15624</v>
      </c>
      <c r="D4074" t="s">
        <v>16206</v>
      </c>
      <c r="E4074" t="s">
        <v>16218</v>
      </c>
      <c r="F4074" t="s">
        <v>16221</v>
      </c>
      <c r="G4074" t="s">
        <v>16277</v>
      </c>
      <c r="H4074" t="s">
        <v>16277</v>
      </c>
      <c r="I4074" t="s">
        <v>16353</v>
      </c>
      <c r="J4074" t="s">
        <v>16386</v>
      </c>
      <c r="K4074">
        <v>0.247</v>
      </c>
      <c r="L4074">
        <v>10755</v>
      </c>
      <c r="M4074">
        <v>4354</v>
      </c>
      <c r="N4074" t="s">
        <v>16393</v>
      </c>
      <c r="O4074" s="4">
        <v>158325</v>
      </c>
      <c r="P4074" s="4">
        <v>182180</v>
      </c>
      <c r="Q4074" s="4">
        <v>340505</v>
      </c>
      <c r="R4074" s="4">
        <v>1021515</v>
      </c>
      <c r="S4074" t="s">
        <v>20380</v>
      </c>
      <c r="X4074" t="s">
        <v>3</v>
      </c>
      <c r="AA4074" s="5" t="str">
        <f>HYPERLINK("https://www.zillow.com/homes/114-S-COLUMBIA-ST-NAPERVILLE-IL-605404917_rb/","check listing")</f>
        <v>check listing</v>
      </c>
      <c r="AB4074" s="5" t="str">
        <f>HYPERLINK("https://propertylookup.dupagecounty.gov/Datalets/Datalet.aspx?UseSearch=no&amp;mode=sales&amp;pin=0818410012","sales record")</f>
        <v>sales record</v>
      </c>
      <c r="AC4074" t="s">
        <v>3</v>
      </c>
      <c r="AD4074">
        <v>41.773424</v>
      </c>
      <c r="AE4074">
        <v>-88.13775</v>
      </c>
      <c r="AF4074" s="5" t="str">
        <f>HYPERLINK("https://www.google.com/maps/search/?api=1&amp;query=41.773424,-88.13775","map")</f>
        <v>map</v>
      </c>
    </row>
    <row r="4075" spans="1:32">
      <c r="A4075" t="s">
        <v>4125</v>
      </c>
      <c r="B4075" t="s">
        <v>11658</v>
      </c>
      <c r="C4075" t="s">
        <v>15478</v>
      </c>
      <c r="D4075" t="s">
        <v>16206</v>
      </c>
      <c r="E4075" t="s">
        <v>16218</v>
      </c>
      <c r="F4075" t="s">
        <v>16221</v>
      </c>
      <c r="G4075" t="s">
        <v>16278</v>
      </c>
      <c r="H4075" t="s">
        <v>16277</v>
      </c>
      <c r="I4075" t="s">
        <v>16353</v>
      </c>
      <c r="J4075" t="s">
        <v>16386</v>
      </c>
      <c r="K4075">
        <v>0.247</v>
      </c>
      <c r="L4075">
        <v>10751</v>
      </c>
      <c r="M4075">
        <v>2227</v>
      </c>
      <c r="N4075" t="s">
        <v>16393</v>
      </c>
      <c r="O4075" s="4">
        <v>66494</v>
      </c>
      <c r="P4075" s="4">
        <v>130205</v>
      </c>
      <c r="Q4075" s="4">
        <v>196699</v>
      </c>
      <c r="R4075" s="4">
        <v>590097</v>
      </c>
      <c r="S4075" t="s">
        <v>20381</v>
      </c>
      <c r="T4075" s="6">
        <v>44893</v>
      </c>
      <c r="U4075" s="4">
        <v>601000</v>
      </c>
      <c r="V4075" t="s">
        <v>23739</v>
      </c>
      <c r="W4075" t="s">
        <v>25843</v>
      </c>
      <c r="X4075" t="s">
        <v>3</v>
      </c>
      <c r="AA4075" s="5" t="str">
        <f>HYPERLINK("https://www.zillow.com/homes/1507-WEDGEFIELD-CIR-NAPERVILLE-IL-60563_rb/","check listing")</f>
        <v>check listing</v>
      </c>
      <c r="AB4075" s="5" t="str">
        <f>HYPERLINK("https://propertylookup.dupagecounty.gov/Datalets/Datalet.aspx?UseSearch=no&amp;mode=sales&amp;pin=0712102006","sales record")</f>
        <v>sales record</v>
      </c>
      <c r="AC4075" t="s">
        <v>3</v>
      </c>
      <c r="AD4075">
        <v>41.795475</v>
      </c>
      <c r="AE4075">
        <v>-88.159285</v>
      </c>
      <c r="AF4075" s="5" t="str">
        <f>HYPERLINK("https://www.google.com/maps/search/?api=1&amp;query=41.795475,-88.159285","map")</f>
        <v>map</v>
      </c>
    </row>
    <row r="4076" spans="1:32">
      <c r="A4076" t="s">
        <v>4126</v>
      </c>
      <c r="B4076" t="s">
        <v>11659</v>
      </c>
      <c r="C4076" t="s">
        <v>15629</v>
      </c>
      <c r="D4076" t="s">
        <v>16206</v>
      </c>
      <c r="E4076" t="s">
        <v>16218</v>
      </c>
      <c r="F4076" t="s">
        <v>16221</v>
      </c>
      <c r="G4076" t="s">
        <v>16278</v>
      </c>
      <c r="H4076" t="s">
        <v>16277</v>
      </c>
      <c r="I4076" t="s">
        <v>16353</v>
      </c>
      <c r="J4076" t="s">
        <v>16386</v>
      </c>
      <c r="K4076">
        <v>0.247</v>
      </c>
      <c r="L4076">
        <v>10741</v>
      </c>
      <c r="N4076" t="s">
        <v>16393</v>
      </c>
      <c r="O4076" s="4">
        <v>64565</v>
      </c>
      <c r="P4076" s="4">
        <v>191280</v>
      </c>
      <c r="Q4076" s="4">
        <v>255845</v>
      </c>
      <c r="R4076" s="4">
        <v>767535</v>
      </c>
      <c r="S4076" t="s">
        <v>20382</v>
      </c>
      <c r="T4076" s="6">
        <v>43252</v>
      </c>
      <c r="U4076" s="4">
        <v>563272</v>
      </c>
      <c r="V4076" t="s">
        <v>16232</v>
      </c>
      <c r="W4076" t="s">
        <v>25844</v>
      </c>
      <c r="X4076" t="s">
        <v>3</v>
      </c>
      <c r="AA4076" s="5" t="str">
        <f>HYPERLINK("https://www.zillow.com/homes/1356-BAYOU-PATH-CT-NAPERVILLE-IL-605633609_rb/","check listing")</f>
        <v>check listing</v>
      </c>
      <c r="AB4076" s="5" t="str">
        <f>HYPERLINK("https://propertylookup.dupagecounty.gov/Datalets/Datalet.aspx?UseSearch=no&amp;mode=sales&amp;pin=0709311096","sales record")</f>
        <v>sales record</v>
      </c>
      <c r="AC4076" t="s">
        <v>3</v>
      </c>
      <c r="AD4076">
        <v>41.786225</v>
      </c>
      <c r="AE4076">
        <v>-88.217842</v>
      </c>
      <c r="AF4076" s="5" t="str">
        <f>HYPERLINK("https://www.google.com/maps/search/?api=1&amp;query=41.786225,-88.217842","map")</f>
        <v>map</v>
      </c>
    </row>
    <row r="4077" spans="1:32">
      <c r="A4077" t="s">
        <v>4127</v>
      </c>
      <c r="B4077" t="s">
        <v>11660</v>
      </c>
      <c r="C4077" t="s">
        <v>15645</v>
      </c>
      <c r="D4077" t="s">
        <v>16206</v>
      </c>
      <c r="E4077" t="s">
        <v>16218</v>
      </c>
      <c r="F4077" t="s">
        <v>16221</v>
      </c>
      <c r="G4077" t="s">
        <v>16278</v>
      </c>
      <c r="H4077" t="s">
        <v>16277</v>
      </c>
      <c r="I4077" t="s">
        <v>16353</v>
      </c>
      <c r="J4077" t="s">
        <v>16386</v>
      </c>
      <c r="K4077">
        <v>0.246</v>
      </c>
      <c r="L4077">
        <v>10737</v>
      </c>
      <c r="N4077" t="s">
        <v>16393</v>
      </c>
      <c r="O4077" s="4">
        <v>67787</v>
      </c>
      <c r="P4077" s="4">
        <v>141665</v>
      </c>
      <c r="Q4077" s="4">
        <v>209452</v>
      </c>
      <c r="R4077" s="4">
        <v>628356</v>
      </c>
      <c r="S4077" t="s">
        <v>20383</v>
      </c>
      <c r="T4077" s="6">
        <v>43862</v>
      </c>
      <c r="U4077" s="4">
        <v>415000</v>
      </c>
      <c r="V4077" t="s">
        <v>16232</v>
      </c>
      <c r="W4077" t="s">
        <v>25845</v>
      </c>
      <c r="X4077" t="s">
        <v>3</v>
      </c>
      <c r="AA4077" s="5" t="str">
        <f>HYPERLINK("https://www.zillow.com/homes/2492-BASIN-TRAIL-LN-NAPERVILLE-IL-605633595_rb/","check listing")</f>
        <v>check listing</v>
      </c>
      <c r="AB4077" s="5" t="str">
        <f>HYPERLINK("https://propertylookup.dupagecounty.gov/Datalets/Datalet.aspx?UseSearch=no&amp;mode=sales&amp;pin=0709110009","sales record")</f>
        <v>sales record</v>
      </c>
      <c r="AC4077" t="s">
        <v>3</v>
      </c>
      <c r="AD4077">
        <v>41.795316</v>
      </c>
      <c r="AE4077">
        <v>-88.22241200000001</v>
      </c>
      <c r="AF4077" s="5" t="str">
        <f>HYPERLINK("https://www.google.com/maps/search/?api=1&amp;query=41.795316,-88.222412","map")</f>
        <v>map</v>
      </c>
    </row>
    <row r="4078" spans="1:32">
      <c r="A4078" t="s">
        <v>4128</v>
      </c>
      <c r="B4078" t="s">
        <v>11661</v>
      </c>
      <c r="C4078" t="s">
        <v>15679</v>
      </c>
      <c r="D4078" t="s">
        <v>16206</v>
      </c>
      <c r="E4078" t="s">
        <v>16218</v>
      </c>
      <c r="F4078" t="s">
        <v>16221</v>
      </c>
      <c r="G4078" t="s">
        <v>16278</v>
      </c>
      <c r="H4078" t="s">
        <v>16277</v>
      </c>
      <c r="I4078" t="s">
        <v>16353</v>
      </c>
      <c r="J4078" t="s">
        <v>16386</v>
      </c>
      <c r="K4078">
        <v>0.246</v>
      </c>
      <c r="L4078">
        <v>10732</v>
      </c>
      <c r="N4078" t="s">
        <v>16393</v>
      </c>
      <c r="O4078" s="4">
        <v>61343</v>
      </c>
      <c r="P4078" s="4">
        <v>208587</v>
      </c>
      <c r="Q4078" s="4">
        <v>269930</v>
      </c>
      <c r="R4078" s="4">
        <v>809790</v>
      </c>
      <c r="S4078" t="s">
        <v>20384</v>
      </c>
      <c r="T4078" s="6">
        <v>42979</v>
      </c>
      <c r="U4078" s="4">
        <v>562266</v>
      </c>
      <c r="V4078" t="s">
        <v>16232</v>
      </c>
      <c r="W4078" t="s">
        <v>25846</v>
      </c>
      <c r="X4078" t="s">
        <v>3</v>
      </c>
      <c r="AA4078" s="5" t="str">
        <f>HYPERLINK("https://www.zillow.com/homes/1607-BAYOU-PATH-DR-NAPERVILLE-IL-605632271_rb/","check listing")</f>
        <v>check listing</v>
      </c>
      <c r="AB4078" s="5" t="str">
        <f>HYPERLINK("https://propertylookup.dupagecounty.gov/Datalets/Datalet.aspx?UseSearch=no&amp;mode=sales&amp;pin=0709112008","sales record")</f>
        <v>sales record</v>
      </c>
      <c r="AC4078" t="s">
        <v>3</v>
      </c>
      <c r="AD4078">
        <v>41.795882</v>
      </c>
      <c r="AE4078">
        <v>-88.218853</v>
      </c>
      <c r="AF4078" s="5" t="str">
        <f>HYPERLINK("https://www.google.com/maps/search/?api=1&amp;query=41.795882,-88.218853","map")</f>
        <v>map</v>
      </c>
    </row>
    <row r="4079" spans="1:32">
      <c r="A4079" t="s">
        <v>4129</v>
      </c>
      <c r="B4079" t="s">
        <v>11662</v>
      </c>
      <c r="C4079" t="s">
        <v>15648</v>
      </c>
      <c r="D4079" t="s">
        <v>16206</v>
      </c>
      <c r="E4079" t="s">
        <v>16218</v>
      </c>
      <c r="F4079" t="s">
        <v>16221</v>
      </c>
      <c r="G4079" t="s">
        <v>16278</v>
      </c>
      <c r="H4079" t="s">
        <v>16277</v>
      </c>
      <c r="I4079" t="s">
        <v>16353</v>
      </c>
      <c r="J4079" t="s">
        <v>16386</v>
      </c>
      <c r="K4079">
        <v>0.246</v>
      </c>
      <c r="L4079">
        <v>10713</v>
      </c>
      <c r="N4079" t="s">
        <v>16393</v>
      </c>
      <c r="O4079" s="4">
        <v>64565</v>
      </c>
      <c r="P4079" s="4">
        <v>193025</v>
      </c>
      <c r="Q4079" s="4">
        <v>257590</v>
      </c>
      <c r="R4079" s="4">
        <v>772770</v>
      </c>
      <c r="S4079" t="s">
        <v>20385</v>
      </c>
      <c r="T4079" s="6">
        <v>42979</v>
      </c>
      <c r="U4079" s="4">
        <v>535000</v>
      </c>
      <c r="V4079" t="s">
        <v>23739</v>
      </c>
      <c r="W4079" t="s">
        <v>25847</v>
      </c>
      <c r="X4079" t="s">
        <v>3</v>
      </c>
      <c r="AA4079" s="5" t="str">
        <f>HYPERLINK("https://www.zillow.com/homes/1616-ALDERLEAF-LN-NAPERVILLE-IL-605632049_rb/","check listing")</f>
        <v>check listing</v>
      </c>
      <c r="AB4079" s="5" t="str">
        <f>HYPERLINK("https://propertylookup.dupagecounty.gov/Datalets/Datalet.aspx?UseSearch=no&amp;mode=sales&amp;pin=0709102031","sales record")</f>
        <v>sales record</v>
      </c>
      <c r="AC4079" t="s">
        <v>3</v>
      </c>
      <c r="AD4079">
        <v>41.796884</v>
      </c>
      <c r="AE4079">
        <v>-88.217547</v>
      </c>
      <c r="AF4079" s="5" t="str">
        <f>HYPERLINK("https://www.google.com/maps/search/?api=1&amp;query=41.796884,-88.217547","map")</f>
        <v>map</v>
      </c>
    </row>
    <row r="4080" spans="1:32">
      <c r="A4080" t="s">
        <v>4130</v>
      </c>
      <c r="B4080" t="s">
        <v>11663</v>
      </c>
      <c r="C4080" t="s">
        <v>15475</v>
      </c>
      <c r="D4080" t="s">
        <v>16206</v>
      </c>
      <c r="E4080" t="s">
        <v>16218</v>
      </c>
      <c r="F4080" t="s">
        <v>16221</v>
      </c>
      <c r="G4080" t="s">
        <v>16277</v>
      </c>
      <c r="H4080" t="s">
        <v>16277</v>
      </c>
      <c r="I4080" t="s">
        <v>16353</v>
      </c>
      <c r="J4080" t="s">
        <v>16386</v>
      </c>
      <c r="K4080">
        <v>0.246</v>
      </c>
      <c r="L4080">
        <v>10711</v>
      </c>
      <c r="M4080">
        <v>2903</v>
      </c>
      <c r="N4080" t="s">
        <v>16393</v>
      </c>
      <c r="O4080" s="4">
        <v>151713</v>
      </c>
      <c r="P4080" s="4">
        <v>125861</v>
      </c>
      <c r="Q4080" s="4">
        <v>277574</v>
      </c>
      <c r="R4080" s="4">
        <v>832722</v>
      </c>
      <c r="S4080" t="s">
        <v>20386</v>
      </c>
      <c r="T4080" s="6">
        <v>45828</v>
      </c>
      <c r="U4080" s="4">
        <v>859000</v>
      </c>
      <c r="V4080" t="s">
        <v>23741</v>
      </c>
      <c r="W4080" t="s">
        <v>25848</v>
      </c>
      <c r="X4080" t="s">
        <v>3</v>
      </c>
      <c r="AA4080" s="5" t="str">
        <f>HYPERLINK("https://www.zillow.com/homes/114-S-LOOMIS-ST-NAPERVILLE-IL-60540_rb/","check listing")</f>
        <v>check listing</v>
      </c>
      <c r="AB4080" s="5" t="str">
        <f>HYPERLINK("https://propertylookup.dupagecounty.gov/Datalets/Datalet.aspx?UseSearch=no&amp;mode=sales&amp;pin=0818321002","sales record")</f>
        <v>sales record</v>
      </c>
      <c r="AC4080" t="s">
        <v>3</v>
      </c>
      <c r="AD4080">
        <v>41.773521</v>
      </c>
      <c r="AE4080">
        <v>-88.141957</v>
      </c>
      <c r="AF4080" s="5" t="str">
        <f>HYPERLINK("https://www.google.com/maps/search/?api=1&amp;query=41.773521,-88.141957","map")</f>
        <v>map</v>
      </c>
    </row>
    <row r="4081" spans="1:32">
      <c r="A4081" t="s">
        <v>4131</v>
      </c>
      <c r="B4081" t="s">
        <v>11664</v>
      </c>
      <c r="C4081" t="s">
        <v>15478</v>
      </c>
      <c r="D4081" t="s">
        <v>16206</v>
      </c>
      <c r="E4081" t="s">
        <v>16218</v>
      </c>
      <c r="F4081" t="s">
        <v>16221</v>
      </c>
      <c r="G4081" t="s">
        <v>16278</v>
      </c>
      <c r="H4081" t="s">
        <v>16277</v>
      </c>
      <c r="I4081" t="s">
        <v>16353</v>
      </c>
      <c r="J4081" t="s">
        <v>16386</v>
      </c>
      <c r="K4081">
        <v>0.246</v>
      </c>
      <c r="L4081">
        <v>10709</v>
      </c>
      <c r="N4081" t="s">
        <v>16393</v>
      </c>
      <c r="O4081" s="4">
        <v>64565</v>
      </c>
      <c r="P4081" s="4">
        <v>170421</v>
      </c>
      <c r="Q4081" s="4">
        <v>234986</v>
      </c>
      <c r="R4081" s="4">
        <v>704958</v>
      </c>
      <c r="S4081" t="s">
        <v>20387</v>
      </c>
      <c r="T4081" s="6">
        <v>44136</v>
      </c>
      <c r="U4081" s="4">
        <v>545000</v>
      </c>
      <c r="V4081" t="s">
        <v>23740</v>
      </c>
      <c r="W4081" t="s">
        <v>20387</v>
      </c>
      <c r="X4081" t="s">
        <v>3</v>
      </c>
      <c r="AA4081" s="5" t="str">
        <f>HYPERLINK("https://www.zillow.com/homes/1524-ALDERLEAF-CT-NAPERVILLE-IL-60563_rb/","check listing")</f>
        <v>check listing</v>
      </c>
      <c r="AB4081" s="5" t="str">
        <f>HYPERLINK("https://propertylookup.dupagecounty.gov/Datalets/Datalet.aspx?UseSearch=no&amp;mode=sales&amp;pin=0709105024","sales record")</f>
        <v>sales record</v>
      </c>
      <c r="AC4081" t="s">
        <v>3</v>
      </c>
      <c r="AD4081">
        <v>41.79553</v>
      </c>
      <c r="AE4081">
        <v>-88.21654599999999</v>
      </c>
      <c r="AF4081" s="5" t="str">
        <f>HYPERLINK("https://www.google.com/maps/search/?api=1&amp;query=41.79553,-88.216546","map")</f>
        <v>map</v>
      </c>
    </row>
    <row r="4082" spans="1:32">
      <c r="A4082" t="s">
        <v>4132</v>
      </c>
      <c r="B4082" t="s">
        <v>11665</v>
      </c>
      <c r="C4082" t="s">
        <v>15478</v>
      </c>
      <c r="D4082" t="s">
        <v>16206</v>
      </c>
      <c r="E4082" t="s">
        <v>16218</v>
      </c>
      <c r="F4082" t="s">
        <v>16221</v>
      </c>
      <c r="G4082" t="s">
        <v>16277</v>
      </c>
      <c r="H4082" t="s">
        <v>16277</v>
      </c>
      <c r="I4082" t="s">
        <v>16353</v>
      </c>
      <c r="J4082" t="s">
        <v>16386</v>
      </c>
      <c r="K4082">
        <v>0.246</v>
      </c>
      <c r="L4082">
        <v>10698</v>
      </c>
      <c r="N4082" t="s">
        <v>16393</v>
      </c>
      <c r="O4082" s="4">
        <v>150928</v>
      </c>
      <c r="P4082" s="4">
        <v>265766</v>
      </c>
      <c r="Q4082" s="4">
        <v>416694</v>
      </c>
      <c r="R4082" s="4">
        <v>1250082</v>
      </c>
      <c r="S4082" t="s">
        <v>20388</v>
      </c>
      <c r="T4082" s="6">
        <v>45866</v>
      </c>
      <c r="U4082" s="4">
        <v>1700000</v>
      </c>
      <c r="V4082" t="s">
        <v>23739</v>
      </c>
      <c r="W4082" t="s">
        <v>25849</v>
      </c>
      <c r="X4082" t="s">
        <v>3</v>
      </c>
      <c r="AA4082" s="5" t="str">
        <f>HYPERLINK("https://www.zillow.com/homes/527-N-ELLSWORTH-ST-NAPERVILLE-IL-60563_rb/","check listing")</f>
        <v>check listing</v>
      </c>
      <c r="AB4082" s="5" t="str">
        <f>HYPERLINK("https://propertylookup.dupagecounty.gov/Datalets/Datalet.aspx?UseSearch=no&amp;mode=sales&amp;pin=0818108006","sales record")</f>
        <v>sales record</v>
      </c>
      <c r="AC4082" t="s">
        <v>3</v>
      </c>
      <c r="AD4082">
        <v>41.781779</v>
      </c>
      <c r="AE4082">
        <v>-88.145034</v>
      </c>
      <c r="AF4082" s="5" t="str">
        <f>HYPERLINK("https://www.google.com/maps/search/?api=1&amp;query=41.781779,-88.145034","map")</f>
        <v>map</v>
      </c>
    </row>
    <row r="4083" spans="1:32">
      <c r="A4083" t="s">
        <v>4133</v>
      </c>
      <c r="B4083" t="s">
        <v>11666</v>
      </c>
      <c r="C4083" t="s">
        <v>15478</v>
      </c>
      <c r="D4083" t="s">
        <v>16206</v>
      </c>
      <c r="E4083" t="s">
        <v>16218</v>
      </c>
      <c r="F4083" t="s">
        <v>16221</v>
      </c>
      <c r="G4083" t="s">
        <v>16277</v>
      </c>
      <c r="H4083" t="s">
        <v>16277</v>
      </c>
      <c r="I4083" t="s">
        <v>16353</v>
      </c>
      <c r="J4083" t="s">
        <v>16386</v>
      </c>
      <c r="K4083">
        <v>0.245</v>
      </c>
      <c r="L4083">
        <v>10682</v>
      </c>
      <c r="M4083">
        <v>2194</v>
      </c>
      <c r="N4083" t="s">
        <v>16393</v>
      </c>
      <c r="O4083" s="4">
        <v>77570</v>
      </c>
      <c r="P4083" s="4">
        <v>100627</v>
      </c>
      <c r="Q4083" s="4">
        <v>178197</v>
      </c>
      <c r="R4083" s="4">
        <v>534591</v>
      </c>
      <c r="S4083" t="s">
        <v>20389</v>
      </c>
      <c r="T4083" s="6">
        <v>31229</v>
      </c>
      <c r="U4083" s="4">
        <v>129380</v>
      </c>
      <c r="X4083" t="s">
        <v>3</v>
      </c>
      <c r="AA4083" s="5" t="str">
        <f>HYPERLINK("https://www.zillow.com/homes/569-OLD-PLANK-RD-NAPERVILLE-IL-60563_rb/","check listing")</f>
        <v>check listing</v>
      </c>
      <c r="AB4083" s="5" t="str">
        <f>HYPERLINK("https://propertylookup.dupagecounty.gov/Datalets/Datalet.aspx?UseSearch=no&amp;mode=sales&amp;pin=0818206062","sales record")</f>
        <v>sales record</v>
      </c>
      <c r="AC4083" t="s">
        <v>3</v>
      </c>
      <c r="AD4083">
        <v>41.781872</v>
      </c>
      <c r="AE4083">
        <v>-88.132537</v>
      </c>
      <c r="AF4083" s="5" t="str">
        <f>HYPERLINK("https://www.google.com/maps/search/?api=1&amp;query=41.781872,-88.132537","map")</f>
        <v>map</v>
      </c>
    </row>
    <row r="4084" spans="1:32">
      <c r="A4084" t="s">
        <v>4134</v>
      </c>
      <c r="B4084" t="s">
        <v>11667</v>
      </c>
      <c r="C4084" t="s">
        <v>15680</v>
      </c>
      <c r="D4084" t="s">
        <v>16206</v>
      </c>
      <c r="E4084" t="s">
        <v>16218</v>
      </c>
      <c r="F4084" t="s">
        <v>16221</v>
      </c>
      <c r="G4084" t="s">
        <v>16277</v>
      </c>
      <c r="H4084" t="s">
        <v>16277</v>
      </c>
      <c r="I4084" t="s">
        <v>16353</v>
      </c>
      <c r="J4084" t="s">
        <v>16386</v>
      </c>
      <c r="K4084">
        <v>0.244</v>
      </c>
      <c r="L4084">
        <v>10640</v>
      </c>
      <c r="M4084">
        <v>4585</v>
      </c>
      <c r="N4084" t="s">
        <v>16393</v>
      </c>
      <c r="O4084" s="4">
        <v>152223</v>
      </c>
      <c r="P4084" s="4">
        <v>547463</v>
      </c>
      <c r="Q4084" s="4">
        <v>699686</v>
      </c>
      <c r="R4084" s="4">
        <v>2099058</v>
      </c>
      <c r="S4084" t="s">
        <v>20390</v>
      </c>
      <c r="T4084" s="6">
        <v>43647</v>
      </c>
      <c r="U4084" s="4">
        <v>1400000</v>
      </c>
      <c r="V4084" t="s">
        <v>23739</v>
      </c>
      <c r="W4084" t="s">
        <v>25850</v>
      </c>
      <c r="X4084" t="s">
        <v>3</v>
      </c>
      <c r="AA4084" s="5" t="str">
        <f>HYPERLINK("https://www.zillow.com/homes/24-S-WEST-ST-NAPERVILLE-IL-605404351_rb/","check listing")</f>
        <v>check listing</v>
      </c>
      <c r="AB4084" s="5" t="str">
        <f>HYPERLINK("https://propertylookup.dupagecounty.gov/Datalets/Datalet.aspx?UseSearch=no&amp;mode=sales&amp;pin=0713312007","sales record")</f>
        <v>sales record</v>
      </c>
      <c r="AC4084" t="s">
        <v>3</v>
      </c>
      <c r="AD4084">
        <v>41.774691</v>
      </c>
      <c r="AE4084">
        <v>-88.15745699999999</v>
      </c>
      <c r="AF4084" s="5" t="str">
        <f>HYPERLINK("https://www.google.com/maps/search/?api=1&amp;query=41.774691,-88.157457","map")</f>
        <v>map</v>
      </c>
    </row>
    <row r="4085" spans="1:32">
      <c r="A4085" t="s">
        <v>4135</v>
      </c>
      <c r="B4085" t="s">
        <v>11668</v>
      </c>
      <c r="C4085" t="s">
        <v>15662</v>
      </c>
      <c r="D4085" t="s">
        <v>16206</v>
      </c>
      <c r="E4085" t="s">
        <v>16218</v>
      </c>
      <c r="F4085" t="s">
        <v>16221</v>
      </c>
      <c r="G4085" t="s">
        <v>16278</v>
      </c>
      <c r="H4085" t="s">
        <v>16277</v>
      </c>
      <c r="I4085" t="s">
        <v>16353</v>
      </c>
      <c r="J4085" t="s">
        <v>16386</v>
      </c>
      <c r="K4085">
        <v>0.244</v>
      </c>
      <c r="L4085">
        <v>10635</v>
      </c>
      <c r="N4085" t="s">
        <v>16393</v>
      </c>
      <c r="O4085" s="4">
        <v>56146</v>
      </c>
      <c r="P4085" s="4">
        <v>241684</v>
      </c>
      <c r="Q4085" s="4">
        <v>297830</v>
      </c>
      <c r="R4085" s="4">
        <v>893490</v>
      </c>
      <c r="S4085" t="s">
        <v>20391</v>
      </c>
      <c r="T4085" s="6">
        <v>45226</v>
      </c>
      <c r="U4085" s="4">
        <v>1045531</v>
      </c>
      <c r="V4085" t="s">
        <v>16232</v>
      </c>
      <c r="W4085" t="s">
        <v>25851</v>
      </c>
      <c r="X4085" t="s">
        <v>3</v>
      </c>
      <c r="AA4085" s="5" t="str">
        <f>HYPERLINK("https://www.zillow.com/homes/2644-WEATHERBEE-CT-NAPERVILLE-IL-605631594_rb/","check listing")</f>
        <v>check listing</v>
      </c>
      <c r="AB4085" s="5" t="str">
        <f>HYPERLINK("https://propertylookup.dupagecounty.gov/Datalets/Datalet.aspx?UseSearch=no&amp;mode=sales&amp;pin=0532300063","sales record")</f>
        <v>sales record</v>
      </c>
      <c r="AC4085" t="s">
        <v>3</v>
      </c>
      <c r="AD4085">
        <v>41.821001</v>
      </c>
      <c r="AE4085">
        <v>-88.12327399999999</v>
      </c>
      <c r="AF4085" s="5" t="str">
        <f>HYPERLINK("https://www.google.com/maps/search/?api=1&amp;query=41.821001,-88.123274","map")</f>
        <v>map</v>
      </c>
    </row>
    <row r="4086" spans="1:32">
      <c r="A4086" t="s">
        <v>4136</v>
      </c>
      <c r="B4086" t="s">
        <v>11669</v>
      </c>
      <c r="C4086" t="s">
        <v>15478</v>
      </c>
      <c r="D4086" t="s">
        <v>16206</v>
      </c>
      <c r="E4086" t="s">
        <v>16218</v>
      </c>
      <c r="F4086" t="s">
        <v>16221</v>
      </c>
      <c r="G4086" t="s">
        <v>16277</v>
      </c>
      <c r="H4086" t="s">
        <v>16277</v>
      </c>
      <c r="I4086" t="s">
        <v>16353</v>
      </c>
      <c r="J4086" t="s">
        <v>16386</v>
      </c>
      <c r="K4086">
        <v>0.243</v>
      </c>
      <c r="L4086">
        <v>10566</v>
      </c>
      <c r="M4086">
        <v>2474</v>
      </c>
      <c r="N4086" t="s">
        <v>16393</v>
      </c>
      <c r="O4086" s="4">
        <v>131830</v>
      </c>
      <c r="P4086" s="4">
        <v>48780</v>
      </c>
      <c r="Q4086" s="4">
        <v>180610</v>
      </c>
      <c r="R4086" s="4">
        <v>541830</v>
      </c>
      <c r="S4086" t="s">
        <v>20392</v>
      </c>
      <c r="T4086" s="6">
        <v>36434</v>
      </c>
      <c r="U4086" s="4">
        <v>195000</v>
      </c>
      <c r="X4086" t="s">
        <v>3</v>
      </c>
      <c r="AA4086" s="5" t="str">
        <f>HYPERLINK("https://www.zillow.com/homes/842-N-BRAINARD-ST-NAPERVILLE-IL-60563_rb/","check listing")</f>
        <v>check listing</v>
      </c>
      <c r="AB4086" s="5" t="str">
        <f>HYPERLINK("https://propertylookup.dupagecounty.gov/Datalets/Datalet.aspx?UseSearch=no&amp;mode=sales&amp;pin=0807316004","sales record")</f>
        <v>sales record</v>
      </c>
      <c r="AC4086" t="s">
        <v>3</v>
      </c>
      <c r="AD4086">
        <v>41.785209</v>
      </c>
      <c r="AE4086">
        <v>-88.142493</v>
      </c>
      <c r="AF4086" s="5" t="str">
        <f>HYPERLINK("https://www.google.com/maps/search/?api=1&amp;query=41.785209,-88.142493","map")</f>
        <v>map</v>
      </c>
    </row>
    <row r="4087" spans="1:32">
      <c r="A4087" t="s">
        <v>4137</v>
      </c>
      <c r="B4087" t="s">
        <v>11670</v>
      </c>
      <c r="C4087" t="s">
        <v>15648</v>
      </c>
      <c r="D4087" t="s">
        <v>16206</v>
      </c>
      <c r="E4087" t="s">
        <v>16218</v>
      </c>
      <c r="F4087" t="s">
        <v>16221</v>
      </c>
      <c r="G4087" t="s">
        <v>16278</v>
      </c>
      <c r="H4087" t="s">
        <v>16277</v>
      </c>
      <c r="I4087" t="s">
        <v>16353</v>
      </c>
      <c r="J4087" t="s">
        <v>16386</v>
      </c>
      <c r="K4087">
        <v>0.242</v>
      </c>
      <c r="L4087">
        <v>10547</v>
      </c>
      <c r="N4087" t="s">
        <v>16393</v>
      </c>
      <c r="O4087" s="4">
        <v>64565</v>
      </c>
      <c r="P4087" s="4">
        <v>196601</v>
      </c>
      <c r="Q4087" s="4">
        <v>261166</v>
      </c>
      <c r="R4087" s="4">
        <v>783498</v>
      </c>
      <c r="S4087" t="s">
        <v>20393</v>
      </c>
      <c r="T4087" s="6">
        <v>42917</v>
      </c>
      <c r="U4087" s="4">
        <v>561248</v>
      </c>
      <c r="V4087" t="s">
        <v>16232</v>
      </c>
      <c r="W4087" t="s">
        <v>25852</v>
      </c>
      <c r="X4087" t="s">
        <v>3</v>
      </c>
      <c r="AA4087" s="5" t="str">
        <f>HYPERLINK("https://www.zillow.com/homes/1656-ALDERLEAF-LN-NAPERVILLE-IL-605632049_rb/","check listing")</f>
        <v>check listing</v>
      </c>
      <c r="AB4087" s="5" t="str">
        <f>HYPERLINK("https://propertylookup.dupagecounty.gov/Datalets/Datalet.aspx?UseSearch=no&amp;mode=sales&amp;pin=0709102021","sales record")</f>
        <v>sales record</v>
      </c>
      <c r="AC4087" t="s">
        <v>3</v>
      </c>
      <c r="AD4087">
        <v>41.797378</v>
      </c>
      <c r="AE4087">
        <v>-88.21996300000001</v>
      </c>
      <c r="AF4087" s="5" t="str">
        <f>HYPERLINK("https://www.google.com/maps/search/?api=1&amp;query=41.797378,-88.219963","map")</f>
        <v>map</v>
      </c>
    </row>
    <row r="4088" spans="1:32">
      <c r="A4088" t="s">
        <v>4138</v>
      </c>
      <c r="B4088" t="s">
        <v>11671</v>
      </c>
      <c r="C4088" t="s">
        <v>15681</v>
      </c>
      <c r="D4088" t="s">
        <v>16206</v>
      </c>
      <c r="E4088" t="s">
        <v>16218</v>
      </c>
      <c r="F4088" t="s">
        <v>16221</v>
      </c>
      <c r="G4088" t="s">
        <v>16277</v>
      </c>
      <c r="H4088" t="s">
        <v>16277</v>
      </c>
      <c r="I4088" t="s">
        <v>16353</v>
      </c>
      <c r="J4088" t="s">
        <v>16386</v>
      </c>
      <c r="K4088">
        <v>0.241</v>
      </c>
      <c r="L4088">
        <v>10512</v>
      </c>
      <c r="M4088">
        <v>2507</v>
      </c>
      <c r="N4088" t="s">
        <v>16393</v>
      </c>
      <c r="O4088" s="4">
        <v>151713</v>
      </c>
      <c r="P4088" s="4">
        <v>64203</v>
      </c>
      <c r="Q4088" s="4">
        <v>215916</v>
      </c>
      <c r="R4088" s="4">
        <v>647748</v>
      </c>
      <c r="S4088" t="s">
        <v>20394</v>
      </c>
      <c r="T4088" s="6">
        <v>44562</v>
      </c>
      <c r="U4088" s="4">
        <v>400000</v>
      </c>
      <c r="V4088" t="s">
        <v>23740</v>
      </c>
      <c r="W4088" t="s">
        <v>25853</v>
      </c>
      <c r="X4088" t="s">
        <v>3</v>
      </c>
      <c r="AA4088" s="5" t="str">
        <f>HYPERLINK("https://www.zillow.com/homes/153-N-BRAINARD-ST-NAPERVILLE-IL-605404608_rb/","check listing")</f>
        <v>check listing</v>
      </c>
      <c r="AB4088" s="5" t="str">
        <f>HYPERLINK("https://propertylookup.dupagecounty.gov/Datalets/Datalet.aspx?UseSearch=no&amp;mode=sales&amp;pin=0818133003","sales record")</f>
        <v>sales record</v>
      </c>
      <c r="AC4088" t="s">
        <v>3</v>
      </c>
      <c r="AD4088">
        <v>41.777331</v>
      </c>
      <c r="AE4088">
        <v>-88.143974</v>
      </c>
      <c r="AF4088" s="5" t="str">
        <f>HYPERLINK("https://www.google.com/maps/search/?api=1&amp;query=41.777331,-88.143974","map")</f>
        <v>map</v>
      </c>
    </row>
    <row r="4089" spans="1:32">
      <c r="A4089" t="s">
        <v>4139</v>
      </c>
      <c r="B4089" t="s">
        <v>11672</v>
      </c>
      <c r="C4089" t="s">
        <v>15682</v>
      </c>
      <c r="D4089" t="s">
        <v>16206</v>
      </c>
      <c r="E4089" t="s">
        <v>16218</v>
      </c>
      <c r="F4089" t="s">
        <v>16221</v>
      </c>
      <c r="G4089" t="s">
        <v>16277</v>
      </c>
      <c r="H4089" t="s">
        <v>16277</v>
      </c>
      <c r="I4089" t="s">
        <v>16353</v>
      </c>
      <c r="J4089" t="s">
        <v>16386</v>
      </c>
      <c r="K4089">
        <v>0.241</v>
      </c>
      <c r="L4089">
        <v>10511</v>
      </c>
      <c r="M4089">
        <v>2081</v>
      </c>
      <c r="N4089" t="s">
        <v>16393</v>
      </c>
      <c r="O4089" s="4">
        <v>154595</v>
      </c>
      <c r="P4089" s="4">
        <v>354385</v>
      </c>
      <c r="Q4089" s="4">
        <v>508980</v>
      </c>
      <c r="R4089" s="4">
        <v>1526940</v>
      </c>
      <c r="S4089" t="s">
        <v>20395</v>
      </c>
      <c r="T4089" s="6">
        <v>44197</v>
      </c>
      <c r="U4089" s="4">
        <v>275000</v>
      </c>
      <c r="V4089" t="s">
        <v>23739</v>
      </c>
      <c r="W4089" t="s">
        <v>25854</v>
      </c>
      <c r="X4089" t="s">
        <v>3</v>
      </c>
      <c r="AA4089" s="5" t="str">
        <f>HYPERLINK("https://www.zillow.com/homes/235-N-LAIRD-ST-NAPERVILLE-IL-605404334_rb/","check listing")</f>
        <v>check listing</v>
      </c>
      <c r="AB4089" s="5" t="str">
        <f>HYPERLINK("https://propertylookup.dupagecounty.gov/Datalets/Datalet.aspx?UseSearch=no&amp;mode=sales&amp;pin=0713101019","sales record")</f>
        <v>sales record</v>
      </c>
      <c r="AC4089" t="s">
        <v>3</v>
      </c>
      <c r="AD4089">
        <v>41.778829</v>
      </c>
      <c r="AE4089">
        <v>-88.160354</v>
      </c>
      <c r="AF4089" s="5" t="str">
        <f>HYPERLINK("https://www.google.com/maps/search/?api=1&amp;query=41.778829,-88.160354","map")</f>
        <v>map</v>
      </c>
    </row>
    <row r="4090" spans="1:32">
      <c r="A4090" t="s">
        <v>4140</v>
      </c>
      <c r="B4090" t="s">
        <v>11673</v>
      </c>
      <c r="C4090" t="s">
        <v>15475</v>
      </c>
      <c r="D4090" t="s">
        <v>16206</v>
      </c>
      <c r="E4090" t="s">
        <v>16218</v>
      </c>
      <c r="F4090" t="s">
        <v>16221</v>
      </c>
      <c r="G4090" t="s">
        <v>16277</v>
      </c>
      <c r="H4090" t="s">
        <v>16277</v>
      </c>
      <c r="I4090" t="s">
        <v>16353</v>
      </c>
      <c r="J4090" t="s">
        <v>16386</v>
      </c>
      <c r="K4090">
        <v>0.241</v>
      </c>
      <c r="L4090">
        <v>10482</v>
      </c>
      <c r="M4090">
        <v>2326</v>
      </c>
      <c r="N4090" t="s">
        <v>16393</v>
      </c>
      <c r="O4090" s="4">
        <v>138847</v>
      </c>
      <c r="P4090" s="4">
        <v>207913</v>
      </c>
      <c r="Q4090" s="4">
        <v>346760</v>
      </c>
      <c r="R4090" s="4">
        <v>1040280</v>
      </c>
      <c r="S4090" t="s">
        <v>20396</v>
      </c>
      <c r="X4090" t="s">
        <v>3</v>
      </c>
      <c r="AA4090" s="5" t="str">
        <f>HYPERLINK("https://www.zillow.com/homes/326-N-SLEIGHT-ST-NAPERVILLE-IL-60540_rb/","check listing")</f>
        <v>check listing</v>
      </c>
      <c r="AB4090" s="5" t="str">
        <f>HYPERLINK("https://propertylookup.dupagecounty.gov/Datalets/Datalet.aspx?UseSearch=no&amp;mode=sales&amp;pin=0818139022","sales record")</f>
        <v>sales record</v>
      </c>
      <c r="AC4090" t="s">
        <v>3</v>
      </c>
      <c r="AD4090">
        <v>41.779036</v>
      </c>
      <c r="AE4090">
        <v>-88.140249</v>
      </c>
      <c r="AF4090" s="5" t="str">
        <f>HYPERLINK("https://www.google.com/maps/search/?api=1&amp;query=41.779036,-88.140249","map")</f>
        <v>map</v>
      </c>
    </row>
    <row r="4091" spans="1:32">
      <c r="A4091" t="s">
        <v>4141</v>
      </c>
      <c r="B4091" t="s">
        <v>11674</v>
      </c>
      <c r="C4091" t="s">
        <v>15662</v>
      </c>
      <c r="D4091" t="s">
        <v>16206</v>
      </c>
      <c r="E4091" t="s">
        <v>16218</v>
      </c>
      <c r="F4091" t="s">
        <v>16221</v>
      </c>
      <c r="G4091" t="s">
        <v>16278</v>
      </c>
      <c r="H4091" t="s">
        <v>16277</v>
      </c>
      <c r="I4091" t="s">
        <v>16353</v>
      </c>
      <c r="J4091" t="s">
        <v>16386</v>
      </c>
      <c r="K4091">
        <v>0.24</v>
      </c>
      <c r="L4091">
        <v>10465</v>
      </c>
      <c r="N4091" t="s">
        <v>16393</v>
      </c>
      <c r="O4091" s="4">
        <v>56146</v>
      </c>
      <c r="P4091" s="4">
        <v>236946</v>
      </c>
      <c r="Q4091" s="4">
        <v>293092</v>
      </c>
      <c r="R4091" s="4">
        <v>879276</v>
      </c>
      <c r="S4091" t="s">
        <v>20397</v>
      </c>
      <c r="T4091" s="6">
        <v>45131</v>
      </c>
      <c r="U4091" s="4">
        <v>922032</v>
      </c>
      <c r="V4091" t="s">
        <v>16232</v>
      </c>
      <c r="W4091" t="s">
        <v>25855</v>
      </c>
      <c r="X4091" t="s">
        <v>3</v>
      </c>
      <c r="AA4091" s="5" t="str">
        <f>HYPERLINK("https://www.zillow.com/homes/1123-HIBBARD-RD-NAPERVILLE-IL-605631594_rb/","check listing")</f>
        <v>check listing</v>
      </c>
      <c r="AB4091" s="5" t="str">
        <f>HYPERLINK("https://propertylookup.dupagecounty.gov/Datalets/Datalet.aspx?UseSearch=no&amp;mode=sales&amp;pin=0532300073","sales record")</f>
        <v>sales record</v>
      </c>
      <c r="AC4091" t="s">
        <v>3</v>
      </c>
      <c r="AD4091">
        <v>41.820406</v>
      </c>
      <c r="AE4091">
        <v>-88.122838</v>
      </c>
      <c r="AF4091" s="5" t="str">
        <f>HYPERLINK("https://www.google.com/maps/search/?api=1&amp;query=41.820406,-88.122838","map")</f>
        <v>map</v>
      </c>
    </row>
    <row r="4092" spans="1:32">
      <c r="A4092" t="s">
        <v>4142</v>
      </c>
      <c r="B4092" t="s">
        <v>11675</v>
      </c>
      <c r="C4092" t="s">
        <v>15478</v>
      </c>
      <c r="D4092" t="s">
        <v>16206</v>
      </c>
      <c r="E4092" t="s">
        <v>16218</v>
      </c>
      <c r="F4092" t="s">
        <v>16221</v>
      </c>
      <c r="G4092" t="s">
        <v>16278</v>
      </c>
      <c r="H4092" t="s">
        <v>16277</v>
      </c>
      <c r="I4092" t="s">
        <v>16353</v>
      </c>
      <c r="J4092" t="s">
        <v>16386</v>
      </c>
      <c r="K4092">
        <v>0.24</v>
      </c>
      <c r="L4092">
        <v>10443</v>
      </c>
      <c r="N4092" t="s">
        <v>16393</v>
      </c>
      <c r="O4092" s="4">
        <v>67787</v>
      </c>
      <c r="P4092" s="4">
        <v>143764</v>
      </c>
      <c r="Q4092" s="4">
        <v>211551</v>
      </c>
      <c r="R4092" s="4">
        <v>634653</v>
      </c>
      <c r="S4092" t="s">
        <v>20398</v>
      </c>
      <c r="T4092" s="6">
        <v>42736</v>
      </c>
      <c r="U4092" s="4">
        <v>444106</v>
      </c>
      <c r="V4092" t="s">
        <v>16232</v>
      </c>
      <c r="W4092" t="s">
        <v>25856</v>
      </c>
      <c r="X4092" t="s">
        <v>3</v>
      </c>
      <c r="AA4092" s="5" t="str">
        <f>HYPERLINK("https://www.zillow.com/homes/2420-BALSAM-COVE-RD-NAPERVILLE-IL-60563_rb/","check listing")</f>
        <v>check listing</v>
      </c>
      <c r="AB4092" s="5" t="str">
        <f>HYPERLINK("https://propertylookup.dupagecounty.gov/Datalets/Datalet.aspx?UseSearch=no&amp;mode=sales&amp;pin=0709111001","sales record")</f>
        <v>sales record</v>
      </c>
      <c r="AC4092" t="s">
        <v>3</v>
      </c>
      <c r="AD4092">
        <v>41.796429</v>
      </c>
      <c r="AE4092">
        <v>-88.22166900000001</v>
      </c>
      <c r="AF4092" s="5" t="str">
        <f>HYPERLINK("https://www.google.com/maps/search/?api=1&amp;query=41.796429,-88.221669","map")</f>
        <v>map</v>
      </c>
    </row>
    <row r="4093" spans="1:32">
      <c r="A4093" t="s">
        <v>4143</v>
      </c>
      <c r="B4093" t="s">
        <v>11676</v>
      </c>
      <c r="C4093" t="s">
        <v>15478</v>
      </c>
      <c r="D4093" t="s">
        <v>16206</v>
      </c>
      <c r="E4093" t="s">
        <v>16218</v>
      </c>
      <c r="F4093" t="s">
        <v>16221</v>
      </c>
      <c r="G4093" t="s">
        <v>16277</v>
      </c>
      <c r="H4093" t="s">
        <v>16277</v>
      </c>
      <c r="I4093" t="s">
        <v>16353</v>
      </c>
      <c r="J4093" t="s">
        <v>16386</v>
      </c>
      <c r="K4093">
        <v>0.24</v>
      </c>
      <c r="L4093">
        <v>10441</v>
      </c>
      <c r="M4093">
        <v>4433</v>
      </c>
      <c r="N4093" t="s">
        <v>16393</v>
      </c>
      <c r="O4093" s="4">
        <v>132818</v>
      </c>
      <c r="P4093" s="4">
        <v>303272</v>
      </c>
      <c r="Q4093" s="4">
        <v>436090</v>
      </c>
      <c r="R4093" s="4">
        <v>1308270</v>
      </c>
      <c r="S4093" t="s">
        <v>20399</v>
      </c>
      <c r="T4093" s="6">
        <v>42491</v>
      </c>
      <c r="U4093" s="4">
        <v>965000</v>
      </c>
      <c r="V4093" t="s">
        <v>23739</v>
      </c>
      <c r="W4093" t="s">
        <v>25857</v>
      </c>
      <c r="X4093" t="s">
        <v>3</v>
      </c>
      <c r="AA4093" s="5" t="str">
        <f>HYPERLINK("https://www.zillow.com/homes/836-N-BRAINARD-ST-NAPERVILLE-IL-60563_rb/","check listing")</f>
        <v>check listing</v>
      </c>
      <c r="AB4093" s="5" t="str">
        <f>HYPERLINK("https://propertylookup.dupagecounty.gov/Datalets/Datalet.aspx?UseSearch=no&amp;mode=sales&amp;pin=0807316005","sales record")</f>
        <v>sales record</v>
      </c>
      <c r="AC4093" t="s">
        <v>3</v>
      </c>
      <c r="AD4093">
        <v>41.785072</v>
      </c>
      <c r="AE4093">
        <v>-88.14250800000001</v>
      </c>
      <c r="AF4093" s="5" t="str">
        <f>HYPERLINK("https://www.google.com/maps/search/?api=1&amp;query=41.785072,-88.142508","map")</f>
        <v>map</v>
      </c>
    </row>
    <row r="4094" spans="1:32">
      <c r="A4094" t="s">
        <v>4144</v>
      </c>
      <c r="B4094" t="s">
        <v>11677</v>
      </c>
      <c r="C4094" t="s">
        <v>15475</v>
      </c>
      <c r="D4094" t="s">
        <v>16206</v>
      </c>
      <c r="E4094" t="s">
        <v>16218</v>
      </c>
      <c r="F4094" t="s">
        <v>16221</v>
      </c>
      <c r="G4094" t="s">
        <v>16278</v>
      </c>
      <c r="H4094" t="s">
        <v>16277</v>
      </c>
      <c r="I4094" t="s">
        <v>16353</v>
      </c>
      <c r="J4094" t="s">
        <v>16386</v>
      </c>
      <c r="K4094">
        <v>0.239</v>
      </c>
      <c r="L4094">
        <v>10422</v>
      </c>
      <c r="N4094" t="s">
        <v>16393</v>
      </c>
      <c r="O4094" s="4">
        <v>71010</v>
      </c>
      <c r="P4094" s="4">
        <v>197724</v>
      </c>
      <c r="Q4094" s="4">
        <v>268734</v>
      </c>
      <c r="R4094" s="4">
        <v>806202</v>
      </c>
      <c r="S4094" t="s">
        <v>20400</v>
      </c>
      <c r="T4094" s="6">
        <v>42675</v>
      </c>
      <c r="U4094" s="4">
        <v>502602</v>
      </c>
      <c r="V4094" t="s">
        <v>16232</v>
      </c>
      <c r="W4094" t="s">
        <v>25858</v>
      </c>
      <c r="X4094" t="s">
        <v>3</v>
      </c>
      <c r="AA4094" s="5" t="str">
        <f>HYPERLINK("https://www.zillow.com/homes/1508-ALDERLEAF-CT-NAPERVILLE-IL-60540_rb/","check listing")</f>
        <v>check listing</v>
      </c>
      <c r="AB4094" s="5" t="str">
        <f>HYPERLINK("https://propertylookup.dupagecounty.gov/Datalets/Datalet.aspx?UseSearch=no&amp;mode=sales&amp;pin=0709105020","sales record")</f>
        <v>sales record</v>
      </c>
      <c r="AC4094" t="s">
        <v>3</v>
      </c>
      <c r="AD4094">
        <v>41.795058</v>
      </c>
      <c r="AE4094">
        <v>-88.21733500000001</v>
      </c>
      <c r="AF4094" s="5" t="str">
        <f>HYPERLINK("https://www.google.com/maps/search/?api=1&amp;query=41.795058,-88.217335","map")</f>
        <v>map</v>
      </c>
    </row>
    <row r="4095" spans="1:32">
      <c r="A4095" t="s">
        <v>4145</v>
      </c>
      <c r="B4095" t="s">
        <v>11678</v>
      </c>
      <c r="C4095" t="s">
        <v>15683</v>
      </c>
      <c r="D4095" t="s">
        <v>16206</v>
      </c>
      <c r="E4095" t="s">
        <v>16218</v>
      </c>
      <c r="F4095" t="s">
        <v>16221</v>
      </c>
      <c r="G4095" t="s">
        <v>16277</v>
      </c>
      <c r="H4095" t="s">
        <v>16277</v>
      </c>
      <c r="I4095" t="s">
        <v>16353</v>
      </c>
      <c r="J4095" t="s">
        <v>16386</v>
      </c>
      <c r="K4095">
        <v>0.239</v>
      </c>
      <c r="L4095">
        <v>10421</v>
      </c>
      <c r="M4095">
        <v>1714</v>
      </c>
      <c r="N4095" t="s">
        <v>16393</v>
      </c>
      <c r="O4095" s="4">
        <v>149561</v>
      </c>
      <c r="P4095" s="4">
        <v>339946</v>
      </c>
      <c r="Q4095" s="4">
        <v>489507</v>
      </c>
      <c r="R4095" s="4">
        <v>1468521</v>
      </c>
      <c r="S4095" t="s">
        <v>20401</v>
      </c>
      <c r="T4095" s="6">
        <v>44256</v>
      </c>
      <c r="U4095" s="4">
        <v>1329802</v>
      </c>
      <c r="V4095" t="s">
        <v>23739</v>
      </c>
      <c r="W4095" t="s">
        <v>25859</v>
      </c>
      <c r="X4095" t="s">
        <v>3</v>
      </c>
      <c r="AA4095" s="5" t="str">
        <f>HYPERLINK("https://www.zillow.com/homes/609-E-8TH-AVE-NAPERVILLE-IL-605633209_rb/","check listing")</f>
        <v>check listing</v>
      </c>
      <c r="AB4095" s="5" t="str">
        <f>HYPERLINK("https://propertylookup.dupagecounty.gov/Datalets/Datalet.aspx?UseSearch=no&amp;mode=sales&amp;pin=0818200004","sales record")</f>
        <v>sales record</v>
      </c>
      <c r="AC4095" t="s">
        <v>3</v>
      </c>
      <c r="AD4095">
        <v>41.783827</v>
      </c>
      <c r="AE4095">
        <v>-88.13819100000001</v>
      </c>
      <c r="AF4095" s="5" t="str">
        <f>HYPERLINK("https://www.google.com/maps/search/?api=1&amp;query=41.783827,-88.138191","map")</f>
        <v>map</v>
      </c>
    </row>
    <row r="4096" spans="1:32">
      <c r="A4096" t="s">
        <v>4146</v>
      </c>
      <c r="B4096" t="s">
        <v>11679</v>
      </c>
      <c r="C4096" t="s">
        <v>15683</v>
      </c>
      <c r="D4096" t="s">
        <v>16206</v>
      </c>
      <c r="E4096" t="s">
        <v>16218</v>
      </c>
      <c r="F4096" t="s">
        <v>16221</v>
      </c>
      <c r="G4096" t="s">
        <v>16277</v>
      </c>
      <c r="H4096" t="s">
        <v>16277</v>
      </c>
      <c r="I4096" t="s">
        <v>16353</v>
      </c>
      <c r="J4096" t="s">
        <v>16386</v>
      </c>
      <c r="K4096">
        <v>0.239</v>
      </c>
      <c r="L4096">
        <v>10417</v>
      </c>
      <c r="M4096">
        <v>2078</v>
      </c>
      <c r="N4096" t="s">
        <v>16393</v>
      </c>
      <c r="O4096" s="4">
        <v>99105</v>
      </c>
      <c r="P4096" s="4">
        <v>82647</v>
      </c>
      <c r="Q4096" s="4">
        <v>181752</v>
      </c>
      <c r="R4096" s="4">
        <v>545256</v>
      </c>
      <c r="S4096" t="s">
        <v>20402</v>
      </c>
      <c r="T4096" s="6">
        <v>44470</v>
      </c>
      <c r="U4096" s="4">
        <v>350000</v>
      </c>
      <c r="V4096" t="s">
        <v>23740</v>
      </c>
      <c r="W4096" t="s">
        <v>20402</v>
      </c>
      <c r="X4096" t="s">
        <v>3</v>
      </c>
      <c r="AA4096" s="5" t="str">
        <f>HYPERLINK("https://www.zillow.com/homes/619-E-8TH-AVE-NAPERVILLE-IL-605633209_rb/","check listing")</f>
        <v>check listing</v>
      </c>
      <c r="AB4096" s="5" t="str">
        <f>HYPERLINK("https://propertylookup.dupagecounty.gov/Datalets/Datalet.aspx?UseSearch=no&amp;mode=sales&amp;pin=0818200005","sales record")</f>
        <v>sales record</v>
      </c>
      <c r="AC4096" t="s">
        <v>3</v>
      </c>
      <c r="AD4096">
        <v>41.783808</v>
      </c>
      <c r="AE4096">
        <v>-88.13795399999999</v>
      </c>
      <c r="AF4096" s="5" t="str">
        <f>HYPERLINK("https://www.google.com/maps/search/?api=1&amp;query=41.783808,-88.137954","map")</f>
        <v>map</v>
      </c>
    </row>
    <row r="4097" spans="1:32">
      <c r="A4097" t="s">
        <v>4147</v>
      </c>
      <c r="B4097" t="s">
        <v>11680</v>
      </c>
      <c r="C4097" t="s">
        <v>15683</v>
      </c>
      <c r="D4097" t="s">
        <v>16206</v>
      </c>
      <c r="E4097" t="s">
        <v>16218</v>
      </c>
      <c r="F4097" t="s">
        <v>16221</v>
      </c>
      <c r="G4097" t="s">
        <v>16277</v>
      </c>
      <c r="H4097" t="s">
        <v>16277</v>
      </c>
      <c r="I4097" t="s">
        <v>16353</v>
      </c>
      <c r="J4097" t="s">
        <v>16386</v>
      </c>
      <c r="K4097">
        <v>0.239</v>
      </c>
      <c r="L4097">
        <v>10415</v>
      </c>
      <c r="M4097">
        <v>1980</v>
      </c>
      <c r="N4097" t="s">
        <v>16393</v>
      </c>
      <c r="O4097" s="4">
        <v>149561</v>
      </c>
      <c r="P4097" s="4">
        <v>221671</v>
      </c>
      <c r="Q4097" s="4">
        <v>371232</v>
      </c>
      <c r="R4097" s="4">
        <v>1113696</v>
      </c>
      <c r="S4097" t="s">
        <v>20403</v>
      </c>
      <c r="T4097" s="6">
        <v>44287</v>
      </c>
      <c r="U4097" s="4">
        <v>350000</v>
      </c>
      <c r="V4097" t="s">
        <v>23739</v>
      </c>
      <c r="W4097" t="s">
        <v>25860</v>
      </c>
      <c r="X4097" t="s">
        <v>3</v>
      </c>
      <c r="AA4097" s="5" t="str">
        <f>HYPERLINK("https://www.zillow.com/homes/629-E-8TH-AVE-NAPERVILLE-IL-605633209_rb/","check listing")</f>
        <v>check listing</v>
      </c>
      <c r="AB4097" s="5" t="str">
        <f>HYPERLINK("https://propertylookup.dupagecounty.gov/Datalets/Datalet.aspx?UseSearch=no&amp;mode=sales&amp;pin=0818200006","sales record")</f>
        <v>sales record</v>
      </c>
      <c r="AC4097" t="s">
        <v>3</v>
      </c>
      <c r="AD4097">
        <v>41.78379</v>
      </c>
      <c r="AE4097">
        <v>-88.13771699999999</v>
      </c>
      <c r="AF4097" s="5" t="str">
        <f>HYPERLINK("https://www.google.com/maps/search/?api=1&amp;query=41.78379,-88.137717","map")</f>
        <v>map</v>
      </c>
    </row>
    <row r="4098" spans="1:32">
      <c r="A4098" t="s">
        <v>4148</v>
      </c>
      <c r="B4098" t="s">
        <v>11681</v>
      </c>
      <c r="C4098" t="s">
        <v>15478</v>
      </c>
      <c r="D4098" t="s">
        <v>16206</v>
      </c>
      <c r="E4098" t="s">
        <v>16218</v>
      </c>
      <c r="F4098" t="s">
        <v>16221</v>
      </c>
      <c r="G4098" t="s">
        <v>16278</v>
      </c>
      <c r="H4098" t="s">
        <v>16277</v>
      </c>
      <c r="I4098" t="s">
        <v>16353</v>
      </c>
      <c r="J4098" t="s">
        <v>16386</v>
      </c>
      <c r="K4098">
        <v>0.239</v>
      </c>
      <c r="L4098">
        <v>10412</v>
      </c>
      <c r="N4098" t="s">
        <v>16393</v>
      </c>
      <c r="O4098" s="4">
        <v>67787</v>
      </c>
      <c r="P4098" s="4">
        <v>144815</v>
      </c>
      <c r="Q4098" s="4">
        <v>212602</v>
      </c>
      <c r="R4098" s="4">
        <v>637806</v>
      </c>
      <c r="S4098" t="s">
        <v>20404</v>
      </c>
      <c r="T4098" s="6">
        <v>42705</v>
      </c>
      <c r="U4098" s="4">
        <v>430283</v>
      </c>
      <c r="V4098" t="s">
        <v>16232</v>
      </c>
      <c r="W4098" t="s">
        <v>20404</v>
      </c>
      <c r="X4098" t="s">
        <v>3</v>
      </c>
      <c r="AA4098" s="5" t="str">
        <f>HYPERLINK("https://www.zillow.com/homes/2419-BALSAM-COVE-RD-NAPERVILLE-IL-60563_rb/","check listing")</f>
        <v>check listing</v>
      </c>
      <c r="AB4098" s="5" t="str">
        <f>HYPERLINK("https://propertylookup.dupagecounty.gov/Datalets/Datalet.aspx?UseSearch=no&amp;mode=sales&amp;pin=0709107020","sales record")</f>
        <v>sales record</v>
      </c>
      <c r="AC4098" t="s">
        <v>3</v>
      </c>
      <c r="AD4098">
        <v>41.797009</v>
      </c>
      <c r="AE4098">
        <v>-88.22196</v>
      </c>
      <c r="AF4098" s="5" t="str">
        <f>HYPERLINK("https://www.google.com/maps/search/?api=1&amp;query=41.797009,-88.22196","map")</f>
        <v>map</v>
      </c>
    </row>
    <row r="4099" spans="1:32">
      <c r="A4099" t="s">
        <v>4149</v>
      </c>
      <c r="B4099" t="s">
        <v>11682</v>
      </c>
      <c r="C4099" t="s">
        <v>15684</v>
      </c>
      <c r="D4099" t="s">
        <v>16206</v>
      </c>
      <c r="E4099" t="s">
        <v>16218</v>
      </c>
      <c r="F4099" t="s">
        <v>16221</v>
      </c>
      <c r="G4099" t="s">
        <v>16277</v>
      </c>
      <c r="H4099" t="s">
        <v>16277</v>
      </c>
      <c r="I4099" t="s">
        <v>16353</v>
      </c>
      <c r="J4099" t="s">
        <v>16386</v>
      </c>
      <c r="K4099">
        <v>0.239</v>
      </c>
      <c r="L4099">
        <v>10411</v>
      </c>
      <c r="M4099">
        <v>1484</v>
      </c>
      <c r="N4099" t="s">
        <v>16393</v>
      </c>
      <c r="O4099" s="4">
        <v>137883</v>
      </c>
      <c r="P4099" s="4">
        <v>88438</v>
      </c>
      <c r="Q4099" s="4">
        <v>226321</v>
      </c>
      <c r="R4099" s="4">
        <v>678963</v>
      </c>
      <c r="S4099" t="s">
        <v>20405</v>
      </c>
      <c r="T4099" s="6">
        <v>43040</v>
      </c>
      <c r="U4099" s="4">
        <v>475000</v>
      </c>
      <c r="V4099" t="s">
        <v>23739</v>
      </c>
      <c r="W4099" t="s">
        <v>25861</v>
      </c>
      <c r="X4099" t="s">
        <v>3</v>
      </c>
      <c r="AA4099" s="5" t="str">
        <f>HYPERLINK("https://www.zillow.com/homes/620-N-CENTER-ST-NAPERVILLE-IL-605633139_rb/","check listing")</f>
        <v>check listing</v>
      </c>
      <c r="AB4099" s="5" t="str">
        <f>HYPERLINK("https://propertylookup.dupagecounty.gov/Datalets/Datalet.aspx?UseSearch=no&amp;mode=sales&amp;pin=0818107002","sales record")</f>
        <v>sales record</v>
      </c>
      <c r="AC4099" t="s">
        <v>3</v>
      </c>
      <c r="AD4099">
        <v>41.782564</v>
      </c>
      <c r="AE4099">
        <v>-88.14559300000001</v>
      </c>
      <c r="AF4099" s="5" t="str">
        <f>HYPERLINK("https://www.google.com/maps/search/?api=1&amp;query=41.782564,-88.145593","map")</f>
        <v>map</v>
      </c>
    </row>
    <row r="4100" spans="1:32">
      <c r="A4100" t="s">
        <v>4150</v>
      </c>
      <c r="B4100" t="s">
        <v>11683</v>
      </c>
      <c r="C4100" t="s">
        <v>15683</v>
      </c>
      <c r="D4100" t="s">
        <v>16206</v>
      </c>
      <c r="E4100" t="s">
        <v>16218</v>
      </c>
      <c r="F4100" t="s">
        <v>16221</v>
      </c>
      <c r="G4100" t="s">
        <v>16277</v>
      </c>
      <c r="H4100" t="s">
        <v>16277</v>
      </c>
      <c r="I4100" t="s">
        <v>16353</v>
      </c>
      <c r="J4100" t="s">
        <v>16386</v>
      </c>
      <c r="K4100">
        <v>0.239</v>
      </c>
      <c r="L4100">
        <v>10408</v>
      </c>
      <c r="M4100">
        <v>2479</v>
      </c>
      <c r="N4100" t="s">
        <v>16393</v>
      </c>
      <c r="O4100" s="4">
        <v>99105</v>
      </c>
      <c r="P4100" s="4">
        <v>72967</v>
      </c>
      <c r="Q4100" s="4">
        <v>172072</v>
      </c>
      <c r="R4100" s="4">
        <v>516216</v>
      </c>
      <c r="S4100" t="s">
        <v>20406</v>
      </c>
      <c r="T4100" s="6">
        <v>44994</v>
      </c>
      <c r="U4100" s="4">
        <v>445000</v>
      </c>
      <c r="V4100" t="s">
        <v>23739</v>
      </c>
      <c r="W4100" t="s">
        <v>25862</v>
      </c>
      <c r="X4100" t="s">
        <v>3</v>
      </c>
      <c r="AA4100" s="5" t="str">
        <f>HYPERLINK("https://www.zillow.com/homes/633-E-8TH-AVE-NAPERVILLE-IL-605633209_rb/","check listing")</f>
        <v>check listing</v>
      </c>
      <c r="AB4100" s="5" t="str">
        <f>HYPERLINK("https://propertylookup.dupagecounty.gov/Datalets/Datalet.aspx?UseSearch=no&amp;mode=sales&amp;pin=0818200007","sales record")</f>
        <v>sales record</v>
      </c>
      <c r="AC4100" t="s">
        <v>3</v>
      </c>
      <c r="AD4100">
        <v>41.783772</v>
      </c>
      <c r="AE4100">
        <v>-88.13748</v>
      </c>
      <c r="AF4100" s="5" t="str">
        <f>HYPERLINK("https://www.google.com/maps/search/?api=1&amp;query=41.783772,-88.13748","map")</f>
        <v>map</v>
      </c>
    </row>
    <row r="4101" spans="1:32">
      <c r="A4101" t="s">
        <v>4151</v>
      </c>
      <c r="B4101" t="s">
        <v>11684</v>
      </c>
      <c r="C4101" t="s">
        <v>15621</v>
      </c>
      <c r="D4101" t="s">
        <v>16206</v>
      </c>
      <c r="E4101" t="s">
        <v>16218</v>
      </c>
      <c r="F4101" t="s">
        <v>16221</v>
      </c>
      <c r="G4101" t="s">
        <v>16278</v>
      </c>
      <c r="H4101" t="s">
        <v>16277</v>
      </c>
      <c r="I4101" t="s">
        <v>16353</v>
      </c>
      <c r="J4101" t="s">
        <v>16386</v>
      </c>
      <c r="K4101">
        <v>0.239</v>
      </c>
      <c r="L4101">
        <v>10405</v>
      </c>
      <c r="N4101" t="s">
        <v>16393</v>
      </c>
      <c r="O4101" s="4">
        <v>67787</v>
      </c>
      <c r="P4101" s="4">
        <v>149440</v>
      </c>
      <c r="Q4101" s="4">
        <v>217227</v>
      </c>
      <c r="R4101" s="4">
        <v>651681</v>
      </c>
      <c r="S4101" t="s">
        <v>20407</v>
      </c>
      <c r="T4101" s="6">
        <v>43282</v>
      </c>
      <c r="U4101" s="4">
        <v>520650</v>
      </c>
      <c r="V4101" t="s">
        <v>16232</v>
      </c>
      <c r="W4101" t="s">
        <v>25863</v>
      </c>
      <c r="X4101" t="s">
        <v>3</v>
      </c>
      <c r="AA4101" s="5" t="str">
        <f>HYPERLINK("https://www.zillow.com/homes/2428-COASTAL-SAGE-CT-NAPERVILLE-IL-605633613_rb/","check listing")</f>
        <v>check listing</v>
      </c>
      <c r="AB4101" s="5" t="str">
        <f>HYPERLINK("https://propertylookup.dupagecounty.gov/Datalets/Datalet.aspx?UseSearch=no&amp;mode=sales&amp;pin=0709311064","sales record")</f>
        <v>sales record</v>
      </c>
      <c r="AC4101" t="s">
        <v>3</v>
      </c>
      <c r="AD4101">
        <v>41.78605</v>
      </c>
      <c r="AE4101">
        <v>-88.220007</v>
      </c>
      <c r="AF4101" s="5" t="str">
        <f>HYPERLINK("https://www.google.com/maps/search/?api=1&amp;query=41.78605,-88.220007","map")</f>
        <v>map</v>
      </c>
    </row>
    <row r="4102" spans="1:32">
      <c r="A4102" t="s">
        <v>4152</v>
      </c>
      <c r="B4102" t="s">
        <v>11685</v>
      </c>
      <c r="C4102" t="s">
        <v>15685</v>
      </c>
      <c r="D4102" t="s">
        <v>16206</v>
      </c>
      <c r="E4102" t="s">
        <v>16218</v>
      </c>
      <c r="F4102" t="s">
        <v>16221</v>
      </c>
      <c r="G4102" t="s">
        <v>16277</v>
      </c>
      <c r="H4102" t="s">
        <v>16277</v>
      </c>
      <c r="I4102" t="s">
        <v>16353</v>
      </c>
      <c r="J4102" t="s">
        <v>16386</v>
      </c>
      <c r="K4102">
        <v>0.239</v>
      </c>
      <c r="L4102">
        <v>10402</v>
      </c>
      <c r="M4102">
        <v>1583</v>
      </c>
      <c r="N4102" t="s">
        <v>16393</v>
      </c>
      <c r="O4102" s="4">
        <v>97583</v>
      </c>
      <c r="P4102" s="4">
        <v>41252</v>
      </c>
      <c r="Q4102" s="4">
        <v>138835</v>
      </c>
      <c r="R4102" s="4">
        <v>416505</v>
      </c>
      <c r="S4102" t="s">
        <v>20408</v>
      </c>
      <c r="T4102" s="6">
        <v>43191</v>
      </c>
      <c r="U4102" s="4">
        <v>415000</v>
      </c>
      <c r="V4102" t="s">
        <v>23739</v>
      </c>
      <c r="W4102" t="s">
        <v>20408</v>
      </c>
      <c r="X4102" t="s">
        <v>3</v>
      </c>
      <c r="AA4102" s="5" t="str">
        <f>HYPERLINK("https://www.zillow.com/homes/805-N-COLUMBIA-ST-NAPERVILLE-IL-605633292_rb/","check listing")</f>
        <v>check listing</v>
      </c>
      <c r="AB4102" s="5" t="str">
        <f>HYPERLINK("https://propertylookup.dupagecounty.gov/Datalets/Datalet.aspx?UseSearch=no&amp;mode=sales&amp;pin=0818200008","sales record")</f>
        <v>sales record</v>
      </c>
      <c r="AC4102" t="s">
        <v>3</v>
      </c>
      <c r="AD4102">
        <v>41.783754</v>
      </c>
      <c r="AE4102">
        <v>-88.137243</v>
      </c>
      <c r="AF4102" s="5" t="str">
        <f>HYPERLINK("https://www.google.com/maps/search/?api=1&amp;query=41.783754,-88.137243","map")</f>
        <v>map</v>
      </c>
    </row>
    <row r="4103" spans="1:32">
      <c r="A4103" t="s">
        <v>4153</v>
      </c>
      <c r="B4103" t="s">
        <v>11686</v>
      </c>
      <c r="C4103" t="s">
        <v>15662</v>
      </c>
      <c r="D4103" t="s">
        <v>16206</v>
      </c>
      <c r="E4103" t="s">
        <v>16218</v>
      </c>
      <c r="F4103" t="s">
        <v>16221</v>
      </c>
      <c r="G4103" t="s">
        <v>16278</v>
      </c>
      <c r="H4103" t="s">
        <v>16277</v>
      </c>
      <c r="I4103" t="s">
        <v>16353</v>
      </c>
      <c r="J4103" t="s">
        <v>16386</v>
      </c>
      <c r="K4103">
        <v>0.239</v>
      </c>
      <c r="L4103">
        <v>10398</v>
      </c>
      <c r="N4103" t="s">
        <v>16393</v>
      </c>
      <c r="O4103" s="4">
        <v>56146</v>
      </c>
      <c r="P4103" s="4">
        <v>275555</v>
      </c>
      <c r="Q4103" s="4">
        <v>331701</v>
      </c>
      <c r="R4103" s="4">
        <v>995103</v>
      </c>
      <c r="S4103" t="s">
        <v>20409</v>
      </c>
      <c r="T4103" s="6">
        <v>45343</v>
      </c>
      <c r="U4103" s="4">
        <v>972203</v>
      </c>
      <c r="V4103" t="s">
        <v>16232</v>
      </c>
      <c r="W4103" t="s">
        <v>25864</v>
      </c>
      <c r="X4103" t="s">
        <v>3</v>
      </c>
      <c r="AA4103" s="5" t="str">
        <f>HYPERLINK("https://www.zillow.com/homes/2643-WEATHERBEE-CT-NAPERVILLE-IL-605631594_rb/","check listing")</f>
        <v>check listing</v>
      </c>
      <c r="AB4103" s="5" t="str">
        <f>HYPERLINK("https://propertylookup.dupagecounty.gov/Datalets/Datalet.aspx?UseSearch=no&amp;mode=sales&amp;pin=0532300060","sales record")</f>
        <v>sales record</v>
      </c>
      <c r="AC4103" t="s">
        <v>3</v>
      </c>
      <c r="AD4103">
        <v>41.821518</v>
      </c>
      <c r="AE4103">
        <v>-88.12322399999999</v>
      </c>
      <c r="AF4103" s="5" t="str">
        <f>HYPERLINK("https://www.google.com/maps/search/?api=1&amp;query=41.821518,-88.123224","map")</f>
        <v>map</v>
      </c>
    </row>
    <row r="4104" spans="1:32">
      <c r="A4104" t="s">
        <v>4154</v>
      </c>
      <c r="B4104" t="s">
        <v>11687</v>
      </c>
      <c r="C4104" t="s">
        <v>15679</v>
      </c>
      <c r="D4104" t="s">
        <v>16206</v>
      </c>
      <c r="E4104" t="s">
        <v>16218</v>
      </c>
      <c r="F4104" t="s">
        <v>16221</v>
      </c>
      <c r="G4104" t="s">
        <v>16278</v>
      </c>
      <c r="H4104" t="s">
        <v>16277</v>
      </c>
      <c r="I4104" t="s">
        <v>16353</v>
      </c>
      <c r="J4104" t="s">
        <v>16386</v>
      </c>
      <c r="K4104">
        <v>0.238</v>
      </c>
      <c r="L4104">
        <v>10347</v>
      </c>
      <c r="N4104" t="s">
        <v>16393</v>
      </c>
      <c r="O4104" s="4">
        <v>61343</v>
      </c>
      <c r="P4104" s="4">
        <v>221987</v>
      </c>
      <c r="Q4104" s="4">
        <v>283330</v>
      </c>
      <c r="R4104" s="4">
        <v>849990</v>
      </c>
      <c r="S4104" t="s">
        <v>20410</v>
      </c>
      <c r="T4104" s="6">
        <v>42917</v>
      </c>
      <c r="U4104" s="4">
        <v>680858</v>
      </c>
      <c r="V4104" t="s">
        <v>16232</v>
      </c>
      <c r="W4104" t="s">
        <v>25865</v>
      </c>
      <c r="X4104" t="s">
        <v>3</v>
      </c>
      <c r="AA4104" s="5" t="str">
        <f>HYPERLINK("https://www.zillow.com/homes/1627-BAYOU-PATH-DR-NAPERVILLE-IL-605632271_rb/","check listing")</f>
        <v>check listing</v>
      </c>
      <c r="AB4104" s="5" t="str">
        <f>HYPERLINK("https://propertylookup.dupagecounty.gov/Datalets/Datalet.aspx?UseSearch=no&amp;mode=sales&amp;pin=0709112013","sales record")</f>
        <v>sales record</v>
      </c>
      <c r="AC4104" t="s">
        <v>3</v>
      </c>
      <c r="AD4104">
        <v>41.796833</v>
      </c>
      <c r="AE4104">
        <v>-88.219075</v>
      </c>
      <c r="AF4104" s="5" t="str">
        <f>HYPERLINK("https://www.google.com/maps/search/?api=1&amp;query=41.796833,-88.219075","map")</f>
        <v>map</v>
      </c>
    </row>
    <row r="4105" spans="1:32">
      <c r="A4105" t="s">
        <v>4155</v>
      </c>
      <c r="B4105" t="s">
        <v>11688</v>
      </c>
      <c r="C4105" t="s">
        <v>15662</v>
      </c>
      <c r="D4105" t="s">
        <v>16206</v>
      </c>
      <c r="E4105" t="s">
        <v>16218</v>
      </c>
      <c r="F4105" t="s">
        <v>16221</v>
      </c>
      <c r="G4105" t="s">
        <v>16278</v>
      </c>
      <c r="H4105" t="s">
        <v>16277</v>
      </c>
      <c r="I4105" t="s">
        <v>16353</v>
      </c>
      <c r="J4105" t="s">
        <v>16386</v>
      </c>
      <c r="K4105">
        <v>0.237</v>
      </c>
      <c r="L4105">
        <v>10311</v>
      </c>
      <c r="N4105" t="s">
        <v>16393</v>
      </c>
      <c r="O4105" s="4">
        <v>56146</v>
      </c>
      <c r="P4105" s="4">
        <v>260312</v>
      </c>
      <c r="Q4105" s="4">
        <v>316458</v>
      </c>
      <c r="R4105" s="4">
        <v>949374</v>
      </c>
      <c r="S4105" t="s">
        <v>20411</v>
      </c>
      <c r="T4105" s="6">
        <v>44974</v>
      </c>
      <c r="U4105" s="4">
        <v>890799</v>
      </c>
      <c r="V4105" t="s">
        <v>16232</v>
      </c>
      <c r="W4105" t="s">
        <v>25866</v>
      </c>
      <c r="X4105" t="s">
        <v>3</v>
      </c>
      <c r="AA4105" s="5" t="str">
        <f>HYPERLINK("https://www.zillow.com/homes/2563-WEATHERBEE-LN-NAPERVILLE-IL-605631594_rb/","check listing")</f>
        <v>check listing</v>
      </c>
      <c r="AB4105" s="5" t="str">
        <f>HYPERLINK("https://propertylookup.dupagecounty.gov/Datalets/Datalet.aspx?UseSearch=no&amp;mode=sales&amp;pin=0532300045","sales record")</f>
        <v>sales record</v>
      </c>
      <c r="AC4105" t="s">
        <v>3</v>
      </c>
      <c r="AD4105">
        <v>41.819646</v>
      </c>
      <c r="AE4105">
        <v>-88.124816</v>
      </c>
      <c r="AF4105" s="5" t="str">
        <f>HYPERLINK("https://www.google.com/maps/search/?api=1&amp;query=41.819646,-88.124816","map")</f>
        <v>map</v>
      </c>
    </row>
    <row r="4106" spans="1:32">
      <c r="A4106" t="s">
        <v>4156</v>
      </c>
      <c r="B4106" t="s">
        <v>11689</v>
      </c>
      <c r="C4106" t="s">
        <v>15686</v>
      </c>
      <c r="D4106" t="s">
        <v>16206</v>
      </c>
      <c r="E4106" t="s">
        <v>16218</v>
      </c>
      <c r="F4106" t="s">
        <v>16221</v>
      </c>
      <c r="G4106" t="s">
        <v>16277</v>
      </c>
      <c r="H4106" t="s">
        <v>16277</v>
      </c>
      <c r="I4106" t="s">
        <v>16353</v>
      </c>
      <c r="J4106" t="s">
        <v>16386</v>
      </c>
      <c r="K4106">
        <v>0.237</v>
      </c>
      <c r="L4106">
        <v>10308</v>
      </c>
      <c r="M4106">
        <v>3133</v>
      </c>
      <c r="N4106" t="s">
        <v>16393</v>
      </c>
      <c r="O4106" s="4">
        <v>132818</v>
      </c>
      <c r="P4106" s="4">
        <v>239390</v>
      </c>
      <c r="Q4106" s="4">
        <v>372208</v>
      </c>
      <c r="R4106" s="4">
        <v>1116624</v>
      </c>
      <c r="S4106" t="s">
        <v>20412</v>
      </c>
      <c r="T4106" s="6">
        <v>43435</v>
      </c>
      <c r="U4106" s="4">
        <v>818500</v>
      </c>
      <c r="V4106" t="s">
        <v>23739</v>
      </c>
      <c r="W4106" t="s">
        <v>25867</v>
      </c>
      <c r="X4106" t="s">
        <v>3</v>
      </c>
      <c r="AA4106" s="5" t="str">
        <f>HYPERLINK("https://www.zillow.com/homes/832-N-BRAINARD-ST-NAPERVILLE-IL-605633135_rb/","check listing")</f>
        <v>check listing</v>
      </c>
      <c r="AB4106" s="5" t="str">
        <f>HYPERLINK("https://propertylookup.dupagecounty.gov/Datalets/Datalet.aspx?UseSearch=no&amp;mode=sales&amp;pin=0807316006","sales record")</f>
        <v>sales record</v>
      </c>
      <c r="AC4106" t="s">
        <v>3</v>
      </c>
      <c r="AD4106">
        <v>41.784935</v>
      </c>
      <c r="AE4106">
        <v>-88.142522</v>
      </c>
      <c r="AF4106" s="5" t="str">
        <f>HYPERLINK("https://www.google.com/maps/search/?api=1&amp;query=41.784935,-88.142522","map")</f>
        <v>map</v>
      </c>
    </row>
    <row r="4107" spans="1:32">
      <c r="A4107" t="s">
        <v>4157</v>
      </c>
      <c r="B4107" t="s">
        <v>11690</v>
      </c>
      <c r="C4107" t="s">
        <v>15475</v>
      </c>
      <c r="D4107" t="s">
        <v>16206</v>
      </c>
      <c r="E4107" t="s">
        <v>16218</v>
      </c>
      <c r="F4107" t="s">
        <v>16221</v>
      </c>
      <c r="G4107" t="s">
        <v>16277</v>
      </c>
      <c r="H4107" t="s">
        <v>16277</v>
      </c>
      <c r="I4107" t="s">
        <v>16353</v>
      </c>
      <c r="J4107" t="s">
        <v>16386</v>
      </c>
      <c r="K4107">
        <v>0.237</v>
      </c>
      <c r="L4107">
        <v>10304</v>
      </c>
      <c r="M4107">
        <v>2436</v>
      </c>
      <c r="N4107" t="s">
        <v>16393</v>
      </c>
      <c r="O4107" s="4">
        <v>149244</v>
      </c>
      <c r="P4107" s="4">
        <v>106600</v>
      </c>
      <c r="Q4107" s="4">
        <v>255844</v>
      </c>
      <c r="R4107" s="4">
        <v>767532</v>
      </c>
      <c r="S4107" t="s">
        <v>20413</v>
      </c>
      <c r="T4107" s="6">
        <v>37681</v>
      </c>
      <c r="U4107" s="4">
        <v>430000</v>
      </c>
      <c r="V4107" t="s">
        <v>23739</v>
      </c>
      <c r="W4107" t="s">
        <v>20413</v>
      </c>
      <c r="X4107" t="s">
        <v>3</v>
      </c>
      <c r="AA4107" s="5" t="str">
        <f>HYPERLINK("https://www.zillow.com/homes/628-W-COTTAGE-LN-NAPERVILLE-IL-60540_rb/","check listing")</f>
        <v>check listing</v>
      </c>
      <c r="AB4107" s="5" t="str">
        <f>HYPERLINK("https://propertylookup.dupagecounty.gov/Datalets/Datalet.aspx?UseSearch=no&amp;mode=sales&amp;pin=0713304002","sales record")</f>
        <v>sales record</v>
      </c>
      <c r="AC4107" t="s">
        <v>27873</v>
      </c>
      <c r="AD4107">
        <v>41.776484</v>
      </c>
      <c r="AE4107">
        <v>-88.158396</v>
      </c>
      <c r="AF4107" s="5" t="str">
        <f>HYPERLINK("https://www.google.com/maps/search/?api=1&amp;query=41.776484,-88.158396","map")</f>
        <v>map</v>
      </c>
    </row>
    <row r="4108" spans="1:32">
      <c r="A4108" t="s">
        <v>4158</v>
      </c>
      <c r="B4108" t="s">
        <v>11691</v>
      </c>
      <c r="C4108" t="s">
        <v>15682</v>
      </c>
      <c r="D4108" t="s">
        <v>16206</v>
      </c>
      <c r="E4108" t="s">
        <v>16218</v>
      </c>
      <c r="F4108" t="s">
        <v>16221</v>
      </c>
      <c r="G4108" t="s">
        <v>16277</v>
      </c>
      <c r="H4108" t="s">
        <v>16277</v>
      </c>
      <c r="I4108" t="s">
        <v>16353</v>
      </c>
      <c r="J4108" t="s">
        <v>16386</v>
      </c>
      <c r="K4108">
        <v>0.236</v>
      </c>
      <c r="L4108">
        <v>10291</v>
      </c>
      <c r="N4108" t="s">
        <v>16393</v>
      </c>
      <c r="O4108" s="4">
        <v>151723</v>
      </c>
      <c r="P4108" s="4">
        <v>225185</v>
      </c>
      <c r="Q4108" s="4">
        <v>376908</v>
      </c>
      <c r="R4108" s="4">
        <v>1130724</v>
      </c>
      <c r="S4108" t="s">
        <v>20414</v>
      </c>
      <c r="T4108" s="6">
        <v>44440</v>
      </c>
      <c r="U4108" s="4">
        <v>968777</v>
      </c>
      <c r="V4108" t="s">
        <v>23739</v>
      </c>
      <c r="W4108" t="s">
        <v>25868</v>
      </c>
      <c r="X4108" t="s">
        <v>3</v>
      </c>
      <c r="AA4108" s="5" t="str">
        <f>HYPERLINK("https://www.zillow.com/homes/239-N-LAIRD-ST-NAPERVILLE-IL-605404334_rb/","check listing")</f>
        <v>check listing</v>
      </c>
      <c r="AB4108" s="5" t="str">
        <f>HYPERLINK("https://propertylookup.dupagecounty.gov/Datalets/Datalet.aspx?UseSearch=no&amp;mode=sales&amp;pin=0713101018","sales record")</f>
        <v>sales record</v>
      </c>
      <c r="AC4108" t="s">
        <v>3</v>
      </c>
      <c r="AD4108">
        <v>41.778995</v>
      </c>
      <c r="AE4108">
        <v>-88.16047399999999</v>
      </c>
      <c r="AF4108" s="5" t="str">
        <f>HYPERLINK("https://www.google.com/maps/search/?api=1&amp;query=41.778995,-88.160474","map")</f>
        <v>map</v>
      </c>
    </row>
    <row r="4109" spans="1:32">
      <c r="A4109" t="s">
        <v>4159</v>
      </c>
      <c r="B4109" t="s">
        <v>11692</v>
      </c>
      <c r="C4109" t="s">
        <v>15475</v>
      </c>
      <c r="D4109" t="s">
        <v>16206</v>
      </c>
      <c r="E4109" t="s">
        <v>16218</v>
      </c>
      <c r="F4109" t="s">
        <v>16221</v>
      </c>
      <c r="G4109" t="s">
        <v>16277</v>
      </c>
      <c r="H4109" t="s">
        <v>16277</v>
      </c>
      <c r="I4109" t="s">
        <v>16353</v>
      </c>
      <c r="J4109" t="s">
        <v>16386</v>
      </c>
      <c r="K4109">
        <v>0.236</v>
      </c>
      <c r="L4109">
        <v>10279</v>
      </c>
      <c r="M4109">
        <v>2061</v>
      </c>
      <c r="N4109" t="s">
        <v>16393</v>
      </c>
      <c r="O4109" s="4">
        <v>137883</v>
      </c>
      <c r="P4109" s="4">
        <v>109474</v>
      </c>
      <c r="Q4109" s="4">
        <v>247357</v>
      </c>
      <c r="R4109" s="4">
        <v>742071</v>
      </c>
      <c r="S4109" t="s">
        <v>20415</v>
      </c>
      <c r="T4109" s="6">
        <v>43313</v>
      </c>
      <c r="U4109" s="4">
        <v>569000</v>
      </c>
      <c r="V4109" t="s">
        <v>23739</v>
      </c>
      <c r="W4109" t="s">
        <v>25869</v>
      </c>
      <c r="X4109" t="s">
        <v>3</v>
      </c>
      <c r="AA4109" s="5" t="str">
        <f>HYPERLINK("https://www.zillow.com/homes/503-E-NORTH-AVE-NAPERVILLE-IL-60540_rb/","check listing")</f>
        <v>check listing</v>
      </c>
      <c r="AB4109" s="5" t="str">
        <f>HYPERLINK("https://propertylookup.dupagecounty.gov/Datalets/Datalet.aspx?UseSearch=no&amp;mode=sales&amp;pin=0818139021","sales record")</f>
        <v>sales record</v>
      </c>
      <c r="AC4109" t="s">
        <v>3</v>
      </c>
      <c r="AD4109">
        <v>41.778626</v>
      </c>
      <c r="AE4109">
        <v>-88.140497</v>
      </c>
      <c r="AF4109" s="5" t="str">
        <f>HYPERLINK("https://www.google.com/maps/search/?api=1&amp;query=41.778626,-88.140497","map")</f>
        <v>map</v>
      </c>
    </row>
    <row r="4110" spans="1:32">
      <c r="A4110" t="s">
        <v>4160</v>
      </c>
      <c r="B4110" t="s">
        <v>11693</v>
      </c>
      <c r="C4110" t="s">
        <v>15687</v>
      </c>
      <c r="D4110" t="s">
        <v>16206</v>
      </c>
      <c r="E4110" t="s">
        <v>16218</v>
      </c>
      <c r="F4110" t="s">
        <v>16221</v>
      </c>
      <c r="G4110" t="s">
        <v>16277</v>
      </c>
      <c r="H4110" t="s">
        <v>16277</v>
      </c>
      <c r="I4110" t="s">
        <v>16353</v>
      </c>
      <c r="J4110" t="s">
        <v>16386</v>
      </c>
      <c r="K4110">
        <v>0.236</v>
      </c>
      <c r="L4110">
        <v>10260</v>
      </c>
      <c r="M4110">
        <v>4682</v>
      </c>
      <c r="N4110" t="s">
        <v>16393</v>
      </c>
      <c r="O4110" s="4">
        <v>143716</v>
      </c>
      <c r="P4110" s="4">
        <v>674654</v>
      </c>
      <c r="Q4110" s="4">
        <v>818370</v>
      </c>
      <c r="R4110" s="4">
        <v>2455110</v>
      </c>
      <c r="S4110" t="s">
        <v>20416</v>
      </c>
      <c r="T4110" s="6">
        <v>45232</v>
      </c>
      <c r="U4110" s="4">
        <v>2295000</v>
      </c>
      <c r="V4110" t="s">
        <v>23739</v>
      </c>
      <c r="W4110" t="s">
        <v>25870</v>
      </c>
      <c r="X4110" t="s">
        <v>3</v>
      </c>
      <c r="AA4110" s="5" t="str">
        <f>HYPERLINK("https://www.zillow.com/homes/427-W-BENTON-AVE-NAPERVILLE-IL-605404405_rb/","check listing")</f>
        <v>check listing</v>
      </c>
      <c r="AB4110" s="5" t="str">
        <f>HYPERLINK("https://propertylookup.dupagecounty.gov/Datalets/Datalet.aspx?UseSearch=no&amp;mode=sales&amp;pin=0713407015","sales record")</f>
        <v>sales record</v>
      </c>
      <c r="AC4110" t="s">
        <v>3</v>
      </c>
      <c r="AD4110">
        <v>41.775596</v>
      </c>
      <c r="AE4110">
        <v>-88.155523</v>
      </c>
      <c r="AF4110" s="5" t="str">
        <f>HYPERLINK("https://www.google.com/maps/search/?api=1&amp;query=41.775596,-88.155523","map")</f>
        <v>map</v>
      </c>
    </row>
    <row r="4111" spans="1:32">
      <c r="A4111" t="s">
        <v>4161</v>
      </c>
      <c r="B4111" t="s">
        <v>11694</v>
      </c>
      <c r="C4111" t="s">
        <v>15688</v>
      </c>
      <c r="D4111" t="s">
        <v>16206</v>
      </c>
      <c r="E4111" t="s">
        <v>16218</v>
      </c>
      <c r="F4111" t="s">
        <v>16221</v>
      </c>
      <c r="G4111" t="s">
        <v>16277</v>
      </c>
      <c r="H4111" t="s">
        <v>16277</v>
      </c>
      <c r="I4111" t="s">
        <v>16353</v>
      </c>
      <c r="J4111" t="s">
        <v>16386</v>
      </c>
      <c r="K4111">
        <v>0.235</v>
      </c>
      <c r="L4111">
        <v>10258</v>
      </c>
      <c r="M4111">
        <v>4090</v>
      </c>
      <c r="N4111" t="s">
        <v>16393</v>
      </c>
      <c r="O4111" s="4">
        <v>123292</v>
      </c>
      <c r="P4111" s="4">
        <v>22618</v>
      </c>
      <c r="Q4111" s="4">
        <v>145910</v>
      </c>
      <c r="R4111" s="4">
        <v>437730</v>
      </c>
      <c r="S4111" t="s">
        <v>20417</v>
      </c>
      <c r="T4111" s="6">
        <v>31321</v>
      </c>
      <c r="U4111" s="4">
        <v>84000</v>
      </c>
      <c r="X4111" t="s">
        <v>3</v>
      </c>
      <c r="AA4111" s="5" t="str">
        <f>HYPERLINK("https://www.zillow.com/homes/827-N-SLEIGHT-ST-NAPERVILLE-IL-605633243_rb/","check listing")</f>
        <v>check listing</v>
      </c>
      <c r="AB4111" s="5" t="str">
        <f>HYPERLINK("https://propertylookup.dupagecounty.gov/Datalets/Datalet.aspx?UseSearch=no&amp;mode=sales&amp;pin=0807317014","sales record")</f>
        <v>sales record</v>
      </c>
      <c r="AC4111" t="s">
        <v>3</v>
      </c>
      <c r="AD4111">
        <v>41.784679</v>
      </c>
      <c r="AE4111">
        <v>-88.140331</v>
      </c>
      <c r="AF4111" s="5" t="str">
        <f>HYPERLINK("https://www.google.com/maps/search/?api=1&amp;query=41.784679,-88.140331","map")</f>
        <v>map</v>
      </c>
    </row>
    <row r="4112" spans="1:32">
      <c r="A4112" t="s">
        <v>4162</v>
      </c>
      <c r="B4112" t="s">
        <v>11695</v>
      </c>
      <c r="C4112" t="s">
        <v>15478</v>
      </c>
      <c r="D4112" t="s">
        <v>16206</v>
      </c>
      <c r="E4112" t="s">
        <v>16218</v>
      </c>
      <c r="F4112" t="s">
        <v>16221</v>
      </c>
      <c r="G4112" t="s">
        <v>16278</v>
      </c>
      <c r="H4112" t="s">
        <v>16277</v>
      </c>
      <c r="I4112" t="s">
        <v>16353</v>
      </c>
      <c r="J4112" t="s">
        <v>16386</v>
      </c>
      <c r="K4112">
        <v>0.235</v>
      </c>
      <c r="L4112">
        <v>10235</v>
      </c>
      <c r="N4112" t="s">
        <v>16393</v>
      </c>
      <c r="O4112" s="4">
        <v>74244</v>
      </c>
      <c r="P4112" s="4">
        <v>192549</v>
      </c>
      <c r="Q4112" s="4">
        <v>266793</v>
      </c>
      <c r="R4112" s="4">
        <v>800379</v>
      </c>
      <c r="S4112" t="s">
        <v>20418</v>
      </c>
      <c r="T4112" s="6">
        <v>43800</v>
      </c>
      <c r="U4112" s="4">
        <v>620377</v>
      </c>
      <c r="V4112" t="s">
        <v>16232</v>
      </c>
      <c r="W4112" t="s">
        <v>25871</v>
      </c>
      <c r="X4112" t="s">
        <v>3</v>
      </c>
      <c r="AA4112" s="5" t="str">
        <f>HYPERLINK("https://www.zillow.com/homes/2512-SILVER-LOCH-RD-NAPERVILLE-IL-60563_rb/","check listing")</f>
        <v>check listing</v>
      </c>
      <c r="AB4112" s="5" t="str">
        <f>HYPERLINK("https://propertylookup.dupagecounty.gov/Datalets/Datalet.aspx?UseSearch=no&amp;mode=sales&amp;pin=0709114003","sales record")</f>
        <v>sales record</v>
      </c>
      <c r="AC4112" t="s">
        <v>3</v>
      </c>
      <c r="AD4112">
        <v>41.793984</v>
      </c>
      <c r="AE4112">
        <v>-88.221588</v>
      </c>
      <c r="AF4112" s="5" t="str">
        <f>HYPERLINK("https://www.google.com/maps/search/?api=1&amp;query=41.793984,-88.221588","map")</f>
        <v>map</v>
      </c>
    </row>
    <row r="4113" spans="1:32">
      <c r="A4113" t="s">
        <v>4163</v>
      </c>
      <c r="B4113" t="s">
        <v>11696</v>
      </c>
      <c r="C4113" t="s">
        <v>15475</v>
      </c>
      <c r="D4113" t="s">
        <v>16206</v>
      </c>
      <c r="E4113" t="s">
        <v>16218</v>
      </c>
      <c r="F4113" t="s">
        <v>16221</v>
      </c>
      <c r="G4113" t="s">
        <v>16277</v>
      </c>
      <c r="H4113" t="s">
        <v>16277</v>
      </c>
      <c r="I4113" t="s">
        <v>16353</v>
      </c>
      <c r="J4113" t="s">
        <v>16386</v>
      </c>
      <c r="K4113">
        <v>0.235</v>
      </c>
      <c r="L4113">
        <v>10224</v>
      </c>
      <c r="M4113">
        <v>1649</v>
      </c>
      <c r="N4113" t="s">
        <v>16393</v>
      </c>
      <c r="O4113" s="4">
        <v>128838</v>
      </c>
      <c r="P4113" s="4">
        <v>64029</v>
      </c>
      <c r="Q4113" s="4">
        <v>192867</v>
      </c>
      <c r="R4113" s="4">
        <v>578601</v>
      </c>
      <c r="S4113" t="s">
        <v>18950</v>
      </c>
      <c r="T4113" s="6">
        <v>45576</v>
      </c>
      <c r="U4113" s="4">
        <v>560000</v>
      </c>
      <c r="V4113" t="s">
        <v>23739</v>
      </c>
      <c r="W4113" t="s">
        <v>25872</v>
      </c>
      <c r="X4113" t="s">
        <v>3</v>
      </c>
      <c r="AA4113" s="5" t="str">
        <f>HYPERLINK("https://www.zillow.com/homes/525-W-VAN-BUREN-AVE-NAPERVILLE-IL-60540_rb/","check listing")</f>
        <v>check listing</v>
      </c>
      <c r="AB4113" s="5" t="str">
        <f>HYPERLINK("https://propertylookup.dupagecounty.gov/Datalets/Datalet.aspx?UseSearch=no&amp;mode=sales&amp;pin=0713413008","sales record")</f>
        <v>sales record</v>
      </c>
      <c r="AC4113" t="s">
        <v>3</v>
      </c>
      <c r="AD4113">
        <v>41.774686</v>
      </c>
      <c r="AE4113">
        <v>-88.15706</v>
      </c>
      <c r="AF4113" s="5" t="str">
        <f>HYPERLINK("https://www.google.com/maps/search/?api=1&amp;query=41.774686,-88.15706","map")</f>
        <v>map</v>
      </c>
    </row>
    <row r="4114" spans="1:32">
      <c r="A4114" t="s">
        <v>4164</v>
      </c>
      <c r="B4114" t="s">
        <v>11697</v>
      </c>
      <c r="C4114" t="s">
        <v>15689</v>
      </c>
      <c r="D4114" t="s">
        <v>16206</v>
      </c>
      <c r="E4114" t="s">
        <v>16218</v>
      </c>
      <c r="F4114" t="s">
        <v>16221</v>
      </c>
      <c r="G4114" t="s">
        <v>16278</v>
      </c>
      <c r="H4114" t="s">
        <v>16277</v>
      </c>
      <c r="I4114" t="s">
        <v>16353</v>
      </c>
      <c r="J4114" t="s">
        <v>16386</v>
      </c>
      <c r="K4114">
        <v>0.234</v>
      </c>
      <c r="L4114">
        <v>10201</v>
      </c>
      <c r="N4114" t="s">
        <v>16393</v>
      </c>
      <c r="O4114" s="4">
        <v>64565</v>
      </c>
      <c r="P4114" s="4">
        <v>218509</v>
      </c>
      <c r="Q4114" s="4">
        <v>283074</v>
      </c>
      <c r="R4114" s="4">
        <v>849222</v>
      </c>
      <c r="S4114" t="s">
        <v>20419</v>
      </c>
      <c r="T4114" s="6">
        <v>43709</v>
      </c>
      <c r="U4114" s="4">
        <v>663371</v>
      </c>
      <c r="V4114" t="s">
        <v>16232</v>
      </c>
      <c r="W4114" t="s">
        <v>25873</v>
      </c>
      <c r="X4114" t="s">
        <v>3</v>
      </c>
      <c r="AA4114" s="5" t="str">
        <f>HYPERLINK("https://www.zillow.com/homes/1504-BAYOU-PATH-DR-NAPERVILLE-IL-605633490_rb/","check listing")</f>
        <v>check listing</v>
      </c>
      <c r="AB4114" s="5" t="str">
        <f>HYPERLINK("https://propertylookup.dupagecounty.gov/Datalets/Datalet.aspx?UseSearch=no&amp;mode=sales&amp;pin=0709105049","sales record")</f>
        <v>sales record</v>
      </c>
      <c r="AC4114" t="s">
        <v>3</v>
      </c>
      <c r="AD4114">
        <v>41.791857</v>
      </c>
      <c r="AE4114">
        <v>-88.219123</v>
      </c>
      <c r="AF4114" s="5" t="str">
        <f>HYPERLINK("https://www.google.com/maps/search/?api=1&amp;query=41.791857,-88.219123","map")</f>
        <v>map</v>
      </c>
    </row>
    <row r="4115" spans="1:32">
      <c r="A4115" t="s">
        <v>4165</v>
      </c>
      <c r="B4115" t="s">
        <v>11698</v>
      </c>
      <c r="C4115" t="s">
        <v>15686</v>
      </c>
      <c r="D4115" t="s">
        <v>16206</v>
      </c>
      <c r="E4115" t="s">
        <v>16218</v>
      </c>
      <c r="F4115" t="s">
        <v>16221</v>
      </c>
      <c r="G4115" t="s">
        <v>16277</v>
      </c>
      <c r="H4115" t="s">
        <v>16277</v>
      </c>
      <c r="I4115" t="s">
        <v>16353</v>
      </c>
      <c r="J4115" t="s">
        <v>16386</v>
      </c>
      <c r="K4115">
        <v>0.234</v>
      </c>
      <c r="L4115">
        <v>10179</v>
      </c>
      <c r="M4115">
        <v>2770</v>
      </c>
      <c r="N4115" t="s">
        <v>16393</v>
      </c>
      <c r="O4115" s="4">
        <v>131783</v>
      </c>
      <c r="P4115" s="4">
        <v>75631</v>
      </c>
      <c r="Q4115" s="4">
        <v>207414</v>
      </c>
      <c r="R4115" s="4">
        <v>622242</v>
      </c>
      <c r="S4115" t="s">
        <v>20420</v>
      </c>
      <c r="T4115" s="6">
        <v>43221</v>
      </c>
      <c r="U4115" s="4">
        <v>464900</v>
      </c>
      <c r="V4115" t="s">
        <v>23739</v>
      </c>
      <c r="W4115" t="s">
        <v>20420</v>
      </c>
      <c r="X4115" t="s">
        <v>3</v>
      </c>
      <c r="AA4115" s="5" t="str">
        <f>HYPERLINK("https://www.zillow.com/homes/826-N-BRAINARD-ST-NAPERVILLE-IL-605633135_rb/","check listing")</f>
        <v>check listing</v>
      </c>
      <c r="AB4115" s="5" t="str">
        <f>HYPERLINK("https://propertylookup.dupagecounty.gov/Datalets/Datalet.aspx?UseSearch=no&amp;mode=sales&amp;pin=0807316007","sales record")</f>
        <v>sales record</v>
      </c>
      <c r="AC4115" t="s">
        <v>3</v>
      </c>
      <c r="AD4115">
        <v>41.784799</v>
      </c>
      <c r="AE4115">
        <v>-88.14253600000001</v>
      </c>
      <c r="AF4115" s="5" t="str">
        <f>HYPERLINK("https://www.google.com/maps/search/?api=1&amp;query=41.784799,-88.142536","map")</f>
        <v>map</v>
      </c>
    </row>
    <row r="4116" spans="1:32">
      <c r="A4116" t="s">
        <v>4166</v>
      </c>
      <c r="B4116" t="s">
        <v>11699</v>
      </c>
      <c r="C4116" t="s">
        <v>15662</v>
      </c>
      <c r="D4116" t="s">
        <v>16206</v>
      </c>
      <c r="E4116" t="s">
        <v>16218</v>
      </c>
      <c r="F4116" t="s">
        <v>16221</v>
      </c>
      <c r="G4116" t="s">
        <v>16278</v>
      </c>
      <c r="H4116" t="s">
        <v>16277</v>
      </c>
      <c r="I4116" t="s">
        <v>16353</v>
      </c>
      <c r="J4116" t="s">
        <v>16386</v>
      </c>
      <c r="K4116">
        <v>0.234</v>
      </c>
      <c r="L4116">
        <v>10173</v>
      </c>
      <c r="N4116" t="s">
        <v>16393</v>
      </c>
      <c r="O4116" s="4">
        <v>56141</v>
      </c>
      <c r="P4116" s="4">
        <v>243898</v>
      </c>
      <c r="Q4116" s="4">
        <v>300039</v>
      </c>
      <c r="R4116" s="4">
        <v>900117</v>
      </c>
      <c r="S4116" t="s">
        <v>20421</v>
      </c>
      <c r="T4116" s="6">
        <v>45587</v>
      </c>
      <c r="U4116" s="4">
        <v>1001562</v>
      </c>
      <c r="V4116" t="s">
        <v>16232</v>
      </c>
      <c r="W4116" t="s">
        <v>25874</v>
      </c>
      <c r="X4116" t="s">
        <v>3</v>
      </c>
      <c r="AA4116" s="5" t="str">
        <f>HYPERLINK("https://www.zillow.com/homes/2308-WEATHERBEE-LN-NAPERVILLE-IL-605631594_rb/","check listing")</f>
        <v>check listing</v>
      </c>
      <c r="AB4116" s="5" t="str">
        <f>HYPERLINK("https://propertylookup.dupagecounty.gov/Datalets/Datalet.aspx?UseSearch=no&amp;mode=sales&amp;pin=0532300108","sales record")</f>
        <v>sales record</v>
      </c>
      <c r="AC4116" t="s">
        <v>3</v>
      </c>
      <c r="AD4116">
        <v>41.816375</v>
      </c>
      <c r="AE4116">
        <v>-88.11845</v>
      </c>
      <c r="AF4116" s="5" t="str">
        <f>HYPERLINK("https://www.google.com/maps/search/?api=1&amp;query=41.816375,-88.11845","map")</f>
        <v>map</v>
      </c>
    </row>
    <row r="4117" spans="1:32">
      <c r="A4117" t="s">
        <v>4167</v>
      </c>
      <c r="B4117" t="s">
        <v>11700</v>
      </c>
      <c r="C4117" t="s">
        <v>15478</v>
      </c>
      <c r="D4117" t="s">
        <v>16206</v>
      </c>
      <c r="E4117" t="s">
        <v>16218</v>
      </c>
      <c r="F4117" t="s">
        <v>16221</v>
      </c>
      <c r="G4117" t="s">
        <v>16278</v>
      </c>
      <c r="H4117" t="s">
        <v>16277</v>
      </c>
      <c r="I4117" t="s">
        <v>16353</v>
      </c>
      <c r="J4117" t="s">
        <v>16386</v>
      </c>
      <c r="K4117">
        <v>0.233</v>
      </c>
      <c r="L4117">
        <v>10164</v>
      </c>
      <c r="N4117" t="s">
        <v>16393</v>
      </c>
      <c r="O4117" s="4">
        <v>71022</v>
      </c>
      <c r="P4117" s="4">
        <v>206426</v>
      </c>
      <c r="Q4117" s="4">
        <v>277448</v>
      </c>
      <c r="R4117" s="4">
        <v>832344</v>
      </c>
      <c r="S4117" t="s">
        <v>20422</v>
      </c>
      <c r="T4117" s="6">
        <v>42675</v>
      </c>
      <c r="U4117" s="4">
        <v>540342</v>
      </c>
      <c r="V4117" t="s">
        <v>16232</v>
      </c>
      <c r="W4117" t="s">
        <v>25875</v>
      </c>
      <c r="X4117" t="s">
        <v>3</v>
      </c>
      <c r="AA4117" s="5" t="str">
        <f>HYPERLINK("https://www.zillow.com/homes/1512-ALDERLEAF-CT-NAPERVILLE-IL-60563_rb/","check listing")</f>
        <v>check listing</v>
      </c>
      <c r="AB4117" s="5" t="str">
        <f>HYPERLINK("https://propertylookup.dupagecounty.gov/Datalets/Datalet.aspx?UseSearch=no&amp;mode=sales&amp;pin=0709105021","sales record")</f>
        <v>sales record</v>
      </c>
      <c r="AC4117" t="s">
        <v>3</v>
      </c>
      <c r="AD4117">
        <v>41.795051</v>
      </c>
      <c r="AE4117">
        <v>-88.217026</v>
      </c>
      <c r="AF4117" s="5" t="str">
        <f>HYPERLINK("https://www.google.com/maps/search/?api=1&amp;query=41.795051,-88.217026","map")</f>
        <v>map</v>
      </c>
    </row>
    <row r="4118" spans="1:32">
      <c r="A4118" t="s">
        <v>4168</v>
      </c>
      <c r="B4118" t="s">
        <v>11701</v>
      </c>
      <c r="C4118" t="s">
        <v>15475</v>
      </c>
      <c r="D4118" t="s">
        <v>16206</v>
      </c>
      <c r="E4118" t="s">
        <v>16218</v>
      </c>
      <c r="F4118" t="s">
        <v>16221</v>
      </c>
      <c r="G4118" t="s">
        <v>16277</v>
      </c>
      <c r="H4118" t="s">
        <v>16277</v>
      </c>
      <c r="I4118" t="s">
        <v>16353</v>
      </c>
      <c r="J4118" t="s">
        <v>16386</v>
      </c>
      <c r="K4118">
        <v>0.233</v>
      </c>
      <c r="L4118">
        <v>10161</v>
      </c>
      <c r="M4118">
        <v>1792</v>
      </c>
      <c r="N4118" t="s">
        <v>16393</v>
      </c>
      <c r="O4118" s="4">
        <v>157459</v>
      </c>
      <c r="P4118" s="4">
        <v>45794</v>
      </c>
      <c r="Q4118" s="4">
        <v>203253</v>
      </c>
      <c r="R4118" s="4">
        <v>609759</v>
      </c>
      <c r="S4118" t="s">
        <v>20423</v>
      </c>
      <c r="T4118" s="6">
        <v>29037</v>
      </c>
      <c r="U4118" s="4">
        <v>62500</v>
      </c>
      <c r="X4118" t="s">
        <v>3</v>
      </c>
      <c r="AA4118" s="5" t="str">
        <f>HYPERLINK("https://www.zillow.com/homes/55-N-WEST-ST-NAPERVILLE-IL-60540_rb/","check listing")</f>
        <v>check listing</v>
      </c>
      <c r="AB4118" s="5" t="str">
        <f>HYPERLINK("https://propertylookup.dupagecounty.gov/Datalets/Datalet.aspx?UseSearch=no&amp;mode=sales&amp;pin=0713304014","sales record")</f>
        <v>sales record</v>
      </c>
      <c r="AC4118" t="s">
        <v>27873</v>
      </c>
      <c r="AD4118">
        <v>41.776532</v>
      </c>
      <c r="AE4118">
        <v>-88.157916</v>
      </c>
      <c r="AF4118" s="5" t="str">
        <f>HYPERLINK("https://www.google.com/maps/search/?api=1&amp;query=41.776532,-88.157916","map")</f>
        <v>map</v>
      </c>
    </row>
    <row r="4119" spans="1:32">
      <c r="A4119" t="s">
        <v>4169</v>
      </c>
      <c r="B4119" t="s">
        <v>11702</v>
      </c>
      <c r="C4119" t="s">
        <v>15475</v>
      </c>
      <c r="D4119" t="s">
        <v>16206</v>
      </c>
      <c r="E4119" t="s">
        <v>16218</v>
      </c>
      <c r="F4119" t="s">
        <v>16221</v>
      </c>
      <c r="G4119" t="s">
        <v>16277</v>
      </c>
      <c r="H4119" t="s">
        <v>16277</v>
      </c>
      <c r="I4119" t="s">
        <v>16353</v>
      </c>
      <c r="J4119" t="s">
        <v>16386</v>
      </c>
      <c r="K4119">
        <v>0.233</v>
      </c>
      <c r="L4119">
        <v>10159</v>
      </c>
      <c r="M4119">
        <v>2837</v>
      </c>
      <c r="N4119" t="s">
        <v>16393</v>
      </c>
      <c r="O4119" s="4">
        <v>151713</v>
      </c>
      <c r="P4119" s="4">
        <v>77570</v>
      </c>
      <c r="Q4119" s="4">
        <v>229283</v>
      </c>
      <c r="R4119" s="4">
        <v>687849</v>
      </c>
      <c r="S4119" t="s">
        <v>20424</v>
      </c>
      <c r="T4119" s="6">
        <v>31444</v>
      </c>
      <c r="U4119" s="4">
        <v>80000</v>
      </c>
      <c r="X4119" t="s">
        <v>3</v>
      </c>
      <c r="AA4119" s="5" t="str">
        <f>HYPERLINK("https://www.zillow.com/homes/142-CENTER-ST-NAPERVILLE-IL-60540_rb/","check listing")</f>
        <v>check listing</v>
      </c>
      <c r="AB4119" s="5" t="str">
        <f>HYPERLINK("https://propertylookup.dupagecounty.gov/Datalets/Datalet.aspx?UseSearch=no&amp;mode=sales&amp;pin=0818130003","sales record")</f>
        <v>sales record</v>
      </c>
      <c r="AC4119" t="s">
        <v>3</v>
      </c>
      <c r="AD4119">
        <v>41.777154</v>
      </c>
      <c r="AE4119">
        <v>-88.14589599999999</v>
      </c>
      <c r="AF4119" s="5" t="str">
        <f>HYPERLINK("https://www.google.com/maps/search/?api=1&amp;query=41.777154,-88.145896","map")</f>
        <v>map</v>
      </c>
    </row>
    <row r="4120" spans="1:32">
      <c r="A4120" t="s">
        <v>4170</v>
      </c>
      <c r="B4120" t="s">
        <v>11703</v>
      </c>
      <c r="C4120" t="s">
        <v>15650</v>
      </c>
      <c r="D4120" t="s">
        <v>16206</v>
      </c>
      <c r="E4120" t="s">
        <v>16218</v>
      </c>
      <c r="F4120" t="s">
        <v>16221</v>
      </c>
      <c r="G4120" t="s">
        <v>16278</v>
      </c>
      <c r="H4120" t="s">
        <v>16277</v>
      </c>
      <c r="I4120" t="s">
        <v>16353</v>
      </c>
      <c r="J4120" t="s">
        <v>16386</v>
      </c>
      <c r="K4120">
        <v>0.232</v>
      </c>
      <c r="L4120">
        <v>10123</v>
      </c>
      <c r="N4120" t="s">
        <v>16393</v>
      </c>
      <c r="O4120" s="4">
        <v>74244</v>
      </c>
      <c r="P4120" s="4">
        <v>177219</v>
      </c>
      <c r="Q4120" s="4">
        <v>251463</v>
      </c>
      <c r="R4120" s="4">
        <v>754389</v>
      </c>
      <c r="S4120" t="s">
        <v>20425</v>
      </c>
      <c r="T4120" s="6">
        <v>43466</v>
      </c>
      <c r="U4120" s="4">
        <v>525184</v>
      </c>
      <c r="V4120" t="s">
        <v>16232</v>
      </c>
      <c r="W4120" t="s">
        <v>25876</v>
      </c>
      <c r="X4120" t="s">
        <v>3</v>
      </c>
      <c r="AA4120" s="5" t="str">
        <f>HYPERLINK("https://www.zillow.com/homes/2516-SILVER-LOCH-RD-NAPERVILLE-IL-605633597_rb/","check listing")</f>
        <v>check listing</v>
      </c>
      <c r="AB4120" s="5" t="str">
        <f>HYPERLINK("https://propertylookup.dupagecounty.gov/Datalets/Datalet.aspx?UseSearch=no&amp;mode=sales&amp;pin=0709114002","sales record")</f>
        <v>sales record</v>
      </c>
      <c r="AC4120" t="s">
        <v>3</v>
      </c>
      <c r="AD4120">
        <v>41.793878</v>
      </c>
      <c r="AE4120">
        <v>-88.22180400000001</v>
      </c>
      <c r="AF4120" s="5" t="str">
        <f>HYPERLINK("https://www.google.com/maps/search/?api=1&amp;query=41.793878,-88.221804","map")</f>
        <v>map</v>
      </c>
    </row>
    <row r="4121" spans="1:32">
      <c r="A4121" t="s">
        <v>4171</v>
      </c>
      <c r="B4121" t="s">
        <v>11704</v>
      </c>
      <c r="C4121" t="s">
        <v>15478</v>
      </c>
      <c r="D4121" t="s">
        <v>16206</v>
      </c>
      <c r="E4121" t="s">
        <v>16218</v>
      </c>
      <c r="F4121" t="s">
        <v>16221</v>
      </c>
      <c r="G4121" t="s">
        <v>16277</v>
      </c>
      <c r="H4121" t="s">
        <v>16277</v>
      </c>
      <c r="I4121" t="s">
        <v>16353</v>
      </c>
      <c r="J4121" t="s">
        <v>16386</v>
      </c>
      <c r="K4121">
        <v>0.232</v>
      </c>
      <c r="L4121">
        <v>10109</v>
      </c>
      <c r="M4121">
        <v>2242</v>
      </c>
      <c r="N4121" t="s">
        <v>16393</v>
      </c>
      <c r="O4121" s="4">
        <v>99212</v>
      </c>
      <c r="P4121" s="4">
        <v>56913</v>
      </c>
      <c r="Q4121" s="4">
        <v>156125</v>
      </c>
      <c r="R4121" s="4">
        <v>468375</v>
      </c>
      <c r="S4121" t="s">
        <v>20426</v>
      </c>
      <c r="T4121" s="6">
        <v>35125</v>
      </c>
      <c r="U4121" s="4">
        <v>150000</v>
      </c>
      <c r="X4121" t="s">
        <v>3</v>
      </c>
      <c r="AA4121" s="5" t="str">
        <f>HYPERLINK("https://www.zillow.com/homes/809-N-LOOMIS-ST-NAPERVILLE-IL-60563_rb/","check listing")</f>
        <v>check listing</v>
      </c>
      <c r="AB4121" s="5" t="str">
        <f>HYPERLINK("https://propertylookup.dupagecounty.gov/Datalets/Datalet.aspx?UseSearch=no&amp;mode=sales&amp;pin=0818114003","sales record")</f>
        <v>sales record</v>
      </c>
      <c r="AC4121" t="s">
        <v>3</v>
      </c>
      <c r="AD4121">
        <v>41.784411</v>
      </c>
      <c r="AE4121">
        <v>-88.141896</v>
      </c>
      <c r="AF4121" s="5" t="str">
        <f>HYPERLINK("https://www.google.com/maps/search/?api=1&amp;query=41.784411,-88.141896","map")</f>
        <v>map</v>
      </c>
    </row>
    <row r="4122" spans="1:32">
      <c r="A4122" t="s">
        <v>4172</v>
      </c>
      <c r="B4122" t="s">
        <v>11705</v>
      </c>
      <c r="C4122" t="s">
        <v>15478</v>
      </c>
      <c r="D4122" t="s">
        <v>16206</v>
      </c>
      <c r="E4122" t="s">
        <v>16218</v>
      </c>
      <c r="F4122" t="s">
        <v>16221</v>
      </c>
      <c r="G4122" t="s">
        <v>16277</v>
      </c>
      <c r="H4122" t="s">
        <v>16277</v>
      </c>
      <c r="I4122" t="s">
        <v>16353</v>
      </c>
      <c r="J4122" t="s">
        <v>16386</v>
      </c>
      <c r="K4122">
        <v>0.232</v>
      </c>
      <c r="L4122">
        <v>10106</v>
      </c>
      <c r="M4122">
        <v>2375</v>
      </c>
      <c r="N4122" t="s">
        <v>16393</v>
      </c>
      <c r="O4122" s="4">
        <v>99212</v>
      </c>
      <c r="P4122" s="4">
        <v>54333</v>
      </c>
      <c r="Q4122" s="4">
        <v>153545</v>
      </c>
      <c r="R4122" s="4">
        <v>460635</v>
      </c>
      <c r="S4122" t="s">
        <v>18950</v>
      </c>
      <c r="T4122" s="6">
        <v>45838</v>
      </c>
      <c r="U4122" s="4">
        <v>450000</v>
      </c>
      <c r="V4122" t="s">
        <v>23739</v>
      </c>
      <c r="W4122" t="s">
        <v>25877</v>
      </c>
      <c r="X4122" t="s">
        <v>3</v>
      </c>
      <c r="AA4122" s="5" t="str">
        <f>HYPERLINK("https://www.zillow.com/homes/329-E-8TH-AVE-NAPERVILLE-IL-60563_rb/","check listing")</f>
        <v>check listing</v>
      </c>
      <c r="AB4122" s="5" t="str">
        <f>HYPERLINK("https://propertylookup.dupagecounty.gov/Datalets/Datalet.aspx?UseSearch=no&amp;mode=sales&amp;pin=0818114004","sales record")</f>
        <v>sales record</v>
      </c>
      <c r="AC4122" t="s">
        <v>3</v>
      </c>
      <c r="AD4122">
        <v>41.784235</v>
      </c>
      <c r="AE4122">
        <v>-88.141921</v>
      </c>
      <c r="AF4122" s="5" t="str">
        <f>HYPERLINK("https://www.google.com/maps/search/?api=1&amp;query=41.784235,-88.141921","map")</f>
        <v>map</v>
      </c>
    </row>
    <row r="4123" spans="1:32">
      <c r="A4123" t="s">
        <v>4173</v>
      </c>
      <c r="B4123" t="s">
        <v>11706</v>
      </c>
      <c r="C4123" t="s">
        <v>15478</v>
      </c>
      <c r="D4123" t="s">
        <v>16206</v>
      </c>
      <c r="E4123" t="s">
        <v>16218</v>
      </c>
      <c r="F4123" t="s">
        <v>16221</v>
      </c>
      <c r="G4123" t="s">
        <v>16278</v>
      </c>
      <c r="H4123" t="s">
        <v>16277</v>
      </c>
      <c r="I4123" t="s">
        <v>16353</v>
      </c>
      <c r="J4123" t="s">
        <v>16386</v>
      </c>
      <c r="K4123">
        <v>0.232</v>
      </c>
      <c r="L4123">
        <v>10096</v>
      </c>
      <c r="N4123" t="s">
        <v>16393</v>
      </c>
      <c r="O4123" s="4">
        <v>71010</v>
      </c>
      <c r="P4123" s="4">
        <v>173240</v>
      </c>
      <c r="Q4123" s="4">
        <v>244250</v>
      </c>
      <c r="R4123" s="4">
        <v>732750</v>
      </c>
      <c r="S4123" t="s">
        <v>20427</v>
      </c>
      <c r="T4123" s="6">
        <v>42795</v>
      </c>
      <c r="U4123" s="4">
        <v>513314</v>
      </c>
      <c r="V4123" t="s">
        <v>16232</v>
      </c>
      <c r="W4123" t="s">
        <v>20427</v>
      </c>
      <c r="X4123" t="s">
        <v>3</v>
      </c>
      <c r="AA4123" s="5" t="str">
        <f>HYPERLINK("https://www.zillow.com/homes/1691-SILVERLEAF-CT-NAPERVILLE-IL-60563_rb/","check listing")</f>
        <v>check listing</v>
      </c>
      <c r="AB4123" s="5" t="str">
        <f>HYPERLINK("https://propertylookup.dupagecounty.gov/Datalets/Datalet.aspx?UseSearch=no&amp;mode=sales&amp;pin=0709107016","sales record")</f>
        <v>sales record</v>
      </c>
      <c r="AC4123" t="s">
        <v>3</v>
      </c>
      <c r="AD4123">
        <v>41.798262</v>
      </c>
      <c r="AE4123">
        <v>-88.22264199999999</v>
      </c>
      <c r="AF4123" s="5" t="str">
        <f>HYPERLINK("https://www.google.com/maps/search/?api=1&amp;query=41.798262,-88.222642","map")</f>
        <v>map</v>
      </c>
    </row>
    <row r="4124" spans="1:32">
      <c r="A4124" t="s">
        <v>4174</v>
      </c>
      <c r="B4124" t="s">
        <v>11707</v>
      </c>
      <c r="C4124" t="s">
        <v>15690</v>
      </c>
      <c r="D4124" t="s">
        <v>16206</v>
      </c>
      <c r="E4124" t="s">
        <v>16218</v>
      </c>
      <c r="F4124" t="s">
        <v>16221</v>
      </c>
      <c r="G4124" t="s">
        <v>16278</v>
      </c>
      <c r="H4124" t="s">
        <v>16277</v>
      </c>
      <c r="I4124" t="s">
        <v>16353</v>
      </c>
      <c r="J4124" t="s">
        <v>16386</v>
      </c>
      <c r="K4124">
        <v>0.232</v>
      </c>
      <c r="L4124">
        <v>10087</v>
      </c>
      <c r="N4124" t="s">
        <v>16393</v>
      </c>
      <c r="O4124" s="4">
        <v>61343</v>
      </c>
      <c r="P4124" s="4">
        <v>201287</v>
      </c>
      <c r="Q4124" s="4">
        <v>262630</v>
      </c>
      <c r="R4124" s="4">
        <v>787890</v>
      </c>
      <c r="S4124" t="s">
        <v>20428</v>
      </c>
      <c r="T4124" s="6">
        <v>43647</v>
      </c>
      <c r="U4124" s="4">
        <v>605000</v>
      </c>
      <c r="V4124" t="s">
        <v>23739</v>
      </c>
      <c r="W4124" t="s">
        <v>25878</v>
      </c>
      <c r="X4124" t="s">
        <v>3</v>
      </c>
      <c r="AA4124" s="5" t="str">
        <f>HYPERLINK("https://www.zillow.com/homes/2428-BASIN-TRAIL-LN-NAPERVILLE-IL-605633584_rb/","check listing")</f>
        <v>check listing</v>
      </c>
      <c r="AB4124" s="5" t="str">
        <f>HYPERLINK("https://propertylookup.dupagecounty.gov/Datalets/Datalet.aspx?UseSearch=no&amp;mode=sales&amp;pin=0709112007","sales record")</f>
        <v>sales record</v>
      </c>
      <c r="AC4124" t="s">
        <v>3</v>
      </c>
      <c r="AD4124">
        <v>41.795762</v>
      </c>
      <c r="AE4124">
        <v>-88.21933900000001</v>
      </c>
      <c r="AF4124" s="5" t="str">
        <f>HYPERLINK("https://www.google.com/maps/search/?api=1&amp;query=41.795762,-88.219339","map")</f>
        <v>map</v>
      </c>
    </row>
    <row r="4125" spans="1:32">
      <c r="A4125" t="s">
        <v>4175</v>
      </c>
      <c r="B4125" t="s">
        <v>11708</v>
      </c>
      <c r="C4125" t="s">
        <v>15475</v>
      </c>
      <c r="D4125" t="s">
        <v>16206</v>
      </c>
      <c r="E4125" t="s">
        <v>16218</v>
      </c>
      <c r="F4125" t="s">
        <v>16221</v>
      </c>
      <c r="G4125" t="s">
        <v>16278</v>
      </c>
      <c r="H4125" t="s">
        <v>16277</v>
      </c>
      <c r="I4125" t="s">
        <v>16353</v>
      </c>
      <c r="J4125" t="s">
        <v>16386</v>
      </c>
      <c r="K4125">
        <v>0.232</v>
      </c>
      <c r="L4125">
        <v>10085</v>
      </c>
      <c r="N4125" t="s">
        <v>16393</v>
      </c>
      <c r="O4125" s="4">
        <v>61343</v>
      </c>
      <c r="P4125" s="4">
        <v>138809</v>
      </c>
      <c r="Q4125" s="4">
        <v>200152</v>
      </c>
      <c r="R4125" s="4">
        <v>600456</v>
      </c>
      <c r="S4125" t="s">
        <v>20429</v>
      </c>
      <c r="T4125" s="6">
        <v>42917</v>
      </c>
      <c r="U4125" s="4">
        <v>453475</v>
      </c>
      <c r="V4125" t="s">
        <v>16232</v>
      </c>
      <c r="W4125" t="s">
        <v>25879</v>
      </c>
      <c r="X4125" t="s">
        <v>3</v>
      </c>
      <c r="AA4125" s="5" t="str">
        <f>HYPERLINK("https://www.zillow.com/homes/2472-BASIN-TRAIL-LN-NAPERVILLE-IL-60540_rb/","check listing")</f>
        <v>check listing</v>
      </c>
      <c r="AB4125" s="5" t="str">
        <f>HYPERLINK("https://propertylookup.dupagecounty.gov/Datalets/Datalet.aspx?UseSearch=no&amp;mode=sales&amp;pin=0709110014","sales record")</f>
        <v>sales record</v>
      </c>
      <c r="AC4125" t="s">
        <v>3</v>
      </c>
      <c r="AD4125">
        <v>41.794568</v>
      </c>
      <c r="AE4125">
        <v>-88.22187700000001</v>
      </c>
      <c r="AF4125" s="5" t="str">
        <f>HYPERLINK("https://www.google.com/maps/search/?api=1&amp;query=41.794568,-88.221877","map")</f>
        <v>map</v>
      </c>
    </row>
    <row r="4126" spans="1:32">
      <c r="A4126" t="s">
        <v>4176</v>
      </c>
      <c r="B4126" t="s">
        <v>11709</v>
      </c>
      <c r="C4126" t="s">
        <v>15662</v>
      </c>
      <c r="D4126" t="s">
        <v>16206</v>
      </c>
      <c r="E4126" t="s">
        <v>16218</v>
      </c>
      <c r="F4126" t="s">
        <v>16221</v>
      </c>
      <c r="G4126" t="s">
        <v>16278</v>
      </c>
      <c r="H4126" t="s">
        <v>16277</v>
      </c>
      <c r="I4126" t="s">
        <v>16353</v>
      </c>
      <c r="J4126" t="s">
        <v>16386</v>
      </c>
      <c r="K4126">
        <v>0.232</v>
      </c>
      <c r="L4126">
        <v>10085</v>
      </c>
      <c r="N4126" t="s">
        <v>16393</v>
      </c>
      <c r="O4126" s="4">
        <v>56146</v>
      </c>
      <c r="P4126" s="4">
        <v>253843</v>
      </c>
      <c r="Q4126" s="4">
        <v>309989</v>
      </c>
      <c r="R4126" s="4">
        <v>929967</v>
      </c>
      <c r="S4126" t="s">
        <v>20430</v>
      </c>
      <c r="T4126" s="6">
        <v>45902</v>
      </c>
      <c r="U4126" s="4">
        <v>1170000</v>
      </c>
      <c r="V4126" t="s">
        <v>23739</v>
      </c>
      <c r="W4126" t="s">
        <v>25880</v>
      </c>
      <c r="X4126" t="s">
        <v>3</v>
      </c>
      <c r="AA4126" s="5" t="str">
        <f>HYPERLINK("https://www.zillow.com/homes/2559-WEATHERBEE-LN-NAPERVILLE-IL-605631594_rb/","check listing")</f>
        <v>check listing</v>
      </c>
      <c r="AB4126" s="5" t="str">
        <f>HYPERLINK("https://propertylookup.dupagecounty.gov/Datalets/Datalet.aspx?UseSearch=no&amp;mode=sales&amp;pin=0532300044","sales record")</f>
        <v>sales record</v>
      </c>
      <c r="AC4126" t="s">
        <v>3</v>
      </c>
      <c r="AD4126">
        <v>41.819363</v>
      </c>
      <c r="AE4126">
        <v>-88.12479</v>
      </c>
      <c r="AF4126" s="5" t="str">
        <f>HYPERLINK("https://www.google.com/maps/search/?api=1&amp;query=41.819363,-88.12479","map")</f>
        <v>map</v>
      </c>
    </row>
    <row r="4127" spans="1:32">
      <c r="A4127" t="s">
        <v>4177</v>
      </c>
      <c r="B4127" t="s">
        <v>11710</v>
      </c>
      <c r="C4127" t="s">
        <v>15691</v>
      </c>
      <c r="D4127" t="s">
        <v>16206</v>
      </c>
      <c r="E4127" t="s">
        <v>16218</v>
      </c>
      <c r="F4127" t="s">
        <v>16221</v>
      </c>
      <c r="G4127" t="s">
        <v>16278</v>
      </c>
      <c r="H4127" t="s">
        <v>16277</v>
      </c>
      <c r="I4127" t="s">
        <v>16353</v>
      </c>
      <c r="J4127" t="s">
        <v>16386</v>
      </c>
      <c r="K4127">
        <v>0.231</v>
      </c>
      <c r="L4127">
        <v>10083</v>
      </c>
      <c r="N4127" t="s">
        <v>16393</v>
      </c>
      <c r="O4127" s="4">
        <v>64565</v>
      </c>
      <c r="P4127" s="4">
        <v>187618</v>
      </c>
      <c r="Q4127" s="4">
        <v>252183</v>
      </c>
      <c r="R4127" s="4">
        <v>756549</v>
      </c>
      <c r="S4127" t="s">
        <v>20431</v>
      </c>
      <c r="T4127" s="6">
        <v>44105</v>
      </c>
      <c r="U4127" s="4">
        <v>538000</v>
      </c>
      <c r="V4127" t="s">
        <v>23739</v>
      </c>
      <c r="W4127" t="s">
        <v>25881</v>
      </c>
      <c r="X4127" t="s">
        <v>3</v>
      </c>
      <c r="AA4127" s="5" t="str">
        <f>HYPERLINK("https://www.zillow.com/homes/1651-SILVERLEAF-ST-NAPERVILLE-IL-605633585_rb/","check listing")</f>
        <v>check listing</v>
      </c>
      <c r="AB4127" s="5" t="str">
        <f>HYPERLINK("https://propertylookup.dupagecounty.gov/Datalets/Datalet.aspx?UseSearch=no&amp;mode=sales&amp;pin=0709107006","sales record")</f>
        <v>sales record</v>
      </c>
      <c r="AC4127" t="s">
        <v>3</v>
      </c>
      <c r="AD4127">
        <v>41.797483</v>
      </c>
      <c r="AE4127">
        <v>-88.224643</v>
      </c>
      <c r="AF4127" s="5" t="str">
        <f>HYPERLINK("https://www.google.com/maps/search/?api=1&amp;query=41.797483,-88.224643","map")</f>
        <v>map</v>
      </c>
    </row>
    <row r="4128" spans="1:32">
      <c r="A4128" t="s">
        <v>4178</v>
      </c>
      <c r="B4128" t="s">
        <v>11711</v>
      </c>
      <c r="C4128" t="s">
        <v>15475</v>
      </c>
      <c r="D4128" t="s">
        <v>16206</v>
      </c>
      <c r="E4128" t="s">
        <v>16218</v>
      </c>
      <c r="F4128" t="s">
        <v>16221</v>
      </c>
      <c r="G4128" t="s">
        <v>16278</v>
      </c>
      <c r="H4128" t="s">
        <v>16277</v>
      </c>
      <c r="I4128" t="s">
        <v>16353</v>
      </c>
      <c r="J4128" t="s">
        <v>16386</v>
      </c>
      <c r="K4128">
        <v>0.231</v>
      </c>
      <c r="L4128">
        <v>10082</v>
      </c>
      <c r="N4128" t="s">
        <v>16393</v>
      </c>
      <c r="O4128" s="4">
        <v>71010</v>
      </c>
      <c r="P4128" s="4">
        <v>174375</v>
      </c>
      <c r="Q4128" s="4">
        <v>245385</v>
      </c>
      <c r="R4128" s="4">
        <v>736155</v>
      </c>
      <c r="S4128" t="s">
        <v>20432</v>
      </c>
      <c r="T4128" s="6">
        <v>42856</v>
      </c>
      <c r="U4128" s="4">
        <v>506697</v>
      </c>
      <c r="V4128" t="s">
        <v>16232</v>
      </c>
      <c r="W4128" t="s">
        <v>25882</v>
      </c>
      <c r="X4128" t="s">
        <v>3</v>
      </c>
      <c r="AA4128" s="5" t="str">
        <f>HYPERLINK("https://www.zillow.com/homes/1695-SILVERLEAF-CT-NAPERVILLE-IL-60540_rb/","check listing")</f>
        <v>check listing</v>
      </c>
      <c r="AB4128" s="5" t="str">
        <f>HYPERLINK("https://propertylookup.dupagecounty.gov/Datalets/Datalet.aspx?UseSearch=no&amp;mode=sales&amp;pin=0709107017","sales record")</f>
        <v>sales record</v>
      </c>
      <c r="AC4128" t="s">
        <v>3</v>
      </c>
      <c r="AD4128">
        <v>41.798133</v>
      </c>
      <c r="AE4128">
        <v>-88.222343</v>
      </c>
      <c r="AF4128" s="5" t="str">
        <f>HYPERLINK("https://www.google.com/maps/search/?api=1&amp;query=41.798133,-88.222343","map")</f>
        <v>map</v>
      </c>
    </row>
    <row r="4129" spans="1:32">
      <c r="A4129" t="s">
        <v>4179</v>
      </c>
      <c r="B4129" t="s">
        <v>11712</v>
      </c>
      <c r="C4129" t="s">
        <v>15478</v>
      </c>
      <c r="D4129" t="s">
        <v>16206</v>
      </c>
      <c r="E4129" t="s">
        <v>16218</v>
      </c>
      <c r="F4129" t="s">
        <v>16221</v>
      </c>
      <c r="G4129" t="s">
        <v>16277</v>
      </c>
      <c r="H4129" t="s">
        <v>16277</v>
      </c>
      <c r="I4129" t="s">
        <v>16353</v>
      </c>
      <c r="J4129" t="s">
        <v>16386</v>
      </c>
      <c r="K4129">
        <v>0.231</v>
      </c>
      <c r="L4129">
        <v>10075</v>
      </c>
      <c r="M4129">
        <v>2176</v>
      </c>
      <c r="N4129" t="s">
        <v>16393</v>
      </c>
      <c r="O4129" s="4">
        <v>77570</v>
      </c>
      <c r="P4129" s="4">
        <v>97071</v>
      </c>
      <c r="Q4129" s="4">
        <v>174641</v>
      </c>
      <c r="R4129" s="4">
        <v>523923</v>
      </c>
      <c r="S4129" t="s">
        <v>20433</v>
      </c>
      <c r="T4129" s="6">
        <v>40878</v>
      </c>
      <c r="U4129" s="4">
        <v>297500</v>
      </c>
      <c r="V4129" t="s">
        <v>23739</v>
      </c>
      <c r="W4129" t="s">
        <v>25883</v>
      </c>
      <c r="X4129" t="s">
        <v>3</v>
      </c>
      <c r="AA4129" s="5" t="str">
        <f>HYPERLINK("https://www.zillow.com/homes/561-OLD-PLANK-RD-NAPERVILLE-IL-60563_rb/","check listing")</f>
        <v>check listing</v>
      </c>
      <c r="AB4129" s="5" t="str">
        <f>HYPERLINK("https://propertylookup.dupagecounty.gov/Datalets/Datalet.aspx?UseSearch=no&amp;mode=sales&amp;pin=0818206060","sales record")</f>
        <v>sales record</v>
      </c>
      <c r="AC4129" t="s">
        <v>3</v>
      </c>
      <c r="AD4129">
        <v>41.78167</v>
      </c>
      <c r="AE4129">
        <v>-88.132932</v>
      </c>
      <c r="AF4129" s="5" t="str">
        <f>HYPERLINK("https://www.google.com/maps/search/?api=1&amp;query=41.78167,-88.132932","map")</f>
        <v>map</v>
      </c>
    </row>
    <row r="4130" spans="1:32">
      <c r="A4130" t="s">
        <v>4180</v>
      </c>
      <c r="B4130" t="s">
        <v>11713</v>
      </c>
      <c r="C4130" t="s">
        <v>15692</v>
      </c>
      <c r="D4130" t="s">
        <v>16206</v>
      </c>
      <c r="E4130" t="s">
        <v>16218</v>
      </c>
      <c r="F4130" t="s">
        <v>16221</v>
      </c>
      <c r="G4130" t="s">
        <v>16278</v>
      </c>
      <c r="H4130" t="s">
        <v>16277</v>
      </c>
      <c r="I4130" t="s">
        <v>16353</v>
      </c>
      <c r="J4130" t="s">
        <v>16386</v>
      </c>
      <c r="K4130">
        <v>0.231</v>
      </c>
      <c r="L4130">
        <v>10070</v>
      </c>
      <c r="N4130" t="s">
        <v>16393</v>
      </c>
      <c r="O4130" s="4">
        <v>74244</v>
      </c>
      <c r="P4130" s="4">
        <v>202936</v>
      </c>
      <c r="Q4130" s="4">
        <v>277180</v>
      </c>
      <c r="R4130" s="4">
        <v>831540</v>
      </c>
      <c r="S4130" t="s">
        <v>20434</v>
      </c>
      <c r="T4130" s="6">
        <v>43466</v>
      </c>
      <c r="U4130" s="4">
        <v>660904</v>
      </c>
      <c r="V4130" t="s">
        <v>16232</v>
      </c>
      <c r="W4130" t="s">
        <v>25884</v>
      </c>
      <c r="X4130" t="s">
        <v>3</v>
      </c>
      <c r="AA4130" s="5" t="str">
        <f>HYPERLINK("https://www.zillow.com/homes/1491-BAYOU-PATH-DR-NAPERVILLE-IL-605633608_rb/","check listing")</f>
        <v>check listing</v>
      </c>
      <c r="AB4130" s="5" t="str">
        <f>HYPERLINK("https://propertylookup.dupagecounty.gov/Datalets/Datalet.aspx?UseSearch=no&amp;mode=sales&amp;pin=0709311038","sales record")</f>
        <v>sales record</v>
      </c>
      <c r="AC4130" t="s">
        <v>3</v>
      </c>
      <c r="AD4130">
        <v>41.790611</v>
      </c>
      <c r="AE4130">
        <v>-88.219905</v>
      </c>
      <c r="AF4130" s="5" t="str">
        <f>HYPERLINK("https://www.google.com/maps/search/?api=1&amp;query=41.790611,-88.219905","map")</f>
        <v>map</v>
      </c>
    </row>
    <row r="4131" spans="1:32">
      <c r="A4131" t="s">
        <v>4181</v>
      </c>
      <c r="B4131" t="s">
        <v>11714</v>
      </c>
      <c r="C4131" t="s">
        <v>15475</v>
      </c>
      <c r="D4131" t="s">
        <v>16206</v>
      </c>
      <c r="E4131" t="s">
        <v>16218</v>
      </c>
      <c r="F4131" t="s">
        <v>16221</v>
      </c>
      <c r="G4131" t="s">
        <v>16277</v>
      </c>
      <c r="H4131" t="s">
        <v>16277</v>
      </c>
      <c r="I4131" t="s">
        <v>16353</v>
      </c>
      <c r="J4131" t="s">
        <v>16386</v>
      </c>
      <c r="K4131">
        <v>0.231</v>
      </c>
      <c r="L4131">
        <v>10068</v>
      </c>
      <c r="M4131">
        <v>2573</v>
      </c>
      <c r="N4131" t="s">
        <v>16393</v>
      </c>
      <c r="O4131" s="4">
        <v>130985</v>
      </c>
      <c r="P4131" s="4">
        <v>34809</v>
      </c>
      <c r="Q4131" s="4">
        <v>165794</v>
      </c>
      <c r="R4131" s="4">
        <v>497382</v>
      </c>
      <c r="S4131" t="s">
        <v>20435</v>
      </c>
      <c r="T4131" s="6">
        <v>43282</v>
      </c>
      <c r="U4131" s="4">
        <v>307500</v>
      </c>
      <c r="V4131" t="s">
        <v>23738</v>
      </c>
      <c r="W4131" t="s">
        <v>25885</v>
      </c>
      <c r="X4131" t="s">
        <v>3</v>
      </c>
      <c r="AA4131" s="5" t="str">
        <f>HYPERLINK("https://www.zillow.com/homes/229-N-WEST-ST-NAPERVILLE-IL-60540_rb/","check listing")</f>
        <v>check listing</v>
      </c>
      <c r="AB4131" s="5" t="str">
        <f>HYPERLINK("https://propertylookup.dupagecounty.gov/Datalets/Datalet.aspx?UseSearch=no&amp;mode=sales&amp;pin=0713106026","sales record")</f>
        <v>sales record</v>
      </c>
      <c r="AC4131" t="s">
        <v>3</v>
      </c>
      <c r="AD4131">
        <v>41.778102</v>
      </c>
      <c r="AE4131">
        <v>-88.15764299999999</v>
      </c>
      <c r="AF4131" s="5" t="str">
        <f>HYPERLINK("https://www.google.com/maps/search/?api=1&amp;query=41.778102,-88.157643","map")</f>
        <v>map</v>
      </c>
    </row>
    <row r="4132" spans="1:32">
      <c r="A4132" t="s">
        <v>4182</v>
      </c>
      <c r="B4132" t="s">
        <v>11715</v>
      </c>
      <c r="C4132" t="s">
        <v>15478</v>
      </c>
      <c r="D4132" t="s">
        <v>16206</v>
      </c>
      <c r="E4132" t="s">
        <v>16218</v>
      </c>
      <c r="F4132" t="s">
        <v>16221</v>
      </c>
      <c r="G4132" t="s">
        <v>16278</v>
      </c>
      <c r="H4132" t="s">
        <v>16277</v>
      </c>
      <c r="I4132" t="s">
        <v>16353</v>
      </c>
      <c r="J4132" t="s">
        <v>16386</v>
      </c>
      <c r="K4132">
        <v>0.231</v>
      </c>
      <c r="L4132">
        <v>10055</v>
      </c>
      <c r="N4132" t="s">
        <v>16393</v>
      </c>
      <c r="O4132" s="4">
        <v>67787</v>
      </c>
      <c r="P4132" s="4">
        <v>181857</v>
      </c>
      <c r="Q4132" s="4">
        <v>249644</v>
      </c>
      <c r="R4132" s="4">
        <v>748932</v>
      </c>
      <c r="S4132" t="s">
        <v>20436</v>
      </c>
      <c r="T4132" s="6">
        <v>43525</v>
      </c>
      <c r="U4132" s="4">
        <v>533810</v>
      </c>
      <c r="V4132" t="s">
        <v>16232</v>
      </c>
      <c r="W4132" t="s">
        <v>25886</v>
      </c>
      <c r="X4132" t="s">
        <v>3</v>
      </c>
      <c r="AA4132" s="5" t="str">
        <f>HYPERLINK("https://www.zillow.com/homes/2615-BASIN-TRAIL-CT-NAPERVILLE-IL-60563_rb/","check listing")</f>
        <v>check listing</v>
      </c>
      <c r="AB4132" s="5" t="str">
        <f>HYPERLINK("https://propertylookup.dupagecounty.gov/Datalets/Datalet.aspx?UseSearch=no&amp;mode=sales&amp;pin=0709109044","sales record")</f>
        <v>sales record</v>
      </c>
      <c r="AC4132" t="s">
        <v>3</v>
      </c>
      <c r="AD4132">
        <v>41.793285</v>
      </c>
      <c r="AE4132">
        <v>-88.224885</v>
      </c>
      <c r="AF4132" s="5" t="str">
        <f>HYPERLINK("https://www.google.com/maps/search/?api=1&amp;query=41.793285,-88.224885","map")</f>
        <v>map</v>
      </c>
    </row>
    <row r="4133" spans="1:32">
      <c r="A4133" t="s">
        <v>4183</v>
      </c>
      <c r="B4133" t="s">
        <v>11716</v>
      </c>
      <c r="C4133" t="s">
        <v>15478</v>
      </c>
      <c r="D4133" t="s">
        <v>16206</v>
      </c>
      <c r="E4133" t="s">
        <v>16218</v>
      </c>
      <c r="F4133" t="s">
        <v>16221</v>
      </c>
      <c r="G4133" t="s">
        <v>16277</v>
      </c>
      <c r="H4133" t="s">
        <v>16277</v>
      </c>
      <c r="I4133" t="s">
        <v>16353</v>
      </c>
      <c r="J4133" t="s">
        <v>16386</v>
      </c>
      <c r="K4133">
        <v>0.231</v>
      </c>
      <c r="L4133">
        <v>10054</v>
      </c>
      <c r="M4133">
        <v>3578</v>
      </c>
      <c r="N4133" t="s">
        <v>16393</v>
      </c>
      <c r="O4133" s="4">
        <v>131783</v>
      </c>
      <c r="P4133" s="4">
        <v>66653</v>
      </c>
      <c r="Q4133" s="4">
        <v>198436</v>
      </c>
      <c r="R4133" s="4">
        <v>595308</v>
      </c>
      <c r="S4133" t="s">
        <v>20437</v>
      </c>
      <c r="T4133" s="6">
        <v>30317</v>
      </c>
      <c r="U4133" s="4">
        <v>66000</v>
      </c>
      <c r="X4133" t="s">
        <v>3</v>
      </c>
      <c r="AA4133" s="5" t="str">
        <f>HYPERLINK("https://www.zillow.com/homes/820-N-BRAINARD-ST-NAPERVILLE-IL-60563_rb/","check listing")</f>
        <v>check listing</v>
      </c>
      <c r="AB4133" s="5" t="str">
        <f>HYPERLINK("https://propertylookup.dupagecounty.gov/Datalets/Datalet.aspx?UseSearch=no&amp;mode=sales&amp;pin=0807316008","sales record")</f>
        <v>sales record</v>
      </c>
      <c r="AC4133" t="s">
        <v>3</v>
      </c>
      <c r="AD4133">
        <v>41.784662</v>
      </c>
      <c r="AE4133">
        <v>-88.14255</v>
      </c>
      <c r="AF4133" s="5" t="str">
        <f>HYPERLINK("https://www.google.com/maps/search/?api=1&amp;query=41.784662,-88.14255","map")</f>
        <v>map</v>
      </c>
    </row>
    <row r="4134" spans="1:32">
      <c r="A4134" t="s">
        <v>4184</v>
      </c>
      <c r="B4134" t="s">
        <v>11717</v>
      </c>
      <c r="C4134" t="s">
        <v>15478</v>
      </c>
      <c r="D4134" t="s">
        <v>16206</v>
      </c>
      <c r="E4134" t="s">
        <v>16218</v>
      </c>
      <c r="F4134" t="s">
        <v>16221</v>
      </c>
      <c r="G4134" t="s">
        <v>16278</v>
      </c>
      <c r="H4134" t="s">
        <v>16277</v>
      </c>
      <c r="I4134" t="s">
        <v>16353</v>
      </c>
      <c r="J4134" t="s">
        <v>16386</v>
      </c>
      <c r="K4134">
        <v>0.231</v>
      </c>
      <c r="L4134">
        <v>10046</v>
      </c>
      <c r="N4134" t="s">
        <v>16393</v>
      </c>
      <c r="O4134" s="4">
        <v>61343</v>
      </c>
      <c r="P4134" s="4">
        <v>171910</v>
      </c>
      <c r="Q4134" s="4">
        <v>233253</v>
      </c>
      <c r="R4134" s="4">
        <v>699759</v>
      </c>
      <c r="S4134" t="s">
        <v>20438</v>
      </c>
      <c r="T4134" s="6">
        <v>44844</v>
      </c>
      <c r="U4134" s="4">
        <v>625000</v>
      </c>
      <c r="V4134" t="s">
        <v>23739</v>
      </c>
      <c r="W4134" t="s">
        <v>25887</v>
      </c>
      <c r="X4134" t="s">
        <v>3</v>
      </c>
      <c r="AA4134" s="5" t="str">
        <f>HYPERLINK("https://www.zillow.com/homes/1336-BAYOU-PATH-CT-NAPERVILLE-IL-60563_rb/","check listing")</f>
        <v>check listing</v>
      </c>
      <c r="AB4134" s="5" t="str">
        <f>HYPERLINK("https://propertylookup.dupagecounty.gov/Datalets/Datalet.aspx?UseSearch=no&amp;mode=sales&amp;pin=0709311094","sales record")</f>
        <v>sales record</v>
      </c>
      <c r="AC4134" t="s">
        <v>3</v>
      </c>
      <c r="AD4134">
        <v>41.785803</v>
      </c>
      <c r="AE4134">
        <v>-88.217884</v>
      </c>
      <c r="AF4134" s="5" t="str">
        <f>HYPERLINK("https://www.google.com/maps/search/?api=1&amp;query=41.785803,-88.217884","map")</f>
        <v>map</v>
      </c>
    </row>
    <row r="4135" spans="1:32">
      <c r="A4135" t="s">
        <v>4185</v>
      </c>
      <c r="B4135" t="s">
        <v>11718</v>
      </c>
      <c r="C4135" t="s">
        <v>15637</v>
      </c>
      <c r="D4135" t="s">
        <v>16206</v>
      </c>
      <c r="E4135" t="s">
        <v>16218</v>
      </c>
      <c r="F4135" t="s">
        <v>16221</v>
      </c>
      <c r="G4135" t="s">
        <v>16277</v>
      </c>
      <c r="H4135" t="s">
        <v>16277</v>
      </c>
      <c r="I4135" t="s">
        <v>16353</v>
      </c>
      <c r="J4135" t="s">
        <v>16386</v>
      </c>
      <c r="K4135">
        <v>0.23</v>
      </c>
      <c r="L4135">
        <v>10030</v>
      </c>
      <c r="M4135">
        <v>1813</v>
      </c>
      <c r="N4135" t="s">
        <v>16393</v>
      </c>
      <c r="O4135" s="4">
        <v>77570</v>
      </c>
      <c r="P4135" s="4">
        <v>80399</v>
      </c>
      <c r="Q4135" s="4">
        <v>157969</v>
      </c>
      <c r="R4135" s="4">
        <v>473907</v>
      </c>
      <c r="S4135" t="s">
        <v>20439</v>
      </c>
      <c r="T4135" s="6">
        <v>42248</v>
      </c>
      <c r="U4135" s="4">
        <v>332500</v>
      </c>
      <c r="V4135" t="s">
        <v>23739</v>
      </c>
      <c r="W4135" t="s">
        <v>25888</v>
      </c>
      <c r="X4135" t="s">
        <v>3</v>
      </c>
      <c r="AA4135" s="5" t="str">
        <f>HYPERLINK("https://www.zillow.com/homes/565-PLANK-RD-NAPERVILLE-IL-605633268_rb/","check listing")</f>
        <v>check listing</v>
      </c>
      <c r="AB4135" s="5" t="str">
        <f>HYPERLINK("https://propertylookup.dupagecounty.gov/Datalets/Datalet.aspx?UseSearch=no&amp;mode=sales&amp;pin=0818206061","sales record")</f>
        <v>sales record</v>
      </c>
      <c r="AC4135" t="s">
        <v>3</v>
      </c>
      <c r="AD4135">
        <v>41.781768</v>
      </c>
      <c r="AE4135">
        <v>-88.132733</v>
      </c>
      <c r="AF4135" s="5" t="str">
        <f>HYPERLINK("https://www.google.com/maps/search/?api=1&amp;query=41.781768,-88.132733","map")</f>
        <v>map</v>
      </c>
    </row>
    <row r="4136" spans="1:32">
      <c r="A4136" t="s">
        <v>4186</v>
      </c>
      <c r="B4136" t="s">
        <v>11719</v>
      </c>
      <c r="C4136" t="s">
        <v>15693</v>
      </c>
      <c r="D4136" t="s">
        <v>16206</v>
      </c>
      <c r="E4136" t="s">
        <v>16218</v>
      </c>
      <c r="F4136" t="s">
        <v>16221</v>
      </c>
      <c r="G4136" t="s">
        <v>16277</v>
      </c>
      <c r="H4136" t="s">
        <v>16277</v>
      </c>
      <c r="I4136" t="s">
        <v>16353</v>
      </c>
      <c r="J4136" t="s">
        <v>16386</v>
      </c>
      <c r="K4136">
        <v>0.23</v>
      </c>
      <c r="L4136">
        <v>10028</v>
      </c>
      <c r="M4136">
        <v>3967</v>
      </c>
      <c r="N4136" t="s">
        <v>16393</v>
      </c>
      <c r="O4136" s="4">
        <v>116291</v>
      </c>
      <c r="P4136" s="4">
        <v>305153</v>
      </c>
      <c r="Q4136" s="4">
        <v>421444</v>
      </c>
      <c r="R4136" s="4">
        <v>1264332</v>
      </c>
      <c r="S4136" t="s">
        <v>20440</v>
      </c>
      <c r="T4136" s="6">
        <v>44682</v>
      </c>
      <c r="U4136" s="4">
        <v>1250000</v>
      </c>
      <c r="V4136" t="s">
        <v>23740</v>
      </c>
      <c r="W4136" t="s">
        <v>25889</v>
      </c>
      <c r="X4136" t="s">
        <v>3</v>
      </c>
      <c r="AA4136" s="5" t="str">
        <f>HYPERLINK("https://www.zillow.com/homes/639-S-MAIN-ST-NAPERVILLE-IL-605406512_rb/","check listing")</f>
        <v>check listing</v>
      </c>
      <c r="AB4136" s="5" t="str">
        <f>HYPERLINK("https://propertylookup.dupagecounty.gov/Datalets/Datalet.aspx?UseSearch=no&amp;mode=sales&amp;pin=0724203024","sales record")</f>
        <v>sales record</v>
      </c>
      <c r="AC4136" t="s">
        <v>3</v>
      </c>
      <c r="AD4136">
        <v>41.766822</v>
      </c>
      <c r="AE4136">
        <v>-88.150327</v>
      </c>
      <c r="AF4136" s="5" t="str">
        <f>HYPERLINK("https://www.google.com/maps/search/?api=1&amp;query=41.766822,-88.150327","map")</f>
        <v>map</v>
      </c>
    </row>
    <row r="4137" spans="1:32">
      <c r="A4137" t="s">
        <v>4187</v>
      </c>
      <c r="B4137" t="s">
        <v>11720</v>
      </c>
      <c r="C4137" t="s">
        <v>15637</v>
      </c>
      <c r="D4137" t="s">
        <v>16206</v>
      </c>
      <c r="E4137" t="s">
        <v>16218</v>
      </c>
      <c r="F4137" t="s">
        <v>16221</v>
      </c>
      <c r="G4137" t="s">
        <v>16277</v>
      </c>
      <c r="H4137" t="s">
        <v>16277</v>
      </c>
      <c r="I4137" t="s">
        <v>16353</v>
      </c>
      <c r="J4137" t="s">
        <v>16386</v>
      </c>
      <c r="K4137">
        <v>0.23</v>
      </c>
      <c r="L4137">
        <v>10016</v>
      </c>
      <c r="M4137">
        <v>2151</v>
      </c>
      <c r="N4137" t="s">
        <v>16393</v>
      </c>
      <c r="O4137" s="4">
        <v>77570</v>
      </c>
      <c r="P4137" s="4">
        <v>109070</v>
      </c>
      <c r="Q4137" s="4">
        <v>186640</v>
      </c>
      <c r="R4137" s="4">
        <v>559920</v>
      </c>
      <c r="S4137" t="s">
        <v>20441</v>
      </c>
      <c r="T4137" s="6">
        <v>44317</v>
      </c>
      <c r="U4137" s="4">
        <v>440000</v>
      </c>
      <c r="V4137" t="s">
        <v>23739</v>
      </c>
      <c r="W4137" t="s">
        <v>25890</v>
      </c>
      <c r="X4137" t="s">
        <v>3</v>
      </c>
      <c r="AA4137" s="5" t="str">
        <f>HYPERLINK("https://www.zillow.com/homes/573-PLANK-RD-NAPERVILLE-IL-605633268_rb/","check listing")</f>
        <v>check listing</v>
      </c>
      <c r="AB4137" s="5" t="str">
        <f>HYPERLINK("https://propertylookup.dupagecounty.gov/Datalets/Datalet.aspx?UseSearch=no&amp;mode=sales&amp;pin=0818206063","sales record")</f>
        <v>sales record</v>
      </c>
      <c r="AC4137" t="s">
        <v>3</v>
      </c>
      <c r="AD4137">
        <v>41.781985</v>
      </c>
      <c r="AE4137">
        <v>-88.13235899999999</v>
      </c>
      <c r="AF4137" s="5" t="str">
        <f>HYPERLINK("https://www.google.com/maps/search/?api=1&amp;query=41.781985,-88.132359","map")</f>
        <v>map</v>
      </c>
    </row>
    <row r="4138" spans="1:32">
      <c r="A4138" t="s">
        <v>4188</v>
      </c>
      <c r="B4138" t="s">
        <v>11721</v>
      </c>
      <c r="C4138" t="s">
        <v>15478</v>
      </c>
      <c r="D4138" t="s">
        <v>16206</v>
      </c>
      <c r="E4138" t="s">
        <v>16218</v>
      </c>
      <c r="F4138" t="s">
        <v>16221</v>
      </c>
      <c r="G4138" t="s">
        <v>16277</v>
      </c>
      <c r="H4138" t="s">
        <v>16277</v>
      </c>
      <c r="I4138" t="s">
        <v>16353</v>
      </c>
      <c r="J4138" t="s">
        <v>16386</v>
      </c>
      <c r="K4138">
        <v>0.23</v>
      </c>
      <c r="L4138">
        <v>10006</v>
      </c>
      <c r="M4138">
        <v>1583</v>
      </c>
      <c r="N4138" t="s">
        <v>16393</v>
      </c>
      <c r="O4138" s="4">
        <v>36234</v>
      </c>
      <c r="P4138" s="4">
        <v>105384</v>
      </c>
      <c r="Q4138" s="4">
        <v>141618</v>
      </c>
      <c r="R4138" s="4">
        <v>424854</v>
      </c>
      <c r="S4138" t="s">
        <v>20442</v>
      </c>
      <c r="T4138" s="6">
        <v>39569</v>
      </c>
      <c r="U4138" s="4">
        <v>400000</v>
      </c>
      <c r="V4138" t="s">
        <v>23739</v>
      </c>
      <c r="W4138" t="s">
        <v>25891</v>
      </c>
      <c r="X4138" t="s">
        <v>3</v>
      </c>
      <c r="AA4138" s="5" t="str">
        <f>HYPERLINK("https://www.zillow.com/homes/960-N-BRAINARD-ST-NAPERVILLE-IL-60563_rb/","check listing")</f>
        <v>check listing</v>
      </c>
      <c r="AB4138" s="5" t="str">
        <f>HYPERLINK("https://propertylookup.dupagecounty.gov/Datalets/Datalet.aspx?UseSearch=no&amp;mode=sales&amp;pin=0807310003","sales record")</f>
        <v>sales record</v>
      </c>
      <c r="AC4138" t="s">
        <v>3</v>
      </c>
      <c r="AD4138">
        <v>41.787469</v>
      </c>
      <c r="AE4138">
        <v>-88.14234999999999</v>
      </c>
      <c r="AF4138" s="5" t="str">
        <f>HYPERLINK("https://www.google.com/maps/search/?api=1&amp;query=41.787469,-88.14235","map")</f>
        <v>map</v>
      </c>
    </row>
    <row r="4139" spans="1:32">
      <c r="A4139" t="s">
        <v>4189</v>
      </c>
      <c r="B4139" t="s">
        <v>11722</v>
      </c>
      <c r="C4139" t="s">
        <v>15475</v>
      </c>
      <c r="D4139" t="s">
        <v>16206</v>
      </c>
      <c r="E4139" t="s">
        <v>16218</v>
      </c>
      <c r="F4139" t="s">
        <v>16221</v>
      </c>
      <c r="G4139" t="s">
        <v>16277</v>
      </c>
      <c r="H4139" t="s">
        <v>16277</v>
      </c>
      <c r="I4139" t="s">
        <v>16353</v>
      </c>
      <c r="J4139" t="s">
        <v>16386</v>
      </c>
      <c r="K4139">
        <v>0.23</v>
      </c>
      <c r="L4139">
        <v>10006</v>
      </c>
      <c r="M4139">
        <v>3289</v>
      </c>
      <c r="N4139" t="s">
        <v>16393</v>
      </c>
      <c r="O4139" s="4">
        <v>131890</v>
      </c>
      <c r="P4139" s="4">
        <v>89615</v>
      </c>
      <c r="Q4139" s="4">
        <v>221505</v>
      </c>
      <c r="R4139" s="4">
        <v>664515</v>
      </c>
      <c r="S4139" t="s">
        <v>20183</v>
      </c>
      <c r="T4139" s="6">
        <v>31079</v>
      </c>
      <c r="U4139" s="4">
        <v>75000</v>
      </c>
      <c r="X4139" t="s">
        <v>3</v>
      </c>
      <c r="AA4139" s="5" t="str">
        <f>HYPERLINK("https://www.zillow.com/homes/125-N-CENTER-ST-NAPERVILLE-IL-60540_rb/","check listing")</f>
        <v>check listing</v>
      </c>
      <c r="AB4139" s="5" t="str">
        <f>HYPERLINK("https://propertylookup.dupagecounty.gov/Datalets/Datalet.aspx?UseSearch=no&amp;mode=sales&amp;pin=0818300003","sales record")</f>
        <v>sales record</v>
      </c>
      <c r="AC4139" t="s">
        <v>3</v>
      </c>
      <c r="AD4139">
        <v>41.776711</v>
      </c>
      <c r="AE4139">
        <v>-88.146716</v>
      </c>
      <c r="AF4139" s="5" t="str">
        <f>HYPERLINK("https://www.google.com/maps/search/?api=1&amp;query=41.776711,-88.146716","map")</f>
        <v>map</v>
      </c>
    </row>
    <row r="4140" spans="1:32">
      <c r="A4140" t="s">
        <v>4190</v>
      </c>
      <c r="B4140" t="s">
        <v>11723</v>
      </c>
      <c r="C4140" t="s">
        <v>15677</v>
      </c>
      <c r="D4140" t="s">
        <v>16206</v>
      </c>
      <c r="E4140" t="s">
        <v>16218</v>
      </c>
      <c r="F4140" t="s">
        <v>16221</v>
      </c>
      <c r="G4140" t="s">
        <v>16278</v>
      </c>
      <c r="H4140" t="s">
        <v>16277</v>
      </c>
      <c r="I4140" t="s">
        <v>16353</v>
      </c>
      <c r="J4140" t="s">
        <v>16386</v>
      </c>
      <c r="K4140">
        <v>0.23</v>
      </c>
      <c r="L4140">
        <v>10000</v>
      </c>
      <c r="N4140" t="s">
        <v>16393</v>
      </c>
      <c r="O4140" s="4">
        <v>56146</v>
      </c>
      <c r="P4140" s="4">
        <v>240892</v>
      </c>
      <c r="Q4140" s="4">
        <v>297038</v>
      </c>
      <c r="R4140" s="4">
        <v>891114</v>
      </c>
      <c r="S4140" t="s">
        <v>20443</v>
      </c>
      <c r="T4140" s="6">
        <v>45398</v>
      </c>
      <c r="U4140" s="4">
        <v>1006881</v>
      </c>
      <c r="V4140" t="s">
        <v>16232</v>
      </c>
      <c r="W4140" t="s">
        <v>25892</v>
      </c>
      <c r="X4140" t="s">
        <v>3</v>
      </c>
      <c r="AA4140" s="5" t="str">
        <f>HYPERLINK("https://www.zillow.com/homes/2647-WEATHERBEE-CT-NAPERVILLE-IL-605631592_rb/","check listing")</f>
        <v>check listing</v>
      </c>
      <c r="AB4140" s="5" t="str">
        <f>HYPERLINK("https://propertylookup.dupagecounty.gov/Datalets/Datalet.aspx?UseSearch=no&amp;mode=sales&amp;pin=0532300061","sales record")</f>
        <v>sales record</v>
      </c>
      <c r="AC4140" t="s">
        <v>3</v>
      </c>
      <c r="AD4140">
        <v>41.821513</v>
      </c>
      <c r="AE4140">
        <v>-88.122963</v>
      </c>
      <c r="AF4140" s="5" t="str">
        <f>HYPERLINK("https://www.google.com/maps/search/?api=1&amp;query=41.821513,-88.122963","map")</f>
        <v>map</v>
      </c>
    </row>
    <row r="4141" spans="1:32">
      <c r="A4141" t="s">
        <v>4191</v>
      </c>
      <c r="B4141" t="s">
        <v>11724</v>
      </c>
      <c r="C4141" t="s">
        <v>15637</v>
      </c>
      <c r="D4141" t="s">
        <v>16206</v>
      </c>
      <c r="E4141" t="s">
        <v>16218</v>
      </c>
      <c r="F4141" t="s">
        <v>16221</v>
      </c>
      <c r="G4141" t="s">
        <v>16277</v>
      </c>
      <c r="H4141" t="s">
        <v>16277</v>
      </c>
      <c r="I4141" t="s">
        <v>16353</v>
      </c>
      <c r="J4141" t="s">
        <v>16386</v>
      </c>
      <c r="K4141">
        <v>0.229</v>
      </c>
      <c r="L4141">
        <v>9995</v>
      </c>
      <c r="M4141">
        <v>2144</v>
      </c>
      <c r="N4141" t="s">
        <v>16393</v>
      </c>
      <c r="O4141" s="4">
        <v>77570</v>
      </c>
      <c r="P4141" s="4">
        <v>104967</v>
      </c>
      <c r="Q4141" s="4">
        <v>182537</v>
      </c>
      <c r="R4141" s="4">
        <v>547611</v>
      </c>
      <c r="S4141" t="s">
        <v>20444</v>
      </c>
      <c r="T4141" s="6">
        <v>45964</v>
      </c>
      <c r="U4141" s="4">
        <v>558828</v>
      </c>
      <c r="V4141" t="s">
        <v>23739</v>
      </c>
      <c r="W4141" t="s">
        <v>25893</v>
      </c>
      <c r="X4141" t="s">
        <v>3</v>
      </c>
      <c r="AA4141" s="5" t="str">
        <f>HYPERLINK("https://www.zillow.com/homes/577-PLANK-RD-NAPERVILLE-IL-605633268_rb/","check listing")</f>
        <v>check listing</v>
      </c>
      <c r="AB4141" s="5" t="str">
        <f>HYPERLINK("https://propertylookup.dupagecounty.gov/Datalets/Datalet.aspx?UseSearch=no&amp;mode=sales&amp;pin=0818206064","sales record")</f>
        <v>sales record</v>
      </c>
      <c r="AC4141" t="s">
        <v>3</v>
      </c>
      <c r="AD4141">
        <v>41.782087</v>
      </c>
      <c r="AE4141">
        <v>-88.132184</v>
      </c>
      <c r="AF4141" s="5" t="str">
        <f>HYPERLINK("https://www.google.com/maps/search/?api=1&amp;query=41.782087,-88.132184","map")</f>
        <v>map</v>
      </c>
    </row>
    <row r="4142" spans="1:32">
      <c r="A4142" t="s">
        <v>4192</v>
      </c>
      <c r="B4142" t="s">
        <v>11725</v>
      </c>
      <c r="C4142" t="s">
        <v>15694</v>
      </c>
      <c r="D4142" t="s">
        <v>16206</v>
      </c>
      <c r="E4142" t="s">
        <v>16218</v>
      </c>
      <c r="F4142" t="s">
        <v>16221</v>
      </c>
      <c r="G4142" t="s">
        <v>16278</v>
      </c>
      <c r="H4142" t="s">
        <v>16277</v>
      </c>
      <c r="I4142" t="s">
        <v>16353</v>
      </c>
      <c r="J4142" t="s">
        <v>16386</v>
      </c>
      <c r="K4142">
        <v>0.229</v>
      </c>
      <c r="L4142">
        <v>9993</v>
      </c>
      <c r="N4142" t="s">
        <v>16393</v>
      </c>
      <c r="O4142" s="4">
        <v>74244</v>
      </c>
      <c r="P4142" s="4">
        <v>179477</v>
      </c>
      <c r="Q4142" s="4">
        <v>253721</v>
      </c>
      <c r="R4142" s="4">
        <v>761163</v>
      </c>
      <c r="S4142" t="s">
        <v>20445</v>
      </c>
      <c r="T4142" s="6">
        <v>43678</v>
      </c>
      <c r="U4142" s="4">
        <v>541983</v>
      </c>
      <c r="V4142" t="s">
        <v>16232</v>
      </c>
      <c r="W4142" t="s">
        <v>25894</v>
      </c>
      <c r="X4142" t="s">
        <v>3</v>
      </c>
      <c r="AA4142" s="5" t="str">
        <f>HYPERLINK("https://www.zillow.com/homes/2520-SILVER-LOCH-RD-NAPERVILLE-IL-605633612_rb/","check listing")</f>
        <v>check listing</v>
      </c>
      <c r="AB4142" s="5" t="str">
        <f>HYPERLINK("https://propertylookup.dupagecounty.gov/Datalets/Datalet.aspx?UseSearch=no&amp;mode=sales&amp;pin=0709109061","sales record")</f>
        <v>sales record</v>
      </c>
      <c r="AC4142" t="s">
        <v>3</v>
      </c>
      <c r="AD4142">
        <v>41.793801</v>
      </c>
      <c r="AE4142">
        <v>-88.222047</v>
      </c>
      <c r="AF4142" s="5" t="str">
        <f>HYPERLINK("https://www.google.com/maps/search/?api=1&amp;query=41.793801,-88.222047","map")</f>
        <v>map</v>
      </c>
    </row>
    <row r="4143" spans="1:32">
      <c r="A4143" t="s">
        <v>4193</v>
      </c>
      <c r="B4143" t="s">
        <v>11726</v>
      </c>
      <c r="C4143" t="s">
        <v>15662</v>
      </c>
      <c r="D4143" t="s">
        <v>16206</v>
      </c>
      <c r="E4143" t="s">
        <v>16218</v>
      </c>
      <c r="F4143" t="s">
        <v>16221</v>
      </c>
      <c r="G4143" t="s">
        <v>16278</v>
      </c>
      <c r="H4143" t="s">
        <v>16277</v>
      </c>
      <c r="I4143" t="s">
        <v>16353</v>
      </c>
      <c r="J4143" t="s">
        <v>16386</v>
      </c>
      <c r="K4143">
        <v>0.229</v>
      </c>
      <c r="L4143">
        <v>9968</v>
      </c>
      <c r="N4143" t="s">
        <v>16393</v>
      </c>
      <c r="O4143" s="4">
        <v>56146</v>
      </c>
      <c r="P4143" s="4">
        <v>244334</v>
      </c>
      <c r="Q4143" s="4">
        <v>300480</v>
      </c>
      <c r="R4143" s="4">
        <v>901440</v>
      </c>
      <c r="S4143" t="s">
        <v>20446</v>
      </c>
      <c r="T4143" s="6">
        <v>46009</v>
      </c>
      <c r="U4143" s="4">
        <v>1100000</v>
      </c>
      <c r="V4143" t="s">
        <v>23739</v>
      </c>
      <c r="W4143" t="s">
        <v>25895</v>
      </c>
      <c r="X4143" t="s">
        <v>3</v>
      </c>
      <c r="AA4143" s="5" t="str">
        <f>HYPERLINK("https://www.zillow.com/homes/1119-HIBBARD-RD-NAPERVILLE-IL-605631594_rb/","check listing")</f>
        <v>check listing</v>
      </c>
      <c r="AB4143" s="5" t="str">
        <f>HYPERLINK("https://propertylookup.dupagecounty.gov/Datalets/Datalet.aspx?UseSearch=no&amp;mode=sales&amp;pin=0532300072","sales record")</f>
        <v>sales record</v>
      </c>
      <c r="AC4143" t="s">
        <v>3</v>
      </c>
      <c r="AD4143">
        <v>41.820441</v>
      </c>
      <c r="AE4143">
        <v>-88.12309399999999</v>
      </c>
      <c r="AF4143" s="5" t="str">
        <f>HYPERLINK("https://www.google.com/maps/search/?api=1&amp;query=41.820441,-88.123094","map")</f>
        <v>map</v>
      </c>
    </row>
    <row r="4144" spans="1:32">
      <c r="A4144" t="s">
        <v>4194</v>
      </c>
      <c r="B4144" t="s">
        <v>11727</v>
      </c>
      <c r="C4144" t="s">
        <v>15475</v>
      </c>
      <c r="D4144" t="s">
        <v>16206</v>
      </c>
      <c r="E4144" t="s">
        <v>16218</v>
      </c>
      <c r="F4144" t="s">
        <v>16221</v>
      </c>
      <c r="G4144" t="s">
        <v>16277</v>
      </c>
      <c r="H4144" t="s">
        <v>16277</v>
      </c>
      <c r="I4144" t="s">
        <v>16353</v>
      </c>
      <c r="J4144" t="s">
        <v>16386</v>
      </c>
      <c r="K4144">
        <v>0.229</v>
      </c>
      <c r="L4144">
        <v>9955</v>
      </c>
      <c r="M4144">
        <v>3049</v>
      </c>
      <c r="N4144" t="s">
        <v>16393</v>
      </c>
      <c r="O4144" s="4">
        <v>145113</v>
      </c>
      <c r="P4144" s="4">
        <v>182894</v>
      </c>
      <c r="Q4144" s="4">
        <v>328007</v>
      </c>
      <c r="R4144" s="4">
        <v>984021</v>
      </c>
      <c r="S4144" t="s">
        <v>20447</v>
      </c>
      <c r="T4144" s="6">
        <v>45740</v>
      </c>
      <c r="U4144" s="4">
        <v>1200000</v>
      </c>
      <c r="V4144" t="s">
        <v>23739</v>
      </c>
      <c r="W4144" t="s">
        <v>25896</v>
      </c>
      <c r="X4144" t="s">
        <v>3</v>
      </c>
      <c r="AA4144" s="5" t="str">
        <f>HYPERLINK("https://www.zillow.com/homes/140-S-LOOMIS-ST-NAPERVILLE-IL-60540_rb/","check listing")</f>
        <v>check listing</v>
      </c>
      <c r="AB4144" s="5" t="str">
        <f>HYPERLINK("https://propertylookup.dupagecounty.gov/Datalets/Datalet.aspx?UseSearch=no&amp;mode=sales&amp;pin=0818321018","sales record")</f>
        <v>sales record</v>
      </c>
      <c r="AC4144" t="s">
        <v>3</v>
      </c>
      <c r="AD4144">
        <v>41.772831</v>
      </c>
      <c r="AE4144">
        <v>-88.141994</v>
      </c>
      <c r="AF4144" s="5" t="str">
        <f>HYPERLINK("https://www.google.com/maps/search/?api=1&amp;query=41.772831,-88.141994","map")</f>
        <v>map</v>
      </c>
    </row>
    <row r="4145" spans="1:32">
      <c r="A4145" t="s">
        <v>4195</v>
      </c>
      <c r="B4145" t="s">
        <v>11728</v>
      </c>
      <c r="C4145" t="s">
        <v>15668</v>
      </c>
      <c r="D4145" t="s">
        <v>16206</v>
      </c>
      <c r="E4145" t="s">
        <v>16218</v>
      </c>
      <c r="F4145" t="s">
        <v>16221</v>
      </c>
      <c r="G4145" t="s">
        <v>16277</v>
      </c>
      <c r="H4145" t="s">
        <v>16277</v>
      </c>
      <c r="I4145" t="s">
        <v>16353</v>
      </c>
      <c r="J4145" t="s">
        <v>16386</v>
      </c>
      <c r="K4145">
        <v>0.228</v>
      </c>
      <c r="L4145">
        <v>9952</v>
      </c>
      <c r="M4145">
        <v>594</v>
      </c>
      <c r="N4145" t="s">
        <v>16393</v>
      </c>
      <c r="O4145" s="4">
        <v>136332</v>
      </c>
      <c r="P4145" s="4">
        <v>390663</v>
      </c>
      <c r="Q4145" s="4">
        <v>526995</v>
      </c>
      <c r="R4145" s="4">
        <v>1580985</v>
      </c>
      <c r="S4145" t="s">
        <v>20448</v>
      </c>
      <c r="T4145" s="6">
        <v>44287</v>
      </c>
      <c r="U4145" s="4">
        <v>1375000</v>
      </c>
      <c r="V4145" t="s">
        <v>23739</v>
      </c>
      <c r="W4145" t="s">
        <v>25897</v>
      </c>
      <c r="X4145" t="s">
        <v>3</v>
      </c>
      <c r="AA4145" s="5" t="str">
        <f>HYPERLINK("https://www.zillow.com/homes/439-W-FRANKLIN-AVE-NAPERVILLE-IL-605404458_rb/","check listing")</f>
        <v>check listing</v>
      </c>
      <c r="AB4145" s="5" t="str">
        <f>HYPERLINK("https://propertylookup.dupagecounty.gov/Datalets/Datalet.aspx?UseSearch=no&amp;mode=sales&amp;pin=0713401011","sales record")</f>
        <v>sales record</v>
      </c>
      <c r="AC4145" t="s">
        <v>3</v>
      </c>
      <c r="AD4145">
        <v>41.776564</v>
      </c>
      <c r="AE4145">
        <v>-88.155951</v>
      </c>
      <c r="AF4145" s="5" t="str">
        <f>HYPERLINK("https://www.google.com/maps/search/?api=1&amp;query=41.776564,-88.155951","map")</f>
        <v>map</v>
      </c>
    </row>
    <row r="4146" spans="1:32">
      <c r="A4146" t="s">
        <v>4196</v>
      </c>
      <c r="B4146" t="s">
        <v>11729</v>
      </c>
      <c r="C4146" t="s">
        <v>15478</v>
      </c>
      <c r="D4146" t="s">
        <v>16206</v>
      </c>
      <c r="E4146" t="s">
        <v>16218</v>
      </c>
      <c r="F4146" t="s">
        <v>16221</v>
      </c>
      <c r="G4146" t="s">
        <v>16277</v>
      </c>
      <c r="H4146" t="s">
        <v>16277</v>
      </c>
      <c r="I4146" t="s">
        <v>16353</v>
      </c>
      <c r="J4146" t="s">
        <v>16386</v>
      </c>
      <c r="K4146">
        <v>0.228</v>
      </c>
      <c r="L4146">
        <v>9919</v>
      </c>
      <c r="M4146">
        <v>2809</v>
      </c>
      <c r="N4146" t="s">
        <v>16393</v>
      </c>
      <c r="O4146" s="4">
        <v>131783</v>
      </c>
      <c r="P4146" s="4">
        <v>76083</v>
      </c>
      <c r="Q4146" s="4">
        <v>207866</v>
      </c>
      <c r="R4146" s="4">
        <v>623598</v>
      </c>
      <c r="S4146" t="s">
        <v>20449</v>
      </c>
      <c r="T4146" s="6">
        <v>40422</v>
      </c>
      <c r="U4146" s="4">
        <v>310000</v>
      </c>
      <c r="V4146" t="s">
        <v>23739</v>
      </c>
      <c r="W4146" t="s">
        <v>25898</v>
      </c>
      <c r="X4146" t="s">
        <v>3</v>
      </c>
      <c r="AA4146" s="5" t="str">
        <f>HYPERLINK("https://www.zillow.com/homes/816-N-BRAINARD-ST-NAPERVILLE-IL-60563_rb/","check listing")</f>
        <v>check listing</v>
      </c>
      <c r="AB4146" s="5" t="str">
        <f>HYPERLINK("https://propertylookup.dupagecounty.gov/Datalets/Datalet.aspx?UseSearch=no&amp;mode=sales&amp;pin=0807316009","sales record")</f>
        <v>sales record</v>
      </c>
      <c r="AC4146" t="s">
        <v>3</v>
      </c>
      <c r="AD4146">
        <v>41.784526</v>
      </c>
      <c r="AE4146">
        <v>-88.14256399999999</v>
      </c>
      <c r="AF4146" s="5" t="str">
        <f>HYPERLINK("https://www.google.com/maps/search/?api=1&amp;query=41.784526,-88.142564","map")</f>
        <v>map</v>
      </c>
    </row>
    <row r="4147" spans="1:32">
      <c r="A4147" t="s">
        <v>4197</v>
      </c>
      <c r="B4147" t="s">
        <v>11730</v>
      </c>
      <c r="C4147" t="s">
        <v>15475</v>
      </c>
      <c r="D4147" t="s">
        <v>16206</v>
      </c>
      <c r="E4147" t="s">
        <v>16218</v>
      </c>
      <c r="F4147" t="s">
        <v>16221</v>
      </c>
      <c r="G4147" t="s">
        <v>16277</v>
      </c>
      <c r="H4147" t="s">
        <v>16277</v>
      </c>
      <c r="I4147" t="s">
        <v>16353</v>
      </c>
      <c r="J4147" t="s">
        <v>16386</v>
      </c>
      <c r="K4147">
        <v>0.227</v>
      </c>
      <c r="L4147">
        <v>9892</v>
      </c>
      <c r="N4147" t="s">
        <v>16393</v>
      </c>
      <c r="O4147" s="4">
        <v>124957</v>
      </c>
      <c r="P4147" s="4">
        <v>411192</v>
      </c>
      <c r="Q4147" s="4">
        <v>536149</v>
      </c>
      <c r="R4147" s="4">
        <v>1608447</v>
      </c>
      <c r="S4147" t="s">
        <v>20450</v>
      </c>
      <c r="T4147" s="6">
        <v>43983</v>
      </c>
      <c r="U4147" s="4">
        <v>1342500</v>
      </c>
      <c r="V4147" t="s">
        <v>23739</v>
      </c>
      <c r="W4147" t="s">
        <v>20450</v>
      </c>
      <c r="X4147" t="s">
        <v>3</v>
      </c>
      <c r="AA4147" s="5" t="str">
        <f>HYPERLINK("https://www.zillow.com/homes/16-S-EWING-ST-NAPERVILLE-IL-60540_rb/","check listing")</f>
        <v>check listing</v>
      </c>
      <c r="AB4147" s="5" t="str">
        <f>HYPERLINK("https://propertylookup.dupagecounty.gov/Datalets/Datalet.aspx?UseSearch=no&amp;mode=sales&amp;pin=0713415029","sales record")</f>
        <v>sales record</v>
      </c>
      <c r="AC4147" t="s">
        <v>3</v>
      </c>
      <c r="AD4147">
        <v>41.774652</v>
      </c>
      <c r="AE4147">
        <v>-88.155794</v>
      </c>
      <c r="AF4147" s="5" t="str">
        <f>HYPERLINK("https://www.google.com/maps/search/?api=1&amp;query=41.774652,-88.155794","map")</f>
        <v>map</v>
      </c>
    </row>
    <row r="4148" spans="1:32">
      <c r="A4148" t="s">
        <v>4198</v>
      </c>
      <c r="B4148" t="s">
        <v>11731</v>
      </c>
      <c r="C4148" t="s">
        <v>15695</v>
      </c>
      <c r="D4148" t="s">
        <v>16206</v>
      </c>
      <c r="E4148" t="s">
        <v>16218</v>
      </c>
      <c r="F4148" t="s">
        <v>16221</v>
      </c>
      <c r="G4148" t="s">
        <v>16278</v>
      </c>
      <c r="H4148" t="s">
        <v>16277</v>
      </c>
      <c r="I4148" t="s">
        <v>16353</v>
      </c>
      <c r="J4148" t="s">
        <v>16386</v>
      </c>
      <c r="K4148">
        <v>0.227</v>
      </c>
      <c r="L4148">
        <v>9889</v>
      </c>
      <c r="N4148" t="s">
        <v>16393</v>
      </c>
      <c r="O4148" s="4">
        <v>64565</v>
      </c>
      <c r="P4148" s="4">
        <v>178378</v>
      </c>
      <c r="Q4148" s="4">
        <v>242943</v>
      </c>
      <c r="R4148" s="4">
        <v>728829</v>
      </c>
      <c r="S4148" t="s">
        <v>20451</v>
      </c>
      <c r="T4148" s="6">
        <v>43221</v>
      </c>
      <c r="U4148" s="4">
        <v>497291</v>
      </c>
      <c r="V4148" t="s">
        <v>16232</v>
      </c>
      <c r="W4148" t="s">
        <v>25899</v>
      </c>
      <c r="X4148" t="s">
        <v>3</v>
      </c>
      <c r="AA4148" s="5" t="str">
        <f>HYPERLINK("https://www.zillow.com/homes/1416-BAYOU-PATH-DR-NAPERVILLE-IL-605633498_rb/","check listing")</f>
        <v>check listing</v>
      </c>
      <c r="AB4148" s="5" t="str">
        <f>HYPERLINK("https://propertylookup.dupagecounty.gov/Datalets/Datalet.aspx?UseSearch=no&amp;mode=sales&amp;pin=0709305043","sales record")</f>
        <v>sales record</v>
      </c>
      <c r="AC4148" t="s">
        <v>3</v>
      </c>
      <c r="AD4148">
        <v>41.787619</v>
      </c>
      <c r="AE4148">
        <v>-88.219471</v>
      </c>
      <c r="AF4148" s="5" t="str">
        <f>HYPERLINK("https://www.google.com/maps/search/?api=1&amp;query=41.787619,-88.219471","map")</f>
        <v>map</v>
      </c>
    </row>
    <row r="4149" spans="1:32">
      <c r="A4149" t="s">
        <v>4199</v>
      </c>
      <c r="B4149" t="s">
        <v>11732</v>
      </c>
      <c r="C4149" t="s">
        <v>15696</v>
      </c>
      <c r="D4149" t="s">
        <v>16206</v>
      </c>
      <c r="E4149" t="s">
        <v>16218</v>
      </c>
      <c r="F4149" t="s">
        <v>16221</v>
      </c>
      <c r="G4149" t="s">
        <v>16278</v>
      </c>
      <c r="H4149" t="s">
        <v>16277</v>
      </c>
      <c r="I4149" t="s">
        <v>16353</v>
      </c>
      <c r="J4149" t="s">
        <v>16386</v>
      </c>
      <c r="K4149">
        <v>0.226</v>
      </c>
      <c r="L4149">
        <v>9863</v>
      </c>
      <c r="N4149" t="s">
        <v>16393</v>
      </c>
      <c r="O4149" s="4">
        <v>64565</v>
      </c>
      <c r="P4149" s="4">
        <v>204559</v>
      </c>
      <c r="Q4149" s="4">
        <v>269124</v>
      </c>
      <c r="R4149" s="4">
        <v>807372</v>
      </c>
      <c r="S4149" t="s">
        <v>20452</v>
      </c>
      <c r="T4149" s="6">
        <v>42736</v>
      </c>
      <c r="U4149" s="4">
        <v>589465</v>
      </c>
      <c r="V4149" t="s">
        <v>16232</v>
      </c>
      <c r="W4149" t="s">
        <v>20452</v>
      </c>
      <c r="X4149" t="s">
        <v>3</v>
      </c>
      <c r="AA4149" s="5" t="str">
        <f>HYPERLINK("https://www.zillow.com/homes/1583-BAYOU-PATH-DR-NAPERVILLE-IL-605632270_rb/","check listing")</f>
        <v>check listing</v>
      </c>
      <c r="AB4149" s="5" t="str">
        <f>HYPERLINK("https://propertylookup.dupagecounty.gov/Datalets/Datalet.aspx?UseSearch=no&amp;mode=sales&amp;pin=0709114014","sales record")</f>
        <v>sales record</v>
      </c>
      <c r="AC4149" t="s">
        <v>3</v>
      </c>
      <c r="AD4149">
        <v>41.795367</v>
      </c>
      <c r="AE4149">
        <v>-88.21878</v>
      </c>
      <c r="AF4149" s="5" t="str">
        <f>HYPERLINK("https://www.google.com/maps/search/?api=1&amp;query=41.795367,-88.21878","map")</f>
        <v>map</v>
      </c>
    </row>
    <row r="4150" spans="1:32">
      <c r="A4150" t="s">
        <v>4200</v>
      </c>
      <c r="B4150" t="s">
        <v>11733</v>
      </c>
      <c r="C4150" t="s">
        <v>15697</v>
      </c>
      <c r="D4150" t="s">
        <v>16206</v>
      </c>
      <c r="E4150" t="s">
        <v>16218</v>
      </c>
      <c r="F4150" t="s">
        <v>16221</v>
      </c>
      <c r="G4150" t="s">
        <v>16277</v>
      </c>
      <c r="H4150" t="s">
        <v>16277</v>
      </c>
      <c r="I4150" t="s">
        <v>16353</v>
      </c>
      <c r="J4150" t="s">
        <v>16386</v>
      </c>
      <c r="K4150">
        <v>0.226</v>
      </c>
      <c r="L4150">
        <v>9857</v>
      </c>
      <c r="M4150">
        <v>1715</v>
      </c>
      <c r="N4150" t="s">
        <v>16393</v>
      </c>
      <c r="O4150" s="4">
        <v>145113</v>
      </c>
      <c r="P4150" s="4">
        <v>133091</v>
      </c>
      <c r="Q4150" s="4">
        <v>278204</v>
      </c>
      <c r="R4150" s="4">
        <v>834612</v>
      </c>
      <c r="S4150" t="s">
        <v>20453</v>
      </c>
      <c r="T4150" s="6">
        <v>42948</v>
      </c>
      <c r="U4150" s="4">
        <v>510000</v>
      </c>
      <c r="V4150" t="s">
        <v>23739</v>
      </c>
      <c r="W4150" t="s">
        <v>25900</v>
      </c>
      <c r="X4150" t="s">
        <v>3</v>
      </c>
      <c r="AA4150" s="5" t="str">
        <f>HYPERLINK("https://www.zillow.com/homes/209-E-JEFFERSON-AVE-NAPERVILLE-IL-605404930_rb/","check listing")</f>
        <v>check listing</v>
      </c>
      <c r="AB4150" s="5" t="str">
        <f>HYPERLINK("https://propertylookup.dupagecounty.gov/Datalets/Datalet.aspx?UseSearch=no&amp;mode=sales&amp;pin=0818319007","sales record")</f>
        <v>sales record</v>
      </c>
      <c r="AC4150" t="s">
        <v>3</v>
      </c>
      <c r="AD4150">
        <v>41.773038</v>
      </c>
      <c r="AE4150">
        <v>-88.144818</v>
      </c>
      <c r="AF4150" s="5" t="str">
        <f>HYPERLINK("https://www.google.com/maps/search/?api=1&amp;query=41.773038,-88.144818","map")</f>
        <v>map</v>
      </c>
    </row>
    <row r="4151" spans="1:32">
      <c r="A4151" t="s">
        <v>4201</v>
      </c>
      <c r="B4151" t="s">
        <v>11734</v>
      </c>
      <c r="C4151" t="s">
        <v>15475</v>
      </c>
      <c r="D4151" t="s">
        <v>16206</v>
      </c>
      <c r="E4151" t="s">
        <v>16218</v>
      </c>
      <c r="F4151" t="s">
        <v>16221</v>
      </c>
      <c r="G4151" t="s">
        <v>16277</v>
      </c>
      <c r="H4151" t="s">
        <v>16277</v>
      </c>
      <c r="I4151" t="s">
        <v>16353</v>
      </c>
      <c r="J4151" t="s">
        <v>16386</v>
      </c>
      <c r="K4151">
        <v>0.226</v>
      </c>
      <c r="L4151">
        <v>9837</v>
      </c>
      <c r="M4151">
        <v>1781</v>
      </c>
      <c r="N4151" t="s">
        <v>16393</v>
      </c>
      <c r="O4151" s="4">
        <v>124065</v>
      </c>
      <c r="P4151" s="4">
        <v>60794</v>
      </c>
      <c r="Q4151" s="4">
        <v>184859</v>
      </c>
      <c r="R4151" s="4">
        <v>554577</v>
      </c>
      <c r="S4151" t="s">
        <v>20454</v>
      </c>
      <c r="T4151" s="6">
        <v>28976</v>
      </c>
      <c r="U4151" s="4">
        <v>68900</v>
      </c>
      <c r="X4151" t="s">
        <v>3</v>
      </c>
      <c r="AA4151" s="5" t="str">
        <f>HYPERLINK("https://www.zillow.com/homes/117-S-EAGLE-ST-NAPERVILLE-IL-60540_rb/","check listing")</f>
        <v>check listing</v>
      </c>
      <c r="AB4151" s="5" t="str">
        <f>HYPERLINK("https://propertylookup.dupagecounty.gov/Datalets/Datalet.aspx?UseSearch=no&amp;mode=sales&amp;pin=0713416018","sales record")</f>
        <v>sales record</v>
      </c>
      <c r="AC4151" t="s">
        <v>3</v>
      </c>
      <c r="AD4151">
        <v>41.773702</v>
      </c>
      <c r="AE4151">
        <v>-88.153415</v>
      </c>
      <c r="AF4151" s="5" t="str">
        <f>HYPERLINK("https://www.google.com/maps/search/?api=1&amp;query=41.773702,-88.153415","map")</f>
        <v>map</v>
      </c>
    </row>
    <row r="4152" spans="1:32">
      <c r="A4152" t="s">
        <v>4202</v>
      </c>
      <c r="B4152" t="s">
        <v>11735</v>
      </c>
      <c r="C4152" t="s">
        <v>15475</v>
      </c>
      <c r="D4152" t="s">
        <v>16206</v>
      </c>
      <c r="E4152" t="s">
        <v>16218</v>
      </c>
      <c r="F4152" t="s">
        <v>16221</v>
      </c>
      <c r="G4152" t="s">
        <v>16277</v>
      </c>
      <c r="H4152" t="s">
        <v>16277</v>
      </c>
      <c r="I4152" t="s">
        <v>16353</v>
      </c>
      <c r="J4152" t="s">
        <v>16386</v>
      </c>
      <c r="K4152">
        <v>0.226</v>
      </c>
      <c r="L4152">
        <v>9824</v>
      </c>
      <c r="M4152">
        <v>1846</v>
      </c>
      <c r="N4152" t="s">
        <v>16393</v>
      </c>
      <c r="O4152" s="4">
        <v>133928</v>
      </c>
      <c r="P4152" s="4">
        <v>374077</v>
      </c>
      <c r="Q4152" s="4">
        <v>508005</v>
      </c>
      <c r="R4152" s="4">
        <v>1524015</v>
      </c>
      <c r="S4152" t="s">
        <v>20455</v>
      </c>
      <c r="T4152" s="6">
        <v>44979</v>
      </c>
      <c r="U4152" s="4">
        <v>1195000</v>
      </c>
      <c r="V4152" t="s">
        <v>23739</v>
      </c>
      <c r="W4152" t="s">
        <v>25901</v>
      </c>
      <c r="X4152" t="s">
        <v>3</v>
      </c>
      <c r="AA4152" s="5" t="str">
        <f>HYPERLINK("https://www.zillow.com/homes/205-N-MILL-ST-NAPERVILLE-IL-60540_rb/","check listing")</f>
        <v>check listing</v>
      </c>
      <c r="AB4152" s="5" t="str">
        <f>HYPERLINK("https://propertylookup.dupagecounty.gov/Datalets/Datalet.aspx?UseSearch=no&amp;mode=sales&amp;pin=0713222016","sales record")</f>
        <v>sales record</v>
      </c>
      <c r="AC4152" t="s">
        <v>3</v>
      </c>
      <c r="AD4152">
        <v>41.777483</v>
      </c>
      <c r="AE4152">
        <v>-88.154805</v>
      </c>
      <c r="AF4152" s="5" t="str">
        <f>HYPERLINK("https://www.google.com/maps/search/?api=1&amp;query=41.777483,-88.154805","map")</f>
        <v>map</v>
      </c>
    </row>
    <row r="4153" spans="1:32">
      <c r="A4153" t="s">
        <v>4203</v>
      </c>
      <c r="B4153" t="s">
        <v>11736</v>
      </c>
      <c r="C4153" t="s">
        <v>15691</v>
      </c>
      <c r="D4153" t="s">
        <v>16206</v>
      </c>
      <c r="E4153" t="s">
        <v>16218</v>
      </c>
      <c r="F4153" t="s">
        <v>16221</v>
      </c>
      <c r="G4153" t="s">
        <v>16278</v>
      </c>
      <c r="H4153" t="s">
        <v>16277</v>
      </c>
      <c r="I4153" t="s">
        <v>16353</v>
      </c>
      <c r="J4153" t="s">
        <v>16386</v>
      </c>
      <c r="K4153">
        <v>0.225</v>
      </c>
      <c r="L4153">
        <v>9802</v>
      </c>
      <c r="N4153" t="s">
        <v>16393</v>
      </c>
      <c r="O4153" s="4">
        <v>61343</v>
      </c>
      <c r="P4153" s="4">
        <v>141605</v>
      </c>
      <c r="Q4153" s="4">
        <v>202948</v>
      </c>
      <c r="R4153" s="4">
        <v>608844</v>
      </c>
      <c r="S4153" t="s">
        <v>20456</v>
      </c>
      <c r="T4153" s="6">
        <v>43101</v>
      </c>
      <c r="U4153" s="4">
        <v>431548</v>
      </c>
      <c r="V4153" t="s">
        <v>16232</v>
      </c>
      <c r="W4153" t="s">
        <v>25902</v>
      </c>
      <c r="X4153" t="s">
        <v>3</v>
      </c>
      <c r="AA4153" s="5" t="str">
        <f>HYPERLINK("https://www.zillow.com/homes/1647-SILVERLEAF-ST-NAPERVILLE-IL-605633585_rb/","check listing")</f>
        <v>check listing</v>
      </c>
      <c r="AB4153" s="5" t="str">
        <f>HYPERLINK("https://propertylookup.dupagecounty.gov/Datalets/Datalet.aspx?UseSearch=no&amp;mode=sales&amp;pin=0709107005","sales record")</f>
        <v>sales record</v>
      </c>
      <c r="AC4153" t="s">
        <v>3</v>
      </c>
      <c r="AD4153">
        <v>41.797437</v>
      </c>
      <c r="AE4153">
        <v>-88.224863</v>
      </c>
      <c r="AF4153" s="5" t="str">
        <f>HYPERLINK("https://www.google.com/maps/search/?api=1&amp;query=41.797437,-88.224863","map")</f>
        <v>map</v>
      </c>
    </row>
    <row r="4154" spans="1:32">
      <c r="A4154" t="s">
        <v>4204</v>
      </c>
      <c r="B4154" t="s">
        <v>11737</v>
      </c>
      <c r="C4154" t="s">
        <v>15478</v>
      </c>
      <c r="D4154" t="s">
        <v>16206</v>
      </c>
      <c r="E4154" t="s">
        <v>16218</v>
      </c>
      <c r="F4154" t="s">
        <v>16221</v>
      </c>
      <c r="G4154" t="s">
        <v>16277</v>
      </c>
      <c r="H4154" t="s">
        <v>16277</v>
      </c>
      <c r="I4154" t="s">
        <v>16353</v>
      </c>
      <c r="J4154" t="s">
        <v>16386</v>
      </c>
      <c r="K4154">
        <v>0.225</v>
      </c>
      <c r="L4154">
        <v>9789</v>
      </c>
      <c r="M4154">
        <v>2524</v>
      </c>
      <c r="N4154" t="s">
        <v>16393</v>
      </c>
      <c r="O4154" s="4">
        <v>119856</v>
      </c>
      <c r="P4154" s="4">
        <v>69935</v>
      </c>
      <c r="Q4154" s="4">
        <v>189791</v>
      </c>
      <c r="R4154" s="4">
        <v>569373</v>
      </c>
      <c r="S4154" t="s">
        <v>20457</v>
      </c>
      <c r="T4154" s="6">
        <v>45327</v>
      </c>
      <c r="U4154" s="4">
        <v>575000</v>
      </c>
      <c r="V4154" t="s">
        <v>23741</v>
      </c>
      <c r="W4154" t="s">
        <v>25903</v>
      </c>
      <c r="X4154" t="s">
        <v>3</v>
      </c>
      <c r="AA4154" s="5" t="str">
        <f>HYPERLINK("https://www.zillow.com/homes/812-N-BRAINARD-ST-NAPERVILLE-IL-60563_rb/","check listing")</f>
        <v>check listing</v>
      </c>
      <c r="AB4154" s="5" t="str">
        <f>HYPERLINK("https://propertylookup.dupagecounty.gov/Datalets/Datalet.aspx?UseSearch=no&amp;mode=sales&amp;pin=0818114001","sales record")</f>
        <v>sales record</v>
      </c>
      <c r="AC4154" t="s">
        <v>3</v>
      </c>
      <c r="AD4154">
        <v>41.784384</v>
      </c>
      <c r="AE4154">
        <v>-88.142579</v>
      </c>
      <c r="AF4154" s="5" t="str">
        <f>HYPERLINK("https://www.google.com/maps/search/?api=1&amp;query=41.784384,-88.142579","map")</f>
        <v>map</v>
      </c>
    </row>
    <row r="4155" spans="1:32">
      <c r="A4155" t="s">
        <v>4205</v>
      </c>
      <c r="B4155" t="s">
        <v>11738</v>
      </c>
      <c r="C4155" t="s">
        <v>15475</v>
      </c>
      <c r="D4155" t="s">
        <v>16206</v>
      </c>
      <c r="E4155" t="s">
        <v>16218</v>
      </c>
      <c r="F4155" t="s">
        <v>16221</v>
      </c>
      <c r="G4155" t="s">
        <v>16277</v>
      </c>
      <c r="H4155" t="s">
        <v>16277</v>
      </c>
      <c r="I4155" t="s">
        <v>16353</v>
      </c>
      <c r="J4155" t="s">
        <v>16386</v>
      </c>
      <c r="K4155">
        <v>0.225</v>
      </c>
      <c r="L4155">
        <v>9786</v>
      </c>
      <c r="N4155" t="s">
        <v>16393</v>
      </c>
      <c r="O4155" s="4">
        <v>139054</v>
      </c>
      <c r="P4155" s="4">
        <v>314637</v>
      </c>
      <c r="Q4155" s="4">
        <v>453691</v>
      </c>
      <c r="R4155" s="4">
        <v>1361073</v>
      </c>
      <c r="S4155" t="s">
        <v>20458</v>
      </c>
      <c r="T4155" s="6">
        <v>44105</v>
      </c>
      <c r="U4155" s="4">
        <v>250000</v>
      </c>
      <c r="V4155" t="s">
        <v>23739</v>
      </c>
      <c r="W4155" t="s">
        <v>25904</v>
      </c>
      <c r="X4155" t="s">
        <v>3</v>
      </c>
      <c r="AA4155" s="5" t="str">
        <f>HYPERLINK("https://www.zillow.com/homes/236-N-LAIRD-ST-NAPERVILLE-IL-60540_rb/","check listing")</f>
        <v>check listing</v>
      </c>
      <c r="AB4155" s="5" t="str">
        <f>HYPERLINK("https://propertylookup.dupagecounty.gov/Datalets/Datalet.aspx?UseSearch=no&amp;mode=sales&amp;pin=0713103024","sales record")</f>
        <v>sales record</v>
      </c>
      <c r="AC4155" t="s">
        <v>3</v>
      </c>
      <c r="AD4155">
        <v>41.77885</v>
      </c>
      <c r="AE4155">
        <v>-88.159462</v>
      </c>
      <c r="AF4155" s="5" t="str">
        <f>HYPERLINK("https://www.google.com/maps/search/?api=1&amp;query=41.77885,-88.159462","map")</f>
        <v>map</v>
      </c>
    </row>
    <row r="4156" spans="1:32">
      <c r="A4156" t="s">
        <v>4206</v>
      </c>
      <c r="B4156" t="s">
        <v>11739</v>
      </c>
      <c r="C4156" t="s">
        <v>15679</v>
      </c>
      <c r="D4156" t="s">
        <v>16206</v>
      </c>
      <c r="E4156" t="s">
        <v>16218</v>
      </c>
      <c r="F4156" t="s">
        <v>16221</v>
      </c>
      <c r="G4156" t="s">
        <v>16278</v>
      </c>
      <c r="H4156" t="s">
        <v>16277</v>
      </c>
      <c r="I4156" t="s">
        <v>16353</v>
      </c>
      <c r="J4156" t="s">
        <v>16386</v>
      </c>
      <c r="K4156">
        <v>0.225</v>
      </c>
      <c r="L4156">
        <v>9784</v>
      </c>
      <c r="N4156" t="s">
        <v>16393</v>
      </c>
      <c r="O4156" s="4">
        <v>64565</v>
      </c>
      <c r="P4156" s="4">
        <v>220792</v>
      </c>
      <c r="Q4156" s="4">
        <v>285357</v>
      </c>
      <c r="R4156" s="4">
        <v>856071</v>
      </c>
      <c r="S4156" t="s">
        <v>20459</v>
      </c>
      <c r="T4156" s="6">
        <v>42917</v>
      </c>
      <c r="U4156" s="4">
        <v>618113</v>
      </c>
      <c r="V4156" t="s">
        <v>16232</v>
      </c>
      <c r="W4156" t="s">
        <v>25905</v>
      </c>
      <c r="X4156" t="s">
        <v>3</v>
      </c>
      <c r="AA4156" s="5" t="str">
        <f>HYPERLINK("https://www.zillow.com/homes/1615-BAYOU-PATH-DR-NAPERVILLE-IL-605632271_rb/","check listing")</f>
        <v>check listing</v>
      </c>
      <c r="AB4156" s="5" t="str">
        <f>HYPERLINK("https://propertylookup.dupagecounty.gov/Datalets/Datalet.aspx?UseSearch=no&amp;mode=sales&amp;pin=0709112010","sales record")</f>
        <v>sales record</v>
      </c>
      <c r="AC4156" t="s">
        <v>3</v>
      </c>
      <c r="AD4156">
        <v>41.796132</v>
      </c>
      <c r="AE4156">
        <v>-88.219131</v>
      </c>
      <c r="AF4156" s="5" t="str">
        <f>HYPERLINK("https://www.google.com/maps/search/?api=1&amp;query=41.796132,-88.219131","map")</f>
        <v>map</v>
      </c>
    </row>
    <row r="4157" spans="1:32">
      <c r="A4157" t="s">
        <v>4207</v>
      </c>
      <c r="B4157" t="s">
        <v>11740</v>
      </c>
      <c r="C4157" t="s">
        <v>15629</v>
      </c>
      <c r="D4157" t="s">
        <v>16206</v>
      </c>
      <c r="E4157" t="s">
        <v>16218</v>
      </c>
      <c r="F4157" t="s">
        <v>16221</v>
      </c>
      <c r="G4157" t="s">
        <v>16278</v>
      </c>
      <c r="H4157" t="s">
        <v>16277</v>
      </c>
      <c r="I4157" t="s">
        <v>16353</v>
      </c>
      <c r="J4157" t="s">
        <v>16386</v>
      </c>
      <c r="K4157">
        <v>0.224</v>
      </c>
      <c r="L4157">
        <v>9773</v>
      </c>
      <c r="N4157" t="s">
        <v>16393</v>
      </c>
      <c r="O4157" s="4">
        <v>64565</v>
      </c>
      <c r="P4157" s="4">
        <v>183981</v>
      </c>
      <c r="Q4157" s="4">
        <v>248546</v>
      </c>
      <c r="R4157" s="4">
        <v>745638</v>
      </c>
      <c r="S4157" t="s">
        <v>20460</v>
      </c>
      <c r="T4157" s="6">
        <v>45401</v>
      </c>
      <c r="U4157" s="4">
        <v>785000</v>
      </c>
      <c r="V4157" t="s">
        <v>23739</v>
      </c>
      <c r="W4157" t="s">
        <v>25906</v>
      </c>
      <c r="X4157" t="s">
        <v>3</v>
      </c>
      <c r="AA4157" s="5" t="str">
        <f>HYPERLINK("https://www.zillow.com/homes/1367-BAYOU-PATH-CT-NAPERVILLE-IL-605633609_rb/","check listing")</f>
        <v>check listing</v>
      </c>
      <c r="AB4157" s="5" t="str">
        <f>HYPERLINK("https://propertylookup.dupagecounty.gov/Datalets/Datalet.aspx?UseSearch=no&amp;mode=sales&amp;pin=0709311071","sales record")</f>
        <v>sales record</v>
      </c>
      <c r="AC4157" t="s">
        <v>3</v>
      </c>
      <c r="AD4157">
        <v>41.786592</v>
      </c>
      <c r="AE4157">
        <v>-88.21876</v>
      </c>
      <c r="AF4157" s="5" t="str">
        <f>HYPERLINK("https://www.google.com/maps/search/?api=1&amp;query=41.786592,-88.21876","map")</f>
        <v>map</v>
      </c>
    </row>
    <row r="4158" spans="1:32">
      <c r="A4158" t="s">
        <v>4208</v>
      </c>
      <c r="B4158" t="s">
        <v>11741</v>
      </c>
      <c r="C4158" t="s">
        <v>15662</v>
      </c>
      <c r="D4158" t="s">
        <v>16206</v>
      </c>
      <c r="E4158" t="s">
        <v>16218</v>
      </c>
      <c r="F4158" t="s">
        <v>16221</v>
      </c>
      <c r="G4158" t="s">
        <v>16278</v>
      </c>
      <c r="H4158" t="s">
        <v>16277</v>
      </c>
      <c r="I4158" t="s">
        <v>16353</v>
      </c>
      <c r="J4158" t="s">
        <v>16386</v>
      </c>
      <c r="K4158">
        <v>0.224</v>
      </c>
      <c r="L4158">
        <v>9745</v>
      </c>
      <c r="N4158" t="s">
        <v>16393</v>
      </c>
      <c r="O4158" s="4">
        <v>56146</v>
      </c>
      <c r="P4158" s="4">
        <v>247339</v>
      </c>
      <c r="Q4158" s="4">
        <v>303485</v>
      </c>
      <c r="R4158" s="4">
        <v>910455</v>
      </c>
      <c r="S4158" t="s">
        <v>20461</v>
      </c>
      <c r="T4158" s="6">
        <v>45114</v>
      </c>
      <c r="U4158" s="4">
        <v>961705</v>
      </c>
      <c r="V4158" t="s">
        <v>16232</v>
      </c>
      <c r="W4158" t="s">
        <v>25907</v>
      </c>
      <c r="X4158" t="s">
        <v>3</v>
      </c>
      <c r="AA4158" s="5" t="str">
        <f>HYPERLINK("https://www.zillow.com/homes/2555-WEATHERBEE-LN-NAPERVILLE-IL-605631594_rb/","check listing")</f>
        <v>check listing</v>
      </c>
      <c r="AB4158" s="5" t="str">
        <f>HYPERLINK("https://propertylookup.dupagecounty.gov/Datalets/Datalet.aspx?UseSearch=no&amp;mode=sales&amp;pin=0532300043","sales record")</f>
        <v>sales record</v>
      </c>
      <c r="AC4158" t="s">
        <v>3</v>
      </c>
      <c r="AD4158">
        <v>41.819327</v>
      </c>
      <c r="AE4158">
        <v>-88.12453499999999</v>
      </c>
      <c r="AF4158" s="5" t="str">
        <f>HYPERLINK("https://www.google.com/maps/search/?api=1&amp;query=41.819327,-88.124535","map")</f>
        <v>map</v>
      </c>
    </row>
    <row r="4159" spans="1:32">
      <c r="A4159" t="s">
        <v>4209</v>
      </c>
      <c r="B4159" t="s">
        <v>11742</v>
      </c>
      <c r="C4159" t="s">
        <v>15475</v>
      </c>
      <c r="D4159" t="s">
        <v>16206</v>
      </c>
      <c r="E4159" t="s">
        <v>16218</v>
      </c>
      <c r="F4159" t="s">
        <v>16221</v>
      </c>
      <c r="G4159" t="s">
        <v>16277</v>
      </c>
      <c r="H4159" t="s">
        <v>16277</v>
      </c>
      <c r="I4159" t="s">
        <v>16353</v>
      </c>
      <c r="J4159" t="s">
        <v>16386</v>
      </c>
      <c r="K4159">
        <v>0.224</v>
      </c>
      <c r="L4159">
        <v>9745</v>
      </c>
      <c r="M4159">
        <v>1913</v>
      </c>
      <c r="N4159" t="s">
        <v>16393</v>
      </c>
      <c r="O4159" s="4">
        <v>125552</v>
      </c>
      <c r="P4159" s="4">
        <v>43928</v>
      </c>
      <c r="Q4159" s="4">
        <v>169480</v>
      </c>
      <c r="R4159" s="4">
        <v>508440</v>
      </c>
      <c r="S4159" t="s">
        <v>20462</v>
      </c>
      <c r="T4159" s="6">
        <v>33420</v>
      </c>
      <c r="U4159" s="4">
        <v>131500</v>
      </c>
      <c r="X4159" t="s">
        <v>3</v>
      </c>
      <c r="AA4159" s="5" t="str">
        <f>HYPERLINK("https://www.zillow.com/homes/36-S-JULIAN-ST-NAPERVILLE-IL-60540_rb/","check listing")</f>
        <v>check listing</v>
      </c>
      <c r="AB4159" s="5" t="str">
        <f>HYPERLINK("https://propertylookup.dupagecounty.gov/Datalets/Datalet.aspx?UseSearch=no&amp;mode=sales&amp;pin=0818411021","sales record")</f>
        <v>sales record</v>
      </c>
      <c r="AC4159" t="s">
        <v>3</v>
      </c>
      <c r="AD4159">
        <v>41.77381</v>
      </c>
      <c r="AE4159">
        <v>-88.136391</v>
      </c>
      <c r="AF4159" s="5" t="str">
        <f>HYPERLINK("https://www.google.com/maps/search/?api=1&amp;query=41.77381,-88.136391","map")</f>
        <v>map</v>
      </c>
    </row>
    <row r="4160" spans="1:32">
      <c r="A4160" t="s">
        <v>4210</v>
      </c>
      <c r="B4160" t="s">
        <v>11743</v>
      </c>
      <c r="C4160" t="s">
        <v>15662</v>
      </c>
      <c r="D4160" t="s">
        <v>16206</v>
      </c>
      <c r="E4160" t="s">
        <v>16218</v>
      </c>
      <c r="F4160" t="s">
        <v>16221</v>
      </c>
      <c r="G4160" t="s">
        <v>16278</v>
      </c>
      <c r="H4160" t="s">
        <v>16277</v>
      </c>
      <c r="I4160" t="s">
        <v>16353</v>
      </c>
      <c r="J4160" t="s">
        <v>16386</v>
      </c>
      <c r="K4160">
        <v>0.223</v>
      </c>
      <c r="L4160">
        <v>9721</v>
      </c>
      <c r="N4160" t="s">
        <v>16393</v>
      </c>
      <c r="O4160" s="4">
        <v>56146</v>
      </c>
      <c r="P4160" s="4">
        <v>288540</v>
      </c>
      <c r="Q4160" s="4">
        <v>344686</v>
      </c>
      <c r="R4160" s="4">
        <v>1034058</v>
      </c>
      <c r="S4160" t="s">
        <v>20463</v>
      </c>
      <c r="T4160" s="6">
        <v>45475</v>
      </c>
      <c r="U4160" s="4">
        <v>959077</v>
      </c>
      <c r="V4160" t="s">
        <v>16232</v>
      </c>
      <c r="W4160" t="s">
        <v>25908</v>
      </c>
      <c r="X4160" t="s">
        <v>3</v>
      </c>
      <c r="AA4160" s="5" t="str">
        <f>HYPERLINK("https://www.zillow.com/homes/2627-WEATHERBEE-CT-NAPERVILLE-IL-605631594_rb/","check listing")</f>
        <v>check listing</v>
      </c>
      <c r="AB4160" s="5" t="str">
        <f>HYPERLINK("https://propertylookup.dupagecounty.gov/Datalets/Datalet.aspx?UseSearch=no&amp;mode=sales&amp;pin=0532300056","sales record")</f>
        <v>sales record</v>
      </c>
      <c r="AC4160" t="s">
        <v>3</v>
      </c>
      <c r="AD4160">
        <v>41.821556</v>
      </c>
      <c r="AE4160">
        <v>-88.124251</v>
      </c>
      <c r="AF4160" s="5" t="str">
        <f>HYPERLINK("https://www.google.com/maps/search/?api=1&amp;query=41.821556,-88.124251","map")</f>
        <v>map</v>
      </c>
    </row>
    <row r="4161" spans="1:32">
      <c r="A4161" t="s">
        <v>4211</v>
      </c>
      <c r="B4161" t="s">
        <v>11744</v>
      </c>
      <c r="C4161" t="s">
        <v>15662</v>
      </c>
      <c r="D4161" t="s">
        <v>16206</v>
      </c>
      <c r="E4161" t="s">
        <v>16218</v>
      </c>
      <c r="F4161" t="s">
        <v>16221</v>
      </c>
      <c r="G4161" t="s">
        <v>16278</v>
      </c>
      <c r="H4161" t="s">
        <v>16277</v>
      </c>
      <c r="I4161" t="s">
        <v>16353</v>
      </c>
      <c r="J4161" t="s">
        <v>16386</v>
      </c>
      <c r="K4161">
        <v>0.223</v>
      </c>
      <c r="L4161">
        <v>9719</v>
      </c>
      <c r="N4161" t="s">
        <v>16393</v>
      </c>
      <c r="O4161" s="4">
        <v>56146</v>
      </c>
      <c r="P4161" s="4">
        <v>210062</v>
      </c>
      <c r="Q4161" s="4">
        <v>266208</v>
      </c>
      <c r="R4161" s="4">
        <v>798624</v>
      </c>
      <c r="S4161" t="s">
        <v>20464</v>
      </c>
      <c r="T4161" s="6">
        <v>45399</v>
      </c>
      <c r="U4161" s="4">
        <v>750155</v>
      </c>
      <c r="V4161" t="s">
        <v>23743</v>
      </c>
      <c r="W4161" t="s">
        <v>20464</v>
      </c>
      <c r="X4161" t="s">
        <v>3</v>
      </c>
      <c r="AA4161" s="5" t="str">
        <f>HYPERLINK("https://www.zillow.com/homes/2407-BRIGHT-HAWK-ST-NAPERVILLE-IL-605631594_rb/","check listing")</f>
        <v>check listing</v>
      </c>
      <c r="AB4161" s="5" t="str">
        <f>HYPERLINK("https://propertylookup.dupagecounty.gov/Datalets/Datalet.aspx?UseSearch=no&amp;mode=sales&amp;pin=0532304004","sales record")</f>
        <v>sales record</v>
      </c>
      <c r="AC4161" t="s">
        <v>3</v>
      </c>
      <c r="AD4161">
        <v>41.817751</v>
      </c>
      <c r="AE4161">
        <v>-88.120045</v>
      </c>
      <c r="AF4161" s="5" t="str">
        <f>HYPERLINK("https://www.google.com/maps/search/?api=1&amp;query=41.817751,-88.120045","map")</f>
        <v>map</v>
      </c>
    </row>
    <row r="4162" spans="1:32">
      <c r="A4162" t="s">
        <v>4212</v>
      </c>
      <c r="B4162" t="s">
        <v>11745</v>
      </c>
      <c r="C4162" t="s">
        <v>15662</v>
      </c>
      <c r="D4162" t="s">
        <v>16206</v>
      </c>
      <c r="E4162" t="s">
        <v>16218</v>
      </c>
      <c r="F4162" t="s">
        <v>16221</v>
      </c>
      <c r="G4162" t="s">
        <v>16278</v>
      </c>
      <c r="H4162" t="s">
        <v>16277</v>
      </c>
      <c r="I4162" t="s">
        <v>16353</v>
      </c>
      <c r="J4162" t="s">
        <v>16386</v>
      </c>
      <c r="K4162">
        <v>0.223</v>
      </c>
      <c r="L4162">
        <v>9715</v>
      </c>
      <c r="N4162" t="s">
        <v>16393</v>
      </c>
      <c r="O4162" s="4">
        <v>56146</v>
      </c>
      <c r="P4162" s="4">
        <v>254735</v>
      </c>
      <c r="Q4162" s="4">
        <v>310881</v>
      </c>
      <c r="R4162" s="4">
        <v>932643</v>
      </c>
      <c r="S4162" t="s">
        <v>20465</v>
      </c>
      <c r="T4162" s="6">
        <v>45498</v>
      </c>
      <c r="U4162" s="4">
        <v>1105695</v>
      </c>
      <c r="V4162" t="s">
        <v>23739</v>
      </c>
      <c r="W4162" t="s">
        <v>25909</v>
      </c>
      <c r="X4162" t="s">
        <v>3</v>
      </c>
      <c r="AA4162" s="5" t="str">
        <f>HYPERLINK("https://www.zillow.com/homes/2619-WEATHERBEE-CT-NAPERVILLE-IL-605631594_rb/","check listing")</f>
        <v>check listing</v>
      </c>
      <c r="AB4162" s="5" t="str">
        <f>HYPERLINK("https://propertylookup.dupagecounty.gov/Datalets/Datalet.aspx?UseSearch=no&amp;mode=sales&amp;pin=0532300054","sales record")</f>
        <v>sales record</v>
      </c>
      <c r="AC4162" t="s">
        <v>3</v>
      </c>
      <c r="AD4162">
        <v>41.821209</v>
      </c>
      <c r="AE4162">
        <v>-88.12460400000001</v>
      </c>
      <c r="AF4162" s="5" t="str">
        <f>HYPERLINK("https://www.google.com/maps/search/?api=1&amp;query=41.821209,-88.124604","map")</f>
        <v>map</v>
      </c>
    </row>
    <row r="4163" spans="1:32">
      <c r="A4163" t="s">
        <v>4213</v>
      </c>
      <c r="B4163" t="s">
        <v>11746</v>
      </c>
      <c r="C4163" t="s">
        <v>15475</v>
      </c>
      <c r="D4163" t="s">
        <v>16206</v>
      </c>
      <c r="E4163" t="s">
        <v>16218</v>
      </c>
      <c r="F4163" t="s">
        <v>16221</v>
      </c>
      <c r="G4163" t="s">
        <v>16277</v>
      </c>
      <c r="H4163" t="s">
        <v>16277</v>
      </c>
      <c r="I4163" t="s">
        <v>16353</v>
      </c>
      <c r="J4163" t="s">
        <v>16386</v>
      </c>
      <c r="K4163">
        <v>0.222</v>
      </c>
      <c r="L4163">
        <v>9689</v>
      </c>
      <c r="M4163">
        <v>3544</v>
      </c>
      <c r="N4163" t="s">
        <v>16393</v>
      </c>
      <c r="O4163" s="4">
        <v>125837</v>
      </c>
      <c r="P4163" s="4">
        <v>70601</v>
      </c>
      <c r="Q4163" s="4">
        <v>196438</v>
      </c>
      <c r="R4163" s="4">
        <v>589314</v>
      </c>
      <c r="S4163" t="s">
        <v>20466</v>
      </c>
      <c r="X4163" t="s">
        <v>3</v>
      </c>
      <c r="AA4163" s="5" t="str">
        <f>HYPERLINK("https://www.zillow.com/homes/535-E-NORTH-AVE-NAPERVILLE-IL-60540_rb/","check listing")</f>
        <v>check listing</v>
      </c>
      <c r="AB4163" s="5" t="str">
        <f>HYPERLINK("https://propertylookup.dupagecounty.gov/Datalets/Datalet.aspx?UseSearch=no&amp;mode=sales&amp;pin=0818139014","sales record")</f>
        <v>sales record</v>
      </c>
      <c r="AC4163" t="s">
        <v>3</v>
      </c>
      <c r="AD4163">
        <v>41.778594</v>
      </c>
      <c r="AE4163">
        <v>-88.139464</v>
      </c>
      <c r="AF4163" s="5" t="str">
        <f>HYPERLINK("https://www.google.com/maps/search/?api=1&amp;query=41.778594,-88.139464","map")</f>
        <v>map</v>
      </c>
    </row>
    <row r="4164" spans="1:32">
      <c r="A4164" t="s">
        <v>4214</v>
      </c>
      <c r="B4164" t="s">
        <v>11747</v>
      </c>
      <c r="C4164" t="s">
        <v>15475</v>
      </c>
      <c r="D4164" t="s">
        <v>16206</v>
      </c>
      <c r="E4164" t="s">
        <v>16218</v>
      </c>
      <c r="F4164" t="s">
        <v>16221</v>
      </c>
      <c r="G4164" t="s">
        <v>16277</v>
      </c>
      <c r="H4164" t="s">
        <v>16277</v>
      </c>
      <c r="I4164" t="s">
        <v>16353</v>
      </c>
      <c r="J4164" t="s">
        <v>16386</v>
      </c>
      <c r="K4164">
        <v>0.222</v>
      </c>
      <c r="L4164">
        <v>9668</v>
      </c>
      <c r="M4164">
        <v>2484</v>
      </c>
      <c r="N4164" t="s">
        <v>16393</v>
      </c>
      <c r="O4164" s="4">
        <v>131783</v>
      </c>
      <c r="P4164" s="4">
        <v>183465</v>
      </c>
      <c r="Q4164" s="4">
        <v>315248</v>
      </c>
      <c r="R4164" s="4">
        <v>945744</v>
      </c>
      <c r="S4164" t="s">
        <v>20467</v>
      </c>
      <c r="T4164" s="6">
        <v>40969</v>
      </c>
      <c r="U4164" s="4">
        <v>650000</v>
      </c>
      <c r="V4164" t="s">
        <v>23740</v>
      </c>
      <c r="W4164" t="s">
        <v>25910</v>
      </c>
      <c r="X4164" t="s">
        <v>3</v>
      </c>
      <c r="AA4164" s="5" t="str">
        <f>HYPERLINK("https://www.zillow.com/homes/325-E-NORTH-AVE-NAPERVILLE-IL-60540_rb/","check listing")</f>
        <v>check listing</v>
      </c>
      <c r="AB4164" s="5" t="str">
        <f>HYPERLINK("https://propertylookup.dupagecounty.gov/Datalets/Datalet.aspx?UseSearch=no&amp;mode=sales&amp;pin=0818131033","sales record")</f>
        <v>sales record</v>
      </c>
      <c r="AC4164" t="s">
        <v>27873</v>
      </c>
      <c r="AD4164">
        <v>41.778719</v>
      </c>
      <c r="AE4164">
        <v>-88.142499</v>
      </c>
      <c r="AF4164" s="5" t="str">
        <f>HYPERLINK("https://www.google.com/maps/search/?api=1&amp;query=41.778719,-88.142499","map")</f>
        <v>map</v>
      </c>
    </row>
    <row r="4165" spans="1:32">
      <c r="A4165" t="s">
        <v>4215</v>
      </c>
      <c r="B4165" t="s">
        <v>11748</v>
      </c>
      <c r="C4165" t="s">
        <v>15478</v>
      </c>
      <c r="D4165" t="s">
        <v>16206</v>
      </c>
      <c r="E4165" t="s">
        <v>16218</v>
      </c>
      <c r="F4165" t="s">
        <v>16221</v>
      </c>
      <c r="G4165" t="s">
        <v>16277</v>
      </c>
      <c r="H4165" t="s">
        <v>16277</v>
      </c>
      <c r="I4165" t="s">
        <v>16353</v>
      </c>
      <c r="J4165" t="s">
        <v>16386</v>
      </c>
      <c r="K4165">
        <v>0.222</v>
      </c>
      <c r="L4165">
        <v>9667</v>
      </c>
      <c r="M4165">
        <v>3215</v>
      </c>
      <c r="N4165" t="s">
        <v>16393</v>
      </c>
      <c r="O4165" s="4">
        <v>119856</v>
      </c>
      <c r="P4165" s="4">
        <v>69304</v>
      </c>
      <c r="Q4165" s="4">
        <v>189160</v>
      </c>
      <c r="R4165" s="4">
        <v>567480</v>
      </c>
      <c r="S4165" t="s">
        <v>20468</v>
      </c>
      <c r="T4165" s="6">
        <v>39600</v>
      </c>
      <c r="U4165" s="4">
        <v>350000</v>
      </c>
      <c r="V4165" t="s">
        <v>23739</v>
      </c>
      <c r="W4165" t="s">
        <v>25911</v>
      </c>
      <c r="X4165" t="s">
        <v>3</v>
      </c>
      <c r="AA4165" s="5" t="str">
        <f>HYPERLINK("https://www.zillow.com/homes/806-N-BRAINARD-ST-NAPERVILLE-IL-60563_rb/","check listing")</f>
        <v>check listing</v>
      </c>
      <c r="AB4165" s="5" t="str">
        <f>HYPERLINK("https://propertylookup.dupagecounty.gov/Datalets/Datalet.aspx?UseSearch=no&amp;mode=sales&amp;pin=0818114002","sales record")</f>
        <v>sales record</v>
      </c>
      <c r="AC4165" t="s">
        <v>3</v>
      </c>
      <c r="AD4165">
        <v>41.784251</v>
      </c>
      <c r="AE4165">
        <v>-88.14259300000001</v>
      </c>
      <c r="AF4165" s="5" t="str">
        <f>HYPERLINK("https://www.google.com/maps/search/?api=1&amp;query=41.784251,-88.142593","map")</f>
        <v>map</v>
      </c>
    </row>
    <row r="4166" spans="1:32">
      <c r="A4166" t="s">
        <v>4216</v>
      </c>
      <c r="B4166" t="s">
        <v>11749</v>
      </c>
      <c r="C4166" t="s">
        <v>15698</v>
      </c>
      <c r="D4166" t="s">
        <v>16206</v>
      </c>
      <c r="E4166" t="s">
        <v>16218</v>
      </c>
      <c r="F4166" t="s">
        <v>16221</v>
      </c>
      <c r="G4166" t="s">
        <v>16278</v>
      </c>
      <c r="H4166" t="s">
        <v>16277</v>
      </c>
      <c r="I4166" t="s">
        <v>16353</v>
      </c>
      <c r="J4166" t="s">
        <v>16386</v>
      </c>
      <c r="K4166">
        <v>0.222</v>
      </c>
      <c r="L4166">
        <v>9664</v>
      </c>
      <c r="N4166" t="s">
        <v>16393</v>
      </c>
      <c r="O4166" s="4">
        <v>61343</v>
      </c>
      <c r="P4166" s="4">
        <v>178501</v>
      </c>
      <c r="Q4166" s="4">
        <v>239844</v>
      </c>
      <c r="R4166" s="4">
        <v>719532</v>
      </c>
      <c r="S4166" t="s">
        <v>20469</v>
      </c>
      <c r="T4166" s="6">
        <v>42948</v>
      </c>
      <c r="U4166" s="4">
        <v>517500</v>
      </c>
      <c r="V4166" t="s">
        <v>23739</v>
      </c>
      <c r="W4166" t="s">
        <v>25912</v>
      </c>
      <c r="X4166" t="s">
        <v>3</v>
      </c>
      <c r="AA4166" s="5" t="str">
        <f>HYPERLINK("https://www.zillow.com/homes/2527-BALSAM-COVE-RD-NAPERVILLE-IL-605633590_rb/","check listing")</f>
        <v>check listing</v>
      </c>
      <c r="AB4166" s="5" t="str">
        <f>HYPERLINK("https://propertylookup.dupagecounty.gov/Datalets/Datalet.aspx?UseSearch=no&amp;mode=sales&amp;pin=0709108006","sales record")</f>
        <v>sales record</v>
      </c>
      <c r="AC4166" t="s">
        <v>3</v>
      </c>
      <c r="AD4166">
        <v>41.796999</v>
      </c>
      <c r="AE4166">
        <v>-88.22333500000001</v>
      </c>
      <c r="AF4166" s="5" t="str">
        <f>HYPERLINK("https://www.google.com/maps/search/?api=1&amp;query=41.796999,-88.223335","map")</f>
        <v>map</v>
      </c>
    </row>
    <row r="4167" spans="1:32">
      <c r="A4167" t="s">
        <v>4217</v>
      </c>
      <c r="B4167" t="s">
        <v>11750</v>
      </c>
      <c r="C4167" t="s">
        <v>15662</v>
      </c>
      <c r="D4167" t="s">
        <v>16206</v>
      </c>
      <c r="E4167" t="s">
        <v>16218</v>
      </c>
      <c r="F4167" t="s">
        <v>16221</v>
      </c>
      <c r="G4167" t="s">
        <v>16278</v>
      </c>
      <c r="H4167" t="s">
        <v>16277</v>
      </c>
      <c r="I4167" t="s">
        <v>16353</v>
      </c>
      <c r="J4167" t="s">
        <v>16386</v>
      </c>
      <c r="K4167">
        <v>0.222</v>
      </c>
      <c r="L4167">
        <v>9654</v>
      </c>
      <c r="N4167" t="s">
        <v>16393</v>
      </c>
      <c r="O4167" s="4">
        <v>56146</v>
      </c>
      <c r="P4167" s="4">
        <v>238101</v>
      </c>
      <c r="Q4167" s="4">
        <v>294247</v>
      </c>
      <c r="R4167" s="4">
        <v>882741</v>
      </c>
      <c r="S4167" t="s">
        <v>20470</v>
      </c>
      <c r="T4167" s="6">
        <v>45126</v>
      </c>
      <c r="U4167" s="4">
        <v>762745</v>
      </c>
      <c r="V4167" t="s">
        <v>16232</v>
      </c>
      <c r="W4167" t="s">
        <v>25913</v>
      </c>
      <c r="X4167" t="s">
        <v>3</v>
      </c>
      <c r="AA4167" s="5" t="str">
        <f>HYPERLINK("https://www.zillow.com/homes/2515-WEATHERBEE-LN-NAPERVILLE-IL-605631594_rb/","check listing")</f>
        <v>check listing</v>
      </c>
      <c r="AB4167" s="5" t="str">
        <f>HYPERLINK("https://propertylookup.dupagecounty.gov/Datalets/Datalet.aspx?UseSearch=no&amp;mode=sales&amp;pin=0532302004","sales record")</f>
        <v>sales record</v>
      </c>
      <c r="AC4167" t="s">
        <v>3</v>
      </c>
      <c r="AD4167">
        <v>41.818856</v>
      </c>
      <c r="AE4167">
        <v>-88.122237</v>
      </c>
      <c r="AF4167" s="5" t="str">
        <f>HYPERLINK("https://www.google.com/maps/search/?api=1&amp;query=41.818856,-88.122237","map")</f>
        <v>map</v>
      </c>
    </row>
    <row r="4168" spans="1:32">
      <c r="A4168" t="s">
        <v>4218</v>
      </c>
      <c r="B4168" t="s">
        <v>11751</v>
      </c>
      <c r="C4168" t="s">
        <v>15475</v>
      </c>
      <c r="D4168" t="s">
        <v>16206</v>
      </c>
      <c r="E4168" t="s">
        <v>16218</v>
      </c>
      <c r="F4168" t="s">
        <v>16221</v>
      </c>
      <c r="G4168" t="s">
        <v>16277</v>
      </c>
      <c r="H4168" t="s">
        <v>16277</v>
      </c>
      <c r="I4168" t="s">
        <v>16353</v>
      </c>
      <c r="J4168" t="s">
        <v>16386</v>
      </c>
      <c r="K4168">
        <v>0.222</v>
      </c>
      <c r="L4168">
        <v>9653</v>
      </c>
      <c r="M4168">
        <v>1484</v>
      </c>
      <c r="N4168" t="s">
        <v>16393</v>
      </c>
      <c r="O4168" s="4">
        <v>131688</v>
      </c>
      <c r="P4168" s="4">
        <v>52549</v>
      </c>
      <c r="Q4168" s="4">
        <v>184237</v>
      </c>
      <c r="R4168" s="4">
        <v>552711</v>
      </c>
      <c r="S4168" t="s">
        <v>20471</v>
      </c>
      <c r="X4168" t="s">
        <v>3</v>
      </c>
      <c r="AA4168" s="5" t="str">
        <f>HYPERLINK("https://www.zillow.com/homes/612-CENTER-ST-NAPERVILLE-IL-60540_rb/","check listing")</f>
        <v>check listing</v>
      </c>
      <c r="AB4168" s="5" t="str">
        <f>HYPERLINK("https://propertylookup.dupagecounty.gov/Datalets/Datalet.aspx?UseSearch=no&amp;mode=sales&amp;pin=0818107003","sales record")</f>
        <v>sales record</v>
      </c>
      <c r="AC4168" t="s">
        <v>3</v>
      </c>
      <c r="AD4168">
        <v>41.782359</v>
      </c>
      <c r="AE4168">
        <v>-88.145606</v>
      </c>
      <c r="AF4168" s="5" t="str">
        <f>HYPERLINK("https://www.google.com/maps/search/?api=1&amp;query=41.782359,-88.145606","map")</f>
        <v>map</v>
      </c>
    </row>
    <row r="4169" spans="1:32">
      <c r="A4169" t="s">
        <v>4219</v>
      </c>
      <c r="B4169" t="s">
        <v>11752</v>
      </c>
      <c r="C4169" t="s">
        <v>15699</v>
      </c>
      <c r="D4169" t="s">
        <v>16206</v>
      </c>
      <c r="E4169" t="s">
        <v>16218</v>
      </c>
      <c r="F4169" t="s">
        <v>16221</v>
      </c>
      <c r="G4169" t="s">
        <v>16277</v>
      </c>
      <c r="H4169" t="s">
        <v>16277</v>
      </c>
      <c r="I4169" t="s">
        <v>16353</v>
      </c>
      <c r="J4169" t="s">
        <v>16386</v>
      </c>
      <c r="K4169">
        <v>0.222</v>
      </c>
      <c r="L4169">
        <v>9649</v>
      </c>
      <c r="M4169">
        <v>2524</v>
      </c>
      <c r="N4169" t="s">
        <v>16393</v>
      </c>
      <c r="O4169" s="4">
        <v>131755</v>
      </c>
      <c r="P4169" s="4">
        <v>59964</v>
      </c>
      <c r="Q4169" s="4">
        <v>191719</v>
      </c>
      <c r="R4169" s="4">
        <v>575157</v>
      </c>
      <c r="S4169" t="s">
        <v>20472</v>
      </c>
      <c r="T4169" s="6">
        <v>44470</v>
      </c>
      <c r="U4169" s="4">
        <v>568000</v>
      </c>
      <c r="V4169" t="s">
        <v>23739</v>
      </c>
      <c r="W4169" t="s">
        <v>20472</v>
      </c>
      <c r="X4169" t="s">
        <v>3</v>
      </c>
      <c r="AA4169" s="5" t="str">
        <f>HYPERLINK("https://www.zillow.com/homes/566-S-MAIN-ST-NAPERVILLE-IL-605406511_rb/","check listing")</f>
        <v>check listing</v>
      </c>
      <c r="AB4169" s="5" t="str">
        <f>HYPERLINK("https://propertylookup.dupagecounty.gov/Datalets/Datalet.aspx?UseSearch=no&amp;mode=sales&amp;pin=0724204011","sales record")</f>
        <v>sales record</v>
      </c>
      <c r="AC4169" t="s">
        <v>3</v>
      </c>
      <c r="AD4169">
        <v>41.768045</v>
      </c>
      <c r="AE4169">
        <v>-88.149435</v>
      </c>
      <c r="AF4169" s="5" t="str">
        <f>HYPERLINK("https://www.google.com/maps/search/?api=1&amp;query=41.768045,-88.149435","map")</f>
        <v>map</v>
      </c>
    </row>
    <row r="4170" spans="1:32">
      <c r="A4170" t="s">
        <v>4220</v>
      </c>
      <c r="B4170" t="s">
        <v>11753</v>
      </c>
      <c r="C4170" t="s">
        <v>15478</v>
      </c>
      <c r="D4170" t="s">
        <v>16206</v>
      </c>
      <c r="E4170" t="s">
        <v>16218</v>
      </c>
      <c r="F4170" t="s">
        <v>16221</v>
      </c>
      <c r="G4170" t="s">
        <v>16278</v>
      </c>
      <c r="H4170" t="s">
        <v>16277</v>
      </c>
      <c r="I4170" t="s">
        <v>16353</v>
      </c>
      <c r="J4170" t="s">
        <v>16386</v>
      </c>
      <c r="K4170">
        <v>0.221</v>
      </c>
      <c r="L4170">
        <v>9643</v>
      </c>
      <c r="N4170" t="s">
        <v>16393</v>
      </c>
      <c r="O4170" s="4">
        <v>67787</v>
      </c>
      <c r="P4170" s="4">
        <v>156629</v>
      </c>
      <c r="Q4170" s="4">
        <v>224416</v>
      </c>
      <c r="R4170" s="4">
        <v>673248</v>
      </c>
      <c r="S4170" t="s">
        <v>20473</v>
      </c>
      <c r="T4170" s="6">
        <v>44501</v>
      </c>
      <c r="U4170" s="4">
        <v>590000</v>
      </c>
      <c r="V4170" t="s">
        <v>23739</v>
      </c>
      <c r="W4170" t="s">
        <v>25914</v>
      </c>
      <c r="X4170" t="s">
        <v>3</v>
      </c>
      <c r="AA4170" s="5" t="str">
        <f>HYPERLINK("https://www.zillow.com/homes/2419-COASTAL-SAGE-CT-NAPERVILLE-IL-60563_rb/","check listing")</f>
        <v>check listing</v>
      </c>
      <c r="AB4170" s="5" t="str">
        <f>HYPERLINK("https://propertylookup.dupagecounty.gov/Datalets/Datalet.aspx?UseSearch=no&amp;mode=sales&amp;pin=0709311062","sales record")</f>
        <v>sales record</v>
      </c>
      <c r="AC4170" t="s">
        <v>3</v>
      </c>
      <c r="AD4170">
        <v>41.786661</v>
      </c>
      <c r="AE4170">
        <v>-88.220139</v>
      </c>
      <c r="AF4170" s="5" t="str">
        <f>HYPERLINK("https://www.google.com/maps/search/?api=1&amp;query=41.786661,-88.220139","map")</f>
        <v>map</v>
      </c>
    </row>
    <row r="4171" spans="1:32">
      <c r="A4171" t="s">
        <v>4221</v>
      </c>
      <c r="B4171" t="s">
        <v>11754</v>
      </c>
      <c r="C4171" t="s">
        <v>15475</v>
      </c>
      <c r="D4171" t="s">
        <v>16206</v>
      </c>
      <c r="E4171" t="s">
        <v>16218</v>
      </c>
      <c r="F4171" t="s">
        <v>16221</v>
      </c>
      <c r="G4171" t="s">
        <v>16277</v>
      </c>
      <c r="H4171" t="s">
        <v>16277</v>
      </c>
      <c r="I4171" t="s">
        <v>16353</v>
      </c>
      <c r="J4171" t="s">
        <v>16386</v>
      </c>
      <c r="K4171">
        <v>0.221</v>
      </c>
      <c r="L4171">
        <v>9643</v>
      </c>
      <c r="M4171">
        <v>3266</v>
      </c>
      <c r="N4171" t="s">
        <v>16393</v>
      </c>
      <c r="O4171" s="4">
        <v>125640</v>
      </c>
      <c r="P4171" s="4">
        <v>419785</v>
      </c>
      <c r="Q4171" s="4">
        <v>545425</v>
      </c>
      <c r="R4171" s="4">
        <v>1636275</v>
      </c>
      <c r="S4171" t="s">
        <v>20474</v>
      </c>
      <c r="T4171" s="6">
        <v>45342</v>
      </c>
      <c r="U4171" s="4">
        <v>1730000</v>
      </c>
      <c r="V4171" t="s">
        <v>23741</v>
      </c>
      <c r="W4171" t="s">
        <v>25915</v>
      </c>
      <c r="X4171" t="s">
        <v>3</v>
      </c>
      <c r="AA4171" s="5" t="str">
        <f>HYPERLINK("https://www.zillow.com/homes/6-S-MILL-ST-NAPERVILLE-IL-60540_rb/","check listing")</f>
        <v>check listing</v>
      </c>
      <c r="AB4171" s="5" t="str">
        <f>HYPERLINK("https://propertylookup.dupagecounty.gov/Datalets/Datalet.aspx?UseSearch=no&amp;mode=sales&amp;pin=0713416029","sales record")</f>
        <v>sales record</v>
      </c>
      <c r="AC4171" t="s">
        <v>3</v>
      </c>
      <c r="AD4171">
        <v>41.775106</v>
      </c>
      <c r="AE4171">
        <v>-88.154168</v>
      </c>
      <c r="AF4171" s="5" t="str">
        <f>HYPERLINK("https://www.google.com/maps/search/?api=1&amp;query=41.775106,-88.154168","map")</f>
        <v>map</v>
      </c>
    </row>
    <row r="4172" spans="1:32">
      <c r="A4172" t="s">
        <v>4222</v>
      </c>
      <c r="B4172" t="s">
        <v>11755</v>
      </c>
      <c r="C4172" t="s">
        <v>15475</v>
      </c>
      <c r="D4172" t="s">
        <v>16206</v>
      </c>
      <c r="E4172" t="s">
        <v>16218</v>
      </c>
      <c r="F4172" t="s">
        <v>16221</v>
      </c>
      <c r="G4172" t="s">
        <v>16277</v>
      </c>
      <c r="H4172" t="s">
        <v>16277</v>
      </c>
      <c r="I4172" t="s">
        <v>16353</v>
      </c>
      <c r="J4172" t="s">
        <v>16386</v>
      </c>
      <c r="K4172">
        <v>0.221</v>
      </c>
      <c r="L4172">
        <v>9639</v>
      </c>
      <c r="M4172">
        <v>1288</v>
      </c>
      <c r="N4172" t="s">
        <v>16393</v>
      </c>
      <c r="O4172" s="4">
        <v>138895</v>
      </c>
      <c r="P4172" s="4">
        <v>50798</v>
      </c>
      <c r="Q4172" s="4">
        <v>189693</v>
      </c>
      <c r="R4172" s="4">
        <v>569079</v>
      </c>
      <c r="S4172" t="s">
        <v>20475</v>
      </c>
      <c r="T4172" s="6">
        <v>39995</v>
      </c>
      <c r="U4172" s="4">
        <v>289000</v>
      </c>
      <c r="V4172" t="s">
        <v>23739</v>
      </c>
      <c r="W4172" t="s">
        <v>25916</v>
      </c>
      <c r="X4172" t="s">
        <v>3</v>
      </c>
      <c r="AA4172" s="5" t="str">
        <f>HYPERLINK("https://www.zillow.com/homes/14-S-MILL-ST-NAPERVILLE-IL-60540_rb/","check listing")</f>
        <v>check listing</v>
      </c>
      <c r="AB4172" s="5" t="str">
        <f>HYPERLINK("https://propertylookup.dupagecounty.gov/Datalets/Datalet.aspx?UseSearch=no&amp;mode=sales&amp;pin=0713416002","sales record")</f>
        <v>sales record</v>
      </c>
      <c r="AC4172" t="s">
        <v>3</v>
      </c>
      <c r="AD4172">
        <v>41.774925</v>
      </c>
      <c r="AE4172">
        <v>-88.154177</v>
      </c>
      <c r="AF4172" s="5" t="str">
        <f>HYPERLINK("https://www.google.com/maps/search/?api=1&amp;query=41.774925,-88.154177","map")</f>
        <v>map</v>
      </c>
    </row>
    <row r="4173" spans="1:32">
      <c r="A4173" t="s">
        <v>4223</v>
      </c>
      <c r="B4173" t="s">
        <v>11756</v>
      </c>
      <c r="C4173" t="s">
        <v>15475</v>
      </c>
      <c r="D4173" t="s">
        <v>16206</v>
      </c>
      <c r="E4173" t="s">
        <v>16218</v>
      </c>
      <c r="F4173" t="s">
        <v>16221</v>
      </c>
      <c r="G4173" t="s">
        <v>16277</v>
      </c>
      <c r="H4173" t="s">
        <v>16277</v>
      </c>
      <c r="I4173" t="s">
        <v>16353</v>
      </c>
      <c r="J4173" t="s">
        <v>16386</v>
      </c>
      <c r="K4173">
        <v>0.221</v>
      </c>
      <c r="L4173">
        <v>9633</v>
      </c>
      <c r="M4173">
        <v>1847</v>
      </c>
      <c r="N4173" t="s">
        <v>16393</v>
      </c>
      <c r="O4173" s="4">
        <v>131783</v>
      </c>
      <c r="P4173" s="4">
        <v>21655</v>
      </c>
      <c r="Q4173" s="4">
        <v>153438</v>
      </c>
      <c r="R4173" s="4">
        <v>460314</v>
      </c>
      <c r="S4173" t="s">
        <v>20476</v>
      </c>
      <c r="T4173" s="6">
        <v>31017</v>
      </c>
      <c r="U4173" s="4">
        <v>80000</v>
      </c>
      <c r="X4173" t="s">
        <v>3</v>
      </c>
      <c r="AA4173" s="5" t="str">
        <f>HYPERLINK("https://www.zillow.com/homes/301-E-NORTH-AVE-NAPERVILLE-IL-60540_rb/","check listing")</f>
        <v>check listing</v>
      </c>
      <c r="AB4173" s="5" t="str">
        <f>HYPERLINK("https://propertylookup.dupagecounty.gov/Datalets/Datalet.aspx?UseSearch=no&amp;mode=sales&amp;pin=0818131028","sales record")</f>
        <v>sales record</v>
      </c>
      <c r="AC4173" t="s">
        <v>3</v>
      </c>
      <c r="AD4173">
        <v>41.778764</v>
      </c>
      <c r="AE4173">
        <v>-88.143441</v>
      </c>
      <c r="AF4173" s="5" t="str">
        <f>HYPERLINK("https://www.google.com/maps/search/?api=1&amp;query=41.778764,-88.143441","map")</f>
        <v>map</v>
      </c>
    </row>
    <row r="4174" spans="1:32">
      <c r="A4174" t="s">
        <v>4224</v>
      </c>
      <c r="B4174" t="s">
        <v>11757</v>
      </c>
      <c r="C4174" t="s">
        <v>15700</v>
      </c>
      <c r="D4174" t="s">
        <v>16206</v>
      </c>
      <c r="E4174" t="s">
        <v>16218</v>
      </c>
      <c r="F4174" t="s">
        <v>16221</v>
      </c>
      <c r="G4174" t="s">
        <v>16278</v>
      </c>
      <c r="H4174" t="s">
        <v>16277</v>
      </c>
      <c r="I4174" t="s">
        <v>16353</v>
      </c>
      <c r="J4174" t="s">
        <v>16386</v>
      </c>
      <c r="K4174">
        <v>0.221</v>
      </c>
      <c r="L4174">
        <v>9629</v>
      </c>
      <c r="N4174" t="s">
        <v>16393</v>
      </c>
      <c r="O4174" s="4">
        <v>64565</v>
      </c>
      <c r="P4174" s="4">
        <v>118780</v>
      </c>
      <c r="Q4174" s="4">
        <v>183345</v>
      </c>
      <c r="R4174" s="4">
        <v>550035</v>
      </c>
      <c r="S4174" t="s">
        <v>20477</v>
      </c>
      <c r="T4174" s="6">
        <v>43525</v>
      </c>
      <c r="U4174" s="4">
        <v>459954</v>
      </c>
      <c r="V4174" t="s">
        <v>16232</v>
      </c>
      <c r="W4174" t="s">
        <v>25917</v>
      </c>
      <c r="X4174" t="s">
        <v>3</v>
      </c>
      <c r="AA4174" s="5" t="str">
        <f>HYPERLINK("https://www.zillow.com/homes/2464-BASIN-TRAIL-LN-NAPERVILLE-IL-605633596_rb/","check listing")</f>
        <v>check listing</v>
      </c>
      <c r="AB4174" s="5" t="str">
        <f>HYPERLINK("https://propertylookup.dupagecounty.gov/Datalets/Datalet.aspx?UseSearch=no&amp;mode=sales&amp;pin=0709114006","sales record")</f>
        <v>sales record</v>
      </c>
      <c r="AC4174" t="s">
        <v>3</v>
      </c>
      <c r="AD4174">
        <v>41.794374</v>
      </c>
      <c r="AE4174">
        <v>-88.221182</v>
      </c>
      <c r="AF4174" s="5" t="str">
        <f>HYPERLINK("https://www.google.com/maps/search/?api=1&amp;query=41.794374,-88.221182","map")</f>
        <v>map</v>
      </c>
    </row>
    <row r="4175" spans="1:32">
      <c r="A4175" t="s">
        <v>4225</v>
      </c>
      <c r="B4175" t="s">
        <v>11758</v>
      </c>
      <c r="C4175" t="s">
        <v>15478</v>
      </c>
      <c r="D4175" t="s">
        <v>16206</v>
      </c>
      <c r="E4175" t="s">
        <v>16218</v>
      </c>
      <c r="F4175" t="s">
        <v>16221</v>
      </c>
      <c r="G4175" t="s">
        <v>16278</v>
      </c>
      <c r="H4175" t="s">
        <v>16277</v>
      </c>
      <c r="I4175" t="s">
        <v>16353</v>
      </c>
      <c r="J4175" t="s">
        <v>16386</v>
      </c>
      <c r="K4175">
        <v>0.221</v>
      </c>
      <c r="L4175">
        <v>9626</v>
      </c>
      <c r="N4175" t="s">
        <v>16393</v>
      </c>
      <c r="O4175" s="4">
        <v>64565</v>
      </c>
      <c r="P4175" s="4">
        <v>189131</v>
      </c>
      <c r="Q4175" s="4">
        <v>253696</v>
      </c>
      <c r="R4175" s="4">
        <v>761088</v>
      </c>
      <c r="S4175" t="s">
        <v>20478</v>
      </c>
      <c r="T4175" s="6">
        <v>42705</v>
      </c>
      <c r="U4175" s="4">
        <v>510140</v>
      </c>
      <c r="V4175" t="s">
        <v>16232</v>
      </c>
      <c r="W4175" t="s">
        <v>25918</v>
      </c>
      <c r="X4175" t="s">
        <v>3</v>
      </c>
      <c r="AA4175" s="5" t="str">
        <f>HYPERLINK("https://www.zillow.com/homes/1652-ALDERLEAF-LN-NAPERVILLE-IL-60563_rb/","check listing")</f>
        <v>check listing</v>
      </c>
      <c r="AB4175" s="5" t="str">
        <f>HYPERLINK("https://propertylookup.dupagecounty.gov/Datalets/Datalet.aspx?UseSearch=no&amp;mode=sales&amp;pin=0709102022","sales record")</f>
        <v>sales record</v>
      </c>
      <c r="AC4175" t="s">
        <v>3</v>
      </c>
      <c r="AD4175">
        <v>41.797355</v>
      </c>
      <c r="AE4175">
        <v>-88.219712</v>
      </c>
      <c r="AF4175" s="5" t="str">
        <f>HYPERLINK("https://www.google.com/maps/search/?api=1&amp;query=41.797355,-88.219712","map")</f>
        <v>map</v>
      </c>
    </row>
    <row r="4176" spans="1:32">
      <c r="A4176" t="s">
        <v>4226</v>
      </c>
      <c r="B4176" t="s">
        <v>11759</v>
      </c>
      <c r="C4176" t="s">
        <v>15478</v>
      </c>
      <c r="D4176" t="s">
        <v>16206</v>
      </c>
      <c r="E4176" t="s">
        <v>16218</v>
      </c>
      <c r="F4176" t="s">
        <v>16221</v>
      </c>
      <c r="G4176" t="s">
        <v>16277</v>
      </c>
      <c r="H4176" t="s">
        <v>16277</v>
      </c>
      <c r="I4176" t="s">
        <v>16353</v>
      </c>
      <c r="J4176" t="s">
        <v>16386</v>
      </c>
      <c r="K4176">
        <v>0.221</v>
      </c>
      <c r="L4176">
        <v>9620</v>
      </c>
      <c r="M4176">
        <v>1055</v>
      </c>
      <c r="N4176" t="s">
        <v>16393</v>
      </c>
      <c r="O4176" s="4">
        <v>131783</v>
      </c>
      <c r="P4176" s="4">
        <v>50206</v>
      </c>
      <c r="Q4176" s="4">
        <v>181989</v>
      </c>
      <c r="R4176" s="4">
        <v>545967</v>
      </c>
      <c r="S4176" t="s">
        <v>20479</v>
      </c>
      <c r="X4176" t="s">
        <v>3</v>
      </c>
      <c r="AA4176" s="5" t="str">
        <f>HYPERLINK("https://www.zillow.com/homes/520-N-BRAINARD-ST-NAPERVILLE-IL-60563_rb/","check listing")</f>
        <v>check listing</v>
      </c>
      <c r="AB4176" s="5" t="str">
        <f>HYPERLINK("https://propertylookup.dupagecounty.gov/Datalets/Datalet.aspx?UseSearch=no&amp;mode=sales&amp;pin=0818116014","sales record")</f>
        <v>sales record</v>
      </c>
      <c r="AC4176" t="s">
        <v>3</v>
      </c>
      <c r="AD4176">
        <v>41.781458</v>
      </c>
      <c r="AE4176">
        <v>-88.142893</v>
      </c>
      <c r="AF4176" s="5" t="str">
        <f>HYPERLINK("https://www.google.com/maps/search/?api=1&amp;query=41.781458,-88.142893","map")</f>
        <v>map</v>
      </c>
    </row>
    <row r="4177" spans="1:32">
      <c r="A4177" t="s">
        <v>4227</v>
      </c>
      <c r="B4177" t="s">
        <v>11760</v>
      </c>
      <c r="C4177" t="s">
        <v>15629</v>
      </c>
      <c r="D4177" t="s">
        <v>16206</v>
      </c>
      <c r="E4177" t="s">
        <v>16218</v>
      </c>
      <c r="F4177" t="s">
        <v>16221</v>
      </c>
      <c r="G4177" t="s">
        <v>16278</v>
      </c>
      <c r="H4177" t="s">
        <v>16277</v>
      </c>
      <c r="I4177" t="s">
        <v>16353</v>
      </c>
      <c r="J4177" t="s">
        <v>16386</v>
      </c>
      <c r="K4177">
        <v>0.22</v>
      </c>
      <c r="L4177">
        <v>9604</v>
      </c>
      <c r="N4177" t="s">
        <v>16393</v>
      </c>
      <c r="O4177" s="4">
        <v>64565</v>
      </c>
      <c r="P4177" s="4">
        <v>195820</v>
      </c>
      <c r="Q4177" s="4">
        <v>260385</v>
      </c>
      <c r="R4177" s="4">
        <v>781155</v>
      </c>
      <c r="S4177" t="s">
        <v>20480</v>
      </c>
      <c r="T4177" s="6">
        <v>43252</v>
      </c>
      <c r="U4177" s="4">
        <v>582444</v>
      </c>
      <c r="V4177" t="s">
        <v>16232</v>
      </c>
      <c r="W4177" t="s">
        <v>25919</v>
      </c>
      <c r="X4177" t="s">
        <v>3</v>
      </c>
      <c r="AA4177" s="5" t="str">
        <f>HYPERLINK("https://www.zillow.com/homes/1312-BAYOU-PATH-CT-NAPERVILLE-IL-605633609_rb/","check listing")</f>
        <v>check listing</v>
      </c>
      <c r="AB4177" s="5" t="str">
        <f>HYPERLINK("https://propertylookup.dupagecounty.gov/Datalets/Datalet.aspx?UseSearch=no&amp;mode=sales&amp;pin=0709311089","sales record")</f>
        <v>sales record</v>
      </c>
      <c r="AC4177" t="s">
        <v>3</v>
      </c>
      <c r="AD4177">
        <v>41.785237</v>
      </c>
      <c r="AE4177">
        <v>-88.216865</v>
      </c>
      <c r="AF4177" s="5" t="str">
        <f>HYPERLINK("https://www.google.com/maps/search/?api=1&amp;query=41.785237,-88.216865","map")</f>
        <v>map</v>
      </c>
    </row>
    <row r="4178" spans="1:32">
      <c r="A4178" t="s">
        <v>4228</v>
      </c>
      <c r="B4178" t="s">
        <v>11761</v>
      </c>
      <c r="C4178" t="s">
        <v>15639</v>
      </c>
      <c r="D4178" t="s">
        <v>16206</v>
      </c>
      <c r="E4178" t="s">
        <v>16218</v>
      </c>
      <c r="F4178" t="s">
        <v>16221</v>
      </c>
      <c r="G4178" t="s">
        <v>16278</v>
      </c>
      <c r="H4178" t="s">
        <v>16277</v>
      </c>
      <c r="I4178" t="s">
        <v>16353</v>
      </c>
      <c r="J4178" t="s">
        <v>16386</v>
      </c>
      <c r="K4178">
        <v>0.22</v>
      </c>
      <c r="L4178">
        <v>9580</v>
      </c>
      <c r="N4178" t="s">
        <v>16393</v>
      </c>
      <c r="O4178" s="4">
        <v>58268</v>
      </c>
      <c r="P4178" s="4">
        <v>200287</v>
      </c>
      <c r="Q4178" s="4">
        <v>258555</v>
      </c>
      <c r="R4178" s="4">
        <v>775665</v>
      </c>
      <c r="S4178" t="s">
        <v>20481</v>
      </c>
      <c r="T4178" s="6">
        <v>43739</v>
      </c>
      <c r="U4178" s="4">
        <v>568525</v>
      </c>
      <c r="V4178" t="s">
        <v>16232</v>
      </c>
      <c r="W4178" t="s">
        <v>25920</v>
      </c>
      <c r="X4178" t="s">
        <v>3</v>
      </c>
      <c r="AA4178" s="5" t="str">
        <f>HYPERLINK("https://www.zillow.com/homes/1512-TAIL-LEAF-CT-NAPERVILLE-IL-605632183_rb/","check listing")</f>
        <v>check listing</v>
      </c>
      <c r="AB4178" s="5" t="str">
        <f>HYPERLINK("https://propertylookup.dupagecounty.gov/Datalets/Datalet.aspx?UseSearch=no&amp;mode=sales&amp;pin=0709105033","sales record")</f>
        <v>sales record</v>
      </c>
      <c r="AC4178" t="s">
        <v>3</v>
      </c>
      <c r="AD4178">
        <v>41.79646</v>
      </c>
      <c r="AE4178">
        <v>-88.21567899999999</v>
      </c>
      <c r="AF4178" s="5" t="str">
        <f>HYPERLINK("https://www.google.com/maps/search/?api=1&amp;query=41.79646,-88.215679","map")</f>
        <v>map</v>
      </c>
    </row>
    <row r="4179" spans="1:32">
      <c r="A4179" t="s">
        <v>4229</v>
      </c>
      <c r="B4179" t="s">
        <v>11762</v>
      </c>
      <c r="C4179" t="s">
        <v>15639</v>
      </c>
      <c r="D4179" t="s">
        <v>16206</v>
      </c>
      <c r="E4179" t="s">
        <v>16218</v>
      </c>
      <c r="F4179" t="s">
        <v>16221</v>
      </c>
      <c r="G4179" t="s">
        <v>16278</v>
      </c>
      <c r="H4179" t="s">
        <v>16277</v>
      </c>
      <c r="I4179" t="s">
        <v>16353</v>
      </c>
      <c r="J4179" t="s">
        <v>16386</v>
      </c>
      <c r="K4179">
        <v>0.22</v>
      </c>
      <c r="L4179">
        <v>9575</v>
      </c>
      <c r="N4179" t="s">
        <v>16393</v>
      </c>
      <c r="O4179" s="4">
        <v>61343</v>
      </c>
      <c r="P4179" s="4">
        <v>198212</v>
      </c>
      <c r="Q4179" s="4">
        <v>259555</v>
      </c>
      <c r="R4179" s="4">
        <v>778665</v>
      </c>
      <c r="S4179" t="s">
        <v>20482</v>
      </c>
      <c r="T4179" s="6">
        <v>43709</v>
      </c>
      <c r="U4179" s="4">
        <v>603000</v>
      </c>
      <c r="V4179" t="s">
        <v>16232</v>
      </c>
      <c r="W4179" t="s">
        <v>25921</v>
      </c>
      <c r="X4179" t="s">
        <v>3</v>
      </c>
      <c r="AA4179" s="5" t="str">
        <f>HYPERLINK("https://www.zillow.com/homes/1511-TAIL-LEAF-CT-NAPERVILLE-IL-605632183_rb/","check listing")</f>
        <v>check listing</v>
      </c>
      <c r="AB4179" s="5" t="str">
        <f>HYPERLINK("https://propertylookup.dupagecounty.gov/Datalets/Datalet.aspx?UseSearch=no&amp;mode=sales&amp;pin=0709105028","sales record")</f>
        <v>sales record</v>
      </c>
      <c r="AC4179" t="s">
        <v>3</v>
      </c>
      <c r="AD4179">
        <v>41.7961</v>
      </c>
      <c r="AE4179">
        <v>-88.216528</v>
      </c>
      <c r="AF4179" s="5" t="str">
        <f>HYPERLINK("https://www.google.com/maps/search/?api=1&amp;query=41.7961,-88.216528","map")</f>
        <v>map</v>
      </c>
    </row>
    <row r="4180" spans="1:32">
      <c r="A4180" t="s">
        <v>4230</v>
      </c>
      <c r="B4180" t="s">
        <v>11763</v>
      </c>
      <c r="C4180" t="s">
        <v>15478</v>
      </c>
      <c r="D4180" t="s">
        <v>16206</v>
      </c>
      <c r="E4180" t="s">
        <v>16218</v>
      </c>
      <c r="F4180" t="s">
        <v>16221</v>
      </c>
      <c r="G4180" t="s">
        <v>16278</v>
      </c>
      <c r="H4180" t="s">
        <v>16277</v>
      </c>
      <c r="I4180" t="s">
        <v>16353</v>
      </c>
      <c r="J4180" t="s">
        <v>16386</v>
      </c>
      <c r="K4180">
        <v>0.22</v>
      </c>
      <c r="L4180">
        <v>9572</v>
      </c>
      <c r="N4180" t="s">
        <v>16393</v>
      </c>
      <c r="O4180" s="4">
        <v>64565</v>
      </c>
      <c r="P4180" s="4">
        <v>204339</v>
      </c>
      <c r="Q4180" s="4">
        <v>268904</v>
      </c>
      <c r="R4180" s="4">
        <v>806712</v>
      </c>
      <c r="S4180" t="s">
        <v>20483</v>
      </c>
      <c r="T4180" s="6">
        <v>42795</v>
      </c>
      <c r="U4180" s="4">
        <v>567222</v>
      </c>
      <c r="V4180" t="s">
        <v>16232</v>
      </c>
      <c r="W4180" t="s">
        <v>25922</v>
      </c>
      <c r="X4180" t="s">
        <v>3</v>
      </c>
      <c r="AA4180" s="5" t="str">
        <f>HYPERLINK("https://www.zillow.com/homes/1620-ALDERLEAF-LN-NAPERVILLE-IL-60563_rb/","check listing")</f>
        <v>check listing</v>
      </c>
      <c r="AB4180" s="5" t="str">
        <f>HYPERLINK("https://propertylookup.dupagecounty.gov/Datalets/Datalet.aspx?UseSearch=no&amp;mode=sales&amp;pin=0709102030","sales record")</f>
        <v>sales record</v>
      </c>
      <c r="AC4180" t="s">
        <v>3</v>
      </c>
      <c r="AD4180">
        <v>41.797009</v>
      </c>
      <c r="AE4180">
        <v>-88.21777400000001</v>
      </c>
      <c r="AF4180" s="5" t="str">
        <f>HYPERLINK("https://www.google.com/maps/search/?api=1&amp;query=41.797009,-88.217774","map")</f>
        <v>map</v>
      </c>
    </row>
    <row r="4181" spans="1:32">
      <c r="A4181" t="s">
        <v>4231</v>
      </c>
      <c r="B4181" t="s">
        <v>11764</v>
      </c>
      <c r="C4181" t="s">
        <v>15475</v>
      </c>
      <c r="D4181" t="s">
        <v>16206</v>
      </c>
      <c r="E4181" t="s">
        <v>16218</v>
      </c>
      <c r="F4181" t="s">
        <v>16221</v>
      </c>
      <c r="G4181" t="s">
        <v>16277</v>
      </c>
      <c r="H4181" t="s">
        <v>16277</v>
      </c>
      <c r="I4181" t="s">
        <v>16353</v>
      </c>
      <c r="J4181" t="s">
        <v>16386</v>
      </c>
      <c r="K4181">
        <v>0.22</v>
      </c>
      <c r="L4181">
        <v>9567</v>
      </c>
      <c r="M4181">
        <v>4289</v>
      </c>
      <c r="N4181" t="s">
        <v>16393</v>
      </c>
      <c r="O4181" s="4">
        <v>126995</v>
      </c>
      <c r="P4181" s="4">
        <v>456950</v>
      </c>
      <c r="Q4181" s="4">
        <v>583945</v>
      </c>
      <c r="R4181" s="4">
        <v>1751835</v>
      </c>
      <c r="S4181" t="s">
        <v>20484</v>
      </c>
      <c r="T4181" s="6">
        <v>42887</v>
      </c>
      <c r="U4181" s="4">
        <v>1180000</v>
      </c>
      <c r="V4181" t="s">
        <v>23739</v>
      </c>
      <c r="W4181" t="s">
        <v>20484</v>
      </c>
      <c r="X4181" t="s">
        <v>3</v>
      </c>
      <c r="AA4181" s="5" t="str">
        <f>HYPERLINK("https://www.zillow.com/homes/340-W-FRANKLIN-AVE-NAPERVILLE-IL-60540_rb/","check listing")</f>
        <v>check listing</v>
      </c>
      <c r="AB4181" s="5" t="str">
        <f>HYPERLINK("https://propertylookup.dupagecounty.gov/Datalets/Datalet.aspx?UseSearch=no&amp;mode=sales&amp;pin=0713408016","sales record")</f>
        <v>sales record</v>
      </c>
      <c r="AC4181" t="s">
        <v>3</v>
      </c>
      <c r="AD4181">
        <v>41.775927</v>
      </c>
      <c r="AE4181">
        <v>-88.154262</v>
      </c>
      <c r="AF4181" s="5" t="str">
        <f>HYPERLINK("https://www.google.com/maps/search/?api=1&amp;query=41.775927,-88.154262","map")</f>
        <v>map</v>
      </c>
    </row>
    <row r="4182" spans="1:32">
      <c r="A4182" t="s">
        <v>4232</v>
      </c>
      <c r="B4182" t="s">
        <v>11765</v>
      </c>
      <c r="C4182" t="s">
        <v>15692</v>
      </c>
      <c r="D4182" t="s">
        <v>16206</v>
      </c>
      <c r="E4182" t="s">
        <v>16218</v>
      </c>
      <c r="F4182" t="s">
        <v>16221</v>
      </c>
      <c r="G4182" t="s">
        <v>16278</v>
      </c>
      <c r="H4182" t="s">
        <v>16277</v>
      </c>
      <c r="I4182" t="s">
        <v>16353</v>
      </c>
      <c r="J4182" t="s">
        <v>16386</v>
      </c>
      <c r="K4182">
        <v>0.22</v>
      </c>
      <c r="L4182">
        <v>9562</v>
      </c>
      <c r="N4182" t="s">
        <v>16393</v>
      </c>
      <c r="O4182" s="4">
        <v>74244</v>
      </c>
      <c r="P4182" s="4">
        <v>198822</v>
      </c>
      <c r="Q4182" s="4">
        <v>273066</v>
      </c>
      <c r="R4182" s="4">
        <v>819198</v>
      </c>
      <c r="S4182" t="s">
        <v>20485</v>
      </c>
      <c r="T4182" s="6">
        <v>43770</v>
      </c>
      <c r="U4182" s="4">
        <v>588840</v>
      </c>
      <c r="V4182" t="s">
        <v>16232</v>
      </c>
      <c r="W4182" t="s">
        <v>25923</v>
      </c>
      <c r="X4182" t="s">
        <v>3</v>
      </c>
      <c r="AA4182" s="5" t="str">
        <f>HYPERLINK("https://www.zillow.com/homes/1415-BAYOU-PATH-DR-NAPERVILLE-IL-605633608_rb/","check listing")</f>
        <v>check listing</v>
      </c>
      <c r="AB4182" s="5" t="str">
        <f>HYPERLINK("https://propertylookup.dupagecounty.gov/Datalets/Datalet.aspx?UseSearch=no&amp;mode=sales&amp;pin=0709311056","sales record")</f>
        <v>sales record</v>
      </c>
      <c r="AC4182" t="s">
        <v>3</v>
      </c>
      <c r="AD4182">
        <v>41.787354</v>
      </c>
      <c r="AE4182">
        <v>-88.220113</v>
      </c>
      <c r="AF4182" s="5" t="str">
        <f>HYPERLINK("https://www.google.com/maps/search/?api=1&amp;query=41.787354,-88.220113","map")</f>
        <v>map</v>
      </c>
    </row>
    <row r="4183" spans="1:32">
      <c r="A4183" t="s">
        <v>4233</v>
      </c>
      <c r="B4183" t="s">
        <v>11766</v>
      </c>
      <c r="C4183" t="s">
        <v>15649</v>
      </c>
      <c r="D4183" t="s">
        <v>16206</v>
      </c>
      <c r="E4183" t="s">
        <v>16218</v>
      </c>
      <c r="F4183" t="s">
        <v>16221</v>
      </c>
      <c r="G4183" t="s">
        <v>16278</v>
      </c>
      <c r="H4183" t="s">
        <v>16277</v>
      </c>
      <c r="I4183" t="s">
        <v>16353</v>
      </c>
      <c r="J4183" t="s">
        <v>16386</v>
      </c>
      <c r="K4183">
        <v>0.219</v>
      </c>
      <c r="L4183">
        <v>9553</v>
      </c>
      <c r="N4183" t="s">
        <v>16393</v>
      </c>
      <c r="O4183" s="4">
        <v>64565</v>
      </c>
      <c r="P4183" s="4">
        <v>213261</v>
      </c>
      <c r="Q4183" s="4">
        <v>277826</v>
      </c>
      <c r="R4183" s="4">
        <v>833478</v>
      </c>
      <c r="S4183" t="s">
        <v>20486</v>
      </c>
      <c r="T4183" s="6">
        <v>42887</v>
      </c>
      <c r="U4183" s="4">
        <v>569378</v>
      </c>
      <c r="V4183" t="s">
        <v>16232</v>
      </c>
      <c r="W4183" t="s">
        <v>25924</v>
      </c>
      <c r="X4183" t="s">
        <v>3</v>
      </c>
      <c r="AA4183" s="5" t="str">
        <f>HYPERLINK("https://www.zillow.com/homes/1516-ALDERLEAF-CT-NAPERVILLE-IL-605632142_rb/","check listing")</f>
        <v>check listing</v>
      </c>
      <c r="AB4183" s="5" t="str">
        <f>HYPERLINK("https://propertylookup.dupagecounty.gov/Datalets/Datalet.aspx?UseSearch=no&amp;mode=sales&amp;pin=0709105022","sales record")</f>
        <v>sales record</v>
      </c>
      <c r="AC4183" t="s">
        <v>3</v>
      </c>
      <c r="AD4183">
        <v>41.795144</v>
      </c>
      <c r="AE4183">
        <v>-88.21677099999999</v>
      </c>
      <c r="AF4183" s="5" t="str">
        <f>HYPERLINK("https://www.google.com/maps/search/?api=1&amp;query=41.795144,-88.216771","map")</f>
        <v>map</v>
      </c>
    </row>
    <row r="4184" spans="1:32">
      <c r="A4184" t="s">
        <v>4234</v>
      </c>
      <c r="B4184" t="s">
        <v>11767</v>
      </c>
      <c r="C4184" t="s">
        <v>15478</v>
      </c>
      <c r="D4184" t="s">
        <v>16206</v>
      </c>
      <c r="E4184" t="s">
        <v>16218</v>
      </c>
      <c r="F4184" t="s">
        <v>16221</v>
      </c>
      <c r="G4184" t="s">
        <v>16277</v>
      </c>
      <c r="H4184" t="s">
        <v>16277</v>
      </c>
      <c r="I4184" t="s">
        <v>16353</v>
      </c>
      <c r="J4184" t="s">
        <v>16386</v>
      </c>
      <c r="K4184">
        <v>0.219</v>
      </c>
      <c r="L4184">
        <v>9539</v>
      </c>
      <c r="M4184">
        <v>1831</v>
      </c>
      <c r="N4184" t="s">
        <v>16393</v>
      </c>
      <c r="O4184" s="4">
        <v>120723</v>
      </c>
      <c r="P4184" s="4">
        <v>322311</v>
      </c>
      <c r="Q4184" s="4">
        <v>443034</v>
      </c>
      <c r="R4184" s="4">
        <v>1329102</v>
      </c>
      <c r="S4184" t="s">
        <v>20487</v>
      </c>
      <c r="T4184" s="6">
        <v>43070</v>
      </c>
      <c r="U4184" s="4">
        <v>285000</v>
      </c>
      <c r="V4184" t="s">
        <v>23739</v>
      </c>
      <c r="W4184" t="s">
        <v>25925</v>
      </c>
      <c r="X4184" t="s">
        <v>3</v>
      </c>
      <c r="AA4184" s="5" t="str">
        <f>HYPERLINK("https://www.zillow.com/homes/732-N-BRAINARD-ST-NAPERVILLE-IL-60563_rb/","check listing")</f>
        <v>check listing</v>
      </c>
      <c r="AB4184" s="5" t="str">
        <f>HYPERLINK("https://propertylookup.dupagecounty.gov/Datalets/Datalet.aspx?UseSearch=no&amp;mode=sales&amp;pin=0818115002","sales record")</f>
        <v>sales record</v>
      </c>
      <c r="AC4184" t="s">
        <v>3</v>
      </c>
      <c r="AD4184">
        <v>41.783805</v>
      </c>
      <c r="AE4184">
        <v>-88.14264900000001</v>
      </c>
      <c r="AF4184" s="5" t="str">
        <f>HYPERLINK("https://www.google.com/maps/search/?api=1&amp;query=41.783805,-88.142649","map")</f>
        <v>map</v>
      </c>
    </row>
    <row r="4185" spans="1:32">
      <c r="A4185" t="s">
        <v>4235</v>
      </c>
      <c r="B4185" t="s">
        <v>11768</v>
      </c>
      <c r="C4185" t="s">
        <v>15478</v>
      </c>
      <c r="D4185" t="s">
        <v>16206</v>
      </c>
      <c r="E4185" t="s">
        <v>16218</v>
      </c>
      <c r="F4185" t="s">
        <v>16221</v>
      </c>
      <c r="G4185" t="s">
        <v>16277</v>
      </c>
      <c r="H4185" t="s">
        <v>16277</v>
      </c>
      <c r="I4185" t="s">
        <v>16353</v>
      </c>
      <c r="J4185" t="s">
        <v>16386</v>
      </c>
      <c r="K4185">
        <v>0.219</v>
      </c>
      <c r="L4185">
        <v>9536</v>
      </c>
      <c r="M4185">
        <v>2902</v>
      </c>
      <c r="N4185" t="s">
        <v>16393</v>
      </c>
      <c r="O4185" s="4">
        <v>136332</v>
      </c>
      <c r="P4185" s="4">
        <v>362921</v>
      </c>
      <c r="Q4185" s="4">
        <v>499253</v>
      </c>
      <c r="R4185" s="4">
        <v>1497759</v>
      </c>
      <c r="S4185" t="s">
        <v>20488</v>
      </c>
      <c r="T4185" s="6">
        <v>43160</v>
      </c>
      <c r="U4185" s="4">
        <v>430000</v>
      </c>
      <c r="V4185" t="s">
        <v>23739</v>
      </c>
      <c r="W4185" t="s">
        <v>25926</v>
      </c>
      <c r="X4185" t="s">
        <v>3</v>
      </c>
      <c r="AA4185" s="5" t="str">
        <f>HYPERLINK("https://www.zillow.com/homes/30-S-WEST-ST-NAPERVILLE-IL-60563_rb/","check listing")</f>
        <v>check listing</v>
      </c>
      <c r="AB4185" s="5" t="str">
        <f>HYPERLINK("https://propertylookup.dupagecounty.gov/Datalets/Datalet.aspx?UseSearch=no&amp;mode=sales&amp;pin=0713312006","sales record")</f>
        <v>sales record</v>
      </c>
      <c r="AC4185" t="s">
        <v>3</v>
      </c>
      <c r="AD4185">
        <v>41.77452</v>
      </c>
      <c r="AE4185">
        <v>-88.157476</v>
      </c>
      <c r="AF4185" s="5" t="str">
        <f>HYPERLINK("https://www.google.com/maps/search/?api=1&amp;query=41.77452,-88.157476","map")</f>
        <v>map</v>
      </c>
    </row>
    <row r="4186" spans="1:32">
      <c r="A4186" t="s">
        <v>4236</v>
      </c>
      <c r="B4186" t="s">
        <v>11769</v>
      </c>
      <c r="C4186" t="s">
        <v>15692</v>
      </c>
      <c r="D4186" t="s">
        <v>16206</v>
      </c>
      <c r="E4186" t="s">
        <v>16218</v>
      </c>
      <c r="F4186" t="s">
        <v>16221</v>
      </c>
      <c r="G4186" t="s">
        <v>16278</v>
      </c>
      <c r="H4186" t="s">
        <v>16277</v>
      </c>
      <c r="I4186" t="s">
        <v>16353</v>
      </c>
      <c r="J4186" t="s">
        <v>16386</v>
      </c>
      <c r="K4186">
        <v>0.219</v>
      </c>
      <c r="L4186">
        <v>9520</v>
      </c>
      <c r="N4186" t="s">
        <v>16393</v>
      </c>
      <c r="O4186" s="4">
        <v>74244</v>
      </c>
      <c r="P4186" s="4">
        <v>203790</v>
      </c>
      <c r="Q4186" s="4">
        <v>278034</v>
      </c>
      <c r="R4186" s="4">
        <v>834102</v>
      </c>
      <c r="S4186" t="s">
        <v>20489</v>
      </c>
      <c r="T4186" s="6">
        <v>43617</v>
      </c>
      <c r="U4186" s="4">
        <v>634922</v>
      </c>
      <c r="V4186" t="s">
        <v>16232</v>
      </c>
      <c r="W4186" t="s">
        <v>25927</v>
      </c>
      <c r="X4186" t="s">
        <v>3</v>
      </c>
      <c r="AA4186" s="5" t="str">
        <f>HYPERLINK("https://www.zillow.com/homes/1411-BAYOU-PATH-DR-NAPERVILLE-IL-605633608_rb/","check listing")</f>
        <v>check listing</v>
      </c>
      <c r="AB4186" s="5" t="str">
        <f>HYPERLINK("https://propertylookup.dupagecounty.gov/Datalets/Datalet.aspx?UseSearch=no&amp;mode=sales&amp;pin=0709311057","sales record")</f>
        <v>sales record</v>
      </c>
      <c r="AC4186" t="s">
        <v>3</v>
      </c>
      <c r="AD4186">
        <v>41.787298</v>
      </c>
      <c r="AE4186">
        <v>-88.21989600000001</v>
      </c>
      <c r="AF4186" s="5" t="str">
        <f>HYPERLINK("https://www.google.com/maps/search/?api=1&amp;query=41.787298,-88.219896","map")</f>
        <v>map</v>
      </c>
    </row>
    <row r="4187" spans="1:32">
      <c r="A4187" t="s">
        <v>4237</v>
      </c>
      <c r="B4187" t="s">
        <v>11770</v>
      </c>
      <c r="C4187" t="s">
        <v>15701</v>
      </c>
      <c r="D4187" t="s">
        <v>16206</v>
      </c>
      <c r="E4187" t="s">
        <v>16218</v>
      </c>
      <c r="F4187" t="s">
        <v>16221</v>
      </c>
      <c r="G4187" t="s">
        <v>16277</v>
      </c>
      <c r="H4187" t="s">
        <v>16277</v>
      </c>
      <c r="I4187" t="s">
        <v>16353</v>
      </c>
      <c r="J4187" t="s">
        <v>16386</v>
      </c>
      <c r="K4187">
        <v>0.217</v>
      </c>
      <c r="L4187">
        <v>9466</v>
      </c>
      <c r="M4187">
        <v>3893</v>
      </c>
      <c r="N4187" t="s">
        <v>16393</v>
      </c>
      <c r="O4187" s="4">
        <v>99105</v>
      </c>
      <c r="P4187" s="4">
        <v>84157</v>
      </c>
      <c r="Q4187" s="4">
        <v>183262</v>
      </c>
      <c r="R4187" s="4">
        <v>549786</v>
      </c>
      <c r="S4187" t="s">
        <v>20490</v>
      </c>
      <c r="T4187" s="6">
        <v>41122</v>
      </c>
      <c r="U4187" s="4">
        <v>379900</v>
      </c>
      <c r="V4187" t="s">
        <v>23739</v>
      </c>
      <c r="W4187" t="s">
        <v>25928</v>
      </c>
      <c r="X4187" t="s">
        <v>3</v>
      </c>
      <c r="AA4187" s="5" t="str">
        <f>HYPERLINK("https://www.zillow.com/homes/529-E-8TH-AVE-NAPERVILLE-IL-605633207_rb/","check listing")</f>
        <v>check listing</v>
      </c>
      <c r="AB4187" s="5" t="str">
        <f>HYPERLINK("https://propertylookup.dupagecounty.gov/Datalets/Datalet.aspx?UseSearch=no&amp;mode=sales&amp;pin=0818122005","sales record")</f>
        <v>sales record</v>
      </c>
      <c r="AC4187" t="s">
        <v>3</v>
      </c>
      <c r="AD4187">
        <v>41.783909</v>
      </c>
      <c r="AE4187">
        <v>-88.13889899999999</v>
      </c>
      <c r="AF4187" s="5" t="str">
        <f>HYPERLINK("https://www.google.com/maps/search/?api=1&amp;query=41.783909,-88.138899","map")</f>
        <v>map</v>
      </c>
    </row>
    <row r="4188" spans="1:32">
      <c r="A4188" t="s">
        <v>4238</v>
      </c>
      <c r="B4188" t="s">
        <v>11771</v>
      </c>
      <c r="C4188" t="s">
        <v>15702</v>
      </c>
      <c r="D4188" t="s">
        <v>16206</v>
      </c>
      <c r="E4188" t="s">
        <v>16218</v>
      </c>
      <c r="F4188" t="s">
        <v>16221</v>
      </c>
      <c r="G4188" t="s">
        <v>16278</v>
      </c>
      <c r="H4188" t="s">
        <v>16277</v>
      </c>
      <c r="I4188" t="s">
        <v>16353</v>
      </c>
      <c r="J4188" t="s">
        <v>16386</v>
      </c>
      <c r="K4188">
        <v>0.217</v>
      </c>
      <c r="L4188">
        <v>9458</v>
      </c>
      <c r="N4188" t="s">
        <v>16393</v>
      </c>
      <c r="O4188" s="4">
        <v>64565</v>
      </c>
      <c r="P4188" s="4">
        <v>207134</v>
      </c>
      <c r="Q4188" s="4">
        <v>271699</v>
      </c>
      <c r="R4188" s="4">
        <v>815097</v>
      </c>
      <c r="S4188" t="s">
        <v>20491</v>
      </c>
      <c r="T4188" s="6">
        <v>42736</v>
      </c>
      <c r="U4188" s="4">
        <v>518687</v>
      </c>
      <c r="V4188" t="s">
        <v>16232</v>
      </c>
      <c r="W4188" t="s">
        <v>25929</v>
      </c>
      <c r="X4188" t="s">
        <v>3</v>
      </c>
      <c r="AA4188" s="5" t="str">
        <f>HYPERLINK("https://www.zillow.com/homes/1615-ALDERLEAF-LN-NAPERVILLE-IL-605631790_rb/","check listing")</f>
        <v>check listing</v>
      </c>
      <c r="AB4188" s="5" t="str">
        <f>HYPERLINK("https://propertylookup.dupagecounty.gov/Datalets/Datalet.aspx?UseSearch=no&amp;mode=sales&amp;pin=0709113007","sales record")</f>
        <v>sales record</v>
      </c>
      <c r="AC4188" t="s">
        <v>3</v>
      </c>
      <c r="AD4188">
        <v>41.796517</v>
      </c>
      <c r="AE4188">
        <v>-88.21792600000001</v>
      </c>
      <c r="AF4188" s="5" t="str">
        <f>HYPERLINK("https://www.google.com/maps/search/?api=1&amp;query=41.796517,-88.217926","map")</f>
        <v>map</v>
      </c>
    </row>
    <row r="4189" spans="1:32">
      <c r="A4189" t="s">
        <v>4239</v>
      </c>
      <c r="B4189" t="s">
        <v>11772</v>
      </c>
      <c r="C4189" t="s">
        <v>15478</v>
      </c>
      <c r="D4189" t="s">
        <v>16206</v>
      </c>
      <c r="E4189" t="s">
        <v>16218</v>
      </c>
      <c r="F4189" t="s">
        <v>16221</v>
      </c>
      <c r="G4189" t="s">
        <v>16277</v>
      </c>
      <c r="H4189" t="s">
        <v>16277</v>
      </c>
      <c r="I4189" t="s">
        <v>16353</v>
      </c>
      <c r="J4189" t="s">
        <v>16386</v>
      </c>
      <c r="K4189">
        <v>0.217</v>
      </c>
      <c r="L4189">
        <v>9455</v>
      </c>
      <c r="M4189">
        <v>2425</v>
      </c>
      <c r="N4189" t="s">
        <v>16393</v>
      </c>
      <c r="O4189" s="4">
        <v>99212</v>
      </c>
      <c r="P4189" s="4">
        <v>50278</v>
      </c>
      <c r="Q4189" s="4">
        <v>149490</v>
      </c>
      <c r="R4189" s="4">
        <v>448470</v>
      </c>
      <c r="S4189" t="s">
        <v>20492</v>
      </c>
      <c r="T4189" s="6">
        <v>41760</v>
      </c>
      <c r="U4189" s="4">
        <v>390000</v>
      </c>
      <c r="V4189" t="s">
        <v>23740</v>
      </c>
      <c r="W4189" t="s">
        <v>25930</v>
      </c>
      <c r="X4189" t="s">
        <v>3</v>
      </c>
      <c r="AA4189" s="5" t="str">
        <f>HYPERLINK("https://www.zillow.com/homes/527-N-LOOMIS-ST-NAPERVILLE-IL-60563_rb/","check listing")</f>
        <v>check listing</v>
      </c>
      <c r="AB4189" s="5" t="str">
        <f>HYPERLINK("https://propertylookup.dupagecounty.gov/Datalets/Datalet.aspx?UseSearch=no&amp;mode=sales&amp;pin=0818116008","sales record")</f>
        <v>sales record</v>
      </c>
      <c r="AC4189" t="s">
        <v>3</v>
      </c>
      <c r="AD4189">
        <v>41.781676</v>
      </c>
      <c r="AE4189">
        <v>-88.14229</v>
      </c>
      <c r="AF4189" s="5" t="str">
        <f>HYPERLINK("https://www.google.com/maps/search/?api=1&amp;query=41.781676,-88.14229","map")</f>
        <v>map</v>
      </c>
    </row>
    <row r="4190" spans="1:32">
      <c r="A4190" t="s">
        <v>4240</v>
      </c>
      <c r="B4190" t="s">
        <v>11773</v>
      </c>
      <c r="C4190" t="s">
        <v>15478</v>
      </c>
      <c r="D4190" t="s">
        <v>16206</v>
      </c>
      <c r="E4190" t="s">
        <v>16218</v>
      </c>
      <c r="F4190" t="s">
        <v>16221</v>
      </c>
      <c r="G4190" t="s">
        <v>16277</v>
      </c>
      <c r="H4190" t="s">
        <v>16277</v>
      </c>
      <c r="I4190" t="s">
        <v>16353</v>
      </c>
      <c r="J4190" t="s">
        <v>16386</v>
      </c>
      <c r="K4190">
        <v>0.217</v>
      </c>
      <c r="L4190">
        <v>9447</v>
      </c>
      <c r="M4190">
        <v>2144</v>
      </c>
      <c r="N4190" t="s">
        <v>16393</v>
      </c>
      <c r="O4190" s="4">
        <v>77570</v>
      </c>
      <c r="P4190" s="4">
        <v>92029</v>
      </c>
      <c r="Q4190" s="4">
        <v>169599</v>
      </c>
      <c r="R4190" s="4">
        <v>508797</v>
      </c>
      <c r="S4190" t="s">
        <v>20493</v>
      </c>
      <c r="T4190" s="6">
        <v>42217</v>
      </c>
      <c r="U4190" s="4">
        <v>327500</v>
      </c>
      <c r="V4190" t="s">
        <v>23739</v>
      </c>
      <c r="W4190" t="s">
        <v>20493</v>
      </c>
      <c r="X4190" t="s">
        <v>3</v>
      </c>
      <c r="AA4190" s="5" t="str">
        <f>HYPERLINK("https://www.zillow.com/homes/545-PLANK-RD-NAPERVILLE-IL-60563_rb/","check listing")</f>
        <v>check listing</v>
      </c>
      <c r="AB4190" s="5" t="str">
        <f>HYPERLINK("https://propertylookup.dupagecounty.gov/Datalets/Datalet.aspx?UseSearch=no&amp;mode=sales&amp;pin=0818206056","sales record")</f>
        <v>sales record</v>
      </c>
      <c r="AC4190" t="s">
        <v>3</v>
      </c>
      <c r="AD4190">
        <v>41.781331</v>
      </c>
      <c r="AE4190">
        <v>-88.133729</v>
      </c>
      <c r="AF4190" s="5" t="str">
        <f>HYPERLINK("https://www.google.com/maps/search/?api=1&amp;query=41.781331,-88.133729","map")</f>
        <v>map</v>
      </c>
    </row>
    <row r="4191" spans="1:32">
      <c r="A4191" t="s">
        <v>4241</v>
      </c>
      <c r="B4191" t="s">
        <v>11774</v>
      </c>
      <c r="C4191" t="s">
        <v>15478</v>
      </c>
      <c r="D4191" t="s">
        <v>16206</v>
      </c>
      <c r="E4191" t="s">
        <v>16218</v>
      </c>
      <c r="F4191" t="s">
        <v>16221</v>
      </c>
      <c r="G4191" t="s">
        <v>16277</v>
      </c>
      <c r="H4191" t="s">
        <v>16277</v>
      </c>
      <c r="I4191" t="s">
        <v>16353</v>
      </c>
      <c r="J4191" t="s">
        <v>16386</v>
      </c>
      <c r="K4191">
        <v>0.217</v>
      </c>
      <c r="L4191">
        <v>9447</v>
      </c>
      <c r="M4191">
        <v>2308</v>
      </c>
      <c r="N4191" t="s">
        <v>16393</v>
      </c>
      <c r="O4191" s="4">
        <v>77570</v>
      </c>
      <c r="P4191" s="4">
        <v>108844</v>
      </c>
      <c r="Q4191" s="4">
        <v>186414</v>
      </c>
      <c r="R4191" s="4">
        <v>559242</v>
      </c>
      <c r="S4191" t="s">
        <v>20494</v>
      </c>
      <c r="T4191" s="6">
        <v>35186</v>
      </c>
      <c r="U4191" s="4">
        <v>192000</v>
      </c>
      <c r="X4191" t="s">
        <v>3</v>
      </c>
      <c r="AA4191" s="5" t="str">
        <f>HYPERLINK("https://www.zillow.com/homes/549-OLD-PLANK-RD-NAPERVILLE-IL-60563_rb/","check listing")</f>
        <v>check listing</v>
      </c>
      <c r="AB4191" s="5" t="str">
        <f>HYPERLINK("https://propertylookup.dupagecounty.gov/Datalets/Datalet.aspx?UseSearch=no&amp;mode=sales&amp;pin=0818206057","sales record")</f>
        <v>sales record</v>
      </c>
      <c r="AC4191" t="s">
        <v>3</v>
      </c>
      <c r="AD4191">
        <v>41.781417</v>
      </c>
      <c r="AE4191">
        <v>-88.133529</v>
      </c>
      <c r="AF4191" s="5" t="str">
        <f>HYPERLINK("https://www.google.com/maps/search/?api=1&amp;query=41.781417,-88.133529","map")</f>
        <v>map</v>
      </c>
    </row>
    <row r="4192" spans="1:32">
      <c r="A4192" t="s">
        <v>4242</v>
      </c>
      <c r="B4192" t="s">
        <v>11775</v>
      </c>
      <c r="C4192" t="s">
        <v>15637</v>
      </c>
      <c r="D4192" t="s">
        <v>16206</v>
      </c>
      <c r="E4192" t="s">
        <v>16218</v>
      </c>
      <c r="F4192" t="s">
        <v>16221</v>
      </c>
      <c r="G4192" t="s">
        <v>16277</v>
      </c>
      <c r="H4192" t="s">
        <v>16277</v>
      </c>
      <c r="I4192" t="s">
        <v>16353</v>
      </c>
      <c r="J4192" t="s">
        <v>16386</v>
      </c>
      <c r="K4192">
        <v>0.217</v>
      </c>
      <c r="L4192">
        <v>9446</v>
      </c>
      <c r="M4192">
        <v>2177</v>
      </c>
      <c r="N4192" t="s">
        <v>16393</v>
      </c>
      <c r="O4192" s="4">
        <v>77570</v>
      </c>
      <c r="P4192" s="4">
        <v>97750</v>
      </c>
      <c r="Q4192" s="4">
        <v>175320</v>
      </c>
      <c r="R4192" s="4">
        <v>525960</v>
      </c>
      <c r="S4192" t="s">
        <v>20495</v>
      </c>
      <c r="T4192" s="6">
        <v>42948</v>
      </c>
      <c r="U4192" s="4">
        <v>352500</v>
      </c>
      <c r="V4192" t="s">
        <v>23739</v>
      </c>
      <c r="W4192" t="s">
        <v>25931</v>
      </c>
      <c r="X4192" t="s">
        <v>3</v>
      </c>
      <c r="AA4192" s="5" t="str">
        <f>HYPERLINK("https://www.zillow.com/homes/553-PLANK-RD-NAPERVILLE-IL-605633268_rb/","check listing")</f>
        <v>check listing</v>
      </c>
      <c r="AB4192" s="5" t="str">
        <f>HYPERLINK("https://propertylookup.dupagecounty.gov/Datalets/Datalet.aspx?UseSearch=no&amp;mode=sales&amp;pin=0818206058","sales record")</f>
        <v>sales record</v>
      </c>
      <c r="AC4192" t="s">
        <v>3</v>
      </c>
      <c r="AD4192">
        <v>41.781503</v>
      </c>
      <c r="AE4192">
        <v>-88.13332800000001</v>
      </c>
      <c r="AF4192" s="5" t="str">
        <f>HYPERLINK("https://www.google.com/maps/search/?api=1&amp;query=41.781503,-88.133328","map")</f>
        <v>map</v>
      </c>
    </row>
    <row r="4193" spans="1:32">
      <c r="A4193" t="s">
        <v>4243</v>
      </c>
      <c r="B4193" t="s">
        <v>11776</v>
      </c>
      <c r="C4193" t="s">
        <v>15475</v>
      </c>
      <c r="D4193" t="s">
        <v>16206</v>
      </c>
      <c r="E4193" t="s">
        <v>16218</v>
      </c>
      <c r="F4193" t="s">
        <v>16221</v>
      </c>
      <c r="G4193" t="s">
        <v>16277</v>
      </c>
      <c r="H4193" t="s">
        <v>16277</v>
      </c>
      <c r="I4193" t="s">
        <v>16353</v>
      </c>
      <c r="J4193" t="s">
        <v>16386</v>
      </c>
      <c r="K4193">
        <v>0.217</v>
      </c>
      <c r="L4193">
        <v>9444</v>
      </c>
      <c r="M4193">
        <v>2403</v>
      </c>
      <c r="N4193" t="s">
        <v>16393</v>
      </c>
      <c r="O4193" s="4">
        <v>100032</v>
      </c>
      <c r="P4193" s="4">
        <v>29455</v>
      </c>
      <c r="Q4193" s="4">
        <v>129487</v>
      </c>
      <c r="R4193" s="4">
        <v>388461</v>
      </c>
      <c r="S4193" t="s">
        <v>18950</v>
      </c>
      <c r="T4193" s="6">
        <v>45061</v>
      </c>
      <c r="U4193" s="4">
        <v>400000</v>
      </c>
      <c r="V4193" t="s">
        <v>23741</v>
      </c>
      <c r="W4193" t="s">
        <v>20497</v>
      </c>
      <c r="X4193" t="s">
        <v>3</v>
      </c>
      <c r="AA4193" s="5" t="str">
        <f>HYPERLINK("https://www.zillow.com/homes/622-E-4TH-AVE-NAPERVILLE-IL-60540_rb/","check listing")</f>
        <v>check listing</v>
      </c>
      <c r="AB4193" s="5" t="str">
        <f>HYPERLINK("https://propertylookup.dupagecounty.gov/Datalets/Datalet.aspx?UseSearch=no&amp;mode=sales&amp;pin=0818204003","sales record")</f>
        <v>sales record</v>
      </c>
      <c r="AC4193" t="s">
        <v>3</v>
      </c>
      <c r="AD4193">
        <v>41.779149</v>
      </c>
      <c r="AE4193">
        <v>-88.138379</v>
      </c>
      <c r="AF4193" s="5" t="str">
        <f>HYPERLINK("https://www.google.com/maps/search/?api=1&amp;query=41.779149,-88.138379","map")</f>
        <v>map</v>
      </c>
    </row>
    <row r="4194" spans="1:32">
      <c r="A4194" t="s">
        <v>4244</v>
      </c>
      <c r="B4194" t="s">
        <v>11777</v>
      </c>
      <c r="C4194" t="s">
        <v>15475</v>
      </c>
      <c r="D4194" t="s">
        <v>16206</v>
      </c>
      <c r="E4194" t="s">
        <v>16218</v>
      </c>
      <c r="F4194" t="s">
        <v>16221</v>
      </c>
      <c r="G4194" t="s">
        <v>16277</v>
      </c>
      <c r="H4194" t="s">
        <v>16277</v>
      </c>
      <c r="I4194" t="s">
        <v>16353</v>
      </c>
      <c r="J4194" t="s">
        <v>16386</v>
      </c>
      <c r="K4194">
        <v>0.217</v>
      </c>
      <c r="L4194">
        <v>9442</v>
      </c>
      <c r="M4194">
        <v>2177</v>
      </c>
      <c r="N4194" t="s">
        <v>16393</v>
      </c>
      <c r="O4194" s="4">
        <v>138514</v>
      </c>
      <c r="P4194" s="4">
        <v>92528</v>
      </c>
      <c r="Q4194" s="4">
        <v>231042</v>
      </c>
      <c r="R4194" s="4">
        <v>693126</v>
      </c>
      <c r="S4194" t="s">
        <v>20496</v>
      </c>
      <c r="X4194" t="s">
        <v>3</v>
      </c>
      <c r="AA4194" s="5" t="str">
        <f>HYPERLINK("https://www.zillow.com/homes/105-N-ELLSWORTH-ST-NAPERVILLE-IL-60540_rb/","check listing")</f>
        <v>check listing</v>
      </c>
      <c r="AB4194" s="5" t="str">
        <f>HYPERLINK("https://propertylookup.dupagecounty.gov/Datalets/Datalet.aspx?UseSearch=no&amp;mode=sales&amp;pin=0818301018","sales record")</f>
        <v>sales record</v>
      </c>
      <c r="AC4194" t="s">
        <v>3</v>
      </c>
      <c r="AD4194">
        <v>41.776121</v>
      </c>
      <c r="AE4194">
        <v>-88.145438</v>
      </c>
      <c r="AF4194" s="5" t="str">
        <f>HYPERLINK("https://www.google.com/maps/search/?api=1&amp;query=41.776121,-88.145438","map")</f>
        <v>map</v>
      </c>
    </row>
    <row r="4195" spans="1:32">
      <c r="A4195" t="s">
        <v>4245</v>
      </c>
      <c r="B4195" t="s">
        <v>11778</v>
      </c>
      <c r="C4195" t="s">
        <v>15475</v>
      </c>
      <c r="D4195" t="s">
        <v>16206</v>
      </c>
      <c r="E4195" t="s">
        <v>16218</v>
      </c>
      <c r="F4195" t="s">
        <v>16221</v>
      </c>
      <c r="G4195" t="s">
        <v>16277</v>
      </c>
      <c r="H4195" t="s">
        <v>16277</v>
      </c>
      <c r="I4195" t="s">
        <v>16353</v>
      </c>
      <c r="J4195" t="s">
        <v>16386</v>
      </c>
      <c r="K4195">
        <v>0.217</v>
      </c>
      <c r="L4195">
        <v>9441</v>
      </c>
      <c r="M4195">
        <v>2745</v>
      </c>
      <c r="N4195" t="s">
        <v>16393</v>
      </c>
      <c r="O4195" s="4">
        <v>129204</v>
      </c>
      <c r="P4195" s="4">
        <v>79699</v>
      </c>
      <c r="Q4195" s="4">
        <v>208903</v>
      </c>
      <c r="R4195" s="4">
        <v>626709</v>
      </c>
      <c r="S4195" t="s">
        <v>20497</v>
      </c>
      <c r="T4195" s="6">
        <v>44837</v>
      </c>
      <c r="U4195" s="4">
        <v>450000</v>
      </c>
      <c r="V4195" t="s">
        <v>23739</v>
      </c>
      <c r="W4195" t="s">
        <v>25932</v>
      </c>
      <c r="X4195" t="s">
        <v>3</v>
      </c>
      <c r="AA4195" s="5" t="str">
        <f>HYPERLINK("https://www.zillow.com/homes/115-W-HILLSIDE-RD-NAPERVILLE-IL-60540_rb/","check listing")</f>
        <v>check listing</v>
      </c>
      <c r="AB4195" s="5" t="str">
        <f>HYPERLINK("https://propertylookup.dupagecounty.gov/Datalets/Datalet.aspx?UseSearch=no&amp;mode=sales&amp;pin=0724203022","sales record")</f>
        <v>sales record</v>
      </c>
      <c r="AC4195" t="s">
        <v>3</v>
      </c>
      <c r="AD4195">
        <v>41.766351</v>
      </c>
      <c r="AE4195">
        <v>-88.150519</v>
      </c>
      <c r="AF4195" s="5" t="str">
        <f>HYPERLINK("https://www.google.com/maps/search/?api=1&amp;query=41.766351,-88.150519","map")</f>
        <v>map</v>
      </c>
    </row>
    <row r="4196" spans="1:32">
      <c r="A4196" t="s">
        <v>4246</v>
      </c>
      <c r="B4196" t="s">
        <v>11779</v>
      </c>
      <c r="C4196" t="s">
        <v>15475</v>
      </c>
      <c r="D4196" t="s">
        <v>16206</v>
      </c>
      <c r="E4196" t="s">
        <v>16218</v>
      </c>
      <c r="F4196" t="s">
        <v>16221</v>
      </c>
      <c r="G4196" t="s">
        <v>16278</v>
      </c>
      <c r="H4196" t="s">
        <v>16277</v>
      </c>
      <c r="I4196" t="s">
        <v>16353</v>
      </c>
      <c r="J4196" t="s">
        <v>16386</v>
      </c>
      <c r="K4196">
        <v>0.217</v>
      </c>
      <c r="L4196">
        <v>9434</v>
      </c>
      <c r="N4196" t="s">
        <v>16393</v>
      </c>
      <c r="O4196" s="4">
        <v>64565</v>
      </c>
      <c r="P4196" s="4">
        <v>166344</v>
      </c>
      <c r="Q4196" s="4">
        <v>230909</v>
      </c>
      <c r="R4196" s="4">
        <v>692727</v>
      </c>
      <c r="S4196" t="s">
        <v>20498</v>
      </c>
      <c r="T4196" s="6">
        <v>42948</v>
      </c>
      <c r="U4196" s="4">
        <v>473890</v>
      </c>
      <c r="V4196" t="s">
        <v>16232</v>
      </c>
      <c r="W4196" t="s">
        <v>25933</v>
      </c>
      <c r="X4196" t="s">
        <v>3</v>
      </c>
      <c r="AA4196" s="5" t="str">
        <f>HYPERLINK("https://www.zillow.com/homes/1656-SILVERLEAF-ST-NAPERVILLE-IL-60540_rb/","check listing")</f>
        <v>check listing</v>
      </c>
      <c r="AB4196" s="5" t="str">
        <f>HYPERLINK("https://propertylookup.dupagecounty.gov/Datalets/Datalet.aspx?UseSearch=no&amp;mode=sales&amp;pin=0709108003","sales record")</f>
        <v>sales record</v>
      </c>
      <c r="AC4196" t="s">
        <v>3</v>
      </c>
      <c r="AD4196">
        <v>41.79721</v>
      </c>
      <c r="AE4196">
        <v>-88.22406100000001</v>
      </c>
      <c r="AF4196" s="5" t="str">
        <f>HYPERLINK("https://www.google.com/maps/search/?api=1&amp;query=41.79721,-88.224061","map")</f>
        <v>map</v>
      </c>
    </row>
    <row r="4197" spans="1:32">
      <c r="A4197" t="s">
        <v>4247</v>
      </c>
      <c r="B4197" t="s">
        <v>11780</v>
      </c>
      <c r="C4197" t="s">
        <v>15475</v>
      </c>
      <c r="D4197" t="s">
        <v>16206</v>
      </c>
      <c r="E4197" t="s">
        <v>16218</v>
      </c>
      <c r="F4197" t="s">
        <v>16221</v>
      </c>
      <c r="G4197" t="s">
        <v>16277</v>
      </c>
      <c r="H4197" t="s">
        <v>16277</v>
      </c>
      <c r="I4197" t="s">
        <v>16353</v>
      </c>
      <c r="J4197" t="s">
        <v>16386</v>
      </c>
      <c r="K4197">
        <v>0.216</v>
      </c>
      <c r="L4197">
        <v>9427</v>
      </c>
      <c r="M4197">
        <v>2177</v>
      </c>
      <c r="N4197" t="s">
        <v>16393</v>
      </c>
      <c r="O4197" s="4">
        <v>125837</v>
      </c>
      <c r="P4197" s="4">
        <v>43131</v>
      </c>
      <c r="Q4197" s="4">
        <v>168968</v>
      </c>
      <c r="R4197" s="4">
        <v>506904</v>
      </c>
      <c r="S4197" t="s">
        <v>20499</v>
      </c>
      <c r="T4197" s="6">
        <v>45380</v>
      </c>
      <c r="U4197" s="4">
        <v>410000</v>
      </c>
      <c r="V4197" t="s">
        <v>23739</v>
      </c>
      <c r="W4197" t="s">
        <v>20499</v>
      </c>
      <c r="X4197" t="s">
        <v>3</v>
      </c>
      <c r="AA4197" s="5" t="str">
        <f>HYPERLINK("https://www.zillow.com/homes/635-NORTH-AVE-NAPERVILLE-IL-60540_rb/","check listing")</f>
        <v>check listing</v>
      </c>
      <c r="AB4197" s="5" t="str">
        <f>HYPERLINK("https://propertylookup.dupagecounty.gov/Datalets/Datalet.aspx?UseSearch=no&amp;mode=sales&amp;pin=0818204011","sales record")</f>
        <v>sales record</v>
      </c>
      <c r="AC4197" t="s">
        <v>3</v>
      </c>
      <c r="AD4197">
        <v>41.778558</v>
      </c>
      <c r="AE4197">
        <v>-88.13791000000001</v>
      </c>
      <c r="AF4197" s="5" t="str">
        <f>HYPERLINK("https://www.google.com/maps/search/?api=1&amp;query=41.778558,-88.13791","map")</f>
        <v>map</v>
      </c>
    </row>
    <row r="4198" spans="1:32">
      <c r="A4198" t="s">
        <v>4248</v>
      </c>
      <c r="B4198" t="s">
        <v>11781</v>
      </c>
      <c r="C4198" t="s">
        <v>15703</v>
      </c>
      <c r="D4198" t="s">
        <v>16206</v>
      </c>
      <c r="E4198" t="s">
        <v>16218</v>
      </c>
      <c r="F4198" t="s">
        <v>16221</v>
      </c>
      <c r="G4198" t="s">
        <v>16277</v>
      </c>
      <c r="H4198" t="s">
        <v>16277</v>
      </c>
      <c r="I4198" t="s">
        <v>16353</v>
      </c>
      <c r="J4198" t="s">
        <v>16386</v>
      </c>
      <c r="K4198">
        <v>0.216</v>
      </c>
      <c r="L4198">
        <v>9417</v>
      </c>
      <c r="M4198">
        <v>2408</v>
      </c>
      <c r="N4198" t="s">
        <v>16393</v>
      </c>
      <c r="O4198" s="4">
        <v>125837</v>
      </c>
      <c r="P4198" s="4">
        <v>30121</v>
      </c>
      <c r="Q4198" s="4">
        <v>155958</v>
      </c>
      <c r="R4198" s="4">
        <v>467874</v>
      </c>
      <c r="S4198" t="s">
        <v>20500</v>
      </c>
      <c r="T4198" s="6">
        <v>43374</v>
      </c>
      <c r="U4198" s="4">
        <v>312500</v>
      </c>
      <c r="V4198" t="s">
        <v>23740</v>
      </c>
      <c r="W4198" t="s">
        <v>25934</v>
      </c>
      <c r="X4198" t="s">
        <v>3</v>
      </c>
      <c r="AA4198" s="5" t="str">
        <f>HYPERLINK("https://www.zillow.com/homes/631-NORTH-AVE-NAPERVILLE-IL-605404731_rb/","check listing")</f>
        <v>check listing</v>
      </c>
      <c r="AB4198" s="5" t="str">
        <f>HYPERLINK("https://propertylookup.dupagecounty.gov/Datalets/Datalet.aspx?UseSearch=no&amp;mode=sales&amp;pin=0818204009","sales record")</f>
        <v>sales record</v>
      </c>
      <c r="AC4198" t="s">
        <v>3</v>
      </c>
      <c r="AD4198">
        <v>41.778563</v>
      </c>
      <c r="AE4198">
        <v>-88.138093</v>
      </c>
      <c r="AF4198" s="5" t="str">
        <f>HYPERLINK("https://www.google.com/maps/search/?api=1&amp;query=41.778563,-88.138093","map")</f>
        <v>map</v>
      </c>
    </row>
    <row r="4199" spans="1:32">
      <c r="A4199" t="s">
        <v>4249</v>
      </c>
      <c r="B4199" t="s">
        <v>11782</v>
      </c>
      <c r="C4199" t="s">
        <v>15475</v>
      </c>
      <c r="D4199" t="s">
        <v>16206</v>
      </c>
      <c r="E4199" t="s">
        <v>16218</v>
      </c>
      <c r="F4199" t="s">
        <v>16221</v>
      </c>
      <c r="G4199" t="s">
        <v>16277</v>
      </c>
      <c r="H4199" t="s">
        <v>16277</v>
      </c>
      <c r="I4199" t="s">
        <v>16353</v>
      </c>
      <c r="J4199" t="s">
        <v>16386</v>
      </c>
      <c r="K4199">
        <v>0.216</v>
      </c>
      <c r="L4199">
        <v>9408</v>
      </c>
      <c r="N4199" t="s">
        <v>16393</v>
      </c>
      <c r="O4199" s="4">
        <v>129790</v>
      </c>
      <c r="P4199" s="4">
        <v>299588</v>
      </c>
      <c r="Q4199" s="4">
        <v>429378</v>
      </c>
      <c r="R4199" s="4">
        <v>1288134</v>
      </c>
      <c r="S4199" t="s">
        <v>20501</v>
      </c>
      <c r="T4199" s="6">
        <v>43252</v>
      </c>
      <c r="U4199" s="4">
        <v>350000</v>
      </c>
      <c r="V4199" t="s">
        <v>23739</v>
      </c>
      <c r="W4199" t="s">
        <v>20501</v>
      </c>
      <c r="X4199" t="s">
        <v>3</v>
      </c>
      <c r="AA4199" s="5" t="str">
        <f>HYPERLINK("https://www.zillow.com/homes/LAIRD-ST-NAPERVILLE-IL-60540_rb/","check listing")</f>
        <v>check listing</v>
      </c>
      <c r="AB4199" s="5" t="str">
        <f>HYPERLINK("https://propertylookup.dupagecounty.gov/Datalets/Datalet.aspx?UseSearch=no&amp;mode=sales&amp;pin=0713101021","sales record")</f>
        <v>sales record</v>
      </c>
      <c r="AC4199" t="s">
        <v>3</v>
      </c>
      <c r="AD4199">
        <v>41.778449</v>
      </c>
      <c r="AE4199">
        <v>-88.160186</v>
      </c>
      <c r="AF4199" s="5" t="str">
        <f>HYPERLINK("https://www.google.com/maps/search/?api=1&amp;query=41.778449,-88.160186","map")</f>
        <v>map</v>
      </c>
    </row>
    <row r="4200" spans="1:32">
      <c r="A4200" t="s">
        <v>4250</v>
      </c>
      <c r="B4200" t="s">
        <v>11783</v>
      </c>
      <c r="C4200" t="s">
        <v>15475</v>
      </c>
      <c r="D4200" t="s">
        <v>16206</v>
      </c>
      <c r="E4200" t="s">
        <v>16218</v>
      </c>
      <c r="F4200" t="s">
        <v>16221</v>
      </c>
      <c r="G4200" t="s">
        <v>16277</v>
      </c>
      <c r="H4200" t="s">
        <v>16277</v>
      </c>
      <c r="I4200" t="s">
        <v>16353</v>
      </c>
      <c r="J4200" t="s">
        <v>16386</v>
      </c>
      <c r="K4200">
        <v>0.216</v>
      </c>
      <c r="L4200">
        <v>9405</v>
      </c>
      <c r="M4200">
        <v>2219</v>
      </c>
      <c r="N4200" t="s">
        <v>16393</v>
      </c>
      <c r="O4200" s="4">
        <v>125837</v>
      </c>
      <c r="P4200" s="4">
        <v>66451</v>
      </c>
      <c r="Q4200" s="4">
        <v>192288</v>
      </c>
      <c r="R4200" s="4">
        <v>576864</v>
      </c>
      <c r="S4200" t="s">
        <v>20502</v>
      </c>
      <c r="T4200" s="6">
        <v>41730</v>
      </c>
      <c r="U4200" s="4">
        <v>344900</v>
      </c>
      <c r="V4200" t="s">
        <v>23739</v>
      </c>
      <c r="W4200" t="s">
        <v>20502</v>
      </c>
      <c r="X4200" t="s">
        <v>3</v>
      </c>
      <c r="AA4200" s="5" t="str">
        <f>HYPERLINK("https://www.zillow.com/homes/625-E-NORTH-AVE-NAPERVILLE-IL-60540_rb/","check listing")</f>
        <v>check listing</v>
      </c>
      <c r="AB4200" s="5" t="str">
        <f>HYPERLINK("https://propertylookup.dupagecounty.gov/Datalets/Datalet.aspx?UseSearch=no&amp;mode=sales&amp;pin=0818204008","sales record")</f>
        <v>sales record</v>
      </c>
      <c r="AC4200" t="s">
        <v>3</v>
      </c>
      <c r="AD4200">
        <v>41.778571</v>
      </c>
      <c r="AE4200">
        <v>-88.13827499999999</v>
      </c>
      <c r="AF4200" s="5" t="str">
        <f>HYPERLINK("https://www.google.com/maps/search/?api=1&amp;query=41.778571,-88.138275","map")</f>
        <v>map</v>
      </c>
    </row>
    <row r="4201" spans="1:32">
      <c r="A4201" t="s">
        <v>4251</v>
      </c>
      <c r="B4201" t="s">
        <v>11784</v>
      </c>
      <c r="C4201" t="s">
        <v>15662</v>
      </c>
      <c r="D4201" t="s">
        <v>16206</v>
      </c>
      <c r="E4201" t="s">
        <v>16218</v>
      </c>
      <c r="F4201" t="s">
        <v>16221</v>
      </c>
      <c r="G4201" t="s">
        <v>16278</v>
      </c>
      <c r="H4201" t="s">
        <v>16277</v>
      </c>
      <c r="I4201" t="s">
        <v>16353</v>
      </c>
      <c r="J4201" t="s">
        <v>16386</v>
      </c>
      <c r="K4201">
        <v>0.216</v>
      </c>
      <c r="L4201">
        <v>9393</v>
      </c>
      <c r="N4201" t="s">
        <v>16393</v>
      </c>
      <c r="O4201" s="4">
        <v>56146</v>
      </c>
      <c r="P4201" s="4">
        <v>257402</v>
      </c>
      <c r="Q4201" s="4">
        <v>313548</v>
      </c>
      <c r="R4201" s="4">
        <v>940644</v>
      </c>
      <c r="S4201" t="s">
        <v>20503</v>
      </c>
      <c r="T4201" s="6">
        <v>45145</v>
      </c>
      <c r="U4201" s="4">
        <v>872603</v>
      </c>
      <c r="V4201" t="s">
        <v>16232</v>
      </c>
      <c r="W4201" t="s">
        <v>25935</v>
      </c>
      <c r="X4201" t="s">
        <v>3</v>
      </c>
      <c r="AA4201" s="5" t="str">
        <f>HYPERLINK("https://www.zillow.com/homes/1127-HIBBARD-RD-NAPERVILLE-IL-605631594_rb/","check listing")</f>
        <v>check listing</v>
      </c>
      <c r="AB4201" s="5" t="str">
        <f>HYPERLINK("https://propertylookup.dupagecounty.gov/Datalets/Datalet.aspx?UseSearch=no&amp;mode=sales&amp;pin=0532300074","sales record")</f>
        <v>sales record</v>
      </c>
      <c r="AC4201" t="s">
        <v>3</v>
      </c>
      <c r="AD4201">
        <v>41.820113</v>
      </c>
      <c r="AE4201">
        <v>-88.12282399999999</v>
      </c>
      <c r="AF4201" s="5" t="str">
        <f>HYPERLINK("https://www.google.com/maps/search/?api=1&amp;query=41.820113,-88.122824","map")</f>
        <v>map</v>
      </c>
    </row>
    <row r="4202" spans="1:32">
      <c r="A4202" t="s">
        <v>4252</v>
      </c>
      <c r="B4202" t="s">
        <v>11785</v>
      </c>
      <c r="C4202" t="s">
        <v>15703</v>
      </c>
      <c r="D4202" t="s">
        <v>16206</v>
      </c>
      <c r="E4202" t="s">
        <v>16218</v>
      </c>
      <c r="F4202" t="s">
        <v>16221</v>
      </c>
      <c r="G4202" t="s">
        <v>16277</v>
      </c>
      <c r="H4202" t="s">
        <v>16277</v>
      </c>
      <c r="I4202" t="s">
        <v>16353</v>
      </c>
      <c r="J4202" t="s">
        <v>16386</v>
      </c>
      <c r="K4202">
        <v>0.216</v>
      </c>
      <c r="L4202">
        <v>9393</v>
      </c>
      <c r="M4202">
        <v>2441</v>
      </c>
      <c r="N4202" t="s">
        <v>16393</v>
      </c>
      <c r="O4202" s="4">
        <v>125837</v>
      </c>
      <c r="P4202" s="4">
        <v>117942</v>
      </c>
      <c r="Q4202" s="4">
        <v>243779</v>
      </c>
      <c r="R4202" s="4">
        <v>731337</v>
      </c>
      <c r="S4202" t="s">
        <v>20504</v>
      </c>
      <c r="T4202" s="6">
        <v>43070</v>
      </c>
      <c r="U4202" s="4">
        <v>525000</v>
      </c>
      <c r="V4202" t="s">
        <v>23739</v>
      </c>
      <c r="W4202" t="s">
        <v>25936</v>
      </c>
      <c r="X4202" t="s">
        <v>3</v>
      </c>
      <c r="AA4202" s="5" t="str">
        <f>HYPERLINK("https://www.zillow.com/homes/619-NORTH-AVE-NAPERVILLE-IL-605404731_rb/","check listing")</f>
        <v>check listing</v>
      </c>
      <c r="AB4202" s="5" t="str">
        <f>HYPERLINK("https://propertylookup.dupagecounty.gov/Datalets/Datalet.aspx?UseSearch=no&amp;mode=sales&amp;pin=0818204007","sales record")</f>
        <v>sales record</v>
      </c>
      <c r="AC4202" t="s">
        <v>3</v>
      </c>
      <c r="AD4202">
        <v>41.77858</v>
      </c>
      <c r="AE4202">
        <v>-88.138457</v>
      </c>
      <c r="AF4202" s="5" t="str">
        <f>HYPERLINK("https://www.google.com/maps/search/?api=1&amp;query=41.77858,-88.138457","map")</f>
        <v>map</v>
      </c>
    </row>
    <row r="4203" spans="1:32">
      <c r="A4203" t="s">
        <v>4253</v>
      </c>
      <c r="B4203" t="s">
        <v>11786</v>
      </c>
      <c r="C4203" t="s">
        <v>15478</v>
      </c>
      <c r="D4203" t="s">
        <v>16206</v>
      </c>
      <c r="E4203" t="s">
        <v>16218</v>
      </c>
      <c r="F4203" t="s">
        <v>16221</v>
      </c>
      <c r="G4203" t="s">
        <v>16277</v>
      </c>
      <c r="H4203" t="s">
        <v>16277</v>
      </c>
      <c r="I4203" t="s">
        <v>16353</v>
      </c>
      <c r="J4203" t="s">
        <v>16386</v>
      </c>
      <c r="K4203">
        <v>0.216</v>
      </c>
      <c r="L4203">
        <v>9392</v>
      </c>
      <c r="M4203">
        <v>1978</v>
      </c>
      <c r="N4203" t="s">
        <v>16393</v>
      </c>
      <c r="O4203" s="4">
        <v>131783</v>
      </c>
      <c r="P4203" s="4">
        <v>77854</v>
      </c>
      <c r="Q4203" s="4">
        <v>209637</v>
      </c>
      <c r="R4203" s="4">
        <v>628911</v>
      </c>
      <c r="S4203" t="s">
        <v>20505</v>
      </c>
      <c r="T4203" s="6">
        <v>42887</v>
      </c>
      <c r="U4203" s="4">
        <v>350000</v>
      </c>
      <c r="V4203" t="s">
        <v>23739</v>
      </c>
      <c r="W4203" t="s">
        <v>25937</v>
      </c>
      <c r="X4203" t="s">
        <v>3</v>
      </c>
      <c r="AA4203" s="5" t="str">
        <f>HYPERLINK("https://www.zillow.com/homes/240-E-7TH-AVE-NAPERVILLE-IL-60563_rb/","check listing")</f>
        <v>check listing</v>
      </c>
      <c r="AB4203" s="5" t="str">
        <f>HYPERLINK("https://propertylookup.dupagecounty.gov/Datalets/Datalet.aspx?UseSearch=no&amp;mode=sales&amp;pin=0818112009","sales record")</f>
        <v>sales record</v>
      </c>
      <c r="AC4203" t="s">
        <v>3</v>
      </c>
      <c r="AD4203">
        <v>41.782829</v>
      </c>
      <c r="AE4203">
        <v>-88.143568</v>
      </c>
      <c r="AF4203" s="5" t="str">
        <f>HYPERLINK("https://www.google.com/maps/search/?api=1&amp;query=41.782829,-88.143568","map")</f>
        <v>map</v>
      </c>
    </row>
    <row r="4204" spans="1:32">
      <c r="A4204" t="s">
        <v>4254</v>
      </c>
      <c r="B4204" t="s">
        <v>11787</v>
      </c>
      <c r="C4204" t="s">
        <v>15478</v>
      </c>
      <c r="D4204" t="s">
        <v>16206</v>
      </c>
      <c r="E4204" t="s">
        <v>16218</v>
      </c>
      <c r="F4204" t="s">
        <v>16221</v>
      </c>
      <c r="G4204" t="s">
        <v>16277</v>
      </c>
      <c r="H4204" t="s">
        <v>16277</v>
      </c>
      <c r="I4204" t="s">
        <v>16353</v>
      </c>
      <c r="J4204" t="s">
        <v>16386</v>
      </c>
      <c r="K4204">
        <v>0.215</v>
      </c>
      <c r="L4204">
        <v>9386</v>
      </c>
      <c r="M4204">
        <v>2508</v>
      </c>
      <c r="N4204" t="s">
        <v>16393</v>
      </c>
      <c r="O4204" s="4">
        <v>131783</v>
      </c>
      <c r="P4204" s="4">
        <v>39730</v>
      </c>
      <c r="Q4204" s="4">
        <v>171513</v>
      </c>
      <c r="R4204" s="4">
        <v>514539</v>
      </c>
      <c r="S4204" t="s">
        <v>20506</v>
      </c>
      <c r="T4204" s="6">
        <v>44845</v>
      </c>
      <c r="U4204" s="4">
        <v>407500</v>
      </c>
      <c r="V4204" t="s">
        <v>23739</v>
      </c>
      <c r="W4204" t="s">
        <v>25938</v>
      </c>
      <c r="X4204" t="s">
        <v>3</v>
      </c>
      <c r="AA4204" s="5" t="str">
        <f>HYPERLINK("https://www.zillow.com/homes/625-N-BRAINARD-ST-NAPERVILLE-IL-60563_rb/","check listing")</f>
        <v>check listing</v>
      </c>
      <c r="AB4204" s="5" t="str">
        <f>HYPERLINK("https://propertylookup.dupagecounty.gov/Datalets/Datalet.aspx?UseSearch=no&amp;mode=sales&amp;pin=0818112010","sales record")</f>
        <v>sales record</v>
      </c>
      <c r="AC4204" t="s">
        <v>3</v>
      </c>
      <c r="AD4204">
        <v>41.782601</v>
      </c>
      <c r="AE4204">
        <v>-88.14358300000001</v>
      </c>
      <c r="AF4204" s="5" t="str">
        <f>HYPERLINK("https://www.google.com/maps/search/?api=1&amp;query=41.782601,-88.143583","map")</f>
        <v>map</v>
      </c>
    </row>
    <row r="4205" spans="1:32">
      <c r="A4205" t="s">
        <v>4255</v>
      </c>
      <c r="B4205" t="s">
        <v>11788</v>
      </c>
      <c r="C4205" t="s">
        <v>15478</v>
      </c>
      <c r="D4205" t="s">
        <v>16206</v>
      </c>
      <c r="E4205" t="s">
        <v>16218</v>
      </c>
      <c r="F4205" t="s">
        <v>16221</v>
      </c>
      <c r="G4205" t="s">
        <v>16277</v>
      </c>
      <c r="H4205" t="s">
        <v>16277</v>
      </c>
      <c r="I4205" t="s">
        <v>16353</v>
      </c>
      <c r="J4205" t="s">
        <v>16386</v>
      </c>
      <c r="K4205">
        <v>0.215</v>
      </c>
      <c r="L4205">
        <v>9380</v>
      </c>
      <c r="M4205">
        <v>2308</v>
      </c>
      <c r="N4205" t="s">
        <v>16393</v>
      </c>
      <c r="O4205" s="4">
        <v>119856</v>
      </c>
      <c r="P4205" s="4">
        <v>86345</v>
      </c>
      <c r="Q4205" s="4">
        <v>206201</v>
      </c>
      <c r="R4205" s="4">
        <v>618603</v>
      </c>
      <c r="S4205" t="s">
        <v>20507</v>
      </c>
      <c r="T4205" s="6">
        <v>41760</v>
      </c>
      <c r="U4205" s="4">
        <v>380000</v>
      </c>
      <c r="V4205" t="s">
        <v>23740</v>
      </c>
      <c r="W4205" t="s">
        <v>20507</v>
      </c>
      <c r="X4205" t="s">
        <v>3</v>
      </c>
      <c r="AA4205" s="5" t="str">
        <f>HYPERLINK("https://www.zillow.com/homes/724-N-BRAINARD-ST-NAPERVILLE-IL-60563_rb/","check listing")</f>
        <v>check listing</v>
      </c>
      <c r="AB4205" s="5" t="str">
        <f>HYPERLINK("https://propertylookup.dupagecounty.gov/Datalets/Datalet.aspx?UseSearch=no&amp;mode=sales&amp;pin=0818115003","sales record")</f>
        <v>sales record</v>
      </c>
      <c r="AC4205" t="s">
        <v>3</v>
      </c>
      <c r="AD4205">
        <v>41.783661</v>
      </c>
      <c r="AE4205">
        <v>-88.142664</v>
      </c>
      <c r="AF4205" s="5" t="str">
        <f>HYPERLINK("https://www.google.com/maps/search/?api=1&amp;query=41.783661,-88.142664","map")</f>
        <v>map</v>
      </c>
    </row>
    <row r="4206" spans="1:32">
      <c r="A4206" t="s">
        <v>4256</v>
      </c>
      <c r="B4206" t="s">
        <v>11789</v>
      </c>
      <c r="C4206" t="s">
        <v>15475</v>
      </c>
      <c r="D4206" t="s">
        <v>16206</v>
      </c>
      <c r="E4206" t="s">
        <v>16218</v>
      </c>
      <c r="F4206" t="s">
        <v>16221</v>
      </c>
      <c r="G4206" t="s">
        <v>16277</v>
      </c>
      <c r="H4206" t="s">
        <v>16277</v>
      </c>
      <c r="I4206" t="s">
        <v>16353</v>
      </c>
      <c r="J4206" t="s">
        <v>16386</v>
      </c>
      <c r="K4206">
        <v>0.215</v>
      </c>
      <c r="L4206">
        <v>9374</v>
      </c>
      <c r="M4206">
        <v>2412</v>
      </c>
      <c r="N4206" t="s">
        <v>16393</v>
      </c>
      <c r="O4206" s="4">
        <v>138514</v>
      </c>
      <c r="P4206" s="4">
        <v>71266</v>
      </c>
      <c r="Q4206" s="4">
        <v>209780</v>
      </c>
      <c r="R4206" s="4">
        <v>629340</v>
      </c>
      <c r="S4206" t="s">
        <v>20508</v>
      </c>
      <c r="T4206" s="6">
        <v>38353</v>
      </c>
      <c r="U4206" s="4">
        <v>475000</v>
      </c>
      <c r="V4206" t="s">
        <v>23739</v>
      </c>
      <c r="W4206" t="s">
        <v>25939</v>
      </c>
      <c r="X4206" t="s">
        <v>3</v>
      </c>
      <c r="AA4206" s="5" t="str">
        <f>HYPERLINK("https://www.zillow.com/homes/22-S-ELLSWORTH-ST-NAPERVILLE-IL-60540_rb/","check listing")</f>
        <v>check listing</v>
      </c>
      <c r="AB4206" s="5" t="str">
        <f>HYPERLINK("https://propertylookup.dupagecounty.gov/Datalets/Datalet.aspx?UseSearch=no&amp;mode=sales&amp;pin=0818314005","sales record")</f>
        <v>sales record</v>
      </c>
      <c r="AC4206" t="s">
        <v>3</v>
      </c>
      <c r="AD4206">
        <v>41.774422</v>
      </c>
      <c r="AE4206">
        <v>-88.14473</v>
      </c>
      <c r="AF4206" s="5" t="str">
        <f>HYPERLINK("https://www.google.com/maps/search/?api=1&amp;query=41.774422,-88.14473","map")</f>
        <v>map</v>
      </c>
    </row>
    <row r="4207" spans="1:32">
      <c r="A4207" t="s">
        <v>4257</v>
      </c>
      <c r="B4207" t="s">
        <v>11790</v>
      </c>
      <c r="C4207" t="s">
        <v>15475</v>
      </c>
      <c r="D4207" t="s">
        <v>16206</v>
      </c>
      <c r="E4207" t="s">
        <v>16218</v>
      </c>
      <c r="F4207" t="s">
        <v>16221</v>
      </c>
      <c r="G4207" t="s">
        <v>16277</v>
      </c>
      <c r="H4207" t="s">
        <v>16277</v>
      </c>
      <c r="I4207" t="s">
        <v>16353</v>
      </c>
      <c r="J4207" t="s">
        <v>16386</v>
      </c>
      <c r="K4207">
        <v>0.215</v>
      </c>
      <c r="L4207">
        <v>9372</v>
      </c>
      <c r="M4207">
        <v>2756</v>
      </c>
      <c r="N4207" t="s">
        <v>16393</v>
      </c>
      <c r="O4207" s="4">
        <v>142447</v>
      </c>
      <c r="P4207" s="4">
        <v>65737</v>
      </c>
      <c r="Q4207" s="4">
        <v>208184</v>
      </c>
      <c r="R4207" s="4">
        <v>624552</v>
      </c>
      <c r="S4207" t="s">
        <v>20509</v>
      </c>
      <c r="T4207" s="6">
        <v>37469</v>
      </c>
      <c r="U4207" s="4">
        <v>285000</v>
      </c>
      <c r="V4207" t="s">
        <v>16232</v>
      </c>
      <c r="W4207" t="s">
        <v>25940</v>
      </c>
      <c r="X4207" t="s">
        <v>3</v>
      </c>
      <c r="AA4207" s="5" t="str">
        <f>HYPERLINK("https://www.zillow.com/homes/559-S-MAIN-ST-NAPERVILLE-IL-60540_rb/","check listing")</f>
        <v>check listing</v>
      </c>
      <c r="AB4207" s="5" t="str">
        <f>HYPERLINK("https://propertylookup.dupagecounty.gov/Datalets/Datalet.aspx?UseSearch=no&amp;mode=sales&amp;pin=0724202023","sales record")</f>
        <v>sales record</v>
      </c>
      <c r="AC4207" t="s">
        <v>3</v>
      </c>
      <c r="AD4207">
        <v>41.768252</v>
      </c>
      <c r="AE4207">
        <v>-88.150266</v>
      </c>
      <c r="AF4207" s="5" t="str">
        <f>HYPERLINK("https://www.google.com/maps/search/?api=1&amp;query=41.768252,-88.150266","map")</f>
        <v>map</v>
      </c>
    </row>
    <row r="4208" spans="1:32">
      <c r="A4208" t="s">
        <v>4258</v>
      </c>
      <c r="B4208" t="s">
        <v>11791</v>
      </c>
      <c r="C4208" t="s">
        <v>15475</v>
      </c>
      <c r="D4208" t="s">
        <v>16206</v>
      </c>
      <c r="E4208" t="s">
        <v>16218</v>
      </c>
      <c r="F4208" t="s">
        <v>16221</v>
      </c>
      <c r="G4208" t="s">
        <v>16277</v>
      </c>
      <c r="H4208" t="s">
        <v>16277</v>
      </c>
      <c r="I4208" t="s">
        <v>16353</v>
      </c>
      <c r="J4208" t="s">
        <v>16386</v>
      </c>
      <c r="K4208">
        <v>0.215</v>
      </c>
      <c r="L4208">
        <v>9365</v>
      </c>
      <c r="M4208">
        <v>1520</v>
      </c>
      <c r="N4208" t="s">
        <v>16393</v>
      </c>
      <c r="O4208" s="4">
        <v>120672</v>
      </c>
      <c r="P4208" s="4">
        <v>153968</v>
      </c>
      <c r="Q4208" s="4">
        <v>274640</v>
      </c>
      <c r="R4208" s="4">
        <v>823920</v>
      </c>
      <c r="S4208" t="s">
        <v>20510</v>
      </c>
      <c r="T4208" s="6">
        <v>42156</v>
      </c>
      <c r="U4208" s="4">
        <v>340000</v>
      </c>
      <c r="V4208" t="s">
        <v>23739</v>
      </c>
      <c r="W4208" t="s">
        <v>25941</v>
      </c>
      <c r="X4208" t="s">
        <v>3</v>
      </c>
      <c r="AA4208" s="5" t="str">
        <f>HYPERLINK("https://www.zillow.com/homes/650-S-WEBSTER-ST-NAPERVILLE-IL-60540_rb/","check listing")</f>
        <v>check listing</v>
      </c>
      <c r="AB4208" s="5" t="str">
        <f>HYPERLINK("https://propertylookup.dupagecounty.gov/Datalets/Datalet.aspx?UseSearch=no&amp;mode=sales&amp;pin=0724203008","sales record")</f>
        <v>sales record</v>
      </c>
      <c r="AC4208" t="s">
        <v>27873</v>
      </c>
      <c r="AD4208">
        <v>41.766569</v>
      </c>
      <c r="AE4208">
        <v>-88.151095</v>
      </c>
      <c r="AF4208" s="5" t="str">
        <f>HYPERLINK("https://www.google.com/maps/search/?api=1&amp;query=41.766569,-88.151095","map")</f>
        <v>map</v>
      </c>
    </row>
    <row r="4209" spans="1:32">
      <c r="A4209" t="s">
        <v>4259</v>
      </c>
      <c r="B4209" t="s">
        <v>11792</v>
      </c>
      <c r="C4209" t="s">
        <v>15678</v>
      </c>
      <c r="D4209" t="s">
        <v>16206</v>
      </c>
      <c r="E4209" t="s">
        <v>16218</v>
      </c>
      <c r="F4209" t="s">
        <v>16221</v>
      </c>
      <c r="G4209" t="s">
        <v>16277</v>
      </c>
      <c r="H4209" t="s">
        <v>16277</v>
      </c>
      <c r="I4209" t="s">
        <v>16353</v>
      </c>
      <c r="J4209" t="s">
        <v>16386</v>
      </c>
      <c r="K4209">
        <v>0.215</v>
      </c>
      <c r="L4209">
        <v>9364</v>
      </c>
      <c r="M4209">
        <v>1144</v>
      </c>
      <c r="N4209" t="s">
        <v>16393</v>
      </c>
      <c r="O4209" s="4">
        <v>120672</v>
      </c>
      <c r="P4209" s="4">
        <v>332591</v>
      </c>
      <c r="Q4209" s="4">
        <v>453263</v>
      </c>
      <c r="R4209" s="4">
        <v>1359789</v>
      </c>
      <c r="S4209" t="s">
        <v>20511</v>
      </c>
      <c r="T4209" s="6">
        <v>43556</v>
      </c>
      <c r="U4209" s="4">
        <v>976977</v>
      </c>
      <c r="V4209" t="s">
        <v>23739</v>
      </c>
      <c r="W4209" t="s">
        <v>25942</v>
      </c>
      <c r="X4209" t="s">
        <v>3</v>
      </c>
      <c r="AA4209" s="5" t="str">
        <f>HYPERLINK("https://www.zillow.com/homes/646-S-WEBSTER-ST-NAPERVILLE-IL-605406530_rb/","check listing")</f>
        <v>check listing</v>
      </c>
      <c r="AB4209" s="5" t="str">
        <f>HYPERLINK("https://propertylookup.dupagecounty.gov/Datalets/Datalet.aspx?UseSearch=no&amp;mode=sales&amp;pin=0724203007","sales record")</f>
        <v>sales record</v>
      </c>
      <c r="AC4209" t="s">
        <v>27873</v>
      </c>
      <c r="AD4209">
        <v>41.766705</v>
      </c>
      <c r="AE4209">
        <v>-88.151089</v>
      </c>
      <c r="AF4209" s="5" t="str">
        <f>HYPERLINK("https://www.google.com/maps/search/?api=1&amp;query=41.766705,-88.151089","map")</f>
        <v>map</v>
      </c>
    </row>
    <row r="4210" spans="1:32">
      <c r="A4210" t="s">
        <v>4260</v>
      </c>
      <c r="B4210" t="s">
        <v>11793</v>
      </c>
      <c r="C4210" t="s">
        <v>15475</v>
      </c>
      <c r="D4210" t="s">
        <v>16206</v>
      </c>
      <c r="E4210" t="s">
        <v>16218</v>
      </c>
      <c r="F4210" t="s">
        <v>16221</v>
      </c>
      <c r="G4210" t="s">
        <v>16277</v>
      </c>
      <c r="H4210" t="s">
        <v>16277</v>
      </c>
      <c r="I4210" t="s">
        <v>16353</v>
      </c>
      <c r="J4210" t="s">
        <v>16386</v>
      </c>
      <c r="K4210">
        <v>0.215</v>
      </c>
      <c r="L4210">
        <v>9364</v>
      </c>
      <c r="M4210">
        <v>2433</v>
      </c>
      <c r="N4210" t="s">
        <v>16393</v>
      </c>
      <c r="O4210" s="4">
        <v>142447</v>
      </c>
      <c r="P4210" s="4">
        <v>61538</v>
      </c>
      <c r="Q4210" s="4">
        <v>203985</v>
      </c>
      <c r="R4210" s="4">
        <v>611955</v>
      </c>
      <c r="S4210" t="s">
        <v>20512</v>
      </c>
      <c r="T4210" s="6">
        <v>43983</v>
      </c>
      <c r="U4210" s="4">
        <v>405000</v>
      </c>
      <c r="V4210" t="s">
        <v>23740</v>
      </c>
      <c r="W4210" t="s">
        <v>20402</v>
      </c>
      <c r="X4210" t="s">
        <v>3</v>
      </c>
      <c r="AA4210" s="5" t="str">
        <f>HYPERLINK("https://www.zillow.com/homes/649-S-MAIN-ST-NAPERVILLE-IL-60540_rb/","check listing")</f>
        <v>check listing</v>
      </c>
      <c r="AB4210" s="5" t="str">
        <f>HYPERLINK("https://propertylookup.dupagecounty.gov/Datalets/Datalet.aspx?UseSearch=no&amp;mode=sales&amp;pin=0724203019","sales record")</f>
        <v>sales record</v>
      </c>
      <c r="AC4210" t="s">
        <v>27873</v>
      </c>
      <c r="AD4210">
        <v>41.76655</v>
      </c>
      <c r="AE4210">
        <v>-88.150339</v>
      </c>
      <c r="AF4210" s="5" t="str">
        <f>HYPERLINK("https://www.google.com/maps/search/?api=1&amp;query=41.76655,-88.150339","map")</f>
        <v>map</v>
      </c>
    </row>
    <row r="4211" spans="1:32">
      <c r="A4211" t="s">
        <v>4261</v>
      </c>
      <c r="B4211" t="s">
        <v>11794</v>
      </c>
      <c r="C4211" t="s">
        <v>15475</v>
      </c>
      <c r="D4211" t="s">
        <v>16206</v>
      </c>
      <c r="E4211" t="s">
        <v>16218</v>
      </c>
      <c r="F4211" t="s">
        <v>16221</v>
      </c>
      <c r="G4211" t="s">
        <v>16277</v>
      </c>
      <c r="H4211" t="s">
        <v>16277</v>
      </c>
      <c r="I4211" t="s">
        <v>16353</v>
      </c>
      <c r="J4211" t="s">
        <v>16386</v>
      </c>
      <c r="K4211">
        <v>0.215</v>
      </c>
      <c r="L4211">
        <v>9354</v>
      </c>
      <c r="M4211">
        <v>2111</v>
      </c>
      <c r="N4211" t="s">
        <v>16393</v>
      </c>
      <c r="O4211" s="4">
        <v>107893</v>
      </c>
      <c r="P4211" s="4">
        <v>22523</v>
      </c>
      <c r="Q4211" s="4">
        <v>130416</v>
      </c>
      <c r="R4211" s="4">
        <v>391248</v>
      </c>
      <c r="S4211" t="s">
        <v>20513</v>
      </c>
      <c r="T4211" s="6">
        <v>38899</v>
      </c>
      <c r="U4211" s="4">
        <v>375000</v>
      </c>
      <c r="V4211" t="s">
        <v>23739</v>
      </c>
      <c r="W4211" t="s">
        <v>25943</v>
      </c>
      <c r="X4211" t="s">
        <v>3</v>
      </c>
      <c r="AA4211" s="5" t="str">
        <f>HYPERLINK("https://www.zillow.com/homes/403-E-NORTH-AVE-NAPERVILLE-IL-60540_rb/","check listing")</f>
        <v>check listing</v>
      </c>
      <c r="AB4211" s="5" t="str">
        <f>HYPERLINK("https://propertylookup.dupagecounty.gov/Datalets/Datalet.aspx?UseSearch=no&amp;mode=sales&amp;pin=0818136013","sales record")</f>
        <v>sales record</v>
      </c>
      <c r="AC4211" t="s">
        <v>27873</v>
      </c>
      <c r="AD4211">
        <v>41.778706</v>
      </c>
      <c r="AE4211">
        <v>-88.142026</v>
      </c>
      <c r="AF4211" s="5" t="str">
        <f>HYPERLINK("https://www.google.com/maps/search/?api=1&amp;query=41.778706,-88.142026","map")</f>
        <v>map</v>
      </c>
    </row>
    <row r="4212" spans="1:32">
      <c r="A4212" t="s">
        <v>4262</v>
      </c>
      <c r="B4212" t="s">
        <v>11795</v>
      </c>
      <c r="C4212" t="s">
        <v>15478</v>
      </c>
      <c r="D4212" t="s">
        <v>16206</v>
      </c>
      <c r="E4212" t="s">
        <v>16218</v>
      </c>
      <c r="F4212" t="s">
        <v>16221</v>
      </c>
      <c r="G4212" t="s">
        <v>16278</v>
      </c>
      <c r="H4212" t="s">
        <v>16277</v>
      </c>
      <c r="I4212" t="s">
        <v>16353</v>
      </c>
      <c r="J4212" t="s">
        <v>16386</v>
      </c>
      <c r="K4212">
        <v>0.214</v>
      </c>
      <c r="L4212">
        <v>9337</v>
      </c>
      <c r="N4212" t="s">
        <v>16393</v>
      </c>
      <c r="O4212" s="4">
        <v>67787</v>
      </c>
      <c r="P4212" s="4">
        <v>209905</v>
      </c>
      <c r="Q4212" s="4">
        <v>277692</v>
      </c>
      <c r="R4212" s="4">
        <v>833076</v>
      </c>
      <c r="S4212" t="s">
        <v>20514</v>
      </c>
      <c r="T4212" s="6">
        <v>42705</v>
      </c>
      <c r="U4212" s="4">
        <v>574896</v>
      </c>
      <c r="V4212" t="s">
        <v>16232</v>
      </c>
      <c r="W4212" t="s">
        <v>25944</v>
      </c>
      <c r="X4212" t="s">
        <v>3</v>
      </c>
      <c r="AA4212" s="5" t="str">
        <f>HYPERLINK("https://www.zillow.com/homes/1531-ALDERLEAF-CT-NAPERVILLE-IL-60563_rb/","check listing")</f>
        <v>check listing</v>
      </c>
      <c r="AB4212" s="5" t="str">
        <f>HYPERLINK("https://propertylookup.dupagecounty.gov/Datalets/Datalet.aspx?UseSearch=no&amp;mode=sales&amp;pin=0709105017","sales record")</f>
        <v>sales record</v>
      </c>
      <c r="AC4212" t="s">
        <v>3</v>
      </c>
      <c r="AD4212">
        <v>41.795667</v>
      </c>
      <c r="AE4212">
        <v>-88.217297</v>
      </c>
      <c r="AF4212" s="5" t="str">
        <f>HYPERLINK("https://www.google.com/maps/search/?api=1&amp;query=41.795667,-88.217297","map")</f>
        <v>map</v>
      </c>
    </row>
    <row r="4213" spans="1:32">
      <c r="A4213" t="s">
        <v>4263</v>
      </c>
      <c r="B4213" t="s">
        <v>11796</v>
      </c>
      <c r="C4213" t="s">
        <v>15692</v>
      </c>
      <c r="D4213" t="s">
        <v>16206</v>
      </c>
      <c r="E4213" t="s">
        <v>16218</v>
      </c>
      <c r="F4213" t="s">
        <v>16221</v>
      </c>
      <c r="G4213" t="s">
        <v>16278</v>
      </c>
      <c r="H4213" t="s">
        <v>16277</v>
      </c>
      <c r="I4213" t="s">
        <v>16353</v>
      </c>
      <c r="J4213" t="s">
        <v>16386</v>
      </c>
      <c r="K4213">
        <v>0.214</v>
      </c>
      <c r="L4213">
        <v>9328</v>
      </c>
      <c r="N4213" t="s">
        <v>16393</v>
      </c>
      <c r="O4213" s="4">
        <v>74244</v>
      </c>
      <c r="P4213" s="4">
        <v>181357</v>
      </c>
      <c r="Q4213" s="4">
        <v>255601</v>
      </c>
      <c r="R4213" s="4">
        <v>766803</v>
      </c>
      <c r="S4213" t="s">
        <v>20515</v>
      </c>
      <c r="T4213" s="6">
        <v>44287</v>
      </c>
      <c r="U4213" s="4">
        <v>572500</v>
      </c>
      <c r="V4213" t="s">
        <v>23739</v>
      </c>
      <c r="W4213" t="s">
        <v>25945</v>
      </c>
      <c r="X4213" t="s">
        <v>3</v>
      </c>
      <c r="AA4213" s="5" t="str">
        <f>HYPERLINK("https://www.zillow.com/homes/1483-BAYOU-PATH-DR-NAPERVILLE-IL-605633608_rb/","check listing")</f>
        <v>check listing</v>
      </c>
      <c r="AB4213" s="5" t="str">
        <f>HYPERLINK("https://propertylookup.dupagecounty.gov/Datalets/Datalet.aspx?UseSearch=no&amp;mode=sales&amp;pin=0709311040","sales record")</f>
        <v>sales record</v>
      </c>
      <c r="AC4213" t="s">
        <v>3</v>
      </c>
      <c r="AD4213">
        <v>41.790463</v>
      </c>
      <c r="AE4213">
        <v>-88.22031</v>
      </c>
      <c r="AF4213" s="5" t="str">
        <f>HYPERLINK("https://www.google.com/maps/search/?api=1&amp;query=41.790463,-88.22031","map")</f>
        <v>map</v>
      </c>
    </row>
    <row r="4214" spans="1:32">
      <c r="A4214" t="s">
        <v>4264</v>
      </c>
      <c r="B4214" t="s">
        <v>11797</v>
      </c>
      <c r="C4214" t="s">
        <v>15475</v>
      </c>
      <c r="D4214" t="s">
        <v>16206</v>
      </c>
      <c r="E4214" t="s">
        <v>16218</v>
      </c>
      <c r="F4214" t="s">
        <v>16221</v>
      </c>
      <c r="G4214" t="s">
        <v>16278</v>
      </c>
      <c r="H4214" t="s">
        <v>16277</v>
      </c>
      <c r="I4214" t="s">
        <v>16353</v>
      </c>
      <c r="J4214" t="s">
        <v>16386</v>
      </c>
      <c r="K4214">
        <v>0.214</v>
      </c>
      <c r="L4214">
        <v>9303</v>
      </c>
      <c r="N4214" t="s">
        <v>16393</v>
      </c>
      <c r="O4214" s="4">
        <v>74244</v>
      </c>
      <c r="P4214" s="4">
        <v>125274</v>
      </c>
      <c r="Q4214" s="4">
        <v>199518</v>
      </c>
      <c r="R4214" s="4">
        <v>598554</v>
      </c>
      <c r="S4214" t="s">
        <v>20516</v>
      </c>
      <c r="T4214" s="6">
        <v>42795</v>
      </c>
      <c r="U4214" s="4">
        <v>418793</v>
      </c>
      <c r="V4214" t="s">
        <v>16232</v>
      </c>
      <c r="W4214" t="s">
        <v>25946</v>
      </c>
      <c r="X4214" t="s">
        <v>3</v>
      </c>
      <c r="AA4214" s="5" t="str">
        <f>HYPERLINK("https://www.zillow.com/homes/2460-BASIN-TRAIL-LN-NAPERVILLE-IL-60540_rb/","check listing")</f>
        <v>check listing</v>
      </c>
      <c r="AB4214" s="5" t="str">
        <f>HYPERLINK("https://propertylookup.dupagecounty.gov/Datalets/Datalet.aspx?UseSearch=no&amp;mode=sales&amp;pin=0709114007","sales record")</f>
        <v>sales record</v>
      </c>
      <c r="AC4214" t="s">
        <v>3</v>
      </c>
      <c r="AD4214">
        <v>41.794374</v>
      </c>
      <c r="AE4214">
        <v>-88.22093700000001</v>
      </c>
      <c r="AF4214" s="5" t="str">
        <f>HYPERLINK("https://www.google.com/maps/search/?api=1&amp;query=41.794374,-88.220937","map")</f>
        <v>map</v>
      </c>
    </row>
    <row r="4215" spans="1:32">
      <c r="A4215" t="s">
        <v>4265</v>
      </c>
      <c r="B4215" t="s">
        <v>11798</v>
      </c>
      <c r="C4215" t="s">
        <v>15478</v>
      </c>
      <c r="D4215" t="s">
        <v>16206</v>
      </c>
      <c r="E4215" t="s">
        <v>16218</v>
      </c>
      <c r="F4215" t="s">
        <v>16221</v>
      </c>
      <c r="G4215" t="s">
        <v>16277</v>
      </c>
      <c r="H4215" t="s">
        <v>16277</v>
      </c>
      <c r="I4215" t="s">
        <v>16353</v>
      </c>
      <c r="J4215" t="s">
        <v>16386</v>
      </c>
      <c r="K4215">
        <v>0.214</v>
      </c>
      <c r="L4215">
        <v>9302</v>
      </c>
      <c r="M4215">
        <v>2076</v>
      </c>
      <c r="N4215" t="s">
        <v>16393</v>
      </c>
      <c r="O4215" s="4">
        <v>77570</v>
      </c>
      <c r="P4215" s="4">
        <v>98285</v>
      </c>
      <c r="Q4215" s="4">
        <v>175855</v>
      </c>
      <c r="R4215" s="4">
        <v>527565</v>
      </c>
      <c r="S4215" t="s">
        <v>20517</v>
      </c>
      <c r="T4215" s="6">
        <v>38808</v>
      </c>
      <c r="U4215" s="4">
        <v>336000</v>
      </c>
      <c r="V4215" t="s">
        <v>23739</v>
      </c>
      <c r="W4215" t="s">
        <v>25947</v>
      </c>
      <c r="X4215" t="s">
        <v>3</v>
      </c>
      <c r="AA4215" s="5" t="str">
        <f>HYPERLINK("https://www.zillow.com/homes/537-OLD-PLANK-RD-NAPERVILLE-IL-60563_rb/","check listing")</f>
        <v>check listing</v>
      </c>
      <c r="AB4215" s="5" t="str">
        <f>HYPERLINK("https://propertylookup.dupagecounty.gov/Datalets/Datalet.aspx?UseSearch=no&amp;mode=sales&amp;pin=0818206054","sales record")</f>
        <v>sales record</v>
      </c>
      <c r="AC4215" t="s">
        <v>3</v>
      </c>
      <c r="AD4215">
        <v>41.781162</v>
      </c>
      <c r="AE4215">
        <v>-88.13412599999999</v>
      </c>
      <c r="AF4215" s="5" t="str">
        <f>HYPERLINK("https://www.google.com/maps/search/?api=1&amp;query=41.781162,-88.134126","map")</f>
        <v>map</v>
      </c>
    </row>
    <row r="4216" spans="1:32">
      <c r="A4216" t="s">
        <v>4266</v>
      </c>
      <c r="B4216" t="s">
        <v>11799</v>
      </c>
      <c r="C4216" t="s">
        <v>15475</v>
      </c>
      <c r="D4216" t="s">
        <v>16206</v>
      </c>
      <c r="E4216" t="s">
        <v>16218</v>
      </c>
      <c r="F4216" t="s">
        <v>16221</v>
      </c>
      <c r="G4216" t="s">
        <v>16277</v>
      </c>
      <c r="H4216" t="s">
        <v>16277</v>
      </c>
      <c r="I4216" t="s">
        <v>16353</v>
      </c>
      <c r="J4216" t="s">
        <v>16386</v>
      </c>
      <c r="K4216">
        <v>0.213</v>
      </c>
      <c r="L4216">
        <v>9300</v>
      </c>
      <c r="M4216">
        <v>3598</v>
      </c>
      <c r="N4216" t="s">
        <v>16393</v>
      </c>
      <c r="O4216" s="4">
        <v>124310</v>
      </c>
      <c r="P4216" s="4">
        <v>96885</v>
      </c>
      <c r="Q4216" s="4">
        <v>221195</v>
      </c>
      <c r="R4216" s="4">
        <v>663585</v>
      </c>
      <c r="S4216" t="s">
        <v>20518</v>
      </c>
      <c r="T4216" s="6">
        <v>40148</v>
      </c>
      <c r="U4216" s="4">
        <v>475000</v>
      </c>
      <c r="V4216" t="s">
        <v>23739</v>
      </c>
      <c r="W4216" t="s">
        <v>25948</v>
      </c>
      <c r="X4216" t="s">
        <v>3</v>
      </c>
      <c r="AA4216" s="5" t="str">
        <f>HYPERLINK("https://www.zillow.com/homes/659-S-MAIN-ST-NAPERVILLE-IL-60540_rb/","check listing")</f>
        <v>check listing</v>
      </c>
      <c r="AB4216" s="5" t="str">
        <f>HYPERLINK("https://propertylookup.dupagecounty.gov/Datalets/Datalet.aspx?UseSearch=no&amp;mode=sales&amp;pin=0724203023","sales record")</f>
        <v>sales record</v>
      </c>
      <c r="AC4216" t="s">
        <v>27873</v>
      </c>
      <c r="AD4216">
        <v>41.766342</v>
      </c>
      <c r="AE4216">
        <v>-88.150173</v>
      </c>
      <c r="AF4216" s="5" t="str">
        <f>HYPERLINK("https://www.google.com/maps/search/?api=1&amp;query=41.766342,-88.150173","map")</f>
        <v>map</v>
      </c>
    </row>
    <row r="4217" spans="1:32">
      <c r="A4217" t="s">
        <v>4267</v>
      </c>
      <c r="B4217" t="s">
        <v>11800</v>
      </c>
      <c r="C4217" t="s">
        <v>15637</v>
      </c>
      <c r="D4217" t="s">
        <v>16206</v>
      </c>
      <c r="E4217" t="s">
        <v>16218</v>
      </c>
      <c r="F4217" t="s">
        <v>16221</v>
      </c>
      <c r="G4217" t="s">
        <v>16277</v>
      </c>
      <c r="H4217" t="s">
        <v>16277</v>
      </c>
      <c r="I4217" t="s">
        <v>16353</v>
      </c>
      <c r="J4217" t="s">
        <v>16386</v>
      </c>
      <c r="K4217">
        <v>0.213</v>
      </c>
      <c r="L4217">
        <v>9295</v>
      </c>
      <c r="M4217">
        <v>2298</v>
      </c>
      <c r="N4217" t="s">
        <v>16393</v>
      </c>
      <c r="O4217" s="4">
        <v>77570</v>
      </c>
      <c r="P4217" s="4">
        <v>101697</v>
      </c>
      <c r="Q4217" s="4">
        <v>179267</v>
      </c>
      <c r="R4217" s="4">
        <v>537801</v>
      </c>
      <c r="S4217" t="s">
        <v>20519</v>
      </c>
      <c r="T4217" s="6">
        <v>42614</v>
      </c>
      <c r="U4217" s="4">
        <v>358000</v>
      </c>
      <c r="V4217" t="s">
        <v>23739</v>
      </c>
      <c r="W4217" t="s">
        <v>25949</v>
      </c>
      <c r="X4217" t="s">
        <v>3</v>
      </c>
      <c r="AA4217" s="5" t="str">
        <f>HYPERLINK("https://www.zillow.com/homes/541-PLANK-RD-NAPERVILLE-IL-605633268_rb/","check listing")</f>
        <v>check listing</v>
      </c>
      <c r="AB4217" s="5" t="str">
        <f>HYPERLINK("https://propertylookup.dupagecounty.gov/Datalets/Datalet.aspx?UseSearch=no&amp;mode=sales&amp;pin=0818206055","sales record")</f>
        <v>sales record</v>
      </c>
      <c r="AC4217" t="s">
        <v>3</v>
      </c>
      <c r="AD4217">
        <v>41.781246</v>
      </c>
      <c r="AE4217">
        <v>-88.133928</v>
      </c>
      <c r="AF4217" s="5" t="str">
        <f>HYPERLINK("https://www.google.com/maps/search/?api=1&amp;query=41.781246,-88.133928","map")</f>
        <v>map</v>
      </c>
    </row>
    <row r="4218" spans="1:32">
      <c r="A4218" t="s">
        <v>4268</v>
      </c>
      <c r="B4218" t="s">
        <v>11801</v>
      </c>
      <c r="C4218" t="s">
        <v>15662</v>
      </c>
      <c r="D4218" t="s">
        <v>16206</v>
      </c>
      <c r="E4218" t="s">
        <v>16218</v>
      </c>
      <c r="F4218" t="s">
        <v>16221</v>
      </c>
      <c r="G4218" t="s">
        <v>16278</v>
      </c>
      <c r="H4218" t="s">
        <v>16277</v>
      </c>
      <c r="I4218" t="s">
        <v>16353</v>
      </c>
      <c r="J4218" t="s">
        <v>16386</v>
      </c>
      <c r="K4218">
        <v>0.213</v>
      </c>
      <c r="L4218">
        <v>9286</v>
      </c>
      <c r="N4218" t="s">
        <v>16393</v>
      </c>
      <c r="O4218" s="4">
        <v>56146</v>
      </c>
      <c r="P4218" s="4">
        <v>235575</v>
      </c>
      <c r="Q4218" s="4">
        <v>291721</v>
      </c>
      <c r="R4218" s="4">
        <v>875163</v>
      </c>
      <c r="S4218" t="s">
        <v>20520</v>
      </c>
      <c r="T4218" s="6">
        <v>45377</v>
      </c>
      <c r="U4218" s="4">
        <v>869895</v>
      </c>
      <c r="V4218" t="s">
        <v>23743</v>
      </c>
      <c r="W4218" t="s">
        <v>25950</v>
      </c>
      <c r="X4218" t="s">
        <v>3</v>
      </c>
      <c r="AA4218" s="5" t="str">
        <f>HYPERLINK("https://www.zillow.com/homes/2427-WEATHERBEE-LN-NAPERVILLE-IL-605631594_rb/","check listing")</f>
        <v>check listing</v>
      </c>
      <c r="AB4218" s="5" t="str">
        <f>HYPERLINK("https://propertylookup.dupagecounty.gov/Datalets/Datalet.aspx?UseSearch=no&amp;mode=sales&amp;pin=0532305001","sales record")</f>
        <v>sales record</v>
      </c>
      <c r="AC4218" t="s">
        <v>3</v>
      </c>
      <c r="AD4218">
        <v>41.817829</v>
      </c>
      <c r="AE4218">
        <v>-88.119382</v>
      </c>
      <c r="AF4218" s="5" t="str">
        <f>HYPERLINK("https://www.google.com/maps/search/?api=1&amp;query=41.817829,-88.119382","map")</f>
        <v>map</v>
      </c>
    </row>
    <row r="4219" spans="1:32">
      <c r="A4219" t="s">
        <v>4269</v>
      </c>
      <c r="B4219" t="s">
        <v>11802</v>
      </c>
      <c r="C4219" t="s">
        <v>15704</v>
      </c>
      <c r="D4219" t="s">
        <v>16206</v>
      </c>
      <c r="E4219" t="s">
        <v>16218</v>
      </c>
      <c r="F4219" t="s">
        <v>16221</v>
      </c>
      <c r="G4219" t="s">
        <v>16278</v>
      </c>
      <c r="H4219" t="s">
        <v>16277</v>
      </c>
      <c r="I4219" t="s">
        <v>16353</v>
      </c>
      <c r="J4219" t="s">
        <v>16386</v>
      </c>
      <c r="K4219">
        <v>0.213</v>
      </c>
      <c r="L4219">
        <v>9273</v>
      </c>
      <c r="N4219" t="s">
        <v>16393</v>
      </c>
      <c r="O4219" s="4">
        <v>74244</v>
      </c>
      <c r="P4219" s="4">
        <v>203936</v>
      </c>
      <c r="Q4219" s="4">
        <v>278180</v>
      </c>
      <c r="R4219" s="4">
        <v>834540</v>
      </c>
      <c r="S4219" t="s">
        <v>20521</v>
      </c>
      <c r="T4219" s="6">
        <v>43466</v>
      </c>
      <c r="U4219" s="4">
        <v>621590</v>
      </c>
      <c r="V4219" t="s">
        <v>16232</v>
      </c>
      <c r="W4219" t="s">
        <v>25951</v>
      </c>
      <c r="X4219" t="s">
        <v>3</v>
      </c>
      <c r="AA4219" s="5" t="str">
        <f>HYPERLINK("https://www.zillow.com/homes/1503-BAYOU-PATH-DR-NAPERVILLE-IL-605633496_rb/","check listing")</f>
        <v>check listing</v>
      </c>
      <c r="AB4219" s="5" t="str">
        <f>HYPERLINK("https://propertylookup.dupagecounty.gov/Datalets/Datalet.aspx?UseSearch=no&amp;mode=sales&amp;pin=0709114029","sales record")</f>
        <v>sales record</v>
      </c>
      <c r="AC4219" t="s">
        <v>3</v>
      </c>
      <c r="AD4219">
        <v>41.792061</v>
      </c>
      <c r="AE4219">
        <v>-88.219903</v>
      </c>
      <c r="AF4219" s="5" t="str">
        <f>HYPERLINK("https://www.google.com/maps/search/?api=1&amp;query=41.792061,-88.219903","map")</f>
        <v>map</v>
      </c>
    </row>
    <row r="4220" spans="1:32">
      <c r="A4220" t="s">
        <v>4270</v>
      </c>
      <c r="B4220" t="s">
        <v>11803</v>
      </c>
      <c r="C4220" t="s">
        <v>15645</v>
      </c>
      <c r="D4220" t="s">
        <v>16206</v>
      </c>
      <c r="E4220" t="s">
        <v>16218</v>
      </c>
      <c r="F4220" t="s">
        <v>16221</v>
      </c>
      <c r="G4220" t="s">
        <v>16278</v>
      </c>
      <c r="H4220" t="s">
        <v>16277</v>
      </c>
      <c r="I4220" t="s">
        <v>16353</v>
      </c>
      <c r="J4220" t="s">
        <v>16386</v>
      </c>
      <c r="K4220">
        <v>0.212</v>
      </c>
      <c r="L4220">
        <v>9252</v>
      </c>
      <c r="N4220" t="s">
        <v>16393</v>
      </c>
      <c r="O4220" s="4">
        <v>67787</v>
      </c>
      <c r="P4220" s="4">
        <v>140811</v>
      </c>
      <c r="Q4220" s="4">
        <v>208598</v>
      </c>
      <c r="R4220" s="4">
        <v>625794</v>
      </c>
      <c r="S4220" t="s">
        <v>20522</v>
      </c>
      <c r="T4220" s="6">
        <v>43070</v>
      </c>
      <c r="U4220" s="4">
        <v>477774</v>
      </c>
      <c r="V4220" t="s">
        <v>16232</v>
      </c>
      <c r="W4220" t="s">
        <v>25952</v>
      </c>
      <c r="X4220" t="s">
        <v>3</v>
      </c>
      <c r="AA4220" s="5" t="str">
        <f>HYPERLINK("https://www.zillow.com/homes/2480-BASIN-TRAIL-LN-NAPERVILLE-IL-605633595_rb/","check listing")</f>
        <v>check listing</v>
      </c>
      <c r="AB4220" s="5" t="str">
        <f>HYPERLINK("https://propertylookup.dupagecounty.gov/Datalets/Datalet.aspx?UseSearch=no&amp;mode=sales&amp;pin=0709110012","sales record")</f>
        <v>sales record</v>
      </c>
      <c r="AC4220" t="s">
        <v>3</v>
      </c>
      <c r="AD4220">
        <v>41.794706</v>
      </c>
      <c r="AE4220">
        <v>-88.22233300000001</v>
      </c>
      <c r="AF4220" s="5" t="str">
        <f>HYPERLINK("https://www.google.com/maps/search/?api=1&amp;query=41.794706,-88.222333","map")</f>
        <v>map</v>
      </c>
    </row>
    <row r="4221" spans="1:32">
      <c r="A4221" t="s">
        <v>4271</v>
      </c>
      <c r="B4221" t="s">
        <v>11804</v>
      </c>
      <c r="C4221" t="s">
        <v>15705</v>
      </c>
      <c r="D4221" t="s">
        <v>16206</v>
      </c>
      <c r="E4221" t="s">
        <v>16218</v>
      </c>
      <c r="F4221" t="s">
        <v>16221</v>
      </c>
      <c r="G4221" t="s">
        <v>16277</v>
      </c>
      <c r="H4221" t="s">
        <v>16277</v>
      </c>
      <c r="I4221" t="s">
        <v>16353</v>
      </c>
      <c r="J4221" t="s">
        <v>16386</v>
      </c>
      <c r="K4221">
        <v>0.212</v>
      </c>
      <c r="L4221">
        <v>9220</v>
      </c>
      <c r="M4221">
        <v>3134</v>
      </c>
      <c r="N4221" t="s">
        <v>16393</v>
      </c>
      <c r="O4221" s="4">
        <v>120723</v>
      </c>
      <c r="P4221" s="4">
        <v>313784</v>
      </c>
      <c r="Q4221" s="4">
        <v>434507</v>
      </c>
      <c r="R4221" s="4">
        <v>1303521</v>
      </c>
      <c r="S4221" t="s">
        <v>20523</v>
      </c>
      <c r="T4221" s="6">
        <v>44256</v>
      </c>
      <c r="U4221" s="4">
        <v>1031000</v>
      </c>
      <c r="V4221" t="s">
        <v>23739</v>
      </c>
      <c r="W4221" t="s">
        <v>25953</v>
      </c>
      <c r="X4221" t="s">
        <v>3</v>
      </c>
      <c r="AA4221" s="5" t="str">
        <f>HYPERLINK("https://www.zillow.com/homes/720-N-BRAINARD-ST-NAPERVILLE-IL-605633133_rb/","check listing")</f>
        <v>check listing</v>
      </c>
      <c r="AB4221" s="5" t="str">
        <f>HYPERLINK("https://propertylookup.dupagecounty.gov/Datalets/Datalet.aspx?UseSearch=no&amp;mode=sales&amp;pin=0818115004","sales record")</f>
        <v>sales record</v>
      </c>
      <c r="AC4221" t="s">
        <v>3</v>
      </c>
      <c r="AD4221">
        <v>41.78351</v>
      </c>
      <c r="AE4221">
        <v>-88.142679</v>
      </c>
      <c r="AF4221" s="5" t="str">
        <f>HYPERLINK("https://www.google.com/maps/search/?api=1&amp;query=41.78351,-88.142679","map")</f>
        <v>map</v>
      </c>
    </row>
    <row r="4222" spans="1:32">
      <c r="A4222" t="s">
        <v>4272</v>
      </c>
      <c r="B4222" t="s">
        <v>11805</v>
      </c>
      <c r="C4222" t="s">
        <v>15662</v>
      </c>
      <c r="D4222" t="s">
        <v>16206</v>
      </c>
      <c r="E4222" t="s">
        <v>16218</v>
      </c>
      <c r="F4222" t="s">
        <v>16221</v>
      </c>
      <c r="G4222" t="s">
        <v>16278</v>
      </c>
      <c r="H4222" t="s">
        <v>16277</v>
      </c>
      <c r="I4222" t="s">
        <v>16353</v>
      </c>
      <c r="J4222" t="s">
        <v>16386</v>
      </c>
      <c r="K4222">
        <v>0.212</v>
      </c>
      <c r="L4222">
        <v>9216</v>
      </c>
      <c r="N4222" t="s">
        <v>16393</v>
      </c>
      <c r="O4222" s="4">
        <v>56146</v>
      </c>
      <c r="P4222" s="4">
        <v>235367</v>
      </c>
      <c r="Q4222" s="4">
        <v>291513</v>
      </c>
      <c r="R4222" s="4">
        <v>874539</v>
      </c>
      <c r="S4222" t="s">
        <v>20524</v>
      </c>
      <c r="T4222" s="6">
        <v>45246</v>
      </c>
      <c r="U4222" s="4">
        <v>932331</v>
      </c>
      <c r="V4222" t="s">
        <v>16232</v>
      </c>
      <c r="W4222" t="s">
        <v>25954</v>
      </c>
      <c r="X4222" t="s">
        <v>3</v>
      </c>
      <c r="AA4222" s="5" t="str">
        <f>HYPERLINK("https://www.zillow.com/homes/2632-WEATHERBEE-CT-NAPERVILLE-IL-605631594_rb/","check listing")</f>
        <v>check listing</v>
      </c>
      <c r="AB4222" s="5" t="str">
        <f>HYPERLINK("https://propertylookup.dupagecounty.gov/Datalets/Datalet.aspx?UseSearch=no&amp;mode=sales&amp;pin=0532300066","sales record")</f>
        <v>sales record</v>
      </c>
      <c r="AC4222" t="s">
        <v>3</v>
      </c>
      <c r="AD4222">
        <v>41.820925</v>
      </c>
      <c r="AE4222">
        <v>-88.12403999999999</v>
      </c>
      <c r="AF4222" s="5" t="str">
        <f>HYPERLINK("https://www.google.com/maps/search/?api=1&amp;query=41.820925,-88.12404","map")</f>
        <v>map</v>
      </c>
    </row>
    <row r="4223" spans="1:32">
      <c r="A4223" t="s">
        <v>4273</v>
      </c>
      <c r="B4223" t="s">
        <v>11806</v>
      </c>
      <c r="C4223" t="s">
        <v>15644</v>
      </c>
      <c r="D4223" t="s">
        <v>16206</v>
      </c>
      <c r="E4223" t="s">
        <v>16218</v>
      </c>
      <c r="F4223" t="s">
        <v>16221</v>
      </c>
      <c r="G4223" t="s">
        <v>16277</v>
      </c>
      <c r="H4223" t="s">
        <v>16277</v>
      </c>
      <c r="I4223" t="s">
        <v>16353</v>
      </c>
      <c r="J4223" t="s">
        <v>16386</v>
      </c>
      <c r="K4223">
        <v>0.211</v>
      </c>
      <c r="L4223">
        <v>9210</v>
      </c>
      <c r="N4223" t="s">
        <v>16393</v>
      </c>
      <c r="O4223" s="4">
        <v>136327</v>
      </c>
      <c r="P4223" s="4">
        <v>285005</v>
      </c>
      <c r="Q4223" s="4">
        <v>421332</v>
      </c>
      <c r="R4223" s="4">
        <v>1263996</v>
      </c>
      <c r="S4223" t="s">
        <v>20525</v>
      </c>
      <c r="T4223" s="6">
        <v>44562</v>
      </c>
      <c r="U4223" s="4">
        <v>1091275</v>
      </c>
      <c r="V4223" t="s">
        <v>23739</v>
      </c>
      <c r="W4223" t="s">
        <v>25955</v>
      </c>
      <c r="X4223" t="s">
        <v>3</v>
      </c>
      <c r="AA4223" s="5" t="str">
        <f>HYPERLINK("https://www.zillow.com/homes/232-N-LAIRD-ST-NAPERVILLE-IL-605404335_rb/","check listing")</f>
        <v>check listing</v>
      </c>
      <c r="AB4223" s="5" t="str">
        <f>HYPERLINK("https://propertylookup.dupagecounty.gov/Datalets/Datalet.aspx?UseSearch=no&amp;mode=sales&amp;pin=0713103025","sales record")</f>
        <v>sales record</v>
      </c>
      <c r="AC4223" t="s">
        <v>3</v>
      </c>
      <c r="AD4223">
        <v>41.778703</v>
      </c>
      <c r="AE4223">
        <v>-88.159503</v>
      </c>
      <c r="AF4223" s="5" t="str">
        <f>HYPERLINK("https://www.google.com/maps/search/?api=1&amp;query=41.778703,-88.159503","map")</f>
        <v>map</v>
      </c>
    </row>
    <row r="4224" spans="1:32">
      <c r="A4224" t="s">
        <v>4274</v>
      </c>
      <c r="B4224" t="s">
        <v>11807</v>
      </c>
      <c r="C4224" t="s">
        <v>15694</v>
      </c>
      <c r="D4224" t="s">
        <v>16206</v>
      </c>
      <c r="E4224" t="s">
        <v>16218</v>
      </c>
      <c r="F4224" t="s">
        <v>16221</v>
      </c>
      <c r="G4224" t="s">
        <v>16278</v>
      </c>
      <c r="H4224" t="s">
        <v>16277</v>
      </c>
      <c r="I4224" t="s">
        <v>16353</v>
      </c>
      <c r="J4224" t="s">
        <v>16386</v>
      </c>
      <c r="K4224">
        <v>0.211</v>
      </c>
      <c r="L4224">
        <v>9205</v>
      </c>
      <c r="N4224" t="s">
        <v>16393</v>
      </c>
      <c r="O4224" s="4">
        <v>61333</v>
      </c>
      <c r="P4224" s="4">
        <v>144602</v>
      </c>
      <c r="Q4224" s="4">
        <v>205935</v>
      </c>
      <c r="R4224" s="4">
        <v>617805</v>
      </c>
      <c r="S4224" t="s">
        <v>20526</v>
      </c>
      <c r="T4224" s="6">
        <v>43282</v>
      </c>
      <c r="U4224" s="4">
        <v>475534</v>
      </c>
      <c r="V4224" t="s">
        <v>16232</v>
      </c>
      <c r="W4224" t="s">
        <v>25956</v>
      </c>
      <c r="X4224" t="s">
        <v>3</v>
      </c>
      <c r="AA4224" s="5" t="str">
        <f>HYPERLINK("https://www.zillow.com/homes/2560-SILVER-LOCH-RD-NAPERVILLE-IL-605633612_rb/","check listing")</f>
        <v>check listing</v>
      </c>
      <c r="AB4224" s="5" t="str">
        <f>HYPERLINK("https://propertylookup.dupagecounty.gov/Datalets/Datalet.aspx?UseSearch=no&amp;mode=sales&amp;pin=0709109051","sales record")</f>
        <v>sales record</v>
      </c>
      <c r="AC4224" t="s">
        <v>3</v>
      </c>
      <c r="AD4224">
        <v>41.793851</v>
      </c>
      <c r="AE4224">
        <v>-88.224153</v>
      </c>
      <c r="AF4224" s="5" t="str">
        <f>HYPERLINK("https://www.google.com/maps/search/?api=1&amp;query=41.793851,-88.224153","map")</f>
        <v>map</v>
      </c>
    </row>
    <row r="4225" spans="1:32">
      <c r="A4225" t="s">
        <v>4275</v>
      </c>
      <c r="B4225" t="s">
        <v>11808</v>
      </c>
      <c r="C4225" t="s">
        <v>15475</v>
      </c>
      <c r="D4225" t="s">
        <v>16206</v>
      </c>
      <c r="E4225" t="s">
        <v>16218</v>
      </c>
      <c r="F4225" t="s">
        <v>16221</v>
      </c>
      <c r="G4225" t="s">
        <v>16277</v>
      </c>
      <c r="H4225" t="s">
        <v>16277</v>
      </c>
      <c r="I4225" t="s">
        <v>16353</v>
      </c>
      <c r="J4225" t="s">
        <v>16386</v>
      </c>
      <c r="K4225">
        <v>0.211</v>
      </c>
      <c r="L4225">
        <v>9191</v>
      </c>
      <c r="M4225">
        <v>2770</v>
      </c>
      <c r="N4225" t="s">
        <v>16393</v>
      </c>
      <c r="O4225" s="4">
        <v>125506</v>
      </c>
      <c r="P4225" s="4">
        <v>335996</v>
      </c>
      <c r="Q4225" s="4">
        <v>461502</v>
      </c>
      <c r="R4225" s="4">
        <v>1384506</v>
      </c>
      <c r="S4225" t="s">
        <v>20527</v>
      </c>
      <c r="T4225" s="6">
        <v>37773</v>
      </c>
      <c r="U4225" s="4">
        <v>887500</v>
      </c>
      <c r="V4225" t="s">
        <v>23739</v>
      </c>
      <c r="W4225" t="s">
        <v>20527</v>
      </c>
      <c r="X4225" t="s">
        <v>3</v>
      </c>
      <c r="AA4225" s="5" t="str">
        <f>HYPERLINK("https://www.zillow.com/homes/540-W-VAN-BUREN-AVE-NAPERVILLE-IL-60540_rb/","check listing")</f>
        <v>check listing</v>
      </c>
      <c r="AB4225" s="5" t="str">
        <f>HYPERLINK("https://propertylookup.dupagecounty.gov/Datalets/Datalet.aspx?UseSearch=no&amp;mode=sales&amp;pin=0713314001","sales record")</f>
        <v>sales record</v>
      </c>
      <c r="AC4225" t="s">
        <v>3</v>
      </c>
      <c r="AD4225">
        <v>41.774114</v>
      </c>
      <c r="AE4225">
        <v>-88.157687</v>
      </c>
      <c r="AF4225" s="5" t="str">
        <f>HYPERLINK("https://www.google.com/maps/search/?api=1&amp;query=41.774114,-88.157687","map")</f>
        <v>map</v>
      </c>
    </row>
    <row r="4226" spans="1:32">
      <c r="A4226" t="s">
        <v>4276</v>
      </c>
      <c r="B4226" t="s">
        <v>11809</v>
      </c>
      <c r="C4226" t="s">
        <v>15475</v>
      </c>
      <c r="D4226" t="s">
        <v>16206</v>
      </c>
      <c r="E4226" t="s">
        <v>16218</v>
      </c>
      <c r="F4226" t="s">
        <v>16221</v>
      </c>
      <c r="G4226" t="s">
        <v>16278</v>
      </c>
      <c r="H4226" t="s">
        <v>16277</v>
      </c>
      <c r="I4226" t="s">
        <v>16353</v>
      </c>
      <c r="J4226" t="s">
        <v>16386</v>
      </c>
      <c r="K4226">
        <v>0.211</v>
      </c>
      <c r="L4226">
        <v>9185</v>
      </c>
      <c r="N4226" t="s">
        <v>16393</v>
      </c>
      <c r="O4226" s="4">
        <v>64565</v>
      </c>
      <c r="P4226" s="4">
        <v>152870</v>
      </c>
      <c r="Q4226" s="4">
        <v>217435</v>
      </c>
      <c r="R4226" s="4">
        <v>652305</v>
      </c>
      <c r="S4226" t="s">
        <v>20528</v>
      </c>
      <c r="T4226" s="6">
        <v>43070</v>
      </c>
      <c r="U4226" s="4">
        <v>521733</v>
      </c>
      <c r="V4226" t="s">
        <v>16232</v>
      </c>
      <c r="W4226" t="s">
        <v>20528</v>
      </c>
      <c r="X4226" t="s">
        <v>3</v>
      </c>
      <c r="AA4226" s="5" t="str">
        <f>HYPERLINK("https://www.zillow.com/homes/1480-BAYOU-PATH-DR-NAPERVILLE-IL-60540_rb/","check listing")</f>
        <v>check listing</v>
      </c>
      <c r="AB4226" s="5" t="str">
        <f>HYPERLINK("https://propertylookup.dupagecounty.gov/Datalets/Datalet.aspx?UseSearch=no&amp;mode=sales&amp;pin=0709305027","sales record")</f>
        <v>sales record</v>
      </c>
      <c r="AC4226" t="s">
        <v>3</v>
      </c>
      <c r="AD4226">
        <v>41.790245</v>
      </c>
      <c r="AE4226">
        <v>-88.219621</v>
      </c>
      <c r="AF4226" s="5" t="str">
        <f>HYPERLINK("https://www.google.com/maps/search/?api=1&amp;query=41.790245,-88.219621","map")</f>
        <v>map</v>
      </c>
    </row>
    <row r="4227" spans="1:32">
      <c r="A4227" t="s">
        <v>4277</v>
      </c>
      <c r="B4227" t="s">
        <v>11810</v>
      </c>
      <c r="C4227" t="s">
        <v>15478</v>
      </c>
      <c r="D4227" t="s">
        <v>16206</v>
      </c>
      <c r="E4227" t="s">
        <v>16218</v>
      </c>
      <c r="F4227" t="s">
        <v>16221</v>
      </c>
      <c r="G4227" t="s">
        <v>16278</v>
      </c>
      <c r="H4227" t="s">
        <v>16277</v>
      </c>
      <c r="I4227" t="s">
        <v>16353</v>
      </c>
      <c r="J4227" t="s">
        <v>16386</v>
      </c>
      <c r="K4227">
        <v>0.211</v>
      </c>
      <c r="L4227">
        <v>9181</v>
      </c>
      <c r="N4227" t="s">
        <v>16393</v>
      </c>
      <c r="O4227" s="4">
        <v>61343</v>
      </c>
      <c r="P4227" s="4">
        <v>238757</v>
      </c>
      <c r="Q4227" s="4">
        <v>300100</v>
      </c>
      <c r="R4227" s="4">
        <v>900300</v>
      </c>
      <c r="S4227" t="s">
        <v>20529</v>
      </c>
      <c r="T4227" s="6">
        <v>42767</v>
      </c>
      <c r="U4227" s="4">
        <v>688086</v>
      </c>
      <c r="V4227" t="s">
        <v>16232</v>
      </c>
      <c r="W4227" t="s">
        <v>25957</v>
      </c>
      <c r="X4227" t="s">
        <v>3</v>
      </c>
      <c r="AA4227" s="5" t="str">
        <f>HYPERLINK("https://www.zillow.com/homes/1603-ALDERLEAF-LN-NAPERVILLE-IL-60563_rb/","check listing")</f>
        <v>check listing</v>
      </c>
      <c r="AB4227" s="5" t="str">
        <f>HYPERLINK("https://propertylookup.dupagecounty.gov/Datalets/Datalet.aspx?UseSearch=no&amp;mode=sales&amp;pin=0709113005","sales record")</f>
        <v>sales record</v>
      </c>
      <c r="AC4227" t="s">
        <v>3</v>
      </c>
      <c r="AD4227">
        <v>41.796128</v>
      </c>
      <c r="AE4227">
        <v>-88.217747</v>
      </c>
      <c r="AF4227" s="5" t="str">
        <f>HYPERLINK("https://www.google.com/maps/search/?api=1&amp;query=41.796128,-88.217747","map")</f>
        <v>map</v>
      </c>
    </row>
    <row r="4228" spans="1:32">
      <c r="A4228" t="s">
        <v>4278</v>
      </c>
      <c r="B4228" t="s">
        <v>11811</v>
      </c>
      <c r="C4228" t="s">
        <v>15475</v>
      </c>
      <c r="D4228" t="s">
        <v>16206</v>
      </c>
      <c r="E4228" t="s">
        <v>16218</v>
      </c>
      <c r="F4228" t="s">
        <v>16221</v>
      </c>
      <c r="G4228" t="s">
        <v>16277</v>
      </c>
      <c r="H4228" t="s">
        <v>16277</v>
      </c>
      <c r="I4228" t="s">
        <v>16353</v>
      </c>
      <c r="J4228" t="s">
        <v>16386</v>
      </c>
      <c r="K4228">
        <v>0.211</v>
      </c>
      <c r="L4228">
        <v>9179</v>
      </c>
      <c r="M4228">
        <v>3264</v>
      </c>
      <c r="N4228" t="s">
        <v>16393</v>
      </c>
      <c r="O4228" s="4">
        <v>138514</v>
      </c>
      <c r="P4228" s="4">
        <v>103814</v>
      </c>
      <c r="Q4228" s="4">
        <v>242328</v>
      </c>
      <c r="R4228" s="4">
        <v>726984</v>
      </c>
      <c r="S4228" t="s">
        <v>20530</v>
      </c>
      <c r="T4228" s="6">
        <v>37712</v>
      </c>
      <c r="U4228" s="4">
        <v>357144</v>
      </c>
      <c r="V4228" t="s">
        <v>23738</v>
      </c>
      <c r="W4228" t="s">
        <v>25958</v>
      </c>
      <c r="X4228" t="s">
        <v>3</v>
      </c>
      <c r="AA4228" s="5" t="str">
        <f>HYPERLINK("https://www.zillow.com/homes/214-N-ELLSWORTH-ST-NAPERVILLE-IL-60540_rb/","check listing")</f>
        <v>check listing</v>
      </c>
      <c r="AB4228" s="5" t="str">
        <f>HYPERLINK("https://propertylookup.dupagecounty.gov/Datalets/Datalet.aspx?UseSearch=no&amp;mode=sales&amp;pin=0818132005","sales record")</f>
        <v>sales record</v>
      </c>
      <c r="AC4228" t="s">
        <v>3</v>
      </c>
      <c r="AD4228">
        <v>41.77794</v>
      </c>
      <c r="AE4228">
        <v>-88.14455599999999</v>
      </c>
      <c r="AF4228" s="5" t="str">
        <f>HYPERLINK("https://www.google.com/maps/search/?api=1&amp;query=41.77794,-88.144556","map")</f>
        <v>map</v>
      </c>
    </row>
    <row r="4229" spans="1:32">
      <c r="A4229" t="s">
        <v>4279</v>
      </c>
      <c r="B4229" t="s">
        <v>11812</v>
      </c>
      <c r="C4229" t="s">
        <v>15644</v>
      </c>
      <c r="D4229" t="s">
        <v>16206</v>
      </c>
      <c r="E4229" t="s">
        <v>16218</v>
      </c>
      <c r="F4229" t="s">
        <v>16221</v>
      </c>
      <c r="G4229" t="s">
        <v>16277</v>
      </c>
      <c r="H4229" t="s">
        <v>16277</v>
      </c>
      <c r="I4229" t="s">
        <v>16353</v>
      </c>
      <c r="J4229" t="s">
        <v>16386</v>
      </c>
      <c r="K4229">
        <v>0.211</v>
      </c>
      <c r="L4229">
        <v>9175</v>
      </c>
      <c r="N4229" t="s">
        <v>16393</v>
      </c>
      <c r="O4229" s="4">
        <v>129783</v>
      </c>
      <c r="P4229" s="4">
        <v>303277</v>
      </c>
      <c r="Q4229" s="4">
        <v>433060</v>
      </c>
      <c r="R4229" s="4">
        <v>1299180</v>
      </c>
      <c r="S4229" t="s">
        <v>20531</v>
      </c>
      <c r="T4229" s="6">
        <v>44531</v>
      </c>
      <c r="U4229" s="4">
        <v>1150000</v>
      </c>
      <c r="V4229" t="s">
        <v>23739</v>
      </c>
      <c r="W4229" t="s">
        <v>25959</v>
      </c>
      <c r="X4229" t="s">
        <v>3</v>
      </c>
      <c r="AA4229" s="5" t="str">
        <f>HYPERLINK("https://www.zillow.com/homes/228-N-LAIRD-ST-NAPERVILLE-IL-605404335_rb/","check listing")</f>
        <v>check listing</v>
      </c>
      <c r="AB4229" s="5" t="str">
        <f>HYPERLINK("https://propertylookup.dupagecounty.gov/Datalets/Datalet.aspx?UseSearch=no&amp;mode=sales&amp;pin=0713103026","sales record")</f>
        <v>sales record</v>
      </c>
      <c r="AC4229" t="s">
        <v>3</v>
      </c>
      <c r="AD4229">
        <v>41.778525</v>
      </c>
      <c r="AE4229">
        <v>-88.15955700000001</v>
      </c>
      <c r="AF4229" s="5" t="str">
        <f>HYPERLINK("https://www.google.com/maps/search/?api=1&amp;query=41.778525,-88.159557","map")</f>
        <v>map</v>
      </c>
    </row>
    <row r="4230" spans="1:32">
      <c r="A4230" t="s">
        <v>4280</v>
      </c>
      <c r="B4230" t="s">
        <v>11813</v>
      </c>
      <c r="C4230" t="s">
        <v>15475</v>
      </c>
      <c r="D4230" t="s">
        <v>16206</v>
      </c>
      <c r="E4230" t="s">
        <v>16218</v>
      </c>
      <c r="F4230" t="s">
        <v>16221</v>
      </c>
      <c r="G4230" t="s">
        <v>16277</v>
      </c>
      <c r="H4230" t="s">
        <v>16277</v>
      </c>
      <c r="I4230" t="s">
        <v>16353</v>
      </c>
      <c r="J4230" t="s">
        <v>16386</v>
      </c>
      <c r="K4230">
        <v>0.211</v>
      </c>
      <c r="L4230">
        <v>9171</v>
      </c>
      <c r="M4230">
        <v>2636</v>
      </c>
      <c r="N4230" t="s">
        <v>16393</v>
      </c>
      <c r="O4230" s="4">
        <v>125837</v>
      </c>
      <c r="P4230" s="4">
        <v>198435</v>
      </c>
      <c r="Q4230" s="4">
        <v>324272</v>
      </c>
      <c r="R4230" s="4">
        <v>972816</v>
      </c>
      <c r="S4230" t="s">
        <v>20532</v>
      </c>
      <c r="T4230" s="6">
        <v>37043</v>
      </c>
      <c r="U4230" s="4">
        <v>478000</v>
      </c>
      <c r="V4230" t="s">
        <v>23739</v>
      </c>
      <c r="W4230" t="s">
        <v>25960</v>
      </c>
      <c r="X4230" t="s">
        <v>3</v>
      </c>
      <c r="AA4230" s="5" t="str">
        <f>HYPERLINK("https://www.zillow.com/homes/104-N-JULIAN-ST-NAPERVILLE-IL-60540_rb/","check listing")</f>
        <v>check listing</v>
      </c>
      <c r="AB4230" s="5" t="str">
        <f>HYPERLINK("https://propertylookup.dupagecounty.gov/Datalets/Datalet.aspx?UseSearch=no&amp;mode=sales&amp;pin=0818401010","sales record")</f>
        <v>sales record</v>
      </c>
      <c r="AC4230" t="s">
        <v>3</v>
      </c>
      <c r="AD4230">
        <v>41.775881</v>
      </c>
      <c r="AE4230">
        <v>-88.136276</v>
      </c>
      <c r="AF4230" s="5" t="str">
        <f>HYPERLINK("https://www.google.com/maps/search/?api=1&amp;query=41.775881,-88.136276","map")</f>
        <v>map</v>
      </c>
    </row>
    <row r="4231" spans="1:32">
      <c r="A4231" t="s">
        <v>4281</v>
      </c>
      <c r="B4231" t="s">
        <v>11814</v>
      </c>
      <c r="C4231" t="s">
        <v>15682</v>
      </c>
      <c r="D4231" t="s">
        <v>16206</v>
      </c>
      <c r="E4231" t="s">
        <v>16218</v>
      </c>
      <c r="F4231" t="s">
        <v>16221</v>
      </c>
      <c r="G4231" t="s">
        <v>16277</v>
      </c>
      <c r="H4231" t="s">
        <v>16277</v>
      </c>
      <c r="I4231" t="s">
        <v>16353</v>
      </c>
      <c r="J4231" t="s">
        <v>16386</v>
      </c>
      <c r="K4231">
        <v>0.209</v>
      </c>
      <c r="L4231">
        <v>9121</v>
      </c>
      <c r="N4231" t="s">
        <v>16393</v>
      </c>
      <c r="O4231" s="4">
        <v>143154</v>
      </c>
      <c r="P4231" s="4">
        <v>136365</v>
      </c>
      <c r="Q4231" s="4">
        <v>279519</v>
      </c>
      <c r="R4231" s="4">
        <v>838557</v>
      </c>
      <c r="S4231" t="s">
        <v>20533</v>
      </c>
      <c r="T4231" s="6">
        <v>45814</v>
      </c>
      <c r="U4231" s="4">
        <v>1709223</v>
      </c>
      <c r="V4231" t="s">
        <v>23739</v>
      </c>
      <c r="W4231" t="s">
        <v>25961</v>
      </c>
      <c r="X4231" t="s">
        <v>3</v>
      </c>
      <c r="AA4231" s="5" t="str">
        <f>HYPERLINK("https://www.zillow.com/homes/231-N-LAIRD-ST-NAPERVILLE-IL-605404334_rb/","check listing")</f>
        <v>check listing</v>
      </c>
      <c r="AB4231" s="5" t="str">
        <f>HYPERLINK("https://propertylookup.dupagecounty.gov/Datalets/Datalet.aspx?UseSearch=no&amp;mode=sales&amp;pin=0713101020","sales record")</f>
        <v>sales record</v>
      </c>
      <c r="AC4231" t="s">
        <v>3</v>
      </c>
      <c r="AD4231">
        <v>41.778643</v>
      </c>
      <c r="AE4231">
        <v>-88.160267</v>
      </c>
      <c r="AF4231" s="5" t="str">
        <f>HYPERLINK("https://www.google.com/maps/search/?api=1&amp;query=41.778643,-88.160267","map")</f>
        <v>map</v>
      </c>
    </row>
    <row r="4232" spans="1:32">
      <c r="A4232" t="s">
        <v>4282</v>
      </c>
      <c r="B4232" t="s">
        <v>11815</v>
      </c>
      <c r="C4232" t="s">
        <v>15475</v>
      </c>
      <c r="D4232" t="s">
        <v>16206</v>
      </c>
      <c r="E4232" t="s">
        <v>16218</v>
      </c>
      <c r="F4232" t="s">
        <v>16221</v>
      </c>
      <c r="G4232" t="s">
        <v>16277</v>
      </c>
      <c r="H4232" t="s">
        <v>16277</v>
      </c>
      <c r="I4232" t="s">
        <v>16353</v>
      </c>
      <c r="J4232" t="s">
        <v>16386</v>
      </c>
      <c r="K4232">
        <v>0.209</v>
      </c>
      <c r="L4232">
        <v>9113</v>
      </c>
      <c r="M4232">
        <v>2870</v>
      </c>
      <c r="N4232" t="s">
        <v>16393</v>
      </c>
      <c r="O4232" s="4">
        <v>138514</v>
      </c>
      <c r="P4232" s="4">
        <v>166994</v>
      </c>
      <c r="Q4232" s="4">
        <v>305508</v>
      </c>
      <c r="R4232" s="4">
        <v>916524</v>
      </c>
      <c r="S4232" t="s">
        <v>20534</v>
      </c>
      <c r="T4232" s="6">
        <v>44348</v>
      </c>
      <c r="U4232" s="4">
        <v>720000</v>
      </c>
      <c r="V4232" t="s">
        <v>23739</v>
      </c>
      <c r="W4232" t="s">
        <v>25962</v>
      </c>
      <c r="X4232" t="s">
        <v>3</v>
      </c>
      <c r="AA4232" s="5" t="str">
        <f>HYPERLINK("https://www.zillow.com/homes/21-S-BRAINARD-ST-NAPERVILLE-IL-60540_rb/","check listing")</f>
        <v>check listing</v>
      </c>
      <c r="AB4232" s="5" t="str">
        <f>HYPERLINK("https://propertylookup.dupagecounty.gov/Datalets/Datalet.aspx?UseSearch=no&amp;mode=sales&amp;pin=0818314015","sales record")</f>
        <v>sales record</v>
      </c>
      <c r="AC4232" t="s">
        <v>3</v>
      </c>
      <c r="AD4232">
        <v>41.774419</v>
      </c>
      <c r="AE4232">
        <v>-88.144121</v>
      </c>
      <c r="AF4232" s="5" t="str">
        <f>HYPERLINK("https://www.google.com/maps/search/?api=1&amp;query=41.774419,-88.144121","map")</f>
        <v>map</v>
      </c>
    </row>
    <row r="4233" spans="1:32">
      <c r="A4233" t="s">
        <v>4283</v>
      </c>
      <c r="B4233" t="s">
        <v>11816</v>
      </c>
      <c r="C4233" t="s">
        <v>15679</v>
      </c>
      <c r="D4233" t="s">
        <v>16206</v>
      </c>
      <c r="E4233" t="s">
        <v>16218</v>
      </c>
      <c r="F4233" t="s">
        <v>16221</v>
      </c>
      <c r="G4233" t="s">
        <v>16278</v>
      </c>
      <c r="H4233" t="s">
        <v>16277</v>
      </c>
      <c r="I4233" t="s">
        <v>16353</v>
      </c>
      <c r="J4233" t="s">
        <v>16386</v>
      </c>
      <c r="K4233">
        <v>0.209</v>
      </c>
      <c r="L4233">
        <v>9109</v>
      </c>
      <c r="N4233" t="s">
        <v>16393</v>
      </c>
      <c r="O4233" s="4">
        <v>64565</v>
      </c>
      <c r="P4233" s="4">
        <v>206243</v>
      </c>
      <c r="Q4233" s="4">
        <v>270808</v>
      </c>
      <c r="R4233" s="4">
        <v>812424</v>
      </c>
      <c r="S4233" t="s">
        <v>20535</v>
      </c>
      <c r="T4233" s="6">
        <v>42979</v>
      </c>
      <c r="U4233" s="4">
        <v>580066</v>
      </c>
      <c r="V4233" t="s">
        <v>16232</v>
      </c>
      <c r="W4233" t="s">
        <v>25963</v>
      </c>
      <c r="X4233" t="s">
        <v>3</v>
      </c>
      <c r="AA4233" s="5" t="str">
        <f>HYPERLINK("https://www.zillow.com/homes/1611-BAYOU-PATH-DR-NAPERVILLE-IL-605632271_rb/","check listing")</f>
        <v>check listing</v>
      </c>
      <c r="AB4233" s="5" t="str">
        <f>HYPERLINK("https://propertylookup.dupagecounty.gov/Datalets/Datalet.aspx?UseSearch=no&amp;mode=sales&amp;pin=0709112009","sales record")</f>
        <v>sales record</v>
      </c>
      <c r="AC4233" t="s">
        <v>3</v>
      </c>
      <c r="AD4233">
        <v>41.795978</v>
      </c>
      <c r="AE4233">
        <v>-88.219031</v>
      </c>
      <c r="AF4233" s="5" t="str">
        <f>HYPERLINK("https://www.google.com/maps/search/?api=1&amp;query=41.795978,-88.219031","map")</f>
        <v>map</v>
      </c>
    </row>
    <row r="4234" spans="1:32">
      <c r="A4234" t="s">
        <v>4284</v>
      </c>
      <c r="B4234" t="s">
        <v>11817</v>
      </c>
      <c r="C4234" t="s">
        <v>15478</v>
      </c>
      <c r="D4234" t="s">
        <v>16206</v>
      </c>
      <c r="E4234" t="s">
        <v>16218</v>
      </c>
      <c r="F4234" t="s">
        <v>16221</v>
      </c>
      <c r="G4234" t="s">
        <v>16278</v>
      </c>
      <c r="H4234" t="s">
        <v>16277</v>
      </c>
      <c r="I4234" t="s">
        <v>16353</v>
      </c>
      <c r="J4234" t="s">
        <v>16386</v>
      </c>
      <c r="K4234">
        <v>0.209</v>
      </c>
      <c r="L4234">
        <v>9107</v>
      </c>
      <c r="N4234" t="s">
        <v>16393</v>
      </c>
      <c r="O4234" s="4">
        <v>64565</v>
      </c>
      <c r="P4234" s="4">
        <v>184346</v>
      </c>
      <c r="Q4234" s="4">
        <v>248911</v>
      </c>
      <c r="R4234" s="4">
        <v>746733</v>
      </c>
      <c r="S4234" t="s">
        <v>20536</v>
      </c>
      <c r="T4234" s="6">
        <v>42767</v>
      </c>
      <c r="U4234" s="4">
        <v>494324</v>
      </c>
      <c r="V4234" t="s">
        <v>16232</v>
      </c>
      <c r="W4234" t="s">
        <v>25964</v>
      </c>
      <c r="X4234" t="s">
        <v>3</v>
      </c>
      <c r="AA4234" s="5" t="str">
        <f>HYPERLINK("https://www.zillow.com/homes/1612-ALDERLEAF-LN-NAPERVILLE-IL-60563_rb/","check listing")</f>
        <v>check listing</v>
      </c>
      <c r="AB4234" s="5" t="str">
        <f>HYPERLINK("https://propertylookup.dupagecounty.gov/Datalets/Datalet.aspx?UseSearch=no&amp;mode=sales&amp;pin=0709102033","sales record")</f>
        <v>sales record</v>
      </c>
      <c r="AC4234" t="s">
        <v>3</v>
      </c>
      <c r="AD4234">
        <v>41.796795</v>
      </c>
      <c r="AE4234">
        <v>-88.21733500000001</v>
      </c>
      <c r="AF4234" s="5" t="str">
        <f>HYPERLINK("https://www.google.com/maps/search/?api=1&amp;query=41.796795,-88.217335","map")</f>
        <v>map</v>
      </c>
    </row>
    <row r="4235" spans="1:32">
      <c r="A4235" t="s">
        <v>4285</v>
      </c>
      <c r="B4235" t="s">
        <v>11818</v>
      </c>
      <c r="C4235" t="s">
        <v>15656</v>
      </c>
      <c r="D4235" t="s">
        <v>16206</v>
      </c>
      <c r="E4235" t="s">
        <v>16218</v>
      </c>
      <c r="F4235" t="s">
        <v>16221</v>
      </c>
      <c r="G4235" t="s">
        <v>16278</v>
      </c>
      <c r="H4235" t="s">
        <v>16277</v>
      </c>
      <c r="I4235" t="s">
        <v>16353</v>
      </c>
      <c r="J4235" t="s">
        <v>16386</v>
      </c>
      <c r="K4235">
        <v>0.209</v>
      </c>
      <c r="L4235">
        <v>9101</v>
      </c>
      <c r="N4235" t="s">
        <v>16393</v>
      </c>
      <c r="O4235" s="4">
        <v>64565</v>
      </c>
      <c r="P4235" s="4">
        <v>192134</v>
      </c>
      <c r="Q4235" s="4">
        <v>256699</v>
      </c>
      <c r="R4235" s="4">
        <v>770097</v>
      </c>
      <c r="S4235" t="s">
        <v>20537</v>
      </c>
      <c r="T4235" s="6">
        <v>42856</v>
      </c>
      <c r="U4235" s="4">
        <v>578055</v>
      </c>
      <c r="V4235" t="s">
        <v>16232</v>
      </c>
      <c r="W4235" t="s">
        <v>25965</v>
      </c>
      <c r="X4235" t="s">
        <v>3</v>
      </c>
      <c r="AA4235" s="5" t="str">
        <f>HYPERLINK("https://www.zillow.com/homes/1608-BAYOU-PATH-DR-NAPERVILLE-IL-605631718_rb/","check listing")</f>
        <v>check listing</v>
      </c>
      <c r="AB4235" s="5" t="str">
        <f>HYPERLINK("https://propertylookup.dupagecounty.gov/Datalets/Datalet.aspx?UseSearch=no&amp;mode=sales&amp;pin=0709113003","sales record")</f>
        <v>sales record</v>
      </c>
      <c r="AC4235" t="s">
        <v>3</v>
      </c>
      <c r="AD4235">
        <v>41.796121</v>
      </c>
      <c r="AE4235">
        <v>-88.21821199999999</v>
      </c>
      <c r="AF4235" s="5" t="str">
        <f>HYPERLINK("https://www.google.com/maps/search/?api=1&amp;query=41.796121,-88.218212","map")</f>
        <v>map</v>
      </c>
    </row>
    <row r="4236" spans="1:32">
      <c r="A4236" t="s">
        <v>4286</v>
      </c>
      <c r="B4236" t="s">
        <v>11819</v>
      </c>
      <c r="C4236" t="s">
        <v>15475</v>
      </c>
      <c r="D4236" t="s">
        <v>16206</v>
      </c>
      <c r="E4236" t="s">
        <v>16218</v>
      </c>
      <c r="F4236" t="s">
        <v>16221</v>
      </c>
      <c r="G4236" t="s">
        <v>16277</v>
      </c>
      <c r="H4236" t="s">
        <v>16277</v>
      </c>
      <c r="I4236" t="s">
        <v>16353</v>
      </c>
      <c r="J4236" t="s">
        <v>16386</v>
      </c>
      <c r="K4236">
        <v>0.209</v>
      </c>
      <c r="L4236">
        <v>9099</v>
      </c>
      <c r="M4236">
        <v>2418</v>
      </c>
      <c r="N4236" t="s">
        <v>16393</v>
      </c>
      <c r="O4236" s="4">
        <v>138514</v>
      </c>
      <c r="P4236" s="4">
        <v>201795</v>
      </c>
      <c r="Q4236" s="4">
        <v>340309</v>
      </c>
      <c r="R4236" s="4">
        <v>1020927</v>
      </c>
      <c r="S4236" t="s">
        <v>20538</v>
      </c>
      <c r="T4236" s="6">
        <v>45432</v>
      </c>
      <c r="U4236" s="4">
        <v>1205000</v>
      </c>
      <c r="V4236" t="s">
        <v>23739</v>
      </c>
      <c r="W4236" t="s">
        <v>25966</v>
      </c>
      <c r="X4236" t="s">
        <v>3</v>
      </c>
      <c r="AA4236" s="5" t="str">
        <f>HYPERLINK("https://www.zillow.com/homes/6-S-WRIGHT-ST-NAPERVILLE-IL-60540_rb/","check listing")</f>
        <v>check listing</v>
      </c>
      <c r="AB4236" s="5" t="str">
        <f>HYPERLINK("https://propertylookup.dupagecounty.gov/Datalets/Datalet.aspx?UseSearch=no&amp;mode=sales&amp;pin=0818318001","sales record")</f>
        <v>sales record</v>
      </c>
      <c r="AC4236" t="s">
        <v>27873</v>
      </c>
      <c r="AD4236">
        <v>41.774678</v>
      </c>
      <c r="AE4236">
        <v>-88.13906799999999</v>
      </c>
      <c r="AF4236" s="5" t="str">
        <f>HYPERLINK("https://www.google.com/maps/search/?api=1&amp;query=41.774678,-88.139068","map")</f>
        <v>map</v>
      </c>
    </row>
    <row r="4237" spans="1:32">
      <c r="A4237" t="s">
        <v>4287</v>
      </c>
      <c r="B4237" t="s">
        <v>11820</v>
      </c>
      <c r="C4237" t="s">
        <v>15478</v>
      </c>
      <c r="D4237" t="s">
        <v>16206</v>
      </c>
      <c r="E4237" t="s">
        <v>16218</v>
      </c>
      <c r="F4237" t="s">
        <v>16221</v>
      </c>
      <c r="G4237" t="s">
        <v>16277</v>
      </c>
      <c r="H4237" t="s">
        <v>16277</v>
      </c>
      <c r="I4237" t="s">
        <v>16353</v>
      </c>
      <c r="J4237" t="s">
        <v>16386</v>
      </c>
      <c r="K4237">
        <v>0.209</v>
      </c>
      <c r="L4237">
        <v>9093</v>
      </c>
      <c r="M4237">
        <v>2862</v>
      </c>
      <c r="N4237" t="s">
        <v>16393</v>
      </c>
      <c r="O4237" s="4">
        <v>99105</v>
      </c>
      <c r="P4237" s="4">
        <v>32321</v>
      </c>
      <c r="Q4237" s="4">
        <v>131426</v>
      </c>
      <c r="R4237" s="4">
        <v>394278</v>
      </c>
      <c r="S4237" t="s">
        <v>20539</v>
      </c>
      <c r="T4237" s="6">
        <v>45491</v>
      </c>
      <c r="U4237" s="4">
        <v>550000</v>
      </c>
      <c r="V4237" t="s">
        <v>23739</v>
      </c>
      <c r="W4237" t="s">
        <v>25967</v>
      </c>
      <c r="X4237" t="s">
        <v>3</v>
      </c>
      <c r="AA4237" s="5" t="str">
        <f>HYPERLINK("https://www.zillow.com/homes/517-N-LOOMIS-ST-NAPERVILLE-IL-60563_rb/","check listing")</f>
        <v>check listing</v>
      </c>
      <c r="AB4237" s="5" t="str">
        <f>HYPERLINK("https://propertylookup.dupagecounty.gov/Datalets/Datalet.aspx?UseSearch=no&amp;mode=sales&amp;pin=0818116010","sales record")</f>
        <v>sales record</v>
      </c>
      <c r="AC4237" t="s">
        <v>3</v>
      </c>
      <c r="AD4237">
        <v>41.781395</v>
      </c>
      <c r="AE4237">
        <v>-88.14233400000001</v>
      </c>
      <c r="AF4237" s="5" t="str">
        <f>HYPERLINK("https://www.google.com/maps/search/?api=1&amp;query=41.781395,-88.142334","map")</f>
        <v>map</v>
      </c>
    </row>
    <row r="4238" spans="1:32">
      <c r="A4238" t="s">
        <v>4288</v>
      </c>
      <c r="B4238" t="s">
        <v>11821</v>
      </c>
      <c r="C4238" t="s">
        <v>15478</v>
      </c>
      <c r="D4238" t="s">
        <v>16206</v>
      </c>
      <c r="E4238" t="s">
        <v>16218</v>
      </c>
      <c r="F4238" t="s">
        <v>16221</v>
      </c>
      <c r="G4238" t="s">
        <v>16278</v>
      </c>
      <c r="H4238" t="s">
        <v>16277</v>
      </c>
      <c r="I4238" t="s">
        <v>16353</v>
      </c>
      <c r="J4238" t="s">
        <v>16386</v>
      </c>
      <c r="K4238">
        <v>0.209</v>
      </c>
      <c r="L4238">
        <v>9091</v>
      </c>
      <c r="N4238" t="s">
        <v>16393</v>
      </c>
      <c r="O4238" s="4">
        <v>67787</v>
      </c>
      <c r="P4238" s="4">
        <v>137796</v>
      </c>
      <c r="Q4238" s="4">
        <v>205583</v>
      </c>
      <c r="R4238" s="4">
        <v>616749</v>
      </c>
      <c r="S4238" t="s">
        <v>20540</v>
      </c>
      <c r="T4238" s="6">
        <v>42795</v>
      </c>
      <c r="U4238" s="4">
        <v>452924</v>
      </c>
      <c r="V4238" t="s">
        <v>16232</v>
      </c>
      <c r="W4238" t="s">
        <v>25968</v>
      </c>
      <c r="X4238" t="s">
        <v>3</v>
      </c>
      <c r="AA4238" s="5" t="str">
        <f>HYPERLINK("https://www.zillow.com/homes/2476-BASIN-TRAIL-LN-NAPERVILLE-IL-60563_rb/","check listing")</f>
        <v>check listing</v>
      </c>
      <c r="AB4238" s="5" t="str">
        <f>HYPERLINK("https://propertylookup.dupagecounty.gov/Datalets/Datalet.aspx?UseSearch=no&amp;mode=sales&amp;pin=0709110013","sales record")</f>
        <v>sales record</v>
      </c>
      <c r="AC4238" t="s">
        <v>3</v>
      </c>
      <c r="AD4238">
        <v>41.794678</v>
      </c>
      <c r="AE4238">
        <v>-88.22209100000001</v>
      </c>
      <c r="AF4238" s="5" t="str">
        <f>HYPERLINK("https://www.google.com/maps/search/?api=1&amp;query=41.794678,-88.222091","map")</f>
        <v>map</v>
      </c>
    </row>
    <row r="4239" spans="1:32">
      <c r="A4239" t="s">
        <v>4289</v>
      </c>
      <c r="B4239" t="s">
        <v>11822</v>
      </c>
      <c r="C4239" t="s">
        <v>15478</v>
      </c>
      <c r="D4239" t="s">
        <v>16206</v>
      </c>
      <c r="E4239" t="s">
        <v>16218</v>
      </c>
      <c r="F4239" t="s">
        <v>16221</v>
      </c>
      <c r="G4239" t="s">
        <v>16278</v>
      </c>
      <c r="H4239" t="s">
        <v>16277</v>
      </c>
      <c r="I4239" t="s">
        <v>16353</v>
      </c>
      <c r="J4239" t="s">
        <v>16386</v>
      </c>
      <c r="K4239">
        <v>0.209</v>
      </c>
      <c r="L4239">
        <v>9090</v>
      </c>
      <c r="N4239" t="s">
        <v>16393</v>
      </c>
      <c r="O4239" s="4">
        <v>64565</v>
      </c>
      <c r="P4239" s="4">
        <v>192341</v>
      </c>
      <c r="Q4239" s="4">
        <v>256906</v>
      </c>
      <c r="R4239" s="4">
        <v>770718</v>
      </c>
      <c r="S4239" t="s">
        <v>20541</v>
      </c>
      <c r="T4239" s="6">
        <v>43983</v>
      </c>
      <c r="U4239" s="4">
        <v>531000</v>
      </c>
      <c r="V4239" t="s">
        <v>23739</v>
      </c>
      <c r="W4239" t="s">
        <v>25969</v>
      </c>
      <c r="X4239" t="s">
        <v>3</v>
      </c>
      <c r="AA4239" s="5" t="str">
        <f>HYPERLINK("https://www.zillow.com/homes/1544-BAYOU-PATH-DR-NAPERVILLE-IL-60563_rb/","check listing")</f>
        <v>check listing</v>
      </c>
      <c r="AB4239" s="5" t="str">
        <f>HYPERLINK("https://propertylookup.dupagecounty.gov/Datalets/Datalet.aspx?UseSearch=no&amp;mode=sales&amp;pin=0709105039","sales record")</f>
        <v>sales record</v>
      </c>
      <c r="AC4239" t="s">
        <v>3</v>
      </c>
      <c r="AD4239">
        <v>41.79359</v>
      </c>
      <c r="AE4239">
        <v>-88.218395</v>
      </c>
      <c r="AF4239" s="5" t="str">
        <f>HYPERLINK("https://www.google.com/maps/search/?api=1&amp;query=41.79359,-88.218395","map")</f>
        <v>map</v>
      </c>
    </row>
    <row r="4240" spans="1:32">
      <c r="A4240" t="s">
        <v>4290</v>
      </c>
      <c r="B4240" t="s">
        <v>11823</v>
      </c>
      <c r="C4240" t="s">
        <v>15475</v>
      </c>
      <c r="D4240" t="s">
        <v>16206</v>
      </c>
      <c r="E4240" t="s">
        <v>16218</v>
      </c>
      <c r="F4240" t="s">
        <v>16221</v>
      </c>
      <c r="G4240" t="s">
        <v>16277</v>
      </c>
      <c r="H4240" t="s">
        <v>16277</v>
      </c>
      <c r="I4240" t="s">
        <v>16353</v>
      </c>
      <c r="J4240" t="s">
        <v>16386</v>
      </c>
      <c r="K4240">
        <v>0.208</v>
      </c>
      <c r="L4240">
        <v>9076</v>
      </c>
      <c r="M4240">
        <v>2396</v>
      </c>
      <c r="N4240" t="s">
        <v>16393</v>
      </c>
      <c r="O4240" s="4">
        <v>118134</v>
      </c>
      <c r="P4240" s="4">
        <v>283795</v>
      </c>
      <c r="Q4240" s="4">
        <v>401929</v>
      </c>
      <c r="R4240" s="4">
        <v>1205787</v>
      </c>
      <c r="S4240" t="s">
        <v>20542</v>
      </c>
      <c r="T4240" s="6">
        <v>40575</v>
      </c>
      <c r="U4240" s="4">
        <v>875000</v>
      </c>
      <c r="V4240" t="s">
        <v>23739</v>
      </c>
      <c r="W4240" t="s">
        <v>25970</v>
      </c>
      <c r="X4240" t="s">
        <v>3</v>
      </c>
      <c r="AA4240" s="5" t="str">
        <f>HYPERLINK("https://www.zillow.com/homes/520-W-VAN-BUREN-AVE-NAPERVILLE-IL-60540_rb/","check listing")</f>
        <v>check listing</v>
      </c>
      <c r="AB4240" s="5" t="str">
        <f>HYPERLINK("https://propertylookup.dupagecounty.gov/Datalets/Datalet.aspx?UseSearch=no&amp;mode=sales&amp;pin=0713414002","sales record")</f>
        <v>sales record</v>
      </c>
      <c r="AC4240" t="s">
        <v>3</v>
      </c>
      <c r="AD4240">
        <v>41.773992</v>
      </c>
      <c r="AE4240">
        <v>-88.156893</v>
      </c>
      <c r="AF4240" s="5" t="str">
        <f>HYPERLINK("https://www.google.com/maps/search/?api=1&amp;query=41.773992,-88.156893","map")</f>
        <v>map</v>
      </c>
    </row>
    <row r="4241" spans="1:32">
      <c r="A4241" t="s">
        <v>4291</v>
      </c>
      <c r="B4241" t="s">
        <v>11824</v>
      </c>
      <c r="C4241" t="s">
        <v>15478</v>
      </c>
      <c r="D4241" t="s">
        <v>16206</v>
      </c>
      <c r="E4241" t="s">
        <v>16218</v>
      </c>
      <c r="F4241" t="s">
        <v>16221</v>
      </c>
      <c r="G4241" t="s">
        <v>16277</v>
      </c>
      <c r="H4241" t="s">
        <v>16277</v>
      </c>
      <c r="I4241" t="s">
        <v>16353</v>
      </c>
      <c r="J4241" t="s">
        <v>16386</v>
      </c>
      <c r="K4241">
        <v>0.208</v>
      </c>
      <c r="L4241">
        <v>9061</v>
      </c>
      <c r="M4241">
        <v>1979</v>
      </c>
      <c r="N4241" t="s">
        <v>16393</v>
      </c>
      <c r="O4241" s="4">
        <v>119856</v>
      </c>
      <c r="P4241" s="4">
        <v>37316</v>
      </c>
      <c r="Q4241" s="4">
        <v>157172</v>
      </c>
      <c r="R4241" s="4">
        <v>471516</v>
      </c>
      <c r="S4241" t="s">
        <v>20543</v>
      </c>
      <c r="T4241" s="6">
        <v>40756</v>
      </c>
      <c r="U4241" s="4">
        <v>284000</v>
      </c>
      <c r="V4241" t="s">
        <v>23739</v>
      </c>
      <c r="W4241" t="s">
        <v>20543</v>
      </c>
      <c r="X4241" t="s">
        <v>3</v>
      </c>
      <c r="AA4241" s="5" t="str">
        <f>HYPERLINK("https://www.zillow.com/homes/718-N-BRAINARD-ST-NAPERVILLE-IL-60563_rb/","check listing")</f>
        <v>check listing</v>
      </c>
      <c r="AB4241" s="5" t="str">
        <f>HYPERLINK("https://propertylookup.dupagecounty.gov/Datalets/Datalet.aspx?UseSearch=no&amp;mode=sales&amp;pin=0818115005","sales record")</f>
        <v>sales record</v>
      </c>
      <c r="AC4241" t="s">
        <v>3</v>
      </c>
      <c r="AD4241">
        <v>41.783362</v>
      </c>
      <c r="AE4241">
        <v>-88.14269400000001</v>
      </c>
      <c r="AF4241" s="5" t="str">
        <f>HYPERLINK("https://www.google.com/maps/search/?api=1&amp;query=41.783362,-88.142694","map")</f>
        <v>map</v>
      </c>
    </row>
    <row r="4242" spans="1:32">
      <c r="A4242" t="s">
        <v>4292</v>
      </c>
      <c r="B4242" t="s">
        <v>11825</v>
      </c>
      <c r="C4242" t="s">
        <v>15475</v>
      </c>
      <c r="D4242" t="s">
        <v>16206</v>
      </c>
      <c r="E4242" t="s">
        <v>16218</v>
      </c>
      <c r="F4242" t="s">
        <v>16221</v>
      </c>
      <c r="G4242" t="s">
        <v>16277</v>
      </c>
      <c r="H4242" t="s">
        <v>16277</v>
      </c>
      <c r="I4242" t="s">
        <v>16353</v>
      </c>
      <c r="J4242" t="s">
        <v>16386</v>
      </c>
      <c r="K4242">
        <v>0.208</v>
      </c>
      <c r="L4242">
        <v>9052</v>
      </c>
      <c r="M4242">
        <v>2850</v>
      </c>
      <c r="N4242" t="s">
        <v>16393</v>
      </c>
      <c r="O4242" s="4">
        <v>125290</v>
      </c>
      <c r="P4242" s="4">
        <v>343835</v>
      </c>
      <c r="Q4242" s="4">
        <v>469125</v>
      </c>
      <c r="R4242" s="4">
        <v>1407375</v>
      </c>
      <c r="S4242" t="s">
        <v>20544</v>
      </c>
      <c r="T4242" s="6">
        <v>41730</v>
      </c>
      <c r="U4242" s="4">
        <v>875000</v>
      </c>
      <c r="V4242" t="s">
        <v>23739</v>
      </c>
      <c r="W4242" t="s">
        <v>25971</v>
      </c>
      <c r="X4242" t="s">
        <v>3</v>
      </c>
      <c r="AA4242" s="5" t="str">
        <f>HYPERLINK("https://www.zillow.com/homes/529-E-CHICAGO-AVE-NAPERVILLE-IL-60540_rb/","check listing")</f>
        <v>check listing</v>
      </c>
      <c r="AB4242" s="5" t="str">
        <f>HYPERLINK("https://propertylookup.dupagecounty.gov/Datalets/Datalet.aspx?UseSearch=no&amp;mode=sales&amp;pin=0818322016","sales record")</f>
        <v>sales record</v>
      </c>
      <c r="AC4242" t="s">
        <v>3</v>
      </c>
      <c r="AD4242">
        <v>41.772776</v>
      </c>
      <c r="AE4242">
        <v>-88.139855</v>
      </c>
      <c r="AF4242" s="5" t="str">
        <f>HYPERLINK("https://www.google.com/maps/search/?api=1&amp;query=41.772776,-88.139855","map")</f>
        <v>map</v>
      </c>
    </row>
    <row r="4243" spans="1:32">
      <c r="A4243" t="s">
        <v>4293</v>
      </c>
      <c r="B4243" t="s">
        <v>11826</v>
      </c>
      <c r="C4243" t="s">
        <v>15475</v>
      </c>
      <c r="D4243" t="s">
        <v>16206</v>
      </c>
      <c r="E4243" t="s">
        <v>16218</v>
      </c>
      <c r="F4243" t="s">
        <v>16221</v>
      </c>
      <c r="G4243" t="s">
        <v>16277</v>
      </c>
      <c r="H4243" t="s">
        <v>16277</v>
      </c>
      <c r="I4243" t="s">
        <v>16353</v>
      </c>
      <c r="J4243" t="s">
        <v>16386</v>
      </c>
      <c r="K4243">
        <v>0.208</v>
      </c>
      <c r="L4243">
        <v>9044</v>
      </c>
      <c r="M4243">
        <v>2375</v>
      </c>
      <c r="N4243" t="s">
        <v>16393</v>
      </c>
      <c r="O4243" s="4">
        <v>125837</v>
      </c>
      <c r="P4243" s="4">
        <v>92398</v>
      </c>
      <c r="Q4243" s="4">
        <v>218235</v>
      </c>
      <c r="R4243" s="4">
        <v>654705</v>
      </c>
      <c r="S4243" t="s">
        <v>20545</v>
      </c>
      <c r="T4243" s="6">
        <v>37316</v>
      </c>
      <c r="U4243" s="4">
        <v>320000</v>
      </c>
      <c r="V4243" t="s">
        <v>23739</v>
      </c>
      <c r="W4243" t="s">
        <v>25972</v>
      </c>
      <c r="X4243" t="s">
        <v>3</v>
      </c>
      <c r="AA4243" s="5" t="str">
        <f>HYPERLINK("https://www.zillow.com/homes/153-N-JULIAN-ST-NAPERVILLE-IL-60540_rb/","check listing")</f>
        <v>check listing</v>
      </c>
      <c r="AB4243" s="5" t="str">
        <f>HYPERLINK("https://propertylookup.dupagecounty.gov/Datalets/Datalet.aspx?UseSearch=no&amp;mode=sales&amp;pin=0818400012","sales record")</f>
        <v>sales record</v>
      </c>
      <c r="AC4243" t="s">
        <v>3</v>
      </c>
      <c r="AD4243">
        <v>41.777166</v>
      </c>
      <c r="AE4243">
        <v>-88.136959</v>
      </c>
      <c r="AF4243" s="5" t="str">
        <f>HYPERLINK("https://www.google.com/maps/search/?api=1&amp;query=41.777166,-88.136959","map")</f>
        <v>map</v>
      </c>
    </row>
    <row r="4244" spans="1:32">
      <c r="A4244" t="s">
        <v>4294</v>
      </c>
      <c r="B4244" t="s">
        <v>11827</v>
      </c>
      <c r="C4244" t="s">
        <v>15690</v>
      </c>
      <c r="D4244" t="s">
        <v>16206</v>
      </c>
      <c r="E4244" t="s">
        <v>16218</v>
      </c>
      <c r="F4244" t="s">
        <v>16221</v>
      </c>
      <c r="G4244" t="s">
        <v>16278</v>
      </c>
      <c r="H4244" t="s">
        <v>16277</v>
      </c>
      <c r="I4244" t="s">
        <v>16353</v>
      </c>
      <c r="J4244" t="s">
        <v>16386</v>
      </c>
      <c r="K4244">
        <v>0.208</v>
      </c>
      <c r="L4244">
        <v>9040</v>
      </c>
      <c r="N4244" t="s">
        <v>16393</v>
      </c>
      <c r="O4244" s="4">
        <v>59829</v>
      </c>
      <c r="P4244" s="4">
        <v>192622</v>
      </c>
      <c r="Q4244" s="4">
        <v>252451</v>
      </c>
      <c r="R4244" s="4">
        <v>757353</v>
      </c>
      <c r="S4244" t="s">
        <v>20546</v>
      </c>
      <c r="T4244" s="6">
        <v>43040</v>
      </c>
      <c r="U4244" s="4">
        <v>553698</v>
      </c>
      <c r="V4244" t="s">
        <v>16232</v>
      </c>
      <c r="W4244" t="s">
        <v>25973</v>
      </c>
      <c r="X4244" t="s">
        <v>3</v>
      </c>
      <c r="AA4244" s="5" t="str">
        <f>HYPERLINK("https://www.zillow.com/homes/2404-BASIN-TRAIL-LN-NAPERVILLE-IL-605633584_rb/","check listing")</f>
        <v>check listing</v>
      </c>
      <c r="AB4244" s="5" t="str">
        <f>HYPERLINK("https://propertylookup.dupagecounty.gov/Datalets/Datalet.aspx?UseSearch=no&amp;mode=sales&amp;pin=0709112001","sales record")</f>
        <v>sales record</v>
      </c>
      <c r="AC4244" t="s">
        <v>3</v>
      </c>
      <c r="AD4244">
        <v>41.796873</v>
      </c>
      <c r="AE4244">
        <v>-88.21954599999999</v>
      </c>
      <c r="AF4244" s="5" t="str">
        <f>HYPERLINK("https://www.google.com/maps/search/?api=1&amp;query=41.796873,-88.219546","map")</f>
        <v>map</v>
      </c>
    </row>
    <row r="4245" spans="1:32">
      <c r="A4245" t="s">
        <v>4295</v>
      </c>
      <c r="B4245" t="s">
        <v>11828</v>
      </c>
      <c r="C4245" t="s">
        <v>15478</v>
      </c>
      <c r="D4245" t="s">
        <v>16206</v>
      </c>
      <c r="E4245" t="s">
        <v>16218</v>
      </c>
      <c r="F4245" t="s">
        <v>16221</v>
      </c>
      <c r="G4245" t="s">
        <v>16278</v>
      </c>
      <c r="H4245" t="s">
        <v>16277</v>
      </c>
      <c r="I4245" t="s">
        <v>16353</v>
      </c>
      <c r="J4245" t="s">
        <v>16386</v>
      </c>
      <c r="K4245">
        <v>0.207</v>
      </c>
      <c r="L4245">
        <v>9036</v>
      </c>
      <c r="N4245" t="s">
        <v>16393</v>
      </c>
      <c r="O4245" s="4">
        <v>74244</v>
      </c>
      <c r="P4245" s="4">
        <v>219229</v>
      </c>
      <c r="Q4245" s="4">
        <v>293473</v>
      </c>
      <c r="R4245" s="4">
        <v>880419</v>
      </c>
      <c r="S4245" t="s">
        <v>20547</v>
      </c>
      <c r="T4245" s="6">
        <v>42795</v>
      </c>
      <c r="U4245" s="4">
        <v>631830</v>
      </c>
      <c r="V4245" t="s">
        <v>16232</v>
      </c>
      <c r="W4245" t="s">
        <v>25974</v>
      </c>
      <c r="X4245" t="s">
        <v>3</v>
      </c>
      <c r="AA4245" s="5" t="str">
        <f>HYPERLINK("https://www.zillow.com/homes/1575-BAYOU-PATH-DR-NAPERVILLE-IL-60563_rb/","check listing")</f>
        <v>check listing</v>
      </c>
      <c r="AB4245" s="5" t="str">
        <f>HYPERLINK("https://propertylookup.dupagecounty.gov/Datalets/Datalet.aspx?UseSearch=no&amp;mode=sales&amp;pin=0709114012","sales record")</f>
        <v>sales record</v>
      </c>
      <c r="AC4245" t="s">
        <v>3</v>
      </c>
      <c r="AD4245">
        <v>41.795154</v>
      </c>
      <c r="AE4245">
        <v>-88.219093</v>
      </c>
      <c r="AF4245" s="5" t="str">
        <f>HYPERLINK("https://www.google.com/maps/search/?api=1&amp;query=41.795154,-88.219093","map")</f>
        <v>map</v>
      </c>
    </row>
    <row r="4246" spans="1:32">
      <c r="A4246" t="s">
        <v>4296</v>
      </c>
      <c r="B4246" t="s">
        <v>11829</v>
      </c>
      <c r="C4246" t="s">
        <v>15475</v>
      </c>
      <c r="D4246" t="s">
        <v>16206</v>
      </c>
      <c r="E4246" t="s">
        <v>16218</v>
      </c>
      <c r="F4246" t="s">
        <v>16221</v>
      </c>
      <c r="G4246" t="s">
        <v>16277</v>
      </c>
      <c r="H4246" t="s">
        <v>16277</v>
      </c>
      <c r="I4246" t="s">
        <v>16353</v>
      </c>
      <c r="J4246" t="s">
        <v>16386</v>
      </c>
      <c r="K4246">
        <v>0.207</v>
      </c>
      <c r="L4246">
        <v>9035</v>
      </c>
      <c r="M4246">
        <v>4639</v>
      </c>
      <c r="N4246" t="s">
        <v>16393</v>
      </c>
      <c r="O4246" s="4">
        <v>118134</v>
      </c>
      <c r="P4246" s="4">
        <v>232081</v>
      </c>
      <c r="Q4246" s="4">
        <v>350215</v>
      </c>
      <c r="R4246" s="4">
        <v>1050645</v>
      </c>
      <c r="S4246" t="s">
        <v>20548</v>
      </c>
      <c r="T4246" s="6">
        <v>41456</v>
      </c>
      <c r="U4246" s="4">
        <v>350000</v>
      </c>
      <c r="V4246" t="s">
        <v>23739</v>
      </c>
      <c r="W4246" t="s">
        <v>25975</v>
      </c>
      <c r="X4246" t="s">
        <v>3</v>
      </c>
      <c r="AA4246" s="5" t="str">
        <f>HYPERLINK("https://www.zillow.com/homes/530-W-VAN-BUREN-AVE-NAPERVILLE-IL-60540_rb/","check listing")</f>
        <v>check listing</v>
      </c>
      <c r="AB4246" s="5" t="str">
        <f>HYPERLINK("https://propertylookup.dupagecounty.gov/Datalets/Datalet.aspx?UseSearch=no&amp;mode=sales&amp;pin=0713314003","sales record")</f>
        <v>sales record</v>
      </c>
      <c r="AC4246" t="s">
        <v>3</v>
      </c>
      <c r="AD4246">
        <v>41.77411</v>
      </c>
      <c r="AE4246">
        <v>-88.157438</v>
      </c>
      <c r="AF4246" s="5" t="str">
        <f>HYPERLINK("https://www.google.com/maps/search/?api=1&amp;query=41.77411,-88.157438","map")</f>
        <v>map</v>
      </c>
    </row>
    <row r="4247" spans="1:32">
      <c r="A4247" t="s">
        <v>4297</v>
      </c>
      <c r="B4247" t="s">
        <v>11830</v>
      </c>
      <c r="C4247" t="s">
        <v>15478</v>
      </c>
      <c r="D4247" t="s">
        <v>16206</v>
      </c>
      <c r="E4247" t="s">
        <v>16218</v>
      </c>
      <c r="F4247" t="s">
        <v>16221</v>
      </c>
      <c r="G4247" t="s">
        <v>16277</v>
      </c>
      <c r="H4247" t="s">
        <v>16277</v>
      </c>
      <c r="I4247" t="s">
        <v>16353</v>
      </c>
      <c r="J4247" t="s">
        <v>16386</v>
      </c>
      <c r="K4247">
        <v>0.207</v>
      </c>
      <c r="L4247">
        <v>9033</v>
      </c>
      <c r="M4247">
        <v>2244</v>
      </c>
      <c r="N4247" t="s">
        <v>16393</v>
      </c>
      <c r="O4247" s="4">
        <v>77570</v>
      </c>
      <c r="P4247" s="4">
        <v>91506</v>
      </c>
      <c r="Q4247" s="4">
        <v>169076</v>
      </c>
      <c r="R4247" s="4">
        <v>507228</v>
      </c>
      <c r="S4247" t="s">
        <v>20549</v>
      </c>
      <c r="T4247" s="6">
        <v>39995</v>
      </c>
      <c r="U4247" s="4">
        <v>270000</v>
      </c>
      <c r="V4247" t="s">
        <v>16232</v>
      </c>
      <c r="W4247" t="s">
        <v>25976</v>
      </c>
      <c r="X4247" t="s">
        <v>3</v>
      </c>
      <c r="AA4247" s="5" t="str">
        <f>HYPERLINK("https://www.zillow.com/homes/557-PLANK-RD-NAPERVILLE-IL-60563_rb/","check listing")</f>
        <v>check listing</v>
      </c>
      <c r="AB4247" s="5" t="str">
        <f>HYPERLINK("https://propertylookup.dupagecounty.gov/Datalets/Datalet.aspx?UseSearch=no&amp;mode=sales&amp;pin=0818206059","sales record")</f>
        <v>sales record</v>
      </c>
      <c r="AC4247" t="s">
        <v>3</v>
      </c>
      <c r="AD4247">
        <v>41.781588</v>
      </c>
      <c r="AE4247">
        <v>-88.133132</v>
      </c>
      <c r="AF4247" s="5" t="str">
        <f>HYPERLINK("https://www.google.com/maps/search/?api=1&amp;query=41.781588,-88.133132","map")</f>
        <v>map</v>
      </c>
    </row>
    <row r="4248" spans="1:32">
      <c r="A4248" t="s">
        <v>4298</v>
      </c>
      <c r="B4248" t="s">
        <v>11831</v>
      </c>
      <c r="C4248" t="s">
        <v>15664</v>
      </c>
      <c r="D4248" t="s">
        <v>16206</v>
      </c>
      <c r="E4248" t="s">
        <v>16218</v>
      </c>
      <c r="F4248" t="s">
        <v>16221</v>
      </c>
      <c r="G4248" t="s">
        <v>16277</v>
      </c>
      <c r="H4248" t="s">
        <v>16277</v>
      </c>
      <c r="I4248" t="s">
        <v>16353</v>
      </c>
      <c r="J4248" t="s">
        <v>16386</v>
      </c>
      <c r="K4248">
        <v>0.207</v>
      </c>
      <c r="L4248">
        <v>9029</v>
      </c>
      <c r="M4248">
        <v>1287</v>
      </c>
      <c r="N4248" t="s">
        <v>16393</v>
      </c>
      <c r="O4248" s="4">
        <v>138502</v>
      </c>
      <c r="P4248" s="4">
        <v>147128</v>
      </c>
      <c r="Q4248" s="4">
        <v>285630</v>
      </c>
      <c r="R4248" s="4">
        <v>856890</v>
      </c>
      <c r="S4248" t="s">
        <v>20550</v>
      </c>
      <c r="T4248" s="6">
        <v>44317</v>
      </c>
      <c r="U4248" s="4">
        <v>699000</v>
      </c>
      <c r="V4248" t="s">
        <v>23739</v>
      </c>
      <c r="W4248" t="s">
        <v>25977</v>
      </c>
      <c r="X4248" t="s">
        <v>3</v>
      </c>
      <c r="AA4248" s="5" t="str">
        <f>HYPERLINK("https://www.zillow.com/homes/8-S-COLUMBIA-ST-NAPERVILLE-IL-605404915_rb/","check listing")</f>
        <v>check listing</v>
      </c>
      <c r="AB4248" s="5" t="str">
        <f>HYPERLINK("https://propertylookup.dupagecounty.gov/Datalets/Datalet.aspx?UseSearch=no&amp;mode=sales&amp;pin=0818408001","sales record")</f>
        <v>sales record</v>
      </c>
      <c r="AC4248" t="s">
        <v>3</v>
      </c>
      <c r="AD4248">
        <v>41.774662</v>
      </c>
      <c r="AE4248">
        <v>-88.13768</v>
      </c>
      <c r="AF4248" s="5" t="str">
        <f>HYPERLINK("https://www.google.com/maps/search/?api=1&amp;query=41.774662,-88.13768","map")</f>
        <v>map</v>
      </c>
    </row>
    <row r="4249" spans="1:32">
      <c r="A4249" t="s">
        <v>4299</v>
      </c>
      <c r="B4249" t="s">
        <v>11832</v>
      </c>
      <c r="C4249" t="s">
        <v>15706</v>
      </c>
      <c r="D4249" t="s">
        <v>16206</v>
      </c>
      <c r="E4249" t="s">
        <v>16218</v>
      </c>
      <c r="F4249" t="s">
        <v>16221</v>
      </c>
      <c r="G4249" t="s">
        <v>16277</v>
      </c>
      <c r="H4249" t="s">
        <v>16277</v>
      </c>
      <c r="I4249" t="s">
        <v>16353</v>
      </c>
      <c r="J4249" t="s">
        <v>16386</v>
      </c>
      <c r="K4249">
        <v>0.207</v>
      </c>
      <c r="L4249">
        <v>9017</v>
      </c>
      <c r="M4249">
        <v>1056</v>
      </c>
      <c r="N4249" t="s">
        <v>16393</v>
      </c>
      <c r="O4249" s="4">
        <v>77724</v>
      </c>
      <c r="P4249" s="4">
        <v>283485</v>
      </c>
      <c r="Q4249" s="4">
        <v>361209</v>
      </c>
      <c r="R4249" s="4">
        <v>1083627</v>
      </c>
      <c r="S4249" t="s">
        <v>20551</v>
      </c>
      <c r="T4249" s="6">
        <v>43405</v>
      </c>
      <c r="U4249" s="4">
        <v>229900</v>
      </c>
      <c r="V4249" t="s">
        <v>23739</v>
      </c>
      <c r="W4249" t="s">
        <v>20551</v>
      </c>
      <c r="X4249" t="s">
        <v>3</v>
      </c>
      <c r="AA4249" s="5" t="str">
        <f>HYPERLINK("https://www.zillow.com/homes/959-N-LOOMIS-ST-NAPERVILLE-IL-605632741_rb/","check listing")</f>
        <v>check listing</v>
      </c>
      <c r="AB4249" s="5" t="str">
        <f>HYPERLINK("https://propertylookup.dupagecounty.gov/Datalets/Datalet.aspx?UseSearch=no&amp;mode=sales&amp;pin=0807310017","sales record")</f>
        <v>sales record</v>
      </c>
      <c r="AC4249" t="s">
        <v>3</v>
      </c>
      <c r="AD4249">
        <v>41.78746</v>
      </c>
      <c r="AE4249">
        <v>-88.14163000000001</v>
      </c>
      <c r="AF4249" s="5" t="str">
        <f>HYPERLINK("https://www.google.com/maps/search/?api=1&amp;query=41.78746,-88.14163","map")</f>
        <v>map</v>
      </c>
    </row>
    <row r="4250" spans="1:32">
      <c r="A4250" t="s">
        <v>4300</v>
      </c>
      <c r="B4250" t="s">
        <v>11833</v>
      </c>
      <c r="C4250" t="s">
        <v>15475</v>
      </c>
      <c r="D4250" t="s">
        <v>16206</v>
      </c>
      <c r="E4250" t="s">
        <v>16218</v>
      </c>
      <c r="F4250" t="s">
        <v>16221</v>
      </c>
      <c r="G4250" t="s">
        <v>16277</v>
      </c>
      <c r="H4250" t="s">
        <v>16277</v>
      </c>
      <c r="I4250" t="s">
        <v>16353</v>
      </c>
      <c r="J4250" t="s">
        <v>16386</v>
      </c>
      <c r="K4250">
        <v>0.207</v>
      </c>
      <c r="L4250">
        <v>9011</v>
      </c>
      <c r="M4250">
        <v>2983</v>
      </c>
      <c r="N4250" t="s">
        <v>16393</v>
      </c>
      <c r="O4250" s="4">
        <v>119856</v>
      </c>
      <c r="P4250" s="4">
        <v>89211</v>
      </c>
      <c r="Q4250" s="4">
        <v>209067</v>
      </c>
      <c r="R4250" s="4">
        <v>627201</v>
      </c>
      <c r="S4250" t="s">
        <v>20552</v>
      </c>
      <c r="T4250" s="6">
        <v>43678</v>
      </c>
      <c r="U4250" s="4">
        <v>490000</v>
      </c>
      <c r="V4250" t="s">
        <v>23739</v>
      </c>
      <c r="W4250" t="s">
        <v>25978</v>
      </c>
      <c r="X4250" t="s">
        <v>3</v>
      </c>
      <c r="AA4250" s="5" t="str">
        <f>HYPERLINK("https://www.zillow.com/homes/321-NORTH-AVE-NAPERVILLE-IL-60540_rb/","check listing")</f>
        <v>check listing</v>
      </c>
      <c r="AB4250" s="5" t="str">
        <f>HYPERLINK("https://propertylookup.dupagecounty.gov/Datalets/Datalet.aspx?UseSearch=no&amp;mode=sales&amp;pin=0818131032","sales record")</f>
        <v>sales record</v>
      </c>
      <c r="AC4250" t="s">
        <v>27873</v>
      </c>
      <c r="AD4250">
        <v>41.778724</v>
      </c>
      <c r="AE4250">
        <v>-88.14270500000001</v>
      </c>
      <c r="AF4250" s="5" t="str">
        <f>HYPERLINK("https://www.google.com/maps/search/?api=1&amp;query=41.778724,-88.142705","map")</f>
        <v>map</v>
      </c>
    </row>
    <row r="4251" spans="1:32">
      <c r="A4251" t="s">
        <v>4301</v>
      </c>
      <c r="B4251" t="s">
        <v>11834</v>
      </c>
      <c r="C4251" t="s">
        <v>15475</v>
      </c>
      <c r="D4251" t="s">
        <v>16206</v>
      </c>
      <c r="E4251" t="s">
        <v>16218</v>
      </c>
      <c r="F4251" t="s">
        <v>16221</v>
      </c>
      <c r="G4251" t="s">
        <v>16277</v>
      </c>
      <c r="H4251" t="s">
        <v>16277</v>
      </c>
      <c r="I4251" t="s">
        <v>16353</v>
      </c>
      <c r="J4251" t="s">
        <v>16386</v>
      </c>
      <c r="K4251">
        <v>0.207</v>
      </c>
      <c r="L4251">
        <v>9007</v>
      </c>
      <c r="M4251">
        <v>2850</v>
      </c>
      <c r="N4251" t="s">
        <v>16393</v>
      </c>
      <c r="O4251" s="4">
        <v>138514</v>
      </c>
      <c r="P4251" s="4">
        <v>118429</v>
      </c>
      <c r="Q4251" s="4">
        <v>256943</v>
      </c>
      <c r="R4251" s="4">
        <v>770829</v>
      </c>
      <c r="S4251" t="s">
        <v>20553</v>
      </c>
      <c r="T4251" s="6">
        <v>45890</v>
      </c>
      <c r="U4251" s="4">
        <v>711000</v>
      </c>
      <c r="V4251" t="s">
        <v>23739</v>
      </c>
      <c r="W4251" t="s">
        <v>25979</v>
      </c>
      <c r="X4251" t="s">
        <v>3</v>
      </c>
      <c r="AA4251" s="5" t="str">
        <f>HYPERLINK("https://www.zillow.com/homes/8-N-SLEIGHT-ST-NAPERVILLE-IL-60540_rb/","check listing")</f>
        <v>check listing</v>
      </c>
      <c r="AB4251" s="5" t="str">
        <f>HYPERLINK("https://propertylookup.dupagecounty.gov/Datalets/Datalet.aspx?UseSearch=no&amp;mode=sales&amp;pin=0818311010","sales record")</f>
        <v>sales record</v>
      </c>
      <c r="AC4251" t="s">
        <v>27873</v>
      </c>
      <c r="AD4251">
        <v>41.775058</v>
      </c>
      <c r="AE4251">
        <v>-88.14045299999999</v>
      </c>
      <c r="AF4251" s="5" t="str">
        <f>HYPERLINK("https://www.google.com/maps/search/?api=1&amp;query=41.775058,-88.140453","map")</f>
        <v>map</v>
      </c>
    </row>
    <row r="4252" spans="1:32">
      <c r="A4252" t="s">
        <v>4302</v>
      </c>
      <c r="B4252" t="s">
        <v>11835</v>
      </c>
      <c r="C4252" t="s">
        <v>15702</v>
      </c>
      <c r="D4252" t="s">
        <v>16206</v>
      </c>
      <c r="E4252" t="s">
        <v>16218</v>
      </c>
      <c r="F4252" t="s">
        <v>16221</v>
      </c>
      <c r="G4252" t="s">
        <v>16278</v>
      </c>
      <c r="H4252" t="s">
        <v>16277</v>
      </c>
      <c r="I4252" t="s">
        <v>16353</v>
      </c>
      <c r="J4252" t="s">
        <v>16386</v>
      </c>
      <c r="K4252">
        <v>0.207</v>
      </c>
      <c r="L4252">
        <v>9004</v>
      </c>
      <c r="N4252" t="s">
        <v>16393</v>
      </c>
      <c r="O4252" s="4">
        <v>61343</v>
      </c>
      <c r="P4252" s="4">
        <v>213225</v>
      </c>
      <c r="Q4252" s="4">
        <v>274568</v>
      </c>
      <c r="R4252" s="4">
        <v>823704</v>
      </c>
      <c r="S4252" t="s">
        <v>20554</v>
      </c>
      <c r="T4252" s="6">
        <v>42705</v>
      </c>
      <c r="U4252" s="4">
        <v>555098</v>
      </c>
      <c r="V4252" t="s">
        <v>16232</v>
      </c>
      <c r="W4252" t="s">
        <v>25980</v>
      </c>
      <c r="X4252" t="s">
        <v>3</v>
      </c>
      <c r="AA4252" s="5" t="str">
        <f>HYPERLINK("https://www.zillow.com/homes/1631-ALDERLEAF-LN-NAPERVILLE-IL-605631790_rb/","check listing")</f>
        <v>check listing</v>
      </c>
      <c r="AB4252" s="5" t="str">
        <f>HYPERLINK("https://propertylookup.dupagecounty.gov/Datalets/Datalet.aspx?UseSearch=no&amp;mode=sales&amp;pin=0709113001","sales record")</f>
        <v>sales record</v>
      </c>
      <c r="AC4252" t="s">
        <v>3</v>
      </c>
      <c r="AD4252">
        <v>41.796577</v>
      </c>
      <c r="AE4252">
        <v>-88.218485</v>
      </c>
      <c r="AF4252" s="5" t="str">
        <f>HYPERLINK("https://www.google.com/maps/search/?api=1&amp;query=41.796577,-88.218485","map")</f>
        <v>map</v>
      </c>
    </row>
    <row r="4253" spans="1:32">
      <c r="A4253" t="s">
        <v>4303</v>
      </c>
      <c r="B4253" t="s">
        <v>11836</v>
      </c>
      <c r="C4253" t="s">
        <v>15707</v>
      </c>
      <c r="D4253" t="s">
        <v>16206</v>
      </c>
      <c r="E4253" t="s">
        <v>16218</v>
      </c>
      <c r="F4253" t="s">
        <v>16221</v>
      </c>
      <c r="G4253" t="s">
        <v>16277</v>
      </c>
      <c r="H4253" t="s">
        <v>16277</v>
      </c>
      <c r="I4253" t="s">
        <v>16353</v>
      </c>
      <c r="J4253" t="s">
        <v>16386</v>
      </c>
      <c r="K4253">
        <v>0.206</v>
      </c>
      <c r="L4253">
        <v>8983</v>
      </c>
      <c r="M4253">
        <v>2671</v>
      </c>
      <c r="N4253" t="s">
        <v>16393</v>
      </c>
      <c r="O4253" s="4">
        <v>97048</v>
      </c>
      <c r="P4253" s="4">
        <v>49053</v>
      </c>
      <c r="Q4253" s="4">
        <v>146101</v>
      </c>
      <c r="R4253" s="4">
        <v>438303</v>
      </c>
      <c r="S4253" t="s">
        <v>20555</v>
      </c>
      <c r="T4253" s="6">
        <v>44804</v>
      </c>
      <c r="U4253" s="4">
        <v>410000</v>
      </c>
      <c r="V4253" t="s">
        <v>23739</v>
      </c>
      <c r="W4253" t="s">
        <v>25981</v>
      </c>
      <c r="X4253" t="s">
        <v>3</v>
      </c>
      <c r="AA4253" s="5" t="str">
        <f>HYPERLINK("https://www.zillow.com/homes/817-E-CHICAGO-AVE-NAPERVILLE-IL-605405507_rb/","check listing")</f>
        <v>check listing</v>
      </c>
      <c r="AB4253" s="5" t="str">
        <f>HYPERLINK("https://propertylookup.dupagecounty.gov/Datalets/Datalet.aspx?UseSearch=no&amp;mode=sales&amp;pin=0818411018","sales record")</f>
        <v>sales record</v>
      </c>
      <c r="AC4253" t="s">
        <v>3</v>
      </c>
      <c r="AD4253">
        <v>41.773593</v>
      </c>
      <c r="AE4253">
        <v>-88.136036</v>
      </c>
      <c r="AF4253" s="5" t="str">
        <f>HYPERLINK("https://www.google.com/maps/search/?api=1&amp;query=41.773593,-88.136036","map")</f>
        <v>map</v>
      </c>
    </row>
    <row r="4254" spans="1:32">
      <c r="A4254" t="s">
        <v>4304</v>
      </c>
      <c r="B4254" t="s">
        <v>11837</v>
      </c>
      <c r="C4254" t="s">
        <v>15475</v>
      </c>
      <c r="D4254" t="s">
        <v>16206</v>
      </c>
      <c r="E4254" t="s">
        <v>16218</v>
      </c>
      <c r="F4254" t="s">
        <v>16221</v>
      </c>
      <c r="G4254" t="s">
        <v>16277</v>
      </c>
      <c r="H4254" t="s">
        <v>16277</v>
      </c>
      <c r="I4254" t="s">
        <v>16353</v>
      </c>
      <c r="J4254" t="s">
        <v>16386</v>
      </c>
      <c r="K4254">
        <v>0.206</v>
      </c>
      <c r="L4254">
        <v>8972</v>
      </c>
      <c r="M4254">
        <v>2672</v>
      </c>
      <c r="N4254" t="s">
        <v>16393</v>
      </c>
      <c r="O4254" s="4">
        <v>131694</v>
      </c>
      <c r="P4254" s="4">
        <v>58146</v>
      </c>
      <c r="Q4254" s="4">
        <v>189840</v>
      </c>
      <c r="R4254" s="4">
        <v>569520</v>
      </c>
      <c r="S4254" t="s">
        <v>20556</v>
      </c>
      <c r="T4254" s="6">
        <v>36739</v>
      </c>
      <c r="U4254" s="4">
        <v>189000</v>
      </c>
      <c r="V4254" t="s">
        <v>23739</v>
      </c>
      <c r="W4254" t="s">
        <v>20556</v>
      </c>
      <c r="X4254" t="s">
        <v>3</v>
      </c>
      <c r="AA4254" s="5" t="str">
        <f>HYPERLINK("https://www.zillow.com/homes/10-S-WEST-ST-NAPERVILLE-IL-60540_rb/","check listing")</f>
        <v>check listing</v>
      </c>
      <c r="AB4254" s="5" t="str">
        <f>HYPERLINK("https://propertylookup.dupagecounty.gov/Datalets/Datalet.aspx?UseSearch=no&amp;mode=sales&amp;pin=0713312001","sales record")</f>
        <v>sales record</v>
      </c>
      <c r="AC4254" t="s">
        <v>3</v>
      </c>
      <c r="AD4254">
        <v>41.775105</v>
      </c>
      <c r="AE4254">
        <v>-88.157544</v>
      </c>
      <c r="AF4254" s="5" t="str">
        <f>HYPERLINK("https://www.google.com/maps/search/?api=1&amp;query=41.775105,-88.157544","map")</f>
        <v>map</v>
      </c>
    </row>
    <row r="4255" spans="1:32">
      <c r="A4255" t="s">
        <v>4305</v>
      </c>
      <c r="B4255" t="s">
        <v>11838</v>
      </c>
      <c r="C4255" t="s">
        <v>15475</v>
      </c>
      <c r="D4255" t="s">
        <v>16206</v>
      </c>
      <c r="E4255" t="s">
        <v>16218</v>
      </c>
      <c r="F4255" t="s">
        <v>16221</v>
      </c>
      <c r="G4255" t="s">
        <v>16277</v>
      </c>
      <c r="H4255" t="s">
        <v>16277</v>
      </c>
      <c r="I4255" t="s">
        <v>16353</v>
      </c>
      <c r="J4255" t="s">
        <v>16386</v>
      </c>
      <c r="K4255">
        <v>0.206</v>
      </c>
      <c r="L4255">
        <v>8962</v>
      </c>
      <c r="M4255">
        <v>2440</v>
      </c>
      <c r="N4255" t="s">
        <v>16393</v>
      </c>
      <c r="O4255" s="4">
        <v>138514</v>
      </c>
      <c r="P4255" s="4">
        <v>121128</v>
      </c>
      <c r="Q4255" s="4">
        <v>259642</v>
      </c>
      <c r="R4255" s="4">
        <v>778926</v>
      </c>
      <c r="S4255" t="s">
        <v>20557</v>
      </c>
      <c r="T4255" s="6">
        <v>42156</v>
      </c>
      <c r="U4255" s="4">
        <v>573000</v>
      </c>
      <c r="V4255" t="s">
        <v>23740</v>
      </c>
      <c r="W4255" t="s">
        <v>25982</v>
      </c>
      <c r="X4255" t="s">
        <v>3</v>
      </c>
      <c r="AA4255" s="5" t="str">
        <f>HYPERLINK("https://www.zillow.com/homes/21-S-SLEIGHT-ST-NAPERVILLE-IL-60540_rb/","check listing")</f>
        <v>check listing</v>
      </c>
      <c r="AB4255" s="5" t="str">
        <f>HYPERLINK("https://propertylookup.dupagecounty.gov/Datalets/Datalet.aspx?UseSearch=no&amp;mode=sales&amp;pin=0818316009","sales record")</f>
        <v>sales record</v>
      </c>
      <c r="AC4255" t="s">
        <v>3</v>
      </c>
      <c r="AD4255">
        <v>41.774322</v>
      </c>
      <c r="AE4255">
        <v>-88.14129800000001</v>
      </c>
      <c r="AF4255" s="5" t="str">
        <f>HYPERLINK("https://www.google.com/maps/search/?api=1&amp;query=41.774322,-88.141298","map")</f>
        <v>map</v>
      </c>
    </row>
    <row r="4256" spans="1:32">
      <c r="A4256" t="s">
        <v>4306</v>
      </c>
      <c r="B4256" t="s">
        <v>11839</v>
      </c>
      <c r="C4256" t="s">
        <v>15648</v>
      </c>
      <c r="D4256" t="s">
        <v>16206</v>
      </c>
      <c r="E4256" t="s">
        <v>16218</v>
      </c>
      <c r="F4256" t="s">
        <v>16221</v>
      </c>
      <c r="G4256" t="s">
        <v>16278</v>
      </c>
      <c r="H4256" t="s">
        <v>16277</v>
      </c>
      <c r="I4256" t="s">
        <v>16353</v>
      </c>
      <c r="J4256" t="s">
        <v>16386</v>
      </c>
      <c r="K4256">
        <v>0.205</v>
      </c>
      <c r="L4256">
        <v>8949</v>
      </c>
      <c r="N4256" t="s">
        <v>16393</v>
      </c>
      <c r="O4256" s="4">
        <v>59829</v>
      </c>
      <c r="P4256" s="4">
        <v>201008</v>
      </c>
      <c r="Q4256" s="4">
        <v>260837</v>
      </c>
      <c r="R4256" s="4">
        <v>782511</v>
      </c>
      <c r="S4256" t="s">
        <v>20558</v>
      </c>
      <c r="T4256" s="6">
        <v>42795</v>
      </c>
      <c r="U4256" s="4">
        <v>535872</v>
      </c>
      <c r="V4256" t="s">
        <v>16232</v>
      </c>
      <c r="W4256" t="s">
        <v>25983</v>
      </c>
      <c r="X4256" t="s">
        <v>3</v>
      </c>
      <c r="AA4256" s="5" t="str">
        <f>HYPERLINK("https://www.zillow.com/homes/1604-ALDERLEAF-LN-NAPERVILLE-IL-605632049_rb/","check listing")</f>
        <v>check listing</v>
      </c>
      <c r="AB4256" s="5" t="str">
        <f>HYPERLINK("https://propertylookup.dupagecounty.gov/Datalets/Datalet.aspx?UseSearch=no&amp;mode=sales&amp;pin=0709102035","sales record")</f>
        <v>sales record</v>
      </c>
      <c r="AC4256" t="s">
        <v>3</v>
      </c>
      <c r="AD4256">
        <v>41.7964</v>
      </c>
      <c r="AE4256">
        <v>-88.217139</v>
      </c>
      <c r="AF4256" s="5" t="str">
        <f>HYPERLINK("https://www.google.com/maps/search/?api=1&amp;query=41.7964,-88.217139","map")</f>
        <v>map</v>
      </c>
    </row>
    <row r="4257" spans="1:32">
      <c r="A4257" t="s">
        <v>4307</v>
      </c>
      <c r="B4257" t="s">
        <v>11840</v>
      </c>
      <c r="C4257" t="s">
        <v>15475</v>
      </c>
      <c r="D4257" t="s">
        <v>16206</v>
      </c>
      <c r="E4257" t="s">
        <v>16218</v>
      </c>
      <c r="F4257" t="s">
        <v>16221</v>
      </c>
      <c r="G4257" t="s">
        <v>16277</v>
      </c>
      <c r="H4257" t="s">
        <v>16277</v>
      </c>
      <c r="I4257" t="s">
        <v>16353</v>
      </c>
      <c r="J4257" t="s">
        <v>16386</v>
      </c>
      <c r="K4257">
        <v>0.205</v>
      </c>
      <c r="L4257">
        <v>8931</v>
      </c>
      <c r="M4257">
        <v>2174</v>
      </c>
      <c r="N4257" t="s">
        <v>16393</v>
      </c>
      <c r="O4257" s="4">
        <v>91905</v>
      </c>
      <c r="P4257" s="4">
        <v>50591</v>
      </c>
      <c r="Q4257" s="4">
        <v>142496</v>
      </c>
      <c r="R4257" s="4">
        <v>427488</v>
      </c>
      <c r="S4257" t="s">
        <v>20559</v>
      </c>
      <c r="T4257" s="6">
        <v>45540</v>
      </c>
      <c r="U4257" s="4">
        <v>402500</v>
      </c>
      <c r="V4257" t="s">
        <v>23739</v>
      </c>
      <c r="W4257" t="s">
        <v>25984</v>
      </c>
      <c r="X4257" t="s">
        <v>3</v>
      </c>
      <c r="AA4257" s="5" t="str">
        <f>HYPERLINK("https://www.zillow.com/homes/415-W-SPRING-AVE-NAPERVILLE-IL-60540_rb/","check listing")</f>
        <v>check listing</v>
      </c>
      <c r="AB4257" s="5" t="str">
        <f>HYPERLINK("https://propertylookup.dupagecounty.gov/Datalets/Datalet.aspx?UseSearch=no&amp;mode=sales&amp;pin=0713216015","sales record")</f>
        <v>sales record</v>
      </c>
      <c r="AC4257" t="s">
        <v>3</v>
      </c>
      <c r="AD4257">
        <v>41.778888</v>
      </c>
      <c r="AE4257">
        <v>-88.15487299999999</v>
      </c>
      <c r="AF4257" s="5" t="str">
        <f>HYPERLINK("https://www.google.com/maps/search/?api=1&amp;query=41.778888,-88.154873","map")</f>
        <v>map</v>
      </c>
    </row>
    <row r="4258" spans="1:32">
      <c r="A4258" t="s">
        <v>4308</v>
      </c>
      <c r="B4258" t="s">
        <v>11841</v>
      </c>
      <c r="C4258" t="s">
        <v>15708</v>
      </c>
      <c r="D4258" t="s">
        <v>16206</v>
      </c>
      <c r="E4258" t="s">
        <v>16218</v>
      </c>
      <c r="F4258" t="s">
        <v>16221</v>
      </c>
      <c r="G4258" t="s">
        <v>16277</v>
      </c>
      <c r="H4258" t="s">
        <v>16277</v>
      </c>
      <c r="I4258" t="s">
        <v>16353</v>
      </c>
      <c r="J4258" t="s">
        <v>16386</v>
      </c>
      <c r="K4258">
        <v>0.205</v>
      </c>
      <c r="L4258">
        <v>8924</v>
      </c>
      <c r="M4258">
        <v>791</v>
      </c>
      <c r="N4258" t="s">
        <v>16393</v>
      </c>
      <c r="O4258" s="4">
        <v>125837</v>
      </c>
      <c r="P4258" s="4">
        <v>54130</v>
      </c>
      <c r="Q4258" s="4">
        <v>179967</v>
      </c>
      <c r="R4258" s="4">
        <v>539901</v>
      </c>
      <c r="S4258" t="s">
        <v>20560</v>
      </c>
      <c r="T4258" s="6">
        <v>42767</v>
      </c>
      <c r="U4258" s="4">
        <v>365000</v>
      </c>
      <c r="V4258" t="s">
        <v>23739</v>
      </c>
      <c r="W4258" t="s">
        <v>25985</v>
      </c>
      <c r="X4258" t="s">
        <v>3</v>
      </c>
      <c r="AA4258" s="5" t="str">
        <f>HYPERLINK("https://www.zillow.com/homes/729-E-FRANKLIN-AVE-NAPERVILLE-IL-605404810_rb/","check listing")</f>
        <v>check listing</v>
      </c>
      <c r="AB4258" s="5" t="str">
        <f>HYPERLINK("https://propertylookup.dupagecounty.gov/Datalets/Datalet.aspx?UseSearch=no&amp;mode=sales&amp;pin=0818400021","sales record")</f>
        <v>sales record</v>
      </c>
      <c r="AC4258" t="s">
        <v>3</v>
      </c>
      <c r="AD4258">
        <v>41.775906</v>
      </c>
      <c r="AE4258">
        <v>-88.137007</v>
      </c>
      <c r="AF4258" s="5" t="str">
        <f>HYPERLINK("https://www.google.com/maps/search/?api=1&amp;query=41.775906,-88.137007","map")</f>
        <v>map</v>
      </c>
    </row>
    <row r="4259" spans="1:32">
      <c r="A4259" t="s">
        <v>4309</v>
      </c>
      <c r="B4259" t="s">
        <v>11842</v>
      </c>
      <c r="C4259" t="s">
        <v>15662</v>
      </c>
      <c r="D4259" t="s">
        <v>16206</v>
      </c>
      <c r="E4259" t="s">
        <v>16218</v>
      </c>
      <c r="F4259" t="s">
        <v>16221</v>
      </c>
      <c r="G4259" t="s">
        <v>16278</v>
      </c>
      <c r="H4259" t="s">
        <v>16277</v>
      </c>
      <c r="I4259" t="s">
        <v>16353</v>
      </c>
      <c r="J4259" t="s">
        <v>16386</v>
      </c>
      <c r="K4259">
        <v>0.205</v>
      </c>
      <c r="L4259">
        <v>8912</v>
      </c>
      <c r="N4259" t="s">
        <v>16393</v>
      </c>
      <c r="O4259" s="4">
        <v>56146</v>
      </c>
      <c r="P4259" s="4">
        <v>249685</v>
      </c>
      <c r="Q4259" s="4">
        <v>305831</v>
      </c>
      <c r="R4259" s="4">
        <v>917493</v>
      </c>
      <c r="S4259" t="s">
        <v>20561</v>
      </c>
      <c r="T4259" s="6">
        <v>45469</v>
      </c>
      <c r="U4259" s="4">
        <v>1121925</v>
      </c>
      <c r="V4259" t="s">
        <v>16232</v>
      </c>
      <c r="W4259" t="s">
        <v>25986</v>
      </c>
      <c r="X4259" t="s">
        <v>3</v>
      </c>
      <c r="AA4259" s="5" t="str">
        <f>HYPERLINK("https://www.zillow.com/homes/2615-WEATHERBEE-CT-NAPERVILLE-IL-605631594_rb/","check listing")</f>
        <v>check listing</v>
      </c>
      <c r="AB4259" s="5" t="str">
        <f>HYPERLINK("https://propertylookup.dupagecounty.gov/Datalets/Datalet.aspx?UseSearch=no&amp;mode=sales&amp;pin=0532300053","sales record")</f>
        <v>sales record</v>
      </c>
      <c r="AC4259" t="s">
        <v>3</v>
      </c>
      <c r="AD4259">
        <v>41.821027</v>
      </c>
      <c r="AE4259">
        <v>-88.124629</v>
      </c>
      <c r="AF4259" s="5" t="str">
        <f>HYPERLINK("https://www.google.com/maps/search/?api=1&amp;query=41.821027,-88.124629","map")</f>
        <v>map</v>
      </c>
    </row>
    <row r="4260" spans="1:32">
      <c r="A4260" t="s">
        <v>4310</v>
      </c>
      <c r="B4260" t="s">
        <v>11843</v>
      </c>
      <c r="C4260" t="s">
        <v>15705</v>
      </c>
      <c r="D4260" t="s">
        <v>16206</v>
      </c>
      <c r="E4260" t="s">
        <v>16218</v>
      </c>
      <c r="F4260" t="s">
        <v>16221</v>
      </c>
      <c r="G4260" t="s">
        <v>16277</v>
      </c>
      <c r="H4260" t="s">
        <v>16277</v>
      </c>
      <c r="I4260" t="s">
        <v>16353</v>
      </c>
      <c r="J4260" t="s">
        <v>16386</v>
      </c>
      <c r="K4260">
        <v>0.204</v>
      </c>
      <c r="L4260">
        <v>8902</v>
      </c>
      <c r="M4260">
        <v>1897</v>
      </c>
      <c r="N4260" t="s">
        <v>16393</v>
      </c>
      <c r="O4260" s="4">
        <v>120723</v>
      </c>
      <c r="P4260" s="4">
        <v>281285</v>
      </c>
      <c r="Q4260" s="4">
        <v>402008</v>
      </c>
      <c r="R4260" s="4">
        <v>1206024</v>
      </c>
      <c r="S4260" t="s">
        <v>20562</v>
      </c>
      <c r="T4260" s="6">
        <v>43252</v>
      </c>
      <c r="U4260" s="4">
        <v>315000</v>
      </c>
      <c r="V4260" t="s">
        <v>23739</v>
      </c>
      <c r="W4260" t="s">
        <v>25987</v>
      </c>
      <c r="X4260" t="s">
        <v>3</v>
      </c>
      <c r="AA4260" s="5" t="str">
        <f>HYPERLINK("https://www.zillow.com/homes/716-N-BRAINARD-ST-NAPERVILLE-IL-605633133_rb/","check listing")</f>
        <v>check listing</v>
      </c>
      <c r="AB4260" s="5" t="str">
        <f>HYPERLINK("https://propertylookup.dupagecounty.gov/Datalets/Datalet.aspx?UseSearch=no&amp;mode=sales&amp;pin=0818115006","sales record")</f>
        <v>sales record</v>
      </c>
      <c r="AC4260" t="s">
        <v>3</v>
      </c>
      <c r="AD4260">
        <v>41.783272</v>
      </c>
      <c r="AE4260">
        <v>-88.142703</v>
      </c>
      <c r="AF4260" s="5" t="str">
        <f>HYPERLINK("https://www.google.com/maps/search/?api=1&amp;query=41.783272,-88.142703","map")</f>
        <v>map</v>
      </c>
    </row>
    <row r="4261" spans="1:32">
      <c r="A4261" t="s">
        <v>4311</v>
      </c>
      <c r="B4261" t="s">
        <v>11844</v>
      </c>
      <c r="C4261" t="s">
        <v>15709</v>
      </c>
      <c r="D4261" t="s">
        <v>16206</v>
      </c>
      <c r="E4261" t="s">
        <v>16218</v>
      </c>
      <c r="F4261" t="s">
        <v>16221</v>
      </c>
      <c r="G4261" t="s">
        <v>16277</v>
      </c>
      <c r="H4261" t="s">
        <v>16277</v>
      </c>
      <c r="I4261" t="s">
        <v>16353</v>
      </c>
      <c r="J4261" t="s">
        <v>16386</v>
      </c>
      <c r="K4261">
        <v>0.204</v>
      </c>
      <c r="L4261">
        <v>8899</v>
      </c>
      <c r="M4261">
        <v>1497</v>
      </c>
      <c r="N4261" t="s">
        <v>16393</v>
      </c>
      <c r="O4261" s="4">
        <v>85953</v>
      </c>
      <c r="P4261" s="4">
        <v>22831</v>
      </c>
      <c r="Q4261" s="4">
        <v>108784</v>
      </c>
      <c r="R4261" s="4">
        <v>326352</v>
      </c>
      <c r="S4261" t="s">
        <v>20563</v>
      </c>
      <c r="T4261" s="6">
        <v>44652</v>
      </c>
      <c r="U4261" s="4">
        <v>335000</v>
      </c>
      <c r="V4261" t="s">
        <v>23739</v>
      </c>
      <c r="W4261" t="s">
        <v>20563</v>
      </c>
      <c r="X4261" t="s">
        <v>3</v>
      </c>
      <c r="AA4261" s="5" t="str">
        <f>HYPERLINK("https://www.zillow.com/homes/104-N-HUFFMAN-ST-NAPERVILLE-IL-605404817_rb/","check listing")</f>
        <v>check listing</v>
      </c>
      <c r="AB4261" s="5" t="str">
        <f>HYPERLINK("https://propertylookup.dupagecounty.gov/Datalets/Datalet.aspx?UseSearch=no&amp;mode=sales&amp;pin=0818402008","sales record")</f>
        <v>sales record</v>
      </c>
      <c r="AC4261" t="s">
        <v>3</v>
      </c>
      <c r="AD4261">
        <v>41.775829</v>
      </c>
      <c r="AE4261">
        <v>-88.13499899999999</v>
      </c>
      <c r="AF4261" s="5" t="str">
        <f>HYPERLINK("https://www.google.com/maps/search/?api=1&amp;query=41.775829,-88.134999","map")</f>
        <v>map</v>
      </c>
    </row>
    <row r="4262" spans="1:32">
      <c r="A4262" t="s">
        <v>4312</v>
      </c>
      <c r="B4262" t="s">
        <v>11845</v>
      </c>
      <c r="C4262" t="s">
        <v>15690</v>
      </c>
      <c r="D4262" t="s">
        <v>16206</v>
      </c>
      <c r="E4262" t="s">
        <v>16218</v>
      </c>
      <c r="F4262" t="s">
        <v>16221</v>
      </c>
      <c r="G4262" t="s">
        <v>16278</v>
      </c>
      <c r="H4262" t="s">
        <v>16277</v>
      </c>
      <c r="I4262" t="s">
        <v>16353</v>
      </c>
      <c r="J4262" t="s">
        <v>16386</v>
      </c>
      <c r="K4262">
        <v>0.204</v>
      </c>
      <c r="L4262">
        <v>8898</v>
      </c>
      <c r="N4262" t="s">
        <v>16393</v>
      </c>
      <c r="O4262" s="4">
        <v>62979</v>
      </c>
      <c r="P4262" s="4">
        <v>194050</v>
      </c>
      <c r="Q4262" s="4">
        <v>257029</v>
      </c>
      <c r="R4262" s="4">
        <v>771087</v>
      </c>
      <c r="S4262" t="s">
        <v>20564</v>
      </c>
      <c r="T4262" s="6">
        <v>44166</v>
      </c>
      <c r="U4262" s="4">
        <v>612500</v>
      </c>
      <c r="V4262" t="s">
        <v>23739</v>
      </c>
      <c r="W4262" t="s">
        <v>25988</v>
      </c>
      <c r="X4262" t="s">
        <v>3</v>
      </c>
      <c r="AA4262" s="5" t="str">
        <f>HYPERLINK("https://www.zillow.com/homes/2424-BASIN-TRAIL-LN-NAPERVILLE-IL-605633584_rb/","check listing")</f>
        <v>check listing</v>
      </c>
      <c r="AB4262" s="5" t="str">
        <f>HYPERLINK("https://propertylookup.dupagecounty.gov/Datalets/Datalet.aspx?UseSearch=no&amp;mode=sales&amp;pin=0709112006","sales record")</f>
        <v>sales record</v>
      </c>
      <c r="AC4262" t="s">
        <v>3</v>
      </c>
      <c r="AD4262">
        <v>41.795962</v>
      </c>
      <c r="AE4262">
        <v>-88.21944999999999</v>
      </c>
      <c r="AF4262" s="5" t="str">
        <f>HYPERLINK("https://www.google.com/maps/search/?api=1&amp;query=41.795962,-88.21945","map")</f>
        <v>map</v>
      </c>
    </row>
    <row r="4263" spans="1:32">
      <c r="A4263" t="s">
        <v>4313</v>
      </c>
      <c r="B4263" t="s">
        <v>11846</v>
      </c>
      <c r="C4263" t="s">
        <v>15692</v>
      </c>
      <c r="D4263" t="s">
        <v>16206</v>
      </c>
      <c r="E4263" t="s">
        <v>16218</v>
      </c>
      <c r="F4263" t="s">
        <v>16221</v>
      </c>
      <c r="G4263" t="s">
        <v>16278</v>
      </c>
      <c r="H4263" t="s">
        <v>16277</v>
      </c>
      <c r="I4263" t="s">
        <v>16353</v>
      </c>
      <c r="J4263" t="s">
        <v>16386</v>
      </c>
      <c r="K4263">
        <v>0.204</v>
      </c>
      <c r="L4263">
        <v>8892</v>
      </c>
      <c r="N4263" t="s">
        <v>16393</v>
      </c>
      <c r="O4263" s="4">
        <v>72438</v>
      </c>
      <c r="P4263" s="4">
        <v>207940</v>
      </c>
      <c r="Q4263" s="4">
        <v>280378</v>
      </c>
      <c r="R4263" s="4">
        <v>841134</v>
      </c>
      <c r="S4263" t="s">
        <v>20565</v>
      </c>
      <c r="T4263" s="6">
        <v>44317</v>
      </c>
      <c r="U4263" s="4">
        <v>645000</v>
      </c>
      <c r="V4263" t="s">
        <v>23739</v>
      </c>
      <c r="W4263" t="s">
        <v>25989</v>
      </c>
      <c r="X4263" t="s">
        <v>3</v>
      </c>
      <c r="AA4263" s="5" t="str">
        <f>HYPERLINK("https://www.zillow.com/homes/1419-BAYOU-PATH-DR-NAPERVILLE-IL-605633608_rb/","check listing")</f>
        <v>check listing</v>
      </c>
      <c r="AB4263" s="5" t="str">
        <f>HYPERLINK("https://propertylookup.dupagecounty.gov/Datalets/Datalet.aspx?UseSearch=no&amp;mode=sales&amp;pin=0709311055","sales record")</f>
        <v>sales record</v>
      </c>
      <c r="AC4263" t="s">
        <v>3</v>
      </c>
      <c r="AD4263">
        <v>41.787621</v>
      </c>
      <c r="AE4263">
        <v>-88.22011000000001</v>
      </c>
      <c r="AF4263" s="5" t="str">
        <f>HYPERLINK("https://www.google.com/maps/search/?api=1&amp;query=41.787621,-88.22011","map")</f>
        <v>map</v>
      </c>
    </row>
    <row r="4264" spans="1:32">
      <c r="A4264" t="s">
        <v>4314</v>
      </c>
      <c r="B4264" t="s">
        <v>11847</v>
      </c>
      <c r="C4264" t="s">
        <v>15478</v>
      </c>
      <c r="D4264" t="s">
        <v>16206</v>
      </c>
      <c r="E4264" t="s">
        <v>16218</v>
      </c>
      <c r="F4264" t="s">
        <v>16221</v>
      </c>
      <c r="G4264" t="s">
        <v>16277</v>
      </c>
      <c r="H4264" t="s">
        <v>16277</v>
      </c>
      <c r="I4264" t="s">
        <v>16353</v>
      </c>
      <c r="J4264" t="s">
        <v>16386</v>
      </c>
      <c r="K4264">
        <v>0.204</v>
      </c>
      <c r="L4264">
        <v>8890</v>
      </c>
      <c r="M4264">
        <v>2617</v>
      </c>
      <c r="N4264" t="s">
        <v>16393</v>
      </c>
      <c r="O4264" s="4">
        <v>85441</v>
      </c>
      <c r="P4264" s="4">
        <v>67485</v>
      </c>
      <c r="Q4264" s="4">
        <v>152926</v>
      </c>
      <c r="R4264" s="4">
        <v>458778</v>
      </c>
      <c r="S4264" t="s">
        <v>20566</v>
      </c>
      <c r="T4264" s="6">
        <v>34790</v>
      </c>
      <c r="U4264" s="4">
        <v>120000</v>
      </c>
      <c r="X4264" t="s">
        <v>3</v>
      </c>
      <c r="AA4264" s="5" t="str">
        <f>HYPERLINK("https://www.zillow.com/homes/806-N-WASHINGTON-ST-NAPERVILLE-IL-60563_rb/","check listing")</f>
        <v>check listing</v>
      </c>
      <c r="AB4264" s="5" t="str">
        <f>HYPERLINK("https://propertylookup.dupagecounty.gov/Datalets/Datalet.aspx?UseSearch=no&amp;mode=sales&amp;pin=0807313004","sales record")</f>
        <v>sales record</v>
      </c>
      <c r="AC4264" t="s">
        <v>3</v>
      </c>
      <c r="AD4264">
        <v>41.784571</v>
      </c>
      <c r="AE4264">
        <v>-88.146917</v>
      </c>
      <c r="AF4264" s="5" t="str">
        <f>HYPERLINK("https://www.google.com/maps/search/?api=1&amp;query=41.784571,-88.146917","map")</f>
        <v>map</v>
      </c>
    </row>
    <row r="4265" spans="1:32">
      <c r="A4265" t="s">
        <v>4315</v>
      </c>
      <c r="B4265" t="s">
        <v>11848</v>
      </c>
      <c r="C4265" t="s">
        <v>15621</v>
      </c>
      <c r="D4265" t="s">
        <v>16206</v>
      </c>
      <c r="E4265" t="s">
        <v>16218</v>
      </c>
      <c r="F4265" t="s">
        <v>16221</v>
      </c>
      <c r="G4265" t="s">
        <v>16278</v>
      </c>
      <c r="H4265" t="s">
        <v>16277</v>
      </c>
      <c r="I4265" t="s">
        <v>16353</v>
      </c>
      <c r="J4265" t="s">
        <v>16386</v>
      </c>
      <c r="K4265">
        <v>0.204</v>
      </c>
      <c r="L4265">
        <v>8889</v>
      </c>
      <c r="N4265" t="s">
        <v>16393</v>
      </c>
      <c r="O4265" s="4">
        <v>66140</v>
      </c>
      <c r="P4265" s="4">
        <v>177988</v>
      </c>
      <c r="Q4265" s="4">
        <v>244128</v>
      </c>
      <c r="R4265" s="4">
        <v>732384</v>
      </c>
      <c r="S4265" t="s">
        <v>20567</v>
      </c>
      <c r="T4265" s="6">
        <v>44378</v>
      </c>
      <c r="U4265" s="4">
        <v>617500</v>
      </c>
      <c r="V4265" t="s">
        <v>23739</v>
      </c>
      <c r="W4265" t="s">
        <v>25990</v>
      </c>
      <c r="X4265" t="s">
        <v>3</v>
      </c>
      <c r="AA4265" s="5" t="str">
        <f>HYPERLINK("https://www.zillow.com/homes/2412-COASTAL-SAGE-CT-NAPERVILLE-IL-605633613_rb/","check listing")</f>
        <v>check listing</v>
      </c>
      <c r="AB4265" s="5" t="str">
        <f>HYPERLINK("https://propertylookup.dupagecounty.gov/Datalets/Datalet.aspx?UseSearch=no&amp;mode=sales&amp;pin=0709311068","sales record")</f>
        <v>sales record</v>
      </c>
      <c r="AC4265" t="s">
        <v>3</v>
      </c>
      <c r="AD4265">
        <v>41.786581</v>
      </c>
      <c r="AE4265">
        <v>-88.219273</v>
      </c>
      <c r="AF4265" s="5" t="str">
        <f>HYPERLINK("https://www.google.com/maps/search/?api=1&amp;query=41.786581,-88.219273","map")</f>
        <v>map</v>
      </c>
    </row>
    <row r="4266" spans="1:32">
      <c r="A4266" t="s">
        <v>4316</v>
      </c>
      <c r="B4266" t="s">
        <v>11849</v>
      </c>
      <c r="C4266" t="s">
        <v>15478</v>
      </c>
      <c r="D4266" t="s">
        <v>16206</v>
      </c>
      <c r="E4266" t="s">
        <v>16218</v>
      </c>
      <c r="F4266" t="s">
        <v>16221</v>
      </c>
      <c r="G4266" t="s">
        <v>16277</v>
      </c>
      <c r="H4266" t="s">
        <v>16277</v>
      </c>
      <c r="I4266" t="s">
        <v>16353</v>
      </c>
      <c r="J4266" t="s">
        <v>16386</v>
      </c>
      <c r="K4266">
        <v>0.204</v>
      </c>
      <c r="L4266">
        <v>8889</v>
      </c>
      <c r="M4266">
        <v>1648</v>
      </c>
      <c r="N4266" t="s">
        <v>16393</v>
      </c>
      <c r="O4266" s="4">
        <v>87308</v>
      </c>
      <c r="P4266" s="4">
        <v>101162</v>
      </c>
      <c r="Q4266" s="4">
        <v>188470</v>
      </c>
      <c r="R4266" s="4">
        <v>565410</v>
      </c>
      <c r="S4266" t="s">
        <v>20568</v>
      </c>
      <c r="X4266" t="s">
        <v>3</v>
      </c>
      <c r="AA4266" s="5" t="str">
        <f>HYPERLINK("https://www.zillow.com/homes/956-N-BRAINARD-ST-NAPERVILLE-IL-60563_rb/","check listing")</f>
        <v>check listing</v>
      </c>
      <c r="AB4266" s="5" t="str">
        <f>HYPERLINK("https://propertylookup.dupagecounty.gov/Datalets/Datalet.aspx?UseSearch=no&amp;mode=sales&amp;pin=0807310032","sales record")</f>
        <v>sales record</v>
      </c>
      <c r="AC4266" t="s">
        <v>3</v>
      </c>
      <c r="AD4266">
        <v>41.787329</v>
      </c>
      <c r="AE4266">
        <v>-88.142281</v>
      </c>
      <c r="AF4266" s="5" t="str">
        <f>HYPERLINK("https://www.google.com/maps/search/?api=1&amp;query=41.787329,-88.142281","map")</f>
        <v>map</v>
      </c>
    </row>
    <row r="4267" spans="1:32">
      <c r="A4267" t="s">
        <v>4317</v>
      </c>
      <c r="B4267" t="s">
        <v>11850</v>
      </c>
      <c r="C4267" t="s">
        <v>15710</v>
      </c>
      <c r="D4267" t="s">
        <v>16206</v>
      </c>
      <c r="E4267" t="s">
        <v>16218</v>
      </c>
      <c r="F4267" t="s">
        <v>16221</v>
      </c>
      <c r="G4267" t="s">
        <v>16277</v>
      </c>
      <c r="H4267" t="s">
        <v>16277</v>
      </c>
      <c r="I4267" t="s">
        <v>16353</v>
      </c>
      <c r="J4267" t="s">
        <v>16386</v>
      </c>
      <c r="K4267">
        <v>0.204</v>
      </c>
      <c r="L4267">
        <v>8884</v>
      </c>
      <c r="M4267">
        <v>3275</v>
      </c>
      <c r="N4267" t="s">
        <v>16393</v>
      </c>
      <c r="O4267" s="4">
        <v>137967</v>
      </c>
      <c r="P4267" s="4">
        <v>226723</v>
      </c>
      <c r="Q4267" s="4">
        <v>364690</v>
      </c>
      <c r="R4267" s="4">
        <v>1094070</v>
      </c>
      <c r="S4267" t="s">
        <v>20569</v>
      </c>
      <c r="T4267" s="6">
        <v>44075</v>
      </c>
      <c r="U4267" s="4">
        <v>864500</v>
      </c>
      <c r="V4267" t="s">
        <v>23739</v>
      </c>
      <c r="W4267" t="s">
        <v>25991</v>
      </c>
      <c r="X4267" t="s">
        <v>3</v>
      </c>
      <c r="AA4267" s="5" t="str">
        <f>HYPERLINK("https://www.zillow.com/homes/123-N-EWING-ST-NAPERVILLE-IL-605404427_rb/","check listing")</f>
        <v>check listing</v>
      </c>
      <c r="AB4267" s="5" t="str">
        <f>HYPERLINK("https://propertylookup.dupagecounty.gov/Datalets/Datalet.aspx?UseSearch=no&amp;mode=sales&amp;pin=0713400004","sales record")</f>
        <v>sales record</v>
      </c>
      <c r="AC4267" t="s">
        <v>27873</v>
      </c>
      <c r="AD4267">
        <v>41.776987</v>
      </c>
      <c r="AE4267">
        <v>-88.15652</v>
      </c>
      <c r="AF4267" s="5" t="str">
        <f>HYPERLINK("https://www.google.com/maps/search/?api=1&amp;query=41.776987,-88.15652","map")</f>
        <v>map</v>
      </c>
    </row>
    <row r="4268" spans="1:32">
      <c r="A4268" t="s">
        <v>4318</v>
      </c>
      <c r="B4268" t="s">
        <v>11851</v>
      </c>
      <c r="C4268" t="s">
        <v>15662</v>
      </c>
      <c r="D4268" t="s">
        <v>16206</v>
      </c>
      <c r="E4268" t="s">
        <v>16218</v>
      </c>
      <c r="F4268" t="s">
        <v>16221</v>
      </c>
      <c r="G4268" t="s">
        <v>16278</v>
      </c>
      <c r="H4268" t="s">
        <v>16277</v>
      </c>
      <c r="I4268" t="s">
        <v>16353</v>
      </c>
      <c r="J4268" t="s">
        <v>16386</v>
      </c>
      <c r="K4268">
        <v>0.204</v>
      </c>
      <c r="L4268">
        <v>8880</v>
      </c>
      <c r="N4268" t="s">
        <v>16393</v>
      </c>
      <c r="O4268" s="4">
        <v>56146</v>
      </c>
      <c r="P4268" s="4">
        <v>238360</v>
      </c>
      <c r="Q4268" s="4">
        <v>294506</v>
      </c>
      <c r="R4268" s="4">
        <v>883518</v>
      </c>
      <c r="S4268" t="s">
        <v>20570</v>
      </c>
      <c r="T4268" s="6">
        <v>45169</v>
      </c>
      <c r="U4268" s="4">
        <v>855869</v>
      </c>
      <c r="V4268" t="s">
        <v>16232</v>
      </c>
      <c r="W4268" t="s">
        <v>25992</v>
      </c>
      <c r="X4268" t="s">
        <v>3</v>
      </c>
      <c r="AA4268" s="5" t="str">
        <f>HYPERLINK("https://www.zillow.com/homes/2567-WEATHERBEE-LN-NAPERVILLE-IL-605631594_rb/","check listing")</f>
        <v>check listing</v>
      </c>
      <c r="AB4268" s="5" t="str">
        <f>HYPERLINK("https://propertylookup.dupagecounty.gov/Datalets/Datalet.aspx?UseSearch=no&amp;mode=sales&amp;pin=0532300046","sales record")</f>
        <v>sales record</v>
      </c>
      <c r="AC4268" t="s">
        <v>3</v>
      </c>
      <c r="AD4268">
        <v>41.81988</v>
      </c>
      <c r="AE4268">
        <v>-88.124787</v>
      </c>
      <c r="AF4268" s="5" t="str">
        <f>HYPERLINK("https://www.google.com/maps/search/?api=1&amp;query=41.81988,-88.124787","map")</f>
        <v>map</v>
      </c>
    </row>
    <row r="4269" spans="1:32">
      <c r="A4269" t="s">
        <v>4319</v>
      </c>
      <c r="B4269" t="s">
        <v>11852</v>
      </c>
      <c r="C4269" t="s">
        <v>15662</v>
      </c>
      <c r="D4269" t="s">
        <v>16206</v>
      </c>
      <c r="E4269" t="s">
        <v>16218</v>
      </c>
      <c r="F4269" t="s">
        <v>16221</v>
      </c>
      <c r="G4269" t="s">
        <v>16278</v>
      </c>
      <c r="H4269" t="s">
        <v>16277</v>
      </c>
      <c r="I4269" t="s">
        <v>16353</v>
      </c>
      <c r="J4269" t="s">
        <v>16386</v>
      </c>
      <c r="K4269">
        <v>0.204</v>
      </c>
      <c r="L4269">
        <v>8880</v>
      </c>
      <c r="N4269" t="s">
        <v>16393</v>
      </c>
      <c r="O4269" s="4">
        <v>56141</v>
      </c>
      <c r="P4269" s="4">
        <v>254108</v>
      </c>
      <c r="Q4269" s="4">
        <v>310249</v>
      </c>
      <c r="R4269" s="4">
        <v>930747</v>
      </c>
      <c r="S4269" t="s">
        <v>20571</v>
      </c>
      <c r="T4269" s="6">
        <v>45567</v>
      </c>
      <c r="U4269" s="4">
        <v>1268593</v>
      </c>
      <c r="V4269" t="s">
        <v>16232</v>
      </c>
      <c r="W4269" t="s">
        <v>25993</v>
      </c>
      <c r="X4269" t="s">
        <v>3</v>
      </c>
      <c r="AA4269" s="5" t="str">
        <f>HYPERLINK("https://www.zillow.com/homes/2603-WEATHERBEE-LN-NAPERVILLE-IL-605631594_rb/","check listing")</f>
        <v>check listing</v>
      </c>
      <c r="AB4269" s="5" t="str">
        <f>HYPERLINK("https://propertylookup.dupagecounty.gov/Datalets/Datalet.aspx?UseSearch=no&amp;mode=sales&amp;pin=0532300049","sales record")</f>
        <v>sales record</v>
      </c>
      <c r="AC4269" t="s">
        <v>3</v>
      </c>
      <c r="AD4269">
        <v>41.820496</v>
      </c>
      <c r="AE4269">
        <v>-88.124702</v>
      </c>
      <c r="AF4269" s="5" t="str">
        <f>HYPERLINK("https://www.google.com/maps/search/?api=1&amp;query=41.820496,-88.124702","map")</f>
        <v>map</v>
      </c>
    </row>
    <row r="4270" spans="1:32">
      <c r="A4270" t="s">
        <v>4320</v>
      </c>
      <c r="B4270" t="s">
        <v>11853</v>
      </c>
      <c r="C4270" t="s">
        <v>15662</v>
      </c>
      <c r="D4270" t="s">
        <v>16206</v>
      </c>
      <c r="E4270" t="s">
        <v>16218</v>
      </c>
      <c r="F4270" t="s">
        <v>16221</v>
      </c>
      <c r="G4270" t="s">
        <v>16278</v>
      </c>
      <c r="H4270" t="s">
        <v>16277</v>
      </c>
      <c r="I4270" t="s">
        <v>16353</v>
      </c>
      <c r="J4270" t="s">
        <v>16386</v>
      </c>
      <c r="K4270">
        <v>0.204</v>
      </c>
      <c r="L4270">
        <v>8879</v>
      </c>
      <c r="N4270" t="s">
        <v>16393</v>
      </c>
      <c r="O4270" s="4">
        <v>56146</v>
      </c>
      <c r="P4270" s="4">
        <v>254061</v>
      </c>
      <c r="Q4270" s="4">
        <v>310207</v>
      </c>
      <c r="R4270" s="4">
        <v>930621</v>
      </c>
      <c r="S4270" t="s">
        <v>20572</v>
      </c>
      <c r="T4270" s="6">
        <v>45540</v>
      </c>
      <c r="U4270" s="4">
        <v>1175207</v>
      </c>
      <c r="V4270" t="s">
        <v>16232</v>
      </c>
      <c r="W4270" t="s">
        <v>25994</v>
      </c>
      <c r="X4270" t="s">
        <v>3</v>
      </c>
      <c r="AA4270" s="5" t="str">
        <f>HYPERLINK("https://www.zillow.com/homes/2575-WEATHERBEE-LN-NAPERVILLE-IL-605631594_rb/","check listing")</f>
        <v>check listing</v>
      </c>
      <c r="AB4270" s="5" t="str">
        <f>HYPERLINK("https://propertylookup.dupagecounty.gov/Datalets/Datalet.aspx?UseSearch=no&amp;mode=sales&amp;pin=0532300048","sales record")</f>
        <v>sales record</v>
      </c>
      <c r="AC4270" t="s">
        <v>3</v>
      </c>
      <c r="AD4270">
        <v>41.820257</v>
      </c>
      <c r="AE4270">
        <v>-88.124735</v>
      </c>
      <c r="AF4270" s="5" t="str">
        <f>HYPERLINK("https://www.google.com/maps/search/?api=1&amp;query=41.820257,-88.124735","map")</f>
        <v>map</v>
      </c>
    </row>
    <row r="4271" spans="1:32">
      <c r="A4271" t="s">
        <v>4321</v>
      </c>
      <c r="B4271" t="s">
        <v>11854</v>
      </c>
      <c r="C4271" t="s">
        <v>15692</v>
      </c>
      <c r="D4271" t="s">
        <v>16206</v>
      </c>
      <c r="E4271" t="s">
        <v>16218</v>
      </c>
      <c r="F4271" t="s">
        <v>16221</v>
      </c>
      <c r="G4271" t="s">
        <v>16278</v>
      </c>
      <c r="H4271" t="s">
        <v>16277</v>
      </c>
      <c r="I4271" t="s">
        <v>16353</v>
      </c>
      <c r="J4271" t="s">
        <v>16386</v>
      </c>
      <c r="K4271">
        <v>0.204</v>
      </c>
      <c r="L4271">
        <v>8867</v>
      </c>
      <c r="N4271" t="s">
        <v>16393</v>
      </c>
      <c r="O4271" s="4">
        <v>72438</v>
      </c>
      <c r="P4271" s="4">
        <v>191292</v>
      </c>
      <c r="Q4271" s="4">
        <v>263730</v>
      </c>
      <c r="R4271" s="4">
        <v>791190</v>
      </c>
      <c r="S4271" t="s">
        <v>20573</v>
      </c>
      <c r="T4271" s="6">
        <v>44136</v>
      </c>
      <c r="U4271" s="4">
        <v>595000</v>
      </c>
      <c r="V4271" t="s">
        <v>23739</v>
      </c>
      <c r="W4271" t="s">
        <v>20573</v>
      </c>
      <c r="X4271" t="s">
        <v>3</v>
      </c>
      <c r="AA4271" s="5" t="str">
        <f>HYPERLINK("https://www.zillow.com/homes/1479-BAYOU-PATH-DR-NAPERVILLE-IL-605633608_rb/","check listing")</f>
        <v>check listing</v>
      </c>
      <c r="AB4271" s="5" t="str">
        <f>HYPERLINK("https://propertylookup.dupagecounty.gov/Datalets/Datalet.aspx?UseSearch=no&amp;mode=sales&amp;pin=0709311041","sales record")</f>
        <v>sales record</v>
      </c>
      <c r="AC4271" t="s">
        <v>3</v>
      </c>
      <c r="AD4271">
        <v>41.790155</v>
      </c>
      <c r="AE4271">
        <v>-88.220287</v>
      </c>
      <c r="AF4271" s="5" t="str">
        <f>HYPERLINK("https://www.google.com/maps/search/?api=1&amp;query=41.790155,-88.220287","map")</f>
        <v>map</v>
      </c>
    </row>
    <row r="4272" spans="1:32">
      <c r="A4272" t="s">
        <v>4322</v>
      </c>
      <c r="B4272" t="s">
        <v>11855</v>
      </c>
      <c r="C4272" t="s">
        <v>15711</v>
      </c>
      <c r="D4272" t="s">
        <v>16206</v>
      </c>
      <c r="E4272" t="s">
        <v>16218</v>
      </c>
      <c r="F4272" t="s">
        <v>16221</v>
      </c>
      <c r="G4272" t="s">
        <v>16277</v>
      </c>
      <c r="H4272" t="s">
        <v>16277</v>
      </c>
      <c r="I4272" t="s">
        <v>16353</v>
      </c>
      <c r="J4272" t="s">
        <v>16386</v>
      </c>
      <c r="K4272">
        <v>0.204</v>
      </c>
      <c r="L4272">
        <v>8865</v>
      </c>
      <c r="M4272">
        <v>3122</v>
      </c>
      <c r="N4272" t="s">
        <v>16393</v>
      </c>
      <c r="O4272" s="4">
        <v>118134</v>
      </c>
      <c r="P4272" s="4">
        <v>253709</v>
      </c>
      <c r="Q4272" s="4">
        <v>371843</v>
      </c>
      <c r="R4272" s="4">
        <v>1115529</v>
      </c>
      <c r="S4272" t="s">
        <v>20574</v>
      </c>
      <c r="T4272" s="6">
        <v>37347</v>
      </c>
      <c r="U4272" s="4">
        <v>645800</v>
      </c>
      <c r="V4272" t="s">
        <v>23739</v>
      </c>
      <c r="W4272" t="s">
        <v>25995</v>
      </c>
      <c r="X4272" t="s">
        <v>3</v>
      </c>
      <c r="AA4272" s="5" t="str">
        <f>HYPERLINK("https://www.zillow.com/homes/521-W-VAN-BUREN-AVE-NAPERVILLE-IL-605404454_rb/","check listing")</f>
        <v>check listing</v>
      </c>
      <c r="AB4272" s="5" t="str">
        <f>HYPERLINK("https://propertylookup.dupagecounty.gov/Datalets/Datalet.aspx?UseSearch=no&amp;mode=sales&amp;pin=0713413005","sales record")</f>
        <v>sales record</v>
      </c>
      <c r="AC4272" t="s">
        <v>3</v>
      </c>
      <c r="AD4272">
        <v>41.774665</v>
      </c>
      <c r="AE4272">
        <v>-88.156858</v>
      </c>
      <c r="AF4272" s="5" t="str">
        <f>HYPERLINK("https://www.google.com/maps/search/?api=1&amp;query=41.774665,-88.156858","map")</f>
        <v>map</v>
      </c>
    </row>
    <row r="4273" spans="1:32">
      <c r="A4273" t="s">
        <v>4323</v>
      </c>
      <c r="B4273" t="s">
        <v>11856</v>
      </c>
      <c r="C4273" t="s">
        <v>15478</v>
      </c>
      <c r="D4273" t="s">
        <v>16206</v>
      </c>
      <c r="E4273" t="s">
        <v>16218</v>
      </c>
      <c r="F4273" t="s">
        <v>16221</v>
      </c>
      <c r="G4273" t="s">
        <v>16278</v>
      </c>
      <c r="H4273" t="s">
        <v>16277</v>
      </c>
      <c r="I4273" t="s">
        <v>16353</v>
      </c>
      <c r="J4273" t="s">
        <v>16386</v>
      </c>
      <c r="K4273">
        <v>0.203</v>
      </c>
      <c r="L4273">
        <v>8863</v>
      </c>
      <c r="N4273" t="s">
        <v>16393</v>
      </c>
      <c r="O4273" s="4">
        <v>62991</v>
      </c>
      <c r="P4273" s="4">
        <v>198127</v>
      </c>
      <c r="Q4273" s="4">
        <v>261118</v>
      </c>
      <c r="R4273" s="4">
        <v>783354</v>
      </c>
      <c r="S4273" t="s">
        <v>20575</v>
      </c>
      <c r="T4273" s="6">
        <v>42767</v>
      </c>
      <c r="U4273" s="4">
        <v>520000</v>
      </c>
      <c r="V4273" t="s">
        <v>16232</v>
      </c>
      <c r="W4273" t="s">
        <v>20575</v>
      </c>
      <c r="X4273" t="s">
        <v>3</v>
      </c>
      <c r="AA4273" s="5" t="str">
        <f>HYPERLINK("https://www.zillow.com/homes/1648-ALDERLEAF-LN-NAPERVILLE-IL-60563_rb/","check listing")</f>
        <v>check listing</v>
      </c>
      <c r="AB4273" s="5" t="str">
        <f>HYPERLINK("https://propertylookup.dupagecounty.gov/Datalets/Datalet.aspx?UseSearch=no&amp;mode=sales&amp;pin=0709102023","sales record")</f>
        <v>sales record</v>
      </c>
      <c r="AC4273" t="s">
        <v>3</v>
      </c>
      <c r="AD4273">
        <v>41.797325</v>
      </c>
      <c r="AE4273">
        <v>-88.219452</v>
      </c>
      <c r="AF4273" s="5" t="str">
        <f>HYPERLINK("https://www.google.com/maps/search/?api=1&amp;query=41.797325,-88.219452","map")</f>
        <v>map</v>
      </c>
    </row>
    <row r="4274" spans="1:32">
      <c r="A4274" t="s">
        <v>4324</v>
      </c>
      <c r="B4274" t="s">
        <v>11857</v>
      </c>
      <c r="C4274" t="s">
        <v>15475</v>
      </c>
      <c r="D4274" t="s">
        <v>16206</v>
      </c>
      <c r="E4274" t="s">
        <v>16218</v>
      </c>
      <c r="F4274" t="s">
        <v>16221</v>
      </c>
      <c r="G4274" t="s">
        <v>16277</v>
      </c>
      <c r="H4274" t="s">
        <v>16277</v>
      </c>
      <c r="I4274" t="s">
        <v>16353</v>
      </c>
      <c r="J4274" t="s">
        <v>16386</v>
      </c>
      <c r="K4274">
        <v>0.203</v>
      </c>
      <c r="L4274">
        <v>8858</v>
      </c>
      <c r="M4274">
        <v>2627</v>
      </c>
      <c r="N4274" t="s">
        <v>16393</v>
      </c>
      <c r="O4274" s="4">
        <v>119856</v>
      </c>
      <c r="P4274" s="4">
        <v>60101</v>
      </c>
      <c r="Q4274" s="4">
        <v>179957</v>
      </c>
      <c r="R4274" s="4">
        <v>539871</v>
      </c>
      <c r="S4274" t="s">
        <v>20576</v>
      </c>
      <c r="X4274" t="s">
        <v>3</v>
      </c>
      <c r="AA4274" s="5" t="str">
        <f>HYPERLINK("https://www.zillow.com/homes/405-E-NORTH-AVE-NAPERVILLE-IL-60540_rb/","check listing")</f>
        <v>check listing</v>
      </c>
      <c r="AB4274" s="5" t="str">
        <f>HYPERLINK("https://propertylookup.dupagecounty.gov/Datalets/Datalet.aspx?UseSearch=no&amp;mode=sales&amp;pin=0818136014","sales record")</f>
        <v>sales record</v>
      </c>
      <c r="AC4274" t="s">
        <v>27873</v>
      </c>
      <c r="AD4274">
        <v>41.778696</v>
      </c>
      <c r="AE4274">
        <v>-88.141812</v>
      </c>
      <c r="AF4274" s="5" t="str">
        <f>HYPERLINK("https://www.google.com/maps/search/?api=1&amp;query=41.778696,-88.141812","map")</f>
        <v>map</v>
      </c>
    </row>
    <row r="4275" spans="1:32">
      <c r="A4275" t="s">
        <v>4325</v>
      </c>
      <c r="B4275" t="s">
        <v>11858</v>
      </c>
      <c r="C4275" t="s">
        <v>15475</v>
      </c>
      <c r="D4275" t="s">
        <v>16206</v>
      </c>
      <c r="E4275" t="s">
        <v>16218</v>
      </c>
      <c r="F4275" t="s">
        <v>16221</v>
      </c>
      <c r="G4275" t="s">
        <v>16277</v>
      </c>
      <c r="H4275" t="s">
        <v>16277</v>
      </c>
      <c r="I4275" t="s">
        <v>16353</v>
      </c>
      <c r="J4275" t="s">
        <v>16386</v>
      </c>
      <c r="K4275">
        <v>0.203</v>
      </c>
      <c r="L4275">
        <v>8857</v>
      </c>
      <c r="M4275">
        <v>2759</v>
      </c>
      <c r="N4275" t="s">
        <v>16393</v>
      </c>
      <c r="O4275" s="4">
        <v>119856</v>
      </c>
      <c r="P4275" s="4">
        <v>29123</v>
      </c>
      <c r="Q4275" s="4">
        <v>148979</v>
      </c>
      <c r="R4275" s="4">
        <v>446937</v>
      </c>
      <c r="S4275" t="s">
        <v>20577</v>
      </c>
      <c r="T4275" s="6">
        <v>37773</v>
      </c>
      <c r="U4275" s="4">
        <v>245000</v>
      </c>
      <c r="V4275" t="s">
        <v>23739</v>
      </c>
      <c r="W4275" t="s">
        <v>25996</v>
      </c>
      <c r="X4275" t="s">
        <v>3</v>
      </c>
      <c r="AA4275" s="5" t="str">
        <f>HYPERLINK("https://www.zillow.com/homes/411-E-NORTH-ST-NAPERVILLE-IL-60540_rb/","check listing")</f>
        <v>check listing</v>
      </c>
      <c r="AB4275" s="5" t="str">
        <f>HYPERLINK("https://propertylookup.dupagecounty.gov/Datalets/Datalet.aspx?UseSearch=no&amp;mode=sales&amp;pin=0818136009","sales record")</f>
        <v>sales record</v>
      </c>
      <c r="AC4275" t="s">
        <v>3</v>
      </c>
      <c r="AD4275">
        <v>41.778687</v>
      </c>
      <c r="AE4275">
        <v>-88.141604</v>
      </c>
      <c r="AF4275" s="5" t="str">
        <f>HYPERLINK("https://www.google.com/maps/search/?api=1&amp;query=41.778687,-88.141604","map")</f>
        <v>map</v>
      </c>
    </row>
    <row r="4276" spans="1:32">
      <c r="A4276" t="s">
        <v>4326</v>
      </c>
      <c r="B4276" t="s">
        <v>11859</v>
      </c>
      <c r="C4276" t="s">
        <v>15662</v>
      </c>
      <c r="D4276" t="s">
        <v>16206</v>
      </c>
      <c r="E4276" t="s">
        <v>16218</v>
      </c>
      <c r="F4276" t="s">
        <v>16221</v>
      </c>
      <c r="G4276" t="s">
        <v>16278</v>
      </c>
      <c r="H4276" t="s">
        <v>16277</v>
      </c>
      <c r="I4276" t="s">
        <v>16353</v>
      </c>
      <c r="J4276" t="s">
        <v>16386</v>
      </c>
      <c r="K4276">
        <v>0.203</v>
      </c>
      <c r="L4276">
        <v>8855</v>
      </c>
      <c r="N4276" t="s">
        <v>16393</v>
      </c>
      <c r="O4276" s="4">
        <v>56146</v>
      </c>
      <c r="P4276" s="4">
        <v>232551</v>
      </c>
      <c r="Q4276" s="4">
        <v>288697</v>
      </c>
      <c r="R4276" s="4">
        <v>866091</v>
      </c>
      <c r="S4276" t="s">
        <v>20578</v>
      </c>
      <c r="T4276" s="6">
        <v>44964</v>
      </c>
      <c r="U4276" s="4">
        <v>771676</v>
      </c>
      <c r="V4276" t="s">
        <v>16232</v>
      </c>
      <c r="W4276" t="s">
        <v>25997</v>
      </c>
      <c r="X4276" t="s">
        <v>3</v>
      </c>
      <c r="AA4276" s="5" t="str">
        <f>HYPERLINK("https://www.zillow.com/homes/1203-WRENSON-AVE-NAPERVILLE-IL-605631594_rb/","check listing")</f>
        <v>check listing</v>
      </c>
      <c r="AB4276" s="5" t="str">
        <f>HYPERLINK("https://propertylookup.dupagecounty.gov/Datalets/Datalet.aspx?UseSearch=no&amp;mode=sales&amp;pin=0532303011","sales record")</f>
        <v>sales record</v>
      </c>
      <c r="AC4276" t="s">
        <v>3</v>
      </c>
      <c r="AD4276">
        <v>41.817646</v>
      </c>
      <c r="AE4276">
        <v>-88.12196</v>
      </c>
      <c r="AF4276" s="5" t="str">
        <f>HYPERLINK("https://www.google.com/maps/search/?api=1&amp;query=41.817646,-88.12196","map")</f>
        <v>map</v>
      </c>
    </row>
    <row r="4277" spans="1:32">
      <c r="A4277" t="s">
        <v>4327</v>
      </c>
      <c r="B4277" t="s">
        <v>11860</v>
      </c>
      <c r="C4277" t="s">
        <v>15475</v>
      </c>
      <c r="D4277" t="s">
        <v>16206</v>
      </c>
      <c r="E4277" t="s">
        <v>16218</v>
      </c>
      <c r="F4277" t="s">
        <v>16221</v>
      </c>
      <c r="G4277" t="s">
        <v>16277</v>
      </c>
      <c r="H4277" t="s">
        <v>16277</v>
      </c>
      <c r="I4277" t="s">
        <v>16353</v>
      </c>
      <c r="J4277" t="s">
        <v>16386</v>
      </c>
      <c r="K4277">
        <v>0.203</v>
      </c>
      <c r="L4277">
        <v>8826</v>
      </c>
      <c r="M4277">
        <v>878</v>
      </c>
      <c r="N4277" t="s">
        <v>16393</v>
      </c>
      <c r="O4277" s="4">
        <v>138514</v>
      </c>
      <c r="P4277" s="4">
        <v>85370</v>
      </c>
      <c r="Q4277" s="4">
        <v>223884</v>
      </c>
      <c r="R4277" s="4">
        <v>671652</v>
      </c>
      <c r="S4277" t="s">
        <v>20579</v>
      </c>
      <c r="T4277" s="6">
        <v>31959</v>
      </c>
      <c r="U4277" s="4">
        <v>169500</v>
      </c>
      <c r="X4277" t="s">
        <v>3</v>
      </c>
      <c r="AA4277" s="5" t="str">
        <f>HYPERLINK("https://www.zillow.com/homes/226-N-WRIGHT-ST-NAPERVILLE-IL-60540_rb/","check listing")</f>
        <v>check listing</v>
      </c>
      <c r="AB4277" s="5" t="str">
        <f>HYPERLINK("https://propertylookup.dupagecounty.gov/Datalets/Datalet.aspx?UseSearch=no&amp;mode=sales&amp;pin=0818143001","sales record")</f>
        <v>sales record</v>
      </c>
      <c r="AC4277" t="s">
        <v>3</v>
      </c>
      <c r="AD4277">
        <v>41.778029</v>
      </c>
      <c r="AE4277">
        <v>-88.13893</v>
      </c>
      <c r="AF4277" s="5" t="str">
        <f>HYPERLINK("https://www.google.com/maps/search/?api=1&amp;query=41.778029,-88.13893","map")</f>
        <v>map</v>
      </c>
    </row>
    <row r="4278" spans="1:32">
      <c r="A4278" t="s">
        <v>4328</v>
      </c>
      <c r="B4278" t="s">
        <v>11861</v>
      </c>
      <c r="C4278" t="s">
        <v>15712</v>
      </c>
      <c r="D4278" t="s">
        <v>16206</v>
      </c>
      <c r="E4278" t="s">
        <v>16218</v>
      </c>
      <c r="F4278" t="s">
        <v>16221</v>
      </c>
      <c r="G4278" t="s">
        <v>16277</v>
      </c>
      <c r="H4278" t="s">
        <v>16277</v>
      </c>
      <c r="I4278" t="s">
        <v>16353</v>
      </c>
      <c r="J4278" t="s">
        <v>16386</v>
      </c>
      <c r="K4278">
        <v>0.203</v>
      </c>
      <c r="L4278">
        <v>8825</v>
      </c>
      <c r="M4278">
        <v>3365</v>
      </c>
      <c r="N4278" t="s">
        <v>16393</v>
      </c>
      <c r="O4278" s="4">
        <v>136332</v>
      </c>
      <c r="P4278" s="4">
        <v>264852</v>
      </c>
      <c r="Q4278" s="4">
        <v>401184</v>
      </c>
      <c r="R4278" s="4">
        <v>1203552</v>
      </c>
      <c r="S4278" t="s">
        <v>20580</v>
      </c>
      <c r="T4278" s="6">
        <v>44805</v>
      </c>
      <c r="U4278" s="4">
        <v>885000</v>
      </c>
      <c r="V4278" t="s">
        <v>23739</v>
      </c>
      <c r="W4278" t="s">
        <v>25998</v>
      </c>
      <c r="X4278" t="s">
        <v>3</v>
      </c>
      <c r="AA4278" s="5" t="str">
        <f>HYPERLINK("https://www.zillow.com/homes/303-N-FREMONT-ST-NAPERVILLE-IL-605404325_rb/","check listing")</f>
        <v>check listing</v>
      </c>
      <c r="AB4278" s="5" t="str">
        <f>HYPERLINK("https://propertylookup.dupagecounty.gov/Datalets/Datalet.aspx?UseSearch=no&amp;mode=sales&amp;pin=0713103014","sales record")</f>
        <v>sales record</v>
      </c>
      <c r="AC4278" t="s">
        <v>3</v>
      </c>
      <c r="AD4278">
        <v>41.778472</v>
      </c>
      <c r="AE4278">
        <v>-88.159077</v>
      </c>
      <c r="AF4278" s="5" t="str">
        <f>HYPERLINK("https://www.google.com/maps/search/?api=1&amp;query=41.778472,-88.159077","map")</f>
        <v>map</v>
      </c>
    </row>
    <row r="4279" spans="1:32">
      <c r="A4279" t="s">
        <v>4329</v>
      </c>
      <c r="B4279" t="s">
        <v>11862</v>
      </c>
      <c r="C4279" t="s">
        <v>15713</v>
      </c>
      <c r="D4279" t="s">
        <v>16206</v>
      </c>
      <c r="E4279" t="s">
        <v>16218</v>
      </c>
      <c r="F4279" t="s">
        <v>16221</v>
      </c>
      <c r="G4279" t="s">
        <v>16277</v>
      </c>
      <c r="H4279" t="s">
        <v>16277</v>
      </c>
      <c r="I4279" t="s">
        <v>16353</v>
      </c>
      <c r="J4279" t="s">
        <v>16386</v>
      </c>
      <c r="K4279">
        <v>0.202</v>
      </c>
      <c r="L4279">
        <v>8812</v>
      </c>
      <c r="M4279">
        <v>3627</v>
      </c>
      <c r="N4279" t="s">
        <v>16393</v>
      </c>
      <c r="O4279" s="4">
        <v>137626</v>
      </c>
      <c r="P4279" s="4">
        <v>158423</v>
      </c>
      <c r="Q4279" s="4">
        <v>296049</v>
      </c>
      <c r="R4279" s="4">
        <v>888147</v>
      </c>
      <c r="S4279" t="s">
        <v>20581</v>
      </c>
      <c r="X4279" t="s">
        <v>3</v>
      </c>
      <c r="AA4279" s="5" t="str">
        <f>HYPERLINK("https://www.zillow.com/homes/239-W-BENTON-AVE-NAPERVILLE-IL-605404401_rb/","check listing")</f>
        <v>check listing</v>
      </c>
      <c r="AB4279" s="5" t="str">
        <f>HYPERLINK("https://propertylookup.dupagecounty.gov/Datalets/Datalet.aspx?UseSearch=no&amp;mode=sales&amp;pin=0713409008","sales record")</f>
        <v>sales record</v>
      </c>
      <c r="AC4279" t="s">
        <v>3</v>
      </c>
      <c r="AD4279">
        <v>41.775517</v>
      </c>
      <c r="AE4279">
        <v>-88.152597</v>
      </c>
      <c r="AF4279" s="5" t="str">
        <f>HYPERLINK("https://www.google.com/maps/search/?api=1&amp;query=41.775517,-88.152597","map")</f>
        <v>map</v>
      </c>
    </row>
    <row r="4280" spans="1:32">
      <c r="A4280" t="s">
        <v>4330</v>
      </c>
      <c r="B4280" t="s">
        <v>11863</v>
      </c>
      <c r="C4280" t="s">
        <v>15475</v>
      </c>
      <c r="D4280" t="s">
        <v>16206</v>
      </c>
      <c r="E4280" t="s">
        <v>16218</v>
      </c>
      <c r="F4280" t="s">
        <v>16221</v>
      </c>
      <c r="G4280" t="s">
        <v>16277</v>
      </c>
      <c r="H4280" t="s">
        <v>16277</v>
      </c>
      <c r="I4280" t="s">
        <v>16353</v>
      </c>
      <c r="J4280" t="s">
        <v>16386</v>
      </c>
      <c r="K4280">
        <v>0.202</v>
      </c>
      <c r="L4280">
        <v>8811</v>
      </c>
      <c r="M4280">
        <v>3875</v>
      </c>
      <c r="N4280" t="s">
        <v>16393</v>
      </c>
      <c r="O4280" s="4">
        <v>137967</v>
      </c>
      <c r="P4280" s="4">
        <v>418552</v>
      </c>
      <c r="Q4280" s="4">
        <v>556519</v>
      </c>
      <c r="R4280" s="4">
        <v>1669557</v>
      </c>
      <c r="S4280" t="s">
        <v>20582</v>
      </c>
      <c r="T4280" s="6">
        <v>43282</v>
      </c>
      <c r="U4280" s="4">
        <v>1343000</v>
      </c>
      <c r="V4280" t="s">
        <v>23739</v>
      </c>
      <c r="W4280" t="s">
        <v>25999</v>
      </c>
      <c r="X4280" t="s">
        <v>3</v>
      </c>
      <c r="AA4280" s="5" t="str">
        <f>HYPERLINK("https://www.zillow.com/homes/20-N-EAGLE-ST-NAPERVILLE-IL-60540_rb/","check listing")</f>
        <v>check listing</v>
      </c>
      <c r="AB4280" s="5" t="str">
        <f>HYPERLINK("https://propertylookup.dupagecounty.gov/Datalets/Datalet.aspx?UseSearch=no&amp;mode=sales&amp;pin=0713409014","sales record")</f>
        <v>sales record</v>
      </c>
      <c r="AC4280" t="s">
        <v>3</v>
      </c>
      <c r="AD4280">
        <v>41.775787</v>
      </c>
      <c r="AE4280">
        <v>-88.152462</v>
      </c>
      <c r="AF4280" s="5" t="str">
        <f>HYPERLINK("https://www.google.com/maps/search/?api=1&amp;query=41.775787,-88.152462","map")</f>
        <v>map</v>
      </c>
    </row>
    <row r="4281" spans="1:32">
      <c r="A4281" t="s">
        <v>4331</v>
      </c>
      <c r="B4281" t="s">
        <v>11864</v>
      </c>
      <c r="C4281" t="s">
        <v>15714</v>
      </c>
      <c r="D4281" t="s">
        <v>16206</v>
      </c>
      <c r="E4281" t="s">
        <v>16218</v>
      </c>
      <c r="F4281" t="s">
        <v>16221</v>
      </c>
      <c r="G4281" t="s">
        <v>16277</v>
      </c>
      <c r="H4281" t="s">
        <v>16277</v>
      </c>
      <c r="I4281" t="s">
        <v>16353</v>
      </c>
      <c r="J4281" t="s">
        <v>16386</v>
      </c>
      <c r="K4281">
        <v>0.202</v>
      </c>
      <c r="L4281">
        <v>8810</v>
      </c>
      <c r="M4281">
        <v>4143</v>
      </c>
      <c r="N4281" t="s">
        <v>16393</v>
      </c>
      <c r="O4281" s="4">
        <v>137967</v>
      </c>
      <c r="P4281" s="4">
        <v>248229</v>
      </c>
      <c r="Q4281" s="4">
        <v>386196</v>
      </c>
      <c r="R4281" s="4">
        <v>1158588</v>
      </c>
      <c r="S4281" t="s">
        <v>20583</v>
      </c>
      <c r="T4281" s="6">
        <v>45447</v>
      </c>
      <c r="U4281" s="4">
        <v>1500000</v>
      </c>
      <c r="V4281" t="s">
        <v>23739</v>
      </c>
      <c r="W4281" t="s">
        <v>26000</v>
      </c>
      <c r="X4281" t="s">
        <v>3</v>
      </c>
      <c r="AA4281" s="5" t="str">
        <f>HYPERLINK("https://www.zillow.com/homes/212-W-FRANKLIN-AVE-NAPERVILLE-IL-605404463_rb/","check listing")</f>
        <v>check listing</v>
      </c>
      <c r="AB4281" s="5" t="str">
        <f>HYPERLINK("https://propertylookup.dupagecounty.gov/Datalets/Datalet.aspx?UseSearch=no&amp;mode=sales&amp;pin=0713409005","sales record")</f>
        <v>sales record</v>
      </c>
      <c r="AC4281" t="s">
        <v>3</v>
      </c>
      <c r="AD4281">
        <v>41.775922</v>
      </c>
      <c r="AE4281">
        <v>-88.15160400000001</v>
      </c>
      <c r="AF4281" s="5" t="str">
        <f>HYPERLINK("https://www.google.com/maps/search/?api=1&amp;query=41.775922,-88.151604","map")</f>
        <v>map</v>
      </c>
    </row>
    <row r="4282" spans="1:32">
      <c r="A4282" t="s">
        <v>4332</v>
      </c>
      <c r="B4282" t="s">
        <v>11865</v>
      </c>
      <c r="C4282" t="s">
        <v>15715</v>
      </c>
      <c r="D4282" t="s">
        <v>16206</v>
      </c>
      <c r="E4282" t="s">
        <v>16218</v>
      </c>
      <c r="F4282" t="s">
        <v>16221</v>
      </c>
      <c r="G4282" t="s">
        <v>16277</v>
      </c>
      <c r="H4282" t="s">
        <v>16277</v>
      </c>
      <c r="I4282" t="s">
        <v>16353</v>
      </c>
      <c r="J4282" t="s">
        <v>16386</v>
      </c>
      <c r="K4282">
        <v>0.202</v>
      </c>
      <c r="L4282">
        <v>8810</v>
      </c>
      <c r="M4282">
        <v>2243</v>
      </c>
      <c r="N4282" t="s">
        <v>16393</v>
      </c>
      <c r="O4282" s="4">
        <v>137967</v>
      </c>
      <c r="P4282" s="4">
        <v>188924</v>
      </c>
      <c r="Q4282" s="4">
        <v>326891</v>
      </c>
      <c r="R4282" s="4">
        <v>980673</v>
      </c>
      <c r="S4282" t="s">
        <v>20584</v>
      </c>
      <c r="T4282" s="6">
        <v>44731</v>
      </c>
      <c r="U4282" s="4">
        <v>930000</v>
      </c>
      <c r="V4282" t="s">
        <v>23739</v>
      </c>
      <c r="W4282" t="s">
        <v>26001</v>
      </c>
      <c r="X4282" t="s">
        <v>3</v>
      </c>
      <c r="AA4282" s="5" t="str">
        <f>HYPERLINK("https://www.zillow.com/homes/26-N-EAGLE-ST-NAPERVILLE-IL-605404417_rb/","check listing")</f>
        <v>check listing</v>
      </c>
      <c r="AB4282" s="5" t="str">
        <f>HYPERLINK("https://propertylookup.dupagecounty.gov/Datalets/Datalet.aspx?UseSearch=no&amp;mode=sales&amp;pin=0713409001","sales record")</f>
        <v>sales record</v>
      </c>
      <c r="AC4282" t="s">
        <v>3</v>
      </c>
      <c r="AD4282">
        <v>41.775969</v>
      </c>
      <c r="AE4282">
        <v>-88.15245299999999</v>
      </c>
      <c r="AF4282" s="5" t="str">
        <f>HYPERLINK("https://www.google.com/maps/search/?api=1&amp;query=41.775969,-88.152453","map")</f>
        <v>map</v>
      </c>
    </row>
    <row r="4283" spans="1:32">
      <c r="A4283" t="s">
        <v>4333</v>
      </c>
      <c r="B4283" t="s">
        <v>11866</v>
      </c>
      <c r="C4283" t="s">
        <v>15475</v>
      </c>
      <c r="D4283" t="s">
        <v>16206</v>
      </c>
      <c r="E4283" t="s">
        <v>16218</v>
      </c>
      <c r="F4283" t="s">
        <v>16221</v>
      </c>
      <c r="G4283" t="s">
        <v>16277</v>
      </c>
      <c r="H4283" t="s">
        <v>16277</v>
      </c>
      <c r="I4283" t="s">
        <v>16353</v>
      </c>
      <c r="J4283" t="s">
        <v>16386</v>
      </c>
      <c r="K4283">
        <v>0.202</v>
      </c>
      <c r="L4283">
        <v>8809</v>
      </c>
      <c r="M4283">
        <v>1762</v>
      </c>
      <c r="N4283" t="s">
        <v>16393</v>
      </c>
      <c r="O4283" s="4">
        <v>131071</v>
      </c>
      <c r="P4283" s="4">
        <v>320726</v>
      </c>
      <c r="Q4283" s="4">
        <v>451797</v>
      </c>
      <c r="R4283" s="4">
        <v>1355391</v>
      </c>
      <c r="S4283" t="s">
        <v>20585</v>
      </c>
      <c r="T4283" s="6">
        <v>44858</v>
      </c>
      <c r="U4283" s="4">
        <v>2061002</v>
      </c>
      <c r="V4283" t="s">
        <v>23739</v>
      </c>
      <c r="W4283" t="s">
        <v>26002</v>
      </c>
      <c r="X4283" t="s">
        <v>3</v>
      </c>
      <c r="AA4283" s="5" t="str">
        <f>HYPERLINK("https://www.zillow.com/homes/213-W-BENTON-AVE-NAPERVILLE-IL-60540_rb/","check listing")</f>
        <v>check listing</v>
      </c>
      <c r="AB4283" s="5" t="str">
        <f>HYPERLINK("https://propertylookup.dupagecounty.gov/Datalets/Datalet.aspx?UseSearch=no&amp;mode=sales&amp;pin=0713409012","sales record")</f>
        <v>sales record</v>
      </c>
      <c r="AC4283" t="s">
        <v>27873</v>
      </c>
      <c r="AD4283">
        <v>41.775469</v>
      </c>
      <c r="AE4283">
        <v>-88.15162599999999</v>
      </c>
      <c r="AF4283" s="5" t="str">
        <f>HYPERLINK("https://www.google.com/maps/search/?api=1&amp;query=41.775469,-88.151626","map")</f>
        <v>map</v>
      </c>
    </row>
    <row r="4284" spans="1:32">
      <c r="A4284" t="s">
        <v>4334</v>
      </c>
      <c r="B4284" t="s">
        <v>11867</v>
      </c>
      <c r="C4284" t="s">
        <v>15475</v>
      </c>
      <c r="D4284" t="s">
        <v>16206</v>
      </c>
      <c r="E4284" t="s">
        <v>16218</v>
      </c>
      <c r="F4284" t="s">
        <v>16221</v>
      </c>
      <c r="G4284" t="s">
        <v>16277</v>
      </c>
      <c r="H4284" t="s">
        <v>16277</v>
      </c>
      <c r="I4284" t="s">
        <v>16353</v>
      </c>
      <c r="J4284" t="s">
        <v>16386</v>
      </c>
      <c r="K4284">
        <v>0.202</v>
      </c>
      <c r="L4284">
        <v>8808</v>
      </c>
      <c r="M4284">
        <v>3208</v>
      </c>
      <c r="N4284" t="s">
        <v>16393</v>
      </c>
      <c r="O4284" s="4">
        <v>131071</v>
      </c>
      <c r="P4284" s="4">
        <v>180991</v>
      </c>
      <c r="Q4284" s="4">
        <v>312062</v>
      </c>
      <c r="R4284" s="4">
        <v>936186</v>
      </c>
      <c r="S4284" t="s">
        <v>20586</v>
      </c>
      <c r="T4284" s="6">
        <v>34090</v>
      </c>
      <c r="U4284" s="4">
        <v>154000</v>
      </c>
      <c r="X4284" t="s">
        <v>3</v>
      </c>
      <c r="AA4284" s="5" t="str">
        <f>HYPERLINK("https://www.zillow.com/homes/221-W-BENTON-AVE-NAPERVILLE-IL-60540_rb/","check listing")</f>
        <v>check listing</v>
      </c>
      <c r="AB4284" s="5" t="str">
        <f>HYPERLINK("https://propertylookup.dupagecounty.gov/Datalets/Datalet.aspx?UseSearch=no&amp;mode=sales&amp;pin=0713409011","sales record")</f>
        <v>sales record</v>
      </c>
      <c r="AC4284" t="s">
        <v>3</v>
      </c>
      <c r="AD4284">
        <v>41.775497</v>
      </c>
      <c r="AE4284">
        <v>-88.15186799999999</v>
      </c>
      <c r="AF4284" s="5" t="str">
        <f>HYPERLINK("https://www.google.com/maps/search/?api=1&amp;query=41.775497,-88.151868","map")</f>
        <v>map</v>
      </c>
    </row>
    <row r="4285" spans="1:32">
      <c r="A4285" t="s">
        <v>4335</v>
      </c>
      <c r="B4285" t="s">
        <v>11868</v>
      </c>
      <c r="C4285" t="s">
        <v>15475</v>
      </c>
      <c r="D4285" t="s">
        <v>16206</v>
      </c>
      <c r="E4285" t="s">
        <v>16218</v>
      </c>
      <c r="F4285" t="s">
        <v>16221</v>
      </c>
      <c r="G4285" t="s">
        <v>16277</v>
      </c>
      <c r="H4285" t="s">
        <v>16277</v>
      </c>
      <c r="I4285" t="s">
        <v>16353</v>
      </c>
      <c r="J4285" t="s">
        <v>16386</v>
      </c>
      <c r="K4285">
        <v>0.202</v>
      </c>
      <c r="L4285">
        <v>8797</v>
      </c>
      <c r="M4285">
        <v>2764</v>
      </c>
      <c r="N4285" t="s">
        <v>16393</v>
      </c>
      <c r="O4285" s="4">
        <v>144863</v>
      </c>
      <c r="P4285" s="4">
        <v>67934</v>
      </c>
      <c r="Q4285" s="4">
        <v>212797</v>
      </c>
      <c r="R4285" s="4">
        <v>638391</v>
      </c>
      <c r="S4285" t="s">
        <v>20587</v>
      </c>
      <c r="X4285" t="s">
        <v>3</v>
      </c>
      <c r="AA4285" s="5" t="str">
        <f>HYPERLINK("https://www.zillow.com/homes/415-W-BENTON-AVE-NAPERVILLE-IL-60540_rb/","check listing")</f>
        <v>check listing</v>
      </c>
      <c r="AB4285" s="5" t="str">
        <f>HYPERLINK("https://propertylookup.dupagecounty.gov/Datalets/Datalet.aspx?UseSearch=no&amp;mode=sales&amp;pin=0713407011","sales record")</f>
        <v>sales record</v>
      </c>
      <c r="AC4285" t="s">
        <v>3</v>
      </c>
      <c r="AD4285">
        <v>41.775589</v>
      </c>
      <c r="AE4285">
        <v>-88.155261</v>
      </c>
      <c r="AF4285" s="5" t="str">
        <f>HYPERLINK("https://www.google.com/maps/search/?api=1&amp;query=41.775589,-88.155261","map")</f>
        <v>map</v>
      </c>
    </row>
    <row r="4286" spans="1:32">
      <c r="A4286" t="s">
        <v>4336</v>
      </c>
      <c r="B4286" t="s">
        <v>11869</v>
      </c>
      <c r="C4286" t="s">
        <v>15716</v>
      </c>
      <c r="D4286" t="s">
        <v>16206</v>
      </c>
      <c r="E4286" t="s">
        <v>16218</v>
      </c>
      <c r="F4286" t="s">
        <v>16221</v>
      </c>
      <c r="G4286" t="s">
        <v>16277</v>
      </c>
      <c r="H4286" t="s">
        <v>16277</v>
      </c>
      <c r="I4286" t="s">
        <v>16353</v>
      </c>
      <c r="J4286" t="s">
        <v>16386</v>
      </c>
      <c r="K4286">
        <v>0.202</v>
      </c>
      <c r="L4286">
        <v>8796</v>
      </c>
      <c r="M4286">
        <v>1167</v>
      </c>
      <c r="N4286" t="s">
        <v>16393</v>
      </c>
      <c r="O4286" s="4">
        <v>125323</v>
      </c>
      <c r="P4286" s="4">
        <v>45549</v>
      </c>
      <c r="Q4286" s="4">
        <v>170872</v>
      </c>
      <c r="R4286" s="4">
        <v>512616</v>
      </c>
      <c r="S4286" t="s">
        <v>20588</v>
      </c>
      <c r="T4286" s="6">
        <v>36039</v>
      </c>
      <c r="U4286" s="4">
        <v>163500</v>
      </c>
      <c r="X4286" t="s">
        <v>3</v>
      </c>
      <c r="AA4286" s="5" t="str">
        <f>HYPERLINK("https://www.zillow.com/homes/433-DOUGLAS-AVE-NAPERVILLE-IL-605404413_rb/","check listing")</f>
        <v>check listing</v>
      </c>
      <c r="AB4286" s="5" t="str">
        <f>HYPERLINK("https://propertylookup.dupagecounty.gov/Datalets/Datalet.aspx?UseSearch=no&amp;mode=sales&amp;pin=0713222007","sales record")</f>
        <v>sales record</v>
      </c>
      <c r="AC4286" t="s">
        <v>27873</v>
      </c>
      <c r="AD4286">
        <v>41.77766</v>
      </c>
      <c r="AE4286">
        <v>-88.155558</v>
      </c>
      <c r="AF4286" s="5" t="str">
        <f>HYPERLINK("https://www.google.com/maps/search/?api=1&amp;query=41.77766,-88.155558","map")</f>
        <v>map</v>
      </c>
    </row>
    <row r="4287" spans="1:32">
      <c r="A4287" t="s">
        <v>4337</v>
      </c>
      <c r="B4287" t="s">
        <v>11870</v>
      </c>
      <c r="C4287" t="s">
        <v>15475</v>
      </c>
      <c r="D4287" t="s">
        <v>16206</v>
      </c>
      <c r="E4287" t="s">
        <v>16218</v>
      </c>
      <c r="F4287" t="s">
        <v>16221</v>
      </c>
      <c r="G4287" t="s">
        <v>16277</v>
      </c>
      <c r="H4287" t="s">
        <v>16277</v>
      </c>
      <c r="I4287" t="s">
        <v>16353</v>
      </c>
      <c r="J4287" t="s">
        <v>16386</v>
      </c>
      <c r="K4287">
        <v>0.202</v>
      </c>
      <c r="L4287">
        <v>8795</v>
      </c>
      <c r="M4287">
        <v>2664</v>
      </c>
      <c r="N4287" t="s">
        <v>16393</v>
      </c>
      <c r="O4287" s="4">
        <v>137967</v>
      </c>
      <c r="P4287" s="4">
        <v>524054</v>
      </c>
      <c r="Q4287" s="4">
        <v>662021</v>
      </c>
      <c r="R4287" s="4">
        <v>1986063</v>
      </c>
      <c r="S4287" t="s">
        <v>20589</v>
      </c>
      <c r="T4287" s="6">
        <v>42339</v>
      </c>
      <c r="U4287" s="4">
        <v>350000</v>
      </c>
      <c r="V4287" t="s">
        <v>23739</v>
      </c>
      <c r="W4287" t="s">
        <v>26003</v>
      </c>
      <c r="X4287" t="s">
        <v>3</v>
      </c>
      <c r="AA4287" s="5" t="str">
        <f>HYPERLINK("https://www.zillow.com/homes/439-W-BENTON-AVE-NAPERVILLE-IL-60540_rb/","check listing")</f>
        <v>check listing</v>
      </c>
      <c r="AB4287" s="5" t="str">
        <f>HYPERLINK("https://propertylookup.dupagecounty.gov/Datalets/Datalet.aspx?UseSearch=no&amp;mode=sales&amp;pin=0713407007","sales record")</f>
        <v>sales record</v>
      </c>
      <c r="AC4287" t="s">
        <v>27873</v>
      </c>
      <c r="AD4287">
        <v>41.775609</v>
      </c>
      <c r="AE4287">
        <v>-88.15598799999999</v>
      </c>
      <c r="AF4287" s="5" t="str">
        <f>HYPERLINK("https://www.google.com/maps/search/?api=1&amp;query=41.775609,-88.155988","map")</f>
        <v>map</v>
      </c>
    </row>
    <row r="4288" spans="1:32">
      <c r="A4288" t="s">
        <v>4338</v>
      </c>
      <c r="B4288" t="s">
        <v>11871</v>
      </c>
      <c r="C4288" t="s">
        <v>15475</v>
      </c>
      <c r="D4288" t="s">
        <v>16206</v>
      </c>
      <c r="E4288" t="s">
        <v>16218</v>
      </c>
      <c r="F4288" t="s">
        <v>16221</v>
      </c>
      <c r="G4288" t="s">
        <v>16277</v>
      </c>
      <c r="H4288" t="s">
        <v>16277</v>
      </c>
      <c r="I4288" t="s">
        <v>16353</v>
      </c>
      <c r="J4288" t="s">
        <v>16386</v>
      </c>
      <c r="K4288">
        <v>0.202</v>
      </c>
      <c r="L4288">
        <v>8795</v>
      </c>
      <c r="M4288">
        <v>2390</v>
      </c>
      <c r="N4288" t="s">
        <v>16393</v>
      </c>
      <c r="O4288" s="4">
        <v>144863</v>
      </c>
      <c r="P4288" s="4">
        <v>31685</v>
      </c>
      <c r="Q4288" s="4">
        <v>176548</v>
      </c>
      <c r="R4288" s="4">
        <v>529644</v>
      </c>
      <c r="S4288" t="s">
        <v>20590</v>
      </c>
      <c r="T4288" s="6">
        <v>36281</v>
      </c>
      <c r="U4288" s="4">
        <v>162500</v>
      </c>
      <c r="X4288" t="s">
        <v>3</v>
      </c>
      <c r="AA4288" s="5" t="str">
        <f>HYPERLINK("https://www.zillow.com/homes/432-W-FRANKLIN-AVE-NAPERVILLE-IL-60540_rb/","check listing")</f>
        <v>check listing</v>
      </c>
      <c r="AB4288" s="5" t="str">
        <f>HYPERLINK("https://propertylookup.dupagecounty.gov/Datalets/Datalet.aspx?UseSearch=no&amp;mode=sales&amp;pin=0713407002","sales record")</f>
        <v>sales record</v>
      </c>
      <c r="AC4288" t="s">
        <v>3</v>
      </c>
      <c r="AD4288">
        <v>41.775967</v>
      </c>
      <c r="AE4288">
        <v>-88.155727</v>
      </c>
      <c r="AF4288" s="5" t="str">
        <f>HYPERLINK("https://www.google.com/maps/search/?api=1&amp;query=41.775967,-88.155727","map")</f>
        <v>map</v>
      </c>
    </row>
    <row r="4289" spans="1:32">
      <c r="A4289" t="s">
        <v>4339</v>
      </c>
      <c r="B4289" t="s">
        <v>11872</v>
      </c>
      <c r="C4289" t="s">
        <v>15717</v>
      </c>
      <c r="D4289" t="s">
        <v>16206</v>
      </c>
      <c r="E4289" t="s">
        <v>16218</v>
      </c>
      <c r="F4289" t="s">
        <v>16221</v>
      </c>
      <c r="G4289" t="s">
        <v>16277</v>
      </c>
      <c r="H4289" t="s">
        <v>16277</v>
      </c>
      <c r="I4289" t="s">
        <v>16353</v>
      </c>
      <c r="J4289" t="s">
        <v>16386</v>
      </c>
      <c r="K4289">
        <v>0.202</v>
      </c>
      <c r="L4289">
        <v>8795</v>
      </c>
      <c r="M4289">
        <v>2407</v>
      </c>
      <c r="N4289" t="s">
        <v>16393</v>
      </c>
      <c r="O4289" s="4">
        <v>130376</v>
      </c>
      <c r="P4289" s="4">
        <v>64602</v>
      </c>
      <c r="Q4289" s="4">
        <v>194978</v>
      </c>
      <c r="R4289" s="4">
        <v>584934</v>
      </c>
      <c r="S4289" t="s">
        <v>20591</v>
      </c>
      <c r="T4289" s="6">
        <v>44378</v>
      </c>
      <c r="U4289" s="4">
        <v>675000</v>
      </c>
      <c r="V4289" t="s">
        <v>23739</v>
      </c>
      <c r="W4289" t="s">
        <v>26004</v>
      </c>
      <c r="X4289" t="s">
        <v>3</v>
      </c>
      <c r="AA4289" s="5" t="str">
        <f>HYPERLINK("https://www.zillow.com/homes/19-N-MILL-ST-NAPERVILLE-IL-605404433_rb/","check listing")</f>
        <v>check listing</v>
      </c>
      <c r="AB4289" s="5" t="str">
        <f>HYPERLINK("https://propertylookup.dupagecounty.gov/Datalets/Datalet.aspx?UseSearch=no&amp;mode=sales&amp;pin=0713407006","sales record")</f>
        <v>sales record</v>
      </c>
      <c r="AC4289" t="s">
        <v>3</v>
      </c>
      <c r="AD4289">
        <v>41.775853</v>
      </c>
      <c r="AE4289">
        <v>-88.154883</v>
      </c>
      <c r="AF4289" s="5" t="str">
        <f>HYPERLINK("https://www.google.com/maps/search/?api=1&amp;query=41.775853,-88.154883","map")</f>
        <v>map</v>
      </c>
    </row>
    <row r="4290" spans="1:32">
      <c r="A4290" t="s">
        <v>4340</v>
      </c>
      <c r="B4290" t="s">
        <v>11873</v>
      </c>
      <c r="C4290" t="s">
        <v>15475</v>
      </c>
      <c r="D4290" t="s">
        <v>16206</v>
      </c>
      <c r="E4290" t="s">
        <v>16218</v>
      </c>
      <c r="F4290" t="s">
        <v>16221</v>
      </c>
      <c r="G4290" t="s">
        <v>16277</v>
      </c>
      <c r="H4290" t="s">
        <v>16277</v>
      </c>
      <c r="I4290" t="s">
        <v>16353</v>
      </c>
      <c r="J4290" t="s">
        <v>16386</v>
      </c>
      <c r="K4290">
        <v>0.202</v>
      </c>
      <c r="L4290">
        <v>8795</v>
      </c>
      <c r="M4290">
        <v>3387</v>
      </c>
      <c r="N4290" t="s">
        <v>16393</v>
      </c>
      <c r="O4290" s="4">
        <v>137967</v>
      </c>
      <c r="P4290" s="4">
        <v>384707</v>
      </c>
      <c r="Q4290" s="4">
        <v>522674</v>
      </c>
      <c r="R4290" s="4">
        <v>1568022</v>
      </c>
      <c r="S4290" t="s">
        <v>20592</v>
      </c>
      <c r="T4290" s="6">
        <v>39845</v>
      </c>
      <c r="U4290" s="4">
        <v>1005000</v>
      </c>
      <c r="V4290" t="s">
        <v>23739</v>
      </c>
      <c r="W4290" t="s">
        <v>26005</v>
      </c>
      <c r="X4290" t="s">
        <v>3</v>
      </c>
      <c r="AA4290" s="5" t="str">
        <f>HYPERLINK("https://www.zillow.com/homes/418-W-FRANKLIN-AVE-NAPERVILLE-IL-60540_rb/","check listing")</f>
        <v>check listing</v>
      </c>
      <c r="AB4290" s="5" t="str">
        <f>HYPERLINK("https://propertylookup.dupagecounty.gov/Datalets/Datalet.aspx?UseSearch=no&amp;mode=sales&amp;pin=0713407004","sales record")</f>
        <v>sales record</v>
      </c>
      <c r="AC4290" t="s">
        <v>3</v>
      </c>
      <c r="AD4290">
        <v>41.776041</v>
      </c>
      <c r="AE4290">
        <v>-88.155238</v>
      </c>
      <c r="AF4290" s="5" t="str">
        <f>HYPERLINK("https://www.google.com/maps/search/?api=1&amp;query=41.776041,-88.155238","map")</f>
        <v>map</v>
      </c>
    </row>
    <row r="4291" spans="1:32">
      <c r="A4291" t="s">
        <v>4341</v>
      </c>
      <c r="B4291" t="s">
        <v>11874</v>
      </c>
      <c r="C4291" t="s">
        <v>15687</v>
      </c>
      <c r="D4291" t="s">
        <v>16206</v>
      </c>
      <c r="E4291" t="s">
        <v>16218</v>
      </c>
      <c r="F4291" t="s">
        <v>16221</v>
      </c>
      <c r="G4291" t="s">
        <v>16277</v>
      </c>
      <c r="H4291" t="s">
        <v>16277</v>
      </c>
      <c r="I4291" t="s">
        <v>16353</v>
      </c>
      <c r="J4291" t="s">
        <v>16386</v>
      </c>
      <c r="K4291">
        <v>0.202</v>
      </c>
      <c r="L4291">
        <v>8793</v>
      </c>
      <c r="M4291">
        <v>1781</v>
      </c>
      <c r="N4291" t="s">
        <v>16393</v>
      </c>
      <c r="O4291" s="4">
        <v>130376</v>
      </c>
      <c r="P4291" s="4">
        <v>52457</v>
      </c>
      <c r="Q4291" s="4">
        <v>182833</v>
      </c>
      <c r="R4291" s="4">
        <v>548499</v>
      </c>
      <c r="S4291" t="s">
        <v>20593</v>
      </c>
      <c r="T4291" s="6">
        <v>44166</v>
      </c>
      <c r="U4291" s="4">
        <v>368500</v>
      </c>
      <c r="V4291" t="s">
        <v>23739</v>
      </c>
      <c r="W4291" t="s">
        <v>26006</v>
      </c>
      <c r="X4291" t="s">
        <v>3</v>
      </c>
      <c r="AA4291" s="5" t="str">
        <f>HYPERLINK("https://www.zillow.com/homes/405-W-BENTON-AVE-NAPERVILLE-IL-605404405_rb/","check listing")</f>
        <v>check listing</v>
      </c>
      <c r="AB4291" s="5" t="str">
        <f>HYPERLINK("https://propertylookup.dupagecounty.gov/Datalets/Datalet.aspx?UseSearch=no&amp;mode=sales&amp;pin=0713407013","sales record")</f>
        <v>sales record</v>
      </c>
      <c r="AC4291" t="s">
        <v>3</v>
      </c>
      <c r="AD4291">
        <v>41.775576</v>
      </c>
      <c r="AE4291">
        <v>-88.154775</v>
      </c>
      <c r="AF4291" s="5" t="str">
        <f>HYPERLINK("https://www.google.com/maps/search/?api=1&amp;query=41.775576,-88.154775","map")</f>
        <v>map</v>
      </c>
    </row>
    <row r="4292" spans="1:32">
      <c r="A4292" t="s">
        <v>4342</v>
      </c>
      <c r="B4292" t="s">
        <v>11875</v>
      </c>
      <c r="C4292" t="s">
        <v>15475</v>
      </c>
      <c r="D4292" t="s">
        <v>16206</v>
      </c>
      <c r="E4292" t="s">
        <v>16218</v>
      </c>
      <c r="F4292" t="s">
        <v>16221</v>
      </c>
      <c r="G4292" t="s">
        <v>16277</v>
      </c>
      <c r="H4292" t="s">
        <v>16277</v>
      </c>
      <c r="I4292" t="s">
        <v>16353</v>
      </c>
      <c r="J4292" t="s">
        <v>16386</v>
      </c>
      <c r="K4292">
        <v>0.202</v>
      </c>
      <c r="L4292">
        <v>8793</v>
      </c>
      <c r="M4292">
        <v>3480</v>
      </c>
      <c r="N4292" t="s">
        <v>16393</v>
      </c>
      <c r="O4292" s="4">
        <v>137967</v>
      </c>
      <c r="P4292" s="4">
        <v>407373</v>
      </c>
      <c r="Q4292" s="4">
        <v>545340</v>
      </c>
      <c r="R4292" s="4">
        <v>1636020</v>
      </c>
      <c r="S4292" t="s">
        <v>20594</v>
      </c>
      <c r="T4292" s="6">
        <v>39022</v>
      </c>
      <c r="U4292" s="4">
        <v>1394106</v>
      </c>
      <c r="V4292" t="s">
        <v>23740</v>
      </c>
      <c r="W4292" t="s">
        <v>26007</v>
      </c>
      <c r="X4292" t="s">
        <v>3</v>
      </c>
      <c r="AA4292" s="5" t="str">
        <f>HYPERLINK("https://www.zillow.com/homes/411-W-BENTON-AVE-NAPERVILLE-IL-60540_rb/","check listing")</f>
        <v>check listing</v>
      </c>
      <c r="AB4292" s="5" t="str">
        <f>HYPERLINK("https://propertylookup.dupagecounty.gov/Datalets/Datalet.aspx?UseSearch=no&amp;mode=sales&amp;pin=0713407012","sales record")</f>
        <v>sales record</v>
      </c>
      <c r="AC4292" t="s">
        <v>3</v>
      </c>
      <c r="AD4292">
        <v>41.775583</v>
      </c>
      <c r="AE4292">
        <v>-88.155018</v>
      </c>
      <c r="AF4292" s="5" t="str">
        <f>HYPERLINK("https://www.google.com/maps/search/?api=1&amp;query=41.775583,-88.155018","map")</f>
        <v>map</v>
      </c>
    </row>
    <row r="4293" spans="1:32">
      <c r="A4293" t="s">
        <v>4343</v>
      </c>
      <c r="B4293" t="s">
        <v>11876</v>
      </c>
      <c r="C4293" t="s">
        <v>15478</v>
      </c>
      <c r="D4293" t="s">
        <v>16206</v>
      </c>
      <c r="E4293" t="s">
        <v>16218</v>
      </c>
      <c r="F4293" t="s">
        <v>16221</v>
      </c>
      <c r="G4293" t="s">
        <v>16277</v>
      </c>
      <c r="H4293" t="s">
        <v>16277</v>
      </c>
      <c r="I4293" t="s">
        <v>16353</v>
      </c>
      <c r="J4293" t="s">
        <v>16386</v>
      </c>
      <c r="K4293">
        <v>0.202</v>
      </c>
      <c r="L4293">
        <v>8792</v>
      </c>
      <c r="M4293">
        <v>2507</v>
      </c>
      <c r="N4293" t="s">
        <v>16393</v>
      </c>
      <c r="O4293" s="4">
        <v>124175</v>
      </c>
      <c r="P4293" s="4">
        <v>285528</v>
      </c>
      <c r="Q4293" s="4">
        <v>409703</v>
      </c>
      <c r="R4293" s="4">
        <v>1229109</v>
      </c>
      <c r="S4293" t="s">
        <v>20595</v>
      </c>
      <c r="X4293" t="s">
        <v>3</v>
      </c>
      <c r="AA4293" s="5" t="str">
        <f>HYPERLINK("https://www.zillow.com/homes/404-W-FRANKLIN-AVE-NAPERVILLE-IL-60563_rb/","check listing")</f>
        <v>check listing</v>
      </c>
      <c r="AB4293" s="5" t="str">
        <f>HYPERLINK("https://propertylookup.dupagecounty.gov/Datalets/Datalet.aspx?UseSearch=no&amp;mode=sales&amp;pin=0713407016","sales record")</f>
        <v>sales record</v>
      </c>
      <c r="AC4293" t="s">
        <v>3</v>
      </c>
      <c r="AD4293">
        <v>41.776035</v>
      </c>
      <c r="AE4293">
        <v>-88.15487400000001</v>
      </c>
      <c r="AF4293" s="5" t="str">
        <f>HYPERLINK("https://www.google.com/maps/search/?api=1&amp;query=41.776035,-88.154874","map")</f>
        <v>map</v>
      </c>
    </row>
    <row r="4294" spans="1:32">
      <c r="A4294" t="s">
        <v>4344</v>
      </c>
      <c r="B4294" t="s">
        <v>11877</v>
      </c>
      <c r="C4294" t="s">
        <v>15718</v>
      </c>
      <c r="D4294" t="s">
        <v>16206</v>
      </c>
      <c r="E4294" t="s">
        <v>16218</v>
      </c>
      <c r="F4294" t="s">
        <v>16221</v>
      </c>
      <c r="G4294" t="s">
        <v>16277</v>
      </c>
      <c r="H4294" t="s">
        <v>16277</v>
      </c>
      <c r="I4294" t="s">
        <v>16353</v>
      </c>
      <c r="J4294" t="s">
        <v>16386</v>
      </c>
      <c r="K4294">
        <v>0.202</v>
      </c>
      <c r="L4294">
        <v>8792</v>
      </c>
      <c r="M4294">
        <v>3722</v>
      </c>
      <c r="N4294" t="s">
        <v>16393</v>
      </c>
      <c r="O4294" s="4">
        <v>137967</v>
      </c>
      <c r="P4294" s="4">
        <v>329271</v>
      </c>
      <c r="Q4294" s="4">
        <v>467238</v>
      </c>
      <c r="R4294" s="4">
        <v>1401714</v>
      </c>
      <c r="S4294" t="s">
        <v>20596</v>
      </c>
      <c r="T4294" s="6">
        <v>45784</v>
      </c>
      <c r="U4294" s="4">
        <v>1750000</v>
      </c>
      <c r="V4294" t="s">
        <v>23741</v>
      </c>
      <c r="W4294" t="s">
        <v>26008</v>
      </c>
      <c r="X4294" t="s">
        <v>3</v>
      </c>
      <c r="AA4294" s="5" t="str">
        <f>HYPERLINK("https://www.zillow.com/homes/440-W-FRANKLIN-AVE-NAPERVILLE-IL-605404459_rb/","check listing")</f>
        <v>check listing</v>
      </c>
      <c r="AB4294" s="5" t="str">
        <f>HYPERLINK("https://propertylookup.dupagecounty.gov/Datalets/Datalet.aspx?UseSearch=no&amp;mode=sales&amp;pin=0713407001","sales record")</f>
        <v>sales record</v>
      </c>
      <c r="AC4294" t="s">
        <v>3</v>
      </c>
      <c r="AD4294">
        <v>41.775973</v>
      </c>
      <c r="AE4294">
        <v>-88.15597</v>
      </c>
      <c r="AF4294" s="5" t="str">
        <f>HYPERLINK("https://www.google.com/maps/search/?api=1&amp;query=41.775973,-88.15597","map")</f>
        <v>map</v>
      </c>
    </row>
    <row r="4295" spans="1:32">
      <c r="A4295" t="s">
        <v>4345</v>
      </c>
      <c r="B4295" t="s">
        <v>11878</v>
      </c>
      <c r="C4295" t="s">
        <v>15718</v>
      </c>
      <c r="D4295" t="s">
        <v>16206</v>
      </c>
      <c r="E4295" t="s">
        <v>16218</v>
      </c>
      <c r="F4295" t="s">
        <v>16221</v>
      </c>
      <c r="G4295" t="s">
        <v>16277</v>
      </c>
      <c r="H4295" t="s">
        <v>16277</v>
      </c>
      <c r="I4295" t="s">
        <v>16353</v>
      </c>
      <c r="J4295" t="s">
        <v>16386</v>
      </c>
      <c r="K4295">
        <v>0.202</v>
      </c>
      <c r="L4295">
        <v>8792</v>
      </c>
      <c r="N4295" t="s">
        <v>16393</v>
      </c>
      <c r="O4295" s="4">
        <v>137967</v>
      </c>
      <c r="P4295" s="4">
        <v>296366</v>
      </c>
      <c r="Q4295" s="4">
        <v>434333</v>
      </c>
      <c r="R4295" s="4">
        <v>1302999</v>
      </c>
      <c r="S4295" t="s">
        <v>20597</v>
      </c>
      <c r="T4295" s="6">
        <v>45467</v>
      </c>
      <c r="U4295" s="4">
        <v>1700000</v>
      </c>
      <c r="V4295" t="s">
        <v>23741</v>
      </c>
      <c r="W4295" t="s">
        <v>26009</v>
      </c>
      <c r="X4295" t="s">
        <v>3</v>
      </c>
      <c r="AA4295" s="5" t="str">
        <f>HYPERLINK("https://www.zillow.com/homes/426-W-FRANKLIN-AVE-NAPERVILLE-IL-605404459_rb/","check listing")</f>
        <v>check listing</v>
      </c>
      <c r="AB4295" s="5" t="str">
        <f>HYPERLINK("https://propertylookup.dupagecounty.gov/Datalets/Datalet.aspx?UseSearch=no&amp;mode=sales&amp;pin=0713407003","sales record")</f>
        <v>sales record</v>
      </c>
      <c r="AC4295" t="s">
        <v>3</v>
      </c>
      <c r="AD4295">
        <v>41.77596</v>
      </c>
      <c r="AE4295">
        <v>-88.155485</v>
      </c>
      <c r="AF4295" s="5" t="str">
        <f>HYPERLINK("https://www.google.com/maps/search/?api=1&amp;query=41.77596,-88.155485","map")</f>
        <v>map</v>
      </c>
    </row>
    <row r="4296" spans="1:32">
      <c r="A4296" t="s">
        <v>4346</v>
      </c>
      <c r="B4296" t="s">
        <v>11879</v>
      </c>
      <c r="C4296" t="s">
        <v>15475</v>
      </c>
      <c r="D4296" t="s">
        <v>16206</v>
      </c>
      <c r="E4296" t="s">
        <v>16218</v>
      </c>
      <c r="F4296" t="s">
        <v>16221</v>
      </c>
      <c r="G4296" t="s">
        <v>16277</v>
      </c>
      <c r="H4296" t="s">
        <v>16277</v>
      </c>
      <c r="I4296" t="s">
        <v>16353</v>
      </c>
      <c r="J4296" t="s">
        <v>16386</v>
      </c>
      <c r="K4296">
        <v>0.201</v>
      </c>
      <c r="L4296">
        <v>8773</v>
      </c>
      <c r="M4296">
        <v>2935</v>
      </c>
      <c r="N4296" t="s">
        <v>16393</v>
      </c>
      <c r="O4296" s="4">
        <v>130376</v>
      </c>
      <c r="P4296" s="4">
        <v>95090</v>
      </c>
      <c r="Q4296" s="4">
        <v>225466</v>
      </c>
      <c r="R4296" s="4">
        <v>676398</v>
      </c>
      <c r="S4296" t="s">
        <v>20598</v>
      </c>
      <c r="T4296" s="6">
        <v>32021</v>
      </c>
      <c r="U4296" s="4">
        <v>138000</v>
      </c>
      <c r="X4296" t="s">
        <v>3</v>
      </c>
      <c r="AA4296" s="5" t="str">
        <f>HYPERLINK("https://www.zillow.com/homes/339-W-BENTON-AVE-NAPERVILLE-IL-60540_rb/","check listing")</f>
        <v>check listing</v>
      </c>
      <c r="AB4296" s="5" t="str">
        <f>HYPERLINK("https://propertylookup.dupagecounty.gov/Datalets/Datalet.aspx?UseSearch=no&amp;mode=sales&amp;pin=0713408008","sales record")</f>
        <v>sales record</v>
      </c>
      <c r="AC4296" t="s">
        <v>3</v>
      </c>
      <c r="AD4296">
        <v>41.775563</v>
      </c>
      <c r="AE4296">
        <v>-88.154291</v>
      </c>
      <c r="AF4296" s="5" t="str">
        <f>HYPERLINK("https://www.google.com/maps/search/?api=1&amp;query=41.775563,-88.154291","map")</f>
        <v>map</v>
      </c>
    </row>
    <row r="4297" spans="1:32">
      <c r="A4297" t="s">
        <v>4347</v>
      </c>
      <c r="B4297" t="s">
        <v>11880</v>
      </c>
      <c r="C4297" t="s">
        <v>15475</v>
      </c>
      <c r="D4297" t="s">
        <v>16206</v>
      </c>
      <c r="E4297" t="s">
        <v>16218</v>
      </c>
      <c r="F4297" t="s">
        <v>16221</v>
      </c>
      <c r="G4297" t="s">
        <v>16277</v>
      </c>
      <c r="H4297" t="s">
        <v>16277</v>
      </c>
      <c r="I4297" t="s">
        <v>16353</v>
      </c>
      <c r="J4297" t="s">
        <v>16386</v>
      </c>
      <c r="K4297">
        <v>0.201</v>
      </c>
      <c r="L4297">
        <v>8772</v>
      </c>
      <c r="M4297">
        <v>1979</v>
      </c>
      <c r="N4297" t="s">
        <v>16393</v>
      </c>
      <c r="O4297" s="4">
        <v>137626</v>
      </c>
      <c r="P4297" s="4">
        <v>63638</v>
      </c>
      <c r="Q4297" s="4">
        <v>201264</v>
      </c>
      <c r="R4297" s="4">
        <v>603792</v>
      </c>
      <c r="S4297" t="s">
        <v>20599</v>
      </c>
      <c r="T4297" s="6">
        <v>35947</v>
      </c>
      <c r="U4297" s="4">
        <v>185500</v>
      </c>
      <c r="X4297" t="s">
        <v>3</v>
      </c>
      <c r="AA4297" s="5" t="str">
        <f>HYPERLINK("https://www.zillow.com/homes/325-W-BENTON-AVE-NAPERVILLE-IL-60540_rb/","check listing")</f>
        <v>check listing</v>
      </c>
      <c r="AB4297" s="5" t="str">
        <f>HYPERLINK("https://propertylookup.dupagecounty.gov/Datalets/Datalet.aspx?UseSearch=no&amp;mode=sales&amp;pin=0713408010","sales record")</f>
        <v>sales record</v>
      </c>
      <c r="AC4297" t="s">
        <v>27873</v>
      </c>
      <c r="AD4297">
        <v>41.77555</v>
      </c>
      <c r="AE4297">
        <v>-88.153807</v>
      </c>
      <c r="AF4297" s="5" t="str">
        <f>HYPERLINK("https://www.google.com/maps/search/?api=1&amp;query=41.77555,-88.153807","map")</f>
        <v>map</v>
      </c>
    </row>
    <row r="4298" spans="1:32">
      <c r="A4298" t="s">
        <v>4348</v>
      </c>
      <c r="B4298" t="s">
        <v>11881</v>
      </c>
      <c r="C4298" t="s">
        <v>15475</v>
      </c>
      <c r="D4298" t="s">
        <v>16206</v>
      </c>
      <c r="E4298" t="s">
        <v>16218</v>
      </c>
      <c r="F4298" t="s">
        <v>16221</v>
      </c>
      <c r="G4298" t="s">
        <v>16277</v>
      </c>
      <c r="H4298" t="s">
        <v>16277</v>
      </c>
      <c r="I4298" t="s">
        <v>16353</v>
      </c>
      <c r="J4298" t="s">
        <v>16386</v>
      </c>
      <c r="K4298">
        <v>0.201</v>
      </c>
      <c r="L4298">
        <v>8771</v>
      </c>
      <c r="M4298">
        <v>1978</v>
      </c>
      <c r="N4298" t="s">
        <v>16393</v>
      </c>
      <c r="O4298" s="4">
        <v>144863</v>
      </c>
      <c r="P4298" s="4">
        <v>71095</v>
      </c>
      <c r="Q4298" s="4">
        <v>215958</v>
      </c>
      <c r="R4298" s="4">
        <v>647874</v>
      </c>
      <c r="S4298" t="s">
        <v>20600</v>
      </c>
      <c r="X4298" t="s">
        <v>3</v>
      </c>
      <c r="AA4298" s="5" t="str">
        <f>HYPERLINK("https://www.zillow.com/homes/328-W-FRANKLIN-AVE-NAPERVILLE-IL-60540_rb/","check listing")</f>
        <v>check listing</v>
      </c>
      <c r="AB4298" s="5" t="str">
        <f>HYPERLINK("https://propertylookup.dupagecounty.gov/Datalets/Datalet.aspx?UseSearch=no&amp;mode=sales&amp;pin=0713408004","sales record")</f>
        <v>sales record</v>
      </c>
      <c r="AC4298" t="s">
        <v>3</v>
      </c>
      <c r="AD4298">
        <v>41.775914</v>
      </c>
      <c r="AE4298">
        <v>-88.153789</v>
      </c>
      <c r="AF4298" s="5" t="str">
        <f>HYPERLINK("https://www.google.com/maps/search/?api=1&amp;query=41.775914,-88.153789","map")</f>
        <v>map</v>
      </c>
    </row>
    <row r="4299" spans="1:32">
      <c r="A4299" t="s">
        <v>4349</v>
      </c>
      <c r="B4299" t="s">
        <v>11882</v>
      </c>
      <c r="C4299" t="s">
        <v>15475</v>
      </c>
      <c r="D4299" t="s">
        <v>16206</v>
      </c>
      <c r="E4299" t="s">
        <v>16218</v>
      </c>
      <c r="F4299" t="s">
        <v>16221</v>
      </c>
      <c r="G4299" t="s">
        <v>16277</v>
      </c>
      <c r="H4299" t="s">
        <v>16277</v>
      </c>
      <c r="I4299" t="s">
        <v>16353</v>
      </c>
      <c r="J4299" t="s">
        <v>16386</v>
      </c>
      <c r="K4299">
        <v>0.201</v>
      </c>
      <c r="L4299">
        <v>8770</v>
      </c>
      <c r="M4299">
        <v>3560</v>
      </c>
      <c r="N4299" t="s">
        <v>16393</v>
      </c>
      <c r="O4299" s="4">
        <v>137967</v>
      </c>
      <c r="P4299" s="4">
        <v>375138</v>
      </c>
      <c r="Q4299" s="4">
        <v>513105</v>
      </c>
      <c r="R4299" s="4">
        <v>1539315</v>
      </c>
      <c r="S4299" t="s">
        <v>20601</v>
      </c>
      <c r="T4299" s="6">
        <v>42036</v>
      </c>
      <c r="U4299" s="4">
        <v>1300000</v>
      </c>
      <c r="V4299" t="s">
        <v>23739</v>
      </c>
      <c r="W4299" t="s">
        <v>20601</v>
      </c>
      <c r="X4299" t="s">
        <v>3</v>
      </c>
      <c r="AA4299" s="5" t="str">
        <f>HYPERLINK("https://www.zillow.com/homes/320-W-FRANKLIN-AVE-NAPERVILLE-IL-60540_rb/","check listing")</f>
        <v>check listing</v>
      </c>
      <c r="AB4299" s="5" t="str">
        <f>HYPERLINK("https://propertylookup.dupagecounty.gov/Datalets/Datalet.aspx?UseSearch=no&amp;mode=sales&amp;pin=0713408005","sales record")</f>
        <v>sales record</v>
      </c>
      <c r="AC4299" t="s">
        <v>3</v>
      </c>
      <c r="AD4299">
        <v>41.775908</v>
      </c>
      <c r="AE4299">
        <v>-88.153547</v>
      </c>
      <c r="AF4299" s="5" t="str">
        <f>HYPERLINK("https://www.google.com/maps/search/?api=1&amp;query=41.775908,-88.153547","map")</f>
        <v>map</v>
      </c>
    </row>
    <row r="4300" spans="1:32">
      <c r="A4300" t="s">
        <v>4350</v>
      </c>
      <c r="B4300" t="s">
        <v>11883</v>
      </c>
      <c r="C4300" t="s">
        <v>15719</v>
      </c>
      <c r="D4300" t="s">
        <v>16206</v>
      </c>
      <c r="E4300" t="s">
        <v>16218</v>
      </c>
      <c r="F4300" t="s">
        <v>16221</v>
      </c>
      <c r="G4300" t="s">
        <v>16277</v>
      </c>
      <c r="H4300" t="s">
        <v>16277</v>
      </c>
      <c r="I4300" t="s">
        <v>16353</v>
      </c>
      <c r="J4300" t="s">
        <v>16386</v>
      </c>
      <c r="K4300">
        <v>0.201</v>
      </c>
      <c r="L4300">
        <v>8770</v>
      </c>
      <c r="M4300">
        <v>1451</v>
      </c>
      <c r="N4300" t="s">
        <v>16393</v>
      </c>
      <c r="O4300" s="4">
        <v>144863</v>
      </c>
      <c r="P4300" s="4">
        <v>55679</v>
      </c>
      <c r="Q4300" s="4">
        <v>200542</v>
      </c>
      <c r="R4300" s="4">
        <v>601626</v>
      </c>
      <c r="S4300" t="s">
        <v>20602</v>
      </c>
      <c r="T4300" s="6">
        <v>30987</v>
      </c>
      <c r="U4300" s="4">
        <v>87000</v>
      </c>
      <c r="X4300" t="s">
        <v>3</v>
      </c>
      <c r="AA4300" s="5" t="str">
        <f>HYPERLINK("https://www.zillow.com/homes/25-N-EAGLE-ST-NAPERVILLE-IL-605404416_rb/","check listing")</f>
        <v>check listing</v>
      </c>
      <c r="AB4300" s="5" t="str">
        <f>HYPERLINK("https://propertylookup.dupagecounty.gov/Datalets/Datalet.aspx?UseSearch=no&amp;mode=sales&amp;pin=0713408007","sales record")</f>
        <v>sales record</v>
      </c>
      <c r="AC4300" t="s">
        <v>3</v>
      </c>
      <c r="AD4300">
        <v>41.775894</v>
      </c>
      <c r="AE4300">
        <v>-88.153063</v>
      </c>
      <c r="AF4300" s="5" t="str">
        <f>HYPERLINK("https://www.google.com/maps/search/?api=1&amp;query=41.775894,-88.153063","map")</f>
        <v>map</v>
      </c>
    </row>
    <row r="4301" spans="1:32">
      <c r="A4301" t="s">
        <v>4351</v>
      </c>
      <c r="B4301" t="s">
        <v>11884</v>
      </c>
      <c r="C4301" t="s">
        <v>15475</v>
      </c>
      <c r="D4301" t="s">
        <v>16206</v>
      </c>
      <c r="E4301" t="s">
        <v>16218</v>
      </c>
      <c r="F4301" t="s">
        <v>16221</v>
      </c>
      <c r="G4301" t="s">
        <v>16277</v>
      </c>
      <c r="H4301" t="s">
        <v>16277</v>
      </c>
      <c r="I4301" t="s">
        <v>16353</v>
      </c>
      <c r="J4301" t="s">
        <v>16386</v>
      </c>
      <c r="K4301">
        <v>0.201</v>
      </c>
      <c r="L4301">
        <v>8762</v>
      </c>
      <c r="M4301">
        <v>4266</v>
      </c>
      <c r="N4301" t="s">
        <v>16393</v>
      </c>
      <c r="O4301" s="4">
        <v>131767</v>
      </c>
      <c r="P4301" s="4">
        <v>520965</v>
      </c>
      <c r="Q4301" s="4">
        <v>652732</v>
      </c>
      <c r="R4301" s="4">
        <v>1958196</v>
      </c>
      <c r="S4301" t="s">
        <v>20603</v>
      </c>
      <c r="T4301" s="6">
        <v>42339</v>
      </c>
      <c r="U4301" s="4">
        <v>1047500</v>
      </c>
      <c r="V4301" t="s">
        <v>23739</v>
      </c>
      <c r="W4301" t="s">
        <v>26010</v>
      </c>
      <c r="X4301" t="s">
        <v>3</v>
      </c>
      <c r="AA4301" s="5" t="str">
        <f>HYPERLINK("https://www.zillow.com/homes/128-N-WEST-ST-NAPERVILLE-IL-60540_rb/","check listing")</f>
        <v>check listing</v>
      </c>
      <c r="AB4301" s="5" t="str">
        <f>HYPERLINK("https://propertylookup.dupagecounty.gov/Datalets/Datalet.aspx?UseSearch=no&amp;mode=sales&amp;pin=0713221002","sales record")</f>
        <v>sales record</v>
      </c>
      <c r="AC4301" t="s">
        <v>3</v>
      </c>
      <c r="AD4301">
        <v>41.777055</v>
      </c>
      <c r="AE4301">
        <v>-88.15703000000001</v>
      </c>
      <c r="AF4301" s="5" t="str">
        <f>HYPERLINK("https://www.google.com/maps/search/?api=1&amp;query=41.777055,-88.15703","map")</f>
        <v>map</v>
      </c>
    </row>
    <row r="4302" spans="1:32">
      <c r="A4302" t="s">
        <v>4352</v>
      </c>
      <c r="B4302" t="s">
        <v>11885</v>
      </c>
      <c r="C4302" t="s">
        <v>15475</v>
      </c>
      <c r="D4302" t="s">
        <v>16206</v>
      </c>
      <c r="E4302" t="s">
        <v>16218</v>
      </c>
      <c r="F4302" t="s">
        <v>16221</v>
      </c>
      <c r="G4302" t="s">
        <v>16277</v>
      </c>
      <c r="H4302" t="s">
        <v>16277</v>
      </c>
      <c r="I4302" t="s">
        <v>16353</v>
      </c>
      <c r="J4302" t="s">
        <v>16386</v>
      </c>
      <c r="K4302">
        <v>0.201</v>
      </c>
      <c r="L4302">
        <v>8753</v>
      </c>
      <c r="M4302">
        <v>1846</v>
      </c>
      <c r="N4302" t="s">
        <v>16393</v>
      </c>
      <c r="O4302" s="4">
        <v>95870</v>
      </c>
      <c r="P4302" s="4">
        <v>57354</v>
      </c>
      <c r="Q4302" s="4">
        <v>153224</v>
      </c>
      <c r="R4302" s="4">
        <v>459672</v>
      </c>
      <c r="S4302" t="s">
        <v>20604</v>
      </c>
      <c r="T4302" s="6">
        <v>32325</v>
      </c>
      <c r="U4302" s="4">
        <v>150000</v>
      </c>
      <c r="X4302" t="s">
        <v>3</v>
      </c>
      <c r="AA4302" s="5" t="str">
        <f>HYPERLINK("https://www.zillow.com/homes/830-E-SCHOOL-ST-NAPERVILLE-IL-60540_rb/","check listing")</f>
        <v>check listing</v>
      </c>
      <c r="AB4302" s="5" t="str">
        <f>HYPERLINK("https://propertylookup.dupagecounty.gov/Datalets/Datalet.aspx?UseSearch=no&amp;mode=sales&amp;pin=0818401011","sales record")</f>
        <v>sales record</v>
      </c>
      <c r="AC4302" t="s">
        <v>3</v>
      </c>
      <c r="AD4302">
        <v>41.777129</v>
      </c>
      <c r="AE4302">
        <v>-88.13564100000001</v>
      </c>
      <c r="AF4302" s="5" t="str">
        <f>HYPERLINK("https://www.google.com/maps/search/?api=1&amp;query=41.777129,-88.135641","map")</f>
        <v>map</v>
      </c>
    </row>
    <row r="4303" spans="1:32">
      <c r="A4303" t="s">
        <v>4353</v>
      </c>
      <c r="B4303" t="s">
        <v>11886</v>
      </c>
      <c r="C4303" t="s">
        <v>15720</v>
      </c>
      <c r="D4303" t="s">
        <v>16206</v>
      </c>
      <c r="E4303" t="s">
        <v>16218</v>
      </c>
      <c r="F4303" t="s">
        <v>16221</v>
      </c>
      <c r="G4303" t="s">
        <v>16277</v>
      </c>
      <c r="H4303" t="s">
        <v>16277</v>
      </c>
      <c r="I4303" t="s">
        <v>16353</v>
      </c>
      <c r="J4303" t="s">
        <v>16386</v>
      </c>
      <c r="K4303">
        <v>0.201</v>
      </c>
      <c r="L4303">
        <v>8751</v>
      </c>
      <c r="M4303">
        <v>1851</v>
      </c>
      <c r="N4303" t="s">
        <v>16393</v>
      </c>
      <c r="O4303" s="4">
        <v>131664</v>
      </c>
      <c r="P4303" s="4">
        <v>72480</v>
      </c>
      <c r="Q4303" s="4">
        <v>204144</v>
      </c>
      <c r="R4303" s="4">
        <v>612432</v>
      </c>
      <c r="S4303" t="s">
        <v>20605</v>
      </c>
      <c r="T4303" s="6">
        <v>43891</v>
      </c>
      <c r="U4303" s="4">
        <v>425000</v>
      </c>
      <c r="V4303" t="s">
        <v>23739</v>
      </c>
      <c r="W4303" t="s">
        <v>26011</v>
      </c>
      <c r="X4303" t="s">
        <v>3</v>
      </c>
      <c r="AA4303" s="5" t="str">
        <f>HYPERLINK("https://www.zillow.com/homes/225-N-WRIGHT-ST-NAPERVILLE-IL-605404749_rb/","check listing")</f>
        <v>check listing</v>
      </c>
      <c r="AB4303" s="5" t="str">
        <f>HYPERLINK("https://propertylookup.dupagecounty.gov/Datalets/Datalet.aspx?UseSearch=no&amp;mode=sales&amp;pin=0818140006","sales record")</f>
        <v>sales record</v>
      </c>
      <c r="AC4303" t="s">
        <v>3</v>
      </c>
      <c r="AD4303">
        <v>41.778081</v>
      </c>
      <c r="AE4303">
        <v>-88.13972800000001</v>
      </c>
      <c r="AF4303" s="5" t="str">
        <f>HYPERLINK("https://www.google.com/maps/search/?api=1&amp;query=41.778081,-88.139728","map")</f>
        <v>map</v>
      </c>
    </row>
    <row r="4304" spans="1:32">
      <c r="A4304" t="s">
        <v>4354</v>
      </c>
      <c r="B4304" t="s">
        <v>11887</v>
      </c>
      <c r="C4304" t="s">
        <v>15478</v>
      </c>
      <c r="D4304" t="s">
        <v>16206</v>
      </c>
      <c r="E4304" t="s">
        <v>16218</v>
      </c>
      <c r="F4304" t="s">
        <v>16221</v>
      </c>
      <c r="G4304" t="s">
        <v>16277</v>
      </c>
      <c r="H4304" t="s">
        <v>16277</v>
      </c>
      <c r="I4304" t="s">
        <v>16353</v>
      </c>
      <c r="J4304" t="s">
        <v>16386</v>
      </c>
      <c r="K4304">
        <v>0.201</v>
      </c>
      <c r="L4304">
        <v>8743</v>
      </c>
      <c r="M4304">
        <v>3953</v>
      </c>
      <c r="N4304" t="s">
        <v>16393</v>
      </c>
      <c r="O4304" s="4">
        <v>120723</v>
      </c>
      <c r="P4304" s="4">
        <v>337044</v>
      </c>
      <c r="Q4304" s="4">
        <v>457767</v>
      </c>
      <c r="R4304" s="4">
        <v>1373301</v>
      </c>
      <c r="S4304" t="s">
        <v>20606</v>
      </c>
      <c r="T4304" s="6">
        <v>37803</v>
      </c>
      <c r="U4304" s="4">
        <v>260000</v>
      </c>
      <c r="V4304" t="s">
        <v>23739</v>
      </c>
      <c r="W4304" t="s">
        <v>26012</v>
      </c>
      <c r="X4304" t="s">
        <v>3</v>
      </c>
      <c r="AA4304" s="5" t="str">
        <f>HYPERLINK("https://www.zillow.com/homes/706-N-BRAINARD-ST-NAPERVILLE-IL-60563_rb/","check listing")</f>
        <v>check listing</v>
      </c>
      <c r="AB4304" s="5" t="str">
        <f>HYPERLINK("https://propertylookup.dupagecounty.gov/Datalets/Datalet.aspx?UseSearch=no&amp;mode=sales&amp;pin=0818115007","sales record")</f>
        <v>sales record</v>
      </c>
      <c r="AC4304" t="s">
        <v>3</v>
      </c>
      <c r="AD4304">
        <v>41.783112</v>
      </c>
      <c r="AE4304">
        <v>-88.142719</v>
      </c>
      <c r="AF4304" s="5" t="str">
        <f>HYPERLINK("https://www.google.com/maps/search/?api=1&amp;query=41.783112,-88.142719","map")</f>
        <v>map</v>
      </c>
    </row>
    <row r="4305" spans="1:32">
      <c r="A4305" t="s">
        <v>4355</v>
      </c>
      <c r="B4305" t="s">
        <v>11888</v>
      </c>
      <c r="C4305" t="s">
        <v>15632</v>
      </c>
      <c r="D4305" t="s">
        <v>16206</v>
      </c>
      <c r="E4305" t="s">
        <v>16218</v>
      </c>
      <c r="F4305" t="s">
        <v>16221</v>
      </c>
      <c r="G4305" t="s">
        <v>16278</v>
      </c>
      <c r="H4305" t="s">
        <v>16277</v>
      </c>
      <c r="I4305" t="s">
        <v>16353</v>
      </c>
      <c r="J4305" t="s">
        <v>16386</v>
      </c>
      <c r="K4305">
        <v>0.201</v>
      </c>
      <c r="L4305">
        <v>8738</v>
      </c>
      <c r="N4305" t="s">
        <v>16393</v>
      </c>
      <c r="O4305" s="4">
        <v>59829</v>
      </c>
      <c r="P4305" s="4">
        <v>175206</v>
      </c>
      <c r="Q4305" s="4">
        <v>235035</v>
      </c>
      <c r="R4305" s="4">
        <v>705105</v>
      </c>
      <c r="S4305" t="s">
        <v>20607</v>
      </c>
      <c r="T4305" s="6">
        <v>43040</v>
      </c>
      <c r="U4305" s="4">
        <v>500995</v>
      </c>
      <c r="V4305" t="s">
        <v>16232</v>
      </c>
      <c r="W4305" t="s">
        <v>26013</v>
      </c>
      <c r="X4305" t="s">
        <v>3</v>
      </c>
      <c r="AA4305" s="5" t="str">
        <f>HYPERLINK("https://www.zillow.com/homes/2551-BASIN-TRAIL-LN-NAPERVILLE-IL-605633593_rb/","check listing")</f>
        <v>check listing</v>
      </c>
      <c r="AB4305" s="5" t="str">
        <f>HYPERLINK("https://propertylookup.dupagecounty.gov/Datalets/Datalet.aspx?UseSearch=no&amp;mode=sales&amp;pin=0709109029","sales record")</f>
        <v>sales record</v>
      </c>
      <c r="AC4305" t="s">
        <v>3</v>
      </c>
      <c r="AD4305">
        <v>41.795634</v>
      </c>
      <c r="AE4305">
        <v>-88.22476</v>
      </c>
      <c r="AF4305" s="5" t="str">
        <f>HYPERLINK("https://www.google.com/maps/search/?api=1&amp;query=41.795634,-88.22476","map")</f>
        <v>map</v>
      </c>
    </row>
    <row r="4306" spans="1:32">
      <c r="A4306" t="s">
        <v>4356</v>
      </c>
      <c r="B4306" t="s">
        <v>11889</v>
      </c>
      <c r="C4306" t="s">
        <v>15721</v>
      </c>
      <c r="D4306" t="s">
        <v>16206</v>
      </c>
      <c r="E4306" t="s">
        <v>16218</v>
      </c>
      <c r="F4306" t="s">
        <v>16221</v>
      </c>
      <c r="G4306" t="s">
        <v>16277</v>
      </c>
      <c r="H4306" t="s">
        <v>16277</v>
      </c>
      <c r="I4306" t="s">
        <v>16353</v>
      </c>
      <c r="J4306" t="s">
        <v>16386</v>
      </c>
      <c r="K4306">
        <v>0.201</v>
      </c>
      <c r="L4306">
        <v>8738</v>
      </c>
      <c r="M4306">
        <v>1586</v>
      </c>
      <c r="N4306" t="s">
        <v>16393</v>
      </c>
      <c r="O4306" s="4">
        <v>144863</v>
      </c>
      <c r="P4306" s="4">
        <v>49333</v>
      </c>
      <c r="Q4306" s="4">
        <v>194196</v>
      </c>
      <c r="R4306" s="4">
        <v>582588</v>
      </c>
      <c r="S4306" t="s">
        <v>18991</v>
      </c>
      <c r="T4306" s="6">
        <v>42339</v>
      </c>
      <c r="U4306" s="4">
        <v>216666</v>
      </c>
      <c r="V4306" t="s">
        <v>16232</v>
      </c>
      <c r="W4306" t="s">
        <v>26014</v>
      </c>
      <c r="X4306" t="s">
        <v>3</v>
      </c>
      <c r="AA4306" s="5" t="str">
        <f>HYPERLINK("https://www.zillow.com/homes/34-W-FRANKLIN-AVE-NAPERVILLE-IL-605404525_rb/","check listing")</f>
        <v>check listing</v>
      </c>
      <c r="AB4306" s="5" t="str">
        <f>HYPERLINK("https://propertylookup.dupagecounty.gov/Datalets/Datalet.aspx?UseSearch=no&amp;mode=sales&amp;pin=0713411003","sales record")</f>
        <v>sales record</v>
      </c>
      <c r="AC4306" t="s">
        <v>27873</v>
      </c>
      <c r="AD4306">
        <v>41.775865</v>
      </c>
      <c r="AE4306">
        <v>-88.148932</v>
      </c>
      <c r="AF4306" s="5" t="str">
        <f>HYPERLINK("https://www.google.com/maps/search/?api=1&amp;query=41.775865,-88.148932","map")</f>
        <v>map</v>
      </c>
    </row>
    <row r="4307" spans="1:32">
      <c r="A4307" t="s">
        <v>4357</v>
      </c>
      <c r="B4307" t="s">
        <v>11890</v>
      </c>
      <c r="C4307" t="s">
        <v>15721</v>
      </c>
      <c r="D4307" t="s">
        <v>16206</v>
      </c>
      <c r="E4307" t="s">
        <v>16218</v>
      </c>
      <c r="F4307" t="s">
        <v>16221</v>
      </c>
      <c r="G4307" t="s">
        <v>16277</v>
      </c>
      <c r="H4307" t="s">
        <v>16277</v>
      </c>
      <c r="I4307" t="s">
        <v>16353</v>
      </c>
      <c r="J4307" t="s">
        <v>16386</v>
      </c>
      <c r="K4307">
        <v>0.201</v>
      </c>
      <c r="L4307">
        <v>8738</v>
      </c>
      <c r="M4307">
        <v>2549</v>
      </c>
      <c r="N4307" t="s">
        <v>16393</v>
      </c>
      <c r="O4307" s="4">
        <v>144863</v>
      </c>
      <c r="P4307" s="4">
        <v>57230</v>
      </c>
      <c r="Q4307" s="4">
        <v>202093</v>
      </c>
      <c r="R4307" s="4">
        <v>606279</v>
      </c>
      <c r="S4307" t="s">
        <v>18991</v>
      </c>
      <c r="T4307" s="6">
        <v>42339</v>
      </c>
      <c r="U4307" s="4">
        <v>216666</v>
      </c>
      <c r="V4307" t="s">
        <v>16232</v>
      </c>
      <c r="W4307" t="s">
        <v>26014</v>
      </c>
      <c r="X4307" t="s">
        <v>3</v>
      </c>
      <c r="AA4307" s="5" t="str">
        <f>HYPERLINK("https://www.zillow.com/homes/28-W-FRANKLIN-AVE-NAPERVILLE-IL-605404525_rb/","check listing")</f>
        <v>check listing</v>
      </c>
      <c r="AB4307" s="5" t="str">
        <f>HYPERLINK("https://propertylookup.dupagecounty.gov/Datalets/Datalet.aspx?UseSearch=no&amp;mode=sales&amp;pin=0713411004","sales record")</f>
        <v>sales record</v>
      </c>
      <c r="AC4307" t="s">
        <v>27873</v>
      </c>
      <c r="AD4307">
        <v>41.775776</v>
      </c>
      <c r="AE4307">
        <v>-88.148695</v>
      </c>
      <c r="AF4307" s="5" t="str">
        <f>HYPERLINK("https://www.google.com/maps/search/?api=1&amp;query=41.775776,-88.148695","map")</f>
        <v>map</v>
      </c>
    </row>
    <row r="4308" spans="1:32">
      <c r="A4308" t="s">
        <v>4358</v>
      </c>
      <c r="B4308" t="s">
        <v>11891</v>
      </c>
      <c r="C4308" t="s">
        <v>15475</v>
      </c>
      <c r="D4308" t="s">
        <v>16206</v>
      </c>
      <c r="E4308" t="s">
        <v>16218</v>
      </c>
      <c r="F4308" t="s">
        <v>16221</v>
      </c>
      <c r="G4308" t="s">
        <v>16277</v>
      </c>
      <c r="H4308" t="s">
        <v>16277</v>
      </c>
      <c r="I4308" t="s">
        <v>16353</v>
      </c>
      <c r="J4308" t="s">
        <v>16386</v>
      </c>
      <c r="K4308">
        <v>0.2</v>
      </c>
      <c r="L4308">
        <v>8733</v>
      </c>
      <c r="M4308">
        <v>1715</v>
      </c>
      <c r="N4308" t="s">
        <v>16393</v>
      </c>
      <c r="O4308" s="4">
        <v>119856</v>
      </c>
      <c r="P4308" s="4">
        <v>99081</v>
      </c>
      <c r="Q4308" s="4">
        <v>218937</v>
      </c>
      <c r="R4308" s="4">
        <v>656811</v>
      </c>
      <c r="S4308" t="s">
        <v>20608</v>
      </c>
      <c r="T4308" s="6">
        <v>40269</v>
      </c>
      <c r="U4308" s="4">
        <v>210000</v>
      </c>
      <c r="V4308" t="s">
        <v>23739</v>
      </c>
      <c r="W4308" t="s">
        <v>26015</v>
      </c>
      <c r="X4308" t="s">
        <v>3</v>
      </c>
      <c r="AA4308" s="5" t="str">
        <f>HYPERLINK("https://www.zillow.com/homes/322-N-SLEIGHT-ST-NAPERVILLE-IL-60540_rb/","check listing")</f>
        <v>check listing</v>
      </c>
      <c r="AB4308" s="5" t="str">
        <f>HYPERLINK("https://propertylookup.dupagecounty.gov/Datalets/Datalet.aspx?UseSearch=no&amp;mode=sales&amp;pin=0818139004","sales record")</f>
        <v>sales record</v>
      </c>
      <c r="AC4308" t="s">
        <v>3</v>
      </c>
      <c r="AD4308">
        <v>41.778887</v>
      </c>
      <c r="AE4308">
        <v>-88.14027</v>
      </c>
      <c r="AF4308" s="5" t="str">
        <f>HYPERLINK("https://www.google.com/maps/search/?api=1&amp;query=41.778887,-88.14027","map")</f>
        <v>map</v>
      </c>
    </row>
    <row r="4309" spans="1:32">
      <c r="A4309" t="s">
        <v>4359</v>
      </c>
      <c r="B4309" t="s">
        <v>11892</v>
      </c>
      <c r="C4309" t="s">
        <v>15698</v>
      </c>
      <c r="D4309" t="s">
        <v>16206</v>
      </c>
      <c r="E4309" t="s">
        <v>16218</v>
      </c>
      <c r="F4309" t="s">
        <v>16221</v>
      </c>
      <c r="G4309" t="s">
        <v>16278</v>
      </c>
      <c r="H4309" t="s">
        <v>16277</v>
      </c>
      <c r="I4309" t="s">
        <v>16353</v>
      </c>
      <c r="J4309" t="s">
        <v>16386</v>
      </c>
      <c r="K4309">
        <v>0.2</v>
      </c>
      <c r="L4309">
        <v>8728</v>
      </c>
      <c r="N4309" t="s">
        <v>16393</v>
      </c>
      <c r="O4309" s="4">
        <v>62979</v>
      </c>
      <c r="P4309" s="4">
        <v>172545</v>
      </c>
      <c r="Q4309" s="4">
        <v>235524</v>
      </c>
      <c r="R4309" s="4">
        <v>706572</v>
      </c>
      <c r="S4309" t="s">
        <v>20609</v>
      </c>
      <c r="T4309" s="6">
        <v>44013</v>
      </c>
      <c r="U4309" s="4">
        <v>508000</v>
      </c>
      <c r="V4309" t="s">
        <v>23739</v>
      </c>
      <c r="W4309" t="s">
        <v>26016</v>
      </c>
      <c r="X4309" t="s">
        <v>3</v>
      </c>
      <c r="AA4309" s="5" t="str">
        <f>HYPERLINK("https://www.zillow.com/homes/2531-BALSAM-COVE-RD-NAPERVILLE-IL-605633590_rb/","check listing")</f>
        <v>check listing</v>
      </c>
      <c r="AB4309" s="5" t="str">
        <f>HYPERLINK("https://propertylookup.dupagecounty.gov/Datalets/Datalet.aspx?UseSearch=no&amp;mode=sales&amp;pin=0709108007","sales record")</f>
        <v>sales record</v>
      </c>
      <c r="AC4309" t="s">
        <v>3</v>
      </c>
      <c r="AD4309">
        <v>41.796935</v>
      </c>
      <c r="AE4309">
        <v>-88.223552</v>
      </c>
      <c r="AF4309" s="5" t="str">
        <f>HYPERLINK("https://www.google.com/maps/search/?api=1&amp;query=41.796935,-88.223552","map")</f>
        <v>map</v>
      </c>
    </row>
    <row r="4310" spans="1:32">
      <c r="A4310" t="s">
        <v>4360</v>
      </c>
      <c r="B4310" t="s">
        <v>11893</v>
      </c>
      <c r="C4310" t="s">
        <v>15475</v>
      </c>
      <c r="D4310" t="s">
        <v>16206</v>
      </c>
      <c r="E4310" t="s">
        <v>16218</v>
      </c>
      <c r="F4310" t="s">
        <v>16221</v>
      </c>
      <c r="G4310" t="s">
        <v>16277</v>
      </c>
      <c r="H4310" t="s">
        <v>16277</v>
      </c>
      <c r="I4310" t="s">
        <v>16353</v>
      </c>
      <c r="J4310" t="s">
        <v>16386</v>
      </c>
      <c r="K4310">
        <v>0.2</v>
      </c>
      <c r="L4310">
        <v>8724</v>
      </c>
      <c r="M4310">
        <v>2155</v>
      </c>
      <c r="N4310" t="s">
        <v>16393</v>
      </c>
      <c r="O4310" s="4">
        <v>125323</v>
      </c>
      <c r="P4310" s="4">
        <v>81433</v>
      </c>
      <c r="Q4310" s="4">
        <v>206756</v>
      </c>
      <c r="R4310" s="4">
        <v>620268</v>
      </c>
      <c r="S4310" t="s">
        <v>20610</v>
      </c>
      <c r="X4310" t="s">
        <v>3</v>
      </c>
      <c r="AA4310" s="5" t="str">
        <f>HYPERLINK("https://www.zillow.com/homes/515-DOUGLAS-AVE-NAPERVILLE-IL-60540_rb/","check listing")</f>
        <v>check listing</v>
      </c>
      <c r="AB4310" s="5" t="str">
        <f>HYPERLINK("https://propertylookup.dupagecounty.gov/Datalets/Datalet.aspx?UseSearch=no&amp;mode=sales&amp;pin=0713220008","sales record")</f>
        <v>sales record</v>
      </c>
      <c r="AC4310" t="s">
        <v>3</v>
      </c>
      <c r="AD4310">
        <v>41.777688</v>
      </c>
      <c r="AE4310">
        <v>-88.156694</v>
      </c>
      <c r="AF4310" s="5" t="str">
        <f>HYPERLINK("https://www.google.com/maps/search/?api=1&amp;query=41.777688,-88.156694","map")</f>
        <v>map</v>
      </c>
    </row>
    <row r="4311" spans="1:32">
      <c r="A4311" t="s">
        <v>4361</v>
      </c>
      <c r="B4311" t="s">
        <v>11894</v>
      </c>
      <c r="C4311" t="s">
        <v>15617</v>
      </c>
      <c r="D4311" t="s">
        <v>16206</v>
      </c>
      <c r="E4311" t="s">
        <v>16218</v>
      </c>
      <c r="F4311" t="s">
        <v>16221</v>
      </c>
      <c r="G4311" t="s">
        <v>16277</v>
      </c>
      <c r="H4311" t="s">
        <v>16277</v>
      </c>
      <c r="I4311" t="s">
        <v>16353</v>
      </c>
      <c r="J4311" t="s">
        <v>16386</v>
      </c>
      <c r="K4311">
        <v>0.2</v>
      </c>
      <c r="L4311">
        <v>8723</v>
      </c>
      <c r="M4311">
        <v>3121</v>
      </c>
      <c r="N4311" t="s">
        <v>16393</v>
      </c>
      <c r="O4311" s="4">
        <v>124175</v>
      </c>
      <c r="P4311" s="4">
        <v>98874</v>
      </c>
      <c r="Q4311" s="4">
        <v>223049</v>
      </c>
      <c r="R4311" s="4">
        <v>669147</v>
      </c>
      <c r="S4311" t="s">
        <v>20611</v>
      </c>
      <c r="T4311" s="6">
        <v>31747</v>
      </c>
      <c r="U4311" s="4">
        <v>84500</v>
      </c>
      <c r="X4311" t="s">
        <v>3</v>
      </c>
      <c r="AA4311" s="5" t="str">
        <f>HYPERLINK("https://www.zillow.com/homes/5-S-MILL-ST-NAPERVILLE-IL-605404441_rb/","check listing")</f>
        <v>check listing</v>
      </c>
      <c r="AB4311" s="5" t="str">
        <f>HYPERLINK("https://propertylookup.dupagecounty.gov/Datalets/Datalet.aspx?UseSearch=no&amp;mode=sales&amp;pin=0713415006","sales record")</f>
        <v>sales record</v>
      </c>
      <c r="AC4311" t="s">
        <v>3</v>
      </c>
      <c r="AD4311">
        <v>41.775032</v>
      </c>
      <c r="AE4311">
        <v>-88.154803</v>
      </c>
      <c r="AF4311" s="5" t="str">
        <f>HYPERLINK("https://www.google.com/maps/search/?api=1&amp;query=41.775032,-88.154803","map")</f>
        <v>map</v>
      </c>
    </row>
    <row r="4312" spans="1:32">
      <c r="A4312" t="s">
        <v>4362</v>
      </c>
      <c r="B4312" t="s">
        <v>11895</v>
      </c>
      <c r="C4312" t="s">
        <v>15662</v>
      </c>
      <c r="D4312" t="s">
        <v>16206</v>
      </c>
      <c r="E4312" t="s">
        <v>16218</v>
      </c>
      <c r="F4312" t="s">
        <v>16221</v>
      </c>
      <c r="G4312" t="s">
        <v>16278</v>
      </c>
      <c r="H4312" t="s">
        <v>16277</v>
      </c>
      <c r="I4312" t="s">
        <v>16353</v>
      </c>
      <c r="J4312" t="s">
        <v>16386</v>
      </c>
      <c r="K4312">
        <v>0.2</v>
      </c>
      <c r="L4312">
        <v>8722</v>
      </c>
      <c r="N4312" t="s">
        <v>16393</v>
      </c>
      <c r="O4312" s="4">
        <v>56146</v>
      </c>
      <c r="P4312" s="4">
        <v>237699</v>
      </c>
      <c r="Q4312" s="4">
        <v>293845</v>
      </c>
      <c r="R4312" s="4">
        <v>881535</v>
      </c>
      <c r="S4312" t="s">
        <v>20612</v>
      </c>
      <c r="T4312" s="6">
        <v>45282</v>
      </c>
      <c r="U4312" s="4">
        <v>835438</v>
      </c>
      <c r="V4312" t="s">
        <v>16232</v>
      </c>
      <c r="W4312" t="s">
        <v>26017</v>
      </c>
      <c r="X4312" t="s">
        <v>3</v>
      </c>
      <c r="AA4312" s="5" t="str">
        <f>HYPERLINK("https://www.zillow.com/homes/1139-HIBBARD-RD-NAPERVILLE-IL-605631594_rb/","check listing")</f>
        <v>check listing</v>
      </c>
      <c r="AB4312" s="5" t="str">
        <f>HYPERLINK("https://propertylookup.dupagecounty.gov/Datalets/Datalet.aspx?UseSearch=no&amp;mode=sales&amp;pin=0532300076","sales record")</f>
        <v>sales record</v>
      </c>
      <c r="AC4312" t="s">
        <v>3</v>
      </c>
      <c r="AD4312">
        <v>41.819575</v>
      </c>
      <c r="AE4312">
        <v>-88.12289</v>
      </c>
      <c r="AF4312" s="5" t="str">
        <f>HYPERLINK("https://www.google.com/maps/search/?api=1&amp;query=41.819575,-88.12289","map")</f>
        <v>map</v>
      </c>
    </row>
    <row r="4313" spans="1:32">
      <c r="A4313" t="s">
        <v>4363</v>
      </c>
      <c r="B4313" t="s">
        <v>11896</v>
      </c>
      <c r="C4313" t="s">
        <v>15690</v>
      </c>
      <c r="D4313" t="s">
        <v>16206</v>
      </c>
      <c r="E4313" t="s">
        <v>16218</v>
      </c>
      <c r="F4313" t="s">
        <v>16221</v>
      </c>
      <c r="G4313" t="s">
        <v>16278</v>
      </c>
      <c r="H4313" t="s">
        <v>16277</v>
      </c>
      <c r="I4313" t="s">
        <v>16353</v>
      </c>
      <c r="J4313" t="s">
        <v>16386</v>
      </c>
      <c r="K4313">
        <v>0.2</v>
      </c>
      <c r="L4313">
        <v>8719</v>
      </c>
      <c r="N4313" t="s">
        <v>16393</v>
      </c>
      <c r="O4313" s="4">
        <v>62979</v>
      </c>
      <c r="P4313" s="4">
        <v>194062</v>
      </c>
      <c r="Q4313" s="4">
        <v>257041</v>
      </c>
      <c r="R4313" s="4">
        <v>771123</v>
      </c>
      <c r="S4313" t="s">
        <v>20613</v>
      </c>
      <c r="T4313" s="6">
        <v>44105</v>
      </c>
      <c r="U4313" s="4">
        <v>587500</v>
      </c>
      <c r="V4313" t="s">
        <v>23739</v>
      </c>
      <c r="W4313" t="s">
        <v>26018</v>
      </c>
      <c r="X4313" t="s">
        <v>3</v>
      </c>
      <c r="AA4313" s="5" t="str">
        <f>HYPERLINK("https://www.zillow.com/homes/2420-BASIN-TRAIL-LN-NAPERVILLE-IL-605633584_rb/","check listing")</f>
        <v>check listing</v>
      </c>
      <c r="AB4313" s="5" t="str">
        <f>HYPERLINK("https://propertylookup.dupagecounty.gov/Datalets/Datalet.aspx?UseSearch=no&amp;mode=sales&amp;pin=0709112005","sales record")</f>
        <v>sales record</v>
      </c>
      <c r="AC4313" t="s">
        <v>3</v>
      </c>
      <c r="AD4313">
        <v>41.796095</v>
      </c>
      <c r="AE4313">
        <v>-88.219505</v>
      </c>
      <c r="AF4313" s="5" t="str">
        <f>HYPERLINK("https://www.google.com/maps/search/?api=1&amp;query=41.796095,-88.219505","map")</f>
        <v>map</v>
      </c>
    </row>
    <row r="4314" spans="1:32">
      <c r="A4314" t="s">
        <v>4364</v>
      </c>
      <c r="B4314" t="s">
        <v>11897</v>
      </c>
      <c r="C4314" t="s">
        <v>15475</v>
      </c>
      <c r="D4314" t="s">
        <v>16206</v>
      </c>
      <c r="E4314" t="s">
        <v>16218</v>
      </c>
      <c r="F4314" t="s">
        <v>16221</v>
      </c>
      <c r="G4314" t="s">
        <v>16277</v>
      </c>
      <c r="H4314" t="s">
        <v>16277</v>
      </c>
      <c r="I4314" t="s">
        <v>16353</v>
      </c>
      <c r="J4314" t="s">
        <v>16386</v>
      </c>
      <c r="K4314">
        <v>0.2</v>
      </c>
      <c r="L4314">
        <v>8711</v>
      </c>
      <c r="M4314">
        <v>2111</v>
      </c>
      <c r="N4314" t="s">
        <v>16393</v>
      </c>
      <c r="O4314" s="4">
        <v>114509</v>
      </c>
      <c r="P4314" s="4">
        <v>131401</v>
      </c>
      <c r="Q4314" s="4">
        <v>245910</v>
      </c>
      <c r="R4314" s="4">
        <v>737730</v>
      </c>
      <c r="S4314" t="s">
        <v>20614</v>
      </c>
      <c r="T4314" s="6">
        <v>43952</v>
      </c>
      <c r="U4314" s="4">
        <v>525000</v>
      </c>
      <c r="V4314" t="s">
        <v>23739</v>
      </c>
      <c r="W4314" t="s">
        <v>26019</v>
      </c>
      <c r="X4314" t="s">
        <v>3</v>
      </c>
      <c r="AA4314" s="5" t="str">
        <f>HYPERLINK("https://www.zillow.com/homes/310-N-FREMONT-ST-NAPERVILLE-IL-60540_rb/","check listing")</f>
        <v>check listing</v>
      </c>
      <c r="AB4314" s="5" t="str">
        <f>HYPERLINK("https://propertylookup.dupagecounty.gov/Datalets/Datalet.aspx?UseSearch=no&amp;mode=sales&amp;pin=0713106016","sales record")</f>
        <v>sales record</v>
      </c>
      <c r="AC4314" t="s">
        <v>3</v>
      </c>
      <c r="AD4314">
        <v>41.77878</v>
      </c>
      <c r="AE4314">
        <v>-88.158357</v>
      </c>
      <c r="AF4314" s="5" t="str">
        <f>HYPERLINK("https://www.google.com/maps/search/?api=1&amp;query=41.77878,-88.158357","map")</f>
        <v>map</v>
      </c>
    </row>
    <row r="4315" spans="1:32">
      <c r="A4315" t="s">
        <v>4365</v>
      </c>
      <c r="B4315" t="s">
        <v>11898</v>
      </c>
      <c r="C4315" t="s">
        <v>15475</v>
      </c>
      <c r="D4315" t="s">
        <v>16206</v>
      </c>
      <c r="E4315" t="s">
        <v>16218</v>
      </c>
      <c r="F4315" t="s">
        <v>16221</v>
      </c>
      <c r="G4315" t="s">
        <v>16277</v>
      </c>
      <c r="H4315" t="s">
        <v>16277</v>
      </c>
      <c r="I4315" t="s">
        <v>16353</v>
      </c>
      <c r="J4315" t="s">
        <v>16386</v>
      </c>
      <c r="K4315">
        <v>0.2</v>
      </c>
      <c r="L4315">
        <v>8710</v>
      </c>
      <c r="M4315">
        <v>1715</v>
      </c>
      <c r="N4315" t="s">
        <v>16393</v>
      </c>
      <c r="O4315" s="4">
        <v>135868</v>
      </c>
      <c r="P4315" s="4">
        <v>404125</v>
      </c>
      <c r="Q4315" s="4">
        <v>539993</v>
      </c>
      <c r="R4315" s="4">
        <v>1619979</v>
      </c>
      <c r="S4315" t="s">
        <v>20615</v>
      </c>
      <c r="X4315" t="s">
        <v>3</v>
      </c>
      <c r="AA4315" s="5" t="str">
        <f>HYPERLINK("https://www.zillow.com/homes/122-S-EAGLE-ST-NAPERVILLE-IL-60540_rb/","check listing")</f>
        <v>check listing</v>
      </c>
      <c r="AB4315" s="5" t="str">
        <f>HYPERLINK("https://propertylookup.dupagecounty.gov/Datalets/Datalet.aspx?UseSearch=no&amp;mode=sales&amp;pin=0713421007","sales record")</f>
        <v>sales record</v>
      </c>
      <c r="AC4315" t="s">
        <v>3</v>
      </c>
      <c r="AD4315">
        <v>41.773703</v>
      </c>
      <c r="AE4315">
        <v>-88.15256599999999</v>
      </c>
      <c r="AF4315" s="5" t="str">
        <f>HYPERLINK("https://www.google.com/maps/search/?api=1&amp;query=41.773703,-88.152566","map")</f>
        <v>map</v>
      </c>
    </row>
    <row r="4316" spans="1:32">
      <c r="A4316" t="s">
        <v>4366</v>
      </c>
      <c r="B4316" t="s">
        <v>11899</v>
      </c>
      <c r="C4316" t="s">
        <v>15475</v>
      </c>
      <c r="D4316" t="s">
        <v>16206</v>
      </c>
      <c r="E4316" t="s">
        <v>16218</v>
      </c>
      <c r="F4316" t="s">
        <v>16221</v>
      </c>
      <c r="G4316" t="s">
        <v>16277</v>
      </c>
      <c r="H4316" t="s">
        <v>16277</v>
      </c>
      <c r="I4316" t="s">
        <v>16353</v>
      </c>
      <c r="J4316" t="s">
        <v>16386</v>
      </c>
      <c r="K4316">
        <v>0.2</v>
      </c>
      <c r="L4316">
        <v>8709</v>
      </c>
      <c r="M4316">
        <v>3693</v>
      </c>
      <c r="N4316" t="s">
        <v>16393</v>
      </c>
      <c r="O4316" s="4">
        <v>137967</v>
      </c>
      <c r="P4316" s="4">
        <v>514826</v>
      </c>
      <c r="Q4316" s="4">
        <v>652793</v>
      </c>
      <c r="R4316" s="4">
        <v>1958379</v>
      </c>
      <c r="S4316" t="s">
        <v>20616</v>
      </c>
      <c r="T4316" s="6">
        <v>38899</v>
      </c>
      <c r="U4316" s="4">
        <v>1595000</v>
      </c>
      <c r="V4316" t="s">
        <v>23739</v>
      </c>
      <c r="W4316" t="s">
        <v>20616</v>
      </c>
      <c r="X4316" t="s">
        <v>3</v>
      </c>
      <c r="AA4316" s="5" t="str">
        <f>HYPERLINK("https://www.zillow.com/homes/434-W-BENTON-AVE-NAPERVILLE-IL-60540_rb/","check listing")</f>
        <v>check listing</v>
      </c>
      <c r="AB4316" s="5" t="str">
        <f>HYPERLINK("https://propertylookup.dupagecounty.gov/Datalets/Datalet.aspx?UseSearch=no&amp;mode=sales&amp;pin=0713415002","sales record")</f>
        <v>sales record</v>
      </c>
      <c r="AC4316" t="s">
        <v>3</v>
      </c>
      <c r="AD4316">
        <v>41.775059</v>
      </c>
      <c r="AE4316">
        <v>-88.15577399999999</v>
      </c>
      <c r="AF4316" s="5" t="str">
        <f>HYPERLINK("https://www.google.com/maps/search/?api=1&amp;query=41.775059,-88.155774","map")</f>
        <v>map</v>
      </c>
    </row>
    <row r="4317" spans="1:32">
      <c r="A4317" t="s">
        <v>4367</v>
      </c>
      <c r="B4317" t="s">
        <v>11900</v>
      </c>
      <c r="C4317" t="s">
        <v>15475</v>
      </c>
      <c r="D4317" t="s">
        <v>16206</v>
      </c>
      <c r="E4317" t="s">
        <v>16218</v>
      </c>
      <c r="F4317" t="s">
        <v>16221</v>
      </c>
      <c r="G4317" t="s">
        <v>16277</v>
      </c>
      <c r="H4317" t="s">
        <v>16277</v>
      </c>
      <c r="I4317" t="s">
        <v>16353</v>
      </c>
      <c r="J4317" t="s">
        <v>16386</v>
      </c>
      <c r="K4317">
        <v>0.2</v>
      </c>
      <c r="L4317">
        <v>8704</v>
      </c>
      <c r="M4317">
        <v>1714</v>
      </c>
      <c r="N4317" t="s">
        <v>16393</v>
      </c>
      <c r="O4317" s="4">
        <v>137967</v>
      </c>
      <c r="P4317" s="4">
        <v>374223</v>
      </c>
      <c r="Q4317" s="4">
        <v>512190</v>
      </c>
      <c r="R4317" s="4">
        <v>1536570</v>
      </c>
      <c r="S4317" t="s">
        <v>20617</v>
      </c>
      <c r="T4317" s="6">
        <v>41518</v>
      </c>
      <c r="U4317" s="4">
        <v>301500</v>
      </c>
      <c r="V4317" t="s">
        <v>23739</v>
      </c>
      <c r="W4317" t="s">
        <v>26020</v>
      </c>
      <c r="X4317" t="s">
        <v>3</v>
      </c>
      <c r="AA4317" s="5" t="str">
        <f>HYPERLINK("https://www.zillow.com/homes/440-W-BENTON-AVE-NAPERVILLE-IL-60540_rb/","check listing")</f>
        <v>check listing</v>
      </c>
      <c r="AB4317" s="5" t="str">
        <f>HYPERLINK("https://propertylookup.dupagecounty.gov/Datalets/Datalet.aspx?UseSearch=no&amp;mode=sales&amp;pin=0713415001","sales record")</f>
        <v>sales record</v>
      </c>
      <c r="AC4317" t="s">
        <v>3</v>
      </c>
      <c r="AD4317">
        <v>41.775066</v>
      </c>
      <c r="AE4317">
        <v>-88.15601599999999</v>
      </c>
      <c r="AF4317" s="5" t="str">
        <f>HYPERLINK("https://www.google.com/maps/search/?api=1&amp;query=41.775066,-88.156016","map")</f>
        <v>map</v>
      </c>
    </row>
    <row r="4318" spans="1:32">
      <c r="A4318" t="s">
        <v>4368</v>
      </c>
      <c r="B4318" t="s">
        <v>11901</v>
      </c>
      <c r="C4318" t="s">
        <v>15722</v>
      </c>
      <c r="D4318" t="s">
        <v>16206</v>
      </c>
      <c r="E4318" t="s">
        <v>16218</v>
      </c>
      <c r="F4318" t="s">
        <v>16221</v>
      </c>
      <c r="G4318" t="s">
        <v>16277</v>
      </c>
      <c r="H4318" t="s">
        <v>16277</v>
      </c>
      <c r="I4318" t="s">
        <v>16353</v>
      </c>
      <c r="J4318" t="s">
        <v>16386</v>
      </c>
      <c r="K4318">
        <v>0.2</v>
      </c>
      <c r="L4318">
        <v>8701</v>
      </c>
      <c r="M4318">
        <v>1421</v>
      </c>
      <c r="N4318" t="s">
        <v>16393</v>
      </c>
      <c r="O4318" s="4">
        <v>119856</v>
      </c>
      <c r="P4318" s="4">
        <v>49754</v>
      </c>
      <c r="Q4318" s="4">
        <v>169610</v>
      </c>
      <c r="R4318" s="4">
        <v>508830</v>
      </c>
      <c r="S4318" t="s">
        <v>20618</v>
      </c>
      <c r="T4318" s="6">
        <v>43132</v>
      </c>
      <c r="U4318" s="4">
        <v>350000</v>
      </c>
      <c r="V4318" t="s">
        <v>23739</v>
      </c>
      <c r="W4318" t="s">
        <v>26021</v>
      </c>
      <c r="X4318" t="s">
        <v>3</v>
      </c>
      <c r="AA4318" s="5" t="str">
        <f>HYPERLINK("https://www.zillow.com/homes/321-N-WRIGHT-ST-NAPERVILLE-IL-605404751_rb/","check listing")</f>
        <v>check listing</v>
      </c>
      <c r="AB4318" s="5" t="str">
        <f>HYPERLINK("https://propertylookup.dupagecounty.gov/Datalets/Datalet.aspx?UseSearch=no&amp;mode=sales&amp;pin=0818139008","sales record")</f>
        <v>sales record</v>
      </c>
      <c r="AC4318" t="s">
        <v>3</v>
      </c>
      <c r="AD4318">
        <v>41.778885</v>
      </c>
      <c r="AE4318">
        <v>-88.13963</v>
      </c>
      <c r="AF4318" s="5" t="str">
        <f>HYPERLINK("https://www.google.com/maps/search/?api=1&amp;query=41.778885,-88.13963","map")</f>
        <v>map</v>
      </c>
    </row>
    <row r="4319" spans="1:32">
      <c r="A4319" t="s">
        <v>4369</v>
      </c>
      <c r="B4319" t="s">
        <v>11902</v>
      </c>
      <c r="C4319" t="s">
        <v>15723</v>
      </c>
      <c r="D4319" t="s">
        <v>16206</v>
      </c>
      <c r="E4319" t="s">
        <v>16218</v>
      </c>
      <c r="F4319" t="s">
        <v>16221</v>
      </c>
      <c r="G4319" t="s">
        <v>16277</v>
      </c>
      <c r="H4319" t="s">
        <v>16277</v>
      </c>
      <c r="I4319" t="s">
        <v>16353</v>
      </c>
      <c r="J4319" t="s">
        <v>16386</v>
      </c>
      <c r="K4319">
        <v>0.2</v>
      </c>
      <c r="L4319">
        <v>8693</v>
      </c>
      <c r="M4319">
        <v>2376</v>
      </c>
      <c r="N4319" t="s">
        <v>16393</v>
      </c>
      <c r="O4319" s="4">
        <v>119856</v>
      </c>
      <c r="P4319" s="4">
        <v>30181</v>
      </c>
      <c r="Q4319" s="4">
        <v>150037</v>
      </c>
      <c r="R4319" s="4">
        <v>450111</v>
      </c>
      <c r="S4319" t="s">
        <v>20619</v>
      </c>
      <c r="X4319" t="s">
        <v>3</v>
      </c>
      <c r="AA4319" s="5" t="str">
        <f>HYPERLINK("https://www.zillow.com/homes/320-N-LOOMIS-ST-NAPERVILLE-IL-605404726_rb/","check listing")</f>
        <v>check listing</v>
      </c>
      <c r="AB4319" s="5" t="str">
        <f>HYPERLINK("https://propertylookup.dupagecounty.gov/Datalets/Datalet.aspx?UseSearch=no&amp;mode=sales&amp;pin=0818136017","sales record")</f>
        <v>sales record</v>
      </c>
      <c r="AC4319" t="s">
        <v>3</v>
      </c>
      <c r="AD4319">
        <v>41.779114</v>
      </c>
      <c r="AE4319">
        <v>-88.141761</v>
      </c>
      <c r="AF4319" s="5" t="str">
        <f>HYPERLINK("https://www.google.com/maps/search/?api=1&amp;query=41.779114,-88.141761","map")</f>
        <v>map</v>
      </c>
    </row>
    <row r="4320" spans="1:32">
      <c r="A4320" t="s">
        <v>4370</v>
      </c>
      <c r="B4320" t="s">
        <v>11903</v>
      </c>
      <c r="C4320" t="s">
        <v>15475</v>
      </c>
      <c r="D4320" t="s">
        <v>16206</v>
      </c>
      <c r="E4320" t="s">
        <v>16218</v>
      </c>
      <c r="F4320" t="s">
        <v>16221</v>
      </c>
      <c r="G4320" t="s">
        <v>16277</v>
      </c>
      <c r="H4320" t="s">
        <v>16277</v>
      </c>
      <c r="I4320" t="s">
        <v>16353</v>
      </c>
      <c r="J4320" t="s">
        <v>16386</v>
      </c>
      <c r="K4320">
        <v>0.2</v>
      </c>
      <c r="L4320">
        <v>8692</v>
      </c>
      <c r="M4320">
        <v>2590</v>
      </c>
      <c r="N4320" t="s">
        <v>16393</v>
      </c>
      <c r="O4320" s="4">
        <v>119856</v>
      </c>
      <c r="P4320" s="4">
        <v>121792</v>
      </c>
      <c r="Q4320" s="4">
        <v>241648</v>
      </c>
      <c r="R4320" s="4">
        <v>724944</v>
      </c>
      <c r="S4320" t="s">
        <v>20620</v>
      </c>
      <c r="T4320" s="6">
        <v>42705</v>
      </c>
      <c r="U4320" s="4">
        <v>365000</v>
      </c>
      <c r="V4320" t="s">
        <v>23739</v>
      </c>
      <c r="W4320" t="s">
        <v>26022</v>
      </c>
      <c r="X4320" t="s">
        <v>3</v>
      </c>
      <c r="AA4320" s="5" t="str">
        <f>HYPERLINK("https://www.zillow.com/homes/325-N-WRIGHT-ST-NAPERVILLE-IL-60540_rb/","check listing")</f>
        <v>check listing</v>
      </c>
      <c r="AB4320" s="5" t="str">
        <f>HYPERLINK("https://propertylookup.dupagecounty.gov/Datalets/Datalet.aspx?UseSearch=no&amp;mode=sales&amp;pin=0818139007","sales record")</f>
        <v>sales record</v>
      </c>
      <c r="AC4320" t="s">
        <v>27873</v>
      </c>
      <c r="AD4320">
        <v>41.779022</v>
      </c>
      <c r="AE4320">
        <v>-88.139611</v>
      </c>
      <c r="AF4320" s="5" t="str">
        <f>HYPERLINK("https://www.google.com/maps/search/?api=1&amp;query=41.779022,-88.139611","map")</f>
        <v>map</v>
      </c>
    </row>
    <row r="4321" spans="1:32">
      <c r="A4321" t="s">
        <v>4371</v>
      </c>
      <c r="B4321" t="s">
        <v>11904</v>
      </c>
      <c r="C4321" t="s">
        <v>15478</v>
      </c>
      <c r="D4321" t="s">
        <v>16206</v>
      </c>
      <c r="E4321" t="s">
        <v>16218</v>
      </c>
      <c r="F4321" t="s">
        <v>16221</v>
      </c>
      <c r="G4321" t="s">
        <v>16277</v>
      </c>
      <c r="H4321" t="s">
        <v>16277</v>
      </c>
      <c r="I4321" t="s">
        <v>16353</v>
      </c>
      <c r="J4321" t="s">
        <v>16386</v>
      </c>
      <c r="K4321">
        <v>0.199</v>
      </c>
      <c r="L4321">
        <v>8688</v>
      </c>
      <c r="M4321">
        <v>2619</v>
      </c>
      <c r="N4321" t="s">
        <v>16393</v>
      </c>
      <c r="O4321" s="4">
        <v>74905</v>
      </c>
      <c r="P4321" s="4">
        <v>94871</v>
      </c>
      <c r="Q4321" s="4">
        <v>169776</v>
      </c>
      <c r="R4321" s="4">
        <v>509328</v>
      </c>
      <c r="S4321" t="s">
        <v>20621</v>
      </c>
      <c r="T4321" s="6">
        <v>41791</v>
      </c>
      <c r="U4321" s="4">
        <v>338000</v>
      </c>
      <c r="V4321" t="s">
        <v>23739</v>
      </c>
      <c r="W4321" t="s">
        <v>26023</v>
      </c>
      <c r="X4321" t="s">
        <v>3</v>
      </c>
      <c r="AA4321" s="5" t="str">
        <f>HYPERLINK("https://www.zillow.com/homes/941-N-LOOMIS-ST-NAPERVILLE-IL-60563_rb/","check listing")</f>
        <v>check listing</v>
      </c>
      <c r="AB4321" s="5" t="str">
        <f>HYPERLINK("https://propertylookup.dupagecounty.gov/Datalets/Datalet.aspx?UseSearch=no&amp;mode=sales&amp;pin=0807310021","sales record")</f>
        <v>sales record</v>
      </c>
      <c r="AC4321" t="s">
        <v>3</v>
      </c>
      <c r="AD4321">
        <v>41.786881</v>
      </c>
      <c r="AE4321">
        <v>-88.141656</v>
      </c>
      <c r="AF4321" s="5" t="str">
        <f>HYPERLINK("https://www.google.com/maps/search/?api=1&amp;query=41.786881,-88.141656","map")</f>
        <v>map</v>
      </c>
    </row>
    <row r="4322" spans="1:32">
      <c r="A4322" t="s">
        <v>4372</v>
      </c>
      <c r="B4322" t="s">
        <v>11905</v>
      </c>
      <c r="C4322" t="s">
        <v>15478</v>
      </c>
      <c r="D4322" t="s">
        <v>16206</v>
      </c>
      <c r="E4322" t="s">
        <v>16218</v>
      </c>
      <c r="F4322" t="s">
        <v>16221</v>
      </c>
      <c r="G4322" t="s">
        <v>16277</v>
      </c>
      <c r="H4322" t="s">
        <v>16277</v>
      </c>
      <c r="I4322" t="s">
        <v>16353</v>
      </c>
      <c r="J4322" t="s">
        <v>16386</v>
      </c>
      <c r="K4322">
        <v>0.199</v>
      </c>
      <c r="L4322">
        <v>8681</v>
      </c>
      <c r="M4322">
        <v>2276</v>
      </c>
      <c r="N4322" t="s">
        <v>16393</v>
      </c>
      <c r="O4322" s="4">
        <v>100092</v>
      </c>
      <c r="P4322" s="4">
        <v>17647</v>
      </c>
      <c r="Q4322" s="4">
        <v>117739</v>
      </c>
      <c r="R4322" s="4">
        <v>353217</v>
      </c>
      <c r="S4322" t="s">
        <v>20622</v>
      </c>
      <c r="T4322" s="6">
        <v>42156</v>
      </c>
      <c r="U4322" s="4">
        <v>255000</v>
      </c>
      <c r="V4322" t="s">
        <v>23739</v>
      </c>
      <c r="W4322" t="s">
        <v>26024</v>
      </c>
      <c r="X4322" t="s">
        <v>3</v>
      </c>
      <c r="AA4322" s="5" t="str">
        <f>HYPERLINK("https://www.zillow.com/homes/813-N-LOOMIS-ST-NAPERVILLE-IL-60563_rb/","check listing")</f>
        <v>check listing</v>
      </c>
      <c r="AB4322" s="5" t="str">
        <f>HYPERLINK("https://propertylookup.dupagecounty.gov/Datalets/Datalet.aspx?UseSearch=no&amp;mode=sales&amp;pin=0807316018","sales record")</f>
        <v>sales record</v>
      </c>
      <c r="AC4322" t="s">
        <v>3</v>
      </c>
      <c r="AD4322">
        <v>41.784525</v>
      </c>
      <c r="AE4322">
        <v>-88.141881</v>
      </c>
      <c r="AF4322" s="5" t="str">
        <f>HYPERLINK("https://www.google.com/maps/search/?api=1&amp;query=41.784525,-88.141881","map")</f>
        <v>map</v>
      </c>
    </row>
    <row r="4323" spans="1:32">
      <c r="A4323" t="s">
        <v>4373</v>
      </c>
      <c r="B4323" t="s">
        <v>11906</v>
      </c>
      <c r="C4323" t="s">
        <v>15478</v>
      </c>
      <c r="D4323" t="s">
        <v>16206</v>
      </c>
      <c r="E4323" t="s">
        <v>16218</v>
      </c>
      <c r="F4323" t="s">
        <v>16221</v>
      </c>
      <c r="G4323" t="s">
        <v>16278</v>
      </c>
      <c r="H4323" t="s">
        <v>16277</v>
      </c>
      <c r="I4323" t="s">
        <v>16353</v>
      </c>
      <c r="J4323" t="s">
        <v>16386</v>
      </c>
      <c r="K4323">
        <v>0.199</v>
      </c>
      <c r="L4323">
        <v>8659</v>
      </c>
      <c r="N4323" t="s">
        <v>16393</v>
      </c>
      <c r="O4323" s="4">
        <v>62987</v>
      </c>
      <c r="P4323" s="4">
        <v>173181</v>
      </c>
      <c r="Q4323" s="4">
        <v>236168</v>
      </c>
      <c r="R4323" s="4">
        <v>708504</v>
      </c>
      <c r="S4323" t="s">
        <v>20623</v>
      </c>
      <c r="T4323" s="6">
        <v>42767</v>
      </c>
      <c r="U4323" s="4">
        <v>465916</v>
      </c>
      <c r="V4323" t="s">
        <v>16232</v>
      </c>
      <c r="W4323" t="s">
        <v>26025</v>
      </c>
      <c r="X4323" t="s">
        <v>3</v>
      </c>
      <c r="AA4323" s="5" t="str">
        <f>HYPERLINK("https://www.zillow.com/homes/1640-SILVERLEAF-ST-NAPERVILLE-IL-60563_rb/","check listing")</f>
        <v>check listing</v>
      </c>
      <c r="AB4323" s="5" t="str">
        <f>HYPERLINK("https://propertylookup.dupagecounty.gov/Datalets/Datalet.aspx?UseSearch=no&amp;mode=sales&amp;pin=0709108002","sales record")</f>
        <v>sales record</v>
      </c>
      <c r="AC4323" t="s">
        <v>3</v>
      </c>
      <c r="AD4323">
        <v>41.7971</v>
      </c>
      <c r="AE4323">
        <v>-88.224161</v>
      </c>
      <c r="AF4323" s="5" t="str">
        <f>HYPERLINK("https://www.google.com/maps/search/?api=1&amp;query=41.7971,-88.224161","map")</f>
        <v>map</v>
      </c>
    </row>
    <row r="4324" spans="1:32">
      <c r="A4324" t="s">
        <v>4374</v>
      </c>
      <c r="B4324" t="s">
        <v>11907</v>
      </c>
      <c r="C4324" t="s">
        <v>15662</v>
      </c>
      <c r="D4324" t="s">
        <v>16206</v>
      </c>
      <c r="E4324" t="s">
        <v>16218</v>
      </c>
      <c r="F4324" t="s">
        <v>16221</v>
      </c>
      <c r="G4324" t="s">
        <v>16278</v>
      </c>
      <c r="H4324" t="s">
        <v>16277</v>
      </c>
      <c r="I4324" t="s">
        <v>16353</v>
      </c>
      <c r="J4324" t="s">
        <v>16386</v>
      </c>
      <c r="K4324">
        <v>0.199</v>
      </c>
      <c r="L4324">
        <v>8657</v>
      </c>
      <c r="N4324" t="s">
        <v>16393</v>
      </c>
      <c r="O4324" s="4">
        <v>56146</v>
      </c>
      <c r="P4324" s="4">
        <v>247917</v>
      </c>
      <c r="Q4324" s="4">
        <v>304063</v>
      </c>
      <c r="R4324" s="4">
        <v>912189</v>
      </c>
      <c r="S4324" t="s">
        <v>20624</v>
      </c>
      <c r="T4324" s="6">
        <v>45601</v>
      </c>
      <c r="U4324" s="4">
        <v>869350</v>
      </c>
      <c r="V4324" t="s">
        <v>23739</v>
      </c>
      <c r="W4324" t="s">
        <v>26026</v>
      </c>
      <c r="X4324" t="s">
        <v>3</v>
      </c>
      <c r="AA4324" s="5" t="str">
        <f>HYPERLINK("https://www.zillow.com/homes/2552-WEATHERBEE-LN-NAPERVILLE-IL-605631594_rb/","check listing")</f>
        <v>check listing</v>
      </c>
      <c r="AB4324" s="5" t="str">
        <f>HYPERLINK("https://propertylookup.dupagecounty.gov/Datalets/Datalet.aspx?UseSearch=no&amp;mode=sales&amp;pin=0532301009","sales record")</f>
        <v>sales record</v>
      </c>
      <c r="AC4324" t="s">
        <v>3</v>
      </c>
      <c r="AD4324">
        <v>41.81979</v>
      </c>
      <c r="AE4324">
        <v>-88.1242</v>
      </c>
      <c r="AF4324" s="5" t="str">
        <f>HYPERLINK("https://www.google.com/maps/search/?api=1&amp;query=41.81979,-88.1242","map")</f>
        <v>map</v>
      </c>
    </row>
    <row r="4325" spans="1:32">
      <c r="A4325" t="s">
        <v>4375</v>
      </c>
      <c r="B4325" t="s">
        <v>11908</v>
      </c>
      <c r="C4325" t="s">
        <v>15478</v>
      </c>
      <c r="D4325" t="s">
        <v>16206</v>
      </c>
      <c r="E4325" t="s">
        <v>16218</v>
      </c>
      <c r="F4325" t="s">
        <v>16221</v>
      </c>
      <c r="G4325" t="s">
        <v>16277</v>
      </c>
      <c r="H4325" t="s">
        <v>16277</v>
      </c>
      <c r="I4325" t="s">
        <v>16353</v>
      </c>
      <c r="J4325" t="s">
        <v>16386</v>
      </c>
      <c r="K4325">
        <v>0.199</v>
      </c>
      <c r="L4325">
        <v>8650</v>
      </c>
      <c r="M4325">
        <v>3011</v>
      </c>
      <c r="N4325" t="s">
        <v>16393</v>
      </c>
      <c r="O4325" s="4">
        <v>126777</v>
      </c>
      <c r="P4325" s="4">
        <v>254671</v>
      </c>
      <c r="Q4325" s="4">
        <v>381448</v>
      </c>
      <c r="R4325" s="4">
        <v>1144344</v>
      </c>
      <c r="S4325" t="s">
        <v>20625</v>
      </c>
      <c r="T4325" s="6">
        <v>42491</v>
      </c>
      <c r="U4325" s="4">
        <v>725000</v>
      </c>
      <c r="V4325" t="s">
        <v>23739</v>
      </c>
      <c r="W4325" t="s">
        <v>26027</v>
      </c>
      <c r="X4325" t="s">
        <v>3</v>
      </c>
      <c r="AA4325" s="5" t="str">
        <f>HYPERLINK("https://www.zillow.com/homes/815-N-LOOMIS-ST-NAPERVILLE-IL-60563_rb/","check listing")</f>
        <v>check listing</v>
      </c>
      <c r="AB4325" s="5" t="str">
        <f>HYPERLINK("https://propertylookup.dupagecounty.gov/Datalets/Datalet.aspx?UseSearch=no&amp;mode=sales&amp;pin=0807316017","sales record")</f>
        <v>sales record</v>
      </c>
      <c r="AC4325" t="s">
        <v>3</v>
      </c>
      <c r="AD4325">
        <v>41.784662</v>
      </c>
      <c r="AE4325">
        <v>-88.141862</v>
      </c>
      <c r="AF4325" s="5" t="str">
        <f>HYPERLINK("https://www.google.com/maps/search/?api=1&amp;query=41.784662,-88.141862","map")</f>
        <v>map</v>
      </c>
    </row>
    <row r="4326" spans="1:32">
      <c r="A4326" t="s">
        <v>4376</v>
      </c>
      <c r="B4326" t="s">
        <v>11909</v>
      </c>
      <c r="C4326" t="s">
        <v>15724</v>
      </c>
      <c r="D4326" t="s">
        <v>16206</v>
      </c>
      <c r="E4326" t="s">
        <v>16218</v>
      </c>
      <c r="F4326" t="s">
        <v>16221</v>
      </c>
      <c r="G4326" t="s">
        <v>16277</v>
      </c>
      <c r="H4326" t="s">
        <v>16277</v>
      </c>
      <c r="I4326" t="s">
        <v>16353</v>
      </c>
      <c r="J4326" t="s">
        <v>16386</v>
      </c>
      <c r="K4326">
        <v>0.199</v>
      </c>
      <c r="L4326">
        <v>8649</v>
      </c>
      <c r="M4326">
        <v>1286</v>
      </c>
      <c r="N4326" t="s">
        <v>16393</v>
      </c>
      <c r="O4326" s="4">
        <v>117679</v>
      </c>
      <c r="P4326" s="4">
        <v>5720</v>
      </c>
      <c r="Q4326" s="4">
        <v>123399</v>
      </c>
      <c r="R4326" s="4">
        <v>370197</v>
      </c>
      <c r="S4326" t="s">
        <v>20626</v>
      </c>
      <c r="T4326" s="6">
        <v>33939</v>
      </c>
      <c r="U4326" s="4">
        <v>75000</v>
      </c>
      <c r="X4326" t="s">
        <v>3</v>
      </c>
      <c r="AA4326" s="5" t="str">
        <f>HYPERLINK("https://www.zillow.com/homes/823-N-LOOMIS-ST-NAPERVILLE-IL-605633225_rb/","check listing")</f>
        <v>check listing</v>
      </c>
      <c r="AB4326" s="5" t="str">
        <f>HYPERLINK("https://propertylookup.dupagecounty.gov/Datalets/Datalet.aspx?UseSearch=no&amp;mode=sales&amp;pin=0807316016","sales record")</f>
        <v>sales record</v>
      </c>
      <c r="AC4326" t="s">
        <v>3</v>
      </c>
      <c r="AD4326">
        <v>41.784798</v>
      </c>
      <c r="AE4326">
        <v>-88.14184299999999</v>
      </c>
      <c r="AF4326" s="5" t="str">
        <f>HYPERLINK("https://www.google.com/maps/search/?api=1&amp;query=41.784798,-88.141843","map")</f>
        <v>map</v>
      </c>
    </row>
    <row r="4327" spans="1:32">
      <c r="A4327" t="s">
        <v>4377</v>
      </c>
      <c r="B4327" t="s">
        <v>11910</v>
      </c>
      <c r="C4327" t="s">
        <v>15725</v>
      </c>
      <c r="D4327" t="s">
        <v>16206</v>
      </c>
      <c r="E4327" t="s">
        <v>16218</v>
      </c>
      <c r="F4327" t="s">
        <v>16221</v>
      </c>
      <c r="G4327" t="s">
        <v>16277</v>
      </c>
      <c r="H4327" t="s">
        <v>16277</v>
      </c>
      <c r="I4327" t="s">
        <v>16353</v>
      </c>
      <c r="J4327" t="s">
        <v>16386</v>
      </c>
      <c r="K4327">
        <v>0.199</v>
      </c>
      <c r="L4327">
        <v>8648</v>
      </c>
      <c r="M4327">
        <v>1782</v>
      </c>
      <c r="N4327" t="s">
        <v>16393</v>
      </c>
      <c r="O4327" s="4">
        <v>119330</v>
      </c>
      <c r="P4327" s="4">
        <v>420956</v>
      </c>
      <c r="Q4327" s="4">
        <v>540286</v>
      </c>
      <c r="R4327" s="4">
        <v>1620858</v>
      </c>
      <c r="S4327" t="s">
        <v>20627</v>
      </c>
      <c r="T4327" s="6">
        <v>42552</v>
      </c>
      <c r="U4327" s="4">
        <v>420000</v>
      </c>
      <c r="V4327" t="s">
        <v>23739</v>
      </c>
      <c r="W4327" t="s">
        <v>26028</v>
      </c>
      <c r="X4327" t="s">
        <v>3</v>
      </c>
      <c r="AA4327" s="5" t="str">
        <f>HYPERLINK("https://www.zillow.com/homes/335-DOUGLAS-AVE-NAPERVILLE-IL-605404411_rb/","check listing")</f>
        <v>check listing</v>
      </c>
      <c r="AB4327" s="5" t="str">
        <f>HYPERLINK("https://propertylookup.dupagecounty.gov/Datalets/Datalet.aspx?UseSearch=no&amp;mode=sales&amp;pin=0713224014","sales record")</f>
        <v>sales record</v>
      </c>
      <c r="AC4327" t="s">
        <v>3</v>
      </c>
      <c r="AD4327">
        <v>41.777542</v>
      </c>
      <c r="AE4327">
        <v>-88.153868</v>
      </c>
      <c r="AF4327" s="5" t="str">
        <f>HYPERLINK("https://www.google.com/maps/search/?api=1&amp;query=41.777542,-88.153868","map")</f>
        <v>map</v>
      </c>
    </row>
    <row r="4328" spans="1:32">
      <c r="A4328" t="s">
        <v>4378</v>
      </c>
      <c r="B4328" t="s">
        <v>11911</v>
      </c>
      <c r="C4328" t="s">
        <v>15478</v>
      </c>
      <c r="D4328" t="s">
        <v>16206</v>
      </c>
      <c r="E4328" t="s">
        <v>16218</v>
      </c>
      <c r="F4328" t="s">
        <v>16221</v>
      </c>
      <c r="G4328" t="s">
        <v>16277</v>
      </c>
      <c r="H4328" t="s">
        <v>16277</v>
      </c>
      <c r="I4328" t="s">
        <v>16353</v>
      </c>
      <c r="J4328" t="s">
        <v>16386</v>
      </c>
      <c r="K4328">
        <v>0.199</v>
      </c>
      <c r="L4328">
        <v>8647</v>
      </c>
      <c r="M4328">
        <v>2737</v>
      </c>
      <c r="N4328" t="s">
        <v>16393</v>
      </c>
      <c r="O4328" s="4">
        <v>117679</v>
      </c>
      <c r="P4328" s="4">
        <v>70102</v>
      </c>
      <c r="Q4328" s="4">
        <v>187781</v>
      </c>
      <c r="R4328" s="4">
        <v>563343</v>
      </c>
      <c r="S4328" t="s">
        <v>20628</v>
      </c>
      <c r="T4328" s="6">
        <v>45393</v>
      </c>
      <c r="U4328" s="4">
        <v>480000</v>
      </c>
      <c r="V4328" t="s">
        <v>23739</v>
      </c>
      <c r="W4328" t="s">
        <v>26029</v>
      </c>
      <c r="X4328" t="s">
        <v>3</v>
      </c>
      <c r="AA4328" s="5" t="str">
        <f>HYPERLINK("https://www.zillow.com/homes/827-N-LOOMIS-ST-NAPERVILLE-IL-60563_rb/","check listing")</f>
        <v>check listing</v>
      </c>
      <c r="AB4328" s="5" t="str">
        <f>HYPERLINK("https://propertylookup.dupagecounty.gov/Datalets/Datalet.aspx?UseSearch=no&amp;mode=sales&amp;pin=0807316015","sales record")</f>
        <v>sales record</v>
      </c>
      <c r="AC4328" t="s">
        <v>3</v>
      </c>
      <c r="AD4328">
        <v>41.784935</v>
      </c>
      <c r="AE4328">
        <v>-88.141824</v>
      </c>
      <c r="AF4328" s="5" t="str">
        <f>HYPERLINK("https://www.google.com/maps/search/?api=1&amp;query=41.784935,-88.141824","map")</f>
        <v>map</v>
      </c>
    </row>
    <row r="4329" spans="1:32">
      <c r="A4329" t="s">
        <v>4379</v>
      </c>
      <c r="B4329" t="s">
        <v>11912</v>
      </c>
      <c r="C4329" t="s">
        <v>15478</v>
      </c>
      <c r="D4329" t="s">
        <v>16206</v>
      </c>
      <c r="E4329" t="s">
        <v>16218</v>
      </c>
      <c r="F4329" t="s">
        <v>16221</v>
      </c>
      <c r="G4329" t="s">
        <v>16277</v>
      </c>
      <c r="H4329" t="s">
        <v>16277</v>
      </c>
      <c r="I4329" t="s">
        <v>16353</v>
      </c>
      <c r="J4329" t="s">
        <v>16386</v>
      </c>
      <c r="K4329">
        <v>0.198</v>
      </c>
      <c r="L4329">
        <v>8645</v>
      </c>
      <c r="M4329">
        <v>2184</v>
      </c>
      <c r="N4329" t="s">
        <v>16393</v>
      </c>
      <c r="O4329" s="4">
        <v>112055</v>
      </c>
      <c r="P4329" s="4">
        <v>33047</v>
      </c>
      <c r="Q4329" s="4">
        <v>145102</v>
      </c>
      <c r="R4329" s="4">
        <v>435306</v>
      </c>
      <c r="S4329" t="s">
        <v>20629</v>
      </c>
      <c r="T4329" s="6">
        <v>45966</v>
      </c>
      <c r="U4329" s="4">
        <v>475000</v>
      </c>
      <c r="V4329" t="s">
        <v>23739</v>
      </c>
      <c r="W4329" t="s">
        <v>26030</v>
      </c>
      <c r="X4329" t="s">
        <v>3</v>
      </c>
      <c r="AA4329" s="5" t="str">
        <f>HYPERLINK("https://www.zillow.com/homes/837-N-LOOMIS-ST-NAPERVILLE-IL-60563_rb/","check listing")</f>
        <v>check listing</v>
      </c>
      <c r="AB4329" s="5" t="str">
        <f>HYPERLINK("https://propertylookup.dupagecounty.gov/Datalets/Datalet.aspx?UseSearch=no&amp;mode=sales&amp;pin=0807316014","sales record")</f>
        <v>sales record</v>
      </c>
      <c r="AC4329" t="s">
        <v>3</v>
      </c>
      <c r="AD4329">
        <v>41.785071</v>
      </c>
      <c r="AE4329">
        <v>-88.14180500000001</v>
      </c>
      <c r="AF4329" s="5" t="str">
        <f>HYPERLINK("https://www.google.com/maps/search/?api=1&amp;query=41.785071,-88.141805","map")</f>
        <v>map</v>
      </c>
    </row>
    <row r="4330" spans="1:32">
      <c r="A4330" t="s">
        <v>4380</v>
      </c>
      <c r="B4330" t="s">
        <v>11913</v>
      </c>
      <c r="C4330" t="s">
        <v>15475</v>
      </c>
      <c r="D4330" t="s">
        <v>16206</v>
      </c>
      <c r="E4330" t="s">
        <v>16218</v>
      </c>
      <c r="F4330" t="s">
        <v>16221</v>
      </c>
      <c r="G4330" t="s">
        <v>16277</v>
      </c>
      <c r="H4330" t="s">
        <v>16277</v>
      </c>
      <c r="I4330" t="s">
        <v>16353</v>
      </c>
      <c r="J4330" t="s">
        <v>16386</v>
      </c>
      <c r="K4330">
        <v>0.198</v>
      </c>
      <c r="L4330">
        <v>8645</v>
      </c>
      <c r="M4330">
        <v>3065</v>
      </c>
      <c r="N4330" t="s">
        <v>16393</v>
      </c>
      <c r="O4330" s="4">
        <v>119330</v>
      </c>
      <c r="P4330" s="4">
        <v>312233</v>
      </c>
      <c r="Q4330" s="4">
        <v>431563</v>
      </c>
      <c r="R4330" s="4">
        <v>1294689</v>
      </c>
      <c r="S4330" t="s">
        <v>20630</v>
      </c>
      <c r="T4330" s="6">
        <v>38261</v>
      </c>
      <c r="U4330" s="4">
        <v>442000</v>
      </c>
      <c r="V4330" t="s">
        <v>23739</v>
      </c>
      <c r="W4330" t="s">
        <v>26031</v>
      </c>
      <c r="X4330" t="s">
        <v>3</v>
      </c>
      <c r="AA4330" s="5" t="str">
        <f>HYPERLINK("https://www.zillow.com/homes/523-DOUGLAS-AVE-NAPERVILLE-IL-60540_rb/","check listing")</f>
        <v>check listing</v>
      </c>
      <c r="AB4330" s="5" t="str">
        <f>HYPERLINK("https://propertylookup.dupagecounty.gov/Datalets/Datalet.aspx?UseSearch=no&amp;mode=sales&amp;pin=0713220007","sales record")</f>
        <v>sales record</v>
      </c>
      <c r="AC4330" t="s">
        <v>3</v>
      </c>
      <c r="AD4330">
        <v>41.777693</v>
      </c>
      <c r="AE4330">
        <v>-88.15687699999999</v>
      </c>
      <c r="AF4330" s="5" t="str">
        <f>HYPERLINK("https://www.google.com/maps/search/?api=1&amp;query=41.777693,-88.156877","map")</f>
        <v>map</v>
      </c>
    </row>
    <row r="4331" spans="1:32">
      <c r="A4331" t="s">
        <v>4381</v>
      </c>
      <c r="B4331" t="s">
        <v>11914</v>
      </c>
      <c r="C4331" t="s">
        <v>15662</v>
      </c>
      <c r="D4331" t="s">
        <v>16206</v>
      </c>
      <c r="E4331" t="s">
        <v>16218</v>
      </c>
      <c r="F4331" t="s">
        <v>16221</v>
      </c>
      <c r="G4331" t="s">
        <v>16278</v>
      </c>
      <c r="H4331" t="s">
        <v>16277</v>
      </c>
      <c r="I4331" t="s">
        <v>16353</v>
      </c>
      <c r="J4331" t="s">
        <v>16386</v>
      </c>
      <c r="K4331">
        <v>0.198</v>
      </c>
      <c r="L4331">
        <v>8641</v>
      </c>
      <c r="N4331" t="s">
        <v>16393</v>
      </c>
      <c r="O4331" s="4">
        <v>56146</v>
      </c>
      <c r="P4331" s="4">
        <v>246643</v>
      </c>
      <c r="Q4331" s="4">
        <v>302789</v>
      </c>
      <c r="R4331" s="4">
        <v>908367</v>
      </c>
      <c r="S4331" t="s">
        <v>20631</v>
      </c>
      <c r="T4331" s="6">
        <v>44911</v>
      </c>
      <c r="U4331" s="4">
        <v>849087</v>
      </c>
      <c r="V4331" t="s">
        <v>16232</v>
      </c>
      <c r="W4331" t="s">
        <v>26032</v>
      </c>
      <c r="X4331" t="s">
        <v>3</v>
      </c>
      <c r="AA4331" s="5" t="str">
        <f>HYPERLINK("https://www.zillow.com/homes/2539-WEATHERBEE-LN-NAPERVILLE-IL-605631594_rb/","check listing")</f>
        <v>check listing</v>
      </c>
      <c r="AB4331" s="5" t="str">
        <f>HYPERLINK("https://propertylookup.dupagecounty.gov/Datalets/Datalet.aspx?UseSearch=no&amp;mode=sales&amp;pin=0532300039","sales record")</f>
        <v>sales record</v>
      </c>
      <c r="AC4331" t="s">
        <v>3</v>
      </c>
      <c r="AD4331">
        <v>41.819177</v>
      </c>
      <c r="AE4331">
        <v>-88.123543</v>
      </c>
      <c r="AF4331" s="5" t="str">
        <f>HYPERLINK("https://www.google.com/maps/search/?api=1&amp;query=41.819177,-88.123543","map")</f>
        <v>map</v>
      </c>
    </row>
    <row r="4332" spans="1:32">
      <c r="A4332" t="s">
        <v>4382</v>
      </c>
      <c r="B4332" t="s">
        <v>11915</v>
      </c>
      <c r="C4332" t="s">
        <v>15662</v>
      </c>
      <c r="D4332" t="s">
        <v>16206</v>
      </c>
      <c r="E4332" t="s">
        <v>16218</v>
      </c>
      <c r="F4332" t="s">
        <v>16221</v>
      </c>
      <c r="G4332" t="s">
        <v>16278</v>
      </c>
      <c r="H4332" t="s">
        <v>16277</v>
      </c>
      <c r="I4332" t="s">
        <v>16353</v>
      </c>
      <c r="J4332" t="s">
        <v>16386</v>
      </c>
      <c r="K4332">
        <v>0.198</v>
      </c>
      <c r="L4332">
        <v>8639</v>
      </c>
      <c r="N4332" t="s">
        <v>16393</v>
      </c>
      <c r="O4332" s="4">
        <v>56146</v>
      </c>
      <c r="P4332" s="4">
        <v>253229</v>
      </c>
      <c r="Q4332" s="4">
        <v>309375</v>
      </c>
      <c r="R4332" s="4">
        <v>928125</v>
      </c>
      <c r="S4332" t="s">
        <v>20632</v>
      </c>
      <c r="T4332" s="6">
        <v>45259</v>
      </c>
      <c r="U4332" s="4">
        <v>846064</v>
      </c>
      <c r="V4332" t="s">
        <v>16232</v>
      </c>
      <c r="W4332" t="s">
        <v>26033</v>
      </c>
      <c r="X4332" t="s">
        <v>3</v>
      </c>
      <c r="AA4332" s="5" t="str">
        <f>HYPERLINK("https://www.zillow.com/homes/1104-HIBBARD-RD-NAPERVILLE-IL-605631594_rb/","check listing")</f>
        <v>check listing</v>
      </c>
      <c r="AB4332" s="5" t="str">
        <f>HYPERLINK("https://propertylookup.dupagecounty.gov/Datalets/Datalet.aspx?UseSearch=no&amp;mode=sales&amp;pin=0532301001","sales record")</f>
        <v>sales record</v>
      </c>
      <c r="AC4332" t="s">
        <v>3</v>
      </c>
      <c r="AD4332">
        <v>41.820075</v>
      </c>
      <c r="AE4332">
        <v>-88.12416399999999</v>
      </c>
      <c r="AF4332" s="5" t="str">
        <f>HYPERLINK("https://www.google.com/maps/search/?api=1&amp;query=41.820075,-88.124164","map")</f>
        <v>map</v>
      </c>
    </row>
    <row r="4333" spans="1:32">
      <c r="A4333" t="s">
        <v>4383</v>
      </c>
      <c r="B4333" t="s">
        <v>11916</v>
      </c>
      <c r="C4333" t="s">
        <v>15662</v>
      </c>
      <c r="D4333" t="s">
        <v>16206</v>
      </c>
      <c r="E4333" t="s">
        <v>16218</v>
      </c>
      <c r="F4333" t="s">
        <v>16221</v>
      </c>
      <c r="G4333" t="s">
        <v>16278</v>
      </c>
      <c r="H4333" t="s">
        <v>16277</v>
      </c>
      <c r="I4333" t="s">
        <v>16353</v>
      </c>
      <c r="J4333" t="s">
        <v>16386</v>
      </c>
      <c r="K4333">
        <v>0.198</v>
      </c>
      <c r="L4333">
        <v>8639</v>
      </c>
      <c r="N4333" t="s">
        <v>16393</v>
      </c>
      <c r="O4333" s="4">
        <v>56146</v>
      </c>
      <c r="P4333" s="4">
        <v>222412</v>
      </c>
      <c r="Q4333" s="4">
        <v>278558</v>
      </c>
      <c r="R4333" s="4">
        <v>835674</v>
      </c>
      <c r="S4333" t="s">
        <v>20633</v>
      </c>
      <c r="X4333" t="s">
        <v>3</v>
      </c>
      <c r="AA4333" s="5" t="str">
        <f>HYPERLINK("https://www.zillow.com/homes/1103-HIBBARD-RD-NAPERVILLE-IL-605631594_rb/","check listing")</f>
        <v>check listing</v>
      </c>
      <c r="AB4333" s="5" t="str">
        <f>HYPERLINK("https://propertylookup.dupagecounty.gov/Datalets/Datalet.aspx?UseSearch=no&amp;mode=sales&amp;pin=0532300068","sales record")</f>
        <v>sales record</v>
      </c>
      <c r="AC4333" t="s">
        <v>3</v>
      </c>
      <c r="AD4333">
        <v>41.820568</v>
      </c>
      <c r="AE4333">
        <v>-88.12409700000001</v>
      </c>
      <c r="AF4333" s="5" t="str">
        <f>HYPERLINK("https://www.google.com/maps/search/?api=1&amp;query=41.820568,-88.124097","map")</f>
        <v>map</v>
      </c>
    </row>
    <row r="4334" spans="1:32">
      <c r="A4334" t="s">
        <v>4384</v>
      </c>
      <c r="B4334" t="s">
        <v>11917</v>
      </c>
      <c r="C4334" t="s">
        <v>15724</v>
      </c>
      <c r="D4334" t="s">
        <v>16206</v>
      </c>
      <c r="E4334" t="s">
        <v>16218</v>
      </c>
      <c r="F4334" t="s">
        <v>16221</v>
      </c>
      <c r="G4334" t="s">
        <v>16277</v>
      </c>
      <c r="H4334" t="s">
        <v>16277</v>
      </c>
      <c r="I4334" t="s">
        <v>16353</v>
      </c>
      <c r="J4334" t="s">
        <v>16386</v>
      </c>
      <c r="K4334">
        <v>0.198</v>
      </c>
      <c r="L4334">
        <v>8638</v>
      </c>
      <c r="M4334">
        <v>3924</v>
      </c>
      <c r="N4334" t="s">
        <v>16393</v>
      </c>
      <c r="O4334" s="4">
        <v>96572</v>
      </c>
      <c r="P4334" s="4">
        <v>232327</v>
      </c>
      <c r="Q4334" s="4">
        <v>328899</v>
      </c>
      <c r="R4334" s="4">
        <v>986697</v>
      </c>
      <c r="S4334" t="s">
        <v>20634</v>
      </c>
      <c r="T4334" s="6">
        <v>44531</v>
      </c>
      <c r="U4334" s="4">
        <v>785000</v>
      </c>
      <c r="V4334" t="s">
        <v>23739</v>
      </c>
      <c r="W4334" t="s">
        <v>26034</v>
      </c>
      <c r="X4334" t="s">
        <v>3</v>
      </c>
      <c r="AA4334" s="5" t="str">
        <f>HYPERLINK("https://www.zillow.com/homes/839-N-LOOMIS-ST-NAPERVILLE-IL-605633225_rb/","check listing")</f>
        <v>check listing</v>
      </c>
      <c r="AB4334" s="5" t="str">
        <f>HYPERLINK("https://propertylookup.dupagecounty.gov/Datalets/Datalet.aspx?UseSearch=no&amp;mode=sales&amp;pin=0807316013","sales record")</f>
        <v>sales record</v>
      </c>
      <c r="AC4334" t="s">
        <v>3</v>
      </c>
      <c r="AD4334">
        <v>41.785208</v>
      </c>
      <c r="AE4334">
        <v>-88.141786</v>
      </c>
      <c r="AF4334" s="5" t="str">
        <f>HYPERLINK("https://www.google.com/maps/search/?api=1&amp;query=41.785208,-88.141786","map")</f>
        <v>map</v>
      </c>
    </row>
    <row r="4335" spans="1:32">
      <c r="A4335" t="s">
        <v>4385</v>
      </c>
      <c r="B4335" t="s">
        <v>11918</v>
      </c>
      <c r="C4335" t="s">
        <v>15726</v>
      </c>
      <c r="D4335" t="s">
        <v>16206</v>
      </c>
      <c r="E4335" t="s">
        <v>16218</v>
      </c>
      <c r="F4335" t="s">
        <v>16221</v>
      </c>
      <c r="G4335" t="s">
        <v>16277</v>
      </c>
      <c r="H4335" t="s">
        <v>16277</v>
      </c>
      <c r="I4335" t="s">
        <v>16353</v>
      </c>
      <c r="J4335" t="s">
        <v>16386</v>
      </c>
      <c r="K4335">
        <v>0.198</v>
      </c>
      <c r="L4335">
        <v>8633</v>
      </c>
      <c r="M4335">
        <v>2952</v>
      </c>
      <c r="N4335" t="s">
        <v>16393</v>
      </c>
      <c r="O4335" s="4">
        <v>137967</v>
      </c>
      <c r="P4335" s="4">
        <v>332335</v>
      </c>
      <c r="Q4335" s="4">
        <v>470302</v>
      </c>
      <c r="R4335" s="4">
        <v>1410906</v>
      </c>
      <c r="S4335" t="s">
        <v>20635</v>
      </c>
      <c r="T4335" s="6">
        <v>45575</v>
      </c>
      <c r="U4335" s="4">
        <v>1470000</v>
      </c>
      <c r="V4335" t="s">
        <v>23739</v>
      </c>
      <c r="W4335" t="s">
        <v>26035</v>
      </c>
      <c r="X4335" t="s">
        <v>3</v>
      </c>
      <c r="AA4335" s="5" t="str">
        <f>HYPERLINK("https://www.zillow.com/homes/514-W-BENTON-AVE-NAPERVILLE-IL-605404408_rb/","check listing")</f>
        <v>check listing</v>
      </c>
      <c r="AB4335" s="5" t="str">
        <f>HYPERLINK("https://propertylookup.dupagecounty.gov/Datalets/Datalet.aspx?UseSearch=no&amp;mode=sales&amp;pin=0713413002","sales record")</f>
        <v>sales record</v>
      </c>
      <c r="AC4335" t="s">
        <v>3</v>
      </c>
      <c r="AD4335">
        <v>41.775086</v>
      </c>
      <c r="AE4335">
        <v>-88.15674199999999</v>
      </c>
      <c r="AF4335" s="5" t="str">
        <f>HYPERLINK("https://www.google.com/maps/search/?api=1&amp;query=41.775086,-88.156742","map")</f>
        <v>map</v>
      </c>
    </row>
    <row r="4336" spans="1:32">
      <c r="A4336" t="s">
        <v>4386</v>
      </c>
      <c r="B4336" t="s">
        <v>11919</v>
      </c>
      <c r="C4336" t="s">
        <v>15475</v>
      </c>
      <c r="D4336" t="s">
        <v>16206</v>
      </c>
      <c r="E4336" t="s">
        <v>16218</v>
      </c>
      <c r="F4336" t="s">
        <v>16221</v>
      </c>
      <c r="G4336" t="s">
        <v>16277</v>
      </c>
      <c r="H4336" t="s">
        <v>16277</v>
      </c>
      <c r="I4336" t="s">
        <v>16353</v>
      </c>
      <c r="J4336" t="s">
        <v>16386</v>
      </c>
      <c r="K4336">
        <v>0.198</v>
      </c>
      <c r="L4336">
        <v>8621</v>
      </c>
      <c r="M4336">
        <v>4818</v>
      </c>
      <c r="N4336" t="s">
        <v>16393</v>
      </c>
      <c r="O4336" s="4">
        <v>118465</v>
      </c>
      <c r="P4336" s="4">
        <v>343763</v>
      </c>
      <c r="Q4336" s="4">
        <v>462228</v>
      </c>
      <c r="R4336" s="4">
        <v>1386684</v>
      </c>
      <c r="S4336" t="s">
        <v>20636</v>
      </c>
      <c r="T4336" s="6">
        <v>31625</v>
      </c>
      <c r="U4336" s="4">
        <v>50000</v>
      </c>
      <c r="X4336" t="s">
        <v>3</v>
      </c>
      <c r="AA4336" s="5" t="str">
        <f>HYPERLINK("https://www.zillow.com/homes/130-N-ELLSWORTH-ST-NAPERVILLE-IL-60540_rb/","check listing")</f>
        <v>check listing</v>
      </c>
      <c r="AB4336" s="5" t="str">
        <f>HYPERLINK("https://propertylookup.dupagecounty.gov/Datalets/Datalet.aspx?UseSearch=no&amp;mode=sales&amp;pin=0818302012","sales record")</f>
        <v>sales record</v>
      </c>
      <c r="AC4336" t="s">
        <v>3</v>
      </c>
      <c r="AD4336">
        <v>41.776781</v>
      </c>
      <c r="AE4336">
        <v>-88.14460699999999</v>
      </c>
      <c r="AF4336" s="5" t="str">
        <f>HYPERLINK("https://www.google.com/maps/search/?api=1&amp;query=41.776781,-88.144607","map")</f>
        <v>map</v>
      </c>
    </row>
    <row r="4337" spans="1:32">
      <c r="A4337" t="s">
        <v>4387</v>
      </c>
      <c r="B4337" t="s">
        <v>11920</v>
      </c>
      <c r="C4337" t="s">
        <v>15662</v>
      </c>
      <c r="D4337" t="s">
        <v>16206</v>
      </c>
      <c r="E4337" t="s">
        <v>16218</v>
      </c>
      <c r="F4337" t="s">
        <v>16221</v>
      </c>
      <c r="G4337" t="s">
        <v>16278</v>
      </c>
      <c r="H4337" t="s">
        <v>16277</v>
      </c>
      <c r="I4337" t="s">
        <v>16353</v>
      </c>
      <c r="J4337" t="s">
        <v>16386</v>
      </c>
      <c r="K4337">
        <v>0.198</v>
      </c>
      <c r="L4337">
        <v>8610</v>
      </c>
      <c r="N4337" t="s">
        <v>16393</v>
      </c>
      <c r="O4337" s="4">
        <v>56146</v>
      </c>
      <c r="P4337" s="4">
        <v>238172</v>
      </c>
      <c r="Q4337" s="4">
        <v>294318</v>
      </c>
      <c r="R4337" s="4">
        <v>882954</v>
      </c>
      <c r="S4337" t="s">
        <v>20637</v>
      </c>
      <c r="T4337" s="6">
        <v>45040</v>
      </c>
      <c r="U4337" s="4">
        <v>870258</v>
      </c>
      <c r="V4337" t="s">
        <v>16232</v>
      </c>
      <c r="W4337" t="s">
        <v>26036</v>
      </c>
      <c r="X4337" t="s">
        <v>3</v>
      </c>
      <c r="AA4337" s="5" t="str">
        <f>HYPERLINK("https://www.zillow.com/homes/2551-WEATHERBEE-LN-NAPERVILLE-IL-605631594_rb/","check listing")</f>
        <v>check listing</v>
      </c>
      <c r="AB4337" s="5" t="str">
        <f>HYPERLINK("https://propertylookup.dupagecounty.gov/Datalets/Datalet.aspx?UseSearch=no&amp;mode=sales&amp;pin=0532300042","sales record")</f>
        <v>sales record</v>
      </c>
      <c r="AC4337" t="s">
        <v>3</v>
      </c>
      <c r="AD4337">
        <v>41.819235</v>
      </c>
      <c r="AE4337">
        <v>-88.124273</v>
      </c>
      <c r="AF4337" s="5" t="str">
        <f>HYPERLINK("https://www.google.com/maps/search/?api=1&amp;query=41.819235,-88.124273","map")</f>
        <v>map</v>
      </c>
    </row>
    <row r="4338" spans="1:32">
      <c r="A4338" t="s">
        <v>4388</v>
      </c>
      <c r="B4338" t="s">
        <v>11921</v>
      </c>
      <c r="C4338" t="s">
        <v>15710</v>
      </c>
      <c r="D4338" t="s">
        <v>16206</v>
      </c>
      <c r="E4338" t="s">
        <v>16218</v>
      </c>
      <c r="F4338" t="s">
        <v>16221</v>
      </c>
      <c r="G4338" t="s">
        <v>16277</v>
      </c>
      <c r="H4338" t="s">
        <v>16277</v>
      </c>
      <c r="I4338" t="s">
        <v>16353</v>
      </c>
      <c r="J4338" t="s">
        <v>16386</v>
      </c>
      <c r="K4338">
        <v>0.198</v>
      </c>
      <c r="L4338">
        <v>8608</v>
      </c>
      <c r="M4338">
        <v>1584</v>
      </c>
      <c r="N4338" t="s">
        <v>16393</v>
      </c>
      <c r="O4338" s="4">
        <v>137967</v>
      </c>
      <c r="P4338" s="4">
        <v>409679</v>
      </c>
      <c r="Q4338" s="4">
        <v>547646</v>
      </c>
      <c r="R4338" s="4">
        <v>1642938</v>
      </c>
      <c r="S4338" t="s">
        <v>20638</v>
      </c>
      <c r="X4338" t="s">
        <v>3</v>
      </c>
      <c r="AA4338" s="5" t="str">
        <f>HYPERLINK("https://www.zillow.com/homes/151-N-EWING-ST-NAPERVILLE-IL-605404427_rb/","check listing")</f>
        <v>check listing</v>
      </c>
      <c r="AB4338" s="5" t="str">
        <f>HYPERLINK("https://propertylookup.dupagecounty.gov/Datalets/Datalet.aspx?UseSearch=no&amp;mode=sales&amp;pin=0713221005","sales record")</f>
        <v>sales record</v>
      </c>
      <c r="AC4338" t="s">
        <v>27873</v>
      </c>
      <c r="AD4338">
        <v>41.777183</v>
      </c>
      <c r="AE4338">
        <v>-88.156509</v>
      </c>
      <c r="AF4338" s="5" t="str">
        <f>HYPERLINK("https://www.google.com/maps/search/?api=1&amp;query=41.777183,-88.156509","map")</f>
        <v>map</v>
      </c>
    </row>
    <row r="4339" spans="1:32">
      <c r="A4339" t="s">
        <v>4389</v>
      </c>
      <c r="B4339" t="s">
        <v>11922</v>
      </c>
      <c r="C4339" t="s">
        <v>15662</v>
      </c>
      <c r="D4339" t="s">
        <v>16206</v>
      </c>
      <c r="E4339" t="s">
        <v>16218</v>
      </c>
      <c r="F4339" t="s">
        <v>16221</v>
      </c>
      <c r="G4339" t="s">
        <v>16278</v>
      </c>
      <c r="H4339" t="s">
        <v>16277</v>
      </c>
      <c r="I4339" t="s">
        <v>16353</v>
      </c>
      <c r="J4339" t="s">
        <v>16386</v>
      </c>
      <c r="K4339">
        <v>0.197</v>
      </c>
      <c r="L4339">
        <v>8602</v>
      </c>
      <c r="N4339" t="s">
        <v>16393</v>
      </c>
      <c r="O4339" s="4">
        <v>56146</v>
      </c>
      <c r="P4339" s="4">
        <v>221487</v>
      </c>
      <c r="Q4339" s="4">
        <v>277633</v>
      </c>
      <c r="R4339" s="4">
        <v>832899</v>
      </c>
      <c r="S4339" t="s">
        <v>20639</v>
      </c>
      <c r="T4339" s="6">
        <v>45170</v>
      </c>
      <c r="U4339" s="4">
        <v>779151</v>
      </c>
      <c r="V4339" t="s">
        <v>16232</v>
      </c>
      <c r="W4339" t="s">
        <v>26037</v>
      </c>
      <c r="X4339" t="s">
        <v>3</v>
      </c>
      <c r="AA4339" s="5" t="str">
        <f>HYPERLINK("https://www.zillow.com/homes/1115-HIBBARD-RD-NAPERVILLE-IL-605631594_rb/","check listing")</f>
        <v>check listing</v>
      </c>
      <c r="AB4339" s="5" t="str">
        <f>HYPERLINK("https://propertylookup.dupagecounty.gov/Datalets/Datalet.aspx?UseSearch=no&amp;mode=sales&amp;pin=0532300071","sales record")</f>
        <v>sales record</v>
      </c>
      <c r="AC4339" t="s">
        <v>3</v>
      </c>
      <c r="AD4339">
        <v>41.820524</v>
      </c>
      <c r="AE4339">
        <v>-88.12336500000001</v>
      </c>
      <c r="AF4339" s="5" t="str">
        <f>HYPERLINK("https://www.google.com/maps/search/?api=1&amp;query=41.820524,-88.123365","map")</f>
        <v>map</v>
      </c>
    </row>
    <row r="4340" spans="1:32">
      <c r="A4340" t="s">
        <v>4390</v>
      </c>
      <c r="B4340" t="s">
        <v>11923</v>
      </c>
      <c r="C4340" t="s">
        <v>15475</v>
      </c>
      <c r="D4340" t="s">
        <v>16206</v>
      </c>
      <c r="E4340" t="s">
        <v>16218</v>
      </c>
      <c r="F4340" t="s">
        <v>16221</v>
      </c>
      <c r="G4340" t="s">
        <v>16277</v>
      </c>
      <c r="H4340" t="s">
        <v>16277</v>
      </c>
      <c r="I4340" t="s">
        <v>16353</v>
      </c>
      <c r="J4340" t="s">
        <v>16386</v>
      </c>
      <c r="K4340">
        <v>0.197</v>
      </c>
      <c r="L4340">
        <v>8602</v>
      </c>
      <c r="M4340">
        <v>2902</v>
      </c>
      <c r="N4340" t="s">
        <v>16393</v>
      </c>
      <c r="O4340" s="4">
        <v>137967</v>
      </c>
      <c r="P4340" s="4">
        <v>361762</v>
      </c>
      <c r="Q4340" s="4">
        <v>499729</v>
      </c>
      <c r="R4340" s="4">
        <v>1499187</v>
      </c>
      <c r="S4340" t="s">
        <v>20640</v>
      </c>
      <c r="T4340" s="6">
        <v>45805</v>
      </c>
      <c r="U4340" s="4">
        <v>1495000</v>
      </c>
      <c r="V4340" t="s">
        <v>23739</v>
      </c>
      <c r="W4340" t="s">
        <v>26038</v>
      </c>
      <c r="X4340" t="s">
        <v>3</v>
      </c>
      <c r="AA4340" s="5" t="str">
        <f>HYPERLINK("https://www.zillow.com/homes/3-S-EWING-ST-NAPERVILLE-IL-60540_rb/","check listing")</f>
        <v>check listing</v>
      </c>
      <c r="AB4340" s="5" t="str">
        <f>HYPERLINK("https://propertylookup.dupagecounty.gov/Datalets/Datalet.aspx?UseSearch=no&amp;mode=sales&amp;pin=0713413003","sales record")</f>
        <v>sales record</v>
      </c>
      <c r="AC4340" t="s">
        <v>3</v>
      </c>
      <c r="AD4340">
        <v>41.77508</v>
      </c>
      <c r="AE4340">
        <v>-88.15649999999999</v>
      </c>
      <c r="AF4340" s="5" t="str">
        <f>HYPERLINK("https://www.google.com/maps/search/?api=1&amp;query=41.77508,-88.1565","map")</f>
        <v>map</v>
      </c>
    </row>
    <row r="4341" spans="1:32">
      <c r="A4341" t="s">
        <v>4391</v>
      </c>
      <c r="B4341" t="s">
        <v>11924</v>
      </c>
      <c r="C4341" t="s">
        <v>15475</v>
      </c>
      <c r="D4341" t="s">
        <v>16206</v>
      </c>
      <c r="E4341" t="s">
        <v>16218</v>
      </c>
      <c r="F4341" t="s">
        <v>16221</v>
      </c>
      <c r="G4341" t="s">
        <v>16277</v>
      </c>
      <c r="H4341" t="s">
        <v>16277</v>
      </c>
      <c r="I4341" t="s">
        <v>16353</v>
      </c>
      <c r="J4341" t="s">
        <v>16386</v>
      </c>
      <c r="K4341">
        <v>0.197</v>
      </c>
      <c r="L4341">
        <v>8597</v>
      </c>
      <c r="M4341">
        <v>3035</v>
      </c>
      <c r="N4341" t="s">
        <v>16393</v>
      </c>
      <c r="O4341" s="4">
        <v>118134</v>
      </c>
      <c r="P4341" s="4">
        <v>347970</v>
      </c>
      <c r="Q4341" s="4">
        <v>466104</v>
      </c>
      <c r="R4341" s="4">
        <v>1398312</v>
      </c>
      <c r="S4341" t="s">
        <v>20641</v>
      </c>
      <c r="T4341" s="6">
        <v>41122</v>
      </c>
      <c r="U4341" s="4">
        <v>320000</v>
      </c>
      <c r="V4341" t="s">
        <v>23739</v>
      </c>
      <c r="W4341" t="s">
        <v>20641</v>
      </c>
      <c r="X4341" t="s">
        <v>3</v>
      </c>
      <c r="AA4341" s="5" t="str">
        <f>HYPERLINK("https://www.zillow.com/homes/603-COTTAGE-AVE-NAPERVILLE-IL-60540_rb/","check listing")</f>
        <v>check listing</v>
      </c>
      <c r="AB4341" s="5" t="str">
        <f>HYPERLINK("https://propertylookup.dupagecounty.gov/Datalets/Datalet.aspx?UseSearch=no&amp;mode=sales&amp;pin=0713107008","sales record")</f>
        <v>sales record</v>
      </c>
      <c r="AC4341" t="s">
        <v>3</v>
      </c>
      <c r="AD4341">
        <v>41.776866</v>
      </c>
      <c r="AE4341">
        <v>-88.157883</v>
      </c>
      <c r="AF4341" s="5" t="str">
        <f>HYPERLINK("https://www.google.com/maps/search/?api=1&amp;query=41.776866,-88.157883","map")</f>
        <v>map</v>
      </c>
    </row>
    <row r="4342" spans="1:32">
      <c r="A4342" t="s">
        <v>4392</v>
      </c>
      <c r="B4342" t="s">
        <v>11925</v>
      </c>
      <c r="C4342" t="s">
        <v>15662</v>
      </c>
      <c r="D4342" t="s">
        <v>16206</v>
      </c>
      <c r="E4342" t="s">
        <v>16218</v>
      </c>
      <c r="F4342" t="s">
        <v>16221</v>
      </c>
      <c r="G4342" t="s">
        <v>16278</v>
      </c>
      <c r="H4342" t="s">
        <v>16277</v>
      </c>
      <c r="I4342" t="s">
        <v>16353</v>
      </c>
      <c r="J4342" t="s">
        <v>16386</v>
      </c>
      <c r="K4342">
        <v>0.197</v>
      </c>
      <c r="L4342">
        <v>8595</v>
      </c>
      <c r="N4342" t="s">
        <v>16393</v>
      </c>
      <c r="O4342" s="4">
        <v>56146</v>
      </c>
      <c r="P4342" s="4">
        <v>229370</v>
      </c>
      <c r="Q4342" s="4">
        <v>285516</v>
      </c>
      <c r="R4342" s="4">
        <v>856548</v>
      </c>
      <c r="S4342" t="s">
        <v>20642</v>
      </c>
      <c r="T4342" s="6">
        <v>45058</v>
      </c>
      <c r="U4342" s="4">
        <v>784912</v>
      </c>
      <c r="V4342" t="s">
        <v>16232</v>
      </c>
      <c r="W4342" t="s">
        <v>26039</v>
      </c>
      <c r="X4342" t="s">
        <v>3</v>
      </c>
      <c r="AA4342" s="5" t="str">
        <f>HYPERLINK("https://www.zillow.com/homes/1116-HIBBARD-RD-NAPERVILLE-IL-605631594_rb/","check listing")</f>
        <v>check listing</v>
      </c>
      <c r="AB4342" s="5" t="str">
        <f>HYPERLINK("https://propertylookup.dupagecounty.gov/Datalets/Datalet.aspx?UseSearch=no&amp;mode=sales&amp;pin=0532301004","sales record")</f>
        <v>sales record</v>
      </c>
      <c r="AC4342" t="s">
        <v>3</v>
      </c>
      <c r="AD4342">
        <v>41.819974</v>
      </c>
      <c r="AE4342">
        <v>-88.12343799999999</v>
      </c>
      <c r="AF4342" s="5" t="str">
        <f>HYPERLINK("https://www.google.com/maps/search/?api=1&amp;query=41.819974,-88.123438","map")</f>
        <v>map</v>
      </c>
    </row>
    <row r="4343" spans="1:32">
      <c r="A4343" t="s">
        <v>4393</v>
      </c>
      <c r="B4343" t="s">
        <v>11926</v>
      </c>
      <c r="C4343" t="s">
        <v>15689</v>
      </c>
      <c r="D4343" t="s">
        <v>16206</v>
      </c>
      <c r="E4343" t="s">
        <v>16218</v>
      </c>
      <c r="F4343" t="s">
        <v>16221</v>
      </c>
      <c r="G4343" t="s">
        <v>16278</v>
      </c>
      <c r="H4343" t="s">
        <v>16277</v>
      </c>
      <c r="I4343" t="s">
        <v>16353</v>
      </c>
      <c r="J4343" t="s">
        <v>16386</v>
      </c>
      <c r="K4343">
        <v>0.197</v>
      </c>
      <c r="L4343">
        <v>8586</v>
      </c>
      <c r="N4343" t="s">
        <v>16393</v>
      </c>
      <c r="O4343" s="4">
        <v>62979</v>
      </c>
      <c r="P4343" s="4">
        <v>202874</v>
      </c>
      <c r="Q4343" s="4">
        <v>265853</v>
      </c>
      <c r="R4343" s="4">
        <v>797559</v>
      </c>
      <c r="S4343" t="s">
        <v>20643</v>
      </c>
      <c r="T4343" s="6">
        <v>43221</v>
      </c>
      <c r="U4343" s="4">
        <v>579338</v>
      </c>
      <c r="V4343" t="s">
        <v>16232</v>
      </c>
      <c r="W4343" t="s">
        <v>26040</v>
      </c>
      <c r="X4343" t="s">
        <v>3</v>
      </c>
      <c r="AA4343" s="5" t="str">
        <f>HYPERLINK("https://www.zillow.com/homes/1548-BAYOU-PATH-DR-NAPERVILLE-IL-605633490_rb/","check listing")</f>
        <v>check listing</v>
      </c>
      <c r="AB4343" s="5" t="str">
        <f>HYPERLINK("https://propertylookup.dupagecounty.gov/Datalets/Datalet.aspx?UseSearch=no&amp;mode=sales&amp;pin=0709105038","sales record")</f>
        <v>sales record</v>
      </c>
      <c r="AC4343" t="s">
        <v>3</v>
      </c>
      <c r="AD4343">
        <v>41.793791</v>
      </c>
      <c r="AE4343">
        <v>-88.218385</v>
      </c>
      <c r="AF4343" s="5" t="str">
        <f>HYPERLINK("https://www.google.com/maps/search/?api=1&amp;query=41.793791,-88.218385","map")</f>
        <v>map</v>
      </c>
    </row>
    <row r="4344" spans="1:32">
      <c r="A4344" t="s">
        <v>4394</v>
      </c>
      <c r="B4344" t="s">
        <v>11927</v>
      </c>
      <c r="C4344" t="s">
        <v>15478</v>
      </c>
      <c r="D4344" t="s">
        <v>16206</v>
      </c>
      <c r="E4344" t="s">
        <v>16218</v>
      </c>
      <c r="F4344" t="s">
        <v>16221</v>
      </c>
      <c r="G4344" t="s">
        <v>16277</v>
      </c>
      <c r="H4344" t="s">
        <v>16277</v>
      </c>
      <c r="I4344" t="s">
        <v>16353</v>
      </c>
      <c r="J4344" t="s">
        <v>16386</v>
      </c>
      <c r="K4344">
        <v>0.197</v>
      </c>
      <c r="L4344">
        <v>8583</v>
      </c>
      <c r="M4344">
        <v>1979</v>
      </c>
      <c r="N4344" t="s">
        <v>16393</v>
      </c>
      <c r="O4344" s="4">
        <v>74905</v>
      </c>
      <c r="P4344" s="4">
        <v>67331</v>
      </c>
      <c r="Q4344" s="4">
        <v>142236</v>
      </c>
      <c r="R4344" s="4">
        <v>426708</v>
      </c>
      <c r="S4344" t="s">
        <v>20644</v>
      </c>
      <c r="T4344" s="6">
        <v>43221</v>
      </c>
      <c r="U4344" s="4">
        <v>260000</v>
      </c>
      <c r="V4344" t="s">
        <v>23739</v>
      </c>
      <c r="W4344" t="s">
        <v>20644</v>
      </c>
      <c r="X4344" t="s">
        <v>3</v>
      </c>
      <c r="AA4344" s="5" t="str">
        <f>HYPERLINK("https://www.zillow.com/homes/971-N-SLEIGHT-ST-NAPERVILLE-IL-60563_rb/","check listing")</f>
        <v>check listing</v>
      </c>
      <c r="AB4344" s="5" t="str">
        <f>HYPERLINK("https://propertylookup.dupagecounty.gov/Datalets/Datalet.aspx?UseSearch=no&amp;mode=sales&amp;pin=0807311014","sales record")</f>
        <v>sales record</v>
      </c>
      <c r="AC4344" t="s">
        <v>3</v>
      </c>
      <c r="AD4344">
        <v>41.787453</v>
      </c>
      <c r="AE4344">
        <v>-88.140094</v>
      </c>
      <c r="AF4344" s="5" t="str">
        <f>HYPERLINK("https://www.google.com/maps/search/?api=1&amp;query=41.787453,-88.140094","map")</f>
        <v>map</v>
      </c>
    </row>
    <row r="4345" spans="1:32">
      <c r="A4345" t="s">
        <v>4395</v>
      </c>
      <c r="B4345" t="s">
        <v>11928</v>
      </c>
      <c r="C4345" t="s">
        <v>15478</v>
      </c>
      <c r="D4345" t="s">
        <v>16206</v>
      </c>
      <c r="E4345" t="s">
        <v>16218</v>
      </c>
      <c r="F4345" t="s">
        <v>16221</v>
      </c>
      <c r="G4345" t="s">
        <v>16277</v>
      </c>
      <c r="H4345" t="s">
        <v>16277</v>
      </c>
      <c r="I4345" t="s">
        <v>16353</v>
      </c>
      <c r="J4345" t="s">
        <v>16386</v>
      </c>
      <c r="K4345">
        <v>0.197</v>
      </c>
      <c r="L4345">
        <v>8578</v>
      </c>
      <c r="N4345" t="s">
        <v>16393</v>
      </c>
      <c r="O4345" s="4">
        <v>99105</v>
      </c>
      <c r="P4345" s="4">
        <v>49374</v>
      </c>
      <c r="Q4345" s="4">
        <v>148479</v>
      </c>
      <c r="R4345" s="4">
        <v>445437</v>
      </c>
      <c r="S4345" t="s">
        <v>20645</v>
      </c>
      <c r="T4345" s="6">
        <v>36465</v>
      </c>
      <c r="U4345" s="4">
        <v>209900</v>
      </c>
      <c r="X4345" t="s">
        <v>3</v>
      </c>
      <c r="AA4345" s="5" t="str">
        <f>HYPERLINK("https://www.zillow.com/homes/519-E-8TH-AVE-NAPERVILLE-IL-60563_rb/","check listing")</f>
        <v>check listing</v>
      </c>
      <c r="AB4345" s="5" t="str">
        <f>HYPERLINK("https://propertylookup.dupagecounty.gov/Datalets/Datalet.aspx?UseSearch=no&amp;mode=sales&amp;pin=0818122004","sales record")</f>
        <v>sales record</v>
      </c>
      <c r="AC4345" t="s">
        <v>3</v>
      </c>
      <c r="AD4345">
        <v>41.783946</v>
      </c>
      <c r="AE4345">
        <v>-88.139132</v>
      </c>
      <c r="AF4345" s="5" t="str">
        <f>HYPERLINK("https://www.google.com/maps/search/?api=1&amp;query=41.783946,-88.139132","map")</f>
        <v>map</v>
      </c>
    </row>
    <row r="4346" spans="1:32">
      <c r="A4346" t="s">
        <v>4396</v>
      </c>
      <c r="B4346" t="s">
        <v>11929</v>
      </c>
      <c r="C4346" t="s">
        <v>15727</v>
      </c>
      <c r="D4346" t="s">
        <v>16206</v>
      </c>
      <c r="E4346" t="s">
        <v>16218</v>
      </c>
      <c r="F4346" t="s">
        <v>16221</v>
      </c>
      <c r="G4346" t="s">
        <v>16277</v>
      </c>
      <c r="H4346" t="s">
        <v>16277</v>
      </c>
      <c r="I4346" t="s">
        <v>16353</v>
      </c>
      <c r="J4346" t="s">
        <v>16386</v>
      </c>
      <c r="K4346">
        <v>0.197</v>
      </c>
      <c r="L4346">
        <v>8573</v>
      </c>
      <c r="M4346">
        <v>1188</v>
      </c>
      <c r="N4346" t="s">
        <v>16393</v>
      </c>
      <c r="O4346" s="4">
        <v>135868</v>
      </c>
      <c r="P4346" s="4">
        <v>378751</v>
      </c>
      <c r="Q4346" s="4">
        <v>514619</v>
      </c>
      <c r="R4346" s="4">
        <v>1543857</v>
      </c>
      <c r="S4346" t="s">
        <v>20646</v>
      </c>
      <c r="T4346" s="6">
        <v>45064</v>
      </c>
      <c r="U4346" s="4">
        <v>1421840</v>
      </c>
      <c r="V4346" t="s">
        <v>16232</v>
      </c>
      <c r="W4346" t="s">
        <v>26041</v>
      </c>
      <c r="X4346" t="s">
        <v>3</v>
      </c>
      <c r="AA4346" s="5" t="str">
        <f>HYPERLINK("https://www.zillow.com/homes/16-S-EAGLE-ST-NAPERVILLE-IL-605404422_rb/","check listing")</f>
        <v>check listing</v>
      </c>
      <c r="AB4346" s="5" t="str">
        <f>HYPERLINK("https://propertylookup.dupagecounty.gov/Datalets/Datalet.aspx?UseSearch=no&amp;mode=sales&amp;pin=0713417010","sales record")</f>
        <v>sales record</v>
      </c>
      <c r="AC4346" t="s">
        <v>3</v>
      </c>
      <c r="AD4346">
        <v>41.77479</v>
      </c>
      <c r="AE4346">
        <v>-88.152512</v>
      </c>
      <c r="AF4346" s="5" t="str">
        <f>HYPERLINK("https://www.google.com/maps/search/?api=1&amp;query=41.77479,-88.152512","map")</f>
        <v>map</v>
      </c>
    </row>
    <row r="4347" spans="1:32">
      <c r="A4347" t="s">
        <v>4397</v>
      </c>
      <c r="B4347" t="s">
        <v>11930</v>
      </c>
      <c r="C4347" t="s">
        <v>15692</v>
      </c>
      <c r="D4347" t="s">
        <v>16206</v>
      </c>
      <c r="E4347" t="s">
        <v>16218</v>
      </c>
      <c r="F4347" t="s">
        <v>16221</v>
      </c>
      <c r="G4347" t="s">
        <v>16278</v>
      </c>
      <c r="H4347" t="s">
        <v>16277</v>
      </c>
      <c r="I4347" t="s">
        <v>16353</v>
      </c>
      <c r="J4347" t="s">
        <v>16386</v>
      </c>
      <c r="K4347">
        <v>0.197</v>
      </c>
      <c r="L4347">
        <v>8569</v>
      </c>
      <c r="N4347" t="s">
        <v>16393</v>
      </c>
      <c r="O4347" s="4">
        <v>59841</v>
      </c>
      <c r="P4347" s="4">
        <v>188606</v>
      </c>
      <c r="Q4347" s="4">
        <v>248447</v>
      </c>
      <c r="R4347" s="4">
        <v>745341</v>
      </c>
      <c r="S4347" t="s">
        <v>20647</v>
      </c>
      <c r="T4347" s="6">
        <v>43647</v>
      </c>
      <c r="U4347" s="4">
        <v>553033</v>
      </c>
      <c r="V4347" t="s">
        <v>16232</v>
      </c>
      <c r="W4347" t="s">
        <v>26042</v>
      </c>
      <c r="X4347" t="s">
        <v>3</v>
      </c>
      <c r="AA4347" s="5" t="str">
        <f>HYPERLINK("https://www.zillow.com/homes/1403-BAYOU-PATH-DR-NAPERVILLE-IL-605633608_rb/","check listing")</f>
        <v>check listing</v>
      </c>
      <c r="AB4347" s="5" t="str">
        <f>HYPERLINK("https://propertylookup.dupagecounty.gov/Datalets/Datalet.aspx?UseSearch=no&amp;mode=sales&amp;pin=0709311059","sales record")</f>
        <v>sales record</v>
      </c>
      <c r="AC4347" t="s">
        <v>3</v>
      </c>
      <c r="AD4347">
        <v>41.787047</v>
      </c>
      <c r="AE4347">
        <v>-88.21948500000001</v>
      </c>
      <c r="AF4347" s="5" t="str">
        <f>HYPERLINK("https://www.google.com/maps/search/?api=1&amp;query=41.787047,-88.219485","map")</f>
        <v>map</v>
      </c>
    </row>
    <row r="4348" spans="1:32">
      <c r="A4348" t="s">
        <v>4398</v>
      </c>
      <c r="B4348" t="s">
        <v>11931</v>
      </c>
      <c r="C4348" t="s">
        <v>15679</v>
      </c>
      <c r="D4348" t="s">
        <v>16206</v>
      </c>
      <c r="E4348" t="s">
        <v>16218</v>
      </c>
      <c r="F4348" t="s">
        <v>16221</v>
      </c>
      <c r="G4348" t="s">
        <v>16278</v>
      </c>
      <c r="H4348" t="s">
        <v>16277</v>
      </c>
      <c r="I4348" t="s">
        <v>16353</v>
      </c>
      <c r="J4348" t="s">
        <v>16386</v>
      </c>
      <c r="K4348">
        <v>0.197</v>
      </c>
      <c r="L4348">
        <v>8567</v>
      </c>
      <c r="N4348" t="s">
        <v>16393</v>
      </c>
      <c r="O4348" s="4">
        <v>62979</v>
      </c>
      <c r="P4348" s="4">
        <v>217045</v>
      </c>
      <c r="Q4348" s="4">
        <v>280024</v>
      </c>
      <c r="R4348" s="4">
        <v>840072</v>
      </c>
      <c r="S4348" t="s">
        <v>20648</v>
      </c>
      <c r="T4348" s="6">
        <v>42948</v>
      </c>
      <c r="U4348" s="4">
        <v>651403</v>
      </c>
      <c r="V4348" t="s">
        <v>16232</v>
      </c>
      <c r="W4348" t="s">
        <v>26043</v>
      </c>
      <c r="X4348" t="s">
        <v>3</v>
      </c>
      <c r="AA4348" s="5" t="str">
        <f>HYPERLINK("https://www.zillow.com/homes/1619-BAYOU-PATH-DR-NAPERVILLE-IL-605632271_rb/","check listing")</f>
        <v>check listing</v>
      </c>
      <c r="AB4348" s="5" t="str">
        <f>HYPERLINK("https://propertylookup.dupagecounty.gov/Datalets/Datalet.aspx?UseSearch=no&amp;mode=sales&amp;pin=0709112011","sales record")</f>
        <v>sales record</v>
      </c>
      <c r="AC4348" t="s">
        <v>3</v>
      </c>
      <c r="AD4348">
        <v>41.796394</v>
      </c>
      <c r="AE4348">
        <v>-88.21908000000001</v>
      </c>
      <c r="AF4348" s="5" t="str">
        <f>HYPERLINK("https://www.google.com/maps/search/?api=1&amp;query=41.796394,-88.21908","map")</f>
        <v>map</v>
      </c>
    </row>
    <row r="4349" spans="1:32">
      <c r="A4349" t="s">
        <v>4399</v>
      </c>
      <c r="B4349" t="s">
        <v>11932</v>
      </c>
      <c r="C4349" t="s">
        <v>15677</v>
      </c>
      <c r="D4349" t="s">
        <v>16206</v>
      </c>
      <c r="E4349" t="s">
        <v>16218</v>
      </c>
      <c r="F4349" t="s">
        <v>16221</v>
      </c>
      <c r="G4349" t="s">
        <v>16278</v>
      </c>
      <c r="H4349" t="s">
        <v>16277</v>
      </c>
      <c r="I4349" t="s">
        <v>16353</v>
      </c>
      <c r="J4349" t="s">
        <v>16386</v>
      </c>
      <c r="K4349">
        <v>0.197</v>
      </c>
      <c r="L4349">
        <v>8564</v>
      </c>
      <c r="N4349" t="s">
        <v>16393</v>
      </c>
      <c r="O4349" s="4">
        <v>56146</v>
      </c>
      <c r="P4349" s="4">
        <v>253396</v>
      </c>
      <c r="Q4349" s="4">
        <v>309542</v>
      </c>
      <c r="R4349" s="4">
        <v>928626</v>
      </c>
      <c r="S4349" t="s">
        <v>20649</v>
      </c>
      <c r="T4349" s="6">
        <v>45407</v>
      </c>
      <c r="U4349" s="4">
        <v>935574</v>
      </c>
      <c r="V4349" t="s">
        <v>23743</v>
      </c>
      <c r="W4349" t="s">
        <v>20649</v>
      </c>
      <c r="X4349" t="s">
        <v>3</v>
      </c>
      <c r="AA4349" s="5" t="str">
        <f>HYPERLINK("https://www.zillow.com/homes/2639-WEATHERBEE-CT-NAPERVILLE-IL-605631592_rb/","check listing")</f>
        <v>check listing</v>
      </c>
      <c r="AB4349" s="5" t="str">
        <f>HYPERLINK("https://propertylookup.dupagecounty.gov/Datalets/Datalet.aspx?UseSearch=no&amp;mode=sales&amp;pin=0532300059","sales record")</f>
        <v>sales record</v>
      </c>
      <c r="AC4349" t="s">
        <v>3</v>
      </c>
      <c r="AD4349">
        <v>41.821603</v>
      </c>
      <c r="AE4349">
        <v>-88.123504</v>
      </c>
      <c r="AF4349" s="5" t="str">
        <f>HYPERLINK("https://www.google.com/maps/search/?api=1&amp;query=41.821603,-88.123504","map")</f>
        <v>map</v>
      </c>
    </row>
    <row r="4350" spans="1:32">
      <c r="A4350" t="s">
        <v>4400</v>
      </c>
      <c r="B4350" t="s">
        <v>11933</v>
      </c>
      <c r="C4350" t="s">
        <v>15728</v>
      </c>
      <c r="D4350" t="s">
        <v>16206</v>
      </c>
      <c r="E4350" t="s">
        <v>16218</v>
      </c>
      <c r="F4350" t="s">
        <v>16221</v>
      </c>
      <c r="G4350" t="s">
        <v>16277</v>
      </c>
      <c r="H4350" t="s">
        <v>16277</v>
      </c>
      <c r="I4350" t="s">
        <v>16353</v>
      </c>
      <c r="J4350" t="s">
        <v>16386</v>
      </c>
      <c r="K4350">
        <v>0.196</v>
      </c>
      <c r="L4350">
        <v>8557</v>
      </c>
      <c r="M4350">
        <v>4225</v>
      </c>
      <c r="N4350" t="s">
        <v>16393</v>
      </c>
      <c r="O4350" s="4">
        <v>119330</v>
      </c>
      <c r="P4350" s="4">
        <v>385415</v>
      </c>
      <c r="Q4350" s="4">
        <v>504745</v>
      </c>
      <c r="R4350" s="4">
        <v>1514235</v>
      </c>
      <c r="S4350" t="s">
        <v>20650</v>
      </c>
      <c r="T4350" s="6">
        <v>40513</v>
      </c>
      <c r="U4350" s="4">
        <v>825000</v>
      </c>
      <c r="V4350" t="s">
        <v>16232</v>
      </c>
      <c r="W4350" t="s">
        <v>20650</v>
      </c>
      <c r="X4350" t="s">
        <v>3</v>
      </c>
      <c r="AA4350" s="5" t="str">
        <f>HYPERLINK("https://www.zillow.com/homes/230-SPRING-AVE-NAPERVILLE-IL-605404446_rb/","check listing")</f>
        <v>check listing</v>
      </c>
      <c r="AB4350" s="5" t="str">
        <f>HYPERLINK("https://propertylookup.dupagecounty.gov/Datalets/Datalet.aspx?UseSearch=no&amp;mode=sales&amp;pin=0713225003","sales record")</f>
        <v>sales record</v>
      </c>
      <c r="AC4350" t="s">
        <v>27873</v>
      </c>
      <c r="AD4350">
        <v>41.778084</v>
      </c>
      <c r="AE4350">
        <v>-88.152145</v>
      </c>
      <c r="AF4350" s="5" t="str">
        <f>HYPERLINK("https://www.google.com/maps/search/?api=1&amp;query=41.778084,-88.152145","map")</f>
        <v>map</v>
      </c>
    </row>
    <row r="4351" spans="1:32">
      <c r="A4351" t="s">
        <v>4401</v>
      </c>
      <c r="B4351" t="s">
        <v>11934</v>
      </c>
      <c r="C4351" t="s">
        <v>15729</v>
      </c>
      <c r="D4351" t="s">
        <v>16206</v>
      </c>
      <c r="E4351" t="s">
        <v>16218</v>
      </c>
      <c r="F4351" t="s">
        <v>16221</v>
      </c>
      <c r="G4351" t="s">
        <v>16277</v>
      </c>
      <c r="H4351" t="s">
        <v>16277</v>
      </c>
      <c r="I4351" t="s">
        <v>16353</v>
      </c>
      <c r="J4351" t="s">
        <v>16386</v>
      </c>
      <c r="K4351">
        <v>0.196</v>
      </c>
      <c r="L4351">
        <v>8555</v>
      </c>
      <c r="M4351">
        <v>2294</v>
      </c>
      <c r="N4351" t="s">
        <v>16393</v>
      </c>
      <c r="O4351" s="4">
        <v>119330</v>
      </c>
      <c r="P4351" s="4">
        <v>140725</v>
      </c>
      <c r="Q4351" s="4">
        <v>260055</v>
      </c>
      <c r="R4351" s="4">
        <v>780165</v>
      </c>
      <c r="S4351" t="s">
        <v>20651</v>
      </c>
      <c r="T4351" s="6">
        <v>38838</v>
      </c>
      <c r="U4351" s="4">
        <v>660000</v>
      </c>
      <c r="V4351" t="s">
        <v>23739</v>
      </c>
      <c r="W4351" t="s">
        <v>26044</v>
      </c>
      <c r="X4351" t="s">
        <v>3</v>
      </c>
      <c r="AA4351" s="5" t="str">
        <f>HYPERLINK("https://www.zillow.com/homes/235-DOUGLAS-AVE-NAPERVILLE-IL-605404409_rb/","check listing")</f>
        <v>check listing</v>
      </c>
      <c r="AB4351" s="5" t="str">
        <f>HYPERLINK("https://propertylookup.dupagecounty.gov/Datalets/Datalet.aspx?UseSearch=no&amp;mode=sales&amp;pin=0713225012","sales record")</f>
        <v>sales record</v>
      </c>
      <c r="AC4351" t="s">
        <v>27873</v>
      </c>
      <c r="AD4351">
        <v>41.777448</v>
      </c>
      <c r="AE4351">
        <v>-88.15217699999999</v>
      </c>
      <c r="AF4351" s="5" t="str">
        <f>HYPERLINK("https://www.google.com/maps/search/?api=1&amp;query=41.777448,-88.152177","map")</f>
        <v>map</v>
      </c>
    </row>
    <row r="4352" spans="1:32">
      <c r="A4352" t="s">
        <v>4402</v>
      </c>
      <c r="B4352" t="s">
        <v>11935</v>
      </c>
      <c r="C4352" t="s">
        <v>15704</v>
      </c>
      <c r="D4352" t="s">
        <v>16206</v>
      </c>
      <c r="E4352" t="s">
        <v>16218</v>
      </c>
      <c r="F4352" t="s">
        <v>16221</v>
      </c>
      <c r="G4352" t="s">
        <v>16278</v>
      </c>
      <c r="H4352" t="s">
        <v>16277</v>
      </c>
      <c r="I4352" t="s">
        <v>16353</v>
      </c>
      <c r="J4352" t="s">
        <v>16386</v>
      </c>
      <c r="K4352">
        <v>0.196</v>
      </c>
      <c r="L4352">
        <v>8554</v>
      </c>
      <c r="N4352" t="s">
        <v>16393</v>
      </c>
      <c r="O4352" s="4">
        <v>72438</v>
      </c>
      <c r="P4352" s="4">
        <v>183028</v>
      </c>
      <c r="Q4352" s="4">
        <v>255466</v>
      </c>
      <c r="R4352" s="4">
        <v>766398</v>
      </c>
      <c r="S4352" t="s">
        <v>20652</v>
      </c>
      <c r="T4352" s="6">
        <v>43497</v>
      </c>
      <c r="U4352" s="4">
        <v>552136</v>
      </c>
      <c r="V4352" t="s">
        <v>16232</v>
      </c>
      <c r="W4352" t="s">
        <v>26045</v>
      </c>
      <c r="X4352" t="s">
        <v>3</v>
      </c>
      <c r="AA4352" s="5" t="str">
        <f>HYPERLINK("https://www.zillow.com/homes/1511-BAYOU-PATH-DR-NAPERVILLE-IL-605633496_rb/","check listing")</f>
        <v>check listing</v>
      </c>
      <c r="AB4352" s="5" t="str">
        <f>HYPERLINK("https://propertylookup.dupagecounty.gov/Datalets/Datalet.aspx?UseSearch=no&amp;mode=sales&amp;pin=0709114027","sales record")</f>
        <v>sales record</v>
      </c>
      <c r="AC4352" t="s">
        <v>3</v>
      </c>
      <c r="AD4352">
        <v>41.792266</v>
      </c>
      <c r="AE4352">
        <v>-88.219593</v>
      </c>
      <c r="AF4352" s="5" t="str">
        <f>HYPERLINK("https://www.google.com/maps/search/?api=1&amp;query=41.792266,-88.219593","map")</f>
        <v>map</v>
      </c>
    </row>
    <row r="4353" spans="1:32">
      <c r="A4353" t="s">
        <v>4403</v>
      </c>
      <c r="B4353" t="s">
        <v>11936</v>
      </c>
      <c r="C4353" t="s">
        <v>15700</v>
      </c>
      <c r="D4353" t="s">
        <v>16206</v>
      </c>
      <c r="E4353" t="s">
        <v>16218</v>
      </c>
      <c r="F4353" t="s">
        <v>16221</v>
      </c>
      <c r="G4353" t="s">
        <v>16278</v>
      </c>
      <c r="H4353" t="s">
        <v>16277</v>
      </c>
      <c r="I4353" t="s">
        <v>16353</v>
      </c>
      <c r="J4353" t="s">
        <v>16386</v>
      </c>
      <c r="K4353">
        <v>0.196</v>
      </c>
      <c r="L4353">
        <v>8553</v>
      </c>
      <c r="N4353" t="s">
        <v>16393</v>
      </c>
      <c r="O4353" s="4">
        <v>59829</v>
      </c>
      <c r="P4353" s="4">
        <v>167907</v>
      </c>
      <c r="Q4353" s="4">
        <v>227736</v>
      </c>
      <c r="R4353" s="4">
        <v>683208</v>
      </c>
      <c r="S4353" t="s">
        <v>20653</v>
      </c>
      <c r="T4353" s="6">
        <v>43497</v>
      </c>
      <c r="U4353" s="4">
        <v>535476</v>
      </c>
      <c r="V4353" t="s">
        <v>16232</v>
      </c>
      <c r="W4353" t="s">
        <v>26046</v>
      </c>
      <c r="X4353" t="s">
        <v>3</v>
      </c>
      <c r="AA4353" s="5" t="str">
        <f>HYPERLINK("https://www.zillow.com/homes/2468-BASIN-TRAIL-LN-NAPERVILLE-IL-605633596_rb/","check listing")</f>
        <v>check listing</v>
      </c>
      <c r="AB4353" s="5" t="str">
        <f>HYPERLINK("https://propertylookup.dupagecounty.gov/Datalets/Datalet.aspx?UseSearch=no&amp;mode=sales&amp;pin=0709114005","sales record")</f>
        <v>sales record</v>
      </c>
      <c r="AC4353" t="s">
        <v>3</v>
      </c>
      <c r="AD4353">
        <v>41.794433</v>
      </c>
      <c r="AE4353">
        <v>-88.22141000000001</v>
      </c>
      <c r="AF4353" s="5" t="str">
        <f>HYPERLINK("https://www.google.com/maps/search/?api=1&amp;query=41.794433,-88.22141","map")</f>
        <v>map</v>
      </c>
    </row>
    <row r="4354" spans="1:32">
      <c r="A4354" t="s">
        <v>4404</v>
      </c>
      <c r="B4354" t="s">
        <v>11937</v>
      </c>
      <c r="C4354" t="s">
        <v>15475</v>
      </c>
      <c r="D4354" t="s">
        <v>16206</v>
      </c>
      <c r="E4354" t="s">
        <v>16218</v>
      </c>
      <c r="F4354" t="s">
        <v>16221</v>
      </c>
      <c r="G4354" t="s">
        <v>16277</v>
      </c>
      <c r="H4354" t="s">
        <v>16277</v>
      </c>
      <c r="I4354" t="s">
        <v>16353</v>
      </c>
      <c r="J4354" t="s">
        <v>16386</v>
      </c>
      <c r="K4354">
        <v>0.196</v>
      </c>
      <c r="L4354">
        <v>8545</v>
      </c>
      <c r="N4354" t="s">
        <v>16393</v>
      </c>
      <c r="O4354" s="4">
        <v>84513</v>
      </c>
      <c r="P4354" s="4">
        <v>169576</v>
      </c>
      <c r="Q4354" s="4">
        <v>254089</v>
      </c>
      <c r="R4354" s="4">
        <v>762267</v>
      </c>
      <c r="S4354" t="s">
        <v>20654</v>
      </c>
      <c r="T4354" s="6">
        <v>45427</v>
      </c>
      <c r="U4354" s="4">
        <v>888000</v>
      </c>
      <c r="V4354" t="s">
        <v>23739</v>
      </c>
      <c r="W4354" t="s">
        <v>20654</v>
      </c>
      <c r="X4354" t="s">
        <v>3</v>
      </c>
      <c r="AA4354" s="5" t="str">
        <f>HYPERLINK("https://www.zillow.com/homes/635-4TH-AVE-NAPERVILLE-IL-60540_rb/","check listing")</f>
        <v>check listing</v>
      </c>
      <c r="AB4354" s="5" t="str">
        <f>HYPERLINK("https://propertylookup.dupagecounty.gov/Datalets/Datalet.aspx?UseSearch=no&amp;mode=sales&amp;pin=0818203005","sales record")</f>
        <v>sales record</v>
      </c>
      <c r="AC4354" t="s">
        <v>3</v>
      </c>
      <c r="AD4354">
        <v>41.779664</v>
      </c>
      <c r="AE4354">
        <v>-88.137838</v>
      </c>
      <c r="AF4354" s="5" t="str">
        <f>HYPERLINK("https://www.google.com/maps/search/?api=1&amp;query=41.779664,-88.137838","map")</f>
        <v>map</v>
      </c>
    </row>
    <row r="4355" spans="1:32">
      <c r="A4355" t="s">
        <v>4405</v>
      </c>
      <c r="B4355" t="s">
        <v>11938</v>
      </c>
      <c r="C4355" t="s">
        <v>15728</v>
      </c>
      <c r="D4355" t="s">
        <v>16206</v>
      </c>
      <c r="E4355" t="s">
        <v>16218</v>
      </c>
      <c r="F4355" t="s">
        <v>16221</v>
      </c>
      <c r="G4355" t="s">
        <v>16277</v>
      </c>
      <c r="H4355" t="s">
        <v>16277</v>
      </c>
      <c r="I4355" t="s">
        <v>16353</v>
      </c>
      <c r="J4355" t="s">
        <v>16386</v>
      </c>
      <c r="K4355">
        <v>0.196</v>
      </c>
      <c r="L4355">
        <v>8538</v>
      </c>
      <c r="M4355">
        <v>3861</v>
      </c>
      <c r="N4355" t="s">
        <v>16393</v>
      </c>
      <c r="O4355" s="4">
        <v>119330</v>
      </c>
      <c r="P4355" s="4">
        <v>285076</v>
      </c>
      <c r="Q4355" s="4">
        <v>404406</v>
      </c>
      <c r="R4355" s="4">
        <v>1213218</v>
      </c>
      <c r="S4355" t="s">
        <v>20655</v>
      </c>
      <c r="T4355" s="6">
        <v>44228</v>
      </c>
      <c r="U4355" s="4">
        <v>945000</v>
      </c>
      <c r="V4355" t="s">
        <v>23739</v>
      </c>
      <c r="W4355" t="s">
        <v>26047</v>
      </c>
      <c r="X4355" t="s">
        <v>3</v>
      </c>
      <c r="AA4355" s="5" t="str">
        <f>HYPERLINK("https://www.zillow.com/homes/226-SPRING-AVE-NAPERVILLE-IL-605404446_rb/","check listing")</f>
        <v>check listing</v>
      </c>
      <c r="AB4355" s="5" t="str">
        <f>HYPERLINK("https://propertylookup.dupagecounty.gov/Datalets/Datalet.aspx?UseSearch=no&amp;mode=sales&amp;pin=0713225004","sales record")</f>
        <v>sales record</v>
      </c>
      <c r="AC4355" t="s">
        <v>27873</v>
      </c>
      <c r="AD4355">
        <v>41.778077</v>
      </c>
      <c r="AE4355">
        <v>-88.151961</v>
      </c>
      <c r="AF4355" s="5" t="str">
        <f>HYPERLINK("https://www.google.com/maps/search/?api=1&amp;query=41.778077,-88.151961","map")</f>
        <v>map</v>
      </c>
    </row>
    <row r="4356" spans="1:32">
      <c r="A4356" t="s">
        <v>4406</v>
      </c>
      <c r="B4356" t="s">
        <v>11939</v>
      </c>
      <c r="C4356" t="s">
        <v>15729</v>
      </c>
      <c r="D4356" t="s">
        <v>16206</v>
      </c>
      <c r="E4356" t="s">
        <v>16218</v>
      </c>
      <c r="F4356" t="s">
        <v>16221</v>
      </c>
      <c r="G4356" t="s">
        <v>16277</v>
      </c>
      <c r="H4356" t="s">
        <v>16277</v>
      </c>
      <c r="I4356" t="s">
        <v>16353</v>
      </c>
      <c r="J4356" t="s">
        <v>16386</v>
      </c>
      <c r="K4356">
        <v>0.196</v>
      </c>
      <c r="L4356">
        <v>8535</v>
      </c>
      <c r="M4356">
        <v>2243</v>
      </c>
      <c r="N4356" t="s">
        <v>16393</v>
      </c>
      <c r="O4356" s="4">
        <v>125323</v>
      </c>
      <c r="P4356" s="4">
        <v>208952</v>
      </c>
      <c r="Q4356" s="4">
        <v>334275</v>
      </c>
      <c r="R4356" s="4">
        <v>1002825</v>
      </c>
      <c r="S4356" t="s">
        <v>20656</v>
      </c>
      <c r="T4356" s="6">
        <v>45813</v>
      </c>
      <c r="U4356" s="4">
        <v>1375000</v>
      </c>
      <c r="V4356" t="s">
        <v>23741</v>
      </c>
      <c r="W4356" t="s">
        <v>26048</v>
      </c>
      <c r="X4356" t="s">
        <v>3</v>
      </c>
      <c r="AA4356" s="5" t="str">
        <f>HYPERLINK("https://www.zillow.com/homes/231-DOUGLAS-AVE-NAPERVILLE-IL-605404409_rb/","check listing")</f>
        <v>check listing</v>
      </c>
      <c r="AB4356" s="5" t="str">
        <f>HYPERLINK("https://propertylookup.dupagecounty.gov/Datalets/Datalet.aspx?UseSearch=no&amp;mode=sales&amp;pin=0713225013","sales record")</f>
        <v>sales record</v>
      </c>
      <c r="AC4356" t="s">
        <v>27873</v>
      </c>
      <c r="AD4356">
        <v>41.777557</v>
      </c>
      <c r="AE4356">
        <v>-88.15198700000001</v>
      </c>
      <c r="AF4356" s="5" t="str">
        <f>HYPERLINK("https://www.google.com/maps/search/?api=1&amp;query=41.777557,-88.151987","map")</f>
        <v>map</v>
      </c>
    </row>
    <row r="4357" spans="1:32">
      <c r="A4357" t="s">
        <v>4407</v>
      </c>
      <c r="B4357" t="s">
        <v>11940</v>
      </c>
      <c r="C4357" t="s">
        <v>15730</v>
      </c>
      <c r="D4357" t="s">
        <v>16206</v>
      </c>
      <c r="E4357" t="s">
        <v>16218</v>
      </c>
      <c r="F4357" t="s">
        <v>16221</v>
      </c>
      <c r="G4357" t="s">
        <v>16277</v>
      </c>
      <c r="H4357" t="s">
        <v>16277</v>
      </c>
      <c r="I4357" t="s">
        <v>16353</v>
      </c>
      <c r="J4357" t="s">
        <v>16386</v>
      </c>
      <c r="K4357">
        <v>0.196</v>
      </c>
      <c r="L4357">
        <v>8527</v>
      </c>
      <c r="M4357">
        <v>1319</v>
      </c>
      <c r="N4357" t="s">
        <v>16393</v>
      </c>
      <c r="O4357" s="4">
        <v>85953</v>
      </c>
      <c r="P4357" s="4">
        <v>21488</v>
      </c>
      <c r="Q4357" s="4">
        <v>107441</v>
      </c>
      <c r="R4357" s="4">
        <v>322323</v>
      </c>
      <c r="S4357" t="s">
        <v>20657</v>
      </c>
      <c r="T4357" s="6">
        <v>40269</v>
      </c>
      <c r="U4357" s="4">
        <v>220000</v>
      </c>
      <c r="V4357" t="s">
        <v>23740</v>
      </c>
      <c r="W4357" t="s">
        <v>26049</v>
      </c>
      <c r="X4357" t="s">
        <v>3</v>
      </c>
      <c r="AA4357" s="5" t="str">
        <f>HYPERLINK("https://www.zillow.com/homes/6-N-HUFFMAN-ST-NAPERVILLE-IL-605404815_rb/","check listing")</f>
        <v>check listing</v>
      </c>
      <c r="AB4357" s="5" t="str">
        <f>HYPERLINK("https://propertylookup.dupagecounty.gov/Datalets/Datalet.aspx?UseSearch=no&amp;mode=sales&amp;pin=0818406005","sales record")</f>
        <v>sales record</v>
      </c>
      <c r="AC4357" t="s">
        <v>3</v>
      </c>
      <c r="AD4357">
        <v>41.774919</v>
      </c>
      <c r="AE4357">
        <v>-88.135049</v>
      </c>
      <c r="AF4357" s="5" t="str">
        <f>HYPERLINK("https://www.google.com/maps/search/?api=1&amp;query=41.774919,-88.135049","map")</f>
        <v>map</v>
      </c>
    </row>
    <row r="4358" spans="1:32">
      <c r="A4358" t="s">
        <v>4408</v>
      </c>
      <c r="B4358" t="s">
        <v>11941</v>
      </c>
      <c r="C4358" t="s">
        <v>15704</v>
      </c>
      <c r="D4358" t="s">
        <v>16206</v>
      </c>
      <c r="E4358" t="s">
        <v>16218</v>
      </c>
      <c r="F4358" t="s">
        <v>16221</v>
      </c>
      <c r="G4358" t="s">
        <v>16278</v>
      </c>
      <c r="H4358" t="s">
        <v>16277</v>
      </c>
      <c r="I4358" t="s">
        <v>16353</v>
      </c>
      <c r="J4358" t="s">
        <v>16386</v>
      </c>
      <c r="K4358">
        <v>0.196</v>
      </c>
      <c r="L4358">
        <v>8521</v>
      </c>
      <c r="N4358" t="s">
        <v>16393</v>
      </c>
      <c r="O4358" s="4">
        <v>72438</v>
      </c>
      <c r="P4358" s="4">
        <v>182480</v>
      </c>
      <c r="Q4358" s="4">
        <v>254918</v>
      </c>
      <c r="R4358" s="4">
        <v>764754</v>
      </c>
      <c r="S4358" t="s">
        <v>20658</v>
      </c>
      <c r="T4358" s="6">
        <v>43070</v>
      </c>
      <c r="U4358" s="4">
        <v>569925</v>
      </c>
      <c r="V4358" t="s">
        <v>16232</v>
      </c>
      <c r="W4358" t="s">
        <v>26050</v>
      </c>
      <c r="X4358" t="s">
        <v>3</v>
      </c>
      <c r="AA4358" s="5" t="str">
        <f>HYPERLINK("https://www.zillow.com/homes/1539-BAYOU-PATH-DR-NAPERVILLE-IL-605633496_rb/","check listing")</f>
        <v>check listing</v>
      </c>
      <c r="AB4358" s="5" t="str">
        <f>HYPERLINK("https://propertylookup.dupagecounty.gov/Datalets/Datalet.aspx?UseSearch=no&amp;mode=sales&amp;pin=0709114020","sales record")</f>
        <v>sales record</v>
      </c>
      <c r="AC4358" t="s">
        <v>3</v>
      </c>
      <c r="AD4358">
        <v>41.793495</v>
      </c>
      <c r="AE4358">
        <v>-88.219132</v>
      </c>
      <c r="AF4358" s="5" t="str">
        <f>HYPERLINK("https://www.google.com/maps/search/?api=1&amp;query=41.793495,-88.219132","map")</f>
        <v>map</v>
      </c>
    </row>
    <row r="4359" spans="1:32">
      <c r="A4359" t="s">
        <v>4409</v>
      </c>
      <c r="B4359" t="s">
        <v>11942</v>
      </c>
      <c r="C4359" t="s">
        <v>15475</v>
      </c>
      <c r="D4359" t="s">
        <v>16206</v>
      </c>
      <c r="E4359" t="s">
        <v>16218</v>
      </c>
      <c r="F4359" t="s">
        <v>16221</v>
      </c>
      <c r="G4359" t="s">
        <v>16277</v>
      </c>
      <c r="H4359" t="s">
        <v>16277</v>
      </c>
      <c r="I4359" t="s">
        <v>16353</v>
      </c>
      <c r="J4359" t="s">
        <v>16386</v>
      </c>
      <c r="K4359">
        <v>0.196</v>
      </c>
      <c r="L4359">
        <v>8520</v>
      </c>
      <c r="M4359">
        <v>3035</v>
      </c>
      <c r="N4359" t="s">
        <v>16393</v>
      </c>
      <c r="O4359" s="4">
        <v>125323</v>
      </c>
      <c r="P4359" s="4">
        <v>77015</v>
      </c>
      <c r="Q4359" s="4">
        <v>202338</v>
      </c>
      <c r="R4359" s="4">
        <v>607014</v>
      </c>
      <c r="S4359" t="s">
        <v>20659</v>
      </c>
      <c r="T4359" s="6">
        <v>33086</v>
      </c>
      <c r="U4359" s="4">
        <v>161000</v>
      </c>
      <c r="X4359" t="s">
        <v>3</v>
      </c>
      <c r="AA4359" s="5" t="str">
        <f>HYPERLINK("https://www.zillow.com/homes/227-W-DOUGLAS-AVE-NAPERVILLE-IL-60540_rb/","check listing")</f>
        <v>check listing</v>
      </c>
      <c r="AB4359" s="5" t="str">
        <f>HYPERLINK("https://propertylookup.dupagecounty.gov/Datalets/Datalet.aspx?UseSearch=no&amp;mode=sales&amp;pin=0713225014","sales record")</f>
        <v>sales record</v>
      </c>
      <c r="AC4359" t="s">
        <v>3</v>
      </c>
      <c r="AD4359">
        <v>41.777551</v>
      </c>
      <c r="AE4359">
        <v>-88.151803</v>
      </c>
      <c r="AF4359" s="5" t="str">
        <f>HYPERLINK("https://www.google.com/maps/search/?api=1&amp;query=41.777551,-88.151803","map")</f>
        <v>map</v>
      </c>
    </row>
    <row r="4360" spans="1:32">
      <c r="A4360" t="s">
        <v>4410</v>
      </c>
      <c r="B4360" t="s">
        <v>11943</v>
      </c>
      <c r="C4360" t="s">
        <v>15475</v>
      </c>
      <c r="D4360" t="s">
        <v>16206</v>
      </c>
      <c r="E4360" t="s">
        <v>16218</v>
      </c>
      <c r="F4360" t="s">
        <v>16221</v>
      </c>
      <c r="G4360" t="s">
        <v>16277</v>
      </c>
      <c r="H4360" t="s">
        <v>16277</v>
      </c>
      <c r="I4360" t="s">
        <v>16353</v>
      </c>
      <c r="J4360" t="s">
        <v>16386</v>
      </c>
      <c r="K4360">
        <v>0.195</v>
      </c>
      <c r="L4360">
        <v>8508</v>
      </c>
      <c r="M4360">
        <v>1584</v>
      </c>
      <c r="N4360" t="s">
        <v>16393</v>
      </c>
      <c r="O4360" s="4">
        <v>85953</v>
      </c>
      <c r="P4360" s="4">
        <v>33273</v>
      </c>
      <c r="Q4360" s="4">
        <v>119226</v>
      </c>
      <c r="R4360" s="4">
        <v>357678</v>
      </c>
      <c r="S4360" t="s">
        <v>20660</v>
      </c>
      <c r="T4360" s="6">
        <v>40452</v>
      </c>
      <c r="U4360" s="4">
        <v>207500</v>
      </c>
      <c r="V4360" t="s">
        <v>23739</v>
      </c>
      <c r="W4360" t="s">
        <v>20660</v>
      </c>
      <c r="X4360" t="s">
        <v>3</v>
      </c>
      <c r="AA4360" s="5" t="str">
        <f>HYPERLINK("https://www.zillow.com/homes/26-N-HUFFMAN-ST-NAPERVILLE-IL-60540_rb/","check listing")</f>
        <v>check listing</v>
      </c>
      <c r="AB4360" s="5" t="str">
        <f>HYPERLINK("https://propertylookup.dupagecounty.gov/Datalets/Datalet.aspx?UseSearch=no&amp;mode=sales&amp;pin=0818406001","sales record")</f>
        <v>sales record</v>
      </c>
      <c r="AC4360" t="s">
        <v>3</v>
      </c>
      <c r="AD4360">
        <v>41.775469</v>
      </c>
      <c r="AE4360">
        <v>-88.13502200000001</v>
      </c>
      <c r="AF4360" s="5" t="str">
        <f>HYPERLINK("https://www.google.com/maps/search/?api=1&amp;query=41.775469,-88.135022","map")</f>
        <v>map</v>
      </c>
    </row>
    <row r="4361" spans="1:32">
      <c r="A4361" t="s">
        <v>4411</v>
      </c>
      <c r="B4361" t="s">
        <v>11944</v>
      </c>
      <c r="C4361" t="s">
        <v>15729</v>
      </c>
      <c r="D4361" t="s">
        <v>16206</v>
      </c>
      <c r="E4361" t="s">
        <v>16218</v>
      </c>
      <c r="F4361" t="s">
        <v>16221</v>
      </c>
      <c r="G4361" t="s">
        <v>16277</v>
      </c>
      <c r="H4361" t="s">
        <v>16277</v>
      </c>
      <c r="I4361" t="s">
        <v>16353</v>
      </c>
      <c r="J4361" t="s">
        <v>16386</v>
      </c>
      <c r="K4361">
        <v>0.195</v>
      </c>
      <c r="L4361">
        <v>8506</v>
      </c>
      <c r="M4361">
        <v>2275</v>
      </c>
      <c r="N4361" t="s">
        <v>16393</v>
      </c>
      <c r="O4361" s="4">
        <v>119330</v>
      </c>
      <c r="P4361" s="4">
        <v>427840</v>
      </c>
      <c r="Q4361" s="4">
        <v>547170</v>
      </c>
      <c r="R4361" s="4">
        <v>1641510</v>
      </c>
      <c r="S4361" t="s">
        <v>20661</v>
      </c>
      <c r="T4361" s="6">
        <v>44378</v>
      </c>
      <c r="U4361" s="4">
        <v>1560000</v>
      </c>
      <c r="V4361" t="s">
        <v>23739</v>
      </c>
      <c r="W4361" t="s">
        <v>26051</v>
      </c>
      <c r="X4361" t="s">
        <v>3</v>
      </c>
      <c r="AA4361" s="5" t="str">
        <f>HYPERLINK("https://www.zillow.com/homes/223-DOUGLAS-AVE-NAPERVILLE-IL-605404409_rb/","check listing")</f>
        <v>check listing</v>
      </c>
      <c r="AB4361" s="5" t="str">
        <f>HYPERLINK("https://propertylookup.dupagecounty.gov/Datalets/Datalet.aspx?UseSearch=no&amp;mode=sales&amp;pin=0713225015","sales record")</f>
        <v>sales record</v>
      </c>
      <c r="AC4361" t="s">
        <v>3</v>
      </c>
      <c r="AD4361">
        <v>41.777546</v>
      </c>
      <c r="AE4361">
        <v>-88.151618</v>
      </c>
      <c r="AF4361" s="5" t="str">
        <f>HYPERLINK("https://www.google.com/maps/search/?api=1&amp;query=41.777546,-88.151618","map")</f>
        <v>map</v>
      </c>
    </row>
    <row r="4362" spans="1:32">
      <c r="A4362" t="s">
        <v>4412</v>
      </c>
      <c r="B4362" t="s">
        <v>11945</v>
      </c>
      <c r="C4362" t="s">
        <v>15689</v>
      </c>
      <c r="D4362" t="s">
        <v>16206</v>
      </c>
      <c r="E4362" t="s">
        <v>16218</v>
      </c>
      <c r="F4362" t="s">
        <v>16221</v>
      </c>
      <c r="G4362" t="s">
        <v>16278</v>
      </c>
      <c r="H4362" t="s">
        <v>16277</v>
      </c>
      <c r="I4362" t="s">
        <v>16353</v>
      </c>
      <c r="J4362" t="s">
        <v>16386</v>
      </c>
      <c r="K4362">
        <v>0.195</v>
      </c>
      <c r="L4362">
        <v>8488</v>
      </c>
      <c r="N4362" t="s">
        <v>16393</v>
      </c>
      <c r="O4362" s="4">
        <v>66140</v>
      </c>
      <c r="P4362" s="4">
        <v>192280</v>
      </c>
      <c r="Q4362" s="4">
        <v>258420</v>
      </c>
      <c r="R4362" s="4">
        <v>775260</v>
      </c>
      <c r="S4362" t="s">
        <v>20662</v>
      </c>
      <c r="T4362" s="6">
        <v>43191</v>
      </c>
      <c r="U4362" s="4">
        <v>557457</v>
      </c>
      <c r="V4362" t="s">
        <v>16232</v>
      </c>
      <c r="W4362" t="s">
        <v>26052</v>
      </c>
      <c r="X4362" t="s">
        <v>3</v>
      </c>
      <c r="AA4362" s="5" t="str">
        <f>HYPERLINK("https://www.zillow.com/homes/1552-BAYOU-PATH-DR-NAPERVILLE-IL-605633490_rb/","check listing")</f>
        <v>check listing</v>
      </c>
      <c r="AB4362" s="5" t="str">
        <f>HYPERLINK("https://propertylookup.dupagecounty.gov/Datalets/Datalet.aspx?UseSearch=no&amp;mode=sales&amp;pin=0709105037","sales record")</f>
        <v>sales record</v>
      </c>
      <c r="AC4362" t="s">
        <v>3</v>
      </c>
      <c r="AD4362">
        <v>41.793957</v>
      </c>
      <c r="AE4362">
        <v>-88.218379</v>
      </c>
      <c r="AF4362" s="5" t="str">
        <f>HYPERLINK("https://www.google.com/maps/search/?api=1&amp;query=41.793957,-88.218379","map")</f>
        <v>map</v>
      </c>
    </row>
    <row r="4363" spans="1:32">
      <c r="A4363" t="s">
        <v>4413</v>
      </c>
      <c r="B4363" t="s">
        <v>11946</v>
      </c>
      <c r="C4363" t="s">
        <v>15478</v>
      </c>
      <c r="D4363" t="s">
        <v>16206</v>
      </c>
      <c r="E4363" t="s">
        <v>16218</v>
      </c>
      <c r="F4363" t="s">
        <v>16221</v>
      </c>
      <c r="G4363" t="s">
        <v>16278</v>
      </c>
      <c r="H4363" t="s">
        <v>16277</v>
      </c>
      <c r="I4363" t="s">
        <v>16353</v>
      </c>
      <c r="J4363" t="s">
        <v>16386</v>
      </c>
      <c r="K4363">
        <v>0.195</v>
      </c>
      <c r="L4363">
        <v>8488</v>
      </c>
      <c r="N4363" t="s">
        <v>16393</v>
      </c>
      <c r="O4363" s="4">
        <v>66140</v>
      </c>
      <c r="P4363" s="4">
        <v>202862</v>
      </c>
      <c r="Q4363" s="4">
        <v>269002</v>
      </c>
      <c r="R4363" s="4">
        <v>807006</v>
      </c>
      <c r="S4363" t="s">
        <v>20663</v>
      </c>
      <c r="T4363" s="6">
        <v>43040</v>
      </c>
      <c r="U4363" s="4">
        <v>583401</v>
      </c>
      <c r="V4363" t="s">
        <v>16232</v>
      </c>
      <c r="W4363" t="s">
        <v>26053</v>
      </c>
      <c r="X4363" t="s">
        <v>3</v>
      </c>
      <c r="AA4363" s="5" t="str">
        <f>HYPERLINK("https://www.zillow.com/homes/1556-BAYOU-PATH-DR-NAPERVILLE-IL-60563_rb/","check listing")</f>
        <v>check listing</v>
      </c>
      <c r="AB4363" s="5" t="str">
        <f>HYPERLINK("https://propertylookup.dupagecounty.gov/Datalets/Datalet.aspx?UseSearch=no&amp;mode=sales&amp;pin=0709105036","sales record")</f>
        <v>sales record</v>
      </c>
      <c r="AC4363" t="s">
        <v>3</v>
      </c>
      <c r="AD4363">
        <v>41.794135</v>
      </c>
      <c r="AE4363">
        <v>-88.218373</v>
      </c>
      <c r="AF4363" s="5" t="str">
        <f>HYPERLINK("https://www.google.com/maps/search/?api=1&amp;query=41.794135,-88.218373","map")</f>
        <v>map</v>
      </c>
    </row>
    <row r="4364" spans="1:32">
      <c r="A4364" t="s">
        <v>4414</v>
      </c>
      <c r="B4364" t="s">
        <v>11947</v>
      </c>
      <c r="C4364" t="s">
        <v>15475</v>
      </c>
      <c r="D4364" t="s">
        <v>16206</v>
      </c>
      <c r="E4364" t="s">
        <v>16218</v>
      </c>
      <c r="F4364" t="s">
        <v>16221</v>
      </c>
      <c r="G4364" t="s">
        <v>16277</v>
      </c>
      <c r="H4364" t="s">
        <v>16277</v>
      </c>
      <c r="I4364" t="s">
        <v>16353</v>
      </c>
      <c r="J4364" t="s">
        <v>16386</v>
      </c>
      <c r="K4364">
        <v>0.195</v>
      </c>
      <c r="L4364">
        <v>8485</v>
      </c>
      <c r="M4364">
        <v>2523</v>
      </c>
      <c r="N4364" t="s">
        <v>16393</v>
      </c>
      <c r="O4364" s="4">
        <v>125323</v>
      </c>
      <c r="P4364" s="4">
        <v>90050</v>
      </c>
      <c r="Q4364" s="4">
        <v>215373</v>
      </c>
      <c r="R4364" s="4">
        <v>646119</v>
      </c>
      <c r="S4364" t="s">
        <v>20664</v>
      </c>
      <c r="T4364" s="6">
        <v>30590</v>
      </c>
      <c r="U4364" s="4">
        <v>84900</v>
      </c>
      <c r="X4364" t="s">
        <v>3</v>
      </c>
      <c r="AA4364" s="5" t="str">
        <f>HYPERLINK("https://www.zillow.com/homes/213-W-DOUGLAS-AVE-NAPERVILLE-IL-60540_rb/","check listing")</f>
        <v>check listing</v>
      </c>
      <c r="AB4364" s="5" t="str">
        <f>HYPERLINK("https://propertylookup.dupagecounty.gov/Datalets/Datalet.aspx?UseSearch=no&amp;mode=sales&amp;pin=0713225016","sales record")</f>
        <v>sales record</v>
      </c>
      <c r="AC4364" t="s">
        <v>3</v>
      </c>
      <c r="AD4364">
        <v>41.777541</v>
      </c>
      <c r="AE4364">
        <v>-88.15143399999999</v>
      </c>
      <c r="AF4364" s="5" t="str">
        <f>HYPERLINK("https://www.google.com/maps/search/?api=1&amp;query=41.777541,-88.151434","map")</f>
        <v>map</v>
      </c>
    </row>
    <row r="4365" spans="1:32">
      <c r="A4365" t="s">
        <v>4415</v>
      </c>
      <c r="B4365" t="s">
        <v>11948</v>
      </c>
      <c r="C4365" t="s">
        <v>15662</v>
      </c>
      <c r="D4365" t="s">
        <v>16206</v>
      </c>
      <c r="E4365" t="s">
        <v>16218</v>
      </c>
      <c r="F4365" t="s">
        <v>16221</v>
      </c>
      <c r="G4365" t="s">
        <v>16278</v>
      </c>
      <c r="H4365" t="s">
        <v>16277</v>
      </c>
      <c r="I4365" t="s">
        <v>16353</v>
      </c>
      <c r="J4365" t="s">
        <v>16386</v>
      </c>
      <c r="K4365">
        <v>0.195</v>
      </c>
      <c r="L4365">
        <v>8484</v>
      </c>
      <c r="N4365" t="s">
        <v>16393</v>
      </c>
      <c r="O4365" s="4">
        <v>56146</v>
      </c>
      <c r="P4365" s="4">
        <v>227838</v>
      </c>
      <c r="Q4365" s="4">
        <v>283984</v>
      </c>
      <c r="R4365" s="4">
        <v>851952</v>
      </c>
      <c r="S4365" t="s">
        <v>20665</v>
      </c>
      <c r="T4365" s="6">
        <v>45252</v>
      </c>
      <c r="U4365" s="4">
        <v>736427</v>
      </c>
      <c r="V4365" t="s">
        <v>16232</v>
      </c>
      <c r="W4365" t="s">
        <v>26054</v>
      </c>
      <c r="X4365" t="s">
        <v>3</v>
      </c>
      <c r="AA4365" s="5" t="str">
        <f>HYPERLINK("https://www.zillow.com/homes/2523-WEATHERBEE-LN-NAPERVILLE-IL-605631594_rb/","check listing")</f>
        <v>check listing</v>
      </c>
      <c r="AB4365" s="5" t="str">
        <f>HYPERLINK("https://propertylookup.dupagecounty.gov/Datalets/Datalet.aspx?UseSearch=no&amp;mode=sales&amp;pin=0532302002","sales record")</f>
        <v>sales record</v>
      </c>
      <c r="AC4365" t="s">
        <v>3</v>
      </c>
      <c r="AD4365">
        <v>41.81904</v>
      </c>
      <c r="AE4365">
        <v>-88.122608</v>
      </c>
      <c r="AF4365" s="5" t="str">
        <f>HYPERLINK("https://www.google.com/maps/search/?api=1&amp;query=41.81904,-88.122608","map")</f>
        <v>map</v>
      </c>
    </row>
    <row r="4366" spans="1:32">
      <c r="A4366" t="s">
        <v>4416</v>
      </c>
      <c r="B4366" t="s">
        <v>11949</v>
      </c>
      <c r="C4366" t="s">
        <v>15729</v>
      </c>
      <c r="D4366" t="s">
        <v>16206</v>
      </c>
      <c r="E4366" t="s">
        <v>16218</v>
      </c>
      <c r="F4366" t="s">
        <v>16221</v>
      </c>
      <c r="G4366" t="s">
        <v>16277</v>
      </c>
      <c r="H4366" t="s">
        <v>16277</v>
      </c>
      <c r="I4366" t="s">
        <v>16353</v>
      </c>
      <c r="J4366" t="s">
        <v>16386</v>
      </c>
      <c r="K4366">
        <v>0.194</v>
      </c>
      <c r="L4366">
        <v>8471</v>
      </c>
      <c r="M4366">
        <v>2375</v>
      </c>
      <c r="N4366" t="s">
        <v>16393</v>
      </c>
      <c r="O4366" s="4">
        <v>119330</v>
      </c>
      <c r="P4366" s="4">
        <v>162170</v>
      </c>
      <c r="Q4366" s="4">
        <v>281500</v>
      </c>
      <c r="R4366" s="4">
        <v>844500</v>
      </c>
      <c r="S4366" t="s">
        <v>20666</v>
      </c>
      <c r="T4366" s="6">
        <v>44409</v>
      </c>
      <c r="U4366" s="4">
        <v>692000</v>
      </c>
      <c r="V4366" t="s">
        <v>23739</v>
      </c>
      <c r="W4366" t="s">
        <v>26055</v>
      </c>
      <c r="X4366" t="s">
        <v>3</v>
      </c>
      <c r="AA4366" s="5" t="str">
        <f>HYPERLINK("https://www.zillow.com/homes/205-DOUGLAS-AVE-NAPERVILLE-IL-605404409_rb/","check listing")</f>
        <v>check listing</v>
      </c>
      <c r="AB4366" s="5" t="str">
        <f>HYPERLINK("https://propertylookup.dupagecounty.gov/Datalets/Datalet.aspx?UseSearch=no&amp;mode=sales&amp;pin=0713225017","sales record")</f>
        <v>sales record</v>
      </c>
      <c r="AC4366" t="s">
        <v>3</v>
      </c>
      <c r="AD4366">
        <v>41.777535</v>
      </c>
      <c r="AE4366">
        <v>-88.15125</v>
      </c>
      <c r="AF4366" s="5" t="str">
        <f>HYPERLINK("https://www.google.com/maps/search/?api=1&amp;query=41.777535,-88.15125","map")</f>
        <v>map</v>
      </c>
    </row>
    <row r="4367" spans="1:32">
      <c r="A4367" t="s">
        <v>4417</v>
      </c>
      <c r="B4367" t="s">
        <v>11950</v>
      </c>
      <c r="C4367" t="s">
        <v>15662</v>
      </c>
      <c r="D4367" t="s">
        <v>16206</v>
      </c>
      <c r="E4367" t="s">
        <v>16218</v>
      </c>
      <c r="F4367" t="s">
        <v>16221</v>
      </c>
      <c r="G4367" t="s">
        <v>16278</v>
      </c>
      <c r="H4367" t="s">
        <v>16277</v>
      </c>
      <c r="I4367" t="s">
        <v>16353</v>
      </c>
      <c r="J4367" t="s">
        <v>16386</v>
      </c>
      <c r="K4367">
        <v>0.194</v>
      </c>
      <c r="L4367">
        <v>8468</v>
      </c>
      <c r="N4367" t="s">
        <v>16393</v>
      </c>
      <c r="O4367" s="4">
        <v>56141</v>
      </c>
      <c r="P4367" s="4">
        <v>220765</v>
      </c>
      <c r="Q4367" s="4">
        <v>276906</v>
      </c>
      <c r="R4367" s="4">
        <v>830718</v>
      </c>
      <c r="S4367" t="s">
        <v>20667</v>
      </c>
      <c r="T4367" s="6">
        <v>45777</v>
      </c>
      <c r="U4367" s="4">
        <v>878626</v>
      </c>
      <c r="V4367" t="s">
        <v>16232</v>
      </c>
      <c r="W4367" t="s">
        <v>26056</v>
      </c>
      <c r="X4367" t="s">
        <v>3</v>
      </c>
      <c r="AA4367" s="5" t="str">
        <f>HYPERLINK("https://www.zillow.com/homes/2411-HATTIE-ST-NAPERVILLE-IL-605631594_rb/","check listing")</f>
        <v>check listing</v>
      </c>
      <c r="AB4367" s="5" t="str">
        <f>HYPERLINK("https://propertylookup.dupagecounty.gov/Datalets/Datalet.aspx?UseSearch=no&amp;mode=sales&amp;pin=0532303005","sales record")</f>
        <v>sales record</v>
      </c>
      <c r="AC4367" t="s">
        <v>3</v>
      </c>
      <c r="AD4367">
        <v>41.817994</v>
      </c>
      <c r="AE4367">
        <v>-88.12115</v>
      </c>
      <c r="AF4367" s="5" t="str">
        <f>HYPERLINK("https://www.google.com/maps/search/?api=1&amp;query=41.817994,-88.12115","map")</f>
        <v>map</v>
      </c>
    </row>
    <row r="4368" spans="1:32">
      <c r="A4368" t="s">
        <v>4418</v>
      </c>
      <c r="B4368" t="s">
        <v>11951</v>
      </c>
      <c r="C4368" t="s">
        <v>15689</v>
      </c>
      <c r="D4368" t="s">
        <v>16206</v>
      </c>
      <c r="E4368" t="s">
        <v>16218</v>
      </c>
      <c r="F4368" t="s">
        <v>16221</v>
      </c>
      <c r="G4368" t="s">
        <v>16278</v>
      </c>
      <c r="H4368" t="s">
        <v>16277</v>
      </c>
      <c r="I4368" t="s">
        <v>16353</v>
      </c>
      <c r="J4368" t="s">
        <v>16386</v>
      </c>
      <c r="K4368">
        <v>0.194</v>
      </c>
      <c r="L4368">
        <v>8468</v>
      </c>
      <c r="N4368" t="s">
        <v>16393</v>
      </c>
      <c r="O4368" s="4">
        <v>62991</v>
      </c>
      <c r="P4368" s="4">
        <v>184079</v>
      </c>
      <c r="Q4368" s="4">
        <v>247070</v>
      </c>
      <c r="R4368" s="4">
        <v>741210</v>
      </c>
      <c r="S4368" t="s">
        <v>20668</v>
      </c>
      <c r="T4368" s="6">
        <v>43647</v>
      </c>
      <c r="U4368" s="4">
        <v>547685</v>
      </c>
      <c r="V4368" t="s">
        <v>16232</v>
      </c>
      <c r="W4368" t="s">
        <v>26057</v>
      </c>
      <c r="X4368" t="s">
        <v>3</v>
      </c>
      <c r="AA4368" s="5" t="str">
        <f>HYPERLINK("https://www.zillow.com/homes/1508-BAYOU-PATH-DR-NAPERVILLE-IL-605633490_rb/","check listing")</f>
        <v>check listing</v>
      </c>
      <c r="AB4368" s="5" t="str">
        <f>HYPERLINK("https://propertylookup.dupagecounty.gov/Datalets/Datalet.aspx?UseSearch=no&amp;mode=sales&amp;pin=0709105048","sales record")</f>
        <v>sales record</v>
      </c>
      <c r="AC4368" t="s">
        <v>3</v>
      </c>
      <c r="AD4368">
        <v>41.792032</v>
      </c>
      <c r="AE4368">
        <v>-88.219026</v>
      </c>
      <c r="AF4368" s="5" t="str">
        <f>HYPERLINK("https://www.google.com/maps/search/?api=1&amp;query=41.792032,-88.219026","map")</f>
        <v>map</v>
      </c>
    </row>
    <row r="4369" spans="1:32">
      <c r="A4369" t="s">
        <v>4419</v>
      </c>
      <c r="B4369" t="s">
        <v>11952</v>
      </c>
      <c r="C4369" t="s">
        <v>15649</v>
      </c>
      <c r="D4369" t="s">
        <v>16206</v>
      </c>
      <c r="E4369" t="s">
        <v>16218</v>
      </c>
      <c r="F4369" t="s">
        <v>16221</v>
      </c>
      <c r="G4369" t="s">
        <v>16278</v>
      </c>
      <c r="H4369" t="s">
        <v>16277</v>
      </c>
      <c r="I4369" t="s">
        <v>16353</v>
      </c>
      <c r="J4369" t="s">
        <v>16386</v>
      </c>
      <c r="K4369">
        <v>0.194</v>
      </c>
      <c r="L4369">
        <v>8454</v>
      </c>
      <c r="N4369" t="s">
        <v>16393</v>
      </c>
      <c r="O4369" s="4">
        <v>59829</v>
      </c>
      <c r="P4369" s="4">
        <v>193965</v>
      </c>
      <c r="Q4369" s="4">
        <v>253794</v>
      </c>
      <c r="R4369" s="4">
        <v>761382</v>
      </c>
      <c r="S4369" t="s">
        <v>20669</v>
      </c>
      <c r="T4369" s="6">
        <v>43709</v>
      </c>
      <c r="U4369" s="4">
        <v>585590</v>
      </c>
      <c r="V4369" t="s">
        <v>16232</v>
      </c>
      <c r="W4369" t="s">
        <v>26058</v>
      </c>
      <c r="X4369" t="s">
        <v>3</v>
      </c>
      <c r="AA4369" s="5" t="str">
        <f>HYPERLINK("https://www.zillow.com/homes/1536-ALDERLEAF-CT-NAPERVILLE-IL-605632142_rb/","check listing")</f>
        <v>check listing</v>
      </c>
      <c r="AB4369" s="5" t="str">
        <f>HYPERLINK("https://propertylookup.dupagecounty.gov/Datalets/Datalet.aspx?UseSearch=no&amp;mode=sales&amp;pin=0709105027","sales record")</f>
        <v>sales record</v>
      </c>
      <c r="AC4369" t="s">
        <v>3</v>
      </c>
      <c r="AD4369">
        <v>41.796028</v>
      </c>
      <c r="AE4369">
        <v>-88.216882</v>
      </c>
      <c r="AF4369" s="5" t="str">
        <f>HYPERLINK("https://www.google.com/maps/search/?api=1&amp;query=41.796028,-88.216882","map")</f>
        <v>map</v>
      </c>
    </row>
    <row r="4370" spans="1:32">
      <c r="A4370" t="s">
        <v>4420</v>
      </c>
      <c r="B4370" t="s">
        <v>11953</v>
      </c>
      <c r="C4370" t="s">
        <v>15731</v>
      </c>
      <c r="D4370" t="s">
        <v>16206</v>
      </c>
      <c r="E4370" t="s">
        <v>16218</v>
      </c>
      <c r="F4370" t="s">
        <v>16221</v>
      </c>
      <c r="G4370" t="s">
        <v>16277</v>
      </c>
      <c r="H4370" t="s">
        <v>16277</v>
      </c>
      <c r="I4370" t="s">
        <v>16353</v>
      </c>
      <c r="J4370" t="s">
        <v>16386</v>
      </c>
      <c r="K4370">
        <v>0.194</v>
      </c>
      <c r="L4370">
        <v>8454</v>
      </c>
      <c r="M4370">
        <v>3825</v>
      </c>
      <c r="N4370" t="s">
        <v>16393</v>
      </c>
      <c r="O4370" s="4">
        <v>118134</v>
      </c>
      <c r="P4370" s="4">
        <v>389076</v>
      </c>
      <c r="Q4370" s="4">
        <v>507210</v>
      </c>
      <c r="R4370" s="4">
        <v>1521630</v>
      </c>
      <c r="S4370" t="s">
        <v>20670</v>
      </c>
      <c r="T4370" s="6">
        <v>45735</v>
      </c>
      <c r="U4370" s="4">
        <v>2000000</v>
      </c>
      <c r="V4370" t="s">
        <v>23739</v>
      </c>
      <c r="W4370" t="s">
        <v>26059</v>
      </c>
      <c r="X4370" t="s">
        <v>3</v>
      </c>
      <c r="AA4370" s="5" t="str">
        <f>HYPERLINK("https://www.zillow.com/homes/533-JACKSON-AVE-NAPERVILLE-IL-605405206_rb/","check listing")</f>
        <v>check listing</v>
      </c>
      <c r="AB4370" s="5" t="str">
        <f>HYPERLINK("https://propertylookup.dupagecounty.gov/Datalets/Datalet.aspx?UseSearch=no&amp;mode=sales&amp;pin=0713316005","sales record")</f>
        <v>sales record</v>
      </c>
      <c r="AC4370" t="s">
        <v>3</v>
      </c>
      <c r="AD4370">
        <v>41.772533</v>
      </c>
      <c r="AE4370">
        <v>-88.157634</v>
      </c>
      <c r="AF4370" s="5" t="str">
        <f>HYPERLINK("https://www.google.com/maps/search/?api=1&amp;query=41.772533,-88.157634","map")</f>
        <v>map</v>
      </c>
    </row>
    <row r="4371" spans="1:32">
      <c r="A4371" t="s">
        <v>4421</v>
      </c>
      <c r="B4371" t="s">
        <v>11954</v>
      </c>
      <c r="C4371" t="s">
        <v>15689</v>
      </c>
      <c r="D4371" t="s">
        <v>16206</v>
      </c>
      <c r="E4371" t="s">
        <v>16218</v>
      </c>
      <c r="F4371" t="s">
        <v>16221</v>
      </c>
      <c r="G4371" t="s">
        <v>16278</v>
      </c>
      <c r="H4371" t="s">
        <v>16277</v>
      </c>
      <c r="I4371" t="s">
        <v>16353</v>
      </c>
      <c r="J4371" t="s">
        <v>16386</v>
      </c>
      <c r="K4371">
        <v>0.194</v>
      </c>
      <c r="L4371">
        <v>8447</v>
      </c>
      <c r="N4371" t="s">
        <v>16393</v>
      </c>
      <c r="O4371" s="4">
        <v>62979</v>
      </c>
      <c r="P4371" s="4">
        <v>191535</v>
      </c>
      <c r="Q4371" s="4">
        <v>254514</v>
      </c>
      <c r="R4371" s="4">
        <v>763542</v>
      </c>
      <c r="S4371" t="s">
        <v>20671</v>
      </c>
      <c r="T4371" s="6">
        <v>43191</v>
      </c>
      <c r="U4371" s="4">
        <v>516443</v>
      </c>
      <c r="V4371" t="s">
        <v>16232</v>
      </c>
      <c r="W4371" t="s">
        <v>26060</v>
      </c>
      <c r="X4371" t="s">
        <v>3</v>
      </c>
      <c r="AA4371" s="5" t="str">
        <f>HYPERLINK("https://www.zillow.com/homes/1540-BAYOU-PATH-DR-NAPERVILLE-IL-605633490_rb/","check listing")</f>
        <v>check listing</v>
      </c>
      <c r="AB4371" s="5" t="str">
        <f>HYPERLINK("https://propertylookup.dupagecounty.gov/Datalets/Datalet.aspx?UseSearch=no&amp;mode=sales&amp;pin=0709105040","sales record")</f>
        <v>sales record</v>
      </c>
      <c r="AC4371" t="s">
        <v>3</v>
      </c>
      <c r="AD4371">
        <v>41.793401</v>
      </c>
      <c r="AE4371">
        <v>-88.218453</v>
      </c>
      <c r="AF4371" s="5" t="str">
        <f>HYPERLINK("https://www.google.com/maps/search/?api=1&amp;query=41.793401,-88.218453","map")</f>
        <v>map</v>
      </c>
    </row>
    <row r="4372" spans="1:32">
      <c r="A4372" t="s">
        <v>4422</v>
      </c>
      <c r="B4372" t="s">
        <v>11955</v>
      </c>
      <c r="C4372" t="s">
        <v>15475</v>
      </c>
      <c r="D4372" t="s">
        <v>16206</v>
      </c>
      <c r="E4372" t="s">
        <v>16218</v>
      </c>
      <c r="F4372" t="s">
        <v>16221</v>
      </c>
      <c r="G4372" t="s">
        <v>16277</v>
      </c>
      <c r="H4372" t="s">
        <v>16277</v>
      </c>
      <c r="I4372" t="s">
        <v>16353</v>
      </c>
      <c r="J4372" t="s">
        <v>16386</v>
      </c>
      <c r="K4372">
        <v>0.194</v>
      </c>
      <c r="L4372">
        <v>8446</v>
      </c>
      <c r="M4372">
        <v>2226</v>
      </c>
      <c r="N4372" t="s">
        <v>16393</v>
      </c>
      <c r="O4372" s="4">
        <v>119856</v>
      </c>
      <c r="P4372" s="4">
        <v>160335</v>
      </c>
      <c r="Q4372" s="4">
        <v>280191</v>
      </c>
      <c r="R4372" s="4">
        <v>840573</v>
      </c>
      <c r="S4372" t="s">
        <v>20672</v>
      </c>
      <c r="T4372" s="6">
        <v>41518</v>
      </c>
      <c r="U4372" s="4">
        <v>537500</v>
      </c>
      <c r="V4372" t="s">
        <v>23739</v>
      </c>
      <c r="W4372" t="s">
        <v>26061</v>
      </c>
      <c r="X4372" t="s">
        <v>3</v>
      </c>
      <c r="AA4372" s="5" t="str">
        <f>HYPERLINK("https://www.zillow.com/homes/807-E-BENTON-AVE-NAPERVILLE-IL-60540_rb/","check listing")</f>
        <v>check listing</v>
      </c>
      <c r="AB4372" s="5" t="str">
        <f>HYPERLINK("https://propertylookup.dupagecounty.gov/Datalets/Datalet.aspx?UseSearch=no&amp;mode=sales&amp;pin=0818405005","sales record")</f>
        <v>sales record</v>
      </c>
      <c r="AC4372" t="s">
        <v>3</v>
      </c>
      <c r="AD4372">
        <v>41.774971</v>
      </c>
      <c r="AE4372">
        <v>-88.13632699999999</v>
      </c>
      <c r="AF4372" s="5" t="str">
        <f>HYPERLINK("https://www.google.com/maps/search/?api=1&amp;query=41.774971,-88.136327","map")</f>
        <v>map</v>
      </c>
    </row>
    <row r="4373" spans="1:32">
      <c r="A4373" t="s">
        <v>4423</v>
      </c>
      <c r="B4373" t="s">
        <v>11956</v>
      </c>
      <c r="C4373" t="s">
        <v>15478</v>
      </c>
      <c r="D4373" t="s">
        <v>16206</v>
      </c>
      <c r="E4373" t="s">
        <v>16218</v>
      </c>
      <c r="F4373" t="s">
        <v>16221</v>
      </c>
      <c r="G4373" t="s">
        <v>16277</v>
      </c>
      <c r="H4373" t="s">
        <v>16277</v>
      </c>
      <c r="I4373" t="s">
        <v>16353</v>
      </c>
      <c r="J4373" t="s">
        <v>16386</v>
      </c>
      <c r="K4373">
        <v>0.194</v>
      </c>
      <c r="L4373">
        <v>8445</v>
      </c>
      <c r="M4373">
        <v>3407</v>
      </c>
      <c r="N4373" t="s">
        <v>16393</v>
      </c>
      <c r="O4373" s="4">
        <v>104385</v>
      </c>
      <c r="P4373" s="4">
        <v>198721</v>
      </c>
      <c r="Q4373" s="4">
        <v>303106</v>
      </c>
      <c r="R4373" s="4">
        <v>909318</v>
      </c>
      <c r="S4373" t="s">
        <v>20673</v>
      </c>
      <c r="T4373" s="6">
        <v>37104</v>
      </c>
      <c r="U4373" s="4">
        <v>366000</v>
      </c>
      <c r="V4373" t="s">
        <v>23740</v>
      </c>
      <c r="W4373" t="s">
        <v>26062</v>
      </c>
      <c r="X4373" t="s">
        <v>3</v>
      </c>
      <c r="AA4373" s="5" t="str">
        <f>HYPERLINK("https://www.zillow.com/homes/81214-N-SLEIGHT-ST-NAPERVILLE-IL-60563_rb/","check listing")</f>
        <v>check listing</v>
      </c>
      <c r="AB4373" s="5" t="str">
        <f>HYPERLINK("https://propertylookup.dupagecounty.gov/Datalets/Datalet.aspx?UseSearch=no&amp;mode=sales&amp;pin=0807318009","sales record")</f>
        <v>sales record</v>
      </c>
      <c r="AC4373" t="s">
        <v>3</v>
      </c>
      <c r="AD4373">
        <v>41.784564</v>
      </c>
      <c r="AE4373">
        <v>-88.139499</v>
      </c>
      <c r="AF4373" s="5" t="str">
        <f>HYPERLINK("https://www.google.com/maps/search/?api=1&amp;query=41.784564,-88.139499","map")</f>
        <v>map</v>
      </c>
    </row>
    <row r="4374" spans="1:32">
      <c r="A4374" t="s">
        <v>4424</v>
      </c>
      <c r="B4374" t="s">
        <v>11957</v>
      </c>
      <c r="C4374" t="s">
        <v>15732</v>
      </c>
      <c r="D4374" t="s">
        <v>16206</v>
      </c>
      <c r="E4374" t="s">
        <v>16218</v>
      </c>
      <c r="F4374" t="s">
        <v>16221</v>
      </c>
      <c r="G4374" t="s">
        <v>16277</v>
      </c>
      <c r="H4374" t="s">
        <v>16277</v>
      </c>
      <c r="I4374" t="s">
        <v>16353</v>
      </c>
      <c r="J4374" t="s">
        <v>16386</v>
      </c>
      <c r="K4374">
        <v>0.194</v>
      </c>
      <c r="L4374">
        <v>8441</v>
      </c>
      <c r="M4374">
        <v>396</v>
      </c>
      <c r="N4374" t="s">
        <v>16393</v>
      </c>
      <c r="O4374" s="4">
        <v>74905</v>
      </c>
      <c r="P4374" s="4">
        <v>34391</v>
      </c>
      <c r="Q4374" s="4">
        <v>109296</v>
      </c>
      <c r="R4374" s="4">
        <v>327888</v>
      </c>
      <c r="S4374" t="s">
        <v>20674</v>
      </c>
      <c r="T4374" s="6">
        <v>43344</v>
      </c>
      <c r="U4374" s="4">
        <v>192750</v>
      </c>
      <c r="V4374" t="s">
        <v>23739</v>
      </c>
      <c r="W4374" t="s">
        <v>26063</v>
      </c>
      <c r="X4374" t="s">
        <v>3</v>
      </c>
      <c r="AA4374" s="5" t="str">
        <f>HYPERLINK("https://www.zillow.com/homes/930-N-LOOMIS-ST-NAPERVILLE-IL-605632742_rb/","check listing")</f>
        <v>check listing</v>
      </c>
      <c r="AB4374" s="5" t="str">
        <f>HYPERLINK("https://propertylookup.dupagecounty.gov/Datalets/Datalet.aspx?UseSearch=no&amp;mode=sales&amp;pin=0807311012","sales record")</f>
        <v>sales record</v>
      </c>
      <c r="AC4374" t="s">
        <v>3</v>
      </c>
      <c r="AD4374">
        <v>41.786489</v>
      </c>
      <c r="AE4374">
        <v>-88.140811</v>
      </c>
      <c r="AF4374" s="5" t="str">
        <f>HYPERLINK("https://www.google.com/maps/search/?api=1&amp;query=41.786489,-88.140811","map")</f>
        <v>map</v>
      </c>
    </row>
    <row r="4375" spans="1:32">
      <c r="A4375" t="s">
        <v>4425</v>
      </c>
      <c r="B4375" t="s">
        <v>11958</v>
      </c>
      <c r="C4375" t="s">
        <v>15662</v>
      </c>
      <c r="D4375" t="s">
        <v>16206</v>
      </c>
      <c r="E4375" t="s">
        <v>16218</v>
      </c>
      <c r="F4375" t="s">
        <v>16221</v>
      </c>
      <c r="G4375" t="s">
        <v>16278</v>
      </c>
      <c r="H4375" t="s">
        <v>16277</v>
      </c>
      <c r="I4375" t="s">
        <v>16353</v>
      </c>
      <c r="J4375" t="s">
        <v>16386</v>
      </c>
      <c r="K4375">
        <v>0.194</v>
      </c>
      <c r="L4375">
        <v>8438</v>
      </c>
      <c r="N4375" t="s">
        <v>16393</v>
      </c>
      <c r="O4375" s="4">
        <v>56146</v>
      </c>
      <c r="P4375" s="4">
        <v>254880</v>
      </c>
      <c r="Q4375" s="4">
        <v>311026</v>
      </c>
      <c r="R4375" s="4">
        <v>933078</v>
      </c>
      <c r="S4375" t="s">
        <v>20675</v>
      </c>
      <c r="T4375" s="6">
        <v>45072</v>
      </c>
      <c r="U4375" s="4">
        <v>822734</v>
      </c>
      <c r="V4375" t="s">
        <v>16232</v>
      </c>
      <c r="W4375" t="s">
        <v>26064</v>
      </c>
      <c r="X4375" t="s">
        <v>3</v>
      </c>
      <c r="AA4375" s="5" t="str">
        <f>HYPERLINK("https://www.zillow.com/homes/1204-SNAPPER-RD-NAPERVILLE-IL-605631594_rb/","check listing")</f>
        <v>check listing</v>
      </c>
      <c r="AB4375" s="5" t="str">
        <f>HYPERLINK("https://propertylookup.dupagecounty.gov/Datalets/Datalet.aspx?UseSearch=no&amp;mode=sales&amp;pin=0532307001","sales record")</f>
        <v>sales record</v>
      </c>
      <c r="AC4375" t="s">
        <v>3</v>
      </c>
      <c r="AD4375">
        <v>41.816848</v>
      </c>
      <c r="AE4375">
        <v>-88.122344</v>
      </c>
      <c r="AF4375" s="5" t="str">
        <f>HYPERLINK("https://www.google.com/maps/search/?api=1&amp;query=41.816848,-88.122344","map")</f>
        <v>map</v>
      </c>
    </row>
    <row r="4376" spans="1:32">
      <c r="A4376" t="s">
        <v>4426</v>
      </c>
      <c r="B4376" t="s">
        <v>11959</v>
      </c>
      <c r="C4376" t="s">
        <v>15475</v>
      </c>
      <c r="D4376" t="s">
        <v>16206</v>
      </c>
      <c r="E4376" t="s">
        <v>16218</v>
      </c>
      <c r="F4376" t="s">
        <v>16221</v>
      </c>
      <c r="G4376" t="s">
        <v>16277</v>
      </c>
      <c r="H4376" t="s">
        <v>16277</v>
      </c>
      <c r="I4376" t="s">
        <v>16353</v>
      </c>
      <c r="J4376" t="s">
        <v>16386</v>
      </c>
      <c r="K4376">
        <v>0.193</v>
      </c>
      <c r="L4376">
        <v>8428</v>
      </c>
      <c r="M4376">
        <v>2639</v>
      </c>
      <c r="N4376" t="s">
        <v>16393</v>
      </c>
      <c r="O4376" s="4">
        <v>119856</v>
      </c>
      <c r="P4376" s="4">
        <v>327674</v>
      </c>
      <c r="Q4376" s="4">
        <v>447530</v>
      </c>
      <c r="R4376" s="4">
        <v>1342590</v>
      </c>
      <c r="S4376" t="s">
        <v>20676</v>
      </c>
      <c r="T4376" s="6">
        <v>36069</v>
      </c>
      <c r="U4376" s="4">
        <v>625000</v>
      </c>
      <c r="X4376" t="s">
        <v>3</v>
      </c>
      <c r="AA4376" s="5" t="str">
        <f>HYPERLINK("https://www.zillow.com/homes/26-N-JULIAN-ST-NAPERVILLE-IL-60540_rb/","check listing")</f>
        <v>check listing</v>
      </c>
      <c r="AB4376" s="5" t="str">
        <f>HYPERLINK("https://propertylookup.dupagecounty.gov/Datalets/Datalet.aspx?UseSearch=no&amp;mode=sales&amp;pin=0818405001","sales record")</f>
        <v>sales record</v>
      </c>
      <c r="AC4376" t="s">
        <v>3</v>
      </c>
      <c r="AD4376">
        <v>41.775534</v>
      </c>
      <c r="AE4376">
        <v>-88.136297</v>
      </c>
      <c r="AF4376" s="5" t="str">
        <f>HYPERLINK("https://www.google.com/maps/search/?api=1&amp;query=41.775534,-88.136297","map")</f>
        <v>map</v>
      </c>
    </row>
    <row r="4377" spans="1:32">
      <c r="A4377" t="s">
        <v>4427</v>
      </c>
      <c r="B4377" t="s">
        <v>11960</v>
      </c>
      <c r="C4377" t="s">
        <v>15732</v>
      </c>
      <c r="D4377" t="s">
        <v>16206</v>
      </c>
      <c r="E4377" t="s">
        <v>16218</v>
      </c>
      <c r="F4377" t="s">
        <v>16221</v>
      </c>
      <c r="G4377" t="s">
        <v>16277</v>
      </c>
      <c r="H4377" t="s">
        <v>16277</v>
      </c>
      <c r="I4377" t="s">
        <v>16353</v>
      </c>
      <c r="J4377" t="s">
        <v>16386</v>
      </c>
      <c r="K4377">
        <v>0.193</v>
      </c>
      <c r="L4377">
        <v>8418</v>
      </c>
      <c r="M4377">
        <v>1319</v>
      </c>
      <c r="N4377" t="s">
        <v>16393</v>
      </c>
      <c r="O4377" s="4">
        <v>74905</v>
      </c>
      <c r="P4377" s="4">
        <v>47077</v>
      </c>
      <c r="Q4377" s="4">
        <v>121982</v>
      </c>
      <c r="R4377" s="4">
        <v>365946</v>
      </c>
      <c r="S4377" t="s">
        <v>20677</v>
      </c>
      <c r="T4377" s="6">
        <v>44378</v>
      </c>
      <c r="U4377" s="4">
        <v>305000</v>
      </c>
      <c r="V4377" t="s">
        <v>23739</v>
      </c>
      <c r="W4377" t="s">
        <v>26065</v>
      </c>
      <c r="X4377" t="s">
        <v>3</v>
      </c>
      <c r="AA4377" s="5" t="str">
        <f>HYPERLINK("https://www.zillow.com/homes/926-N-LOOMIS-ST-NAPERVILLE-IL-605632742_rb/","check listing")</f>
        <v>check listing</v>
      </c>
      <c r="AB4377" s="5" t="str">
        <f>HYPERLINK("https://propertylookup.dupagecounty.gov/Datalets/Datalet.aspx?UseSearch=no&amp;mode=sales&amp;pin=0807311011","sales record")</f>
        <v>sales record</v>
      </c>
      <c r="AC4377" t="s">
        <v>3</v>
      </c>
      <c r="AD4377">
        <v>41.786627</v>
      </c>
      <c r="AE4377">
        <v>-88.140804</v>
      </c>
      <c r="AF4377" s="5" t="str">
        <f>HYPERLINK("https://www.google.com/maps/search/?api=1&amp;query=41.786627,-88.140804","map")</f>
        <v>map</v>
      </c>
    </row>
    <row r="4378" spans="1:32">
      <c r="A4378" t="s">
        <v>4428</v>
      </c>
      <c r="B4378" t="s">
        <v>11961</v>
      </c>
      <c r="C4378" t="s">
        <v>15475</v>
      </c>
      <c r="D4378" t="s">
        <v>16206</v>
      </c>
      <c r="E4378" t="s">
        <v>16218</v>
      </c>
      <c r="F4378" t="s">
        <v>16221</v>
      </c>
      <c r="G4378" t="s">
        <v>16277</v>
      </c>
      <c r="H4378" t="s">
        <v>16277</v>
      </c>
      <c r="I4378" t="s">
        <v>16353</v>
      </c>
      <c r="J4378" t="s">
        <v>16386</v>
      </c>
      <c r="K4378">
        <v>0.193</v>
      </c>
      <c r="L4378">
        <v>8412</v>
      </c>
      <c r="M4378">
        <v>1286</v>
      </c>
      <c r="N4378" t="s">
        <v>16393</v>
      </c>
      <c r="O4378" s="4">
        <v>119856</v>
      </c>
      <c r="P4378" s="4">
        <v>52466</v>
      </c>
      <c r="Q4378" s="4">
        <v>172322</v>
      </c>
      <c r="R4378" s="4">
        <v>516966</v>
      </c>
      <c r="S4378" t="s">
        <v>20678</v>
      </c>
      <c r="T4378" s="6">
        <v>43952</v>
      </c>
      <c r="U4378" s="4">
        <v>330000</v>
      </c>
      <c r="V4378" t="s">
        <v>23740</v>
      </c>
      <c r="W4378" t="s">
        <v>20678</v>
      </c>
      <c r="X4378" t="s">
        <v>3</v>
      </c>
      <c r="AA4378" s="5" t="str">
        <f>HYPERLINK("https://www.zillow.com/homes/729-E-BENTON-AVE-NAPERVILLE-IL-60540_rb/","check listing")</f>
        <v>check listing</v>
      </c>
      <c r="AB4378" s="5" t="str">
        <f>HYPERLINK("https://propertylookup.dupagecounty.gov/Datalets/Datalet.aspx?UseSearch=no&amp;mode=sales&amp;pin=0818404010","sales record")</f>
        <v>sales record</v>
      </c>
      <c r="AC4378" t="s">
        <v>3</v>
      </c>
      <c r="AD4378">
        <v>41.774996</v>
      </c>
      <c r="AE4378">
        <v>-88.13705400000001</v>
      </c>
      <c r="AF4378" s="5" t="str">
        <f>HYPERLINK("https://www.google.com/maps/search/?api=1&amp;query=41.774996,-88.137054","map")</f>
        <v>map</v>
      </c>
    </row>
    <row r="4379" spans="1:32">
      <c r="A4379" t="s">
        <v>4429</v>
      </c>
      <c r="B4379" t="s">
        <v>11962</v>
      </c>
      <c r="C4379" t="s">
        <v>15475</v>
      </c>
      <c r="D4379" t="s">
        <v>16206</v>
      </c>
      <c r="E4379" t="s">
        <v>16218</v>
      </c>
      <c r="F4379" t="s">
        <v>16221</v>
      </c>
      <c r="G4379" t="s">
        <v>16277</v>
      </c>
      <c r="H4379" t="s">
        <v>16277</v>
      </c>
      <c r="I4379" t="s">
        <v>16353</v>
      </c>
      <c r="J4379" t="s">
        <v>16386</v>
      </c>
      <c r="K4379">
        <v>0.193</v>
      </c>
      <c r="L4379">
        <v>8396</v>
      </c>
      <c r="M4379">
        <v>2365</v>
      </c>
      <c r="N4379" t="s">
        <v>16393</v>
      </c>
      <c r="O4379" s="4">
        <v>112775</v>
      </c>
      <c r="P4379" s="4">
        <v>72841</v>
      </c>
      <c r="Q4379" s="4">
        <v>185616</v>
      </c>
      <c r="R4379" s="4">
        <v>556848</v>
      </c>
      <c r="S4379" t="s">
        <v>20679</v>
      </c>
      <c r="T4379" s="6">
        <v>40603</v>
      </c>
      <c r="U4379" s="4">
        <v>280000</v>
      </c>
      <c r="V4379" t="s">
        <v>23739</v>
      </c>
      <c r="W4379" t="s">
        <v>26066</v>
      </c>
      <c r="X4379" t="s">
        <v>3</v>
      </c>
      <c r="AA4379" s="5" t="str">
        <f>HYPERLINK("https://www.zillow.com/homes/506-SPRING-AVE-NAPERVILLE-IL-60540_rb/","check listing")</f>
        <v>check listing</v>
      </c>
      <c r="AB4379" s="5" t="str">
        <f>HYPERLINK("https://propertylookup.dupagecounty.gov/Datalets/Datalet.aspx?UseSearch=no&amp;mode=sales&amp;pin=0713220005","sales record")</f>
        <v>sales record</v>
      </c>
      <c r="AC4379" t="s">
        <v>3</v>
      </c>
      <c r="AD4379">
        <v>41.778224</v>
      </c>
      <c r="AE4379">
        <v>-88.156291</v>
      </c>
      <c r="AF4379" s="5" t="str">
        <f>HYPERLINK("https://www.google.com/maps/search/?api=1&amp;query=41.778224,-88.156291","map")</f>
        <v>map</v>
      </c>
    </row>
    <row r="4380" spans="1:32">
      <c r="A4380" t="s">
        <v>4430</v>
      </c>
      <c r="B4380" t="s">
        <v>11963</v>
      </c>
      <c r="C4380" t="s">
        <v>15478</v>
      </c>
      <c r="D4380" t="s">
        <v>16206</v>
      </c>
      <c r="E4380" t="s">
        <v>16218</v>
      </c>
      <c r="F4380" t="s">
        <v>16221</v>
      </c>
      <c r="G4380" t="s">
        <v>16277</v>
      </c>
      <c r="H4380" t="s">
        <v>16277</v>
      </c>
      <c r="I4380" t="s">
        <v>16353</v>
      </c>
      <c r="J4380" t="s">
        <v>16386</v>
      </c>
      <c r="K4380">
        <v>0.193</v>
      </c>
      <c r="L4380">
        <v>8392</v>
      </c>
      <c r="M4380">
        <v>1781</v>
      </c>
      <c r="N4380" t="s">
        <v>16393</v>
      </c>
      <c r="O4380" s="4">
        <v>70862</v>
      </c>
      <c r="P4380" s="4">
        <v>23534</v>
      </c>
      <c r="Q4380" s="4">
        <v>94396</v>
      </c>
      <c r="R4380" s="4">
        <v>283188</v>
      </c>
      <c r="S4380" t="s">
        <v>20680</v>
      </c>
      <c r="T4380" s="6">
        <v>45561</v>
      </c>
      <c r="U4380" s="4">
        <v>330000</v>
      </c>
      <c r="V4380" t="s">
        <v>23739</v>
      </c>
      <c r="W4380" t="s">
        <v>20680</v>
      </c>
      <c r="X4380" t="s">
        <v>3</v>
      </c>
      <c r="AA4380" s="5" t="str">
        <f>HYPERLINK("https://www.zillow.com/homes/931-N-SLEIGHT-NAPERVILLE-IL-60563_rb/","check listing")</f>
        <v>check listing</v>
      </c>
      <c r="AB4380" s="5" t="str">
        <f>HYPERLINK("https://propertylookup.dupagecounty.gov/Datalets/Datalet.aspx?UseSearch=no&amp;mode=sales&amp;pin=0807311021","sales record")</f>
        <v>sales record</v>
      </c>
      <c r="AC4380" t="s">
        <v>3</v>
      </c>
      <c r="AD4380">
        <v>41.786555</v>
      </c>
      <c r="AE4380">
        <v>-88.14013799999999</v>
      </c>
      <c r="AF4380" s="5" t="str">
        <f>HYPERLINK("https://www.google.com/maps/search/?api=1&amp;query=41.786555,-88.140138","map")</f>
        <v>map</v>
      </c>
    </row>
    <row r="4381" spans="1:32">
      <c r="A4381" t="s">
        <v>4431</v>
      </c>
      <c r="B4381" t="s">
        <v>11964</v>
      </c>
      <c r="C4381" t="s">
        <v>15733</v>
      </c>
      <c r="D4381" t="s">
        <v>16206</v>
      </c>
      <c r="E4381" t="s">
        <v>16218</v>
      </c>
      <c r="F4381" t="s">
        <v>16221</v>
      </c>
      <c r="G4381" t="s">
        <v>16277</v>
      </c>
      <c r="H4381" t="s">
        <v>16277</v>
      </c>
      <c r="I4381" t="s">
        <v>16353</v>
      </c>
      <c r="J4381" t="s">
        <v>16386</v>
      </c>
      <c r="K4381">
        <v>0.193</v>
      </c>
      <c r="L4381">
        <v>8390</v>
      </c>
      <c r="M4381">
        <v>2555</v>
      </c>
      <c r="N4381" t="s">
        <v>16393</v>
      </c>
      <c r="O4381" s="4">
        <v>119856</v>
      </c>
      <c r="P4381" s="4">
        <v>135613</v>
      </c>
      <c r="Q4381" s="4">
        <v>255469</v>
      </c>
      <c r="R4381" s="4">
        <v>766407</v>
      </c>
      <c r="S4381" t="s">
        <v>20681</v>
      </c>
      <c r="T4381" s="6">
        <v>44764</v>
      </c>
      <c r="U4381" s="4">
        <v>865000</v>
      </c>
      <c r="V4381" t="s">
        <v>23741</v>
      </c>
      <c r="W4381" t="s">
        <v>26067</v>
      </c>
      <c r="X4381" t="s">
        <v>3</v>
      </c>
      <c r="AA4381" s="5" t="str">
        <f>HYPERLINK("https://www.zillow.com/homes/730-E-FRANKLIN-AVE-NAPERVILLE-IL-605404811_rb/","check listing")</f>
        <v>check listing</v>
      </c>
      <c r="AB4381" s="5" t="str">
        <f>HYPERLINK("https://propertylookup.dupagecounty.gov/Datalets/Datalet.aspx?UseSearch=no&amp;mode=sales&amp;pin=0818404006","sales record")</f>
        <v>sales record</v>
      </c>
      <c r="AC4381" t="s">
        <v>3</v>
      </c>
      <c r="AD4381">
        <v>41.775561</v>
      </c>
      <c r="AE4381">
        <v>-88.137024</v>
      </c>
      <c r="AF4381" s="5" t="str">
        <f>HYPERLINK("https://www.google.com/maps/search/?api=1&amp;query=41.775561,-88.137024","map")</f>
        <v>map</v>
      </c>
    </row>
    <row r="4382" spans="1:32">
      <c r="A4382" t="s">
        <v>4432</v>
      </c>
      <c r="B4382" t="s">
        <v>11965</v>
      </c>
      <c r="C4382" t="s">
        <v>15692</v>
      </c>
      <c r="D4382" t="s">
        <v>16206</v>
      </c>
      <c r="E4382" t="s">
        <v>16218</v>
      </c>
      <c r="F4382" t="s">
        <v>16221</v>
      </c>
      <c r="G4382" t="s">
        <v>16278</v>
      </c>
      <c r="H4382" t="s">
        <v>16277</v>
      </c>
      <c r="I4382" t="s">
        <v>16353</v>
      </c>
      <c r="J4382" t="s">
        <v>16386</v>
      </c>
      <c r="K4382">
        <v>0.192</v>
      </c>
      <c r="L4382">
        <v>8385</v>
      </c>
      <c r="N4382" t="s">
        <v>16393</v>
      </c>
      <c r="O4382" s="4">
        <v>72438</v>
      </c>
      <c r="P4382" s="4">
        <v>199592</v>
      </c>
      <c r="Q4382" s="4">
        <v>272030</v>
      </c>
      <c r="R4382" s="4">
        <v>816090</v>
      </c>
      <c r="S4382" t="s">
        <v>20682</v>
      </c>
      <c r="T4382" s="6">
        <v>43497</v>
      </c>
      <c r="U4382" s="4">
        <v>616096</v>
      </c>
      <c r="V4382" t="s">
        <v>16232</v>
      </c>
      <c r="W4382" t="s">
        <v>26068</v>
      </c>
      <c r="X4382" t="s">
        <v>3</v>
      </c>
      <c r="AA4382" s="5" t="str">
        <f>HYPERLINK("https://www.zillow.com/homes/1487-BAYOU-PATH-DR-NAPERVILLE-IL-605633608_rb/","check listing")</f>
        <v>check listing</v>
      </c>
      <c r="AB4382" s="5" t="str">
        <f>HYPERLINK("https://propertylookup.dupagecounty.gov/Datalets/Datalet.aspx?UseSearch=no&amp;mode=sales&amp;pin=0709311039","sales record")</f>
        <v>sales record</v>
      </c>
      <c r="AC4382" t="s">
        <v>3</v>
      </c>
      <c r="AD4382">
        <v>41.790628</v>
      </c>
      <c r="AE4382">
        <v>-88.22018199999999</v>
      </c>
      <c r="AF4382" s="5" t="str">
        <f>HYPERLINK("https://www.google.com/maps/search/?api=1&amp;query=41.790628,-88.220182","map")</f>
        <v>map</v>
      </c>
    </row>
    <row r="4383" spans="1:32">
      <c r="A4383" t="s">
        <v>4433</v>
      </c>
      <c r="B4383" t="s">
        <v>11966</v>
      </c>
      <c r="C4383" t="s">
        <v>15475</v>
      </c>
      <c r="D4383" t="s">
        <v>16206</v>
      </c>
      <c r="E4383" t="s">
        <v>16218</v>
      </c>
      <c r="F4383" t="s">
        <v>16221</v>
      </c>
      <c r="G4383" t="s">
        <v>16277</v>
      </c>
      <c r="H4383" t="s">
        <v>16277</v>
      </c>
      <c r="I4383" t="s">
        <v>16353</v>
      </c>
      <c r="J4383" t="s">
        <v>16386</v>
      </c>
      <c r="K4383">
        <v>0.192</v>
      </c>
      <c r="L4383">
        <v>8373</v>
      </c>
      <c r="M4383">
        <v>1186</v>
      </c>
      <c r="N4383" t="s">
        <v>16393</v>
      </c>
      <c r="O4383" s="4">
        <v>140494</v>
      </c>
      <c r="P4383" s="4">
        <v>102963</v>
      </c>
      <c r="Q4383" s="4">
        <v>243457</v>
      </c>
      <c r="R4383" s="4">
        <v>730371</v>
      </c>
      <c r="S4383" t="s">
        <v>20683</v>
      </c>
      <c r="T4383" s="6">
        <v>32994</v>
      </c>
      <c r="U4383" s="4">
        <v>95000</v>
      </c>
      <c r="X4383" t="s">
        <v>3</v>
      </c>
      <c r="AA4383" s="5" t="str">
        <f>HYPERLINK("https://www.zillow.com/homes/119-N-EWING-ST-NAPERVILLE-IL-60540_rb/","check listing")</f>
        <v>check listing</v>
      </c>
      <c r="AB4383" s="5" t="str">
        <f>HYPERLINK("https://propertylookup.dupagecounty.gov/Datalets/Datalet.aspx?UseSearch=no&amp;mode=sales&amp;pin=0713400001","sales record")</f>
        <v>sales record</v>
      </c>
      <c r="AC4383" t="s">
        <v>3</v>
      </c>
      <c r="AD4383">
        <v>41.776807</v>
      </c>
      <c r="AE4383">
        <v>-88.15652900000001</v>
      </c>
      <c r="AF4383" s="5" t="str">
        <f>HYPERLINK("https://www.google.com/maps/search/?api=1&amp;query=41.776807,-88.156529","map")</f>
        <v>map</v>
      </c>
    </row>
    <row r="4384" spans="1:32">
      <c r="A4384" t="s">
        <v>4434</v>
      </c>
      <c r="B4384" t="s">
        <v>11967</v>
      </c>
      <c r="C4384" t="s">
        <v>15478</v>
      </c>
      <c r="D4384" t="s">
        <v>16206</v>
      </c>
      <c r="E4384" t="s">
        <v>16218</v>
      </c>
      <c r="F4384" t="s">
        <v>16221</v>
      </c>
      <c r="G4384" t="s">
        <v>16277</v>
      </c>
      <c r="H4384" t="s">
        <v>16277</v>
      </c>
      <c r="I4384" t="s">
        <v>16353</v>
      </c>
      <c r="J4384" t="s">
        <v>16386</v>
      </c>
      <c r="K4384">
        <v>0.192</v>
      </c>
      <c r="L4384">
        <v>8363</v>
      </c>
      <c r="M4384">
        <v>2738</v>
      </c>
      <c r="N4384" t="s">
        <v>16393</v>
      </c>
      <c r="O4384" s="4">
        <v>74905</v>
      </c>
      <c r="P4384" s="4">
        <v>98130</v>
      </c>
      <c r="Q4384" s="4">
        <v>173035</v>
      </c>
      <c r="R4384" s="4">
        <v>519105</v>
      </c>
      <c r="S4384" t="s">
        <v>20684</v>
      </c>
      <c r="T4384" s="6">
        <v>41275</v>
      </c>
      <c r="U4384" s="4">
        <v>370800</v>
      </c>
      <c r="V4384" t="s">
        <v>23740</v>
      </c>
      <c r="W4384" t="s">
        <v>26069</v>
      </c>
      <c r="X4384" t="s">
        <v>3</v>
      </c>
      <c r="AA4384" s="5" t="str">
        <f>HYPERLINK("https://www.zillow.com/homes/948-N-LOOMIS-ST-NAPERVILLE-IL-60563_rb/","check listing")</f>
        <v>check listing</v>
      </c>
      <c r="AB4384" s="5" t="str">
        <f>HYPERLINK("https://propertylookup.dupagecounty.gov/Datalets/Datalet.aspx?UseSearch=no&amp;mode=sales&amp;pin=0807311008","sales record")</f>
        <v>sales record</v>
      </c>
      <c r="AC4384" t="s">
        <v>3</v>
      </c>
      <c r="AD4384">
        <v>41.78704</v>
      </c>
      <c r="AE4384">
        <v>-88.140783</v>
      </c>
      <c r="AF4384" s="5" t="str">
        <f>HYPERLINK("https://www.google.com/maps/search/?api=1&amp;query=41.78704,-88.140783","map")</f>
        <v>map</v>
      </c>
    </row>
    <row r="4385" spans="1:32">
      <c r="A4385" t="s">
        <v>4435</v>
      </c>
      <c r="B4385" t="s">
        <v>11968</v>
      </c>
      <c r="C4385" t="s">
        <v>15478</v>
      </c>
      <c r="D4385" t="s">
        <v>16206</v>
      </c>
      <c r="E4385" t="s">
        <v>16218</v>
      </c>
      <c r="F4385" t="s">
        <v>16221</v>
      </c>
      <c r="G4385" t="s">
        <v>16277</v>
      </c>
      <c r="H4385" t="s">
        <v>16277</v>
      </c>
      <c r="I4385" t="s">
        <v>16353</v>
      </c>
      <c r="J4385" t="s">
        <v>16386</v>
      </c>
      <c r="K4385">
        <v>0.192</v>
      </c>
      <c r="L4385">
        <v>8362</v>
      </c>
      <c r="M4385">
        <v>2210</v>
      </c>
      <c r="N4385" t="s">
        <v>16393</v>
      </c>
      <c r="O4385" s="4">
        <v>74905</v>
      </c>
      <c r="P4385" s="4">
        <v>44344</v>
      </c>
      <c r="Q4385" s="4">
        <v>119249</v>
      </c>
      <c r="R4385" s="4">
        <v>357747</v>
      </c>
      <c r="S4385" t="s">
        <v>20685</v>
      </c>
      <c r="T4385" s="6">
        <v>38231</v>
      </c>
      <c r="U4385" s="4">
        <v>214000</v>
      </c>
      <c r="V4385" t="s">
        <v>23739</v>
      </c>
      <c r="W4385" t="s">
        <v>26070</v>
      </c>
      <c r="X4385" t="s">
        <v>3</v>
      </c>
      <c r="AA4385" s="5" t="str">
        <f>HYPERLINK("https://www.zillow.com/homes/935-N-SLEIGHT-ST-NAPERVILLE-IL-60563_rb/","check listing")</f>
        <v>check listing</v>
      </c>
      <c r="AB4385" s="5" t="str">
        <f>HYPERLINK("https://propertylookup.dupagecounty.gov/Datalets/Datalet.aspx?UseSearch=no&amp;mode=sales&amp;pin=0807311018","sales record")</f>
        <v>sales record</v>
      </c>
      <c r="AC4385" t="s">
        <v>3</v>
      </c>
      <c r="AD4385">
        <v>41.786899</v>
      </c>
      <c r="AE4385">
        <v>-88.14012099999999</v>
      </c>
      <c r="AF4385" s="5" t="str">
        <f>HYPERLINK("https://www.google.com/maps/search/?api=1&amp;query=41.786899,-88.140121","map")</f>
        <v>map</v>
      </c>
    </row>
    <row r="4386" spans="1:32">
      <c r="A4386" t="s">
        <v>4436</v>
      </c>
      <c r="B4386" t="s">
        <v>11969</v>
      </c>
      <c r="C4386" t="s">
        <v>15734</v>
      </c>
      <c r="D4386" t="s">
        <v>16206</v>
      </c>
      <c r="E4386" t="s">
        <v>16218</v>
      </c>
      <c r="F4386" t="s">
        <v>16221</v>
      </c>
      <c r="G4386" t="s">
        <v>16277</v>
      </c>
      <c r="H4386" t="s">
        <v>16277</v>
      </c>
      <c r="I4386" t="s">
        <v>16353</v>
      </c>
      <c r="J4386" t="s">
        <v>16386</v>
      </c>
      <c r="K4386">
        <v>0.192</v>
      </c>
      <c r="L4386">
        <v>8362</v>
      </c>
      <c r="M4386">
        <v>5062</v>
      </c>
      <c r="N4386" t="s">
        <v>16393</v>
      </c>
      <c r="O4386" s="4">
        <v>113606</v>
      </c>
      <c r="P4386" s="4">
        <v>255478</v>
      </c>
      <c r="Q4386" s="4">
        <v>369084</v>
      </c>
      <c r="R4386" s="4">
        <v>1107252</v>
      </c>
      <c r="S4386" t="s">
        <v>20686</v>
      </c>
      <c r="T4386" s="6">
        <v>44378</v>
      </c>
      <c r="U4386" s="4">
        <v>990000</v>
      </c>
      <c r="V4386" t="s">
        <v>23739</v>
      </c>
      <c r="W4386" t="s">
        <v>26071</v>
      </c>
      <c r="X4386" t="s">
        <v>3</v>
      </c>
      <c r="AA4386" s="5" t="str">
        <f>HYPERLINK("https://www.zillow.com/homes/212-DOUGLAS-AVE-NAPERVILLE-IL-605404410_rb/","check listing")</f>
        <v>check listing</v>
      </c>
      <c r="AB4386" s="5" t="str">
        <f>HYPERLINK("https://propertylookup.dupagecounty.gov/Datalets/Datalet.aspx?UseSearch=no&amp;mode=sales&amp;pin=0713403019","sales record")</f>
        <v>sales record</v>
      </c>
      <c r="AC4386" t="s">
        <v>27873</v>
      </c>
      <c r="AD4386">
        <v>41.77696</v>
      </c>
      <c r="AE4386">
        <v>-88.151515</v>
      </c>
      <c r="AF4386" s="5" t="str">
        <f>HYPERLINK("https://www.google.com/maps/search/?api=1&amp;query=41.77696,-88.151515","map")</f>
        <v>map</v>
      </c>
    </row>
    <row r="4387" spans="1:32">
      <c r="A4387" t="s">
        <v>4437</v>
      </c>
      <c r="B4387" t="s">
        <v>11970</v>
      </c>
      <c r="C4387" t="s">
        <v>15475</v>
      </c>
      <c r="D4387" t="s">
        <v>16206</v>
      </c>
      <c r="E4387" t="s">
        <v>16218</v>
      </c>
      <c r="F4387" t="s">
        <v>16221</v>
      </c>
      <c r="G4387" t="s">
        <v>16277</v>
      </c>
      <c r="H4387" t="s">
        <v>16277</v>
      </c>
      <c r="I4387" t="s">
        <v>16353</v>
      </c>
      <c r="J4387" t="s">
        <v>16386</v>
      </c>
      <c r="K4387">
        <v>0.192</v>
      </c>
      <c r="L4387">
        <v>8346</v>
      </c>
      <c r="M4387">
        <v>1320</v>
      </c>
      <c r="N4387" t="s">
        <v>16393</v>
      </c>
      <c r="O4387" s="4">
        <v>125945</v>
      </c>
      <c r="P4387" s="4">
        <v>58136</v>
      </c>
      <c r="Q4387" s="4">
        <v>184081</v>
      </c>
      <c r="R4387" s="4">
        <v>552243</v>
      </c>
      <c r="S4387" t="s">
        <v>20687</v>
      </c>
      <c r="T4387" s="6">
        <v>38565</v>
      </c>
      <c r="U4387" s="4">
        <v>350000</v>
      </c>
      <c r="V4387" t="s">
        <v>23739</v>
      </c>
      <c r="W4387" t="s">
        <v>26072</v>
      </c>
      <c r="X4387" t="s">
        <v>3</v>
      </c>
      <c r="AA4387" s="5" t="str">
        <f>HYPERLINK("https://www.zillow.com/homes/221-N-MILL-ST-NAPERVILLE-IL-60540_rb/","check listing")</f>
        <v>check listing</v>
      </c>
      <c r="AB4387" s="5" t="str">
        <f>HYPERLINK("https://propertylookup.dupagecounty.gov/Datalets/Datalet.aspx?UseSearch=no&amp;mode=sales&amp;pin=0713222014","sales record")</f>
        <v>sales record</v>
      </c>
      <c r="AC4387" t="s">
        <v>3</v>
      </c>
      <c r="AD4387">
        <v>41.777821</v>
      </c>
      <c r="AE4387">
        <v>-88.154788</v>
      </c>
      <c r="AF4387" s="5" t="str">
        <f>HYPERLINK("https://www.google.com/maps/search/?api=1&amp;query=41.777821,-88.154788","map")</f>
        <v>map</v>
      </c>
    </row>
    <row r="4388" spans="1:32">
      <c r="A4388" t="s">
        <v>4438</v>
      </c>
      <c r="B4388" t="s">
        <v>11971</v>
      </c>
      <c r="C4388" t="s">
        <v>15735</v>
      </c>
      <c r="D4388" t="s">
        <v>16206</v>
      </c>
      <c r="E4388" t="s">
        <v>16218</v>
      </c>
      <c r="F4388" t="s">
        <v>16221</v>
      </c>
      <c r="G4388" t="s">
        <v>16277</v>
      </c>
      <c r="H4388" t="s">
        <v>16277</v>
      </c>
      <c r="I4388" t="s">
        <v>16353</v>
      </c>
      <c r="J4388" t="s">
        <v>16386</v>
      </c>
      <c r="K4388">
        <v>0.192</v>
      </c>
      <c r="L4388">
        <v>8345</v>
      </c>
      <c r="M4388">
        <v>2033</v>
      </c>
      <c r="N4388" t="s">
        <v>16393</v>
      </c>
      <c r="O4388" s="4">
        <v>74525</v>
      </c>
      <c r="P4388" s="4">
        <v>42109</v>
      </c>
      <c r="Q4388" s="4">
        <v>116634</v>
      </c>
      <c r="R4388" s="4">
        <v>349902</v>
      </c>
      <c r="S4388" t="s">
        <v>20688</v>
      </c>
      <c r="T4388" s="6">
        <v>42370</v>
      </c>
      <c r="U4388" s="4">
        <v>165000</v>
      </c>
      <c r="V4388" t="s">
        <v>16232</v>
      </c>
      <c r="W4388" t="s">
        <v>26073</v>
      </c>
      <c r="X4388" t="s">
        <v>3</v>
      </c>
      <c r="AA4388" s="5" t="str">
        <f>HYPERLINK("https://www.zillow.com/homes/939-N-SLEIGHT-ST-NAPERVILLE-IL-605632800_rb/","check listing")</f>
        <v>check listing</v>
      </c>
      <c r="AB4388" s="5" t="str">
        <f>HYPERLINK("https://propertylookup.dupagecounty.gov/Datalets/Datalet.aspx?UseSearch=no&amp;mode=sales&amp;pin=0807311017","sales record")</f>
        <v>sales record</v>
      </c>
      <c r="AC4388" t="s">
        <v>3</v>
      </c>
      <c r="AD4388">
        <v>41.787037</v>
      </c>
      <c r="AE4388">
        <v>-88.140114</v>
      </c>
      <c r="AF4388" s="5" t="str">
        <f>HYPERLINK("https://www.google.com/maps/search/?api=1&amp;query=41.787037,-88.140114","map")</f>
        <v>map</v>
      </c>
    </row>
    <row r="4389" spans="1:32">
      <c r="A4389" t="s">
        <v>4439</v>
      </c>
      <c r="B4389" t="s">
        <v>11972</v>
      </c>
      <c r="C4389" t="s">
        <v>15736</v>
      </c>
      <c r="D4389" t="s">
        <v>16206</v>
      </c>
      <c r="E4389" t="s">
        <v>16218</v>
      </c>
      <c r="F4389" t="s">
        <v>16221</v>
      </c>
      <c r="G4389" t="s">
        <v>16277</v>
      </c>
      <c r="H4389" t="s">
        <v>16277</v>
      </c>
      <c r="I4389" t="s">
        <v>16353</v>
      </c>
      <c r="J4389" t="s">
        <v>16386</v>
      </c>
      <c r="K4389">
        <v>0.192</v>
      </c>
      <c r="L4389">
        <v>8343</v>
      </c>
      <c r="M4389">
        <v>2590</v>
      </c>
      <c r="N4389" t="s">
        <v>16393</v>
      </c>
      <c r="O4389" s="4">
        <v>119941</v>
      </c>
      <c r="P4389" s="4">
        <v>297672</v>
      </c>
      <c r="Q4389" s="4">
        <v>417613</v>
      </c>
      <c r="R4389" s="4">
        <v>1252839</v>
      </c>
      <c r="S4389" t="s">
        <v>20689</v>
      </c>
      <c r="T4389" s="6">
        <v>45985</v>
      </c>
      <c r="U4389" s="4">
        <v>1325000</v>
      </c>
      <c r="V4389" t="s">
        <v>23739</v>
      </c>
      <c r="W4389" t="s">
        <v>26074</v>
      </c>
      <c r="X4389" t="s">
        <v>3</v>
      </c>
      <c r="AA4389" s="5" t="str">
        <f>HYPERLINK("https://www.zillow.com/homes/225-N-MILL-ST-NAPERVILLE-IL-605404437_rb/","check listing")</f>
        <v>check listing</v>
      </c>
      <c r="AB4389" s="5" t="str">
        <f>HYPERLINK("https://propertylookup.dupagecounty.gov/Datalets/Datalet.aspx?UseSearch=no&amp;mode=sales&amp;pin=0713222013","sales record")</f>
        <v>sales record</v>
      </c>
      <c r="AC4389" t="s">
        <v>3</v>
      </c>
      <c r="AD4389">
        <v>41.77799</v>
      </c>
      <c r="AE4389">
        <v>-88.154779</v>
      </c>
      <c r="AF4389" s="5" t="str">
        <f>HYPERLINK("https://www.google.com/maps/search/?api=1&amp;query=41.77799,-88.154779","map")</f>
        <v>map</v>
      </c>
    </row>
    <row r="4390" spans="1:32">
      <c r="A4390" t="s">
        <v>4440</v>
      </c>
      <c r="B4390" t="s">
        <v>11973</v>
      </c>
      <c r="C4390" t="s">
        <v>15735</v>
      </c>
      <c r="D4390" t="s">
        <v>16206</v>
      </c>
      <c r="E4390" t="s">
        <v>16218</v>
      </c>
      <c r="F4390" t="s">
        <v>16221</v>
      </c>
      <c r="G4390" t="s">
        <v>16277</v>
      </c>
      <c r="H4390" t="s">
        <v>16277</v>
      </c>
      <c r="I4390" t="s">
        <v>16353</v>
      </c>
      <c r="J4390" t="s">
        <v>16386</v>
      </c>
      <c r="K4390">
        <v>0.191</v>
      </c>
      <c r="L4390">
        <v>8332</v>
      </c>
      <c r="M4390">
        <v>2737</v>
      </c>
      <c r="N4390" t="s">
        <v>16393</v>
      </c>
      <c r="O4390" s="4">
        <v>74905</v>
      </c>
      <c r="P4390" s="4">
        <v>48411</v>
      </c>
      <c r="Q4390" s="4">
        <v>123316</v>
      </c>
      <c r="R4390" s="4">
        <v>369948</v>
      </c>
      <c r="S4390" t="s">
        <v>20690</v>
      </c>
      <c r="T4390" s="6">
        <v>44470</v>
      </c>
      <c r="U4390" s="4">
        <v>280000</v>
      </c>
      <c r="V4390" t="s">
        <v>23740</v>
      </c>
      <c r="W4390" t="s">
        <v>20690</v>
      </c>
      <c r="X4390" t="s">
        <v>3</v>
      </c>
      <c r="AA4390" s="5" t="str">
        <f>HYPERLINK("https://www.zillow.com/homes/955-N-SLEIGHT-ST-NAPERVILLE-IL-605632800_rb/","check listing")</f>
        <v>check listing</v>
      </c>
      <c r="AB4390" s="5" t="str">
        <f>HYPERLINK("https://propertylookup.dupagecounty.gov/Datalets/Datalet.aspx?UseSearch=no&amp;mode=sales&amp;pin=0807311016","sales record")</f>
        <v>sales record</v>
      </c>
      <c r="AC4390" t="s">
        <v>3</v>
      </c>
      <c r="AD4390">
        <v>41.787174</v>
      </c>
      <c r="AE4390">
        <v>-88.140108</v>
      </c>
      <c r="AF4390" s="5" t="str">
        <f>HYPERLINK("https://www.google.com/maps/search/?api=1&amp;query=41.787174,-88.140108","map")</f>
        <v>map</v>
      </c>
    </row>
    <row r="4391" spans="1:32">
      <c r="A4391" t="s">
        <v>4441</v>
      </c>
      <c r="B4391" t="s">
        <v>11974</v>
      </c>
      <c r="C4391" t="s">
        <v>15475</v>
      </c>
      <c r="D4391" t="s">
        <v>16206</v>
      </c>
      <c r="E4391" t="s">
        <v>16218</v>
      </c>
      <c r="F4391" t="s">
        <v>16221</v>
      </c>
      <c r="G4391" t="s">
        <v>16277</v>
      </c>
      <c r="H4391" t="s">
        <v>16277</v>
      </c>
      <c r="I4391" t="s">
        <v>16353</v>
      </c>
      <c r="J4391" t="s">
        <v>16386</v>
      </c>
      <c r="K4391">
        <v>0.191</v>
      </c>
      <c r="L4391">
        <v>8327</v>
      </c>
      <c r="M4391">
        <v>1679</v>
      </c>
      <c r="N4391" t="s">
        <v>16393</v>
      </c>
      <c r="O4391" s="4">
        <v>131890</v>
      </c>
      <c r="P4391" s="4">
        <v>67331</v>
      </c>
      <c r="Q4391" s="4">
        <v>199221</v>
      </c>
      <c r="R4391" s="4">
        <v>597663</v>
      </c>
      <c r="S4391" t="s">
        <v>20691</v>
      </c>
      <c r="T4391" s="6">
        <v>34943</v>
      </c>
      <c r="U4391" s="4">
        <v>192000</v>
      </c>
      <c r="X4391" t="s">
        <v>3</v>
      </c>
      <c r="AA4391" s="5" t="str">
        <f>HYPERLINK("https://www.zillow.com/homes/219-WRIGHT-ST-NAPERVILLE-IL-60540_rb/","check listing")</f>
        <v>check listing</v>
      </c>
      <c r="AB4391" s="5" t="str">
        <f>HYPERLINK("https://propertylookup.dupagecounty.gov/Datalets/Datalet.aspx?UseSearch=no&amp;mode=sales&amp;pin=0818140007","sales record")</f>
        <v>sales record</v>
      </c>
      <c r="AC4391" t="s">
        <v>27873</v>
      </c>
      <c r="AD4391">
        <v>41.777921</v>
      </c>
      <c r="AE4391">
        <v>-88.139736</v>
      </c>
      <c r="AF4391" s="5" t="str">
        <f>HYPERLINK("https://www.google.com/maps/search/?api=1&amp;query=41.777921,-88.139736","map")</f>
        <v>map</v>
      </c>
    </row>
    <row r="4392" spans="1:32">
      <c r="A4392" t="s">
        <v>4442</v>
      </c>
      <c r="B4392" t="s">
        <v>11975</v>
      </c>
      <c r="C4392" t="s">
        <v>15735</v>
      </c>
      <c r="D4392" t="s">
        <v>16206</v>
      </c>
      <c r="E4392" t="s">
        <v>16218</v>
      </c>
      <c r="F4392" t="s">
        <v>16221</v>
      </c>
      <c r="G4392" t="s">
        <v>16277</v>
      </c>
      <c r="H4392" t="s">
        <v>16277</v>
      </c>
      <c r="I4392" t="s">
        <v>16353</v>
      </c>
      <c r="J4392" t="s">
        <v>16386</v>
      </c>
      <c r="K4392">
        <v>0.191</v>
      </c>
      <c r="L4392">
        <v>8318</v>
      </c>
      <c r="M4392">
        <v>1319</v>
      </c>
      <c r="N4392" t="s">
        <v>16393</v>
      </c>
      <c r="O4392" s="4">
        <v>74905</v>
      </c>
      <c r="P4392" s="4">
        <v>66974</v>
      </c>
      <c r="Q4392" s="4">
        <v>141879</v>
      </c>
      <c r="R4392" s="4">
        <v>425637</v>
      </c>
      <c r="S4392" t="s">
        <v>20692</v>
      </c>
      <c r="T4392" s="6">
        <v>44797</v>
      </c>
      <c r="U4392" s="4">
        <v>385000</v>
      </c>
      <c r="V4392" t="s">
        <v>23739</v>
      </c>
      <c r="W4392" t="s">
        <v>26075</v>
      </c>
      <c r="X4392" t="s">
        <v>3</v>
      </c>
      <c r="AA4392" s="5" t="str">
        <f>HYPERLINK("https://www.zillow.com/homes/957-N-SLEIGHT-ST-NAPERVILLE-IL-605632800_rb/","check listing")</f>
        <v>check listing</v>
      </c>
      <c r="AB4392" s="5" t="str">
        <f>HYPERLINK("https://propertylookup.dupagecounty.gov/Datalets/Datalet.aspx?UseSearch=no&amp;mode=sales&amp;pin=0807311015","sales record")</f>
        <v>sales record</v>
      </c>
      <c r="AC4392" t="s">
        <v>3</v>
      </c>
      <c r="AD4392">
        <v>41.787312</v>
      </c>
      <c r="AE4392">
        <v>-88.140101</v>
      </c>
      <c r="AF4392" s="5" t="str">
        <f>HYPERLINK("https://www.google.com/maps/search/?api=1&amp;query=41.787312,-88.140101","map")</f>
        <v>map</v>
      </c>
    </row>
    <row r="4393" spans="1:32">
      <c r="A4393" t="s">
        <v>4443</v>
      </c>
      <c r="B4393" t="s">
        <v>11976</v>
      </c>
      <c r="C4393" t="s">
        <v>15475</v>
      </c>
      <c r="D4393" t="s">
        <v>16206</v>
      </c>
      <c r="E4393" t="s">
        <v>16218</v>
      </c>
      <c r="F4393" t="s">
        <v>16221</v>
      </c>
      <c r="G4393" t="s">
        <v>16277</v>
      </c>
      <c r="H4393" t="s">
        <v>16277</v>
      </c>
      <c r="I4393" t="s">
        <v>16353</v>
      </c>
      <c r="J4393" t="s">
        <v>16386</v>
      </c>
      <c r="K4393">
        <v>0.191</v>
      </c>
      <c r="L4393">
        <v>8314</v>
      </c>
      <c r="M4393">
        <v>2870</v>
      </c>
      <c r="N4393" t="s">
        <v>16393</v>
      </c>
      <c r="O4393" s="4">
        <v>131890</v>
      </c>
      <c r="P4393" s="4">
        <v>55677</v>
      </c>
      <c r="Q4393" s="4">
        <v>187567</v>
      </c>
      <c r="R4393" s="4">
        <v>562701</v>
      </c>
      <c r="S4393" t="s">
        <v>20693</v>
      </c>
      <c r="T4393" s="6">
        <v>38200</v>
      </c>
      <c r="U4393" s="4">
        <v>418000</v>
      </c>
      <c r="V4393" t="s">
        <v>23739</v>
      </c>
      <c r="W4393" t="s">
        <v>20693</v>
      </c>
      <c r="X4393" t="s">
        <v>3</v>
      </c>
      <c r="AA4393" s="5" t="str">
        <f>HYPERLINK("https://www.zillow.com/homes/230-N-CENTER-ST-NAPERVILLE-IL-60540_rb/","check listing")</f>
        <v>check listing</v>
      </c>
      <c r="AB4393" s="5" t="str">
        <f>HYPERLINK("https://propertylookup.dupagecounty.gov/Datalets/Datalet.aspx?UseSearch=no&amp;mode=sales&amp;pin=0818129001","sales record")</f>
        <v>sales record</v>
      </c>
      <c r="AC4393" t="s">
        <v>3</v>
      </c>
      <c r="AD4393">
        <v>41.778394</v>
      </c>
      <c r="AE4393">
        <v>-88.145841</v>
      </c>
      <c r="AF4393" s="5" t="str">
        <f>HYPERLINK("https://www.google.com/maps/search/?api=1&amp;query=41.778394,-88.145841","map")</f>
        <v>map</v>
      </c>
    </row>
    <row r="4394" spans="1:32">
      <c r="A4394" t="s">
        <v>4444</v>
      </c>
      <c r="B4394" t="s">
        <v>11977</v>
      </c>
      <c r="C4394" t="s">
        <v>15662</v>
      </c>
      <c r="D4394" t="s">
        <v>16206</v>
      </c>
      <c r="E4394" t="s">
        <v>16218</v>
      </c>
      <c r="F4394" t="s">
        <v>16221</v>
      </c>
      <c r="G4394" t="s">
        <v>16278</v>
      </c>
      <c r="H4394" t="s">
        <v>16277</v>
      </c>
      <c r="I4394" t="s">
        <v>16353</v>
      </c>
      <c r="J4394" t="s">
        <v>16386</v>
      </c>
      <c r="K4394">
        <v>0.191</v>
      </c>
      <c r="L4394">
        <v>8299</v>
      </c>
      <c r="N4394" t="s">
        <v>16393</v>
      </c>
      <c r="O4394" s="4">
        <v>56141</v>
      </c>
      <c r="P4394" s="4">
        <v>177598</v>
      </c>
      <c r="Q4394" s="4">
        <v>233739</v>
      </c>
      <c r="R4394" s="4">
        <v>701217</v>
      </c>
      <c r="S4394" t="s">
        <v>20694</v>
      </c>
      <c r="T4394" s="6">
        <v>45714</v>
      </c>
      <c r="U4394" s="4">
        <v>826534</v>
      </c>
      <c r="V4394" t="s">
        <v>16232</v>
      </c>
      <c r="W4394" t="s">
        <v>26076</v>
      </c>
      <c r="X4394" t="s">
        <v>3</v>
      </c>
      <c r="AA4394" s="5" t="str">
        <f>HYPERLINK("https://www.zillow.com/homes/2407-HATTIE-ST-NAPERVILLE-IL-605631594_rb/","check listing")</f>
        <v>check listing</v>
      </c>
      <c r="AB4394" s="5" t="str">
        <f>HYPERLINK("https://propertylookup.dupagecounty.gov/Datalets/Datalet.aspx?UseSearch=no&amp;mode=sales&amp;pin=0532303006","sales record")</f>
        <v>sales record</v>
      </c>
      <c r="AC4394" t="s">
        <v>3</v>
      </c>
      <c r="AD4394">
        <v>41.817811</v>
      </c>
      <c r="AE4394">
        <v>-88.121229</v>
      </c>
      <c r="AF4394" s="5" t="str">
        <f>HYPERLINK("https://www.google.com/maps/search/?api=1&amp;query=41.817811,-88.121229","map")</f>
        <v>map</v>
      </c>
    </row>
    <row r="4395" spans="1:32">
      <c r="A4395" t="s">
        <v>4445</v>
      </c>
      <c r="B4395" t="s">
        <v>11978</v>
      </c>
      <c r="C4395" t="s">
        <v>15737</v>
      </c>
      <c r="D4395" t="s">
        <v>16206</v>
      </c>
      <c r="E4395" t="s">
        <v>16218</v>
      </c>
      <c r="F4395" t="s">
        <v>16221</v>
      </c>
      <c r="G4395" t="s">
        <v>16277</v>
      </c>
      <c r="H4395" t="s">
        <v>16277</v>
      </c>
      <c r="I4395" t="s">
        <v>16353</v>
      </c>
      <c r="J4395" t="s">
        <v>16386</v>
      </c>
      <c r="K4395">
        <v>0.19</v>
      </c>
      <c r="L4395">
        <v>8295</v>
      </c>
      <c r="M4395">
        <v>2078</v>
      </c>
      <c r="N4395" t="s">
        <v>16393</v>
      </c>
      <c r="O4395" s="4">
        <v>131890</v>
      </c>
      <c r="P4395" s="4">
        <v>61016</v>
      </c>
      <c r="Q4395" s="4">
        <v>192906</v>
      </c>
      <c r="R4395" s="4">
        <v>578718</v>
      </c>
      <c r="S4395" t="s">
        <v>20695</v>
      </c>
      <c r="T4395" s="6">
        <v>43739</v>
      </c>
      <c r="U4395" s="4">
        <v>425000</v>
      </c>
      <c r="V4395" t="s">
        <v>23739</v>
      </c>
      <c r="W4395" t="s">
        <v>26077</v>
      </c>
      <c r="X4395" t="s">
        <v>3</v>
      </c>
      <c r="AA4395" s="5" t="str">
        <f>HYPERLINK("https://www.zillow.com/homes/229-CENTER-ST-NAPERVILLE-IL-605404614_rb/","check listing")</f>
        <v>check listing</v>
      </c>
      <c r="AB4395" s="5" t="str">
        <f>HYPERLINK("https://propertylookup.dupagecounty.gov/Datalets/Datalet.aspx?UseSearch=no&amp;mode=sales&amp;pin=0818126001","sales record")</f>
        <v>sales record</v>
      </c>
      <c r="AC4395" t="s">
        <v>3</v>
      </c>
      <c r="AD4395">
        <v>41.778421</v>
      </c>
      <c r="AE4395">
        <v>-88.146632</v>
      </c>
      <c r="AF4395" s="5" t="str">
        <f>HYPERLINK("https://www.google.com/maps/search/?api=1&amp;query=41.778421,-88.146632","map")</f>
        <v>map</v>
      </c>
    </row>
    <row r="4396" spans="1:32">
      <c r="A4396" t="s">
        <v>4446</v>
      </c>
      <c r="B4396" t="s">
        <v>11979</v>
      </c>
      <c r="C4396" t="s">
        <v>15478</v>
      </c>
      <c r="D4396" t="s">
        <v>16206</v>
      </c>
      <c r="E4396" t="s">
        <v>16218</v>
      </c>
      <c r="F4396" t="s">
        <v>16221</v>
      </c>
      <c r="G4396" t="s">
        <v>16277</v>
      </c>
      <c r="H4396" t="s">
        <v>16277</v>
      </c>
      <c r="I4396" t="s">
        <v>16353</v>
      </c>
      <c r="J4396" t="s">
        <v>16386</v>
      </c>
      <c r="K4396">
        <v>0.19</v>
      </c>
      <c r="L4396">
        <v>8295</v>
      </c>
      <c r="M4396">
        <v>4277</v>
      </c>
      <c r="N4396" t="s">
        <v>16393</v>
      </c>
      <c r="O4396" s="4">
        <v>74358</v>
      </c>
      <c r="P4396" s="4">
        <v>118845</v>
      </c>
      <c r="Q4396" s="4">
        <v>193203</v>
      </c>
      <c r="R4396" s="4">
        <v>579609</v>
      </c>
      <c r="S4396" t="s">
        <v>20696</v>
      </c>
      <c r="T4396" s="6">
        <v>31229</v>
      </c>
      <c r="U4396" s="4">
        <v>152000</v>
      </c>
      <c r="X4396" t="s">
        <v>3</v>
      </c>
      <c r="AA4396" s="5" t="str">
        <f>HYPERLINK("https://www.zillow.com/homes/81416-N-LOOMIS-ST-NAPERVILLE-IL-60563_rb/","check listing")</f>
        <v>check listing</v>
      </c>
      <c r="AB4396" s="5" t="str">
        <f>HYPERLINK("https://propertylookup.dupagecounty.gov/Datalets/Datalet.aspx?UseSearch=no&amp;mode=sales&amp;pin=0807317009","sales record")</f>
        <v>sales record</v>
      </c>
      <c r="AC4396" t="s">
        <v>3</v>
      </c>
      <c r="AD4396">
        <v>41.784546</v>
      </c>
      <c r="AE4396">
        <v>-88.141013</v>
      </c>
      <c r="AF4396" s="5" t="str">
        <f>HYPERLINK("https://www.google.com/maps/search/?api=1&amp;query=41.784546,-88.141013","map")</f>
        <v>map</v>
      </c>
    </row>
    <row r="4397" spans="1:32">
      <c r="A4397" t="s">
        <v>4447</v>
      </c>
      <c r="B4397" t="s">
        <v>11980</v>
      </c>
      <c r="C4397" t="s">
        <v>15478</v>
      </c>
      <c r="D4397" t="s">
        <v>16206</v>
      </c>
      <c r="E4397" t="s">
        <v>16218</v>
      </c>
      <c r="F4397" t="s">
        <v>16221</v>
      </c>
      <c r="G4397" t="s">
        <v>16278</v>
      </c>
      <c r="H4397" t="s">
        <v>16277</v>
      </c>
      <c r="I4397" t="s">
        <v>16353</v>
      </c>
      <c r="J4397" t="s">
        <v>16386</v>
      </c>
      <c r="K4397">
        <v>0.19</v>
      </c>
      <c r="L4397">
        <v>8279</v>
      </c>
      <c r="N4397" t="s">
        <v>16393</v>
      </c>
      <c r="O4397" s="4">
        <v>72438</v>
      </c>
      <c r="P4397" s="4">
        <v>181638</v>
      </c>
      <c r="Q4397" s="4">
        <v>254076</v>
      </c>
      <c r="R4397" s="4">
        <v>762228</v>
      </c>
      <c r="S4397" t="s">
        <v>20697</v>
      </c>
      <c r="T4397" s="6">
        <v>43040</v>
      </c>
      <c r="U4397" s="4">
        <v>589971</v>
      </c>
      <c r="V4397" t="s">
        <v>16232</v>
      </c>
      <c r="W4397" t="s">
        <v>26078</v>
      </c>
      <c r="X4397" t="s">
        <v>3</v>
      </c>
      <c r="AA4397" s="5" t="str">
        <f>HYPERLINK("https://www.zillow.com/homes/1547-BAYOU-PATH-DR-NAPERVILLE-IL-60563_rb/","check listing")</f>
        <v>check listing</v>
      </c>
      <c r="AB4397" s="5" t="str">
        <f>HYPERLINK("https://propertylookup.dupagecounty.gov/Datalets/Datalet.aspx?UseSearch=no&amp;mode=sales&amp;pin=0709114019","sales record")</f>
        <v>sales record</v>
      </c>
      <c r="AC4397" t="s">
        <v>3</v>
      </c>
      <c r="AD4397">
        <v>41.79369</v>
      </c>
      <c r="AE4397">
        <v>-88.219094</v>
      </c>
      <c r="AF4397" s="5" t="str">
        <f>HYPERLINK("https://www.google.com/maps/search/?api=1&amp;query=41.79369,-88.219094","map")</f>
        <v>map</v>
      </c>
    </row>
    <row r="4398" spans="1:32">
      <c r="A4398" t="s">
        <v>4448</v>
      </c>
      <c r="B4398" t="s">
        <v>11981</v>
      </c>
      <c r="C4398" t="s">
        <v>15738</v>
      </c>
      <c r="D4398" t="s">
        <v>16206</v>
      </c>
      <c r="E4398" t="s">
        <v>16218</v>
      </c>
      <c r="F4398" t="s">
        <v>16221</v>
      </c>
      <c r="G4398" t="s">
        <v>16277</v>
      </c>
      <c r="H4398" t="s">
        <v>16277</v>
      </c>
      <c r="I4398" t="s">
        <v>16353</v>
      </c>
      <c r="J4398" t="s">
        <v>16386</v>
      </c>
      <c r="K4398">
        <v>0.19</v>
      </c>
      <c r="L4398">
        <v>8267</v>
      </c>
      <c r="M4398">
        <v>3564</v>
      </c>
      <c r="N4398" t="s">
        <v>16393</v>
      </c>
      <c r="O4398" s="4">
        <v>112629</v>
      </c>
      <c r="P4398" s="4">
        <v>460562</v>
      </c>
      <c r="Q4398" s="4">
        <v>573191</v>
      </c>
      <c r="R4398" s="4">
        <v>1719573</v>
      </c>
      <c r="S4398" t="s">
        <v>20698</v>
      </c>
      <c r="T4398" s="6">
        <v>42856</v>
      </c>
      <c r="U4398" s="4">
        <v>472390</v>
      </c>
      <c r="V4398" t="s">
        <v>23742</v>
      </c>
      <c r="W4398" t="s">
        <v>20698</v>
      </c>
      <c r="X4398" t="s">
        <v>3</v>
      </c>
      <c r="AA4398" s="5" t="str">
        <f>HYPERLINK("https://www.zillow.com/homes/208-N-EAGLE-ST-NAPERVILLE-IL-605404420_rb/","check listing")</f>
        <v>check listing</v>
      </c>
      <c r="AB4398" s="5" t="str">
        <f>HYPERLINK("https://propertylookup.dupagecounty.gov/Datalets/Datalet.aspx?UseSearch=no&amp;mode=sales&amp;pin=0713225019","sales record")</f>
        <v>sales record</v>
      </c>
      <c r="AC4398" t="s">
        <v>3</v>
      </c>
      <c r="AD4398">
        <v>41.777453</v>
      </c>
      <c r="AE4398">
        <v>-88.152446</v>
      </c>
      <c r="AF4398" s="5" t="str">
        <f>HYPERLINK("https://www.google.com/maps/search/?api=1&amp;query=41.777453,-88.152446","map")</f>
        <v>map</v>
      </c>
    </row>
    <row r="4399" spans="1:32">
      <c r="A4399" t="s">
        <v>4449</v>
      </c>
      <c r="B4399" t="s">
        <v>11982</v>
      </c>
      <c r="C4399" t="s">
        <v>15690</v>
      </c>
      <c r="D4399" t="s">
        <v>16206</v>
      </c>
      <c r="E4399" t="s">
        <v>16218</v>
      </c>
      <c r="F4399" t="s">
        <v>16221</v>
      </c>
      <c r="G4399" t="s">
        <v>16278</v>
      </c>
      <c r="H4399" t="s">
        <v>16277</v>
      </c>
      <c r="I4399" t="s">
        <v>16353</v>
      </c>
      <c r="J4399" t="s">
        <v>16386</v>
      </c>
      <c r="K4399">
        <v>0.19</v>
      </c>
      <c r="L4399">
        <v>8259</v>
      </c>
      <c r="N4399" t="s">
        <v>16393</v>
      </c>
      <c r="O4399" s="4">
        <v>62979</v>
      </c>
      <c r="P4399" s="4">
        <v>190595</v>
      </c>
      <c r="Q4399" s="4">
        <v>253574</v>
      </c>
      <c r="R4399" s="4">
        <v>760722</v>
      </c>
      <c r="S4399" t="s">
        <v>20699</v>
      </c>
      <c r="T4399" s="6">
        <v>43160</v>
      </c>
      <c r="U4399" s="4">
        <v>553189</v>
      </c>
      <c r="V4399" t="s">
        <v>16232</v>
      </c>
      <c r="W4399" t="s">
        <v>26079</v>
      </c>
      <c r="X4399" t="s">
        <v>3</v>
      </c>
      <c r="AA4399" s="5" t="str">
        <f>HYPERLINK("https://www.zillow.com/homes/2416-BASIN-TRAIL-LN-NAPERVILLE-IL-605633584_rb/","check listing")</f>
        <v>check listing</v>
      </c>
      <c r="AB4399" s="5" t="str">
        <f>HYPERLINK("https://propertylookup.dupagecounty.gov/Datalets/Datalet.aspx?UseSearch=no&amp;mode=sales&amp;pin=0709112004","sales record")</f>
        <v>sales record</v>
      </c>
      <c r="AC4399" t="s">
        <v>3</v>
      </c>
      <c r="AD4399">
        <v>41.796351</v>
      </c>
      <c r="AE4399">
        <v>-88.219527</v>
      </c>
      <c r="AF4399" s="5" t="str">
        <f>HYPERLINK("https://www.google.com/maps/search/?api=1&amp;query=41.796351,-88.219527","map")</f>
        <v>map</v>
      </c>
    </row>
    <row r="4400" spans="1:32">
      <c r="A4400" t="s">
        <v>4450</v>
      </c>
      <c r="B4400" t="s">
        <v>11983</v>
      </c>
      <c r="C4400" t="s">
        <v>15475</v>
      </c>
      <c r="D4400" t="s">
        <v>16206</v>
      </c>
      <c r="E4400" t="s">
        <v>16218</v>
      </c>
      <c r="F4400" t="s">
        <v>16221</v>
      </c>
      <c r="G4400" t="s">
        <v>16278</v>
      </c>
      <c r="H4400" t="s">
        <v>16277</v>
      </c>
      <c r="I4400" t="s">
        <v>16353</v>
      </c>
      <c r="J4400" t="s">
        <v>16386</v>
      </c>
      <c r="K4400">
        <v>0.19</v>
      </c>
      <c r="L4400">
        <v>8256</v>
      </c>
      <c r="N4400" t="s">
        <v>16393</v>
      </c>
      <c r="O4400" s="4">
        <v>62979</v>
      </c>
      <c r="P4400" s="4">
        <v>189278</v>
      </c>
      <c r="Q4400" s="4">
        <v>252257</v>
      </c>
      <c r="R4400" s="4">
        <v>756771</v>
      </c>
      <c r="S4400" t="s">
        <v>20700</v>
      </c>
      <c r="T4400" s="6">
        <v>43040</v>
      </c>
      <c r="U4400" s="4">
        <v>527028</v>
      </c>
      <c r="V4400" t="s">
        <v>16232</v>
      </c>
      <c r="W4400" t="s">
        <v>26080</v>
      </c>
      <c r="X4400" t="s">
        <v>3</v>
      </c>
      <c r="AA4400" s="5" t="str">
        <f>HYPERLINK("https://www.zillow.com/homes/2408-BASIN-TRAIL-LN-NAPERVILLE-IL-60540_rb/","check listing")</f>
        <v>check listing</v>
      </c>
      <c r="AB4400" s="5" t="str">
        <f>HYPERLINK("https://propertylookup.dupagecounty.gov/Datalets/Datalet.aspx?UseSearch=no&amp;mode=sales&amp;pin=0709112002","sales record")</f>
        <v>sales record</v>
      </c>
      <c r="AC4400" t="s">
        <v>3</v>
      </c>
      <c r="AD4400">
        <v>41.796736</v>
      </c>
      <c r="AE4400">
        <v>-88.21954100000001</v>
      </c>
      <c r="AF4400" s="5" t="str">
        <f>HYPERLINK("https://www.google.com/maps/search/?api=1&amp;query=41.796736,-88.219541","map")</f>
        <v>map</v>
      </c>
    </row>
    <row r="4401" spans="1:32">
      <c r="A4401" t="s">
        <v>4451</v>
      </c>
      <c r="B4401" t="s">
        <v>11984</v>
      </c>
      <c r="C4401" t="s">
        <v>15475</v>
      </c>
      <c r="D4401" t="s">
        <v>16206</v>
      </c>
      <c r="E4401" t="s">
        <v>16218</v>
      </c>
      <c r="F4401" t="s">
        <v>16221</v>
      </c>
      <c r="G4401" t="s">
        <v>16277</v>
      </c>
      <c r="H4401" t="s">
        <v>16277</v>
      </c>
      <c r="I4401" t="s">
        <v>16353</v>
      </c>
      <c r="J4401" t="s">
        <v>16386</v>
      </c>
      <c r="K4401">
        <v>0.189</v>
      </c>
      <c r="L4401">
        <v>8253</v>
      </c>
      <c r="N4401" t="s">
        <v>16393</v>
      </c>
      <c r="O4401" s="4">
        <v>129973</v>
      </c>
      <c r="P4401" s="4">
        <v>223318</v>
      </c>
      <c r="Q4401" s="4">
        <v>353291</v>
      </c>
      <c r="R4401" s="4">
        <v>1059873</v>
      </c>
      <c r="S4401" t="s">
        <v>20701</v>
      </c>
      <c r="T4401" s="6">
        <v>45440</v>
      </c>
      <c r="U4401" s="4">
        <v>1270000</v>
      </c>
      <c r="V4401" t="s">
        <v>23739</v>
      </c>
      <c r="W4401" t="s">
        <v>26081</v>
      </c>
      <c r="X4401" t="s">
        <v>3</v>
      </c>
      <c r="AA4401" s="5" t="str">
        <f>HYPERLINK("https://www.zillow.com/homes/134-N-WEST-ST-NAPERVILLE-IL-60540_rb/","check listing")</f>
        <v>check listing</v>
      </c>
      <c r="AB4401" s="5" t="str">
        <f>HYPERLINK("https://propertylookup.dupagecounty.gov/Datalets/Datalet.aspx?UseSearch=no&amp;mode=sales&amp;pin=0713221001","sales record")</f>
        <v>sales record</v>
      </c>
      <c r="AC4401" t="s">
        <v>3</v>
      </c>
      <c r="AD4401">
        <v>41.777197</v>
      </c>
      <c r="AE4401">
        <v>-88.15701199999999</v>
      </c>
      <c r="AF4401" s="5" t="str">
        <f>HYPERLINK("https://www.google.com/maps/search/?api=1&amp;query=41.777197,-88.157012","map")</f>
        <v>map</v>
      </c>
    </row>
    <row r="4402" spans="1:32">
      <c r="A4402" t="s">
        <v>4452</v>
      </c>
      <c r="B4402" t="s">
        <v>11985</v>
      </c>
      <c r="C4402" t="s">
        <v>15739</v>
      </c>
      <c r="D4402" t="s">
        <v>16206</v>
      </c>
      <c r="E4402" t="s">
        <v>16218</v>
      </c>
      <c r="F4402" t="s">
        <v>16221</v>
      </c>
      <c r="G4402" t="s">
        <v>16277</v>
      </c>
      <c r="H4402" t="s">
        <v>16277</v>
      </c>
      <c r="I4402" t="s">
        <v>16353</v>
      </c>
      <c r="J4402" t="s">
        <v>16386</v>
      </c>
      <c r="K4402">
        <v>0.189</v>
      </c>
      <c r="L4402">
        <v>8231</v>
      </c>
      <c r="M4402">
        <v>2513</v>
      </c>
      <c r="N4402" t="s">
        <v>16393</v>
      </c>
      <c r="O4402" s="4">
        <v>85655</v>
      </c>
      <c r="P4402" s="4">
        <v>42298</v>
      </c>
      <c r="Q4402" s="4">
        <v>127953</v>
      </c>
      <c r="R4402" s="4">
        <v>383859</v>
      </c>
      <c r="S4402" t="s">
        <v>20702</v>
      </c>
      <c r="T4402" s="6">
        <v>43770</v>
      </c>
      <c r="U4402" s="4">
        <v>315000</v>
      </c>
      <c r="V4402" t="s">
        <v>23739</v>
      </c>
      <c r="W4402" t="s">
        <v>26082</v>
      </c>
      <c r="X4402" t="s">
        <v>3</v>
      </c>
      <c r="AA4402" s="5" t="str">
        <f>HYPERLINK("https://www.zillow.com/homes/6-S-HUFFMAN-ST-NAPERVILLE-IL-605404925_rb/","check listing")</f>
        <v>check listing</v>
      </c>
      <c r="AB4402" s="5" t="str">
        <f>HYPERLINK("https://propertylookup.dupagecounty.gov/Datalets/Datalet.aspx?UseSearch=no&amp;mode=sales&amp;pin=0818412001","sales record")</f>
        <v>sales record</v>
      </c>
      <c r="AC4402" t="s">
        <v>3</v>
      </c>
      <c r="AD4402">
        <v>41.774587</v>
      </c>
      <c r="AE4402">
        <v>-88.13507199999999</v>
      </c>
      <c r="AF4402" s="5" t="str">
        <f>HYPERLINK("https://www.google.com/maps/search/?api=1&amp;query=41.774587,-88.135072","map")</f>
        <v>map</v>
      </c>
    </row>
    <row r="4403" spans="1:32">
      <c r="A4403" t="s">
        <v>4453</v>
      </c>
      <c r="B4403" t="s">
        <v>11986</v>
      </c>
      <c r="C4403" t="s">
        <v>15740</v>
      </c>
      <c r="D4403" t="s">
        <v>16206</v>
      </c>
      <c r="E4403" t="s">
        <v>16218</v>
      </c>
      <c r="F4403" t="s">
        <v>16221</v>
      </c>
      <c r="G4403" t="s">
        <v>16277</v>
      </c>
      <c r="H4403" t="s">
        <v>16277</v>
      </c>
      <c r="I4403" t="s">
        <v>16353</v>
      </c>
      <c r="J4403" t="s">
        <v>16386</v>
      </c>
      <c r="K4403">
        <v>0.189</v>
      </c>
      <c r="L4403">
        <v>8230</v>
      </c>
      <c r="M4403">
        <v>3232</v>
      </c>
      <c r="N4403" t="s">
        <v>16393</v>
      </c>
      <c r="O4403" s="4">
        <v>122821</v>
      </c>
      <c r="P4403" s="4">
        <v>66347</v>
      </c>
      <c r="Q4403" s="4">
        <v>189168</v>
      </c>
      <c r="R4403" s="4">
        <v>567504</v>
      </c>
      <c r="S4403" t="s">
        <v>20703</v>
      </c>
      <c r="T4403" s="6">
        <v>38838</v>
      </c>
      <c r="U4403" s="4">
        <v>524000</v>
      </c>
      <c r="V4403" t="s">
        <v>23739</v>
      </c>
      <c r="W4403" t="s">
        <v>26083</v>
      </c>
      <c r="X4403" t="s">
        <v>3</v>
      </c>
      <c r="AA4403" s="5" t="str">
        <f>HYPERLINK("https://www.zillow.com/homes/219-SPRING-AVE-NAPERVILLE-IL-605404445_rb/","check listing")</f>
        <v>check listing</v>
      </c>
      <c r="AB4403" s="5" t="str">
        <f>HYPERLINK("https://propertylookup.dupagecounty.gov/Datalets/Datalet.aspx?UseSearch=no&amp;mode=sales&amp;pin=0713217026","sales record")</f>
        <v>sales record</v>
      </c>
      <c r="AC4403" t="s">
        <v>3</v>
      </c>
      <c r="AD4403">
        <v>41.77869</v>
      </c>
      <c r="AE4403">
        <v>-88.151731</v>
      </c>
      <c r="AF4403" s="5" t="str">
        <f>HYPERLINK("https://www.google.com/maps/search/?api=1&amp;query=41.77869,-88.151731","map")</f>
        <v>map</v>
      </c>
    </row>
    <row r="4404" spans="1:32">
      <c r="A4404" t="s">
        <v>4454</v>
      </c>
      <c r="B4404" t="s">
        <v>11987</v>
      </c>
      <c r="C4404" t="s">
        <v>15475</v>
      </c>
      <c r="D4404" t="s">
        <v>16206</v>
      </c>
      <c r="E4404" t="s">
        <v>16218</v>
      </c>
      <c r="F4404" t="s">
        <v>16221</v>
      </c>
      <c r="G4404" t="s">
        <v>16277</v>
      </c>
      <c r="H4404" t="s">
        <v>16277</v>
      </c>
      <c r="I4404" t="s">
        <v>16353</v>
      </c>
      <c r="J4404" t="s">
        <v>16386</v>
      </c>
      <c r="K4404">
        <v>0.189</v>
      </c>
      <c r="L4404">
        <v>8223</v>
      </c>
      <c r="M4404">
        <v>3232</v>
      </c>
      <c r="N4404" t="s">
        <v>16393</v>
      </c>
      <c r="O4404" s="4">
        <v>114509</v>
      </c>
      <c r="P4404" s="4">
        <v>444354</v>
      </c>
      <c r="Q4404" s="4">
        <v>558863</v>
      </c>
      <c r="R4404" s="4">
        <v>1676589</v>
      </c>
      <c r="S4404" t="s">
        <v>20704</v>
      </c>
      <c r="T4404" s="6">
        <v>43252</v>
      </c>
      <c r="U4404" s="4">
        <v>1335000</v>
      </c>
      <c r="V4404" t="s">
        <v>23739</v>
      </c>
      <c r="W4404" t="s">
        <v>26084</v>
      </c>
      <c r="X4404" t="s">
        <v>3</v>
      </c>
      <c r="AA4404" s="5" t="str">
        <f>HYPERLINK("https://www.zillow.com/homes/27-N-MAIN-ST-NAPERVILLE-IL-60540_rb/","check listing")</f>
        <v>check listing</v>
      </c>
      <c r="AB4404" s="5" t="str">
        <f>HYPERLINK("https://propertylookup.dupagecounty.gov/Datalets/Datalet.aspx?UseSearch=no&amp;mode=sales&amp;pin=0713410016","sales record")</f>
        <v>sales record</v>
      </c>
      <c r="AC4404" t="s">
        <v>3</v>
      </c>
      <c r="AD4404">
        <v>41.775873</v>
      </c>
      <c r="AE4404">
        <v>-88.149719</v>
      </c>
      <c r="AF4404" s="5" t="str">
        <f>HYPERLINK("https://www.google.com/maps/search/?api=1&amp;query=41.775873,-88.149719","map")</f>
        <v>map</v>
      </c>
    </row>
    <row r="4405" spans="1:32">
      <c r="A4405" t="s">
        <v>4455</v>
      </c>
      <c r="B4405" t="s">
        <v>11988</v>
      </c>
      <c r="C4405" t="s">
        <v>15478</v>
      </c>
      <c r="D4405" t="s">
        <v>16206</v>
      </c>
      <c r="E4405" t="s">
        <v>16218</v>
      </c>
      <c r="F4405" t="s">
        <v>16221</v>
      </c>
      <c r="G4405" t="s">
        <v>16278</v>
      </c>
      <c r="H4405" t="s">
        <v>16277</v>
      </c>
      <c r="I4405" t="s">
        <v>16353</v>
      </c>
      <c r="J4405" t="s">
        <v>16386</v>
      </c>
      <c r="K4405">
        <v>0.189</v>
      </c>
      <c r="L4405">
        <v>8215</v>
      </c>
      <c r="N4405" t="s">
        <v>16393</v>
      </c>
      <c r="O4405" s="4">
        <v>62987</v>
      </c>
      <c r="P4405" s="4">
        <v>225736</v>
      </c>
      <c r="Q4405" s="4">
        <v>288723</v>
      </c>
      <c r="R4405" s="4">
        <v>866169</v>
      </c>
      <c r="S4405" t="s">
        <v>20705</v>
      </c>
      <c r="T4405" s="6">
        <v>43101</v>
      </c>
      <c r="U4405" s="4">
        <v>621021</v>
      </c>
      <c r="V4405" t="s">
        <v>16232</v>
      </c>
      <c r="W4405" t="s">
        <v>26085</v>
      </c>
      <c r="X4405" t="s">
        <v>3</v>
      </c>
      <c r="AA4405" s="5" t="str">
        <f>HYPERLINK("https://www.zillow.com/homes/2412-BASIN-TRAIL-LN-NAPERVILLE-IL-60563_rb/","check listing")</f>
        <v>check listing</v>
      </c>
      <c r="AB4405" s="5" t="str">
        <f>HYPERLINK("https://propertylookup.dupagecounty.gov/Datalets/Datalet.aspx?UseSearch=no&amp;mode=sales&amp;pin=0709112003","sales record")</f>
        <v>sales record</v>
      </c>
      <c r="AC4405" t="s">
        <v>3</v>
      </c>
      <c r="AD4405">
        <v>41.796549</v>
      </c>
      <c r="AE4405">
        <v>-88.219534</v>
      </c>
      <c r="AF4405" s="5" t="str">
        <f>HYPERLINK("https://www.google.com/maps/search/?api=1&amp;query=41.796549,-88.219534","map")</f>
        <v>map</v>
      </c>
    </row>
    <row r="4406" spans="1:32">
      <c r="A4406" t="s">
        <v>4456</v>
      </c>
      <c r="B4406" t="s">
        <v>11989</v>
      </c>
      <c r="C4406" t="s">
        <v>15741</v>
      </c>
      <c r="D4406" t="s">
        <v>16206</v>
      </c>
      <c r="E4406" t="s">
        <v>16218</v>
      </c>
      <c r="F4406" t="s">
        <v>16221</v>
      </c>
      <c r="G4406" t="s">
        <v>16277</v>
      </c>
      <c r="H4406" t="s">
        <v>16277</v>
      </c>
      <c r="I4406" t="s">
        <v>16353</v>
      </c>
      <c r="J4406" t="s">
        <v>16386</v>
      </c>
      <c r="K4406">
        <v>0.188</v>
      </c>
      <c r="L4406">
        <v>8208</v>
      </c>
      <c r="M4406">
        <v>2704</v>
      </c>
      <c r="N4406" t="s">
        <v>16393</v>
      </c>
      <c r="O4406" s="4">
        <v>101982</v>
      </c>
      <c r="P4406" s="4">
        <v>204679</v>
      </c>
      <c r="Q4406" s="4">
        <v>306661</v>
      </c>
      <c r="R4406" s="4">
        <v>919983</v>
      </c>
      <c r="S4406" t="s">
        <v>20706</v>
      </c>
      <c r="T4406" s="6">
        <v>44531</v>
      </c>
      <c r="U4406" s="4">
        <v>742500</v>
      </c>
      <c r="V4406" t="s">
        <v>23739</v>
      </c>
      <c r="W4406" t="s">
        <v>26086</v>
      </c>
      <c r="X4406" t="s">
        <v>3</v>
      </c>
      <c r="AA4406" s="5" t="str">
        <f>HYPERLINK("https://www.zillow.com/homes/830-N-SLEIGHT-ST-NAPERVILLE-IL-605633244_rb/","check listing")</f>
        <v>check listing</v>
      </c>
      <c r="AB4406" s="5" t="str">
        <f>HYPERLINK("https://propertylookup.dupagecounty.gov/Datalets/Datalet.aspx?UseSearch=no&amp;mode=sales&amp;pin=0807318005","sales record")</f>
        <v>sales record</v>
      </c>
      <c r="AC4406" t="s">
        <v>3</v>
      </c>
      <c r="AD4406">
        <v>41.785089</v>
      </c>
      <c r="AE4406">
        <v>-88.139427</v>
      </c>
      <c r="AF4406" s="5" t="str">
        <f>HYPERLINK("https://www.google.com/maps/search/?api=1&amp;query=41.785089,-88.139427","map")</f>
        <v>map</v>
      </c>
    </row>
    <row r="4407" spans="1:32">
      <c r="A4407" t="s">
        <v>4457</v>
      </c>
      <c r="B4407" t="s">
        <v>11990</v>
      </c>
      <c r="C4407" t="s">
        <v>15478</v>
      </c>
      <c r="D4407" t="s">
        <v>16206</v>
      </c>
      <c r="E4407" t="s">
        <v>16218</v>
      </c>
      <c r="F4407" t="s">
        <v>16221</v>
      </c>
      <c r="G4407" t="s">
        <v>16277</v>
      </c>
      <c r="H4407" t="s">
        <v>16277</v>
      </c>
      <c r="I4407" t="s">
        <v>16353</v>
      </c>
      <c r="J4407" t="s">
        <v>16386</v>
      </c>
      <c r="K4407">
        <v>0.188</v>
      </c>
      <c r="L4407">
        <v>8207</v>
      </c>
      <c r="M4407">
        <v>1781</v>
      </c>
      <c r="N4407" t="s">
        <v>16393</v>
      </c>
      <c r="O4407" s="4">
        <v>112149</v>
      </c>
      <c r="P4407" s="4">
        <v>13592</v>
      </c>
      <c r="Q4407" s="4">
        <v>125741</v>
      </c>
      <c r="R4407" s="4">
        <v>377223</v>
      </c>
      <c r="S4407" t="s">
        <v>20707</v>
      </c>
      <c r="T4407" s="6">
        <v>38749</v>
      </c>
      <c r="U4407" s="4">
        <v>281500</v>
      </c>
      <c r="V4407" t="s">
        <v>23739</v>
      </c>
      <c r="W4407" t="s">
        <v>26087</v>
      </c>
      <c r="X4407" t="s">
        <v>3</v>
      </c>
      <c r="AA4407" s="5" t="str">
        <f>HYPERLINK("https://www.zillow.com/homes/824-N-SLEIGHT-ST-NAPERVILLE-IL-60563_rb/","check listing")</f>
        <v>check listing</v>
      </c>
      <c r="AB4407" s="5" t="str">
        <f>HYPERLINK("https://propertylookup.dupagecounty.gov/Datalets/Datalet.aspx?UseSearch=no&amp;mode=sales&amp;pin=0807318007","sales record")</f>
        <v>sales record</v>
      </c>
      <c r="AC4407" t="s">
        <v>3</v>
      </c>
      <c r="AD4407">
        <v>41.784816</v>
      </c>
      <c r="AE4407">
        <v>-88.139464</v>
      </c>
      <c r="AF4407" s="5" t="str">
        <f>HYPERLINK("https://www.google.com/maps/search/?api=1&amp;query=41.784816,-88.139464","map")</f>
        <v>map</v>
      </c>
    </row>
    <row r="4408" spans="1:32">
      <c r="A4408" t="s">
        <v>4458</v>
      </c>
      <c r="B4408" t="s">
        <v>11991</v>
      </c>
      <c r="C4408" t="s">
        <v>15478</v>
      </c>
      <c r="D4408" t="s">
        <v>16206</v>
      </c>
      <c r="E4408" t="s">
        <v>16218</v>
      </c>
      <c r="F4408" t="s">
        <v>16221</v>
      </c>
      <c r="G4408" t="s">
        <v>16277</v>
      </c>
      <c r="H4408" t="s">
        <v>16277</v>
      </c>
      <c r="I4408" t="s">
        <v>16353</v>
      </c>
      <c r="J4408" t="s">
        <v>16386</v>
      </c>
      <c r="K4408">
        <v>0.188</v>
      </c>
      <c r="L4408">
        <v>8207</v>
      </c>
      <c r="M4408">
        <v>2329</v>
      </c>
      <c r="N4408" t="s">
        <v>16393</v>
      </c>
      <c r="O4408" s="4">
        <v>112149</v>
      </c>
      <c r="P4408" s="4">
        <v>28421</v>
      </c>
      <c r="Q4408" s="4">
        <v>140570</v>
      </c>
      <c r="R4408" s="4">
        <v>421710</v>
      </c>
      <c r="S4408" t="s">
        <v>20708</v>
      </c>
      <c r="T4408" s="6">
        <v>37135</v>
      </c>
      <c r="U4408" s="4">
        <v>177500</v>
      </c>
      <c r="V4408" t="s">
        <v>23739</v>
      </c>
      <c r="W4408" t="s">
        <v>26088</v>
      </c>
      <c r="X4408" t="s">
        <v>3</v>
      </c>
      <c r="AA4408" s="5" t="str">
        <f>HYPERLINK("https://www.zillow.com/homes/816-N-SLEIGHT-ST-NAPERVILLE-IL-60563_rb/","check listing")</f>
        <v>check listing</v>
      </c>
      <c r="AB4408" s="5" t="str">
        <f>HYPERLINK("https://propertylookup.dupagecounty.gov/Datalets/Datalet.aspx?UseSearch=no&amp;mode=sales&amp;pin=0807318008","sales record")</f>
        <v>sales record</v>
      </c>
      <c r="AC4408" t="s">
        <v>3</v>
      </c>
      <c r="AD4408">
        <v>41.78468</v>
      </c>
      <c r="AE4408">
        <v>-88.139483</v>
      </c>
      <c r="AF4408" s="5" t="str">
        <f>HYPERLINK("https://www.google.com/maps/search/?api=1&amp;query=41.78468,-88.139483","map")</f>
        <v>map</v>
      </c>
    </row>
    <row r="4409" spans="1:32">
      <c r="A4409" t="s">
        <v>4459</v>
      </c>
      <c r="B4409" t="s">
        <v>11992</v>
      </c>
      <c r="C4409" t="s">
        <v>15475</v>
      </c>
      <c r="D4409" t="s">
        <v>16206</v>
      </c>
      <c r="E4409" t="s">
        <v>16218</v>
      </c>
      <c r="F4409" t="s">
        <v>16221</v>
      </c>
      <c r="G4409" t="s">
        <v>16278</v>
      </c>
      <c r="H4409" t="s">
        <v>16277</v>
      </c>
      <c r="I4409" t="s">
        <v>16353</v>
      </c>
      <c r="J4409" t="s">
        <v>16386</v>
      </c>
      <c r="K4409">
        <v>0.188</v>
      </c>
      <c r="L4409">
        <v>8206</v>
      </c>
      <c r="N4409" t="s">
        <v>16393</v>
      </c>
      <c r="O4409" s="4">
        <v>59829</v>
      </c>
      <c r="P4409" s="4">
        <v>176779</v>
      </c>
      <c r="Q4409" s="4">
        <v>236608</v>
      </c>
      <c r="R4409" s="4">
        <v>709824</v>
      </c>
      <c r="S4409" t="s">
        <v>20709</v>
      </c>
      <c r="T4409" s="6">
        <v>45078</v>
      </c>
      <c r="U4409" s="4">
        <v>630000</v>
      </c>
      <c r="V4409" t="s">
        <v>23739</v>
      </c>
      <c r="W4409" t="s">
        <v>26089</v>
      </c>
      <c r="X4409" t="s">
        <v>3</v>
      </c>
      <c r="AA4409" s="5" t="str">
        <f>HYPERLINK("https://www.zillow.com/homes/2404-COASTAL-SAGE-CT-NAPERVILLE-IL-60540_rb/","check listing")</f>
        <v>check listing</v>
      </c>
      <c r="AB4409" s="5" t="str">
        <f>HYPERLINK("https://propertylookup.dupagecounty.gov/Datalets/Datalet.aspx?UseSearch=no&amp;mode=sales&amp;pin=0709311070","sales record")</f>
        <v>sales record</v>
      </c>
      <c r="AC4409" t="s">
        <v>3</v>
      </c>
      <c r="AD4409">
        <v>41.786805</v>
      </c>
      <c r="AE4409">
        <v>-88.218975</v>
      </c>
      <c r="AF4409" s="5" t="str">
        <f>HYPERLINK("https://www.google.com/maps/search/?api=1&amp;query=41.786805,-88.218975","map")</f>
        <v>map</v>
      </c>
    </row>
    <row r="4410" spans="1:32">
      <c r="A4410" t="s">
        <v>4460</v>
      </c>
      <c r="B4410" t="s">
        <v>11993</v>
      </c>
      <c r="C4410" t="s">
        <v>15478</v>
      </c>
      <c r="D4410" t="s">
        <v>16206</v>
      </c>
      <c r="E4410" t="s">
        <v>16218</v>
      </c>
      <c r="F4410" t="s">
        <v>16221</v>
      </c>
      <c r="G4410" t="s">
        <v>16277</v>
      </c>
      <c r="H4410" t="s">
        <v>16277</v>
      </c>
      <c r="I4410" t="s">
        <v>16353</v>
      </c>
      <c r="J4410" t="s">
        <v>16386</v>
      </c>
      <c r="K4410">
        <v>0.188</v>
      </c>
      <c r="L4410">
        <v>8205</v>
      </c>
      <c r="M4410">
        <v>1319</v>
      </c>
      <c r="N4410" t="s">
        <v>16393</v>
      </c>
      <c r="O4410" s="4">
        <v>63169</v>
      </c>
      <c r="P4410" s="4">
        <v>6909</v>
      </c>
      <c r="Q4410" s="4">
        <v>70078</v>
      </c>
      <c r="R4410" s="4">
        <v>210234</v>
      </c>
      <c r="S4410" t="s">
        <v>20710</v>
      </c>
      <c r="T4410" s="6">
        <v>44287</v>
      </c>
      <c r="U4410" s="4">
        <v>162000</v>
      </c>
      <c r="V4410" t="s">
        <v>23740</v>
      </c>
      <c r="W4410" t="s">
        <v>20703</v>
      </c>
      <c r="X4410" t="s">
        <v>3</v>
      </c>
      <c r="AA4410" s="5" t="str">
        <f>HYPERLINK("https://www.zillow.com/homes/840-N-SLEIGHT-ST-NAPERVILLE-IL-60563_rb/","check listing")</f>
        <v>check listing</v>
      </c>
      <c r="AB4410" s="5" t="str">
        <f>HYPERLINK("https://propertylookup.dupagecounty.gov/Datalets/Datalet.aspx?UseSearch=no&amp;mode=sales&amp;pin=0807318012","sales record")</f>
        <v>sales record</v>
      </c>
      <c r="AC4410" t="s">
        <v>3</v>
      </c>
      <c r="AD4410">
        <v>41.785226</v>
      </c>
      <c r="AE4410">
        <v>-88.139408</v>
      </c>
      <c r="AF4410" s="5" t="str">
        <f>HYPERLINK("https://www.google.com/maps/search/?api=1&amp;query=41.785226,-88.139408","map")</f>
        <v>map</v>
      </c>
    </row>
    <row r="4411" spans="1:32">
      <c r="A4411" t="s">
        <v>4461</v>
      </c>
      <c r="B4411" t="s">
        <v>11994</v>
      </c>
      <c r="C4411" t="s">
        <v>15742</v>
      </c>
      <c r="D4411" t="s">
        <v>16206</v>
      </c>
      <c r="E4411" t="s">
        <v>16218</v>
      </c>
      <c r="F4411" t="s">
        <v>16221</v>
      </c>
      <c r="G4411" t="s">
        <v>16277</v>
      </c>
      <c r="H4411" t="s">
        <v>16277</v>
      </c>
      <c r="I4411" t="s">
        <v>16353</v>
      </c>
      <c r="J4411" t="s">
        <v>16386</v>
      </c>
      <c r="K4411">
        <v>0.188</v>
      </c>
      <c r="L4411">
        <v>8204</v>
      </c>
      <c r="M4411">
        <v>2276</v>
      </c>
      <c r="N4411" t="s">
        <v>16393</v>
      </c>
      <c r="O4411" s="4">
        <v>85953</v>
      </c>
      <c r="P4411" s="4">
        <v>35889</v>
      </c>
      <c r="Q4411" s="4">
        <v>121842</v>
      </c>
      <c r="R4411" s="4">
        <v>365526</v>
      </c>
      <c r="S4411" t="s">
        <v>20711</v>
      </c>
      <c r="T4411" s="6">
        <v>42461</v>
      </c>
      <c r="U4411" s="4">
        <v>275000</v>
      </c>
      <c r="V4411" t="s">
        <v>23739</v>
      </c>
      <c r="W4411" t="s">
        <v>26090</v>
      </c>
      <c r="X4411" t="s">
        <v>3</v>
      </c>
      <c r="AA4411" s="5" t="str">
        <f>HYPERLINK("https://www.zillow.com/homes/5-S-HUFFMAN-ST-NAPERVILLE-IL-605404924_rb/","check listing")</f>
        <v>check listing</v>
      </c>
      <c r="AB4411" s="5" t="str">
        <f>HYPERLINK("https://propertylookup.dupagecounty.gov/Datalets/Datalet.aspx?UseSearch=no&amp;mode=sales&amp;pin=0818411012","sales record")</f>
        <v>sales record</v>
      </c>
      <c r="AC4411" t="s">
        <v>3</v>
      </c>
      <c r="AD4411">
        <v>41.774617</v>
      </c>
      <c r="AE4411">
        <v>-88.1358</v>
      </c>
      <c r="AF4411" s="5" t="str">
        <f>HYPERLINK("https://www.google.com/maps/search/?api=1&amp;query=41.774617,-88.1358","map")</f>
        <v>map</v>
      </c>
    </row>
    <row r="4412" spans="1:32">
      <c r="A4412" t="s">
        <v>4462</v>
      </c>
      <c r="B4412" t="s">
        <v>11995</v>
      </c>
      <c r="C4412" t="s">
        <v>15743</v>
      </c>
      <c r="D4412" t="s">
        <v>16206</v>
      </c>
      <c r="E4412" t="s">
        <v>16218</v>
      </c>
      <c r="F4412" t="s">
        <v>16221</v>
      </c>
      <c r="G4412" t="s">
        <v>16277</v>
      </c>
      <c r="H4412" t="s">
        <v>16277</v>
      </c>
      <c r="I4412" t="s">
        <v>16353</v>
      </c>
      <c r="J4412" t="s">
        <v>16386</v>
      </c>
      <c r="K4412">
        <v>0.188</v>
      </c>
      <c r="L4412">
        <v>8203</v>
      </c>
      <c r="M4412">
        <v>2611</v>
      </c>
      <c r="N4412" t="s">
        <v>16393</v>
      </c>
      <c r="O4412" s="4">
        <v>107988</v>
      </c>
      <c r="P4412" s="4">
        <v>107941</v>
      </c>
      <c r="Q4412" s="4">
        <v>215929</v>
      </c>
      <c r="R4412" s="4">
        <v>647787</v>
      </c>
      <c r="S4412" t="s">
        <v>20712</v>
      </c>
      <c r="T4412" s="6">
        <v>44755</v>
      </c>
      <c r="U4412" s="4">
        <v>650690</v>
      </c>
      <c r="V4412" t="s">
        <v>23739</v>
      </c>
      <c r="W4412" t="s">
        <v>26091</v>
      </c>
      <c r="X4412" t="s">
        <v>3</v>
      </c>
      <c r="AA4412" s="5" t="str">
        <f>HYPERLINK("https://www.zillow.com/homes/604-N-BRAINARD-ST-NAPERVILLE-IL-605633131_rb/","check listing")</f>
        <v>check listing</v>
      </c>
      <c r="AB4412" s="5" t="str">
        <f>HYPERLINK("https://propertylookup.dupagecounty.gov/Datalets/Datalet.aspx?UseSearch=no&amp;mode=sales&amp;pin=0818115013","sales record")</f>
        <v>sales record</v>
      </c>
      <c r="AC4412" t="s">
        <v>3</v>
      </c>
      <c r="AD4412">
        <v>41.782098</v>
      </c>
      <c r="AE4412">
        <v>-88.142948</v>
      </c>
      <c r="AF4412" s="5" t="str">
        <f>HYPERLINK("https://www.google.com/maps/search/?api=1&amp;query=41.782098,-88.142948","map")</f>
        <v>map</v>
      </c>
    </row>
    <row r="4413" spans="1:32">
      <c r="A4413" t="s">
        <v>4463</v>
      </c>
      <c r="B4413" t="s">
        <v>11996</v>
      </c>
      <c r="C4413" t="s">
        <v>15478</v>
      </c>
      <c r="D4413" t="s">
        <v>16206</v>
      </c>
      <c r="E4413" t="s">
        <v>16218</v>
      </c>
      <c r="F4413" t="s">
        <v>16221</v>
      </c>
      <c r="G4413" t="s">
        <v>16277</v>
      </c>
      <c r="H4413" t="s">
        <v>16277</v>
      </c>
      <c r="I4413" t="s">
        <v>16353</v>
      </c>
      <c r="J4413" t="s">
        <v>16386</v>
      </c>
      <c r="K4413">
        <v>0.188</v>
      </c>
      <c r="L4413">
        <v>8201</v>
      </c>
      <c r="M4413">
        <v>792</v>
      </c>
      <c r="N4413" t="s">
        <v>16393</v>
      </c>
      <c r="O4413" s="4">
        <v>100032</v>
      </c>
      <c r="P4413" s="4">
        <v>41953</v>
      </c>
      <c r="Q4413" s="4">
        <v>141985</v>
      </c>
      <c r="R4413" s="4">
        <v>425955</v>
      </c>
      <c r="S4413" t="s">
        <v>20713</v>
      </c>
      <c r="T4413" s="6">
        <v>38384</v>
      </c>
      <c r="U4413" s="4">
        <v>262250</v>
      </c>
      <c r="V4413" t="s">
        <v>23739</v>
      </c>
      <c r="W4413" t="s">
        <v>20713</v>
      </c>
      <c r="X4413" t="s">
        <v>3</v>
      </c>
      <c r="AA4413" s="5" t="str">
        <f>HYPERLINK("https://www.zillow.com/homes/833-N-SLEIGHT-ST-NAPERVILLE-IL-60563_rb/","check listing")</f>
        <v>check listing</v>
      </c>
      <c r="AB4413" s="5" t="str">
        <f>HYPERLINK("https://propertylookup.dupagecounty.gov/Datalets/Datalet.aspx?UseSearch=no&amp;mode=sales&amp;pin=0807317011","sales record")</f>
        <v>sales record</v>
      </c>
      <c r="AC4413" t="s">
        <v>3</v>
      </c>
      <c r="AD4413">
        <v>41.785089</v>
      </c>
      <c r="AE4413">
        <v>-88.14027400000001</v>
      </c>
      <c r="AF4413" s="5" t="str">
        <f>HYPERLINK("https://www.google.com/maps/search/?api=1&amp;query=41.785089,-88.140274","map")</f>
        <v>map</v>
      </c>
    </row>
    <row r="4414" spans="1:32">
      <c r="A4414" t="s">
        <v>4464</v>
      </c>
      <c r="B4414" t="s">
        <v>11997</v>
      </c>
      <c r="C4414" t="s">
        <v>15744</v>
      </c>
      <c r="D4414" t="s">
        <v>16206</v>
      </c>
      <c r="E4414" t="s">
        <v>16218</v>
      </c>
      <c r="F4414" t="s">
        <v>16221</v>
      </c>
      <c r="G4414" t="s">
        <v>16277</v>
      </c>
      <c r="H4414" t="s">
        <v>16277</v>
      </c>
      <c r="I4414" t="s">
        <v>16353</v>
      </c>
      <c r="J4414" t="s">
        <v>16386</v>
      </c>
      <c r="K4414">
        <v>0.188</v>
      </c>
      <c r="L4414">
        <v>8201</v>
      </c>
      <c r="M4414">
        <v>3299</v>
      </c>
      <c r="N4414" t="s">
        <v>16393</v>
      </c>
      <c r="O4414" s="4">
        <v>115397</v>
      </c>
      <c r="P4414" s="4">
        <v>73442</v>
      </c>
      <c r="Q4414" s="4">
        <v>188839</v>
      </c>
      <c r="R4414" s="4">
        <v>566517</v>
      </c>
      <c r="S4414" t="s">
        <v>20714</v>
      </c>
      <c r="T4414" s="6">
        <v>44593</v>
      </c>
      <c r="U4414" s="4">
        <v>462245</v>
      </c>
      <c r="V4414" t="s">
        <v>23739</v>
      </c>
      <c r="W4414" t="s">
        <v>20714</v>
      </c>
      <c r="X4414" t="s">
        <v>3</v>
      </c>
      <c r="AA4414" s="5" t="str">
        <f>HYPERLINK("https://www.zillow.com/homes/836-N-LOOMIS-ST-NAPERVILLE-IL-605633124_rb/","check listing")</f>
        <v>check listing</v>
      </c>
      <c r="AB4414" s="5" t="str">
        <f>HYPERLINK("https://propertylookup.dupagecounty.gov/Datalets/Datalet.aspx?UseSearch=no&amp;mode=sales&amp;pin=0807317005","sales record")</f>
        <v>sales record</v>
      </c>
      <c r="AC4414" t="s">
        <v>3</v>
      </c>
      <c r="AD4414">
        <v>41.785088</v>
      </c>
      <c r="AE4414">
        <v>-88.140939</v>
      </c>
      <c r="AF4414" s="5" t="str">
        <f>HYPERLINK("https://www.google.com/maps/search/?api=1&amp;query=41.785088,-88.140939","map")</f>
        <v>map</v>
      </c>
    </row>
    <row r="4415" spans="1:32">
      <c r="A4415" t="s">
        <v>4465</v>
      </c>
      <c r="B4415" t="s">
        <v>11998</v>
      </c>
      <c r="C4415" t="s">
        <v>15478</v>
      </c>
      <c r="D4415" t="s">
        <v>16206</v>
      </c>
      <c r="E4415" t="s">
        <v>16218</v>
      </c>
      <c r="F4415" t="s">
        <v>16221</v>
      </c>
      <c r="G4415" t="s">
        <v>16277</v>
      </c>
      <c r="H4415" t="s">
        <v>16277</v>
      </c>
      <c r="I4415" t="s">
        <v>16353</v>
      </c>
      <c r="J4415" t="s">
        <v>16386</v>
      </c>
      <c r="K4415">
        <v>0.188</v>
      </c>
      <c r="L4415">
        <v>8199</v>
      </c>
      <c r="M4415">
        <v>1649</v>
      </c>
      <c r="N4415" t="s">
        <v>16393</v>
      </c>
      <c r="O4415" s="4">
        <v>112055</v>
      </c>
      <c r="P4415" s="4">
        <v>25484</v>
      </c>
      <c r="Q4415" s="4">
        <v>137539</v>
      </c>
      <c r="R4415" s="4">
        <v>412617</v>
      </c>
      <c r="S4415" t="s">
        <v>20715</v>
      </c>
      <c r="T4415" s="6">
        <v>42552</v>
      </c>
      <c r="U4415" s="4">
        <v>275000</v>
      </c>
      <c r="V4415" t="s">
        <v>23739</v>
      </c>
      <c r="W4415" t="s">
        <v>20715</v>
      </c>
      <c r="X4415" t="s">
        <v>3</v>
      </c>
      <c r="AA4415" s="5" t="str">
        <f>HYPERLINK("https://www.zillow.com/homes/829-N-SLEIGHT-ST-NAPERVILLE-IL-60563_rb/","check listing")</f>
        <v>check listing</v>
      </c>
      <c r="AB4415" s="5" t="str">
        <f>HYPERLINK("https://propertylookup.dupagecounty.gov/Datalets/Datalet.aspx?UseSearch=no&amp;mode=sales&amp;pin=0807317012","sales record")</f>
        <v>sales record</v>
      </c>
      <c r="AC4415" t="s">
        <v>3</v>
      </c>
      <c r="AD4415">
        <v>41.784952</v>
      </c>
      <c r="AE4415">
        <v>-88.140293</v>
      </c>
      <c r="AF4415" s="5" t="str">
        <f>HYPERLINK("https://www.google.com/maps/search/?api=1&amp;query=41.784952,-88.140293","map")</f>
        <v>map</v>
      </c>
    </row>
    <row r="4416" spans="1:32">
      <c r="A4416" t="s">
        <v>4466</v>
      </c>
      <c r="B4416" t="s">
        <v>11999</v>
      </c>
      <c r="C4416" t="s">
        <v>15478</v>
      </c>
      <c r="D4416" t="s">
        <v>16206</v>
      </c>
      <c r="E4416" t="s">
        <v>16218</v>
      </c>
      <c r="F4416" t="s">
        <v>16221</v>
      </c>
      <c r="G4416" t="s">
        <v>16277</v>
      </c>
      <c r="H4416" t="s">
        <v>16277</v>
      </c>
      <c r="I4416" t="s">
        <v>16353</v>
      </c>
      <c r="J4416" t="s">
        <v>16386</v>
      </c>
      <c r="K4416">
        <v>0.188</v>
      </c>
      <c r="L4416">
        <v>8199</v>
      </c>
      <c r="M4416">
        <v>1319</v>
      </c>
      <c r="N4416" t="s">
        <v>16393</v>
      </c>
      <c r="O4416" s="4">
        <v>115397</v>
      </c>
      <c r="P4416" s="4">
        <v>32465</v>
      </c>
      <c r="Q4416" s="4">
        <v>147862</v>
      </c>
      <c r="R4416" s="4">
        <v>443586</v>
      </c>
      <c r="S4416" t="s">
        <v>20716</v>
      </c>
      <c r="T4416" s="6">
        <v>41214</v>
      </c>
      <c r="U4416" s="4">
        <v>225000</v>
      </c>
      <c r="V4416" t="s">
        <v>16232</v>
      </c>
      <c r="W4416" t="s">
        <v>20716</v>
      </c>
      <c r="X4416" t="s">
        <v>3</v>
      </c>
      <c r="AA4416" s="5" t="str">
        <f>HYPERLINK("https://www.zillow.com/homes/830-N-LOOMIS-ST-NAPERVILLE-IL-60563_rb/","check listing")</f>
        <v>check listing</v>
      </c>
      <c r="AB4416" s="5" t="str">
        <f>HYPERLINK("https://propertylookup.dupagecounty.gov/Datalets/Datalet.aspx?UseSearch=no&amp;mode=sales&amp;pin=0807317006","sales record")</f>
        <v>sales record</v>
      </c>
      <c r="AC4416" t="s">
        <v>3</v>
      </c>
      <c r="AD4416">
        <v>41.784952</v>
      </c>
      <c r="AE4416">
        <v>-88.140958</v>
      </c>
      <c r="AF4416" s="5" t="str">
        <f>HYPERLINK("https://www.google.com/maps/search/?api=1&amp;query=41.784952,-88.140958","map")</f>
        <v>map</v>
      </c>
    </row>
    <row r="4417" spans="1:32">
      <c r="A4417" t="s">
        <v>4467</v>
      </c>
      <c r="B4417" t="s">
        <v>12000</v>
      </c>
      <c r="C4417" t="s">
        <v>15478</v>
      </c>
      <c r="D4417" t="s">
        <v>16206</v>
      </c>
      <c r="E4417" t="s">
        <v>16218</v>
      </c>
      <c r="F4417" t="s">
        <v>16221</v>
      </c>
      <c r="G4417" t="s">
        <v>16277</v>
      </c>
      <c r="H4417" t="s">
        <v>16277</v>
      </c>
      <c r="I4417" t="s">
        <v>16353</v>
      </c>
      <c r="J4417" t="s">
        <v>16386</v>
      </c>
      <c r="K4417">
        <v>0.188</v>
      </c>
      <c r="L4417">
        <v>8195</v>
      </c>
      <c r="M4417">
        <v>2219</v>
      </c>
      <c r="N4417" t="s">
        <v>16393</v>
      </c>
      <c r="O4417" s="4">
        <v>112055</v>
      </c>
      <c r="P4417" s="4">
        <v>31739</v>
      </c>
      <c r="Q4417" s="4">
        <v>143794</v>
      </c>
      <c r="R4417" s="4">
        <v>431382</v>
      </c>
      <c r="S4417" t="s">
        <v>18950</v>
      </c>
      <c r="T4417" s="6">
        <v>44044</v>
      </c>
      <c r="U4417" s="4">
        <v>239900</v>
      </c>
      <c r="V4417" t="s">
        <v>23739</v>
      </c>
      <c r="W4417" t="s">
        <v>18950</v>
      </c>
      <c r="X4417" t="s">
        <v>3</v>
      </c>
      <c r="AA4417" s="5" t="str">
        <f>HYPERLINK("https://www.zillow.com/homes/820-N-LOOMIS-ST-NAPERVILLE-IL-60563_rb/","check listing")</f>
        <v>check listing</v>
      </c>
      <c r="AB4417" s="5" t="str">
        <f>HYPERLINK("https://propertylookup.dupagecounty.gov/Datalets/Datalet.aspx?UseSearch=no&amp;mode=sales&amp;pin=0807317008","sales record")</f>
        <v>sales record</v>
      </c>
      <c r="AC4417" t="s">
        <v>3</v>
      </c>
      <c r="AD4417">
        <v>41.784679</v>
      </c>
      <c r="AE4417">
        <v>-88.140995</v>
      </c>
      <c r="AF4417" s="5" t="str">
        <f>HYPERLINK("https://www.google.com/maps/search/?api=1&amp;query=41.784679,-88.140995","map")</f>
        <v>map</v>
      </c>
    </row>
    <row r="4418" spans="1:32">
      <c r="A4418" t="s">
        <v>4468</v>
      </c>
      <c r="B4418" t="s">
        <v>12001</v>
      </c>
      <c r="C4418" t="s">
        <v>15475</v>
      </c>
      <c r="D4418" t="s">
        <v>16206</v>
      </c>
      <c r="E4418" t="s">
        <v>16218</v>
      </c>
      <c r="F4418" t="s">
        <v>16221</v>
      </c>
      <c r="G4418" t="s">
        <v>16277</v>
      </c>
      <c r="H4418" t="s">
        <v>16277</v>
      </c>
      <c r="I4418" t="s">
        <v>16353</v>
      </c>
      <c r="J4418" t="s">
        <v>16386</v>
      </c>
      <c r="K4418">
        <v>0.188</v>
      </c>
      <c r="L4418">
        <v>8189</v>
      </c>
      <c r="M4418">
        <v>2770</v>
      </c>
      <c r="N4418" t="s">
        <v>16393</v>
      </c>
      <c r="O4418" s="4">
        <v>103060</v>
      </c>
      <c r="P4418" s="4">
        <v>286626</v>
      </c>
      <c r="Q4418" s="4">
        <v>389686</v>
      </c>
      <c r="R4418" s="4">
        <v>1169058</v>
      </c>
      <c r="S4418" t="s">
        <v>20717</v>
      </c>
      <c r="T4418" s="6">
        <v>38749</v>
      </c>
      <c r="U4418" s="4">
        <v>1135000</v>
      </c>
      <c r="V4418" t="s">
        <v>23739</v>
      </c>
      <c r="W4418" t="s">
        <v>26092</v>
      </c>
      <c r="X4418" t="s">
        <v>3</v>
      </c>
      <c r="AA4418" s="5" t="str">
        <f>HYPERLINK("https://www.zillow.com/homes/52-S-MILL-ST-NAPERVILLE-IL-60540_rb/","check listing")</f>
        <v>check listing</v>
      </c>
      <c r="AB4418" s="5" t="str">
        <f>HYPERLINK("https://propertylookup.dupagecounty.gov/Datalets/Datalet.aspx?UseSearch=no&amp;mode=sales&amp;pin=0713416028","sales record")</f>
        <v>sales record</v>
      </c>
      <c r="AC4418" t="s">
        <v>3</v>
      </c>
      <c r="AD4418">
        <v>41.773323</v>
      </c>
      <c r="AE4418">
        <v>-88.15434500000001</v>
      </c>
      <c r="AF4418" s="5" t="str">
        <f>HYPERLINK("https://www.google.com/maps/search/?api=1&amp;query=41.773323,-88.154345","map")</f>
        <v>map</v>
      </c>
    </row>
    <row r="4419" spans="1:32">
      <c r="A4419" t="s">
        <v>4469</v>
      </c>
      <c r="B4419" t="s">
        <v>12002</v>
      </c>
      <c r="C4419" t="s">
        <v>15475</v>
      </c>
      <c r="D4419" t="s">
        <v>16206</v>
      </c>
      <c r="E4419" t="s">
        <v>16218</v>
      </c>
      <c r="F4419" t="s">
        <v>16221</v>
      </c>
      <c r="G4419" t="s">
        <v>16278</v>
      </c>
      <c r="H4419" t="s">
        <v>16277</v>
      </c>
      <c r="I4419" t="s">
        <v>16353</v>
      </c>
      <c r="J4419" t="s">
        <v>16386</v>
      </c>
      <c r="K4419">
        <v>0.188</v>
      </c>
      <c r="L4419">
        <v>8187</v>
      </c>
      <c r="N4419" t="s">
        <v>16393</v>
      </c>
      <c r="O4419" s="4">
        <v>69288</v>
      </c>
      <c r="P4419" s="4">
        <v>179270</v>
      </c>
      <c r="Q4419" s="4">
        <v>248558</v>
      </c>
      <c r="R4419" s="4">
        <v>745674</v>
      </c>
      <c r="S4419" t="s">
        <v>20718</v>
      </c>
      <c r="T4419" s="6">
        <v>43070</v>
      </c>
      <c r="U4419" s="4">
        <v>524964</v>
      </c>
      <c r="V4419" t="s">
        <v>16232</v>
      </c>
      <c r="W4419" t="s">
        <v>26093</v>
      </c>
      <c r="X4419" t="s">
        <v>3</v>
      </c>
      <c r="AA4419" s="5" t="str">
        <f>HYPERLINK("https://www.zillow.com/homes/2491-BASIN-TRAIL-LN-NAPERVILLE-IL-60540_rb/","check listing")</f>
        <v>check listing</v>
      </c>
      <c r="AB4419" s="5" t="str">
        <f>HYPERLINK("https://propertylookup.dupagecounty.gov/Datalets/Datalet.aspx?UseSearch=no&amp;mode=sales&amp;pin=0709111006","sales record")</f>
        <v>sales record</v>
      </c>
      <c r="AC4419" t="s">
        <v>3</v>
      </c>
      <c r="AD4419">
        <v>41.795433</v>
      </c>
      <c r="AE4419">
        <v>-88.221732</v>
      </c>
      <c r="AF4419" s="5" t="str">
        <f>HYPERLINK("https://www.google.com/maps/search/?api=1&amp;query=41.795433,-88.221732","map")</f>
        <v>map</v>
      </c>
    </row>
    <row r="4420" spans="1:32">
      <c r="A4420" t="s">
        <v>4470</v>
      </c>
      <c r="B4420" t="s">
        <v>12003</v>
      </c>
      <c r="C4420" t="s">
        <v>15630</v>
      </c>
      <c r="D4420" t="s">
        <v>16206</v>
      </c>
      <c r="E4420" t="s">
        <v>16218</v>
      </c>
      <c r="F4420" t="s">
        <v>16221</v>
      </c>
      <c r="G4420" t="s">
        <v>16277</v>
      </c>
      <c r="H4420" t="s">
        <v>16277</v>
      </c>
      <c r="I4420" t="s">
        <v>16353</v>
      </c>
      <c r="J4420" t="s">
        <v>16386</v>
      </c>
      <c r="K4420">
        <v>0.188</v>
      </c>
      <c r="L4420">
        <v>8180</v>
      </c>
      <c r="M4420">
        <v>2257</v>
      </c>
      <c r="N4420" t="s">
        <v>16393</v>
      </c>
      <c r="O4420" s="4">
        <v>131783</v>
      </c>
      <c r="P4420" s="4">
        <v>89425</v>
      </c>
      <c r="Q4420" s="4">
        <v>221208</v>
      </c>
      <c r="R4420" s="4">
        <v>663624</v>
      </c>
      <c r="S4420" t="s">
        <v>20719</v>
      </c>
      <c r="T4420" s="6">
        <v>44409</v>
      </c>
      <c r="U4420" s="4">
        <v>575000</v>
      </c>
      <c r="V4420" t="s">
        <v>23739</v>
      </c>
      <c r="W4420" t="s">
        <v>26094</v>
      </c>
      <c r="X4420" t="s">
        <v>3</v>
      </c>
      <c r="AA4420" s="5" t="str">
        <f>HYPERLINK("https://www.zillow.com/homes/116-S-SLEIGHT-ST-NAPERVILLE-IL-605404944_rb/","check listing")</f>
        <v>check listing</v>
      </c>
      <c r="AB4420" s="5" t="str">
        <f>HYPERLINK("https://propertylookup.dupagecounty.gov/Datalets/Datalet.aspx?UseSearch=no&amp;mode=sales&amp;pin=0818322002","sales record")</f>
        <v>sales record</v>
      </c>
      <c r="AC4420" t="s">
        <v>27873</v>
      </c>
      <c r="AD4420">
        <v>41.773472</v>
      </c>
      <c r="AE4420">
        <v>-88.14054400000001</v>
      </c>
      <c r="AF4420" s="5" t="str">
        <f>HYPERLINK("https://www.google.com/maps/search/?api=1&amp;query=41.773472,-88.140544","map")</f>
        <v>map</v>
      </c>
    </row>
    <row r="4421" spans="1:32">
      <c r="A4421" t="s">
        <v>4471</v>
      </c>
      <c r="B4421" t="s">
        <v>12004</v>
      </c>
      <c r="C4421" t="s">
        <v>15475</v>
      </c>
      <c r="D4421" t="s">
        <v>16206</v>
      </c>
      <c r="E4421" t="s">
        <v>16218</v>
      </c>
      <c r="F4421" t="s">
        <v>16221</v>
      </c>
      <c r="G4421" t="s">
        <v>16277</v>
      </c>
      <c r="H4421" t="s">
        <v>16277</v>
      </c>
      <c r="I4421" t="s">
        <v>16353</v>
      </c>
      <c r="J4421" t="s">
        <v>16386</v>
      </c>
      <c r="K4421">
        <v>0.188</v>
      </c>
      <c r="L4421">
        <v>8179</v>
      </c>
      <c r="M4421">
        <v>2107</v>
      </c>
      <c r="N4421" t="s">
        <v>16393</v>
      </c>
      <c r="O4421" s="4">
        <v>119294</v>
      </c>
      <c r="P4421" s="4">
        <v>48247</v>
      </c>
      <c r="Q4421" s="4">
        <v>167541</v>
      </c>
      <c r="R4421" s="4">
        <v>502623</v>
      </c>
      <c r="S4421" t="s">
        <v>20720</v>
      </c>
      <c r="T4421" s="6">
        <v>45973</v>
      </c>
      <c r="U4421" s="4">
        <v>625000</v>
      </c>
      <c r="V4421" t="s">
        <v>23739</v>
      </c>
      <c r="W4421" t="s">
        <v>26095</v>
      </c>
      <c r="X4421" t="s">
        <v>3</v>
      </c>
      <c r="AA4421" s="5" t="str">
        <f>HYPERLINK("https://www.zillow.com/homes/131-N-WEST-ST-NAPERVILLE-IL-60540_rb/","check listing")</f>
        <v>check listing</v>
      </c>
      <c r="AB4421" s="5" t="str">
        <f>HYPERLINK("https://propertylookup.dupagecounty.gov/Datalets/Datalet.aspx?UseSearch=no&amp;mode=sales&amp;pin=0713107005","sales record")</f>
        <v>sales record</v>
      </c>
      <c r="AC4421" t="s">
        <v>3</v>
      </c>
      <c r="AD4421">
        <v>41.777275</v>
      </c>
      <c r="AE4421">
        <v>-88.157809</v>
      </c>
      <c r="AF4421" s="5" t="str">
        <f>HYPERLINK("https://www.google.com/maps/search/?api=1&amp;query=41.777275,-88.157809","map")</f>
        <v>map</v>
      </c>
    </row>
    <row r="4422" spans="1:32">
      <c r="A4422" t="s">
        <v>4472</v>
      </c>
      <c r="B4422" t="s">
        <v>12005</v>
      </c>
      <c r="C4422" t="s">
        <v>15478</v>
      </c>
      <c r="D4422" t="s">
        <v>16206</v>
      </c>
      <c r="E4422" t="s">
        <v>16218</v>
      </c>
      <c r="F4422" t="s">
        <v>16221</v>
      </c>
      <c r="G4422" t="s">
        <v>16278</v>
      </c>
      <c r="H4422" t="s">
        <v>16277</v>
      </c>
      <c r="I4422" t="s">
        <v>16353</v>
      </c>
      <c r="J4422" t="s">
        <v>16386</v>
      </c>
      <c r="K4422">
        <v>0.188</v>
      </c>
      <c r="L4422">
        <v>8169</v>
      </c>
      <c r="N4422" t="s">
        <v>16393</v>
      </c>
      <c r="O4422" s="4">
        <v>75585</v>
      </c>
      <c r="P4422" s="4">
        <v>178311</v>
      </c>
      <c r="Q4422" s="4">
        <v>253896</v>
      </c>
      <c r="R4422" s="4">
        <v>761688</v>
      </c>
      <c r="S4422" t="s">
        <v>20721</v>
      </c>
      <c r="T4422" s="6">
        <v>43344</v>
      </c>
      <c r="U4422" s="4">
        <v>523218</v>
      </c>
      <c r="V4422" t="s">
        <v>16232</v>
      </c>
      <c r="W4422" t="s">
        <v>26096</v>
      </c>
      <c r="X4422" t="s">
        <v>3</v>
      </c>
      <c r="AA4422" s="5" t="str">
        <f>HYPERLINK("https://www.zillow.com/homes/2612-BASIN-TRAIL-CT-NAPERVILLE-IL-60563_rb/","check listing")</f>
        <v>check listing</v>
      </c>
      <c r="AB4422" s="5" t="str">
        <f>HYPERLINK("https://propertylookup.dupagecounty.gov/Datalets/Datalet.aspx?UseSearch=no&amp;mode=sales&amp;pin=0709109050","sales record")</f>
        <v>sales record</v>
      </c>
      <c r="AC4422" t="s">
        <v>3</v>
      </c>
      <c r="AD4422">
        <v>41.793544</v>
      </c>
      <c r="AE4422">
        <v>-88.22385800000001</v>
      </c>
      <c r="AF4422" s="5" t="str">
        <f>HYPERLINK("https://www.google.com/maps/search/?api=1&amp;query=41.793544,-88.223858","map")</f>
        <v>map</v>
      </c>
    </row>
    <row r="4423" spans="1:32">
      <c r="A4423" t="s">
        <v>4473</v>
      </c>
      <c r="B4423" t="s">
        <v>12006</v>
      </c>
      <c r="C4423" t="s">
        <v>15475</v>
      </c>
      <c r="D4423" t="s">
        <v>16206</v>
      </c>
      <c r="E4423" t="s">
        <v>16218</v>
      </c>
      <c r="F4423" t="s">
        <v>16221</v>
      </c>
      <c r="G4423" t="s">
        <v>16277</v>
      </c>
      <c r="H4423" t="s">
        <v>16277</v>
      </c>
      <c r="I4423" t="s">
        <v>16353</v>
      </c>
      <c r="J4423" t="s">
        <v>16386</v>
      </c>
      <c r="K4423">
        <v>0.187</v>
      </c>
      <c r="L4423">
        <v>8167</v>
      </c>
      <c r="M4423">
        <v>1809</v>
      </c>
      <c r="N4423" t="s">
        <v>16393</v>
      </c>
      <c r="O4423" s="4">
        <v>138597</v>
      </c>
      <c r="P4423" s="4">
        <v>47198</v>
      </c>
      <c r="Q4423" s="4">
        <v>185795</v>
      </c>
      <c r="R4423" s="4">
        <v>557385</v>
      </c>
      <c r="S4423" t="s">
        <v>20722</v>
      </c>
      <c r="T4423" s="6">
        <v>42736</v>
      </c>
      <c r="U4423" s="4">
        <v>455000</v>
      </c>
      <c r="V4423" t="s">
        <v>23739</v>
      </c>
      <c r="W4423" t="s">
        <v>20722</v>
      </c>
      <c r="X4423" t="s">
        <v>3</v>
      </c>
      <c r="AA4423" s="5" t="str">
        <f>HYPERLINK("https://www.zillow.com/homes/206-N-COLUMBIA-ST-NAPERVILLE-IL-60540_rb/","check listing")</f>
        <v>check listing</v>
      </c>
      <c r="AB4423" s="5" t="str">
        <f>HYPERLINK("https://propertylookup.dupagecounty.gov/Datalets/Datalet.aspx?UseSearch=no&amp;mode=sales&amp;pin=0818209004","sales record")</f>
        <v>sales record</v>
      </c>
      <c r="AC4423" t="s">
        <v>3</v>
      </c>
      <c r="AD4423">
        <v>41.777458</v>
      </c>
      <c r="AE4423">
        <v>-88.13755399999999</v>
      </c>
      <c r="AF4423" s="5" t="str">
        <f>HYPERLINK("https://www.google.com/maps/search/?api=1&amp;query=41.777458,-88.137554","map")</f>
        <v>map</v>
      </c>
    </row>
    <row r="4424" spans="1:32">
      <c r="A4424" t="s">
        <v>4474</v>
      </c>
      <c r="B4424" t="s">
        <v>12007</v>
      </c>
      <c r="C4424" t="s">
        <v>15475</v>
      </c>
      <c r="D4424" t="s">
        <v>16206</v>
      </c>
      <c r="E4424" t="s">
        <v>16218</v>
      </c>
      <c r="F4424" t="s">
        <v>16221</v>
      </c>
      <c r="G4424" t="s">
        <v>16277</v>
      </c>
      <c r="H4424" t="s">
        <v>16277</v>
      </c>
      <c r="I4424" t="s">
        <v>16353</v>
      </c>
      <c r="J4424" t="s">
        <v>16386</v>
      </c>
      <c r="K4424">
        <v>0.187</v>
      </c>
      <c r="L4424">
        <v>8162</v>
      </c>
      <c r="M4424">
        <v>1348</v>
      </c>
      <c r="N4424" t="s">
        <v>16393</v>
      </c>
      <c r="O4424" s="4">
        <v>119294</v>
      </c>
      <c r="P4424" s="4">
        <v>55021</v>
      </c>
      <c r="Q4424" s="4">
        <v>174315</v>
      </c>
      <c r="R4424" s="4">
        <v>522945</v>
      </c>
      <c r="S4424" t="s">
        <v>20723</v>
      </c>
      <c r="T4424" s="6">
        <v>33664</v>
      </c>
      <c r="U4424" s="4">
        <v>137000</v>
      </c>
      <c r="X4424" t="s">
        <v>3</v>
      </c>
      <c r="AA4424" s="5" t="str">
        <f>HYPERLINK("https://www.zillow.com/homes/127-N-WEST-ST-NAPERVILLE-IL-60540_rb/","check listing")</f>
        <v>check listing</v>
      </c>
      <c r="AB4424" s="5" t="str">
        <f>HYPERLINK("https://propertylookup.dupagecounty.gov/Datalets/Datalet.aspx?UseSearch=no&amp;mode=sales&amp;pin=0713107006","sales record")</f>
        <v>sales record</v>
      </c>
      <c r="AC4424" t="s">
        <v>27873</v>
      </c>
      <c r="AD4424">
        <v>41.77714</v>
      </c>
      <c r="AE4424">
        <v>-88.15783399999999</v>
      </c>
      <c r="AF4424" s="5" t="str">
        <f>HYPERLINK("https://www.google.com/maps/search/?api=1&amp;query=41.77714,-88.157834","map")</f>
        <v>map</v>
      </c>
    </row>
    <row r="4425" spans="1:32">
      <c r="A4425" t="s">
        <v>4475</v>
      </c>
      <c r="B4425" t="s">
        <v>12008</v>
      </c>
      <c r="C4425" t="s">
        <v>15745</v>
      </c>
      <c r="D4425" t="s">
        <v>16206</v>
      </c>
      <c r="E4425" t="s">
        <v>16218</v>
      </c>
      <c r="F4425" t="s">
        <v>16221</v>
      </c>
      <c r="G4425" t="s">
        <v>16277</v>
      </c>
      <c r="H4425" t="s">
        <v>16277</v>
      </c>
      <c r="I4425" t="s">
        <v>16353</v>
      </c>
      <c r="J4425" t="s">
        <v>16386</v>
      </c>
      <c r="K4425">
        <v>0.187</v>
      </c>
      <c r="L4425">
        <v>8153</v>
      </c>
      <c r="M4425">
        <v>1340</v>
      </c>
      <c r="N4425" t="s">
        <v>16393</v>
      </c>
      <c r="O4425" s="4">
        <v>131890</v>
      </c>
      <c r="P4425" s="4">
        <v>91352</v>
      </c>
      <c r="Q4425" s="4">
        <v>223242</v>
      </c>
      <c r="R4425" s="4">
        <v>669726</v>
      </c>
      <c r="S4425" t="s">
        <v>20724</v>
      </c>
      <c r="T4425" s="6">
        <v>40940</v>
      </c>
      <c r="U4425" s="4">
        <v>326000</v>
      </c>
      <c r="V4425" t="s">
        <v>23739</v>
      </c>
      <c r="W4425" t="s">
        <v>26097</v>
      </c>
      <c r="X4425" t="s">
        <v>3</v>
      </c>
      <c r="AA4425" s="5" t="str">
        <f>HYPERLINK("https://www.zillow.com/homes/225-N-COLUMBIA-ST-NAPERVILLE-IL-605404715_rb/","check listing")</f>
        <v>check listing</v>
      </c>
      <c r="AB4425" s="5" t="str">
        <f>HYPERLINK("https://propertylookup.dupagecounty.gov/Datalets/Datalet.aspx?UseSearch=no&amp;mode=sales&amp;pin=0818205001","sales record")</f>
        <v>sales record</v>
      </c>
      <c r="AC4425" t="s">
        <v>27873</v>
      </c>
      <c r="AD4425">
        <v>41.77801</v>
      </c>
      <c r="AE4425">
        <v>-88.138318</v>
      </c>
      <c r="AF4425" s="5" t="str">
        <f>HYPERLINK("https://www.google.com/maps/search/?api=1&amp;query=41.77801,-88.138318","map")</f>
        <v>map</v>
      </c>
    </row>
    <row r="4426" spans="1:32">
      <c r="A4426" t="s">
        <v>4476</v>
      </c>
      <c r="B4426" t="s">
        <v>12009</v>
      </c>
      <c r="C4426" t="s">
        <v>15475</v>
      </c>
      <c r="D4426" t="s">
        <v>16206</v>
      </c>
      <c r="E4426" t="s">
        <v>16218</v>
      </c>
      <c r="F4426" t="s">
        <v>16221</v>
      </c>
      <c r="G4426" t="s">
        <v>16277</v>
      </c>
      <c r="H4426" t="s">
        <v>16277</v>
      </c>
      <c r="I4426" t="s">
        <v>16353</v>
      </c>
      <c r="J4426" t="s">
        <v>16386</v>
      </c>
      <c r="K4426">
        <v>0.187</v>
      </c>
      <c r="L4426">
        <v>8140</v>
      </c>
      <c r="M4426">
        <v>1900</v>
      </c>
      <c r="N4426" t="s">
        <v>16393</v>
      </c>
      <c r="O4426" s="4">
        <v>119294</v>
      </c>
      <c r="P4426" s="4">
        <v>56022</v>
      </c>
      <c r="Q4426" s="4">
        <v>175316</v>
      </c>
      <c r="R4426" s="4">
        <v>525948</v>
      </c>
      <c r="S4426" t="s">
        <v>20725</v>
      </c>
      <c r="T4426" s="6">
        <v>36708</v>
      </c>
      <c r="U4426" s="4">
        <v>184500</v>
      </c>
      <c r="V4426" t="s">
        <v>23739</v>
      </c>
      <c r="W4426" t="s">
        <v>20725</v>
      </c>
      <c r="X4426" t="s">
        <v>3</v>
      </c>
      <c r="AA4426" s="5" t="str">
        <f>HYPERLINK("https://www.zillow.com/homes/123-N-WEST-ST-NAPERVILLE-IL-60540_rb/","check listing")</f>
        <v>check listing</v>
      </c>
      <c r="AB4426" s="5" t="str">
        <f>HYPERLINK("https://propertylookup.dupagecounty.gov/Datalets/Datalet.aspx?UseSearch=no&amp;mode=sales&amp;pin=0713107007","sales record")</f>
        <v>sales record</v>
      </c>
      <c r="AC4426" t="s">
        <v>27873</v>
      </c>
      <c r="AD4426">
        <v>41.776999</v>
      </c>
      <c r="AE4426">
        <v>-88.157859</v>
      </c>
      <c r="AF4426" s="5" t="str">
        <f>HYPERLINK("https://www.google.com/maps/search/?api=1&amp;query=41.776999,-88.157859","map")</f>
        <v>map</v>
      </c>
    </row>
    <row r="4427" spans="1:32">
      <c r="A4427" t="s">
        <v>4477</v>
      </c>
      <c r="B4427" t="s">
        <v>12010</v>
      </c>
      <c r="C4427" t="s">
        <v>15679</v>
      </c>
      <c r="D4427" t="s">
        <v>16206</v>
      </c>
      <c r="E4427" t="s">
        <v>16218</v>
      </c>
      <c r="F4427" t="s">
        <v>16221</v>
      </c>
      <c r="G4427" t="s">
        <v>16278</v>
      </c>
      <c r="H4427" t="s">
        <v>16277</v>
      </c>
      <c r="I4427" t="s">
        <v>16353</v>
      </c>
      <c r="J4427" t="s">
        <v>16386</v>
      </c>
      <c r="K4427">
        <v>0.187</v>
      </c>
      <c r="L4427">
        <v>8131</v>
      </c>
      <c r="N4427" t="s">
        <v>16393</v>
      </c>
      <c r="O4427" s="4">
        <v>62979</v>
      </c>
      <c r="P4427" s="4">
        <v>180698</v>
      </c>
      <c r="Q4427" s="4">
        <v>243677</v>
      </c>
      <c r="R4427" s="4">
        <v>731031</v>
      </c>
      <c r="S4427" t="s">
        <v>20726</v>
      </c>
      <c r="T4427" s="6">
        <v>42948</v>
      </c>
      <c r="U4427" s="4">
        <v>563905</v>
      </c>
      <c r="V4427" t="s">
        <v>16232</v>
      </c>
      <c r="W4427" t="s">
        <v>26098</v>
      </c>
      <c r="X4427" t="s">
        <v>3</v>
      </c>
      <c r="AA4427" s="5" t="str">
        <f>HYPERLINK("https://www.zillow.com/homes/1623-BAYOU-PATH-DR-NAPERVILLE-IL-605632271_rb/","check listing")</f>
        <v>check listing</v>
      </c>
      <c r="AB4427" s="5" t="str">
        <f>HYPERLINK("https://propertylookup.dupagecounty.gov/Datalets/Datalet.aspx?UseSearch=no&amp;mode=sales&amp;pin=0709112012","sales record")</f>
        <v>sales record</v>
      </c>
      <c r="AC4427" t="s">
        <v>3</v>
      </c>
      <c r="AD4427">
        <v>41.796558</v>
      </c>
      <c r="AE4427">
        <v>-88.21908500000001</v>
      </c>
      <c r="AF4427" s="5" t="str">
        <f>HYPERLINK("https://www.google.com/maps/search/?api=1&amp;query=41.796558,-88.219085","map")</f>
        <v>map</v>
      </c>
    </row>
    <row r="4428" spans="1:32">
      <c r="A4428" t="s">
        <v>4478</v>
      </c>
      <c r="B4428" t="s">
        <v>12011</v>
      </c>
      <c r="C4428" t="s">
        <v>15632</v>
      </c>
      <c r="D4428" t="s">
        <v>16206</v>
      </c>
      <c r="E4428" t="s">
        <v>16218</v>
      </c>
      <c r="F4428" t="s">
        <v>16221</v>
      </c>
      <c r="G4428" t="s">
        <v>16278</v>
      </c>
      <c r="H4428" t="s">
        <v>16277</v>
      </c>
      <c r="I4428" t="s">
        <v>16353</v>
      </c>
      <c r="J4428" t="s">
        <v>16386</v>
      </c>
      <c r="K4428">
        <v>0.187</v>
      </c>
      <c r="L4428">
        <v>8131</v>
      </c>
      <c r="N4428" t="s">
        <v>16393</v>
      </c>
      <c r="O4428" s="4">
        <v>62979</v>
      </c>
      <c r="P4428" s="4">
        <v>168749</v>
      </c>
      <c r="Q4428" s="4">
        <v>231728</v>
      </c>
      <c r="R4428" s="4">
        <v>695184</v>
      </c>
      <c r="S4428" t="s">
        <v>20727</v>
      </c>
      <c r="T4428" s="6">
        <v>44317</v>
      </c>
      <c r="U4428" s="4">
        <v>565000</v>
      </c>
      <c r="V4428" t="s">
        <v>23739</v>
      </c>
      <c r="W4428" t="s">
        <v>26099</v>
      </c>
      <c r="X4428" t="s">
        <v>3</v>
      </c>
      <c r="AA4428" s="5" t="str">
        <f>HYPERLINK("https://www.zillow.com/homes/2539-BASIN-TRAIL-LN-NAPERVILLE-IL-605633593_rb/","check listing")</f>
        <v>check listing</v>
      </c>
      <c r="AB4428" s="5" t="str">
        <f>HYPERLINK("https://propertylookup.dupagecounty.gov/Datalets/Datalet.aspx?UseSearch=no&amp;mode=sales&amp;pin=0709109025","sales record")</f>
        <v>sales record</v>
      </c>
      <c r="AC4428" t="s">
        <v>3</v>
      </c>
      <c r="AD4428">
        <v>41.795987</v>
      </c>
      <c r="AE4428">
        <v>-88.224208</v>
      </c>
      <c r="AF4428" s="5" t="str">
        <f>HYPERLINK("https://www.google.com/maps/search/?api=1&amp;query=41.795987,-88.224208","map")</f>
        <v>map</v>
      </c>
    </row>
    <row r="4429" spans="1:32">
      <c r="A4429" t="s">
        <v>4479</v>
      </c>
      <c r="B4429" t="s">
        <v>12012</v>
      </c>
      <c r="C4429" t="s">
        <v>15662</v>
      </c>
      <c r="D4429" t="s">
        <v>16206</v>
      </c>
      <c r="E4429" t="s">
        <v>16218</v>
      </c>
      <c r="F4429" t="s">
        <v>16221</v>
      </c>
      <c r="G4429" t="s">
        <v>16278</v>
      </c>
      <c r="H4429" t="s">
        <v>16277</v>
      </c>
      <c r="I4429" t="s">
        <v>16353</v>
      </c>
      <c r="J4429" t="s">
        <v>16386</v>
      </c>
      <c r="K4429">
        <v>0.187</v>
      </c>
      <c r="L4429">
        <v>8130</v>
      </c>
      <c r="N4429" t="s">
        <v>16393</v>
      </c>
      <c r="O4429" s="4">
        <v>56146</v>
      </c>
      <c r="P4429" s="4">
        <v>245359</v>
      </c>
      <c r="Q4429" s="4">
        <v>301505</v>
      </c>
      <c r="R4429" s="4">
        <v>904515</v>
      </c>
      <c r="S4429" t="s">
        <v>20728</v>
      </c>
      <c r="T4429" s="6">
        <v>45422</v>
      </c>
      <c r="U4429" s="4">
        <v>875000</v>
      </c>
      <c r="V4429" t="s">
        <v>23739</v>
      </c>
      <c r="W4429" t="s">
        <v>26100</v>
      </c>
      <c r="X4429" t="s">
        <v>3</v>
      </c>
      <c r="AA4429" s="5" t="str">
        <f>HYPERLINK("https://www.zillow.com/homes/2540-WEATHERBEE-LN-NAPERVILLE-IL-605631594_rb/","check listing")</f>
        <v>check listing</v>
      </c>
      <c r="AB4429" s="5" t="str">
        <f>HYPERLINK("https://propertylookup.dupagecounty.gov/Datalets/Datalet.aspx?UseSearch=no&amp;mode=sales&amp;pin=0532301005","sales record")</f>
        <v>sales record</v>
      </c>
      <c r="AC4429" t="s">
        <v>3</v>
      </c>
      <c r="AD4429">
        <v>41.819721</v>
      </c>
      <c r="AE4429">
        <v>-88.123469</v>
      </c>
      <c r="AF4429" s="5" t="str">
        <f>HYPERLINK("https://www.google.com/maps/search/?api=1&amp;query=41.819721,-88.123469","map")</f>
        <v>map</v>
      </c>
    </row>
    <row r="4430" spans="1:32">
      <c r="A4430" t="s">
        <v>4480</v>
      </c>
      <c r="B4430" t="s">
        <v>12013</v>
      </c>
      <c r="C4430" t="s">
        <v>15746</v>
      </c>
      <c r="D4430" t="s">
        <v>16206</v>
      </c>
      <c r="E4430" t="s">
        <v>16218</v>
      </c>
      <c r="F4430" t="s">
        <v>16221</v>
      </c>
      <c r="G4430" t="s">
        <v>16277</v>
      </c>
      <c r="H4430" t="s">
        <v>16277</v>
      </c>
      <c r="I4430" t="s">
        <v>16353</v>
      </c>
      <c r="J4430" t="s">
        <v>16386</v>
      </c>
      <c r="K4430">
        <v>0.187</v>
      </c>
      <c r="L4430">
        <v>8130</v>
      </c>
      <c r="M4430">
        <v>1774</v>
      </c>
      <c r="N4430" t="s">
        <v>16393</v>
      </c>
      <c r="O4430" s="4">
        <v>95680</v>
      </c>
      <c r="P4430" s="4">
        <v>1439</v>
      </c>
      <c r="Q4430" s="4">
        <v>97119</v>
      </c>
      <c r="R4430" s="4">
        <v>291357</v>
      </c>
      <c r="S4430" t="s">
        <v>20729</v>
      </c>
      <c r="T4430" s="6">
        <v>44136</v>
      </c>
      <c r="U4430" s="4">
        <v>200000</v>
      </c>
      <c r="V4430" t="s">
        <v>23739</v>
      </c>
      <c r="W4430" t="s">
        <v>26101</v>
      </c>
      <c r="X4430" t="s">
        <v>3</v>
      </c>
      <c r="AA4430" s="5" t="str">
        <f>HYPERLINK("https://www.zillow.com/homes/145-N-HUFFMAN-ST-NAPERVILLE-IL-605404816_rb/","check listing")</f>
        <v>check listing</v>
      </c>
      <c r="AB4430" s="5" t="str">
        <f>HYPERLINK("https://propertylookup.dupagecounty.gov/Datalets/Datalet.aspx?UseSearch=no&amp;mode=sales&amp;pin=0818401012","sales record")</f>
        <v>sales record</v>
      </c>
      <c r="AC4430" t="s">
        <v>3</v>
      </c>
      <c r="AD4430">
        <v>41.777141</v>
      </c>
      <c r="AE4430">
        <v>-88.135919</v>
      </c>
      <c r="AF4430" s="5" t="str">
        <f>HYPERLINK("https://www.google.com/maps/search/?api=1&amp;query=41.777141,-88.135919","map")</f>
        <v>map</v>
      </c>
    </row>
    <row r="4431" spans="1:32">
      <c r="A4431" t="s">
        <v>4481</v>
      </c>
      <c r="B4431" t="s">
        <v>12014</v>
      </c>
      <c r="C4431" t="s">
        <v>15478</v>
      </c>
      <c r="D4431" t="s">
        <v>16206</v>
      </c>
      <c r="E4431" t="s">
        <v>16218</v>
      </c>
      <c r="F4431" t="s">
        <v>16221</v>
      </c>
      <c r="G4431" t="s">
        <v>16278</v>
      </c>
      <c r="H4431" t="s">
        <v>16277</v>
      </c>
      <c r="I4431" t="s">
        <v>16353</v>
      </c>
      <c r="J4431" t="s">
        <v>16386</v>
      </c>
      <c r="K4431">
        <v>0.187</v>
      </c>
      <c r="L4431">
        <v>8124</v>
      </c>
      <c r="N4431" t="s">
        <v>16393</v>
      </c>
      <c r="O4431" s="4">
        <v>66140</v>
      </c>
      <c r="P4431" s="4">
        <v>165514</v>
      </c>
      <c r="Q4431" s="4">
        <v>231654</v>
      </c>
      <c r="R4431" s="4">
        <v>694962</v>
      </c>
      <c r="S4431" t="s">
        <v>20730</v>
      </c>
      <c r="T4431" s="6">
        <v>42767</v>
      </c>
      <c r="U4431" s="4">
        <v>513784</v>
      </c>
      <c r="V4431" t="s">
        <v>16232</v>
      </c>
      <c r="W4431" t="s">
        <v>20730</v>
      </c>
      <c r="X4431" t="s">
        <v>3</v>
      </c>
      <c r="AA4431" s="5" t="str">
        <f>HYPERLINK("https://www.zillow.com/homes/2484-BASIN-TRAIL-LN-NAPERVILLE-IL-60563_rb/","check listing")</f>
        <v>check listing</v>
      </c>
      <c r="AB4431" s="5" t="str">
        <f>HYPERLINK("https://propertylookup.dupagecounty.gov/Datalets/Datalet.aspx?UseSearch=no&amp;mode=sales&amp;pin=0709110011","sales record")</f>
        <v>sales record</v>
      </c>
      <c r="AC4431" t="s">
        <v>3</v>
      </c>
      <c r="AD4431">
        <v>41.794979</v>
      </c>
      <c r="AE4431">
        <v>-88.222326</v>
      </c>
      <c r="AF4431" s="5" t="str">
        <f>HYPERLINK("https://www.google.com/maps/search/?api=1&amp;query=41.794979,-88.222326","map")</f>
        <v>map</v>
      </c>
    </row>
    <row r="4432" spans="1:32">
      <c r="A4432" t="s">
        <v>4482</v>
      </c>
      <c r="B4432" t="s">
        <v>12015</v>
      </c>
      <c r="C4432" t="s">
        <v>15747</v>
      </c>
      <c r="D4432" t="s">
        <v>16206</v>
      </c>
      <c r="E4432" t="s">
        <v>16218</v>
      </c>
      <c r="F4432" t="s">
        <v>16221</v>
      </c>
      <c r="G4432" t="s">
        <v>16278</v>
      </c>
      <c r="H4432" t="s">
        <v>16277</v>
      </c>
      <c r="I4432" t="s">
        <v>16353</v>
      </c>
      <c r="J4432" t="s">
        <v>16386</v>
      </c>
      <c r="K4432">
        <v>0.186</v>
      </c>
      <c r="L4432">
        <v>8116</v>
      </c>
      <c r="N4432" t="s">
        <v>16393</v>
      </c>
      <c r="O4432" s="4">
        <v>66140</v>
      </c>
      <c r="P4432" s="4">
        <v>182199</v>
      </c>
      <c r="Q4432" s="4">
        <v>248339</v>
      </c>
      <c r="R4432" s="4">
        <v>745017</v>
      </c>
      <c r="S4432" t="s">
        <v>20731</v>
      </c>
      <c r="T4432" s="6">
        <v>42826</v>
      </c>
      <c r="U4432" s="4">
        <v>531606</v>
      </c>
      <c r="V4432" t="s">
        <v>16232</v>
      </c>
      <c r="W4432" t="s">
        <v>26102</v>
      </c>
      <c r="X4432" t="s">
        <v>3</v>
      </c>
      <c r="AA4432" s="5" t="str">
        <f>HYPERLINK("https://www.zillow.com/homes/1640-LEYLAND-DR-NAPERVILLE-IL-605633587_rb/","check listing")</f>
        <v>check listing</v>
      </c>
      <c r="AB4432" s="5" t="str">
        <f>HYPERLINK("https://propertylookup.dupagecounty.gov/Datalets/Datalet.aspx?UseSearch=no&amp;mode=sales&amp;pin=0709107025","sales record")</f>
        <v>sales record</v>
      </c>
      <c r="AC4432" t="s">
        <v>3</v>
      </c>
      <c r="AD4432">
        <v>41.79726</v>
      </c>
      <c r="AE4432">
        <v>-88.222708</v>
      </c>
      <c r="AF4432" s="5" t="str">
        <f>HYPERLINK("https://www.google.com/maps/search/?api=1&amp;query=41.79726,-88.222708","map")</f>
        <v>map</v>
      </c>
    </row>
    <row r="4433" spans="1:32">
      <c r="A4433" t="s">
        <v>4483</v>
      </c>
      <c r="B4433" t="s">
        <v>12016</v>
      </c>
      <c r="C4433" t="s">
        <v>15478</v>
      </c>
      <c r="D4433" t="s">
        <v>16206</v>
      </c>
      <c r="E4433" t="s">
        <v>16218</v>
      </c>
      <c r="F4433" t="s">
        <v>16221</v>
      </c>
      <c r="G4433" t="s">
        <v>16278</v>
      </c>
      <c r="H4433" t="s">
        <v>16277</v>
      </c>
      <c r="I4433" t="s">
        <v>16353</v>
      </c>
      <c r="J4433" t="s">
        <v>16386</v>
      </c>
      <c r="K4433">
        <v>0.186</v>
      </c>
      <c r="L4433">
        <v>8111</v>
      </c>
      <c r="N4433" t="s">
        <v>16393</v>
      </c>
      <c r="O4433" s="4">
        <v>72438</v>
      </c>
      <c r="P4433" s="4">
        <v>203814</v>
      </c>
      <c r="Q4433" s="4">
        <v>276252</v>
      </c>
      <c r="R4433" s="4">
        <v>828756</v>
      </c>
      <c r="S4433" t="s">
        <v>20732</v>
      </c>
      <c r="T4433" s="6">
        <v>43070</v>
      </c>
      <c r="U4433" s="4">
        <v>583942</v>
      </c>
      <c r="V4433" t="s">
        <v>16232</v>
      </c>
      <c r="W4433" t="s">
        <v>26103</v>
      </c>
      <c r="X4433" t="s">
        <v>3</v>
      </c>
      <c r="AA4433" s="5" t="str">
        <f>HYPERLINK("https://www.zillow.com/homes/1559-BAYOU-PATH-DR-NAPERVILLE-IL-60563_rb/","check listing")</f>
        <v>check listing</v>
      </c>
      <c r="AB4433" s="5" t="str">
        <f>HYPERLINK("https://propertylookup.dupagecounty.gov/Datalets/Datalet.aspx?UseSearch=no&amp;mode=sales&amp;pin=0709114016","sales record")</f>
        <v>sales record</v>
      </c>
      <c r="AC4433" t="s">
        <v>3</v>
      </c>
      <c r="AD4433">
        <v>41.794243</v>
      </c>
      <c r="AE4433">
        <v>-88.219072</v>
      </c>
      <c r="AF4433" s="5" t="str">
        <f>HYPERLINK("https://www.google.com/maps/search/?api=1&amp;query=41.794243,-88.219072","map")</f>
        <v>map</v>
      </c>
    </row>
    <row r="4434" spans="1:32">
      <c r="A4434" t="s">
        <v>4484</v>
      </c>
      <c r="B4434" t="s">
        <v>12017</v>
      </c>
      <c r="C4434" t="s">
        <v>15748</v>
      </c>
      <c r="D4434" t="s">
        <v>16206</v>
      </c>
      <c r="E4434" t="s">
        <v>16218</v>
      </c>
      <c r="F4434" t="s">
        <v>16221</v>
      </c>
      <c r="G4434" t="s">
        <v>16277</v>
      </c>
      <c r="H4434" t="s">
        <v>16277</v>
      </c>
      <c r="I4434" t="s">
        <v>16353</v>
      </c>
      <c r="J4434" t="s">
        <v>16386</v>
      </c>
      <c r="K4434">
        <v>0.186</v>
      </c>
      <c r="L4434">
        <v>8101</v>
      </c>
      <c r="M4434">
        <v>1286</v>
      </c>
      <c r="N4434" t="s">
        <v>16393</v>
      </c>
      <c r="O4434" s="4">
        <v>131628</v>
      </c>
      <c r="P4434" s="4">
        <v>55653</v>
      </c>
      <c r="Q4434" s="4">
        <v>187281</v>
      </c>
      <c r="R4434" s="4">
        <v>561843</v>
      </c>
      <c r="S4434" t="s">
        <v>20733</v>
      </c>
      <c r="T4434" s="6">
        <v>45534</v>
      </c>
      <c r="U4434" s="4">
        <v>525000</v>
      </c>
      <c r="V4434" t="s">
        <v>23739</v>
      </c>
      <c r="W4434" t="s">
        <v>26104</v>
      </c>
      <c r="X4434" t="s">
        <v>3</v>
      </c>
      <c r="AA4434" s="5" t="str">
        <f>HYPERLINK("https://www.zillow.com/homes/337-N-SLEIGHT-ST-NAPERVILLE-IL-605404743_rb/","check listing")</f>
        <v>check listing</v>
      </c>
      <c r="AB4434" s="5" t="str">
        <f>HYPERLINK("https://propertylookup.dupagecounty.gov/Datalets/Datalet.aspx?UseSearch=no&amp;mode=sales&amp;pin=0818136016","sales record")</f>
        <v>sales record</v>
      </c>
      <c r="AC4434" t="s">
        <v>3</v>
      </c>
      <c r="AD4434">
        <v>41.779399</v>
      </c>
      <c r="AE4434">
        <v>-88.140942</v>
      </c>
      <c r="AF4434" s="5" t="str">
        <f>HYPERLINK("https://www.google.com/maps/search/?api=1&amp;query=41.779399,-88.140942","map")</f>
        <v>map</v>
      </c>
    </row>
    <row r="4435" spans="1:32">
      <c r="A4435" t="s">
        <v>4485</v>
      </c>
      <c r="B4435" t="s">
        <v>12018</v>
      </c>
      <c r="C4435" t="s">
        <v>15749</v>
      </c>
      <c r="D4435" t="s">
        <v>16206</v>
      </c>
      <c r="E4435" t="s">
        <v>16218</v>
      </c>
      <c r="F4435" t="s">
        <v>16221</v>
      </c>
      <c r="G4435" t="s">
        <v>16277</v>
      </c>
      <c r="H4435" t="s">
        <v>16277</v>
      </c>
      <c r="I4435" t="s">
        <v>16353</v>
      </c>
      <c r="J4435" t="s">
        <v>16386</v>
      </c>
      <c r="K4435">
        <v>0.186</v>
      </c>
      <c r="L4435">
        <v>8097</v>
      </c>
      <c r="M4435">
        <v>2903</v>
      </c>
      <c r="N4435" t="s">
        <v>16393</v>
      </c>
      <c r="O4435" s="4">
        <v>119856</v>
      </c>
      <c r="P4435" s="4">
        <v>85738</v>
      </c>
      <c r="Q4435" s="4">
        <v>205594</v>
      </c>
      <c r="R4435" s="4">
        <v>616782</v>
      </c>
      <c r="S4435" t="s">
        <v>20734</v>
      </c>
      <c r="T4435" s="6">
        <v>44501</v>
      </c>
      <c r="U4435" s="4">
        <v>505000</v>
      </c>
      <c r="V4435" t="s">
        <v>23739</v>
      </c>
      <c r="W4435" t="s">
        <v>26105</v>
      </c>
      <c r="X4435" t="s">
        <v>3</v>
      </c>
      <c r="AA4435" s="5" t="str">
        <f>HYPERLINK("https://www.zillow.com/homes/730-E-BENTON-AVE-NAPERVILLE-IL-605404803_rb/","check listing")</f>
        <v>check listing</v>
      </c>
      <c r="AB4435" s="5" t="str">
        <f>HYPERLINK("https://propertylookup.dupagecounty.gov/Datalets/Datalet.aspx?UseSearch=no&amp;mode=sales&amp;pin=0818408006","sales record")</f>
        <v>sales record</v>
      </c>
      <c r="AC4435" t="s">
        <v>3</v>
      </c>
      <c r="AD4435">
        <v>41.774663</v>
      </c>
      <c r="AE4435">
        <v>-88.137074</v>
      </c>
      <c r="AF4435" s="5" t="str">
        <f>HYPERLINK("https://www.google.com/maps/search/?api=1&amp;query=41.774663,-88.137074","map")</f>
        <v>map</v>
      </c>
    </row>
    <row r="4436" spans="1:32">
      <c r="A4436" t="s">
        <v>4486</v>
      </c>
      <c r="B4436" t="s">
        <v>12019</v>
      </c>
      <c r="C4436" t="s">
        <v>15689</v>
      </c>
      <c r="D4436" t="s">
        <v>16206</v>
      </c>
      <c r="E4436" t="s">
        <v>16218</v>
      </c>
      <c r="F4436" t="s">
        <v>16221</v>
      </c>
      <c r="G4436" t="s">
        <v>16278</v>
      </c>
      <c r="H4436" t="s">
        <v>16277</v>
      </c>
      <c r="I4436" t="s">
        <v>16353</v>
      </c>
      <c r="J4436" t="s">
        <v>16386</v>
      </c>
      <c r="K4436">
        <v>0.186</v>
      </c>
      <c r="L4436">
        <v>8093</v>
      </c>
      <c r="N4436" t="s">
        <v>16393</v>
      </c>
      <c r="O4436" s="4">
        <v>62979</v>
      </c>
      <c r="P4436" s="4">
        <v>181930</v>
      </c>
      <c r="Q4436" s="4">
        <v>244909</v>
      </c>
      <c r="R4436" s="4">
        <v>734727</v>
      </c>
      <c r="S4436" t="s">
        <v>20735</v>
      </c>
      <c r="T4436" s="6">
        <v>43709</v>
      </c>
      <c r="U4436" s="4">
        <v>538733</v>
      </c>
      <c r="V4436" t="s">
        <v>16232</v>
      </c>
      <c r="W4436" t="s">
        <v>26106</v>
      </c>
      <c r="X4436" t="s">
        <v>3</v>
      </c>
      <c r="AA4436" s="5" t="str">
        <f>HYPERLINK("https://www.zillow.com/homes/1536-BAYOU-PATH-DR-NAPERVILLE-IL-605633490_rb/","check listing")</f>
        <v>check listing</v>
      </c>
      <c r="AB4436" s="5" t="str">
        <f>HYPERLINK("https://propertylookup.dupagecounty.gov/Datalets/Datalet.aspx?UseSearch=no&amp;mode=sales&amp;pin=0709105041","sales record")</f>
        <v>sales record</v>
      </c>
      <c r="AC4436" t="s">
        <v>3</v>
      </c>
      <c r="AD4436">
        <v>41.793226</v>
      </c>
      <c r="AE4436">
        <v>-88.21852199999999</v>
      </c>
      <c r="AF4436" s="5" t="str">
        <f>HYPERLINK("https://www.google.com/maps/search/?api=1&amp;query=41.793226,-88.218522","map")</f>
        <v>map</v>
      </c>
    </row>
    <row r="4437" spans="1:32">
      <c r="A4437" t="s">
        <v>4487</v>
      </c>
      <c r="B4437" t="s">
        <v>12020</v>
      </c>
      <c r="C4437" t="s">
        <v>15475</v>
      </c>
      <c r="D4437" t="s">
        <v>16206</v>
      </c>
      <c r="E4437" t="s">
        <v>16218</v>
      </c>
      <c r="F4437" t="s">
        <v>16221</v>
      </c>
      <c r="G4437" t="s">
        <v>16277</v>
      </c>
      <c r="H4437" t="s">
        <v>16277</v>
      </c>
      <c r="I4437" t="s">
        <v>16353</v>
      </c>
      <c r="J4437" t="s">
        <v>16386</v>
      </c>
      <c r="K4437">
        <v>0.186</v>
      </c>
      <c r="L4437">
        <v>8089</v>
      </c>
      <c r="M4437">
        <v>4122</v>
      </c>
      <c r="N4437" t="s">
        <v>16393</v>
      </c>
      <c r="O4437" s="4">
        <v>92711</v>
      </c>
      <c r="P4437" s="4">
        <v>268502</v>
      </c>
      <c r="Q4437" s="4">
        <v>361213</v>
      </c>
      <c r="R4437" s="4">
        <v>1083639</v>
      </c>
      <c r="S4437" t="s">
        <v>20736</v>
      </c>
      <c r="T4437" s="6">
        <v>45891</v>
      </c>
      <c r="U4437" s="4">
        <v>1425000</v>
      </c>
      <c r="V4437" t="s">
        <v>23739</v>
      </c>
      <c r="W4437" t="s">
        <v>26107</v>
      </c>
      <c r="X4437" t="s">
        <v>3</v>
      </c>
      <c r="AA4437" s="5" t="str">
        <f>HYPERLINK("https://www.zillow.com/homes/520-S-MAIN-ST-NAPERVILLE-IL-60540_rb/","check listing")</f>
        <v>check listing</v>
      </c>
      <c r="AB4437" s="5" t="str">
        <f>HYPERLINK("https://propertylookup.dupagecounty.gov/Datalets/Datalet.aspx?UseSearch=no&amp;mode=sales&amp;pin=0724204003","sales record")</f>
        <v>sales record</v>
      </c>
      <c r="AC4437" t="s">
        <v>3</v>
      </c>
      <c r="AD4437">
        <v>41.769279</v>
      </c>
      <c r="AE4437">
        <v>-88.149327</v>
      </c>
      <c r="AF4437" s="5" t="str">
        <f>HYPERLINK("https://www.google.com/maps/search/?api=1&amp;query=41.769279,-88.149327","map")</f>
        <v>map</v>
      </c>
    </row>
    <row r="4438" spans="1:32">
      <c r="A4438" t="s">
        <v>4488</v>
      </c>
      <c r="B4438" t="s">
        <v>12021</v>
      </c>
      <c r="C4438" t="s">
        <v>15475</v>
      </c>
      <c r="D4438" t="s">
        <v>16206</v>
      </c>
      <c r="E4438" t="s">
        <v>16218</v>
      </c>
      <c r="F4438" t="s">
        <v>16221</v>
      </c>
      <c r="G4438" t="s">
        <v>16277</v>
      </c>
      <c r="H4438" t="s">
        <v>16277</v>
      </c>
      <c r="I4438" t="s">
        <v>16353</v>
      </c>
      <c r="J4438" t="s">
        <v>16386</v>
      </c>
      <c r="K4438">
        <v>0.186</v>
      </c>
      <c r="L4438">
        <v>8087</v>
      </c>
      <c r="M4438">
        <v>1560</v>
      </c>
      <c r="N4438" t="s">
        <v>16393</v>
      </c>
      <c r="O4438" s="4">
        <v>119294</v>
      </c>
      <c r="P4438" s="4">
        <v>57340</v>
      </c>
      <c r="Q4438" s="4">
        <v>176634</v>
      </c>
      <c r="R4438" s="4">
        <v>529902</v>
      </c>
      <c r="S4438" t="s">
        <v>20737</v>
      </c>
      <c r="T4438" s="6">
        <v>33635</v>
      </c>
      <c r="U4438" s="4">
        <v>135000</v>
      </c>
      <c r="X4438" t="s">
        <v>3</v>
      </c>
      <c r="AA4438" s="5" t="str">
        <f>HYPERLINK("https://www.zillow.com/homes/630-DOUGLAS-AVE-NAPERVILLE-IL-60540_rb/","check listing")</f>
        <v>check listing</v>
      </c>
      <c r="AB4438" s="5" t="str">
        <f>HYPERLINK("https://propertylookup.dupagecounty.gov/Datalets/Datalet.aspx?UseSearch=no&amp;mode=sales&amp;pin=0713107001","sales record")</f>
        <v>sales record</v>
      </c>
      <c r="AC4438" t="s">
        <v>3</v>
      </c>
      <c r="AD4438">
        <v>41.777331</v>
      </c>
      <c r="AE4438">
        <v>-88.15840900000001</v>
      </c>
      <c r="AF4438" s="5" t="str">
        <f>HYPERLINK("https://www.google.com/maps/search/?api=1&amp;query=41.777331,-88.158409","map")</f>
        <v>map</v>
      </c>
    </row>
    <row r="4439" spans="1:32">
      <c r="A4439" t="s">
        <v>4489</v>
      </c>
      <c r="B4439" t="s">
        <v>12022</v>
      </c>
      <c r="C4439" t="s">
        <v>15475</v>
      </c>
      <c r="D4439" t="s">
        <v>16206</v>
      </c>
      <c r="E4439" t="s">
        <v>16218</v>
      </c>
      <c r="F4439" t="s">
        <v>16221</v>
      </c>
      <c r="G4439" t="s">
        <v>16277</v>
      </c>
      <c r="H4439" t="s">
        <v>16277</v>
      </c>
      <c r="I4439" t="s">
        <v>16353</v>
      </c>
      <c r="J4439" t="s">
        <v>16386</v>
      </c>
      <c r="K4439">
        <v>0.186</v>
      </c>
      <c r="L4439">
        <v>8086</v>
      </c>
      <c r="M4439">
        <v>2572</v>
      </c>
      <c r="N4439" t="s">
        <v>16393</v>
      </c>
      <c r="O4439" s="4">
        <v>103060</v>
      </c>
      <c r="P4439" s="4">
        <v>295475</v>
      </c>
      <c r="Q4439" s="4">
        <v>398535</v>
      </c>
      <c r="R4439" s="4">
        <v>1195605</v>
      </c>
      <c r="S4439" t="s">
        <v>20738</v>
      </c>
      <c r="T4439" s="6">
        <v>42339</v>
      </c>
      <c r="U4439" s="4">
        <v>799900</v>
      </c>
      <c r="V4439" t="s">
        <v>23740</v>
      </c>
      <c r="W4439" t="s">
        <v>26108</v>
      </c>
      <c r="X4439" t="s">
        <v>3</v>
      </c>
      <c r="AA4439" s="5" t="str">
        <f>HYPERLINK("https://www.zillow.com/homes/48-S-MILL-ST-NAPERVILLE-IL-60540_rb/","check listing")</f>
        <v>check listing</v>
      </c>
      <c r="AB4439" s="5" t="str">
        <f>HYPERLINK("https://propertylookup.dupagecounty.gov/Datalets/Datalet.aspx?UseSearch=no&amp;mode=sales&amp;pin=0713416027","sales record")</f>
        <v>sales record</v>
      </c>
      <c r="AC4439" t="s">
        <v>3</v>
      </c>
      <c r="AD4439">
        <v>41.773547</v>
      </c>
      <c r="AE4439">
        <v>-88.15433299999999</v>
      </c>
      <c r="AF4439" s="5" t="str">
        <f>HYPERLINK("https://www.google.com/maps/search/?api=1&amp;query=41.773547,-88.154333","map")</f>
        <v>map</v>
      </c>
    </row>
    <row r="4440" spans="1:32">
      <c r="A4440" t="s">
        <v>4490</v>
      </c>
      <c r="B4440" t="s">
        <v>12023</v>
      </c>
      <c r="C4440" t="s">
        <v>15475</v>
      </c>
      <c r="D4440" t="s">
        <v>16206</v>
      </c>
      <c r="E4440" t="s">
        <v>16218</v>
      </c>
      <c r="F4440" t="s">
        <v>16221</v>
      </c>
      <c r="G4440" t="s">
        <v>16277</v>
      </c>
      <c r="H4440" t="s">
        <v>16277</v>
      </c>
      <c r="I4440" t="s">
        <v>16353</v>
      </c>
      <c r="J4440" t="s">
        <v>16386</v>
      </c>
      <c r="K4440">
        <v>0.185</v>
      </c>
      <c r="L4440">
        <v>8077</v>
      </c>
      <c r="M4440">
        <v>2881</v>
      </c>
      <c r="N4440" t="s">
        <v>16393</v>
      </c>
      <c r="O4440" s="4">
        <v>118366</v>
      </c>
      <c r="P4440" s="4">
        <v>63370</v>
      </c>
      <c r="Q4440" s="4">
        <v>181736</v>
      </c>
      <c r="R4440" s="4">
        <v>545208</v>
      </c>
      <c r="S4440" t="s">
        <v>20739</v>
      </c>
      <c r="T4440" s="6">
        <v>32843</v>
      </c>
      <c r="U4440" s="4">
        <v>95000</v>
      </c>
      <c r="X4440" t="s">
        <v>3</v>
      </c>
      <c r="AA4440" s="5" t="str">
        <f>HYPERLINK("https://www.zillow.com/homes/243-SPRING-ST-NAPERVILLE-IL-60540_rb/","check listing")</f>
        <v>check listing</v>
      </c>
      <c r="AB4440" s="5" t="str">
        <f>HYPERLINK("https://propertylookup.dupagecounty.gov/Datalets/Datalet.aspx?UseSearch=no&amp;mode=sales&amp;pin=0713217022","sales record")</f>
        <v>sales record</v>
      </c>
      <c r="AC4440" t="s">
        <v>27873</v>
      </c>
      <c r="AD4440">
        <v>41.77872</v>
      </c>
      <c r="AE4440">
        <v>-88.15255000000001</v>
      </c>
      <c r="AF4440" s="5" t="str">
        <f>HYPERLINK("https://www.google.com/maps/search/?api=1&amp;query=41.77872,-88.15255","map")</f>
        <v>map</v>
      </c>
    </row>
    <row r="4441" spans="1:32">
      <c r="A4441" t="s">
        <v>4491</v>
      </c>
      <c r="B4441" t="s">
        <v>12024</v>
      </c>
      <c r="C4441" t="s">
        <v>15475</v>
      </c>
      <c r="D4441" t="s">
        <v>16206</v>
      </c>
      <c r="E4441" t="s">
        <v>16218</v>
      </c>
      <c r="F4441" t="s">
        <v>16221</v>
      </c>
      <c r="G4441" t="s">
        <v>16277</v>
      </c>
      <c r="H4441" t="s">
        <v>16277</v>
      </c>
      <c r="I4441" t="s">
        <v>16353</v>
      </c>
      <c r="J4441" t="s">
        <v>16386</v>
      </c>
      <c r="K4441">
        <v>0.185</v>
      </c>
      <c r="L4441">
        <v>8071</v>
      </c>
      <c r="M4441">
        <v>1055</v>
      </c>
      <c r="N4441" t="s">
        <v>16393</v>
      </c>
      <c r="O4441" s="4">
        <v>135671</v>
      </c>
      <c r="P4441" s="4">
        <v>83289</v>
      </c>
      <c r="Q4441" s="4">
        <v>218960</v>
      </c>
      <c r="R4441" s="4">
        <v>656880</v>
      </c>
      <c r="S4441" t="s">
        <v>20740</v>
      </c>
      <c r="X4441" t="s">
        <v>3</v>
      </c>
      <c r="AA4441" s="5" t="str">
        <f>HYPERLINK("https://www.zillow.com/homes/125-S-BRAINARD-ST-NAPERVILLE-IL-60540_rb/","check listing")</f>
        <v>check listing</v>
      </c>
      <c r="AB4441" s="5" t="str">
        <f>HYPERLINK("https://propertylookup.dupagecounty.gov/Datalets/Datalet.aspx?UseSearch=no&amp;mode=sales&amp;pin=0818319014","sales record")</f>
        <v>sales record</v>
      </c>
      <c r="AC4441" t="s">
        <v>3</v>
      </c>
      <c r="AD4441">
        <v>41.773325</v>
      </c>
      <c r="AE4441">
        <v>-88.144188</v>
      </c>
      <c r="AF4441" s="5" t="str">
        <f>HYPERLINK("https://www.google.com/maps/search/?api=1&amp;query=41.773325,-88.144188","map")</f>
        <v>map</v>
      </c>
    </row>
    <row r="4442" spans="1:32">
      <c r="A4442" t="s">
        <v>4492</v>
      </c>
      <c r="B4442" t="s">
        <v>12025</v>
      </c>
      <c r="C4442" t="s">
        <v>15478</v>
      </c>
      <c r="D4442" t="s">
        <v>16206</v>
      </c>
      <c r="E4442" t="s">
        <v>16218</v>
      </c>
      <c r="F4442" t="s">
        <v>16221</v>
      </c>
      <c r="G4442" t="s">
        <v>16278</v>
      </c>
      <c r="H4442" t="s">
        <v>16277</v>
      </c>
      <c r="I4442" t="s">
        <v>16353</v>
      </c>
      <c r="J4442" t="s">
        <v>16386</v>
      </c>
      <c r="K4442">
        <v>0.185</v>
      </c>
      <c r="L4442">
        <v>8066</v>
      </c>
      <c r="N4442" t="s">
        <v>16393</v>
      </c>
      <c r="O4442" s="4">
        <v>69288</v>
      </c>
      <c r="P4442" s="4">
        <v>191426</v>
      </c>
      <c r="Q4442" s="4">
        <v>260714</v>
      </c>
      <c r="R4442" s="4">
        <v>782142</v>
      </c>
      <c r="S4442" t="s">
        <v>20741</v>
      </c>
      <c r="T4442" s="6">
        <v>42795</v>
      </c>
      <c r="U4442" s="4">
        <v>574906</v>
      </c>
      <c r="V4442" t="s">
        <v>16232</v>
      </c>
      <c r="W4442" t="s">
        <v>26109</v>
      </c>
      <c r="X4442" t="s">
        <v>3</v>
      </c>
      <c r="AA4442" s="5" t="str">
        <f>HYPERLINK("https://www.zillow.com/homes/1579-BAYOU-PATH-DR-NAPERVILLE-IL-60563_rb/","check listing")</f>
        <v>check listing</v>
      </c>
      <c r="AB4442" s="5" t="str">
        <f>HYPERLINK("https://propertylookup.dupagecounty.gov/Datalets/Datalet.aspx?UseSearch=no&amp;mode=sales&amp;pin=0709114013","sales record")</f>
        <v>sales record</v>
      </c>
      <c r="AC4442" t="s">
        <v>3</v>
      </c>
      <c r="AD4442">
        <v>41.795235</v>
      </c>
      <c r="AE4442">
        <v>-88.218908</v>
      </c>
      <c r="AF4442" s="5" t="str">
        <f>HYPERLINK("https://www.google.com/maps/search/?api=1&amp;query=41.795235,-88.218908","map")</f>
        <v>map</v>
      </c>
    </row>
    <row r="4443" spans="1:32">
      <c r="A4443" t="s">
        <v>4493</v>
      </c>
      <c r="B4443" t="s">
        <v>12026</v>
      </c>
      <c r="C4443" t="s">
        <v>15750</v>
      </c>
      <c r="D4443" t="s">
        <v>16206</v>
      </c>
      <c r="E4443" t="s">
        <v>16218</v>
      </c>
      <c r="F4443" t="s">
        <v>16221</v>
      </c>
      <c r="G4443" t="s">
        <v>16277</v>
      </c>
      <c r="H4443" t="s">
        <v>16277</v>
      </c>
      <c r="I4443" t="s">
        <v>16353</v>
      </c>
      <c r="J4443" t="s">
        <v>16386</v>
      </c>
      <c r="K4443">
        <v>0.185</v>
      </c>
      <c r="L4443">
        <v>8064</v>
      </c>
      <c r="M4443">
        <v>2827</v>
      </c>
      <c r="N4443" t="s">
        <v>16393</v>
      </c>
      <c r="O4443" s="4">
        <v>113606</v>
      </c>
      <c r="P4443" s="4">
        <v>177243</v>
      </c>
      <c r="Q4443" s="4">
        <v>290849</v>
      </c>
      <c r="R4443" s="4">
        <v>872547</v>
      </c>
      <c r="S4443" t="s">
        <v>20742</v>
      </c>
      <c r="T4443" s="6">
        <v>34060</v>
      </c>
      <c r="U4443" s="4">
        <v>55000</v>
      </c>
      <c r="X4443" t="s">
        <v>3</v>
      </c>
      <c r="AA4443" s="5" t="str">
        <f>HYPERLINK("https://www.zillow.com/homes/128-N-FREMONT-ST-NAPERVILLE-IL-605404300_rb/","check listing")</f>
        <v>check listing</v>
      </c>
      <c r="AB4443" s="5" t="str">
        <f>HYPERLINK("https://propertylookup.dupagecounty.gov/Datalets/Datalet.aspx?UseSearch=no&amp;mode=sales&amp;pin=0713107002","sales record")</f>
        <v>sales record</v>
      </c>
      <c r="AC4443" t="s">
        <v>3</v>
      </c>
      <c r="AD4443">
        <v>41.777197</v>
      </c>
      <c r="AE4443">
        <v>-88.15843099999999</v>
      </c>
      <c r="AF4443" s="5" t="str">
        <f>HYPERLINK("https://www.google.com/maps/search/?api=1&amp;query=41.777197,-88.158431","map")</f>
        <v>map</v>
      </c>
    </row>
    <row r="4444" spans="1:32">
      <c r="A4444" t="s">
        <v>4494</v>
      </c>
      <c r="B4444" t="s">
        <v>12027</v>
      </c>
      <c r="C4444" t="s">
        <v>15475</v>
      </c>
      <c r="D4444" t="s">
        <v>16206</v>
      </c>
      <c r="E4444" t="s">
        <v>16218</v>
      </c>
      <c r="F4444" t="s">
        <v>16221</v>
      </c>
      <c r="G4444" t="s">
        <v>16278</v>
      </c>
      <c r="H4444" t="s">
        <v>16277</v>
      </c>
      <c r="I4444" t="s">
        <v>16353</v>
      </c>
      <c r="J4444" t="s">
        <v>16386</v>
      </c>
      <c r="K4444">
        <v>0.185</v>
      </c>
      <c r="L4444">
        <v>8061</v>
      </c>
      <c r="N4444" t="s">
        <v>16393</v>
      </c>
      <c r="O4444" s="4">
        <v>62979</v>
      </c>
      <c r="P4444" s="4">
        <v>150136</v>
      </c>
      <c r="Q4444" s="4">
        <v>213115</v>
      </c>
      <c r="R4444" s="4">
        <v>639345</v>
      </c>
      <c r="S4444" t="s">
        <v>20743</v>
      </c>
      <c r="T4444" s="6">
        <v>43374</v>
      </c>
      <c r="U4444" s="4">
        <v>480840</v>
      </c>
      <c r="V4444" t="s">
        <v>16232</v>
      </c>
      <c r="W4444" t="s">
        <v>26110</v>
      </c>
      <c r="X4444" t="s">
        <v>3</v>
      </c>
      <c r="AA4444" s="5" t="str">
        <f>HYPERLINK("https://www.zillow.com/homes/2563-SILVER-LOCH-RD-NAPERVILLE-IL-60540_rb/","check listing")</f>
        <v>check listing</v>
      </c>
      <c r="AB4444" s="5" t="str">
        <f>HYPERLINK("https://propertylookup.dupagecounty.gov/Datalets/Datalet.aspx?UseSearch=no&amp;mode=sales&amp;pin=0709110022","sales record")</f>
        <v>sales record</v>
      </c>
      <c r="AC4444" t="s">
        <v>3</v>
      </c>
      <c r="AD4444">
        <v>41.794345</v>
      </c>
      <c r="AE4444">
        <v>-88.224172</v>
      </c>
      <c r="AF4444" s="5" t="str">
        <f>HYPERLINK("https://www.google.com/maps/search/?api=1&amp;query=41.794345,-88.224172","map")</f>
        <v>map</v>
      </c>
    </row>
    <row r="4445" spans="1:32">
      <c r="A4445" t="s">
        <v>4495</v>
      </c>
      <c r="B4445" t="s">
        <v>12028</v>
      </c>
      <c r="C4445" t="s">
        <v>15699</v>
      </c>
      <c r="D4445" t="s">
        <v>16206</v>
      </c>
      <c r="E4445" t="s">
        <v>16218</v>
      </c>
      <c r="F4445" t="s">
        <v>16221</v>
      </c>
      <c r="G4445" t="s">
        <v>16277</v>
      </c>
      <c r="H4445" t="s">
        <v>16277</v>
      </c>
      <c r="I4445" t="s">
        <v>16353</v>
      </c>
      <c r="J4445" t="s">
        <v>16386</v>
      </c>
      <c r="K4445">
        <v>0.185</v>
      </c>
      <c r="L4445">
        <v>8061</v>
      </c>
      <c r="M4445">
        <v>2895</v>
      </c>
      <c r="N4445" t="s">
        <v>16393</v>
      </c>
      <c r="O4445" s="4">
        <v>92711</v>
      </c>
      <c r="P4445" s="4">
        <v>172483</v>
      </c>
      <c r="Q4445" s="4">
        <v>265194</v>
      </c>
      <c r="R4445" s="4">
        <v>795582</v>
      </c>
      <c r="S4445" t="s">
        <v>20744</v>
      </c>
      <c r="T4445" s="6">
        <v>43678</v>
      </c>
      <c r="U4445" s="4">
        <v>567000</v>
      </c>
      <c r="V4445" t="s">
        <v>23739</v>
      </c>
      <c r="W4445" t="s">
        <v>26111</v>
      </c>
      <c r="X4445" t="s">
        <v>3</v>
      </c>
      <c r="AA4445" s="5" t="str">
        <f>HYPERLINK("https://www.zillow.com/homes/524-S-MAIN-ST-NAPERVILLE-IL-605406511_rb/","check listing")</f>
        <v>check listing</v>
      </c>
      <c r="AB4445" s="5" t="str">
        <f>HYPERLINK("https://propertylookup.dupagecounty.gov/Datalets/Datalet.aspx?UseSearch=no&amp;mode=sales&amp;pin=0724204004","sales record")</f>
        <v>sales record</v>
      </c>
      <c r="AC4445" t="s">
        <v>3</v>
      </c>
      <c r="AD4445">
        <v>41.769139</v>
      </c>
      <c r="AE4445">
        <v>-88.14933600000001</v>
      </c>
      <c r="AF4445" s="5" t="str">
        <f>HYPERLINK("https://www.google.com/maps/search/?api=1&amp;query=41.769139,-88.149336","map")</f>
        <v>map</v>
      </c>
    </row>
    <row r="4446" spans="1:32">
      <c r="A4446" t="s">
        <v>4496</v>
      </c>
      <c r="B4446" t="s">
        <v>12029</v>
      </c>
      <c r="C4446" t="s">
        <v>15662</v>
      </c>
      <c r="D4446" t="s">
        <v>16206</v>
      </c>
      <c r="E4446" t="s">
        <v>16218</v>
      </c>
      <c r="F4446" t="s">
        <v>16221</v>
      </c>
      <c r="G4446" t="s">
        <v>16278</v>
      </c>
      <c r="H4446" t="s">
        <v>16277</v>
      </c>
      <c r="I4446" t="s">
        <v>16353</v>
      </c>
      <c r="J4446" t="s">
        <v>16386</v>
      </c>
      <c r="K4446">
        <v>0.185</v>
      </c>
      <c r="L4446">
        <v>8056</v>
      </c>
      <c r="N4446" t="s">
        <v>16393</v>
      </c>
      <c r="O4446" s="4">
        <v>56146</v>
      </c>
      <c r="P4446" s="4">
        <v>240498</v>
      </c>
      <c r="Q4446" s="4">
        <v>296644</v>
      </c>
      <c r="R4446" s="4">
        <v>889932</v>
      </c>
      <c r="S4446" t="s">
        <v>20745</v>
      </c>
      <c r="T4446" s="6">
        <v>45362</v>
      </c>
      <c r="U4446" s="4">
        <v>781012</v>
      </c>
      <c r="V4446" t="s">
        <v>23743</v>
      </c>
      <c r="W4446" t="s">
        <v>26112</v>
      </c>
      <c r="X4446" t="s">
        <v>3</v>
      </c>
      <c r="AA4446" s="5" t="str">
        <f>HYPERLINK("https://www.zillow.com/homes/2428-LUCENT-LN-NAPERVILLE-IL-605631594_rb/","check listing")</f>
        <v>check listing</v>
      </c>
      <c r="AB4446" s="5" t="str">
        <f>HYPERLINK("https://propertylookup.dupagecounty.gov/Datalets/Datalet.aspx?UseSearch=no&amp;mode=sales&amp;pin=0532303001","sales record")</f>
        <v>sales record</v>
      </c>
      <c r="AC4446" t="s">
        <v>3</v>
      </c>
      <c r="AD4446">
        <v>41.818567</v>
      </c>
      <c r="AE4446">
        <v>-88.121278</v>
      </c>
      <c r="AF4446" s="5" t="str">
        <f>HYPERLINK("https://www.google.com/maps/search/?api=1&amp;query=41.818567,-88.121278","map")</f>
        <v>map</v>
      </c>
    </row>
    <row r="4447" spans="1:32">
      <c r="A4447" t="s">
        <v>4497</v>
      </c>
      <c r="B4447" t="s">
        <v>12030</v>
      </c>
      <c r="C4447" t="s">
        <v>15475</v>
      </c>
      <c r="D4447" t="s">
        <v>16206</v>
      </c>
      <c r="E4447" t="s">
        <v>16218</v>
      </c>
      <c r="F4447" t="s">
        <v>16221</v>
      </c>
      <c r="G4447" t="s">
        <v>16277</v>
      </c>
      <c r="H4447" t="s">
        <v>16277</v>
      </c>
      <c r="I4447" t="s">
        <v>16353</v>
      </c>
      <c r="J4447" t="s">
        <v>16386</v>
      </c>
      <c r="K4447">
        <v>0.185</v>
      </c>
      <c r="L4447">
        <v>8055</v>
      </c>
      <c r="M4447">
        <v>2293</v>
      </c>
      <c r="N4447" t="s">
        <v>16393</v>
      </c>
      <c r="O4447" s="4">
        <v>119818</v>
      </c>
      <c r="P4447" s="4">
        <v>68349</v>
      </c>
      <c r="Q4447" s="4">
        <v>188167</v>
      </c>
      <c r="R4447" s="4">
        <v>564501</v>
      </c>
      <c r="S4447" t="s">
        <v>20746</v>
      </c>
      <c r="X4447" t="s">
        <v>3</v>
      </c>
      <c r="AA4447" s="5" t="str">
        <f>HYPERLINK("https://www.zillow.com/homes/527-DOUGLAS-AVE-NAPERVILLE-IL-60540_rb/","check listing")</f>
        <v>check listing</v>
      </c>
      <c r="AB4447" s="5" t="str">
        <f>HYPERLINK("https://propertylookup.dupagecounty.gov/Datalets/Datalet.aspx?UseSearch=no&amp;mode=sales&amp;pin=0713220006","sales record")</f>
        <v>sales record</v>
      </c>
      <c r="AC4447" t="s">
        <v>3</v>
      </c>
      <c r="AD4447">
        <v>41.777641</v>
      </c>
      <c r="AE4447">
        <v>-88.157062</v>
      </c>
      <c r="AF4447" s="5" t="str">
        <f>HYPERLINK("https://www.google.com/maps/search/?api=1&amp;query=41.777641,-88.157062","map")</f>
        <v>map</v>
      </c>
    </row>
    <row r="4448" spans="1:32">
      <c r="A4448" t="s">
        <v>4498</v>
      </c>
      <c r="B4448" t="s">
        <v>12031</v>
      </c>
      <c r="C4448" t="s">
        <v>15662</v>
      </c>
      <c r="D4448" t="s">
        <v>16206</v>
      </c>
      <c r="E4448" t="s">
        <v>16218</v>
      </c>
      <c r="F4448" t="s">
        <v>16221</v>
      </c>
      <c r="G4448" t="s">
        <v>16278</v>
      </c>
      <c r="H4448" t="s">
        <v>16277</v>
      </c>
      <c r="I4448" t="s">
        <v>16353</v>
      </c>
      <c r="J4448" t="s">
        <v>16386</v>
      </c>
      <c r="K4448">
        <v>0.185</v>
      </c>
      <c r="L4448">
        <v>8051</v>
      </c>
      <c r="N4448" t="s">
        <v>16393</v>
      </c>
      <c r="O4448" s="4">
        <v>56146</v>
      </c>
      <c r="P4448" s="4">
        <v>249624</v>
      </c>
      <c r="Q4448" s="4">
        <v>305770</v>
      </c>
      <c r="R4448" s="4">
        <v>917310</v>
      </c>
      <c r="S4448" t="s">
        <v>20747</v>
      </c>
      <c r="T4448" s="6">
        <v>45523</v>
      </c>
      <c r="U4448" s="4">
        <v>1064703</v>
      </c>
      <c r="V4448" t="s">
        <v>16232</v>
      </c>
      <c r="W4448" t="s">
        <v>26113</v>
      </c>
      <c r="X4448" t="s">
        <v>3</v>
      </c>
      <c r="AA4448" s="5" t="str">
        <f>HYPERLINK("https://www.zillow.com/homes/2611-WEATHERBEE-CT-NAPERVILLE-IL-605631594_rb/","check listing")</f>
        <v>check listing</v>
      </c>
      <c r="AB4448" s="5" t="str">
        <f>HYPERLINK("https://propertylookup.dupagecounty.gov/Datalets/Datalet.aspx?UseSearch=no&amp;mode=sales&amp;pin=0532300052","sales record")</f>
        <v>sales record</v>
      </c>
      <c r="AC4448" t="s">
        <v>3</v>
      </c>
      <c r="AD4448">
        <v>41.820834</v>
      </c>
      <c r="AE4448">
        <v>-88.124655</v>
      </c>
      <c r="AF4448" s="5" t="str">
        <f>HYPERLINK("https://www.google.com/maps/search/?api=1&amp;query=41.820834,-88.124655","map")</f>
        <v>map</v>
      </c>
    </row>
    <row r="4449" spans="1:32">
      <c r="A4449" t="s">
        <v>4499</v>
      </c>
      <c r="B4449" t="s">
        <v>12032</v>
      </c>
      <c r="C4449" t="s">
        <v>15475</v>
      </c>
      <c r="D4449" t="s">
        <v>16206</v>
      </c>
      <c r="E4449" t="s">
        <v>16218</v>
      </c>
      <c r="F4449" t="s">
        <v>16221</v>
      </c>
      <c r="G4449" t="s">
        <v>16277</v>
      </c>
      <c r="H4449" t="s">
        <v>16277</v>
      </c>
      <c r="I4449" t="s">
        <v>16353</v>
      </c>
      <c r="J4449" t="s">
        <v>16386</v>
      </c>
      <c r="K4449">
        <v>0.185</v>
      </c>
      <c r="L4449">
        <v>8041</v>
      </c>
      <c r="M4449">
        <v>2561</v>
      </c>
      <c r="N4449" t="s">
        <v>16393</v>
      </c>
      <c r="O4449" s="4">
        <v>115193</v>
      </c>
      <c r="P4449" s="4">
        <v>72694</v>
      </c>
      <c r="Q4449" s="4">
        <v>187887</v>
      </c>
      <c r="R4449" s="4">
        <v>563661</v>
      </c>
      <c r="S4449" t="s">
        <v>20748</v>
      </c>
      <c r="T4449" s="6">
        <v>39934</v>
      </c>
      <c r="U4449" s="4">
        <v>350000</v>
      </c>
      <c r="V4449" t="s">
        <v>23739</v>
      </c>
      <c r="W4449" t="s">
        <v>26114</v>
      </c>
      <c r="X4449" t="s">
        <v>3</v>
      </c>
      <c r="AA4449" s="5" t="str">
        <f>HYPERLINK("https://www.zillow.com/homes/532-S-MAIN-ST-NAPERVILLE-IL-60540_rb/","check listing")</f>
        <v>check listing</v>
      </c>
      <c r="AB4449" s="5" t="str">
        <f>HYPERLINK("https://propertylookup.dupagecounty.gov/Datalets/Datalet.aspx?UseSearch=no&amp;mode=sales&amp;pin=0724204005","sales record")</f>
        <v>sales record</v>
      </c>
      <c r="AC4449" t="s">
        <v>3</v>
      </c>
      <c r="AD4449">
        <v>41.768999</v>
      </c>
      <c r="AE4449">
        <v>-88.149344</v>
      </c>
      <c r="AF4449" s="5" t="str">
        <f>HYPERLINK("https://www.google.com/maps/search/?api=1&amp;query=41.768999,-88.149344","map")</f>
        <v>map</v>
      </c>
    </row>
    <row r="4450" spans="1:32">
      <c r="A4450" t="s">
        <v>4500</v>
      </c>
      <c r="B4450" t="s">
        <v>12033</v>
      </c>
      <c r="C4450" t="s">
        <v>15632</v>
      </c>
      <c r="D4450" t="s">
        <v>16206</v>
      </c>
      <c r="E4450" t="s">
        <v>16218</v>
      </c>
      <c r="F4450" t="s">
        <v>16221</v>
      </c>
      <c r="G4450" t="s">
        <v>16278</v>
      </c>
      <c r="H4450" t="s">
        <v>16277</v>
      </c>
      <c r="I4450" t="s">
        <v>16353</v>
      </c>
      <c r="J4450" t="s">
        <v>16386</v>
      </c>
      <c r="K4450">
        <v>0.185</v>
      </c>
      <c r="L4450">
        <v>8037</v>
      </c>
      <c r="N4450" t="s">
        <v>16393</v>
      </c>
      <c r="O4450" s="4">
        <v>59829</v>
      </c>
      <c r="P4450" s="4">
        <v>172337</v>
      </c>
      <c r="Q4450" s="4">
        <v>232166</v>
      </c>
      <c r="R4450" s="4">
        <v>696498</v>
      </c>
      <c r="S4450" t="s">
        <v>20749</v>
      </c>
      <c r="T4450" s="6">
        <v>45412</v>
      </c>
      <c r="U4450" s="4">
        <v>792000</v>
      </c>
      <c r="V4450" t="s">
        <v>23741</v>
      </c>
      <c r="W4450" t="s">
        <v>26115</v>
      </c>
      <c r="X4450" t="s">
        <v>3</v>
      </c>
      <c r="AA4450" s="5" t="str">
        <f>HYPERLINK("https://www.zillow.com/homes/2555-BASIN-TRAIL-LN-NAPERVILLE-IL-605633593_rb/","check listing")</f>
        <v>check listing</v>
      </c>
      <c r="AB4450" s="5" t="str">
        <f>HYPERLINK("https://propertylookup.dupagecounty.gov/Datalets/Datalet.aspx?UseSearch=no&amp;mode=sales&amp;pin=0709109030","sales record")</f>
        <v>sales record</v>
      </c>
      <c r="AC4450" t="s">
        <v>3</v>
      </c>
      <c r="AD4450">
        <v>41.795443</v>
      </c>
      <c r="AE4450">
        <v>-88.22474699999999</v>
      </c>
      <c r="AF4450" s="5" t="str">
        <f>HYPERLINK("https://www.google.com/maps/search/?api=1&amp;query=41.795443,-88.224747","map")</f>
        <v>map</v>
      </c>
    </row>
    <row r="4451" spans="1:32">
      <c r="A4451" t="s">
        <v>4501</v>
      </c>
      <c r="B4451" t="s">
        <v>12034</v>
      </c>
      <c r="C4451" t="s">
        <v>15662</v>
      </c>
      <c r="D4451" t="s">
        <v>16206</v>
      </c>
      <c r="E4451" t="s">
        <v>16218</v>
      </c>
      <c r="F4451" t="s">
        <v>16221</v>
      </c>
      <c r="G4451" t="s">
        <v>16278</v>
      </c>
      <c r="H4451" t="s">
        <v>16277</v>
      </c>
      <c r="I4451" t="s">
        <v>16353</v>
      </c>
      <c r="J4451" t="s">
        <v>16386</v>
      </c>
      <c r="K4451">
        <v>0.184</v>
      </c>
      <c r="L4451">
        <v>8025</v>
      </c>
      <c r="N4451" t="s">
        <v>16393</v>
      </c>
      <c r="O4451" s="4">
        <v>56141</v>
      </c>
      <c r="P4451" s="4">
        <v>244038</v>
      </c>
      <c r="Q4451" s="4">
        <v>300179</v>
      </c>
      <c r="R4451" s="4">
        <v>900537</v>
      </c>
      <c r="S4451" t="s">
        <v>20750</v>
      </c>
      <c r="T4451" s="6">
        <v>45573</v>
      </c>
      <c r="U4451" s="4">
        <v>1091985</v>
      </c>
      <c r="V4451" t="s">
        <v>16232</v>
      </c>
      <c r="W4451" t="s">
        <v>26116</v>
      </c>
      <c r="X4451" t="s">
        <v>3</v>
      </c>
      <c r="AA4451" s="5" t="str">
        <f>HYPERLINK("https://www.zillow.com/homes/2607-WEATHERBEE-CT-NAPERVILLE-IL-605631594_rb/","check listing")</f>
        <v>check listing</v>
      </c>
      <c r="AB4451" s="5" t="str">
        <f>HYPERLINK("https://propertylookup.dupagecounty.gov/Datalets/Datalet.aspx?UseSearch=no&amp;mode=sales&amp;pin=0532300050","sales record")</f>
        <v>sales record</v>
      </c>
      <c r="AC4451" t="s">
        <v>3</v>
      </c>
      <c r="AD4451">
        <v>41.820651</v>
      </c>
      <c r="AE4451">
        <v>-88.124681</v>
      </c>
      <c r="AF4451" s="5" t="str">
        <f>HYPERLINK("https://www.google.com/maps/search/?api=1&amp;query=41.820651,-88.124681","map")</f>
        <v>map</v>
      </c>
    </row>
    <row r="4452" spans="1:32">
      <c r="A4452" t="s">
        <v>4502</v>
      </c>
      <c r="B4452" t="s">
        <v>12035</v>
      </c>
      <c r="C4452" t="s">
        <v>15648</v>
      </c>
      <c r="D4452" t="s">
        <v>16206</v>
      </c>
      <c r="E4452" t="s">
        <v>16218</v>
      </c>
      <c r="F4452" t="s">
        <v>16221</v>
      </c>
      <c r="G4452" t="s">
        <v>16278</v>
      </c>
      <c r="H4452" t="s">
        <v>16277</v>
      </c>
      <c r="I4452" t="s">
        <v>16353</v>
      </c>
      <c r="J4452" t="s">
        <v>16386</v>
      </c>
      <c r="K4452">
        <v>0.184</v>
      </c>
      <c r="L4452">
        <v>8022</v>
      </c>
      <c r="N4452" t="s">
        <v>16393</v>
      </c>
      <c r="O4452" s="4">
        <v>62979</v>
      </c>
      <c r="P4452" s="4">
        <v>203887</v>
      </c>
      <c r="Q4452" s="4">
        <v>266866</v>
      </c>
      <c r="R4452" s="4">
        <v>800598</v>
      </c>
      <c r="S4452" t="s">
        <v>20751</v>
      </c>
      <c r="T4452" s="6">
        <v>42887</v>
      </c>
      <c r="U4452" s="4">
        <v>575928</v>
      </c>
      <c r="V4452" t="s">
        <v>16232</v>
      </c>
      <c r="W4452" t="s">
        <v>26117</v>
      </c>
      <c r="X4452" t="s">
        <v>3</v>
      </c>
      <c r="AA4452" s="5" t="str">
        <f>HYPERLINK("https://www.zillow.com/homes/1640-ALDERLEAF-LN-NAPERVILLE-IL-605632049_rb/","check listing")</f>
        <v>check listing</v>
      </c>
      <c r="AB4452" s="5" t="str">
        <f>HYPERLINK("https://propertylookup.dupagecounty.gov/Datalets/Datalet.aspx?UseSearch=no&amp;mode=sales&amp;pin=0709102025","sales record")</f>
        <v>sales record</v>
      </c>
      <c r="AC4452" t="s">
        <v>3</v>
      </c>
      <c r="AD4452">
        <v>41.797243</v>
      </c>
      <c r="AE4452">
        <v>-88.21896700000001</v>
      </c>
      <c r="AF4452" s="5" t="str">
        <f>HYPERLINK("https://www.google.com/maps/search/?api=1&amp;query=41.797243,-88.218967","map")</f>
        <v>map</v>
      </c>
    </row>
    <row r="4453" spans="1:32">
      <c r="A4453" t="s">
        <v>4503</v>
      </c>
      <c r="B4453" t="s">
        <v>12036</v>
      </c>
      <c r="C4453" t="s">
        <v>15648</v>
      </c>
      <c r="D4453" t="s">
        <v>16206</v>
      </c>
      <c r="E4453" t="s">
        <v>16218</v>
      </c>
      <c r="F4453" t="s">
        <v>16221</v>
      </c>
      <c r="G4453" t="s">
        <v>16278</v>
      </c>
      <c r="H4453" t="s">
        <v>16277</v>
      </c>
      <c r="I4453" t="s">
        <v>16353</v>
      </c>
      <c r="J4453" t="s">
        <v>16386</v>
      </c>
      <c r="K4453">
        <v>0.184</v>
      </c>
      <c r="L4453">
        <v>8021</v>
      </c>
      <c r="N4453" t="s">
        <v>16393</v>
      </c>
      <c r="O4453" s="4">
        <v>62979</v>
      </c>
      <c r="P4453" s="4">
        <v>193001</v>
      </c>
      <c r="Q4453" s="4">
        <v>255980</v>
      </c>
      <c r="R4453" s="4">
        <v>767940</v>
      </c>
      <c r="S4453" t="s">
        <v>20752</v>
      </c>
      <c r="T4453" s="6">
        <v>42705</v>
      </c>
      <c r="U4453" s="4">
        <v>498391</v>
      </c>
      <c r="V4453" t="s">
        <v>16232</v>
      </c>
      <c r="W4453" t="s">
        <v>26118</v>
      </c>
      <c r="X4453" t="s">
        <v>3</v>
      </c>
      <c r="AA4453" s="5" t="str">
        <f>HYPERLINK("https://www.zillow.com/homes/1644-ALDERLEAF-LN-NAPERVILLE-IL-605632049_rb/","check listing")</f>
        <v>check listing</v>
      </c>
      <c r="AB4453" s="5" t="str">
        <f>HYPERLINK("https://propertylookup.dupagecounty.gov/Datalets/Datalet.aspx?UseSearch=no&amp;mode=sales&amp;pin=0709102024","sales record")</f>
        <v>sales record</v>
      </c>
      <c r="AC4453" t="s">
        <v>3</v>
      </c>
      <c r="AD4453">
        <v>41.797289</v>
      </c>
      <c r="AE4453">
        <v>-88.219205</v>
      </c>
      <c r="AF4453" s="5" t="str">
        <f>HYPERLINK("https://www.google.com/maps/search/?api=1&amp;query=41.797289,-88.219205","map")</f>
        <v>map</v>
      </c>
    </row>
    <row r="4454" spans="1:32">
      <c r="A4454" t="s">
        <v>4504</v>
      </c>
      <c r="B4454" t="s">
        <v>12037</v>
      </c>
      <c r="C4454" t="s">
        <v>15662</v>
      </c>
      <c r="D4454" t="s">
        <v>16206</v>
      </c>
      <c r="E4454" t="s">
        <v>16218</v>
      </c>
      <c r="F4454" t="s">
        <v>16221</v>
      </c>
      <c r="G4454" t="s">
        <v>16278</v>
      </c>
      <c r="H4454" t="s">
        <v>16277</v>
      </c>
      <c r="I4454" t="s">
        <v>16353</v>
      </c>
      <c r="J4454" t="s">
        <v>16386</v>
      </c>
      <c r="K4454">
        <v>0.184</v>
      </c>
      <c r="L4454">
        <v>8019</v>
      </c>
      <c r="N4454" t="s">
        <v>16393</v>
      </c>
      <c r="O4454" s="4">
        <v>56141</v>
      </c>
      <c r="P4454" s="4">
        <v>233607</v>
      </c>
      <c r="Q4454" s="4">
        <v>289748</v>
      </c>
      <c r="R4454" s="4">
        <v>869244</v>
      </c>
      <c r="S4454" t="s">
        <v>20753</v>
      </c>
      <c r="T4454" s="6">
        <v>45569</v>
      </c>
      <c r="U4454" s="4">
        <v>878042</v>
      </c>
      <c r="V4454" t="s">
        <v>16232</v>
      </c>
      <c r="W4454" t="s">
        <v>26119</v>
      </c>
      <c r="X4454" t="s">
        <v>3</v>
      </c>
      <c r="AA4454" s="5" t="str">
        <f>HYPERLINK("https://www.zillow.com/homes/2528-WEATHERBEE-LN-NAPERVILLE-IL-605631594_rb/","check listing")</f>
        <v>check listing</v>
      </c>
      <c r="AB4454" s="5" t="str">
        <f>HYPERLINK("https://propertylookup.dupagecounty.gov/Datalets/Datalet.aspx?UseSearch=no&amp;mode=sales&amp;pin=0532300077","sales record")</f>
        <v>sales record</v>
      </c>
      <c r="AC4454" t="s">
        <v>3</v>
      </c>
      <c r="AD4454">
        <v>41.819576</v>
      </c>
      <c r="AE4454">
        <v>-88.122484</v>
      </c>
      <c r="AF4454" s="5" t="str">
        <f>HYPERLINK("https://www.google.com/maps/search/?api=1&amp;query=41.819576,-88.122484","map")</f>
        <v>map</v>
      </c>
    </row>
    <row r="4455" spans="1:32">
      <c r="A4455" t="s">
        <v>4505</v>
      </c>
      <c r="B4455" t="s">
        <v>12038</v>
      </c>
      <c r="C4455" t="s">
        <v>15478</v>
      </c>
      <c r="D4455" t="s">
        <v>16206</v>
      </c>
      <c r="E4455" t="s">
        <v>16218</v>
      </c>
      <c r="F4455" t="s">
        <v>16221</v>
      </c>
      <c r="G4455" t="s">
        <v>16277</v>
      </c>
      <c r="H4455" t="s">
        <v>16277</v>
      </c>
      <c r="I4455" t="s">
        <v>16353</v>
      </c>
      <c r="J4455" t="s">
        <v>16386</v>
      </c>
      <c r="K4455">
        <v>0.184</v>
      </c>
      <c r="L4455">
        <v>8017</v>
      </c>
      <c r="M4455">
        <v>1806</v>
      </c>
      <c r="N4455" t="s">
        <v>16393</v>
      </c>
      <c r="O4455" s="4">
        <v>119856</v>
      </c>
      <c r="P4455" s="4">
        <v>149990</v>
      </c>
      <c r="Q4455" s="4">
        <v>269846</v>
      </c>
      <c r="R4455" s="4">
        <v>809538</v>
      </c>
      <c r="S4455" t="s">
        <v>20754</v>
      </c>
      <c r="T4455" s="6">
        <v>38930</v>
      </c>
      <c r="U4455" s="4">
        <v>410000</v>
      </c>
      <c r="V4455" t="s">
        <v>23740</v>
      </c>
      <c r="W4455" t="s">
        <v>26120</v>
      </c>
      <c r="X4455" t="s">
        <v>3</v>
      </c>
      <c r="AA4455" s="5" t="str">
        <f>HYPERLINK("https://www.zillow.com/homes/634-N-ELLSWORTH-ST-NAPERVILLE-IL-60563_rb/","check listing")</f>
        <v>check listing</v>
      </c>
      <c r="AB4455" s="5" t="str">
        <f>HYPERLINK("https://propertylookup.dupagecounty.gov/Datalets/Datalet.aspx?UseSearch=no&amp;mode=sales&amp;pin=0818112001","sales record")</f>
        <v>sales record</v>
      </c>
      <c r="AC4455" t="s">
        <v>3</v>
      </c>
      <c r="AD4455">
        <v>41.782859</v>
      </c>
      <c r="AE4455">
        <v>-88.14416900000001</v>
      </c>
      <c r="AF4455" s="5" t="str">
        <f>HYPERLINK("https://www.google.com/maps/search/?api=1&amp;query=41.782859,-88.144169","map")</f>
        <v>map</v>
      </c>
    </row>
    <row r="4456" spans="1:32">
      <c r="A4456" t="s">
        <v>4506</v>
      </c>
      <c r="B4456" t="s">
        <v>12039</v>
      </c>
      <c r="C4456" t="s">
        <v>15648</v>
      </c>
      <c r="D4456" t="s">
        <v>16206</v>
      </c>
      <c r="E4456" t="s">
        <v>16218</v>
      </c>
      <c r="F4456" t="s">
        <v>16221</v>
      </c>
      <c r="G4456" t="s">
        <v>16278</v>
      </c>
      <c r="H4456" t="s">
        <v>16277</v>
      </c>
      <c r="I4456" t="s">
        <v>16353</v>
      </c>
      <c r="J4456" t="s">
        <v>16386</v>
      </c>
      <c r="K4456">
        <v>0.184</v>
      </c>
      <c r="L4456">
        <v>8017</v>
      </c>
      <c r="N4456" t="s">
        <v>16393</v>
      </c>
      <c r="O4456" s="4">
        <v>62979</v>
      </c>
      <c r="P4456" s="4">
        <v>165063</v>
      </c>
      <c r="Q4456" s="4">
        <v>228042</v>
      </c>
      <c r="R4456" s="4">
        <v>684126</v>
      </c>
      <c r="S4456" t="s">
        <v>20755</v>
      </c>
      <c r="T4456" s="6">
        <v>44682</v>
      </c>
      <c r="U4456" s="4">
        <v>635000</v>
      </c>
      <c r="V4456" t="s">
        <v>23739</v>
      </c>
      <c r="W4456" t="s">
        <v>26121</v>
      </c>
      <c r="X4456" t="s">
        <v>3</v>
      </c>
      <c r="AA4456" s="5" t="str">
        <f>HYPERLINK("https://www.zillow.com/homes/1636-ALDERLEAF-LN-NAPERVILLE-IL-605632049_rb/","check listing")</f>
        <v>check listing</v>
      </c>
      <c r="AB4456" s="5" t="str">
        <f>HYPERLINK("https://propertylookup.dupagecounty.gov/Datalets/Datalet.aspx?UseSearch=no&amp;mode=sales&amp;pin=0709102026","sales record")</f>
        <v>sales record</v>
      </c>
      <c r="AC4456" t="s">
        <v>3</v>
      </c>
      <c r="AD4456">
        <v>41.797198</v>
      </c>
      <c r="AE4456">
        <v>-88.21872999999999</v>
      </c>
      <c r="AF4456" s="5" t="str">
        <f>HYPERLINK("https://www.google.com/maps/search/?api=1&amp;query=41.797198,-88.21873","map")</f>
        <v>map</v>
      </c>
    </row>
    <row r="4457" spans="1:32">
      <c r="A4457" t="s">
        <v>4507</v>
      </c>
      <c r="B4457" t="s">
        <v>12040</v>
      </c>
      <c r="C4457" t="s">
        <v>15475</v>
      </c>
      <c r="D4457" t="s">
        <v>16206</v>
      </c>
      <c r="E4457" t="s">
        <v>16218</v>
      </c>
      <c r="F4457" t="s">
        <v>16221</v>
      </c>
      <c r="G4457" t="s">
        <v>16278</v>
      </c>
      <c r="H4457" t="s">
        <v>16277</v>
      </c>
      <c r="I4457" t="s">
        <v>16353</v>
      </c>
      <c r="J4457" t="s">
        <v>16386</v>
      </c>
      <c r="K4457">
        <v>0.184</v>
      </c>
      <c r="L4457">
        <v>8014</v>
      </c>
      <c r="N4457" t="s">
        <v>16393</v>
      </c>
      <c r="O4457" s="4">
        <v>59829</v>
      </c>
      <c r="P4457" s="4">
        <v>147926</v>
      </c>
      <c r="Q4457" s="4">
        <v>207755</v>
      </c>
      <c r="R4457" s="4">
        <v>623265</v>
      </c>
      <c r="S4457" t="s">
        <v>20756</v>
      </c>
      <c r="T4457" s="6">
        <v>42887</v>
      </c>
      <c r="U4457" s="4">
        <v>440277</v>
      </c>
      <c r="V4457" t="s">
        <v>16232</v>
      </c>
      <c r="W4457" t="s">
        <v>26122</v>
      </c>
      <c r="X4457" t="s">
        <v>3</v>
      </c>
      <c r="AA4457" s="5" t="str">
        <f>HYPERLINK("https://www.zillow.com/homes/1636-SILVERLEAF-ST-NAPERVILLE-IL-60540_rb/","check listing")</f>
        <v>check listing</v>
      </c>
      <c r="AB4457" s="5" t="str">
        <f>HYPERLINK("https://propertylookup.dupagecounty.gov/Datalets/Datalet.aspx?UseSearch=no&amp;mode=sales&amp;pin=0709108001","sales record")</f>
        <v>sales record</v>
      </c>
      <c r="AC4457" t="s">
        <v>3</v>
      </c>
      <c r="AD4457">
        <v>41.796837</v>
      </c>
      <c r="AE4457">
        <v>-88.224087</v>
      </c>
      <c r="AF4457" s="5" t="str">
        <f>HYPERLINK("https://www.google.com/maps/search/?api=1&amp;query=41.796837,-88.224087","map")</f>
        <v>map</v>
      </c>
    </row>
    <row r="4458" spans="1:32">
      <c r="A4458" t="s">
        <v>4508</v>
      </c>
      <c r="B4458" t="s">
        <v>12041</v>
      </c>
      <c r="C4458" t="s">
        <v>15648</v>
      </c>
      <c r="D4458" t="s">
        <v>16206</v>
      </c>
      <c r="E4458" t="s">
        <v>16218</v>
      </c>
      <c r="F4458" t="s">
        <v>16221</v>
      </c>
      <c r="G4458" t="s">
        <v>16278</v>
      </c>
      <c r="H4458" t="s">
        <v>16277</v>
      </c>
      <c r="I4458" t="s">
        <v>16353</v>
      </c>
      <c r="J4458" t="s">
        <v>16386</v>
      </c>
      <c r="K4458">
        <v>0.184</v>
      </c>
      <c r="L4458">
        <v>8010</v>
      </c>
      <c r="N4458" t="s">
        <v>16393</v>
      </c>
      <c r="O4458" s="4">
        <v>62987</v>
      </c>
      <c r="P4458" s="4">
        <v>173246</v>
      </c>
      <c r="Q4458" s="4">
        <v>236233</v>
      </c>
      <c r="R4458" s="4">
        <v>708699</v>
      </c>
      <c r="S4458" t="s">
        <v>20757</v>
      </c>
      <c r="T4458" s="6">
        <v>42826</v>
      </c>
      <c r="U4458" s="4">
        <v>482772</v>
      </c>
      <c r="V4458" t="s">
        <v>16232</v>
      </c>
      <c r="W4458" t="s">
        <v>26123</v>
      </c>
      <c r="X4458" t="s">
        <v>3</v>
      </c>
      <c r="AA4458" s="5" t="str">
        <f>HYPERLINK("https://www.zillow.com/homes/1608-ALDERLEAF-LN-NAPERVILLE-IL-605632049_rb/","check listing")</f>
        <v>check listing</v>
      </c>
      <c r="AB4458" s="5" t="str">
        <f>HYPERLINK("https://propertylookup.dupagecounty.gov/Datalets/Datalet.aspx?UseSearch=no&amp;mode=sales&amp;pin=0709102034","sales record")</f>
        <v>sales record</v>
      </c>
      <c r="AC4458" t="s">
        <v>3</v>
      </c>
      <c r="AD4458">
        <v>41.796572</v>
      </c>
      <c r="AE4458">
        <v>-88.217258</v>
      </c>
      <c r="AF4458" s="5" t="str">
        <f>HYPERLINK("https://www.google.com/maps/search/?api=1&amp;query=41.796572,-88.217258","map")</f>
        <v>map</v>
      </c>
    </row>
    <row r="4459" spans="1:32">
      <c r="A4459" t="s">
        <v>4509</v>
      </c>
      <c r="B4459" t="s">
        <v>12042</v>
      </c>
      <c r="C4459" t="s">
        <v>15662</v>
      </c>
      <c r="D4459" t="s">
        <v>16206</v>
      </c>
      <c r="E4459" t="s">
        <v>16218</v>
      </c>
      <c r="F4459" t="s">
        <v>16221</v>
      </c>
      <c r="G4459" t="s">
        <v>16278</v>
      </c>
      <c r="H4459" t="s">
        <v>16277</v>
      </c>
      <c r="I4459" t="s">
        <v>16353</v>
      </c>
      <c r="J4459" t="s">
        <v>16386</v>
      </c>
      <c r="K4459">
        <v>0.184</v>
      </c>
      <c r="L4459">
        <v>8001</v>
      </c>
      <c r="N4459" t="s">
        <v>16393</v>
      </c>
      <c r="O4459" s="4">
        <v>56146</v>
      </c>
      <c r="P4459" s="4">
        <v>231750</v>
      </c>
      <c r="Q4459" s="4">
        <v>287896</v>
      </c>
      <c r="R4459" s="4">
        <v>863688</v>
      </c>
      <c r="S4459" t="s">
        <v>20758</v>
      </c>
      <c r="T4459" s="6">
        <v>45237</v>
      </c>
      <c r="U4459" s="4">
        <v>720142</v>
      </c>
      <c r="V4459" t="s">
        <v>16232</v>
      </c>
      <c r="W4459" t="s">
        <v>26124</v>
      </c>
      <c r="X4459" t="s">
        <v>3</v>
      </c>
      <c r="AA4459" s="5" t="str">
        <f>HYPERLINK("https://www.zillow.com/homes/2427-LUCENT-LN-NAPERVILLE-IL-605631594_rb/","check listing")</f>
        <v>check listing</v>
      </c>
      <c r="AB4459" s="5" t="str">
        <f>HYPERLINK("https://propertylookup.dupagecounty.gov/Datalets/Datalet.aspx?UseSearch=no&amp;mode=sales&amp;pin=0532302005","sales record")</f>
        <v>sales record</v>
      </c>
      <c r="AC4459" t="s">
        <v>3</v>
      </c>
      <c r="AD4459">
        <v>41.818785</v>
      </c>
      <c r="AE4459">
        <v>-88.121897</v>
      </c>
      <c r="AF4459" s="5" t="str">
        <f>HYPERLINK("https://www.google.com/maps/search/?api=1&amp;query=41.818785,-88.121897","map")</f>
        <v>map</v>
      </c>
    </row>
    <row r="4460" spans="1:32">
      <c r="A4460" t="s">
        <v>4510</v>
      </c>
      <c r="B4460" t="s">
        <v>12043</v>
      </c>
      <c r="C4460" t="s">
        <v>15475</v>
      </c>
      <c r="D4460" t="s">
        <v>16206</v>
      </c>
      <c r="E4460" t="s">
        <v>16218</v>
      </c>
      <c r="F4460" t="s">
        <v>16221</v>
      </c>
      <c r="G4460" t="s">
        <v>16277</v>
      </c>
      <c r="H4460" t="s">
        <v>16277</v>
      </c>
      <c r="I4460" t="s">
        <v>16353</v>
      </c>
      <c r="J4460" t="s">
        <v>16386</v>
      </c>
      <c r="K4460">
        <v>0.183</v>
      </c>
      <c r="L4460">
        <v>7989</v>
      </c>
      <c r="M4460">
        <v>2539</v>
      </c>
      <c r="N4460" t="s">
        <v>16393</v>
      </c>
      <c r="O4460" s="4">
        <v>130376</v>
      </c>
      <c r="P4460" s="4">
        <v>103341</v>
      </c>
      <c r="Q4460" s="4">
        <v>233717</v>
      </c>
      <c r="R4460" s="4">
        <v>701151</v>
      </c>
      <c r="S4460" t="s">
        <v>20759</v>
      </c>
      <c r="T4460" s="6">
        <v>36708</v>
      </c>
      <c r="U4460" s="4">
        <v>288500</v>
      </c>
      <c r="V4460" t="s">
        <v>23739</v>
      </c>
      <c r="W4460" t="s">
        <v>26125</v>
      </c>
      <c r="X4460" t="s">
        <v>3</v>
      </c>
      <c r="AA4460" s="5" t="str">
        <f>HYPERLINK("https://www.zillow.com/homes/105-N-MILL-ST-NAPERVILLE-IL-60540_rb/","check listing")</f>
        <v>check listing</v>
      </c>
      <c r="AB4460" s="5" t="str">
        <f>HYPERLINK("https://propertylookup.dupagecounty.gov/Datalets/Datalet.aspx?UseSearch=no&amp;mode=sales&amp;pin=0713401009","sales record")</f>
        <v>sales record</v>
      </c>
      <c r="AC4460" t="s">
        <v>3</v>
      </c>
      <c r="AD4460">
        <v>41.77639</v>
      </c>
      <c r="AE4460">
        <v>-88.154855</v>
      </c>
      <c r="AF4460" s="5" t="str">
        <f>HYPERLINK("https://www.google.com/maps/search/?api=1&amp;query=41.77639,-88.154855","map")</f>
        <v>map</v>
      </c>
    </row>
    <row r="4461" spans="1:32">
      <c r="A4461" t="s">
        <v>4511</v>
      </c>
      <c r="B4461" t="s">
        <v>12044</v>
      </c>
      <c r="C4461" t="s">
        <v>15662</v>
      </c>
      <c r="D4461" t="s">
        <v>16206</v>
      </c>
      <c r="E4461" t="s">
        <v>16218</v>
      </c>
      <c r="F4461" t="s">
        <v>16221</v>
      </c>
      <c r="G4461" t="s">
        <v>16278</v>
      </c>
      <c r="H4461" t="s">
        <v>16277</v>
      </c>
      <c r="I4461" t="s">
        <v>16353</v>
      </c>
      <c r="J4461" t="s">
        <v>16386</v>
      </c>
      <c r="K4461">
        <v>0.183</v>
      </c>
      <c r="L4461">
        <v>7988</v>
      </c>
      <c r="N4461" t="s">
        <v>16393</v>
      </c>
      <c r="O4461" s="4">
        <v>56146</v>
      </c>
      <c r="P4461" s="4">
        <v>240151</v>
      </c>
      <c r="Q4461" s="4">
        <v>296297</v>
      </c>
      <c r="R4461" s="4">
        <v>888891</v>
      </c>
      <c r="S4461" t="s">
        <v>20760</v>
      </c>
      <c r="T4461" s="6">
        <v>45156</v>
      </c>
      <c r="U4461" s="4">
        <v>796782</v>
      </c>
      <c r="V4461" t="s">
        <v>16232</v>
      </c>
      <c r="W4461" t="s">
        <v>26126</v>
      </c>
      <c r="X4461" t="s">
        <v>3</v>
      </c>
      <c r="AA4461" s="5" t="str">
        <f>HYPERLINK("https://www.zillow.com/homes/1160-HIBBARD-RD-NAPERVILLE-IL-605631594_rb/","check listing")</f>
        <v>check listing</v>
      </c>
      <c r="AB4461" s="5" t="str">
        <f>HYPERLINK("https://propertylookup.dupagecounty.gov/Datalets/Datalet.aspx?UseSearch=no&amp;mode=sales&amp;pin=0532300036","sales record")</f>
        <v>sales record</v>
      </c>
      <c r="AC4461" t="s">
        <v>3</v>
      </c>
      <c r="AD4461">
        <v>41.818737</v>
      </c>
      <c r="AE4461">
        <v>-88.123668</v>
      </c>
      <c r="AF4461" s="5" t="str">
        <f>HYPERLINK("https://www.google.com/maps/search/?api=1&amp;query=41.818737,-88.123668","map")</f>
        <v>map</v>
      </c>
    </row>
    <row r="4462" spans="1:32">
      <c r="A4462" t="s">
        <v>4512</v>
      </c>
      <c r="B4462" t="s">
        <v>12045</v>
      </c>
      <c r="C4462" t="s">
        <v>15662</v>
      </c>
      <c r="D4462" t="s">
        <v>16206</v>
      </c>
      <c r="E4462" t="s">
        <v>16218</v>
      </c>
      <c r="F4462" t="s">
        <v>16221</v>
      </c>
      <c r="G4462" t="s">
        <v>16278</v>
      </c>
      <c r="H4462" t="s">
        <v>16277</v>
      </c>
      <c r="I4462" t="s">
        <v>16353</v>
      </c>
      <c r="J4462" t="s">
        <v>16386</v>
      </c>
      <c r="K4462">
        <v>0.183</v>
      </c>
      <c r="L4462">
        <v>7980</v>
      </c>
      <c r="N4462" t="s">
        <v>16393</v>
      </c>
      <c r="O4462" s="4">
        <v>56146</v>
      </c>
      <c r="P4462" s="4">
        <v>185996</v>
      </c>
      <c r="Q4462" s="4">
        <v>242142</v>
      </c>
      <c r="R4462" s="4">
        <v>726426</v>
      </c>
      <c r="S4462" t="s">
        <v>20761</v>
      </c>
      <c r="T4462" s="6">
        <v>45139</v>
      </c>
      <c r="U4462" s="4">
        <v>717132</v>
      </c>
      <c r="V4462" t="s">
        <v>16232</v>
      </c>
      <c r="W4462" t="s">
        <v>26127</v>
      </c>
      <c r="X4462" t="s">
        <v>3</v>
      </c>
      <c r="AA4462" s="5" t="str">
        <f>HYPERLINK("https://www.zillow.com/homes/2519-WEATHERBEE-LN-NAPERVILLE-IL-605631594_rb/","check listing")</f>
        <v>check listing</v>
      </c>
      <c r="AB4462" s="5" t="str">
        <f>HYPERLINK("https://propertylookup.dupagecounty.gov/Datalets/Datalet.aspx?UseSearch=no&amp;mode=sales&amp;pin=0532302003","sales record")</f>
        <v>sales record</v>
      </c>
      <c r="AC4462" t="s">
        <v>3</v>
      </c>
      <c r="AD4462">
        <v>41.81893</v>
      </c>
      <c r="AE4462">
        <v>-88.12244800000001</v>
      </c>
      <c r="AF4462" s="5" t="str">
        <f>HYPERLINK("https://www.google.com/maps/search/?api=1&amp;query=41.81893,-88.122448","map")</f>
        <v>map</v>
      </c>
    </row>
    <row r="4463" spans="1:32">
      <c r="A4463" t="s">
        <v>4513</v>
      </c>
      <c r="B4463" t="s">
        <v>12046</v>
      </c>
      <c r="C4463" t="s">
        <v>15475</v>
      </c>
      <c r="D4463" t="s">
        <v>16206</v>
      </c>
      <c r="E4463" t="s">
        <v>16218</v>
      </c>
      <c r="F4463" t="s">
        <v>16221</v>
      </c>
      <c r="G4463" t="s">
        <v>16277</v>
      </c>
      <c r="H4463" t="s">
        <v>16277</v>
      </c>
      <c r="I4463" t="s">
        <v>16353</v>
      </c>
      <c r="J4463" t="s">
        <v>16386</v>
      </c>
      <c r="K4463">
        <v>0.183</v>
      </c>
      <c r="L4463">
        <v>7973</v>
      </c>
      <c r="M4463">
        <v>3300</v>
      </c>
      <c r="N4463" t="s">
        <v>16393</v>
      </c>
      <c r="O4463" s="4">
        <v>131694</v>
      </c>
      <c r="P4463" s="4">
        <v>57425</v>
      </c>
      <c r="Q4463" s="4">
        <v>189119</v>
      </c>
      <c r="R4463" s="4">
        <v>567357</v>
      </c>
      <c r="S4463" t="s">
        <v>20762</v>
      </c>
      <c r="T4463" s="6">
        <v>40878</v>
      </c>
      <c r="U4463" s="4">
        <v>265900</v>
      </c>
      <c r="V4463" t="s">
        <v>16232</v>
      </c>
      <c r="W4463" t="s">
        <v>20762</v>
      </c>
      <c r="X4463" t="s">
        <v>3</v>
      </c>
      <c r="AA4463" s="5" t="str">
        <f>HYPERLINK("https://www.zillow.com/homes/332-W-FRANKLIN-AVE-NAPERVILLE-IL-60540_rb/","check listing")</f>
        <v>check listing</v>
      </c>
      <c r="AB4463" s="5" t="str">
        <f>HYPERLINK("https://propertylookup.dupagecounty.gov/Datalets/Datalet.aspx?UseSearch=no&amp;mode=sales&amp;pin=0713408003","sales record")</f>
        <v>sales record</v>
      </c>
      <c r="AC4463" t="s">
        <v>3</v>
      </c>
      <c r="AD4463">
        <v>41.77592</v>
      </c>
      <c r="AE4463">
        <v>-88.15402</v>
      </c>
      <c r="AF4463" s="5" t="str">
        <f>HYPERLINK("https://www.google.com/maps/search/?api=1&amp;query=41.77592,-88.15402","map")</f>
        <v>map</v>
      </c>
    </row>
    <row r="4464" spans="1:32">
      <c r="A4464" t="s">
        <v>4514</v>
      </c>
      <c r="B4464" t="s">
        <v>12047</v>
      </c>
      <c r="C4464" t="s">
        <v>15648</v>
      </c>
      <c r="D4464" t="s">
        <v>16206</v>
      </c>
      <c r="E4464" t="s">
        <v>16218</v>
      </c>
      <c r="F4464" t="s">
        <v>16221</v>
      </c>
      <c r="G4464" t="s">
        <v>16278</v>
      </c>
      <c r="H4464" t="s">
        <v>16277</v>
      </c>
      <c r="I4464" t="s">
        <v>16353</v>
      </c>
      <c r="J4464" t="s">
        <v>16386</v>
      </c>
      <c r="K4464">
        <v>0.183</v>
      </c>
      <c r="L4464">
        <v>7966</v>
      </c>
      <c r="N4464" t="s">
        <v>16393</v>
      </c>
      <c r="O4464" s="4">
        <v>62979</v>
      </c>
      <c r="P4464" s="4">
        <v>176231</v>
      </c>
      <c r="Q4464" s="4">
        <v>239210</v>
      </c>
      <c r="R4464" s="4">
        <v>717630</v>
      </c>
      <c r="S4464" t="s">
        <v>20763</v>
      </c>
      <c r="T4464" s="6">
        <v>42917</v>
      </c>
      <c r="U4464" s="4">
        <v>511084</v>
      </c>
      <c r="V4464" t="s">
        <v>16232</v>
      </c>
      <c r="W4464" t="s">
        <v>26128</v>
      </c>
      <c r="X4464" t="s">
        <v>3</v>
      </c>
      <c r="AA4464" s="5" t="str">
        <f>HYPERLINK("https://www.zillow.com/homes/1632-ALDERLEAF-LN-NAPERVILLE-IL-605632049_rb/","check listing")</f>
        <v>check listing</v>
      </c>
      <c r="AB4464" s="5" t="str">
        <f>HYPERLINK("https://propertylookup.dupagecounty.gov/Datalets/Datalet.aspx?UseSearch=no&amp;mode=sales&amp;pin=0709102027","sales record")</f>
        <v>sales record</v>
      </c>
      <c r="AC4464" t="s">
        <v>3</v>
      </c>
      <c r="AD4464">
        <v>41.797153</v>
      </c>
      <c r="AE4464">
        <v>-88.218493</v>
      </c>
      <c r="AF4464" s="5" t="str">
        <f>HYPERLINK("https://www.google.com/maps/search/?api=1&amp;query=41.797153,-88.218493","map")</f>
        <v>map</v>
      </c>
    </row>
    <row r="4465" spans="1:32">
      <c r="A4465" t="s">
        <v>4515</v>
      </c>
      <c r="B4465" t="s">
        <v>12048</v>
      </c>
      <c r="C4465" t="s">
        <v>15751</v>
      </c>
      <c r="D4465" t="s">
        <v>16206</v>
      </c>
      <c r="E4465" t="s">
        <v>16218</v>
      </c>
      <c r="F4465" t="s">
        <v>16221</v>
      </c>
      <c r="G4465" t="s">
        <v>16278</v>
      </c>
      <c r="H4465" t="s">
        <v>16277</v>
      </c>
      <c r="I4465" t="s">
        <v>16353</v>
      </c>
      <c r="J4465" t="s">
        <v>16386</v>
      </c>
      <c r="K4465">
        <v>0.183</v>
      </c>
      <c r="L4465">
        <v>7963</v>
      </c>
      <c r="N4465" t="s">
        <v>16393</v>
      </c>
      <c r="O4465" s="4">
        <v>67675</v>
      </c>
      <c r="P4465" s="4">
        <v>267038</v>
      </c>
      <c r="Q4465" s="4">
        <v>334713</v>
      </c>
      <c r="R4465" s="4">
        <v>1004139</v>
      </c>
      <c r="S4465" t="s">
        <v>20764</v>
      </c>
      <c r="T4465" s="6">
        <v>43344</v>
      </c>
      <c r="U4465" s="4">
        <v>801000</v>
      </c>
      <c r="V4465" t="s">
        <v>23739</v>
      </c>
      <c r="W4465" t="s">
        <v>26129</v>
      </c>
      <c r="X4465" t="s">
        <v>3</v>
      </c>
      <c r="AA4465" s="5" t="str">
        <f>HYPERLINK("https://www.zillow.com/homes/826-LEONA-MAE-CT-NAPERVILLE-IL-605633488_rb/","check listing")</f>
        <v>check listing</v>
      </c>
      <c r="AB4465" s="5" t="str">
        <f>HYPERLINK("https://propertylookup.dupagecounty.gov/Datalets/Datalet.aspx?UseSearch=no&amp;mode=sales&amp;pin=0807416030","sales record")</f>
        <v>sales record</v>
      </c>
      <c r="AC4465" t="s">
        <v>3</v>
      </c>
      <c r="AD4465">
        <v>41.785437</v>
      </c>
      <c r="AE4465">
        <v>-88.12961799999999</v>
      </c>
      <c r="AF4465" s="5" t="str">
        <f>HYPERLINK("https://www.google.com/maps/search/?api=1&amp;query=41.785437,-88.129618","map")</f>
        <v>map</v>
      </c>
    </row>
    <row r="4466" spans="1:32">
      <c r="A4466" t="s">
        <v>4516</v>
      </c>
      <c r="B4466" t="s">
        <v>12049</v>
      </c>
      <c r="C4466" t="s">
        <v>15662</v>
      </c>
      <c r="D4466" t="s">
        <v>16206</v>
      </c>
      <c r="E4466" t="s">
        <v>16218</v>
      </c>
      <c r="F4466" t="s">
        <v>16221</v>
      </c>
      <c r="G4466" t="s">
        <v>16278</v>
      </c>
      <c r="H4466" t="s">
        <v>16277</v>
      </c>
      <c r="I4466" t="s">
        <v>16353</v>
      </c>
      <c r="J4466" t="s">
        <v>16386</v>
      </c>
      <c r="K4466">
        <v>0.183</v>
      </c>
      <c r="L4466">
        <v>7959</v>
      </c>
      <c r="N4466" t="s">
        <v>16393</v>
      </c>
      <c r="O4466" s="4">
        <v>56141</v>
      </c>
      <c r="P4466" s="4">
        <v>228803</v>
      </c>
      <c r="Q4466" s="4">
        <v>284944</v>
      </c>
      <c r="R4466" s="4">
        <v>854832</v>
      </c>
      <c r="S4466" t="s">
        <v>20765</v>
      </c>
      <c r="T4466" s="6">
        <v>45649</v>
      </c>
      <c r="U4466" s="4">
        <v>932063</v>
      </c>
      <c r="V4466" t="s">
        <v>16232</v>
      </c>
      <c r="W4466" t="s">
        <v>26130</v>
      </c>
      <c r="X4466" t="s">
        <v>3</v>
      </c>
      <c r="AA4466" s="5" t="str">
        <f>HYPERLINK("https://www.zillow.com/homes/2423-HATTIE-ST-NAPERVILLE-IL-605631594_rb/","check listing")</f>
        <v>check listing</v>
      </c>
      <c r="AB4466" s="5" t="str">
        <f>HYPERLINK("https://propertylookup.dupagecounty.gov/Datalets/Datalet.aspx?UseSearch=no&amp;mode=sales&amp;pin=0532303002","sales record")</f>
        <v>sales record</v>
      </c>
      <c r="AC4466" t="s">
        <v>3</v>
      </c>
      <c r="AD4466">
        <v>41.818427</v>
      </c>
      <c r="AE4466">
        <v>-88.120879</v>
      </c>
      <c r="AF4466" s="5" t="str">
        <f>HYPERLINK("https://www.google.com/maps/search/?api=1&amp;query=41.818427,-88.120879","map")</f>
        <v>map</v>
      </c>
    </row>
    <row r="4467" spans="1:32">
      <c r="A4467" t="s">
        <v>4517</v>
      </c>
      <c r="B4467" t="s">
        <v>12050</v>
      </c>
      <c r="C4467" t="s">
        <v>15662</v>
      </c>
      <c r="D4467" t="s">
        <v>16206</v>
      </c>
      <c r="E4467" t="s">
        <v>16218</v>
      </c>
      <c r="F4467" t="s">
        <v>16221</v>
      </c>
      <c r="G4467" t="s">
        <v>16278</v>
      </c>
      <c r="H4467" t="s">
        <v>16277</v>
      </c>
      <c r="I4467" t="s">
        <v>16353</v>
      </c>
      <c r="J4467" t="s">
        <v>16386</v>
      </c>
      <c r="K4467">
        <v>0.182</v>
      </c>
      <c r="L4467">
        <v>7931</v>
      </c>
      <c r="N4467" t="s">
        <v>16393</v>
      </c>
      <c r="O4467" s="4">
        <v>56146</v>
      </c>
      <c r="P4467" s="4">
        <v>234719</v>
      </c>
      <c r="Q4467" s="4">
        <v>290865</v>
      </c>
      <c r="R4467" s="4">
        <v>872595</v>
      </c>
      <c r="S4467" t="s">
        <v>20766</v>
      </c>
      <c r="T4467" s="6">
        <v>45404</v>
      </c>
      <c r="U4467" s="4">
        <v>849631</v>
      </c>
      <c r="V4467" t="s">
        <v>23743</v>
      </c>
      <c r="W4467" t="s">
        <v>26131</v>
      </c>
      <c r="X4467" t="s">
        <v>3</v>
      </c>
      <c r="AA4467" s="5" t="str">
        <f>HYPERLINK("https://www.zillow.com/homes/2424-HATTIE-ST-NAPERVILLE-IL-605631594_rb/","check listing")</f>
        <v>check listing</v>
      </c>
      <c r="AB4467" s="5" t="str">
        <f>HYPERLINK("https://propertylookup.dupagecounty.gov/Datalets/Datalet.aspx?UseSearch=no&amp;mode=sales&amp;pin=0532304001","sales record")</f>
        <v>sales record</v>
      </c>
      <c r="AC4467" t="s">
        <v>3</v>
      </c>
      <c r="AD4467">
        <v>41.818211</v>
      </c>
      <c r="AE4467">
        <v>-88.12026299999999</v>
      </c>
      <c r="AF4467" s="5" t="str">
        <f>HYPERLINK("https://www.google.com/maps/search/?api=1&amp;query=41.818211,-88.120263","map")</f>
        <v>map</v>
      </c>
    </row>
    <row r="4468" spans="1:32">
      <c r="A4468" t="s">
        <v>4518</v>
      </c>
      <c r="B4468" t="s">
        <v>12051</v>
      </c>
      <c r="C4468" t="s">
        <v>15704</v>
      </c>
      <c r="D4468" t="s">
        <v>16206</v>
      </c>
      <c r="E4468" t="s">
        <v>16218</v>
      </c>
      <c r="F4468" t="s">
        <v>16221</v>
      </c>
      <c r="G4468" t="s">
        <v>16278</v>
      </c>
      <c r="H4468" t="s">
        <v>16277</v>
      </c>
      <c r="I4468" t="s">
        <v>16353</v>
      </c>
      <c r="J4468" t="s">
        <v>16386</v>
      </c>
      <c r="K4468">
        <v>0.182</v>
      </c>
      <c r="L4468">
        <v>7930</v>
      </c>
      <c r="N4468" t="s">
        <v>16393</v>
      </c>
      <c r="O4468" s="4">
        <v>72438</v>
      </c>
      <c r="P4468" s="4">
        <v>214249</v>
      </c>
      <c r="Q4468" s="4">
        <v>286687</v>
      </c>
      <c r="R4468" s="4">
        <v>860061</v>
      </c>
      <c r="S4468" t="s">
        <v>20767</v>
      </c>
      <c r="T4468" s="6">
        <v>44136</v>
      </c>
      <c r="U4468" s="4">
        <v>623000</v>
      </c>
      <c r="V4468" t="s">
        <v>23739</v>
      </c>
      <c r="W4468" t="s">
        <v>26132</v>
      </c>
      <c r="X4468" t="s">
        <v>3</v>
      </c>
      <c r="AA4468" s="5" t="str">
        <f>HYPERLINK("https://www.zillow.com/homes/1563-BAYOU-PATH-DR-NAPERVILLE-IL-605633496_rb/","check listing")</f>
        <v>check listing</v>
      </c>
      <c r="AB4468" s="5" t="str">
        <f>HYPERLINK("https://propertylookup.dupagecounty.gov/Datalets/Datalet.aspx?UseSearch=no&amp;mode=sales&amp;pin=0709114015","sales record")</f>
        <v>sales record</v>
      </c>
      <c r="AC4468" t="s">
        <v>3</v>
      </c>
      <c r="AD4468">
        <v>41.794423</v>
      </c>
      <c r="AE4468">
        <v>-88.21908000000001</v>
      </c>
      <c r="AF4468" s="5" t="str">
        <f>HYPERLINK("https://www.google.com/maps/search/?api=1&amp;query=41.794423,-88.21908","map")</f>
        <v>map</v>
      </c>
    </row>
    <row r="4469" spans="1:32">
      <c r="A4469" t="s">
        <v>4519</v>
      </c>
      <c r="B4469" t="s">
        <v>12052</v>
      </c>
      <c r="C4469" t="s">
        <v>15475</v>
      </c>
      <c r="D4469" t="s">
        <v>16206</v>
      </c>
      <c r="E4469" t="s">
        <v>16218</v>
      </c>
      <c r="F4469" t="s">
        <v>16221</v>
      </c>
      <c r="G4469" t="s">
        <v>16278</v>
      </c>
      <c r="H4469" t="s">
        <v>16277</v>
      </c>
      <c r="I4469" t="s">
        <v>16353</v>
      </c>
      <c r="J4469" t="s">
        <v>16386</v>
      </c>
      <c r="K4469">
        <v>0.182</v>
      </c>
      <c r="L4469">
        <v>7929</v>
      </c>
      <c r="N4469" t="s">
        <v>16393</v>
      </c>
      <c r="O4469" s="4">
        <v>62979</v>
      </c>
      <c r="P4469" s="4">
        <v>179208</v>
      </c>
      <c r="Q4469" s="4">
        <v>242187</v>
      </c>
      <c r="R4469" s="4">
        <v>726561</v>
      </c>
      <c r="S4469" t="s">
        <v>20768</v>
      </c>
      <c r="T4469" s="6">
        <v>43252</v>
      </c>
      <c r="U4469" s="4">
        <v>519220</v>
      </c>
      <c r="V4469" t="s">
        <v>16232</v>
      </c>
      <c r="W4469" t="s">
        <v>26133</v>
      </c>
      <c r="X4469" t="s">
        <v>3</v>
      </c>
      <c r="AA4469" s="5" t="str">
        <f>HYPERLINK("https://www.zillow.com/homes/1343-BAYOU-PATH-CT-NAPERVILLE-IL-60540_rb/","check listing")</f>
        <v>check listing</v>
      </c>
      <c r="AB4469" s="5" t="str">
        <f>HYPERLINK("https://propertylookup.dupagecounty.gov/Datalets/Datalet.aspx?UseSearch=no&amp;mode=sales&amp;pin=0709311075","sales record")</f>
        <v>sales record</v>
      </c>
      <c r="AC4469" t="s">
        <v>3</v>
      </c>
      <c r="AD4469">
        <v>41.78581</v>
      </c>
      <c r="AE4469">
        <v>-88.21872</v>
      </c>
      <c r="AF4469" s="5" t="str">
        <f>HYPERLINK("https://www.google.com/maps/search/?api=1&amp;query=41.78581,-88.21872","map")</f>
        <v>map</v>
      </c>
    </row>
    <row r="4470" spans="1:32">
      <c r="A4470" t="s">
        <v>4520</v>
      </c>
      <c r="B4470" t="s">
        <v>12053</v>
      </c>
      <c r="C4470" t="s">
        <v>15752</v>
      </c>
      <c r="D4470" t="s">
        <v>16206</v>
      </c>
      <c r="E4470" t="s">
        <v>16218</v>
      </c>
      <c r="F4470" t="s">
        <v>16221</v>
      </c>
      <c r="G4470" t="s">
        <v>16278</v>
      </c>
      <c r="H4470" t="s">
        <v>16277</v>
      </c>
      <c r="I4470" t="s">
        <v>16353</v>
      </c>
      <c r="J4470" t="s">
        <v>16386</v>
      </c>
      <c r="K4470">
        <v>0.182</v>
      </c>
      <c r="L4470">
        <v>7928</v>
      </c>
      <c r="N4470" t="s">
        <v>16393</v>
      </c>
      <c r="O4470" s="4">
        <v>59829</v>
      </c>
      <c r="P4470" s="4">
        <v>167870</v>
      </c>
      <c r="Q4470" s="4">
        <v>227699</v>
      </c>
      <c r="R4470" s="4">
        <v>683097</v>
      </c>
      <c r="S4470" t="s">
        <v>20769</v>
      </c>
      <c r="T4470" s="6">
        <v>44044</v>
      </c>
      <c r="U4470" s="4">
        <v>518000</v>
      </c>
      <c r="V4470" t="s">
        <v>23739</v>
      </c>
      <c r="W4470" t="s">
        <v>26134</v>
      </c>
      <c r="X4470" t="s">
        <v>3</v>
      </c>
      <c r="AA4470" s="5" t="str">
        <f>HYPERLINK("https://www.zillow.com/homes/2519-BALSAM-COVE-RD-NAPERVILLE-IL-605633589_rb/","check listing")</f>
        <v>check listing</v>
      </c>
      <c r="AB4470" s="5" t="str">
        <f>HYPERLINK("https://propertylookup.dupagecounty.gov/Datalets/Datalet.aspx?UseSearch=no&amp;mode=sales&amp;pin=0709107024","sales record")</f>
        <v>sales record</v>
      </c>
      <c r="AC4470" t="s">
        <v>3</v>
      </c>
      <c r="AD4470">
        <v>41.796864</v>
      </c>
      <c r="AE4470">
        <v>-88.222859</v>
      </c>
      <c r="AF4470" s="5" t="str">
        <f>HYPERLINK("https://www.google.com/maps/search/?api=1&amp;query=41.796864,-88.222859","map")</f>
        <v>map</v>
      </c>
    </row>
    <row r="4471" spans="1:32">
      <c r="A4471" t="s">
        <v>4521</v>
      </c>
      <c r="B4471" t="s">
        <v>12054</v>
      </c>
      <c r="C4471" t="s">
        <v>15475</v>
      </c>
      <c r="D4471" t="s">
        <v>16206</v>
      </c>
      <c r="E4471" t="s">
        <v>16218</v>
      </c>
      <c r="F4471" t="s">
        <v>16221</v>
      </c>
      <c r="G4471" t="s">
        <v>16278</v>
      </c>
      <c r="H4471" t="s">
        <v>16277</v>
      </c>
      <c r="I4471" t="s">
        <v>16353</v>
      </c>
      <c r="J4471" t="s">
        <v>16386</v>
      </c>
      <c r="K4471">
        <v>0.182</v>
      </c>
      <c r="L4471">
        <v>7925</v>
      </c>
      <c r="N4471" t="s">
        <v>16393</v>
      </c>
      <c r="O4471" s="4">
        <v>66140</v>
      </c>
      <c r="P4471" s="4">
        <v>148525</v>
      </c>
      <c r="Q4471" s="4">
        <v>214665</v>
      </c>
      <c r="R4471" s="4">
        <v>643995</v>
      </c>
      <c r="S4471" t="s">
        <v>20770</v>
      </c>
      <c r="T4471" s="6">
        <v>42705</v>
      </c>
      <c r="U4471" s="4">
        <v>453066</v>
      </c>
      <c r="V4471" t="s">
        <v>16232</v>
      </c>
      <c r="W4471" t="s">
        <v>26135</v>
      </c>
      <c r="X4471" t="s">
        <v>3</v>
      </c>
      <c r="AA4471" s="5" t="str">
        <f>HYPERLINK("https://www.zillow.com/homes/2503-BALSAM-COVE-RD-NAPERVILLE-IL-60540_rb/","check listing")</f>
        <v>check listing</v>
      </c>
      <c r="AB4471" s="5" t="str">
        <f>HYPERLINK("https://propertylookup.dupagecounty.gov/Datalets/Datalet.aspx?UseSearch=no&amp;mode=sales&amp;pin=0709107021","sales record")</f>
        <v>sales record</v>
      </c>
      <c r="AC4471" t="s">
        <v>3</v>
      </c>
      <c r="AD4471">
        <v>41.796928</v>
      </c>
      <c r="AE4471">
        <v>-88.222204</v>
      </c>
      <c r="AF4471" s="5" t="str">
        <f>HYPERLINK("https://www.google.com/maps/search/?api=1&amp;query=41.796928,-88.222204","map")</f>
        <v>map</v>
      </c>
    </row>
    <row r="4472" spans="1:32">
      <c r="A4472" t="s">
        <v>4522</v>
      </c>
      <c r="B4472" t="s">
        <v>12055</v>
      </c>
      <c r="C4472" t="s">
        <v>15475</v>
      </c>
      <c r="D4472" t="s">
        <v>16206</v>
      </c>
      <c r="E4472" t="s">
        <v>16218</v>
      </c>
      <c r="F4472" t="s">
        <v>16221</v>
      </c>
      <c r="G4472" t="s">
        <v>16277</v>
      </c>
      <c r="H4472" t="s">
        <v>16277</v>
      </c>
      <c r="I4472" t="s">
        <v>16353</v>
      </c>
      <c r="J4472" t="s">
        <v>16386</v>
      </c>
      <c r="K4472">
        <v>0.182</v>
      </c>
      <c r="L4472">
        <v>7919</v>
      </c>
      <c r="M4472">
        <v>3281</v>
      </c>
      <c r="N4472" t="s">
        <v>16393</v>
      </c>
      <c r="O4472" s="4">
        <v>121832</v>
      </c>
      <c r="P4472" s="4">
        <v>74135</v>
      </c>
      <c r="Q4472" s="4">
        <v>195967</v>
      </c>
      <c r="R4472" s="4">
        <v>587901</v>
      </c>
      <c r="S4472" t="s">
        <v>20771</v>
      </c>
      <c r="T4472" s="6">
        <v>37681</v>
      </c>
      <c r="U4472" s="4">
        <v>229000</v>
      </c>
      <c r="V4472" t="s">
        <v>23739</v>
      </c>
      <c r="W4472" t="s">
        <v>20771</v>
      </c>
      <c r="X4472" t="s">
        <v>3</v>
      </c>
      <c r="AA4472" s="5" t="str">
        <f>HYPERLINK("https://www.zillow.com/homes/135-HILLSIDE-AVE-NAPERVILLE-IL-60540_rb/","check listing")</f>
        <v>check listing</v>
      </c>
      <c r="AB4472" s="5" t="str">
        <f>HYPERLINK("https://propertylookup.dupagecounty.gov/Datalets/Datalet.aspx?UseSearch=no&amp;mode=sales&amp;pin=0724203021","sales record")</f>
        <v>sales record</v>
      </c>
      <c r="AC4472" t="s">
        <v>27873</v>
      </c>
      <c r="AD4472">
        <v>41.76636</v>
      </c>
      <c r="AE4472">
        <v>-88.150903</v>
      </c>
      <c r="AF4472" s="5" t="str">
        <f>HYPERLINK("https://www.google.com/maps/search/?api=1&amp;query=41.76636,-88.150903","map")</f>
        <v>map</v>
      </c>
    </row>
    <row r="4473" spans="1:32">
      <c r="A4473" t="s">
        <v>4523</v>
      </c>
      <c r="B4473" t="s">
        <v>12056</v>
      </c>
      <c r="C4473" t="s">
        <v>15475</v>
      </c>
      <c r="D4473" t="s">
        <v>16206</v>
      </c>
      <c r="E4473" t="s">
        <v>16218</v>
      </c>
      <c r="F4473" t="s">
        <v>16221</v>
      </c>
      <c r="G4473" t="s">
        <v>16277</v>
      </c>
      <c r="H4473" t="s">
        <v>16277</v>
      </c>
      <c r="I4473" t="s">
        <v>16353</v>
      </c>
      <c r="J4473" t="s">
        <v>16386</v>
      </c>
      <c r="K4473">
        <v>0.182</v>
      </c>
      <c r="L4473">
        <v>7914</v>
      </c>
      <c r="M4473">
        <v>2124</v>
      </c>
      <c r="N4473" t="s">
        <v>16393</v>
      </c>
      <c r="O4473" s="4">
        <v>113606</v>
      </c>
      <c r="P4473" s="4">
        <v>333323</v>
      </c>
      <c r="Q4473" s="4">
        <v>446929</v>
      </c>
      <c r="R4473" s="4">
        <v>1340787</v>
      </c>
      <c r="S4473" t="s">
        <v>20772</v>
      </c>
      <c r="T4473" s="6">
        <v>42979</v>
      </c>
      <c r="U4473" s="4">
        <v>1085000</v>
      </c>
      <c r="V4473" t="s">
        <v>23739</v>
      </c>
      <c r="W4473" t="s">
        <v>26136</v>
      </c>
      <c r="X4473" t="s">
        <v>3</v>
      </c>
      <c r="AA4473" s="5" t="str">
        <f>HYPERLINK("https://www.zillow.com/homes/20-S-WEST-ST-NAPERVILLE-IL-60540_rb/","check listing")</f>
        <v>check listing</v>
      </c>
      <c r="AB4473" s="5" t="str">
        <f>HYPERLINK("https://propertylookup.dupagecounty.gov/Datalets/Datalet.aspx?UseSearch=no&amp;mode=sales&amp;pin=0713312004","sales record")</f>
        <v>sales record</v>
      </c>
      <c r="AC4473" t="s">
        <v>27873</v>
      </c>
      <c r="AD4473">
        <v>41.774855</v>
      </c>
      <c r="AE4473">
        <v>-88.15741800000001</v>
      </c>
      <c r="AF4473" s="5" t="str">
        <f>HYPERLINK("https://www.google.com/maps/search/?api=1&amp;query=41.774855,-88.157418","map")</f>
        <v>map</v>
      </c>
    </row>
    <row r="4474" spans="1:32">
      <c r="A4474" t="s">
        <v>4524</v>
      </c>
      <c r="B4474" t="s">
        <v>12057</v>
      </c>
      <c r="C4474" t="s">
        <v>15475</v>
      </c>
      <c r="D4474" t="s">
        <v>16206</v>
      </c>
      <c r="E4474" t="s">
        <v>16218</v>
      </c>
      <c r="F4474" t="s">
        <v>16221</v>
      </c>
      <c r="G4474" t="s">
        <v>16277</v>
      </c>
      <c r="H4474" t="s">
        <v>16277</v>
      </c>
      <c r="I4474" t="s">
        <v>16353</v>
      </c>
      <c r="J4474" t="s">
        <v>16386</v>
      </c>
      <c r="K4474">
        <v>0.182</v>
      </c>
      <c r="L4474">
        <v>7913</v>
      </c>
      <c r="M4474">
        <v>4155</v>
      </c>
      <c r="N4474" t="s">
        <v>16393</v>
      </c>
      <c r="O4474" s="4">
        <v>131890</v>
      </c>
      <c r="P4474" s="4">
        <v>320646</v>
      </c>
      <c r="Q4474" s="4">
        <v>452536</v>
      </c>
      <c r="R4474" s="4">
        <v>1357608</v>
      </c>
      <c r="S4474" t="s">
        <v>20773</v>
      </c>
      <c r="T4474" s="6">
        <v>41579</v>
      </c>
      <c r="U4474" s="4">
        <v>990000</v>
      </c>
      <c r="V4474" t="s">
        <v>23739</v>
      </c>
      <c r="W4474" t="s">
        <v>26137</v>
      </c>
      <c r="X4474" t="s">
        <v>3</v>
      </c>
      <c r="AA4474" s="5" t="str">
        <f>HYPERLINK("https://www.zillow.com/homes/132-N-CENTER-ST-NAPERVILLE-IL-60540_rb/","check listing")</f>
        <v>check listing</v>
      </c>
      <c r="AB4474" s="5" t="str">
        <f>HYPERLINK("https://propertylookup.dupagecounty.gov/Datalets/Datalet.aspx?UseSearch=no&amp;mode=sales&amp;pin=0818301002","sales record")</f>
        <v>sales record</v>
      </c>
      <c r="AC4474" t="s">
        <v>3</v>
      </c>
      <c r="AD4474">
        <v>41.776818</v>
      </c>
      <c r="AE4474">
        <v>-88.14591299999999</v>
      </c>
      <c r="AF4474" s="5" t="str">
        <f>HYPERLINK("https://www.google.com/maps/search/?api=1&amp;query=41.776818,-88.145913","map")</f>
        <v>map</v>
      </c>
    </row>
    <row r="4475" spans="1:32">
      <c r="A4475" t="s">
        <v>4525</v>
      </c>
      <c r="B4475" t="s">
        <v>12058</v>
      </c>
      <c r="C4475" t="s">
        <v>15478</v>
      </c>
      <c r="D4475" t="s">
        <v>16206</v>
      </c>
      <c r="E4475" t="s">
        <v>16218</v>
      </c>
      <c r="F4475" t="s">
        <v>16221</v>
      </c>
      <c r="G4475" t="s">
        <v>16278</v>
      </c>
      <c r="H4475" t="s">
        <v>16277</v>
      </c>
      <c r="I4475" t="s">
        <v>16353</v>
      </c>
      <c r="J4475" t="s">
        <v>16386</v>
      </c>
      <c r="K4475">
        <v>0.182</v>
      </c>
      <c r="L4475">
        <v>7912</v>
      </c>
      <c r="N4475" t="s">
        <v>16393</v>
      </c>
      <c r="O4475" s="4">
        <v>62979</v>
      </c>
      <c r="P4475" s="4">
        <v>183066</v>
      </c>
      <c r="Q4475" s="4">
        <v>246045</v>
      </c>
      <c r="R4475" s="4">
        <v>738135</v>
      </c>
      <c r="S4475" t="s">
        <v>20774</v>
      </c>
      <c r="T4475" s="6">
        <v>42705</v>
      </c>
      <c r="U4475" s="4">
        <v>518580</v>
      </c>
      <c r="V4475" t="s">
        <v>16232</v>
      </c>
      <c r="W4475" t="s">
        <v>26138</v>
      </c>
      <c r="X4475" t="s">
        <v>3</v>
      </c>
      <c r="AA4475" s="5" t="str">
        <f>HYPERLINK("https://www.zillow.com/homes/1623-ALDERLEAF-LN-NAPERVILLE-IL-60563_rb/","check listing")</f>
        <v>check listing</v>
      </c>
      <c r="AB4475" s="5" t="str">
        <f>HYPERLINK("https://propertylookup.dupagecounty.gov/Datalets/Datalet.aspx?UseSearch=no&amp;mode=sales&amp;pin=0709113008","sales record")</f>
        <v>sales record</v>
      </c>
      <c r="AC4475" t="s">
        <v>3</v>
      </c>
      <c r="AD4475">
        <v>41.796575</v>
      </c>
      <c r="AE4475">
        <v>-88.218228</v>
      </c>
      <c r="AF4475" s="5" t="str">
        <f>HYPERLINK("https://www.google.com/maps/search/?api=1&amp;query=41.796575,-88.218228","map")</f>
        <v>map</v>
      </c>
    </row>
    <row r="4476" spans="1:32">
      <c r="A4476" t="s">
        <v>4526</v>
      </c>
      <c r="B4476" t="s">
        <v>12059</v>
      </c>
      <c r="C4476" t="s">
        <v>15662</v>
      </c>
      <c r="D4476" t="s">
        <v>16206</v>
      </c>
      <c r="E4476" t="s">
        <v>16218</v>
      </c>
      <c r="F4476" t="s">
        <v>16221</v>
      </c>
      <c r="G4476" t="s">
        <v>16278</v>
      </c>
      <c r="H4476" t="s">
        <v>16277</v>
      </c>
      <c r="I4476" t="s">
        <v>16353</v>
      </c>
      <c r="J4476" t="s">
        <v>16386</v>
      </c>
      <c r="K4476">
        <v>0.181</v>
      </c>
      <c r="L4476">
        <v>7900</v>
      </c>
      <c r="N4476" t="s">
        <v>16393</v>
      </c>
      <c r="O4476" s="4">
        <v>56146</v>
      </c>
      <c r="P4476" s="4">
        <v>213687</v>
      </c>
      <c r="Q4476" s="4">
        <v>269833</v>
      </c>
      <c r="R4476" s="4">
        <v>809499</v>
      </c>
      <c r="S4476" t="s">
        <v>20775</v>
      </c>
      <c r="T4476" s="6">
        <v>45163</v>
      </c>
      <c r="U4476" s="4">
        <v>698259</v>
      </c>
      <c r="V4476" t="s">
        <v>16232</v>
      </c>
      <c r="W4476" t="s">
        <v>26139</v>
      </c>
      <c r="X4476" t="s">
        <v>3</v>
      </c>
      <c r="AA4476" s="5" t="str">
        <f>HYPERLINK("https://www.zillow.com/homes/1155-HIBBARD-RD-NAPERVILLE-IL-605631594_rb/","check listing")</f>
        <v>check listing</v>
      </c>
      <c r="AB4476" s="5" t="str">
        <f>HYPERLINK("https://propertylookup.dupagecounty.gov/Datalets/Datalet.aspx?UseSearch=no&amp;mode=sales&amp;pin=0532302014","sales record")</f>
        <v>sales record</v>
      </c>
      <c r="AC4476" t="s">
        <v>3</v>
      </c>
      <c r="AD4476">
        <v>41.818868</v>
      </c>
      <c r="AE4476">
        <v>-88.12302800000001</v>
      </c>
      <c r="AF4476" s="5" t="str">
        <f>HYPERLINK("https://www.google.com/maps/search/?api=1&amp;query=41.818868,-88.123028","map")</f>
        <v>map</v>
      </c>
    </row>
    <row r="4477" spans="1:32">
      <c r="A4477" t="s">
        <v>4527</v>
      </c>
      <c r="B4477" t="s">
        <v>12060</v>
      </c>
      <c r="C4477" t="s">
        <v>15662</v>
      </c>
      <c r="D4477" t="s">
        <v>16206</v>
      </c>
      <c r="E4477" t="s">
        <v>16218</v>
      </c>
      <c r="F4477" t="s">
        <v>16221</v>
      </c>
      <c r="G4477" t="s">
        <v>16278</v>
      </c>
      <c r="H4477" t="s">
        <v>16277</v>
      </c>
      <c r="I4477" t="s">
        <v>16353</v>
      </c>
      <c r="J4477" t="s">
        <v>16386</v>
      </c>
      <c r="K4477">
        <v>0.181</v>
      </c>
      <c r="L4477">
        <v>7893</v>
      </c>
      <c r="N4477" t="s">
        <v>16393</v>
      </c>
      <c r="O4477" s="4">
        <v>56146</v>
      </c>
      <c r="P4477" s="4">
        <v>234189</v>
      </c>
      <c r="Q4477" s="4">
        <v>290335</v>
      </c>
      <c r="R4477" s="4">
        <v>871005</v>
      </c>
      <c r="S4477" t="s">
        <v>20776</v>
      </c>
      <c r="T4477" s="6">
        <v>44771</v>
      </c>
      <c r="U4477" s="4">
        <v>686660</v>
      </c>
      <c r="V4477" t="s">
        <v>16232</v>
      </c>
      <c r="W4477" t="s">
        <v>26140</v>
      </c>
      <c r="X4477" t="s">
        <v>3</v>
      </c>
      <c r="AA4477" s="5" t="str">
        <f>HYPERLINK("https://www.zillow.com/homes/2307-LUCENT-LN-NAPERVILLE-IL-605631594_rb/","check listing")</f>
        <v>check listing</v>
      </c>
      <c r="AB4477" s="5" t="str">
        <f>HYPERLINK("https://propertylookup.dupagecounty.gov/Datalets/Datalet.aspx?UseSearch=no&amp;mode=sales&amp;pin=0532300019","sales record")</f>
        <v>sales record</v>
      </c>
      <c r="AC4477" t="s">
        <v>3</v>
      </c>
      <c r="AD4477">
        <v>41.816559</v>
      </c>
      <c r="AE4477">
        <v>-88.12303199999999</v>
      </c>
      <c r="AF4477" s="5" t="str">
        <f>HYPERLINK("https://www.google.com/maps/search/?api=1&amp;query=41.816559,-88.123032","map")</f>
        <v>map</v>
      </c>
    </row>
    <row r="4478" spans="1:32">
      <c r="A4478" t="s">
        <v>4528</v>
      </c>
      <c r="B4478" t="s">
        <v>12061</v>
      </c>
      <c r="C4478" t="s">
        <v>15692</v>
      </c>
      <c r="D4478" t="s">
        <v>16206</v>
      </c>
      <c r="E4478" t="s">
        <v>16218</v>
      </c>
      <c r="F4478" t="s">
        <v>16221</v>
      </c>
      <c r="G4478" t="s">
        <v>16278</v>
      </c>
      <c r="H4478" t="s">
        <v>16277</v>
      </c>
      <c r="I4478" t="s">
        <v>16353</v>
      </c>
      <c r="J4478" t="s">
        <v>16386</v>
      </c>
      <c r="K4478">
        <v>0.181</v>
      </c>
      <c r="L4478">
        <v>7886</v>
      </c>
      <c r="N4478" t="s">
        <v>16393</v>
      </c>
      <c r="O4478" s="4">
        <v>62979</v>
      </c>
      <c r="P4478" s="4">
        <v>194526</v>
      </c>
      <c r="Q4478" s="4">
        <v>257505</v>
      </c>
      <c r="R4478" s="4">
        <v>772515</v>
      </c>
      <c r="S4478" t="s">
        <v>20777</v>
      </c>
      <c r="T4478" s="6">
        <v>43678</v>
      </c>
      <c r="U4478" s="4">
        <v>564106</v>
      </c>
      <c r="V4478" t="s">
        <v>16232</v>
      </c>
      <c r="W4478" t="s">
        <v>26141</v>
      </c>
      <c r="X4478" t="s">
        <v>3</v>
      </c>
      <c r="AA4478" s="5" t="str">
        <f>HYPERLINK("https://www.zillow.com/homes/1407-BAYOU-PATH-DR-NAPERVILLE-IL-605633608_rb/","check listing")</f>
        <v>check listing</v>
      </c>
      <c r="AB4478" s="5" t="str">
        <f>HYPERLINK("https://propertylookup.dupagecounty.gov/Datalets/Datalet.aspx?UseSearch=no&amp;mode=sales&amp;pin=0709311058","sales record")</f>
        <v>sales record</v>
      </c>
      <c r="AC4478" t="s">
        <v>3</v>
      </c>
      <c r="AD4478">
        <v>41.787161</v>
      </c>
      <c r="AE4478">
        <v>-88.219684</v>
      </c>
      <c r="AF4478" s="5" t="str">
        <f>HYPERLINK("https://www.google.com/maps/search/?api=1&amp;query=41.787161,-88.219684","map")</f>
        <v>map</v>
      </c>
    </row>
    <row r="4479" spans="1:32">
      <c r="A4479" t="s">
        <v>4529</v>
      </c>
      <c r="B4479" t="s">
        <v>12062</v>
      </c>
      <c r="C4479" t="s">
        <v>15649</v>
      </c>
      <c r="D4479" t="s">
        <v>16206</v>
      </c>
      <c r="E4479" t="s">
        <v>16218</v>
      </c>
      <c r="F4479" t="s">
        <v>16221</v>
      </c>
      <c r="G4479" t="s">
        <v>16278</v>
      </c>
      <c r="H4479" t="s">
        <v>16277</v>
      </c>
      <c r="I4479" t="s">
        <v>16353</v>
      </c>
      <c r="J4479" t="s">
        <v>16386</v>
      </c>
      <c r="K4479">
        <v>0.181</v>
      </c>
      <c r="L4479">
        <v>7882</v>
      </c>
      <c r="N4479" t="s">
        <v>16393</v>
      </c>
      <c r="O4479" s="4">
        <v>66140</v>
      </c>
      <c r="P4479" s="4">
        <v>201190</v>
      </c>
      <c r="Q4479" s="4">
        <v>267330</v>
      </c>
      <c r="R4479" s="4">
        <v>801990</v>
      </c>
      <c r="S4479" t="s">
        <v>20778</v>
      </c>
      <c r="T4479" s="6">
        <v>43556</v>
      </c>
      <c r="U4479" s="4">
        <v>602308</v>
      </c>
      <c r="V4479" t="s">
        <v>16232</v>
      </c>
      <c r="W4479" t="s">
        <v>26142</v>
      </c>
      <c r="X4479" t="s">
        <v>3</v>
      </c>
      <c r="AA4479" s="5" t="str">
        <f>HYPERLINK("https://www.zillow.com/homes/1528-ALDERLEAF-CT-NAPERVILLE-IL-605632142_rb/","check listing")</f>
        <v>check listing</v>
      </c>
      <c r="AB4479" s="5" t="str">
        <f>HYPERLINK("https://propertylookup.dupagecounty.gov/Datalets/Datalet.aspx?UseSearch=no&amp;mode=sales&amp;pin=0709105025","sales record")</f>
        <v>sales record</v>
      </c>
      <c r="AC4479" t="s">
        <v>3</v>
      </c>
      <c r="AD4479">
        <v>41.795703</v>
      </c>
      <c r="AE4479">
        <v>-88.216657</v>
      </c>
      <c r="AF4479" s="5" t="str">
        <f>HYPERLINK("https://www.google.com/maps/search/?api=1&amp;query=41.795703,-88.216657","map")</f>
        <v>map</v>
      </c>
    </row>
    <row r="4480" spans="1:32">
      <c r="A4480" t="s">
        <v>4530</v>
      </c>
      <c r="B4480" t="s">
        <v>12063</v>
      </c>
      <c r="C4480" t="s">
        <v>15632</v>
      </c>
      <c r="D4480" t="s">
        <v>16206</v>
      </c>
      <c r="E4480" t="s">
        <v>16218</v>
      </c>
      <c r="F4480" t="s">
        <v>16221</v>
      </c>
      <c r="G4480" t="s">
        <v>16278</v>
      </c>
      <c r="H4480" t="s">
        <v>16277</v>
      </c>
      <c r="I4480" t="s">
        <v>16353</v>
      </c>
      <c r="J4480" t="s">
        <v>16386</v>
      </c>
      <c r="K4480">
        <v>0.181</v>
      </c>
      <c r="L4480">
        <v>7872</v>
      </c>
      <c r="N4480" t="s">
        <v>16393</v>
      </c>
      <c r="O4480" s="4">
        <v>62979</v>
      </c>
      <c r="P4480" s="4">
        <v>182247</v>
      </c>
      <c r="Q4480" s="4">
        <v>245226</v>
      </c>
      <c r="R4480" s="4">
        <v>735678</v>
      </c>
      <c r="S4480" t="s">
        <v>20779</v>
      </c>
      <c r="T4480" s="6">
        <v>44287</v>
      </c>
      <c r="U4480" s="4">
        <v>605000</v>
      </c>
      <c r="V4480" t="s">
        <v>23740</v>
      </c>
      <c r="W4480" t="s">
        <v>26143</v>
      </c>
      <c r="X4480" t="s">
        <v>3</v>
      </c>
      <c r="AA4480" s="5" t="str">
        <f>HYPERLINK("https://www.zillow.com/homes/2535-BASIN-TRAIL-LN-NAPERVILLE-IL-605633593_rb/","check listing")</f>
        <v>check listing</v>
      </c>
      <c r="AB4480" s="5" t="str">
        <f>HYPERLINK("https://propertylookup.dupagecounty.gov/Datalets/Datalet.aspx?UseSearch=no&amp;mode=sales&amp;pin=0709109024","sales record")</f>
        <v>sales record</v>
      </c>
      <c r="AC4480" t="s">
        <v>3</v>
      </c>
      <c r="AD4480">
        <v>41.795982</v>
      </c>
      <c r="AE4480">
        <v>-88.223995</v>
      </c>
      <c r="AF4480" s="5" t="str">
        <f>HYPERLINK("https://www.google.com/maps/search/?api=1&amp;query=41.795982,-88.223995","map")</f>
        <v>map</v>
      </c>
    </row>
    <row r="4481" spans="1:32">
      <c r="A4481" t="s">
        <v>4531</v>
      </c>
      <c r="B4481" t="s">
        <v>12064</v>
      </c>
      <c r="C4481" t="s">
        <v>15649</v>
      </c>
      <c r="D4481" t="s">
        <v>16206</v>
      </c>
      <c r="E4481" t="s">
        <v>16218</v>
      </c>
      <c r="F4481" t="s">
        <v>16221</v>
      </c>
      <c r="G4481" t="s">
        <v>16278</v>
      </c>
      <c r="H4481" t="s">
        <v>16277</v>
      </c>
      <c r="I4481" t="s">
        <v>16353</v>
      </c>
      <c r="J4481" t="s">
        <v>16386</v>
      </c>
      <c r="K4481">
        <v>0.181</v>
      </c>
      <c r="L4481">
        <v>7868</v>
      </c>
      <c r="N4481" t="s">
        <v>16393</v>
      </c>
      <c r="O4481" s="4">
        <v>66140</v>
      </c>
      <c r="P4481" s="4">
        <v>184457</v>
      </c>
      <c r="Q4481" s="4">
        <v>250597</v>
      </c>
      <c r="R4481" s="4">
        <v>751791</v>
      </c>
      <c r="S4481" t="s">
        <v>20780</v>
      </c>
      <c r="T4481" s="6">
        <v>43556</v>
      </c>
      <c r="U4481" s="4">
        <v>553904</v>
      </c>
      <c r="V4481" t="s">
        <v>16232</v>
      </c>
      <c r="W4481" t="s">
        <v>26144</v>
      </c>
      <c r="X4481" t="s">
        <v>3</v>
      </c>
      <c r="AA4481" s="5" t="str">
        <f>HYPERLINK("https://www.zillow.com/homes/1532-ALDERLEAF-CT-NAPERVILLE-IL-605632142_rb/","check listing")</f>
        <v>check listing</v>
      </c>
      <c r="AB4481" s="5" t="str">
        <f>HYPERLINK("https://propertylookup.dupagecounty.gov/Datalets/Datalet.aspx?UseSearch=no&amp;mode=sales&amp;pin=0709105026","sales record")</f>
        <v>sales record</v>
      </c>
      <c r="AC4481" t="s">
        <v>3</v>
      </c>
      <c r="AD4481">
        <v>41.795862</v>
      </c>
      <c r="AE4481">
        <v>-88.216768</v>
      </c>
      <c r="AF4481" s="5" t="str">
        <f>HYPERLINK("https://www.google.com/maps/search/?api=1&amp;query=41.795862,-88.216768","map")</f>
        <v>map</v>
      </c>
    </row>
    <row r="4482" spans="1:32">
      <c r="A4482" t="s">
        <v>4532</v>
      </c>
      <c r="B4482" t="s">
        <v>12065</v>
      </c>
      <c r="C4482" t="s">
        <v>15478</v>
      </c>
      <c r="D4482" t="s">
        <v>16206</v>
      </c>
      <c r="E4482" t="s">
        <v>16218</v>
      </c>
      <c r="F4482" t="s">
        <v>16221</v>
      </c>
      <c r="G4482" t="s">
        <v>16277</v>
      </c>
      <c r="H4482" t="s">
        <v>16277</v>
      </c>
      <c r="I4482" t="s">
        <v>16353</v>
      </c>
      <c r="J4482" t="s">
        <v>16386</v>
      </c>
      <c r="K4482">
        <v>0.181</v>
      </c>
      <c r="L4482">
        <v>7867</v>
      </c>
      <c r="M4482">
        <v>1777</v>
      </c>
      <c r="N4482" t="s">
        <v>16393</v>
      </c>
      <c r="O4482" s="4">
        <v>119856</v>
      </c>
      <c r="P4482" s="4">
        <v>37613</v>
      </c>
      <c r="Q4482" s="4">
        <v>157469</v>
      </c>
      <c r="R4482" s="4">
        <v>472407</v>
      </c>
      <c r="S4482" t="s">
        <v>20781</v>
      </c>
      <c r="T4482" s="6">
        <v>38596</v>
      </c>
      <c r="U4482" s="4">
        <v>405000</v>
      </c>
      <c r="V4482" t="s">
        <v>23740</v>
      </c>
      <c r="W4482" t="s">
        <v>20781</v>
      </c>
      <c r="X4482" t="s">
        <v>3</v>
      </c>
      <c r="AA4482" s="5" t="str">
        <f>HYPERLINK("https://www.zillow.com/homes/710-N-CENTER-ST-NAPERVILLE-IL-60563_rb/","check listing")</f>
        <v>check listing</v>
      </c>
      <c r="AB4482" s="5" t="str">
        <f>HYPERLINK("https://propertylookup.dupagecounty.gov/Datalets/Datalet.aspx?UseSearch=no&amp;mode=sales&amp;pin=0818106006","sales record")</f>
        <v>sales record</v>
      </c>
      <c r="AC4482" t="s">
        <v>3</v>
      </c>
      <c r="AD4482">
        <v>41.783376</v>
      </c>
      <c r="AE4482">
        <v>-88.14554</v>
      </c>
      <c r="AF4482" s="5" t="str">
        <f>HYPERLINK("https://www.google.com/maps/search/?api=1&amp;query=41.783376,-88.14554","map")</f>
        <v>map</v>
      </c>
    </row>
    <row r="4483" spans="1:32">
      <c r="A4483" t="s">
        <v>4533</v>
      </c>
      <c r="B4483" t="s">
        <v>12066</v>
      </c>
      <c r="C4483" t="s">
        <v>15632</v>
      </c>
      <c r="D4483" t="s">
        <v>16206</v>
      </c>
      <c r="E4483" t="s">
        <v>16218</v>
      </c>
      <c r="F4483" t="s">
        <v>16221</v>
      </c>
      <c r="G4483" t="s">
        <v>16278</v>
      </c>
      <c r="H4483" t="s">
        <v>16277</v>
      </c>
      <c r="I4483" t="s">
        <v>16353</v>
      </c>
      <c r="J4483" t="s">
        <v>16386</v>
      </c>
      <c r="K4483">
        <v>0.18</v>
      </c>
      <c r="L4483">
        <v>7859</v>
      </c>
      <c r="N4483" t="s">
        <v>16393</v>
      </c>
      <c r="O4483" s="4">
        <v>62979</v>
      </c>
      <c r="P4483" s="4">
        <v>158191</v>
      </c>
      <c r="Q4483" s="4">
        <v>221170</v>
      </c>
      <c r="R4483" s="4">
        <v>663510</v>
      </c>
      <c r="S4483" t="s">
        <v>20782</v>
      </c>
      <c r="T4483" s="6">
        <v>42948</v>
      </c>
      <c r="U4483" s="4">
        <v>466771</v>
      </c>
      <c r="V4483" t="s">
        <v>16232</v>
      </c>
      <c r="W4483" t="s">
        <v>26145</v>
      </c>
      <c r="X4483" t="s">
        <v>3</v>
      </c>
      <c r="AA4483" s="5" t="str">
        <f>HYPERLINK("https://www.zillow.com/homes/2511-BASIN-TRAIL-LN-NAPERVILLE-IL-605633593_rb/","check listing")</f>
        <v>check listing</v>
      </c>
      <c r="AB4483" s="5" t="str">
        <f>HYPERLINK("https://propertylookup.dupagecounty.gov/Datalets/Datalet.aspx?UseSearch=no&amp;mode=sales&amp;pin=0709109018","sales record")</f>
        <v>sales record</v>
      </c>
      <c r="AC4483" t="s">
        <v>3</v>
      </c>
      <c r="AD4483">
        <v>41.79598</v>
      </c>
      <c r="AE4483">
        <v>-88.222737</v>
      </c>
      <c r="AF4483" s="5" t="str">
        <f>HYPERLINK("https://www.google.com/maps/search/?api=1&amp;query=41.79598,-88.222737","map")</f>
        <v>map</v>
      </c>
    </row>
    <row r="4484" spans="1:32">
      <c r="A4484" t="s">
        <v>4534</v>
      </c>
      <c r="B4484" t="s">
        <v>12067</v>
      </c>
      <c r="C4484" t="s">
        <v>15734</v>
      </c>
      <c r="D4484" t="s">
        <v>16206</v>
      </c>
      <c r="E4484" t="s">
        <v>16218</v>
      </c>
      <c r="F4484" t="s">
        <v>16221</v>
      </c>
      <c r="G4484" t="s">
        <v>16277</v>
      </c>
      <c r="H4484" t="s">
        <v>16277</v>
      </c>
      <c r="I4484" t="s">
        <v>16353</v>
      </c>
      <c r="J4484" t="s">
        <v>16386</v>
      </c>
      <c r="K4484">
        <v>0.18</v>
      </c>
      <c r="L4484">
        <v>7855</v>
      </c>
      <c r="M4484">
        <v>1781</v>
      </c>
      <c r="N4484" t="s">
        <v>16393</v>
      </c>
      <c r="O4484" s="4">
        <v>132841</v>
      </c>
      <c r="P4484" s="4">
        <v>80627</v>
      </c>
      <c r="Q4484" s="4">
        <v>213468</v>
      </c>
      <c r="R4484" s="4">
        <v>640404</v>
      </c>
      <c r="S4484" t="s">
        <v>20783</v>
      </c>
      <c r="T4484" s="6">
        <v>42767</v>
      </c>
      <c r="U4484" s="4">
        <v>670000</v>
      </c>
      <c r="V4484" t="s">
        <v>23739</v>
      </c>
      <c r="W4484" t="s">
        <v>26146</v>
      </c>
      <c r="X4484" t="s">
        <v>3</v>
      </c>
      <c r="AA4484" s="5" t="str">
        <f>HYPERLINK("https://www.zillow.com/homes/206-DOUGLAS-AVE-NAPERVILLE-IL-605404410_rb/","check listing")</f>
        <v>check listing</v>
      </c>
      <c r="AB4484" s="5" t="str">
        <f>HYPERLINK("https://propertylookup.dupagecounty.gov/Datalets/Datalet.aspx?UseSearch=no&amp;mode=sales&amp;pin=0713403007","sales record")</f>
        <v>sales record</v>
      </c>
      <c r="AC4484" t="s">
        <v>3</v>
      </c>
      <c r="AD4484">
        <v>41.776957</v>
      </c>
      <c r="AE4484">
        <v>-88.15130499999999</v>
      </c>
      <c r="AF4484" s="5" t="str">
        <f>HYPERLINK("https://www.google.com/maps/search/?api=1&amp;query=41.776957,-88.151305","map")</f>
        <v>map</v>
      </c>
    </row>
    <row r="4485" spans="1:32">
      <c r="A4485" t="s">
        <v>4535</v>
      </c>
      <c r="B4485" t="s">
        <v>12068</v>
      </c>
      <c r="C4485" t="s">
        <v>15753</v>
      </c>
      <c r="D4485" t="s">
        <v>16206</v>
      </c>
      <c r="E4485" t="s">
        <v>16218</v>
      </c>
      <c r="F4485" t="s">
        <v>16221</v>
      </c>
      <c r="G4485" t="s">
        <v>16277</v>
      </c>
      <c r="H4485" t="s">
        <v>16277</v>
      </c>
      <c r="I4485" t="s">
        <v>16353</v>
      </c>
      <c r="J4485" t="s">
        <v>16386</v>
      </c>
      <c r="K4485">
        <v>0.18</v>
      </c>
      <c r="L4485">
        <v>7846</v>
      </c>
      <c r="M4485">
        <v>2176</v>
      </c>
      <c r="N4485" t="s">
        <v>16393</v>
      </c>
      <c r="O4485" s="4">
        <v>70862</v>
      </c>
      <c r="P4485" s="4">
        <v>27708</v>
      </c>
      <c r="Q4485" s="4">
        <v>98570</v>
      </c>
      <c r="R4485" s="4">
        <v>295710</v>
      </c>
      <c r="S4485" t="s">
        <v>20784</v>
      </c>
      <c r="T4485" s="6">
        <v>40360</v>
      </c>
      <c r="U4485" s="4">
        <v>146000</v>
      </c>
      <c r="V4485" t="s">
        <v>16232</v>
      </c>
      <c r="W4485" t="s">
        <v>26147</v>
      </c>
      <c r="X4485" t="s">
        <v>3</v>
      </c>
      <c r="AA4485" s="5" t="str">
        <f>HYPERLINK("https://www.zillow.com/homes/920-N-SLEIGHT-ST-NAPERVILLE-IL-605632840_rb/","check listing")</f>
        <v>check listing</v>
      </c>
      <c r="AB4485" s="5" t="str">
        <f>HYPERLINK("https://propertylookup.dupagecounty.gov/Datalets/Datalet.aspx?UseSearch=no&amp;mode=sales&amp;pin=0807312011","sales record")</f>
        <v>sales record</v>
      </c>
      <c r="AC4485" t="s">
        <v>3</v>
      </c>
      <c r="AD4485">
        <v>41.786346</v>
      </c>
      <c r="AE4485">
        <v>-88.139314</v>
      </c>
      <c r="AF4485" s="5" t="str">
        <f>HYPERLINK("https://www.google.com/maps/search/?api=1&amp;query=41.786346,-88.139314","map")</f>
        <v>map</v>
      </c>
    </row>
    <row r="4486" spans="1:32">
      <c r="A4486" t="s">
        <v>4536</v>
      </c>
      <c r="B4486" t="s">
        <v>12069</v>
      </c>
      <c r="C4486" t="s">
        <v>15475</v>
      </c>
      <c r="D4486" t="s">
        <v>16206</v>
      </c>
      <c r="E4486" t="s">
        <v>16218</v>
      </c>
      <c r="F4486" t="s">
        <v>16221</v>
      </c>
      <c r="G4486" t="s">
        <v>16278</v>
      </c>
      <c r="H4486" t="s">
        <v>16277</v>
      </c>
      <c r="I4486" t="s">
        <v>16353</v>
      </c>
      <c r="J4486" t="s">
        <v>16386</v>
      </c>
      <c r="K4486">
        <v>0.18</v>
      </c>
      <c r="L4486">
        <v>7841</v>
      </c>
      <c r="N4486" t="s">
        <v>16393</v>
      </c>
      <c r="O4486" s="4">
        <v>66140</v>
      </c>
      <c r="P4486" s="4">
        <v>197882</v>
      </c>
      <c r="Q4486" s="4">
        <v>264022</v>
      </c>
      <c r="R4486" s="4">
        <v>792066</v>
      </c>
      <c r="S4486" t="s">
        <v>20785</v>
      </c>
      <c r="T4486" s="6">
        <v>42826</v>
      </c>
      <c r="U4486" s="4">
        <v>576259</v>
      </c>
      <c r="V4486" t="s">
        <v>16232</v>
      </c>
      <c r="W4486" t="s">
        <v>26148</v>
      </c>
      <c r="X4486" t="s">
        <v>3</v>
      </c>
      <c r="AA4486" s="5" t="str">
        <f>HYPERLINK("https://www.zillow.com/homes/1687-SILVERLEAF-CT-NAPERVILLE-IL-60540_rb/","check listing")</f>
        <v>check listing</v>
      </c>
      <c r="AB4486" s="5" t="str">
        <f>HYPERLINK("https://propertylookup.dupagecounty.gov/Datalets/Datalet.aspx?UseSearch=no&amp;mode=sales&amp;pin=0709107015","sales record")</f>
        <v>sales record</v>
      </c>
      <c r="AC4486" t="s">
        <v>3</v>
      </c>
      <c r="AD4486">
        <v>41.798099</v>
      </c>
      <c r="AE4486">
        <v>-88.222898</v>
      </c>
      <c r="AF4486" s="5" t="str">
        <f>HYPERLINK("https://www.google.com/maps/search/?api=1&amp;query=41.798099,-88.222898","map")</f>
        <v>map</v>
      </c>
    </row>
    <row r="4487" spans="1:32">
      <c r="A4487" t="s">
        <v>4537</v>
      </c>
      <c r="B4487" t="s">
        <v>12070</v>
      </c>
      <c r="C4487" t="s">
        <v>15478</v>
      </c>
      <c r="D4487" t="s">
        <v>16206</v>
      </c>
      <c r="E4487" t="s">
        <v>16218</v>
      </c>
      <c r="F4487" t="s">
        <v>16221</v>
      </c>
      <c r="G4487" t="s">
        <v>16278</v>
      </c>
      <c r="H4487" t="s">
        <v>16277</v>
      </c>
      <c r="I4487" t="s">
        <v>16353</v>
      </c>
      <c r="J4487" t="s">
        <v>16386</v>
      </c>
      <c r="K4487">
        <v>0.18</v>
      </c>
      <c r="L4487">
        <v>7835</v>
      </c>
      <c r="N4487" t="s">
        <v>16393</v>
      </c>
      <c r="O4487" s="4">
        <v>59841</v>
      </c>
      <c r="P4487" s="4">
        <v>168712</v>
      </c>
      <c r="Q4487" s="4">
        <v>228553</v>
      </c>
      <c r="R4487" s="4">
        <v>685659</v>
      </c>
      <c r="S4487" t="s">
        <v>20786</v>
      </c>
      <c r="T4487" s="6">
        <v>42795</v>
      </c>
      <c r="U4487" s="4">
        <v>469677</v>
      </c>
      <c r="V4487" t="s">
        <v>16232</v>
      </c>
      <c r="W4487" t="s">
        <v>26149</v>
      </c>
      <c r="X4487" t="s">
        <v>3</v>
      </c>
      <c r="AA4487" s="5" t="str">
        <f>HYPERLINK("https://www.zillow.com/homes/1668-SILVERLEAF-ST-NAPERVILLE-IL-60563_rb/","check listing")</f>
        <v>check listing</v>
      </c>
      <c r="AB4487" s="5" t="str">
        <f>HYPERLINK("https://propertylookup.dupagecounty.gov/Datalets/Datalet.aspx?UseSearch=no&amp;mode=sales&amp;pin=0709108005","sales record")</f>
        <v>sales record</v>
      </c>
      <c r="AC4487" t="s">
        <v>3</v>
      </c>
      <c r="AD4487">
        <v>41.797347</v>
      </c>
      <c r="AE4487">
        <v>-88.223552</v>
      </c>
      <c r="AF4487" s="5" t="str">
        <f>HYPERLINK("https://www.google.com/maps/search/?api=1&amp;query=41.797347,-88.223552","map")</f>
        <v>map</v>
      </c>
    </row>
    <row r="4488" spans="1:32">
      <c r="A4488" t="s">
        <v>4538</v>
      </c>
      <c r="B4488" t="s">
        <v>12071</v>
      </c>
      <c r="C4488" t="s">
        <v>15662</v>
      </c>
      <c r="D4488" t="s">
        <v>16206</v>
      </c>
      <c r="E4488" t="s">
        <v>16218</v>
      </c>
      <c r="F4488" t="s">
        <v>16221</v>
      </c>
      <c r="G4488" t="s">
        <v>16278</v>
      </c>
      <c r="H4488" t="s">
        <v>16277</v>
      </c>
      <c r="I4488" t="s">
        <v>16353</v>
      </c>
      <c r="J4488" t="s">
        <v>16386</v>
      </c>
      <c r="K4488">
        <v>0.18</v>
      </c>
      <c r="L4488">
        <v>7833</v>
      </c>
      <c r="N4488" t="s">
        <v>16393</v>
      </c>
      <c r="O4488" s="4">
        <v>56146</v>
      </c>
      <c r="P4488" s="4">
        <v>220184</v>
      </c>
      <c r="Q4488" s="4">
        <v>276330</v>
      </c>
      <c r="R4488" s="4">
        <v>828990</v>
      </c>
      <c r="S4488" t="s">
        <v>20787</v>
      </c>
      <c r="T4488" s="6">
        <v>45421</v>
      </c>
      <c r="U4488" s="4">
        <v>868556</v>
      </c>
      <c r="V4488" t="s">
        <v>16232</v>
      </c>
      <c r="W4488" t="s">
        <v>26150</v>
      </c>
      <c r="X4488" t="s">
        <v>3</v>
      </c>
      <c r="AA4488" s="5" t="str">
        <f>HYPERLINK("https://www.zillow.com/homes/2415-BRIGHT-HAWK-ST-NAPERVILLE-IL-605631594_rb/","check listing")</f>
        <v>check listing</v>
      </c>
      <c r="AB4488" s="5" t="str">
        <f>HYPERLINK("https://propertylookup.dupagecounty.gov/Datalets/Datalet.aspx?UseSearch=no&amp;mode=sales&amp;pin=0532304002","sales record")</f>
        <v>sales record</v>
      </c>
      <c r="AC4488" t="s">
        <v>3</v>
      </c>
      <c r="AD4488">
        <v>41.818072</v>
      </c>
      <c r="AE4488">
        <v>-88.119865</v>
      </c>
      <c r="AF4488" s="5" t="str">
        <f>HYPERLINK("https://www.google.com/maps/search/?api=1&amp;query=41.818072,-88.119865","map")</f>
        <v>map</v>
      </c>
    </row>
    <row r="4489" spans="1:32">
      <c r="A4489" t="s">
        <v>4539</v>
      </c>
      <c r="B4489" t="s">
        <v>12072</v>
      </c>
      <c r="C4489" t="s">
        <v>15475</v>
      </c>
      <c r="D4489" t="s">
        <v>16206</v>
      </c>
      <c r="E4489" t="s">
        <v>16218</v>
      </c>
      <c r="F4489" t="s">
        <v>16221</v>
      </c>
      <c r="G4489" t="s">
        <v>16277</v>
      </c>
      <c r="H4489" t="s">
        <v>16277</v>
      </c>
      <c r="I4489" t="s">
        <v>16353</v>
      </c>
      <c r="J4489" t="s">
        <v>16386</v>
      </c>
      <c r="K4489">
        <v>0.18</v>
      </c>
      <c r="L4489">
        <v>7825</v>
      </c>
      <c r="M4489">
        <v>1715</v>
      </c>
      <c r="N4489" t="s">
        <v>16393</v>
      </c>
      <c r="O4489" s="4">
        <v>119294</v>
      </c>
      <c r="P4489" s="4">
        <v>54252</v>
      </c>
      <c r="Q4489" s="4">
        <v>173546</v>
      </c>
      <c r="R4489" s="4">
        <v>520638</v>
      </c>
      <c r="S4489" t="s">
        <v>20788</v>
      </c>
      <c r="T4489" s="6">
        <v>41883</v>
      </c>
      <c r="U4489" s="4">
        <v>342000</v>
      </c>
      <c r="V4489" t="s">
        <v>23740</v>
      </c>
      <c r="W4489" t="s">
        <v>26151</v>
      </c>
      <c r="X4489" t="s">
        <v>3</v>
      </c>
      <c r="AA4489" s="5" t="str">
        <f>HYPERLINK("https://www.zillow.com/homes/124-N-WEST-ST-NAPERVILLE-IL-60540_rb/","check listing")</f>
        <v>check listing</v>
      </c>
      <c r="AB4489" s="5" t="str">
        <f>HYPERLINK("https://propertylookup.dupagecounty.gov/Datalets/Datalet.aspx?UseSearch=no&amp;mode=sales&amp;pin=0713305001","sales record")</f>
        <v>sales record</v>
      </c>
      <c r="AC4489" t="s">
        <v>3</v>
      </c>
      <c r="AD4489">
        <v>41.776864</v>
      </c>
      <c r="AE4489">
        <v>-88.157053</v>
      </c>
      <c r="AF4489" s="5" t="str">
        <f>HYPERLINK("https://www.google.com/maps/search/?api=1&amp;query=41.776864,-88.157053","map")</f>
        <v>map</v>
      </c>
    </row>
    <row r="4490" spans="1:32">
      <c r="A4490" t="s">
        <v>4540</v>
      </c>
      <c r="B4490" t="s">
        <v>12073</v>
      </c>
      <c r="C4490" t="s">
        <v>15689</v>
      </c>
      <c r="D4490" t="s">
        <v>16206</v>
      </c>
      <c r="E4490" t="s">
        <v>16218</v>
      </c>
      <c r="F4490" t="s">
        <v>16221</v>
      </c>
      <c r="G4490" t="s">
        <v>16278</v>
      </c>
      <c r="H4490" t="s">
        <v>16277</v>
      </c>
      <c r="I4490" t="s">
        <v>16353</v>
      </c>
      <c r="J4490" t="s">
        <v>16386</v>
      </c>
      <c r="K4490">
        <v>0.179</v>
      </c>
      <c r="L4490">
        <v>7814</v>
      </c>
      <c r="N4490" t="s">
        <v>16393</v>
      </c>
      <c r="O4490" s="4">
        <v>62979</v>
      </c>
      <c r="P4490" s="4">
        <v>161280</v>
      </c>
      <c r="Q4490" s="4">
        <v>224259</v>
      </c>
      <c r="R4490" s="4">
        <v>672777</v>
      </c>
      <c r="S4490" t="s">
        <v>20789</v>
      </c>
      <c r="T4490" s="6">
        <v>43800</v>
      </c>
      <c r="U4490" s="4">
        <v>503305</v>
      </c>
      <c r="V4490" t="s">
        <v>16232</v>
      </c>
      <c r="W4490" t="s">
        <v>20789</v>
      </c>
      <c r="X4490" t="s">
        <v>3</v>
      </c>
      <c r="AA4490" s="5" t="str">
        <f>HYPERLINK("https://www.zillow.com/homes/1520-BAYOU-PATH-DR-NAPERVILLE-IL-605633490_rb/","check listing")</f>
        <v>check listing</v>
      </c>
      <c r="AB4490" s="5" t="str">
        <f>HYPERLINK("https://propertylookup.dupagecounty.gov/Datalets/Datalet.aspx?UseSearch=no&amp;mode=sales&amp;pin=0709105045","sales record")</f>
        <v>sales record</v>
      </c>
      <c r="AC4490" t="s">
        <v>3</v>
      </c>
      <c r="AD4490">
        <v>41.792541</v>
      </c>
      <c r="AE4490">
        <v>-88.218801</v>
      </c>
      <c r="AF4490" s="5" t="str">
        <f>HYPERLINK("https://www.google.com/maps/search/?api=1&amp;query=41.792541,-88.218801","map")</f>
        <v>map</v>
      </c>
    </row>
    <row r="4491" spans="1:32">
      <c r="A4491" t="s">
        <v>4541</v>
      </c>
      <c r="B4491" t="s">
        <v>12074</v>
      </c>
      <c r="C4491" t="s">
        <v>15689</v>
      </c>
      <c r="D4491" t="s">
        <v>16206</v>
      </c>
      <c r="E4491" t="s">
        <v>16218</v>
      </c>
      <c r="F4491" t="s">
        <v>16221</v>
      </c>
      <c r="G4491" t="s">
        <v>16278</v>
      </c>
      <c r="H4491" t="s">
        <v>16277</v>
      </c>
      <c r="I4491" t="s">
        <v>16353</v>
      </c>
      <c r="J4491" t="s">
        <v>16386</v>
      </c>
      <c r="K4491">
        <v>0.179</v>
      </c>
      <c r="L4491">
        <v>7814</v>
      </c>
      <c r="N4491" t="s">
        <v>16393</v>
      </c>
      <c r="O4491" s="4">
        <v>62991</v>
      </c>
      <c r="P4491" s="4">
        <v>185762</v>
      </c>
      <c r="Q4491" s="4">
        <v>248753</v>
      </c>
      <c r="R4491" s="4">
        <v>746259</v>
      </c>
      <c r="S4491" t="s">
        <v>20790</v>
      </c>
      <c r="T4491" s="6">
        <v>43739</v>
      </c>
      <c r="U4491" s="4">
        <v>573194</v>
      </c>
      <c r="V4491" t="s">
        <v>16232</v>
      </c>
      <c r="W4491" t="s">
        <v>26152</v>
      </c>
      <c r="X4491" t="s">
        <v>3</v>
      </c>
      <c r="AA4491" s="5" t="str">
        <f>HYPERLINK("https://www.zillow.com/homes/1512-BAYOU-PATH-DR-NAPERVILLE-IL-605633490_rb/","check listing")</f>
        <v>check listing</v>
      </c>
      <c r="AB4491" s="5" t="str">
        <f>HYPERLINK("https://propertylookup.dupagecounty.gov/Datalets/Datalet.aspx?UseSearch=no&amp;mode=sales&amp;pin=0709105047","sales record")</f>
        <v>sales record</v>
      </c>
      <c r="AC4491" t="s">
        <v>3</v>
      </c>
      <c r="AD4491">
        <v>41.7922</v>
      </c>
      <c r="AE4491">
        <v>-88.21894</v>
      </c>
      <c r="AF4491" s="5" t="str">
        <f>HYPERLINK("https://www.google.com/maps/search/?api=1&amp;query=41.7922,-88.21894","map")</f>
        <v>map</v>
      </c>
    </row>
    <row r="4492" spans="1:32">
      <c r="A4492" t="s">
        <v>4542</v>
      </c>
      <c r="B4492" t="s">
        <v>12075</v>
      </c>
      <c r="C4492" t="s">
        <v>15689</v>
      </c>
      <c r="D4492" t="s">
        <v>16206</v>
      </c>
      <c r="E4492" t="s">
        <v>16218</v>
      </c>
      <c r="F4492" t="s">
        <v>16221</v>
      </c>
      <c r="G4492" t="s">
        <v>16278</v>
      </c>
      <c r="H4492" t="s">
        <v>16277</v>
      </c>
      <c r="I4492" t="s">
        <v>16353</v>
      </c>
      <c r="J4492" t="s">
        <v>16386</v>
      </c>
      <c r="K4492">
        <v>0.179</v>
      </c>
      <c r="L4492">
        <v>7813</v>
      </c>
      <c r="N4492" t="s">
        <v>16393</v>
      </c>
      <c r="O4492" s="4">
        <v>62979</v>
      </c>
      <c r="P4492" s="4">
        <v>182749</v>
      </c>
      <c r="Q4492" s="4">
        <v>245728</v>
      </c>
      <c r="R4492" s="4">
        <v>737184</v>
      </c>
      <c r="S4492" t="s">
        <v>20791</v>
      </c>
      <c r="T4492" s="6">
        <v>43556</v>
      </c>
      <c r="U4492" s="4">
        <v>530702</v>
      </c>
      <c r="V4492" t="s">
        <v>16232</v>
      </c>
      <c r="W4492" t="s">
        <v>26153</v>
      </c>
      <c r="X4492" t="s">
        <v>3</v>
      </c>
      <c r="AA4492" s="5" t="str">
        <f>HYPERLINK("https://www.zillow.com/homes/1516-BAYOU-PATH-DR-NAPERVILLE-IL-605633490_rb/","check listing")</f>
        <v>check listing</v>
      </c>
      <c r="AB4492" s="5" t="str">
        <f>HYPERLINK("https://propertylookup.dupagecounty.gov/Datalets/Datalet.aspx?UseSearch=no&amp;mode=sales&amp;pin=0709105046","sales record")</f>
        <v>sales record</v>
      </c>
      <c r="AC4492" t="s">
        <v>3</v>
      </c>
      <c r="AD4492">
        <v>41.792371</v>
      </c>
      <c r="AE4492">
        <v>-88.21887</v>
      </c>
      <c r="AF4492" s="5" t="str">
        <f>HYPERLINK("https://www.google.com/maps/search/?api=1&amp;query=41.792371,-88.21887","map")</f>
        <v>map</v>
      </c>
    </row>
    <row r="4493" spans="1:32">
      <c r="A4493" t="s">
        <v>4543</v>
      </c>
      <c r="B4493" t="s">
        <v>12076</v>
      </c>
      <c r="C4493" t="s">
        <v>15689</v>
      </c>
      <c r="D4493" t="s">
        <v>16206</v>
      </c>
      <c r="E4493" t="s">
        <v>16218</v>
      </c>
      <c r="F4493" t="s">
        <v>16221</v>
      </c>
      <c r="G4493" t="s">
        <v>16278</v>
      </c>
      <c r="H4493" t="s">
        <v>16277</v>
      </c>
      <c r="I4493" t="s">
        <v>16353</v>
      </c>
      <c r="J4493" t="s">
        <v>16386</v>
      </c>
      <c r="K4493">
        <v>0.179</v>
      </c>
      <c r="L4493">
        <v>7811</v>
      </c>
      <c r="N4493" t="s">
        <v>16393</v>
      </c>
      <c r="O4493" s="4">
        <v>62979</v>
      </c>
      <c r="P4493" s="4">
        <v>188814</v>
      </c>
      <c r="Q4493" s="4">
        <v>251793</v>
      </c>
      <c r="R4493" s="4">
        <v>755379</v>
      </c>
      <c r="S4493" t="s">
        <v>20792</v>
      </c>
      <c r="T4493" s="6">
        <v>43647</v>
      </c>
      <c r="U4493" s="4">
        <v>532000</v>
      </c>
      <c r="V4493" t="s">
        <v>16232</v>
      </c>
      <c r="W4493" t="s">
        <v>26154</v>
      </c>
      <c r="X4493" t="s">
        <v>3</v>
      </c>
      <c r="AA4493" s="5" t="str">
        <f>HYPERLINK("https://www.zillow.com/homes/1528-BAYOU-PATH-DR-NAPERVILLE-IL-605633490_rb/","check listing")</f>
        <v>check listing</v>
      </c>
      <c r="AB4493" s="5" t="str">
        <f>HYPERLINK("https://propertylookup.dupagecounty.gov/Datalets/Datalet.aspx?UseSearch=no&amp;mode=sales&amp;pin=0709105043","sales record")</f>
        <v>sales record</v>
      </c>
      <c r="AC4493" t="s">
        <v>3</v>
      </c>
      <c r="AD4493">
        <v>41.792882</v>
      </c>
      <c r="AE4493">
        <v>-88.21866199999999</v>
      </c>
      <c r="AF4493" s="5" t="str">
        <f>HYPERLINK("https://www.google.com/maps/search/?api=1&amp;query=41.792882,-88.218662","map")</f>
        <v>map</v>
      </c>
    </row>
    <row r="4494" spans="1:32">
      <c r="A4494" t="s">
        <v>4544</v>
      </c>
      <c r="B4494" t="s">
        <v>12077</v>
      </c>
      <c r="C4494" t="s">
        <v>15478</v>
      </c>
      <c r="D4494" t="s">
        <v>16206</v>
      </c>
      <c r="E4494" t="s">
        <v>16218</v>
      </c>
      <c r="F4494" t="s">
        <v>16221</v>
      </c>
      <c r="G4494" t="s">
        <v>16278</v>
      </c>
      <c r="H4494" t="s">
        <v>16277</v>
      </c>
      <c r="I4494" t="s">
        <v>16353</v>
      </c>
      <c r="J4494" t="s">
        <v>16386</v>
      </c>
      <c r="K4494">
        <v>0.179</v>
      </c>
      <c r="L4494">
        <v>7810</v>
      </c>
      <c r="N4494" t="s">
        <v>16393</v>
      </c>
      <c r="O4494" s="4">
        <v>62991</v>
      </c>
      <c r="P4494" s="4">
        <v>202936</v>
      </c>
      <c r="Q4494" s="4">
        <v>265927</v>
      </c>
      <c r="R4494" s="4">
        <v>797781</v>
      </c>
      <c r="S4494" t="s">
        <v>20793</v>
      </c>
      <c r="T4494" s="6">
        <v>43435</v>
      </c>
      <c r="U4494" s="4">
        <v>586234</v>
      </c>
      <c r="V4494" t="s">
        <v>16232</v>
      </c>
      <c r="W4494" t="s">
        <v>26155</v>
      </c>
      <c r="X4494" t="s">
        <v>3</v>
      </c>
      <c r="AA4494" s="5" t="str">
        <f>HYPERLINK("https://www.zillow.com/homes/1524-BAYOU-PATH-DR-NAPERVILLE-IL-60563_rb/","check listing")</f>
        <v>check listing</v>
      </c>
      <c r="AB4494" s="5" t="str">
        <f>HYPERLINK("https://propertylookup.dupagecounty.gov/Datalets/Datalet.aspx?UseSearch=no&amp;mode=sales&amp;pin=0709105044","sales record")</f>
        <v>sales record</v>
      </c>
      <c r="AC4494" t="s">
        <v>3</v>
      </c>
      <c r="AD4494">
        <v>41.792712</v>
      </c>
      <c r="AE4494">
        <v>-88.218732</v>
      </c>
      <c r="AF4494" s="5" t="str">
        <f>HYPERLINK("https://www.google.com/maps/search/?api=1&amp;query=41.792712,-88.218732","map")</f>
        <v>map</v>
      </c>
    </row>
    <row r="4495" spans="1:32">
      <c r="A4495" t="s">
        <v>4545</v>
      </c>
      <c r="B4495" t="s">
        <v>12078</v>
      </c>
      <c r="C4495" t="s">
        <v>15689</v>
      </c>
      <c r="D4495" t="s">
        <v>16206</v>
      </c>
      <c r="E4495" t="s">
        <v>16218</v>
      </c>
      <c r="F4495" t="s">
        <v>16221</v>
      </c>
      <c r="G4495" t="s">
        <v>16278</v>
      </c>
      <c r="H4495" t="s">
        <v>16277</v>
      </c>
      <c r="I4495" t="s">
        <v>16353</v>
      </c>
      <c r="J4495" t="s">
        <v>16386</v>
      </c>
      <c r="K4495">
        <v>0.179</v>
      </c>
      <c r="L4495">
        <v>7808</v>
      </c>
      <c r="N4495" t="s">
        <v>16393</v>
      </c>
      <c r="O4495" s="4">
        <v>62979</v>
      </c>
      <c r="P4495" s="4">
        <v>182272</v>
      </c>
      <c r="Q4495" s="4">
        <v>245251</v>
      </c>
      <c r="R4495" s="4">
        <v>735753</v>
      </c>
      <c r="S4495" t="s">
        <v>20794</v>
      </c>
      <c r="T4495" s="6">
        <v>43525</v>
      </c>
      <c r="U4495" s="4">
        <v>513600</v>
      </c>
      <c r="V4495" t="s">
        <v>16232</v>
      </c>
      <c r="W4495" t="s">
        <v>26156</v>
      </c>
      <c r="X4495" t="s">
        <v>3</v>
      </c>
      <c r="AA4495" s="5" t="str">
        <f>HYPERLINK("https://www.zillow.com/homes/1532-BAYOU-PATH-DR-NAPERVILLE-IL-605633490_rb/","check listing")</f>
        <v>check listing</v>
      </c>
      <c r="AB4495" s="5" t="str">
        <f>HYPERLINK("https://propertylookup.dupagecounty.gov/Datalets/Datalet.aspx?UseSearch=no&amp;mode=sales&amp;pin=0709105042","sales record")</f>
        <v>sales record</v>
      </c>
      <c r="AC4495" t="s">
        <v>3</v>
      </c>
      <c r="AD4495">
        <v>41.793053</v>
      </c>
      <c r="AE4495">
        <v>-88.218593</v>
      </c>
      <c r="AF4495" s="5" t="str">
        <f>HYPERLINK("https://www.google.com/maps/search/?api=1&amp;query=41.793053,-88.218593","map")</f>
        <v>map</v>
      </c>
    </row>
    <row r="4496" spans="1:32">
      <c r="A4496" t="s">
        <v>4546</v>
      </c>
      <c r="B4496" t="s">
        <v>12079</v>
      </c>
      <c r="C4496" t="s">
        <v>15704</v>
      </c>
      <c r="D4496" t="s">
        <v>16206</v>
      </c>
      <c r="E4496" t="s">
        <v>16218</v>
      </c>
      <c r="F4496" t="s">
        <v>16221</v>
      </c>
      <c r="G4496" t="s">
        <v>16278</v>
      </c>
      <c r="H4496" t="s">
        <v>16277</v>
      </c>
      <c r="I4496" t="s">
        <v>16353</v>
      </c>
      <c r="J4496" t="s">
        <v>16386</v>
      </c>
      <c r="K4496">
        <v>0.179</v>
      </c>
      <c r="L4496">
        <v>7806</v>
      </c>
      <c r="N4496" t="s">
        <v>16393</v>
      </c>
      <c r="O4496" s="4">
        <v>72438</v>
      </c>
      <c r="P4496" s="4">
        <v>214787</v>
      </c>
      <c r="Q4496" s="4">
        <v>287225</v>
      </c>
      <c r="R4496" s="4">
        <v>861675</v>
      </c>
      <c r="S4496" t="s">
        <v>20795</v>
      </c>
      <c r="T4496" s="6">
        <v>43313</v>
      </c>
      <c r="U4496" s="4">
        <v>628786</v>
      </c>
      <c r="V4496" t="s">
        <v>16232</v>
      </c>
      <c r="W4496" t="s">
        <v>26157</v>
      </c>
      <c r="X4496" t="s">
        <v>3</v>
      </c>
      <c r="AA4496" s="5" t="str">
        <f>HYPERLINK("https://www.zillow.com/homes/1519-BAYOU-PATH-DR-NAPERVILLE-IL-605633496_rb/","check listing")</f>
        <v>check listing</v>
      </c>
      <c r="AB4496" s="5" t="str">
        <f>HYPERLINK("https://propertylookup.dupagecounty.gov/Datalets/Datalet.aspx?UseSearch=no&amp;mode=sales&amp;pin=0709114025","sales record")</f>
        <v>sales record</v>
      </c>
      <c r="AC4496" t="s">
        <v>3</v>
      </c>
      <c r="AD4496">
        <v>41.792654</v>
      </c>
      <c r="AE4496">
        <v>-88.219469</v>
      </c>
      <c r="AF4496" s="5" t="str">
        <f>HYPERLINK("https://www.google.com/maps/search/?api=1&amp;query=41.792654,-88.219469","map")</f>
        <v>map</v>
      </c>
    </row>
    <row r="4497" spans="1:32">
      <c r="A4497" t="s">
        <v>4547</v>
      </c>
      <c r="B4497" t="s">
        <v>12080</v>
      </c>
      <c r="C4497" t="s">
        <v>15662</v>
      </c>
      <c r="D4497" t="s">
        <v>16206</v>
      </c>
      <c r="E4497" t="s">
        <v>16218</v>
      </c>
      <c r="F4497" t="s">
        <v>16221</v>
      </c>
      <c r="G4497" t="s">
        <v>16278</v>
      </c>
      <c r="H4497" t="s">
        <v>16277</v>
      </c>
      <c r="I4497" t="s">
        <v>16353</v>
      </c>
      <c r="J4497" t="s">
        <v>16386</v>
      </c>
      <c r="K4497">
        <v>0.179</v>
      </c>
      <c r="L4497">
        <v>7805</v>
      </c>
      <c r="N4497" t="s">
        <v>16393</v>
      </c>
      <c r="O4497" s="4">
        <v>56146</v>
      </c>
      <c r="P4497" s="4">
        <v>222983</v>
      </c>
      <c r="Q4497" s="4">
        <v>279129</v>
      </c>
      <c r="R4497" s="4">
        <v>837387</v>
      </c>
      <c r="S4497" t="s">
        <v>20796</v>
      </c>
      <c r="T4497" s="6">
        <v>44925</v>
      </c>
      <c r="U4497" s="4">
        <v>728916</v>
      </c>
      <c r="V4497" t="s">
        <v>16232</v>
      </c>
      <c r="W4497" t="s">
        <v>26158</v>
      </c>
      <c r="X4497" t="s">
        <v>3</v>
      </c>
      <c r="AA4497" s="5" t="str">
        <f>HYPERLINK("https://www.zillow.com/homes/1219-WRENSON-AVE-NAPERVILLE-IL-605631594_rb/","check listing")</f>
        <v>check listing</v>
      </c>
      <c r="AB4497" s="5" t="str">
        <f>HYPERLINK("https://propertylookup.dupagecounty.gov/Datalets/Datalet.aspx?UseSearch=no&amp;mode=sales&amp;pin=0532303007","sales record")</f>
        <v>sales record</v>
      </c>
      <c r="AC4497" t="s">
        <v>3</v>
      </c>
      <c r="AD4497">
        <v>41.817559</v>
      </c>
      <c r="AE4497">
        <v>-88.121106</v>
      </c>
      <c r="AF4497" s="5" t="str">
        <f>HYPERLINK("https://www.google.com/maps/search/?api=1&amp;query=41.817559,-88.121106","map")</f>
        <v>map</v>
      </c>
    </row>
    <row r="4498" spans="1:32">
      <c r="A4498" t="s">
        <v>4548</v>
      </c>
      <c r="B4498" t="s">
        <v>12081</v>
      </c>
      <c r="C4498" t="s">
        <v>15704</v>
      </c>
      <c r="D4498" t="s">
        <v>16206</v>
      </c>
      <c r="E4498" t="s">
        <v>16218</v>
      </c>
      <c r="F4498" t="s">
        <v>16221</v>
      </c>
      <c r="G4498" t="s">
        <v>16278</v>
      </c>
      <c r="H4498" t="s">
        <v>16277</v>
      </c>
      <c r="I4498" t="s">
        <v>16353</v>
      </c>
      <c r="J4498" t="s">
        <v>16386</v>
      </c>
      <c r="K4498">
        <v>0.179</v>
      </c>
      <c r="L4498">
        <v>7804</v>
      </c>
      <c r="N4498" t="s">
        <v>16393</v>
      </c>
      <c r="O4498" s="4">
        <v>72438</v>
      </c>
      <c r="P4498" s="4">
        <v>196943</v>
      </c>
      <c r="Q4498" s="4">
        <v>269381</v>
      </c>
      <c r="R4498" s="4">
        <v>808143</v>
      </c>
      <c r="S4498" t="s">
        <v>20797</v>
      </c>
      <c r="T4498" s="6">
        <v>43313</v>
      </c>
      <c r="U4498" s="4">
        <v>626514</v>
      </c>
      <c r="V4498" t="s">
        <v>16232</v>
      </c>
      <c r="W4498" t="s">
        <v>26159</v>
      </c>
      <c r="X4498" t="s">
        <v>3</v>
      </c>
      <c r="AA4498" s="5" t="str">
        <f>HYPERLINK("https://www.zillow.com/homes/1515-BAYOU-PATH-DR-NAPERVILLE-IL-605633496_rb/","check listing")</f>
        <v>check listing</v>
      </c>
      <c r="AB4498" s="5" t="str">
        <f>HYPERLINK("https://propertylookup.dupagecounty.gov/Datalets/Datalet.aspx?UseSearch=no&amp;mode=sales&amp;pin=0709114026","sales record")</f>
        <v>sales record</v>
      </c>
      <c r="AC4498" t="s">
        <v>3</v>
      </c>
      <c r="AD4498">
        <v>41.792484</v>
      </c>
      <c r="AE4498">
        <v>-88.219538</v>
      </c>
      <c r="AF4498" s="5" t="str">
        <f>HYPERLINK("https://www.google.com/maps/search/?api=1&amp;query=41.792484,-88.219538","map")</f>
        <v>map</v>
      </c>
    </row>
    <row r="4499" spans="1:32">
      <c r="A4499" t="s">
        <v>4549</v>
      </c>
      <c r="B4499" t="s">
        <v>12082</v>
      </c>
      <c r="C4499" t="s">
        <v>15704</v>
      </c>
      <c r="D4499" t="s">
        <v>16206</v>
      </c>
      <c r="E4499" t="s">
        <v>16218</v>
      </c>
      <c r="F4499" t="s">
        <v>16221</v>
      </c>
      <c r="G4499" t="s">
        <v>16278</v>
      </c>
      <c r="H4499" t="s">
        <v>16277</v>
      </c>
      <c r="I4499" t="s">
        <v>16353</v>
      </c>
      <c r="J4499" t="s">
        <v>16386</v>
      </c>
      <c r="K4499">
        <v>0.179</v>
      </c>
      <c r="L4499">
        <v>7803</v>
      </c>
      <c r="N4499" t="s">
        <v>16393</v>
      </c>
      <c r="O4499" s="4">
        <v>72438</v>
      </c>
      <c r="P4499" s="4">
        <v>189974</v>
      </c>
      <c r="Q4499" s="4">
        <v>262412</v>
      </c>
      <c r="R4499" s="4">
        <v>787236</v>
      </c>
      <c r="S4499" t="s">
        <v>20798</v>
      </c>
      <c r="T4499" s="6">
        <v>43160</v>
      </c>
      <c r="U4499" s="4">
        <v>569885</v>
      </c>
      <c r="V4499" t="s">
        <v>16232</v>
      </c>
      <c r="W4499" t="s">
        <v>26160</v>
      </c>
      <c r="X4499" t="s">
        <v>3</v>
      </c>
      <c r="AA4499" s="5" t="str">
        <f>HYPERLINK("https://www.zillow.com/homes/1531-BAYOU-PATH-DR-NAPERVILLE-IL-605633496_rb/","check listing")</f>
        <v>check listing</v>
      </c>
      <c r="AB4499" s="5" t="str">
        <f>HYPERLINK("https://propertylookup.dupagecounty.gov/Datalets/Datalet.aspx?UseSearch=no&amp;mode=sales&amp;pin=0709114022","sales record")</f>
        <v>sales record</v>
      </c>
      <c r="AC4499" t="s">
        <v>3</v>
      </c>
      <c r="AD4499">
        <v>41.793166</v>
      </c>
      <c r="AE4499">
        <v>-88.21926000000001</v>
      </c>
      <c r="AF4499" s="5" t="str">
        <f>HYPERLINK("https://www.google.com/maps/search/?api=1&amp;query=41.793166,-88.21926","map")</f>
        <v>map</v>
      </c>
    </row>
    <row r="4500" spans="1:32">
      <c r="A4500" t="s">
        <v>4550</v>
      </c>
      <c r="B4500" t="s">
        <v>12083</v>
      </c>
      <c r="C4500" t="s">
        <v>15478</v>
      </c>
      <c r="D4500" t="s">
        <v>16206</v>
      </c>
      <c r="E4500" t="s">
        <v>16218</v>
      </c>
      <c r="F4500" t="s">
        <v>16221</v>
      </c>
      <c r="G4500" t="s">
        <v>16278</v>
      </c>
      <c r="H4500" t="s">
        <v>16277</v>
      </c>
      <c r="I4500" t="s">
        <v>16353</v>
      </c>
      <c r="J4500" t="s">
        <v>16386</v>
      </c>
      <c r="K4500">
        <v>0.179</v>
      </c>
      <c r="L4500">
        <v>7803</v>
      </c>
      <c r="N4500" t="s">
        <v>16393</v>
      </c>
      <c r="O4500" s="4">
        <v>72438</v>
      </c>
      <c r="P4500" s="4">
        <v>190595</v>
      </c>
      <c r="Q4500" s="4">
        <v>263033</v>
      </c>
      <c r="R4500" s="4">
        <v>789099</v>
      </c>
      <c r="S4500" t="s">
        <v>20799</v>
      </c>
      <c r="T4500" s="6">
        <v>43132</v>
      </c>
      <c r="U4500" s="4">
        <v>554595</v>
      </c>
      <c r="V4500" t="s">
        <v>16232</v>
      </c>
      <c r="W4500" t="s">
        <v>26161</v>
      </c>
      <c r="X4500" t="s">
        <v>3</v>
      </c>
      <c r="AA4500" s="5" t="str">
        <f>HYPERLINK("https://www.zillow.com/homes/1523-BAYOU-PATH-DR-NAPERVILLE-IL-60563_rb/","check listing")</f>
        <v>check listing</v>
      </c>
      <c r="AB4500" s="5" t="str">
        <f>HYPERLINK("https://propertylookup.dupagecounty.gov/Datalets/Datalet.aspx?UseSearch=no&amp;mode=sales&amp;pin=0709114024","sales record")</f>
        <v>sales record</v>
      </c>
      <c r="AC4500" t="s">
        <v>3</v>
      </c>
      <c r="AD4500">
        <v>41.792825</v>
      </c>
      <c r="AE4500">
        <v>-88.219399</v>
      </c>
      <c r="AF4500" s="5" t="str">
        <f>HYPERLINK("https://www.google.com/maps/search/?api=1&amp;query=41.792825,-88.219399","map")</f>
        <v>map</v>
      </c>
    </row>
    <row r="4501" spans="1:32">
      <c r="A4501" t="s">
        <v>4551</v>
      </c>
      <c r="B4501" t="s">
        <v>12084</v>
      </c>
      <c r="C4501" t="s">
        <v>15478</v>
      </c>
      <c r="D4501" t="s">
        <v>16206</v>
      </c>
      <c r="E4501" t="s">
        <v>16218</v>
      </c>
      <c r="F4501" t="s">
        <v>16221</v>
      </c>
      <c r="G4501" t="s">
        <v>16278</v>
      </c>
      <c r="H4501" t="s">
        <v>16277</v>
      </c>
      <c r="I4501" t="s">
        <v>16353</v>
      </c>
      <c r="J4501" t="s">
        <v>16386</v>
      </c>
      <c r="K4501">
        <v>0.179</v>
      </c>
      <c r="L4501">
        <v>7802</v>
      </c>
      <c r="N4501" t="s">
        <v>16393</v>
      </c>
      <c r="O4501" s="4">
        <v>62979</v>
      </c>
      <c r="P4501" s="4">
        <v>180246</v>
      </c>
      <c r="Q4501" s="4">
        <v>243225</v>
      </c>
      <c r="R4501" s="4">
        <v>729675</v>
      </c>
      <c r="S4501" t="s">
        <v>20800</v>
      </c>
      <c r="T4501" s="6">
        <v>42736</v>
      </c>
      <c r="U4501" s="4">
        <v>479244</v>
      </c>
      <c r="V4501" t="s">
        <v>16232</v>
      </c>
      <c r="W4501" t="s">
        <v>26162</v>
      </c>
      <c r="X4501" t="s">
        <v>3</v>
      </c>
      <c r="AA4501" s="5" t="str">
        <f>HYPERLINK("https://www.zillow.com/homes/1607-ALDERLEAF-LN-NAPERVILLE-IL-60563_rb/","check listing")</f>
        <v>check listing</v>
      </c>
      <c r="AB4501" s="5" t="str">
        <f>HYPERLINK("https://propertylookup.dupagecounty.gov/Datalets/Datalet.aspx?UseSearch=no&amp;mode=sales&amp;pin=0709113006","sales record")</f>
        <v>sales record</v>
      </c>
      <c r="AC4501" t="s">
        <v>3</v>
      </c>
      <c r="AD4501">
        <v>41.796335</v>
      </c>
      <c r="AE4501">
        <v>-88.217851</v>
      </c>
      <c r="AF4501" s="5" t="str">
        <f>HYPERLINK("https://www.google.com/maps/search/?api=1&amp;query=41.796335,-88.217851","map")</f>
        <v>map</v>
      </c>
    </row>
    <row r="4502" spans="1:32">
      <c r="A4502" t="s">
        <v>4552</v>
      </c>
      <c r="B4502" t="s">
        <v>12085</v>
      </c>
      <c r="C4502" t="s">
        <v>15704</v>
      </c>
      <c r="D4502" t="s">
        <v>16206</v>
      </c>
      <c r="E4502" t="s">
        <v>16218</v>
      </c>
      <c r="F4502" t="s">
        <v>16221</v>
      </c>
      <c r="G4502" t="s">
        <v>16278</v>
      </c>
      <c r="H4502" t="s">
        <v>16277</v>
      </c>
      <c r="I4502" t="s">
        <v>16353</v>
      </c>
      <c r="J4502" t="s">
        <v>16386</v>
      </c>
      <c r="K4502">
        <v>0.179</v>
      </c>
      <c r="L4502">
        <v>7802</v>
      </c>
      <c r="N4502" t="s">
        <v>16393</v>
      </c>
      <c r="O4502" s="4">
        <v>72438</v>
      </c>
      <c r="P4502" s="4">
        <v>182858</v>
      </c>
      <c r="Q4502" s="4">
        <v>255296</v>
      </c>
      <c r="R4502" s="4">
        <v>765888</v>
      </c>
      <c r="S4502" t="s">
        <v>20801</v>
      </c>
      <c r="T4502" s="6">
        <v>43525</v>
      </c>
      <c r="U4502" s="4">
        <v>570304</v>
      </c>
      <c r="V4502" t="s">
        <v>16232</v>
      </c>
      <c r="W4502" t="s">
        <v>26163</v>
      </c>
      <c r="X4502" t="s">
        <v>3</v>
      </c>
      <c r="AA4502" s="5" t="str">
        <f>HYPERLINK("https://www.zillow.com/homes/1507-BAYOU-PATH-DR-NAPERVILLE-IL-605633496_rb/","check listing")</f>
        <v>check listing</v>
      </c>
      <c r="AB4502" s="5" t="str">
        <f>HYPERLINK("https://propertylookup.dupagecounty.gov/Datalets/Datalet.aspx?UseSearch=no&amp;mode=sales&amp;pin=0709114028","sales record")</f>
        <v>sales record</v>
      </c>
      <c r="AC4502" t="s">
        <v>3</v>
      </c>
      <c r="AD4502">
        <v>41.79214</v>
      </c>
      <c r="AE4502">
        <v>-88.219724</v>
      </c>
      <c r="AF4502" s="5" t="str">
        <f>HYPERLINK("https://www.google.com/maps/search/?api=1&amp;query=41.79214,-88.219724","map")</f>
        <v>map</v>
      </c>
    </row>
    <row r="4503" spans="1:32">
      <c r="A4503" t="s">
        <v>4553</v>
      </c>
      <c r="B4503" t="s">
        <v>12086</v>
      </c>
      <c r="C4503" t="s">
        <v>15478</v>
      </c>
      <c r="D4503" t="s">
        <v>16206</v>
      </c>
      <c r="E4503" t="s">
        <v>16218</v>
      </c>
      <c r="F4503" t="s">
        <v>16221</v>
      </c>
      <c r="G4503" t="s">
        <v>16278</v>
      </c>
      <c r="H4503" t="s">
        <v>16277</v>
      </c>
      <c r="I4503" t="s">
        <v>16353</v>
      </c>
      <c r="J4503" t="s">
        <v>16386</v>
      </c>
      <c r="K4503">
        <v>0.179</v>
      </c>
      <c r="L4503">
        <v>7801</v>
      </c>
      <c r="N4503" t="s">
        <v>16393</v>
      </c>
      <c r="O4503" s="4">
        <v>72438</v>
      </c>
      <c r="P4503" s="4">
        <v>202703</v>
      </c>
      <c r="Q4503" s="4">
        <v>275141</v>
      </c>
      <c r="R4503" s="4">
        <v>825423</v>
      </c>
      <c r="S4503" t="s">
        <v>20802</v>
      </c>
      <c r="T4503" s="6">
        <v>43070</v>
      </c>
      <c r="U4503" s="4">
        <v>617239</v>
      </c>
      <c r="V4503" t="s">
        <v>16232</v>
      </c>
      <c r="W4503" t="s">
        <v>26164</v>
      </c>
      <c r="X4503" t="s">
        <v>3</v>
      </c>
      <c r="AA4503" s="5" t="str">
        <f>HYPERLINK("https://www.zillow.com/homes/1535-BAYOU-PATH-DR-NAPERVILLE-IL-60563_rb/","check listing")</f>
        <v>check listing</v>
      </c>
      <c r="AB4503" s="5" t="str">
        <f>HYPERLINK("https://propertylookup.dupagecounty.gov/Datalets/Datalet.aspx?UseSearch=no&amp;mode=sales&amp;pin=0709114021","sales record")</f>
        <v>sales record</v>
      </c>
      <c r="AC4503" t="s">
        <v>3</v>
      </c>
      <c r="AD4503">
        <v>41.793337</v>
      </c>
      <c r="AE4503">
        <v>-88.219191</v>
      </c>
      <c r="AF4503" s="5" t="str">
        <f>HYPERLINK("https://www.google.com/maps/search/?api=1&amp;query=41.793337,-88.219191","map")</f>
        <v>map</v>
      </c>
    </row>
    <row r="4504" spans="1:32">
      <c r="A4504" t="s">
        <v>4554</v>
      </c>
      <c r="B4504" t="s">
        <v>12087</v>
      </c>
      <c r="C4504" t="s">
        <v>15754</v>
      </c>
      <c r="D4504" t="s">
        <v>16206</v>
      </c>
      <c r="E4504" t="s">
        <v>16218</v>
      </c>
      <c r="F4504" t="s">
        <v>16221</v>
      </c>
      <c r="G4504" t="s">
        <v>16277</v>
      </c>
      <c r="H4504" t="s">
        <v>16277</v>
      </c>
      <c r="I4504" t="s">
        <v>16353</v>
      </c>
      <c r="J4504" t="s">
        <v>16386</v>
      </c>
      <c r="K4504">
        <v>0.179</v>
      </c>
      <c r="L4504">
        <v>7801</v>
      </c>
      <c r="M4504">
        <v>770</v>
      </c>
      <c r="N4504" t="s">
        <v>16393</v>
      </c>
      <c r="O4504" s="4">
        <v>118465</v>
      </c>
      <c r="P4504" s="4">
        <v>85002</v>
      </c>
      <c r="Q4504" s="4">
        <v>203467</v>
      </c>
      <c r="R4504" s="4">
        <v>610401</v>
      </c>
      <c r="S4504" t="s">
        <v>20803</v>
      </c>
      <c r="T4504" s="6">
        <v>44044</v>
      </c>
      <c r="U4504" s="4">
        <v>535000</v>
      </c>
      <c r="V4504" t="s">
        <v>23739</v>
      </c>
      <c r="W4504" t="s">
        <v>26165</v>
      </c>
      <c r="X4504" t="s">
        <v>3</v>
      </c>
      <c r="AA4504" s="5" t="str">
        <f>HYPERLINK("https://www.zillow.com/homes/523-E-CHICAGO-AVE-NAPERVILLE-IL-605405409_rb/","check listing")</f>
        <v>check listing</v>
      </c>
      <c r="AB4504" s="5" t="str">
        <f>HYPERLINK("https://propertylookup.dupagecounty.gov/Datalets/Datalet.aspx?UseSearch=no&amp;mode=sales&amp;pin=0818322015","sales record")</f>
        <v>sales record</v>
      </c>
      <c r="AC4504" t="s">
        <v>3</v>
      </c>
      <c r="AD4504">
        <v>41.772754</v>
      </c>
      <c r="AE4504">
        <v>-88.14013300000001</v>
      </c>
      <c r="AF4504" s="5" t="str">
        <f>HYPERLINK("https://www.google.com/maps/search/?api=1&amp;query=41.772754,-88.140133","map")</f>
        <v>map</v>
      </c>
    </row>
    <row r="4505" spans="1:32">
      <c r="A4505" t="s">
        <v>4555</v>
      </c>
      <c r="B4505" t="s">
        <v>12088</v>
      </c>
      <c r="C4505" t="s">
        <v>15704</v>
      </c>
      <c r="D4505" t="s">
        <v>16206</v>
      </c>
      <c r="E4505" t="s">
        <v>16218</v>
      </c>
      <c r="F4505" t="s">
        <v>16221</v>
      </c>
      <c r="G4505" t="s">
        <v>16278</v>
      </c>
      <c r="H4505" t="s">
        <v>16277</v>
      </c>
      <c r="I4505" t="s">
        <v>16353</v>
      </c>
      <c r="J4505" t="s">
        <v>16386</v>
      </c>
      <c r="K4505">
        <v>0.179</v>
      </c>
      <c r="L4505">
        <v>7801</v>
      </c>
      <c r="N4505" t="s">
        <v>16393</v>
      </c>
      <c r="O4505" s="4">
        <v>72438</v>
      </c>
      <c r="P4505" s="4">
        <v>172239</v>
      </c>
      <c r="Q4505" s="4">
        <v>244677</v>
      </c>
      <c r="R4505" s="4">
        <v>734031</v>
      </c>
      <c r="S4505" t="s">
        <v>20804</v>
      </c>
      <c r="T4505" s="6">
        <v>43132</v>
      </c>
      <c r="U4505" s="4">
        <v>528803</v>
      </c>
      <c r="V4505" t="s">
        <v>16232</v>
      </c>
      <c r="W4505" t="s">
        <v>26166</v>
      </c>
      <c r="X4505" t="s">
        <v>3</v>
      </c>
      <c r="AA4505" s="5" t="str">
        <f>HYPERLINK("https://www.zillow.com/homes/1527-BAYOU-PATH-DR-NAPERVILLE-IL-605633496_rb/","check listing")</f>
        <v>check listing</v>
      </c>
      <c r="AB4505" s="5" t="str">
        <f>HYPERLINK("https://propertylookup.dupagecounty.gov/Datalets/Datalet.aspx?UseSearch=no&amp;mode=sales&amp;pin=0709114023","sales record")</f>
        <v>sales record</v>
      </c>
      <c r="AC4505" t="s">
        <v>3</v>
      </c>
      <c r="AD4505">
        <v>41.792995</v>
      </c>
      <c r="AE4505">
        <v>-88.21933</v>
      </c>
      <c r="AF4505" s="5" t="str">
        <f>HYPERLINK("https://www.google.com/maps/search/?api=1&amp;query=41.792995,-88.21933","map")</f>
        <v>map</v>
      </c>
    </row>
    <row r="4506" spans="1:32">
      <c r="A4506" t="s">
        <v>4556</v>
      </c>
      <c r="B4506" t="s">
        <v>12089</v>
      </c>
      <c r="C4506" t="s">
        <v>15704</v>
      </c>
      <c r="D4506" t="s">
        <v>16206</v>
      </c>
      <c r="E4506" t="s">
        <v>16218</v>
      </c>
      <c r="F4506" t="s">
        <v>16221</v>
      </c>
      <c r="G4506" t="s">
        <v>16278</v>
      </c>
      <c r="H4506" t="s">
        <v>16277</v>
      </c>
      <c r="I4506" t="s">
        <v>16353</v>
      </c>
      <c r="J4506" t="s">
        <v>16386</v>
      </c>
      <c r="K4506">
        <v>0.179</v>
      </c>
      <c r="L4506">
        <v>7800</v>
      </c>
      <c r="N4506" t="s">
        <v>16393</v>
      </c>
      <c r="O4506" s="4">
        <v>72438</v>
      </c>
      <c r="P4506" s="4">
        <v>202008</v>
      </c>
      <c r="Q4506" s="4">
        <v>274446</v>
      </c>
      <c r="R4506" s="4">
        <v>823338</v>
      </c>
      <c r="S4506" t="s">
        <v>20805</v>
      </c>
      <c r="T4506" s="6">
        <v>44317</v>
      </c>
      <c r="U4506" s="4">
        <v>640000</v>
      </c>
      <c r="V4506" t="s">
        <v>23739</v>
      </c>
      <c r="W4506" t="s">
        <v>26167</v>
      </c>
      <c r="X4506" t="s">
        <v>3</v>
      </c>
      <c r="AA4506" s="5" t="str">
        <f>HYPERLINK("https://www.zillow.com/homes/1555-BAYOU-PATH-DR-NAPERVILLE-IL-605633496_rb/","check listing")</f>
        <v>check listing</v>
      </c>
      <c r="AB4506" s="5" t="str">
        <f>HYPERLINK("https://propertylookup.dupagecounty.gov/Datalets/Datalet.aspx?UseSearch=no&amp;mode=sales&amp;pin=0709114017","sales record")</f>
        <v>sales record</v>
      </c>
      <c r="AC4506" t="s">
        <v>3</v>
      </c>
      <c r="AD4506">
        <v>41.794065</v>
      </c>
      <c r="AE4506">
        <v>-88.219078</v>
      </c>
      <c r="AF4506" s="5" t="str">
        <f>HYPERLINK("https://www.google.com/maps/search/?api=1&amp;query=41.794065,-88.219078","map")</f>
        <v>map</v>
      </c>
    </row>
    <row r="4507" spans="1:32">
      <c r="A4507" t="s">
        <v>4557</v>
      </c>
      <c r="B4507" t="s">
        <v>12090</v>
      </c>
      <c r="C4507" t="s">
        <v>15692</v>
      </c>
      <c r="D4507" t="s">
        <v>16206</v>
      </c>
      <c r="E4507" t="s">
        <v>16218</v>
      </c>
      <c r="F4507" t="s">
        <v>16221</v>
      </c>
      <c r="G4507" t="s">
        <v>16278</v>
      </c>
      <c r="H4507" t="s">
        <v>16277</v>
      </c>
      <c r="I4507" t="s">
        <v>16353</v>
      </c>
      <c r="J4507" t="s">
        <v>16386</v>
      </c>
      <c r="K4507">
        <v>0.179</v>
      </c>
      <c r="L4507">
        <v>7799</v>
      </c>
      <c r="N4507" t="s">
        <v>16393</v>
      </c>
      <c r="O4507" s="4">
        <v>72438</v>
      </c>
      <c r="P4507" s="4">
        <v>192646</v>
      </c>
      <c r="Q4507" s="4">
        <v>265084</v>
      </c>
      <c r="R4507" s="4">
        <v>795252</v>
      </c>
      <c r="S4507" t="s">
        <v>20806</v>
      </c>
      <c r="T4507" s="6">
        <v>43586</v>
      </c>
      <c r="U4507" s="4">
        <v>578860</v>
      </c>
      <c r="V4507" t="s">
        <v>16232</v>
      </c>
      <c r="W4507" t="s">
        <v>20806</v>
      </c>
      <c r="X4507" t="s">
        <v>3</v>
      </c>
      <c r="AA4507" s="5" t="str">
        <f>HYPERLINK("https://www.zillow.com/homes/1423-BAYOU-PATH-DR-NAPERVILLE-IL-605633608_rb/","check listing")</f>
        <v>check listing</v>
      </c>
      <c r="AB4507" s="5" t="str">
        <f>HYPERLINK("https://propertylookup.dupagecounty.gov/Datalets/Datalet.aspx?UseSearch=no&amp;mode=sales&amp;pin=0709311054","sales record")</f>
        <v>sales record</v>
      </c>
      <c r="AC4507" t="s">
        <v>3</v>
      </c>
      <c r="AD4507">
        <v>41.78784</v>
      </c>
      <c r="AE4507">
        <v>-88.22013200000001</v>
      </c>
      <c r="AF4507" s="5" t="str">
        <f>HYPERLINK("https://www.google.com/maps/search/?api=1&amp;query=41.78784,-88.220132","map")</f>
        <v>map</v>
      </c>
    </row>
    <row r="4508" spans="1:32">
      <c r="A4508" t="s">
        <v>4558</v>
      </c>
      <c r="B4508" t="s">
        <v>12091</v>
      </c>
      <c r="C4508" t="s">
        <v>15704</v>
      </c>
      <c r="D4508" t="s">
        <v>16206</v>
      </c>
      <c r="E4508" t="s">
        <v>16218</v>
      </c>
      <c r="F4508" t="s">
        <v>16221</v>
      </c>
      <c r="G4508" t="s">
        <v>16278</v>
      </c>
      <c r="H4508" t="s">
        <v>16277</v>
      </c>
      <c r="I4508" t="s">
        <v>16353</v>
      </c>
      <c r="J4508" t="s">
        <v>16386</v>
      </c>
      <c r="K4508">
        <v>0.179</v>
      </c>
      <c r="L4508">
        <v>7799</v>
      </c>
      <c r="N4508" t="s">
        <v>16393</v>
      </c>
      <c r="O4508" s="4">
        <v>72438</v>
      </c>
      <c r="P4508" s="4">
        <v>200982</v>
      </c>
      <c r="Q4508" s="4">
        <v>273420</v>
      </c>
      <c r="R4508" s="4">
        <v>820260</v>
      </c>
      <c r="S4508" t="s">
        <v>20807</v>
      </c>
      <c r="T4508" s="6">
        <v>43070</v>
      </c>
      <c r="U4508" s="4">
        <v>583527</v>
      </c>
      <c r="V4508" t="s">
        <v>16232</v>
      </c>
      <c r="W4508" t="s">
        <v>26168</v>
      </c>
      <c r="X4508" t="s">
        <v>3</v>
      </c>
      <c r="AA4508" s="5" t="str">
        <f>HYPERLINK("https://www.zillow.com/homes/1551-BAYOU-PATH-DR-NAPERVILLE-IL-605633496_rb/","check listing")</f>
        <v>check listing</v>
      </c>
      <c r="AB4508" s="5" t="str">
        <f>HYPERLINK("https://propertylookup.dupagecounty.gov/Datalets/Datalet.aspx?UseSearch=no&amp;mode=sales&amp;pin=0709114018","sales record")</f>
        <v>sales record</v>
      </c>
      <c r="AC4508" t="s">
        <v>3</v>
      </c>
      <c r="AD4508">
        <v>41.793887</v>
      </c>
      <c r="AE4508">
        <v>-88.219083</v>
      </c>
      <c r="AF4508" s="5" t="str">
        <f>HYPERLINK("https://www.google.com/maps/search/?api=1&amp;query=41.793887,-88.219083","map")</f>
        <v>map</v>
      </c>
    </row>
    <row r="4509" spans="1:32">
      <c r="A4509" t="s">
        <v>4559</v>
      </c>
      <c r="B4509" t="s">
        <v>12092</v>
      </c>
      <c r="C4509" t="s">
        <v>15478</v>
      </c>
      <c r="D4509" t="s">
        <v>16206</v>
      </c>
      <c r="E4509" t="s">
        <v>16218</v>
      </c>
      <c r="F4509" t="s">
        <v>16221</v>
      </c>
      <c r="G4509" t="s">
        <v>16278</v>
      </c>
      <c r="H4509" t="s">
        <v>16277</v>
      </c>
      <c r="I4509" t="s">
        <v>16353</v>
      </c>
      <c r="J4509" t="s">
        <v>16386</v>
      </c>
      <c r="K4509">
        <v>0.179</v>
      </c>
      <c r="L4509">
        <v>7798</v>
      </c>
      <c r="N4509" t="s">
        <v>16393</v>
      </c>
      <c r="O4509" s="4">
        <v>72438</v>
      </c>
      <c r="P4509" s="4">
        <v>203973</v>
      </c>
      <c r="Q4509" s="4">
        <v>276411</v>
      </c>
      <c r="R4509" s="4">
        <v>829233</v>
      </c>
      <c r="S4509" t="s">
        <v>20808</v>
      </c>
      <c r="T4509" s="6">
        <v>43374</v>
      </c>
      <c r="U4509" s="4">
        <v>598756</v>
      </c>
      <c r="V4509" t="s">
        <v>16232</v>
      </c>
      <c r="W4509" t="s">
        <v>20808</v>
      </c>
      <c r="X4509" t="s">
        <v>3</v>
      </c>
      <c r="AA4509" s="5" t="str">
        <f>HYPERLINK("https://www.zillow.com/homes/1431-BAYOU-PATH-DR-NAPERVILLE-IL-60563_rb/","check listing")</f>
        <v>check listing</v>
      </c>
      <c r="AB4509" s="5" t="str">
        <f>HYPERLINK("https://propertylookup.dupagecounty.gov/Datalets/Datalet.aspx?UseSearch=no&amp;mode=sales&amp;pin=0709311052","sales record")</f>
        <v>sales record</v>
      </c>
      <c r="AC4509" t="s">
        <v>3</v>
      </c>
      <c r="AD4509">
        <v>41.788197</v>
      </c>
      <c r="AE4509">
        <v>-88.220156</v>
      </c>
      <c r="AF4509" s="5" t="str">
        <f>HYPERLINK("https://www.google.com/maps/search/?api=1&amp;query=41.788197,-88.220156","map")</f>
        <v>map</v>
      </c>
    </row>
    <row r="4510" spans="1:32">
      <c r="A4510" t="s">
        <v>4560</v>
      </c>
      <c r="B4510" t="s">
        <v>12093</v>
      </c>
      <c r="C4510" t="s">
        <v>15692</v>
      </c>
      <c r="D4510" t="s">
        <v>16206</v>
      </c>
      <c r="E4510" t="s">
        <v>16218</v>
      </c>
      <c r="F4510" t="s">
        <v>16221</v>
      </c>
      <c r="G4510" t="s">
        <v>16278</v>
      </c>
      <c r="H4510" t="s">
        <v>16277</v>
      </c>
      <c r="I4510" t="s">
        <v>16353</v>
      </c>
      <c r="J4510" t="s">
        <v>16386</v>
      </c>
      <c r="K4510">
        <v>0.179</v>
      </c>
      <c r="L4510">
        <v>7796</v>
      </c>
      <c r="N4510" t="s">
        <v>16393</v>
      </c>
      <c r="O4510" s="4">
        <v>72438</v>
      </c>
      <c r="P4510" s="4">
        <v>203057</v>
      </c>
      <c r="Q4510" s="4">
        <v>275495</v>
      </c>
      <c r="R4510" s="4">
        <v>826485</v>
      </c>
      <c r="S4510" t="s">
        <v>20809</v>
      </c>
      <c r="T4510" s="6">
        <v>43405</v>
      </c>
      <c r="U4510" s="4">
        <v>598650</v>
      </c>
      <c r="V4510" t="s">
        <v>16232</v>
      </c>
      <c r="W4510" t="s">
        <v>26169</v>
      </c>
      <c r="X4510" t="s">
        <v>3</v>
      </c>
      <c r="AA4510" s="5" t="str">
        <f>HYPERLINK("https://www.zillow.com/homes/1439-BAYOU-PATH-DR-NAPERVILLE-IL-605633608_rb/","check listing")</f>
        <v>check listing</v>
      </c>
      <c r="AB4510" s="5" t="str">
        <f>HYPERLINK("https://propertylookup.dupagecounty.gov/Datalets/Datalet.aspx?UseSearch=no&amp;mode=sales&amp;pin=0709311050","sales record")</f>
        <v>sales record</v>
      </c>
      <c r="AC4510" t="s">
        <v>3</v>
      </c>
      <c r="AD4510">
        <v>41.788553</v>
      </c>
      <c r="AE4510">
        <v>-88.22018</v>
      </c>
      <c r="AF4510" s="5" t="str">
        <f>HYPERLINK("https://www.google.com/maps/search/?api=1&amp;query=41.788553,-88.22018","map")</f>
        <v>map</v>
      </c>
    </row>
    <row r="4511" spans="1:32">
      <c r="A4511" t="s">
        <v>4561</v>
      </c>
      <c r="B4511" t="s">
        <v>12094</v>
      </c>
      <c r="C4511" t="s">
        <v>15692</v>
      </c>
      <c r="D4511" t="s">
        <v>16206</v>
      </c>
      <c r="E4511" t="s">
        <v>16218</v>
      </c>
      <c r="F4511" t="s">
        <v>16221</v>
      </c>
      <c r="G4511" t="s">
        <v>16278</v>
      </c>
      <c r="H4511" t="s">
        <v>16277</v>
      </c>
      <c r="I4511" t="s">
        <v>16353</v>
      </c>
      <c r="J4511" t="s">
        <v>16386</v>
      </c>
      <c r="K4511">
        <v>0.179</v>
      </c>
      <c r="L4511">
        <v>7795</v>
      </c>
      <c r="N4511" t="s">
        <v>16393</v>
      </c>
      <c r="O4511" s="4">
        <v>72438</v>
      </c>
      <c r="P4511" s="4">
        <v>194136</v>
      </c>
      <c r="Q4511" s="4">
        <v>266574</v>
      </c>
      <c r="R4511" s="4">
        <v>799722</v>
      </c>
      <c r="S4511" t="s">
        <v>20810</v>
      </c>
      <c r="T4511" s="6">
        <v>43374</v>
      </c>
      <c r="U4511" s="4">
        <v>556000</v>
      </c>
      <c r="V4511" t="s">
        <v>16232</v>
      </c>
      <c r="W4511" t="s">
        <v>26170</v>
      </c>
      <c r="X4511" t="s">
        <v>3</v>
      </c>
      <c r="AA4511" s="5" t="str">
        <f>HYPERLINK("https://www.zillow.com/homes/1443-BAYOU-PATH-DR-NAPERVILLE-IL-605633608_rb/","check listing")</f>
        <v>check listing</v>
      </c>
      <c r="AB4511" s="5" t="str">
        <f>HYPERLINK("https://propertylookup.dupagecounty.gov/Datalets/Datalet.aspx?UseSearch=no&amp;mode=sales&amp;pin=0709311049","sales record")</f>
        <v>sales record</v>
      </c>
      <c r="AC4511" t="s">
        <v>3</v>
      </c>
      <c r="AD4511">
        <v>41.788731</v>
      </c>
      <c r="AE4511">
        <v>-88.220192</v>
      </c>
      <c r="AF4511" s="5" t="str">
        <f>HYPERLINK("https://www.google.com/maps/search/?api=1&amp;query=41.788731,-88.220192","map")</f>
        <v>map</v>
      </c>
    </row>
    <row r="4512" spans="1:32">
      <c r="A4512" t="s">
        <v>4562</v>
      </c>
      <c r="B4512" t="s">
        <v>12095</v>
      </c>
      <c r="C4512" t="s">
        <v>15692</v>
      </c>
      <c r="D4512" t="s">
        <v>16206</v>
      </c>
      <c r="E4512" t="s">
        <v>16218</v>
      </c>
      <c r="F4512" t="s">
        <v>16221</v>
      </c>
      <c r="G4512" t="s">
        <v>16278</v>
      </c>
      <c r="H4512" t="s">
        <v>16277</v>
      </c>
      <c r="I4512" t="s">
        <v>16353</v>
      </c>
      <c r="J4512" t="s">
        <v>16386</v>
      </c>
      <c r="K4512">
        <v>0.179</v>
      </c>
      <c r="L4512">
        <v>7795</v>
      </c>
      <c r="N4512" t="s">
        <v>16393</v>
      </c>
      <c r="O4512" s="4">
        <v>72438</v>
      </c>
      <c r="P4512" s="4">
        <v>205486</v>
      </c>
      <c r="Q4512" s="4">
        <v>277924</v>
      </c>
      <c r="R4512" s="4">
        <v>833772</v>
      </c>
      <c r="S4512" t="s">
        <v>20811</v>
      </c>
      <c r="T4512" s="6">
        <v>44718</v>
      </c>
      <c r="U4512" s="4">
        <v>785000</v>
      </c>
      <c r="V4512" t="s">
        <v>23739</v>
      </c>
      <c r="W4512" t="s">
        <v>26171</v>
      </c>
      <c r="X4512" t="s">
        <v>3</v>
      </c>
      <c r="AA4512" s="5" t="str">
        <f>HYPERLINK("https://www.zillow.com/homes/1435-BAYOU-PATH-DR-NAPERVILLE-IL-605633608_rb/","check listing")</f>
        <v>check listing</v>
      </c>
      <c r="AB4512" s="5" t="str">
        <f>HYPERLINK("https://propertylookup.dupagecounty.gov/Datalets/Datalet.aspx?UseSearch=no&amp;mode=sales&amp;pin=0709311051","sales record")</f>
        <v>sales record</v>
      </c>
      <c r="AC4512" t="s">
        <v>3</v>
      </c>
      <c r="AD4512">
        <v>41.788375</v>
      </c>
      <c r="AE4512">
        <v>-88.220168</v>
      </c>
      <c r="AF4512" s="5" t="str">
        <f>HYPERLINK("https://www.google.com/maps/search/?api=1&amp;query=41.788375,-88.220168","map")</f>
        <v>map</v>
      </c>
    </row>
    <row r="4513" spans="1:32">
      <c r="A4513" t="s">
        <v>4563</v>
      </c>
      <c r="B4513" t="s">
        <v>12096</v>
      </c>
      <c r="C4513" t="s">
        <v>15755</v>
      </c>
      <c r="D4513" t="s">
        <v>16206</v>
      </c>
      <c r="E4513" t="s">
        <v>16218</v>
      </c>
      <c r="F4513" t="s">
        <v>16221</v>
      </c>
      <c r="G4513" t="s">
        <v>16278</v>
      </c>
      <c r="H4513" t="s">
        <v>16277</v>
      </c>
      <c r="I4513" t="s">
        <v>16353</v>
      </c>
      <c r="J4513" t="s">
        <v>16386</v>
      </c>
      <c r="K4513">
        <v>0.179</v>
      </c>
      <c r="L4513">
        <v>7794</v>
      </c>
      <c r="N4513" t="s">
        <v>16393</v>
      </c>
      <c r="O4513" s="4">
        <v>69288</v>
      </c>
      <c r="P4513" s="4">
        <v>149023</v>
      </c>
      <c r="Q4513" s="4">
        <v>218311</v>
      </c>
      <c r="R4513" s="4">
        <v>654933</v>
      </c>
      <c r="S4513" t="s">
        <v>20812</v>
      </c>
      <c r="T4513" s="6">
        <v>42736</v>
      </c>
      <c r="U4513" s="4">
        <v>476668</v>
      </c>
      <c r="V4513" t="s">
        <v>16232</v>
      </c>
      <c r="W4513" t="s">
        <v>26172</v>
      </c>
      <c r="X4513" t="s">
        <v>3</v>
      </c>
      <c r="AA4513" s="5" t="str">
        <f>HYPERLINK("https://www.zillow.com/homes/2416-BALSAM-COVE-RD-NAPERVILLE-IL-605633591_rb/","check listing")</f>
        <v>check listing</v>
      </c>
      <c r="AB4513" s="5" t="str">
        <f>HYPERLINK("https://propertylookup.dupagecounty.gov/Datalets/Datalet.aspx?UseSearch=no&amp;mode=sales&amp;pin=0709111002","sales record")</f>
        <v>sales record</v>
      </c>
      <c r="AC4513" t="s">
        <v>3</v>
      </c>
      <c r="AD4513">
        <v>41.79659</v>
      </c>
      <c r="AE4513">
        <v>-88.221474</v>
      </c>
      <c r="AF4513" s="5" t="str">
        <f>HYPERLINK("https://www.google.com/maps/search/?api=1&amp;query=41.79659,-88.221474","map")</f>
        <v>map</v>
      </c>
    </row>
    <row r="4514" spans="1:32">
      <c r="A4514" t="s">
        <v>4564</v>
      </c>
      <c r="B4514" t="s">
        <v>12097</v>
      </c>
      <c r="C4514" t="s">
        <v>15692</v>
      </c>
      <c r="D4514" t="s">
        <v>16206</v>
      </c>
      <c r="E4514" t="s">
        <v>16218</v>
      </c>
      <c r="F4514" t="s">
        <v>16221</v>
      </c>
      <c r="G4514" t="s">
        <v>16278</v>
      </c>
      <c r="H4514" t="s">
        <v>16277</v>
      </c>
      <c r="I4514" t="s">
        <v>16353</v>
      </c>
      <c r="J4514" t="s">
        <v>16386</v>
      </c>
      <c r="K4514">
        <v>0.179</v>
      </c>
      <c r="L4514">
        <v>7794</v>
      </c>
      <c r="N4514" t="s">
        <v>16393</v>
      </c>
      <c r="O4514" s="4">
        <v>72438</v>
      </c>
      <c r="P4514" s="4">
        <v>197370</v>
      </c>
      <c r="Q4514" s="4">
        <v>269808</v>
      </c>
      <c r="R4514" s="4">
        <v>809424</v>
      </c>
      <c r="S4514" t="s">
        <v>20813</v>
      </c>
      <c r="T4514" s="6">
        <v>43678</v>
      </c>
      <c r="U4514" s="4">
        <v>601765</v>
      </c>
      <c r="V4514" t="s">
        <v>16232</v>
      </c>
      <c r="W4514" t="s">
        <v>26173</v>
      </c>
      <c r="X4514" t="s">
        <v>3</v>
      </c>
      <c r="AA4514" s="5" t="str">
        <f>HYPERLINK("https://www.zillow.com/homes/1427-BAYOU-PATH-DR-NAPERVILLE-IL-605633608_rb/","check listing")</f>
        <v>check listing</v>
      </c>
      <c r="AB4514" s="5" t="str">
        <f>HYPERLINK("https://propertylookup.dupagecounty.gov/Datalets/Datalet.aspx?UseSearch=no&amp;mode=sales&amp;pin=0709311053","sales record")</f>
        <v>sales record</v>
      </c>
      <c r="AC4514" t="s">
        <v>3</v>
      </c>
      <c r="AD4514">
        <v>41.788018</v>
      </c>
      <c r="AE4514">
        <v>-88.220144</v>
      </c>
      <c r="AF4514" s="5" t="str">
        <f>HYPERLINK("https://www.google.com/maps/search/?api=1&amp;query=41.788018,-88.220144","map")</f>
        <v>map</v>
      </c>
    </row>
    <row r="4515" spans="1:32">
      <c r="A4515" t="s">
        <v>4565</v>
      </c>
      <c r="B4515" t="s">
        <v>12098</v>
      </c>
      <c r="C4515" t="s">
        <v>15692</v>
      </c>
      <c r="D4515" t="s">
        <v>16206</v>
      </c>
      <c r="E4515" t="s">
        <v>16218</v>
      </c>
      <c r="F4515" t="s">
        <v>16221</v>
      </c>
      <c r="G4515" t="s">
        <v>16278</v>
      </c>
      <c r="H4515" t="s">
        <v>16277</v>
      </c>
      <c r="I4515" t="s">
        <v>16353</v>
      </c>
      <c r="J4515" t="s">
        <v>16386</v>
      </c>
      <c r="K4515">
        <v>0.179</v>
      </c>
      <c r="L4515">
        <v>7793</v>
      </c>
      <c r="N4515" t="s">
        <v>16393</v>
      </c>
      <c r="O4515" s="4">
        <v>72438</v>
      </c>
      <c r="P4515" s="4">
        <v>204217</v>
      </c>
      <c r="Q4515" s="4">
        <v>276655</v>
      </c>
      <c r="R4515" s="4">
        <v>829965</v>
      </c>
      <c r="S4515" t="s">
        <v>20814</v>
      </c>
      <c r="T4515" s="6">
        <v>43252</v>
      </c>
      <c r="U4515" s="4">
        <v>638482</v>
      </c>
      <c r="V4515" t="s">
        <v>16232</v>
      </c>
      <c r="W4515" t="s">
        <v>26174</v>
      </c>
      <c r="X4515" t="s">
        <v>3</v>
      </c>
      <c r="AA4515" s="5" t="str">
        <f>HYPERLINK("https://www.zillow.com/homes/1451-BAYOU-PATH-DR-NAPERVILLE-IL-605633608_rb/","check listing")</f>
        <v>check listing</v>
      </c>
      <c r="AB4515" s="5" t="str">
        <f>HYPERLINK("https://propertylookup.dupagecounty.gov/Datalets/Datalet.aspx?UseSearch=no&amp;mode=sales&amp;pin=0709311047","sales record")</f>
        <v>sales record</v>
      </c>
      <c r="AC4515" t="s">
        <v>3</v>
      </c>
      <c r="AD4515">
        <v>41.789087</v>
      </c>
      <c r="AE4515">
        <v>-88.22021599999999</v>
      </c>
      <c r="AF4515" s="5" t="str">
        <f>HYPERLINK("https://www.google.com/maps/search/?api=1&amp;query=41.789087,-88.220216","map")</f>
        <v>map</v>
      </c>
    </row>
    <row r="4516" spans="1:32">
      <c r="A4516" t="s">
        <v>4566</v>
      </c>
      <c r="B4516" t="s">
        <v>12099</v>
      </c>
      <c r="C4516" t="s">
        <v>15475</v>
      </c>
      <c r="D4516" t="s">
        <v>16206</v>
      </c>
      <c r="E4516" t="s">
        <v>16218</v>
      </c>
      <c r="F4516" t="s">
        <v>16221</v>
      </c>
      <c r="G4516" t="s">
        <v>16278</v>
      </c>
      <c r="H4516" t="s">
        <v>16277</v>
      </c>
      <c r="I4516" t="s">
        <v>16353</v>
      </c>
      <c r="J4516" t="s">
        <v>16386</v>
      </c>
      <c r="K4516">
        <v>0.179</v>
      </c>
      <c r="L4516">
        <v>7792</v>
      </c>
      <c r="N4516" t="s">
        <v>16393</v>
      </c>
      <c r="O4516" s="4">
        <v>72438</v>
      </c>
      <c r="P4516" s="4">
        <v>222891</v>
      </c>
      <c r="Q4516" s="4">
        <v>295329</v>
      </c>
      <c r="R4516" s="4">
        <v>885987</v>
      </c>
      <c r="S4516" t="s">
        <v>20815</v>
      </c>
      <c r="T4516" s="6">
        <v>43132</v>
      </c>
      <c r="U4516" s="4">
        <v>652654</v>
      </c>
      <c r="V4516" t="s">
        <v>16232</v>
      </c>
      <c r="W4516" t="s">
        <v>26175</v>
      </c>
      <c r="X4516" t="s">
        <v>3</v>
      </c>
      <c r="AA4516" s="5" t="str">
        <f>HYPERLINK("https://www.zillow.com/homes/1463-BAYOU-PATH-DR-NAPERVILLE-IL-60540_rb/","check listing")</f>
        <v>check listing</v>
      </c>
      <c r="AB4516" s="5" t="str">
        <f>HYPERLINK("https://propertylookup.dupagecounty.gov/Datalets/Datalet.aspx?UseSearch=no&amp;mode=sales&amp;pin=0709311045","sales record")</f>
        <v>sales record</v>
      </c>
      <c r="AC4516" t="s">
        <v>3</v>
      </c>
      <c r="AD4516">
        <v>41.789444</v>
      </c>
      <c r="AE4516">
        <v>-88.22024</v>
      </c>
      <c r="AF4516" s="5" t="str">
        <f>HYPERLINK("https://www.google.com/maps/search/?api=1&amp;query=41.789444,-88.22024","map")</f>
        <v>map</v>
      </c>
    </row>
    <row r="4517" spans="1:32">
      <c r="A4517" t="s">
        <v>4567</v>
      </c>
      <c r="B4517" t="s">
        <v>12100</v>
      </c>
      <c r="C4517" t="s">
        <v>15692</v>
      </c>
      <c r="D4517" t="s">
        <v>16206</v>
      </c>
      <c r="E4517" t="s">
        <v>16218</v>
      </c>
      <c r="F4517" t="s">
        <v>16221</v>
      </c>
      <c r="G4517" t="s">
        <v>16278</v>
      </c>
      <c r="H4517" t="s">
        <v>16277</v>
      </c>
      <c r="I4517" t="s">
        <v>16353</v>
      </c>
      <c r="J4517" t="s">
        <v>16386</v>
      </c>
      <c r="K4517">
        <v>0.179</v>
      </c>
      <c r="L4517">
        <v>7791</v>
      </c>
      <c r="N4517" t="s">
        <v>16393</v>
      </c>
      <c r="O4517" s="4">
        <v>72438</v>
      </c>
      <c r="P4517" s="4">
        <v>197163</v>
      </c>
      <c r="Q4517" s="4">
        <v>269601</v>
      </c>
      <c r="R4517" s="4">
        <v>808803</v>
      </c>
      <c r="S4517" t="s">
        <v>20816</v>
      </c>
      <c r="T4517" s="6">
        <v>43374</v>
      </c>
      <c r="U4517" s="4">
        <v>610050</v>
      </c>
      <c r="V4517" t="s">
        <v>16232</v>
      </c>
      <c r="W4517" t="s">
        <v>26176</v>
      </c>
      <c r="X4517" t="s">
        <v>3</v>
      </c>
      <c r="AA4517" s="5" t="str">
        <f>HYPERLINK("https://www.zillow.com/homes/1459-BAYOU-PATH-DR-NAPERVILLE-IL-605633608_rb/","check listing")</f>
        <v>check listing</v>
      </c>
      <c r="AB4517" s="5" t="str">
        <f>HYPERLINK("https://propertylookup.dupagecounty.gov/Datalets/Datalet.aspx?UseSearch=no&amp;mode=sales&amp;pin=0709311046","sales record")</f>
        <v>sales record</v>
      </c>
      <c r="AC4517" t="s">
        <v>3</v>
      </c>
      <c r="AD4517">
        <v>41.789266</v>
      </c>
      <c r="AE4517">
        <v>-88.22022800000001</v>
      </c>
      <c r="AF4517" s="5" t="str">
        <f>HYPERLINK("https://www.google.com/maps/search/?api=1&amp;query=41.789266,-88.220228","map")</f>
        <v>map</v>
      </c>
    </row>
    <row r="4518" spans="1:32">
      <c r="A4518" t="s">
        <v>4568</v>
      </c>
      <c r="B4518" t="s">
        <v>12101</v>
      </c>
      <c r="C4518" t="s">
        <v>15692</v>
      </c>
      <c r="D4518" t="s">
        <v>16206</v>
      </c>
      <c r="E4518" t="s">
        <v>16218</v>
      </c>
      <c r="F4518" t="s">
        <v>16221</v>
      </c>
      <c r="G4518" t="s">
        <v>16278</v>
      </c>
      <c r="H4518" t="s">
        <v>16277</v>
      </c>
      <c r="I4518" t="s">
        <v>16353</v>
      </c>
      <c r="J4518" t="s">
        <v>16386</v>
      </c>
      <c r="K4518">
        <v>0.179</v>
      </c>
      <c r="L4518">
        <v>7791</v>
      </c>
      <c r="N4518" t="s">
        <v>16393</v>
      </c>
      <c r="O4518" s="4">
        <v>72438</v>
      </c>
      <c r="P4518" s="4">
        <v>184396</v>
      </c>
      <c r="Q4518" s="4">
        <v>256834</v>
      </c>
      <c r="R4518" s="4">
        <v>770502</v>
      </c>
      <c r="S4518" t="s">
        <v>20817</v>
      </c>
      <c r="T4518" s="6">
        <v>43252</v>
      </c>
      <c r="U4518" s="4">
        <v>556060</v>
      </c>
      <c r="V4518" t="s">
        <v>16232</v>
      </c>
      <c r="W4518" t="s">
        <v>26177</v>
      </c>
      <c r="X4518" t="s">
        <v>3</v>
      </c>
      <c r="AA4518" s="5" t="str">
        <f>HYPERLINK("https://www.zillow.com/homes/1467-BAYOU-PATH-DR-NAPERVILLE-IL-605633608_rb/","check listing")</f>
        <v>check listing</v>
      </c>
      <c r="AB4518" s="5" t="str">
        <f>HYPERLINK("https://propertylookup.dupagecounty.gov/Datalets/Datalet.aspx?UseSearch=no&amp;mode=sales&amp;pin=0709311044","sales record")</f>
        <v>sales record</v>
      </c>
      <c r="AC4518" t="s">
        <v>3</v>
      </c>
      <c r="AD4518">
        <v>41.789622</v>
      </c>
      <c r="AE4518">
        <v>-88.220252</v>
      </c>
      <c r="AF4518" s="5" t="str">
        <f>HYPERLINK("https://www.google.com/maps/search/?api=1&amp;query=41.789622,-88.220252","map")</f>
        <v>map</v>
      </c>
    </row>
    <row r="4519" spans="1:32">
      <c r="A4519" t="s">
        <v>4569</v>
      </c>
      <c r="B4519" t="s">
        <v>12102</v>
      </c>
      <c r="C4519" t="s">
        <v>15692</v>
      </c>
      <c r="D4519" t="s">
        <v>16206</v>
      </c>
      <c r="E4519" t="s">
        <v>16218</v>
      </c>
      <c r="F4519" t="s">
        <v>16221</v>
      </c>
      <c r="G4519" t="s">
        <v>16278</v>
      </c>
      <c r="H4519" t="s">
        <v>16277</v>
      </c>
      <c r="I4519" t="s">
        <v>16353</v>
      </c>
      <c r="J4519" t="s">
        <v>16386</v>
      </c>
      <c r="K4519">
        <v>0.179</v>
      </c>
      <c r="L4519">
        <v>7790</v>
      </c>
      <c r="N4519" t="s">
        <v>16393</v>
      </c>
      <c r="O4519" s="4">
        <v>72438</v>
      </c>
      <c r="P4519" s="4">
        <v>187606</v>
      </c>
      <c r="Q4519" s="4">
        <v>260044</v>
      </c>
      <c r="R4519" s="4">
        <v>780132</v>
      </c>
      <c r="S4519" t="s">
        <v>20818</v>
      </c>
      <c r="T4519" s="6">
        <v>43221</v>
      </c>
      <c r="U4519" s="4">
        <v>560704</v>
      </c>
      <c r="V4519" t="s">
        <v>16232</v>
      </c>
      <c r="W4519" t="s">
        <v>26178</v>
      </c>
      <c r="X4519" t="s">
        <v>3</v>
      </c>
      <c r="AA4519" s="5" t="str">
        <f>HYPERLINK("https://www.zillow.com/homes/1447-BAYOU-PATH-DR-NAPERVILLE-IL-605633608_rb/","check listing")</f>
        <v>check listing</v>
      </c>
      <c r="AB4519" s="5" t="str">
        <f>HYPERLINK("https://propertylookup.dupagecounty.gov/Datalets/Datalet.aspx?UseSearch=no&amp;mode=sales&amp;pin=0709311048","sales record")</f>
        <v>sales record</v>
      </c>
      <c r="AC4519" t="s">
        <v>3</v>
      </c>
      <c r="AD4519">
        <v>41.788909</v>
      </c>
      <c r="AE4519">
        <v>-88.220204</v>
      </c>
      <c r="AF4519" s="5" t="str">
        <f>HYPERLINK("https://www.google.com/maps/search/?api=1&amp;query=41.788909,-88.220204","map")</f>
        <v>map</v>
      </c>
    </row>
    <row r="4520" spans="1:32">
      <c r="A4520" t="s">
        <v>4570</v>
      </c>
      <c r="B4520" t="s">
        <v>12103</v>
      </c>
      <c r="C4520" t="s">
        <v>15692</v>
      </c>
      <c r="D4520" t="s">
        <v>16206</v>
      </c>
      <c r="E4520" t="s">
        <v>16218</v>
      </c>
      <c r="F4520" t="s">
        <v>16221</v>
      </c>
      <c r="G4520" t="s">
        <v>16278</v>
      </c>
      <c r="H4520" t="s">
        <v>16277</v>
      </c>
      <c r="I4520" t="s">
        <v>16353</v>
      </c>
      <c r="J4520" t="s">
        <v>16386</v>
      </c>
      <c r="K4520">
        <v>0.179</v>
      </c>
      <c r="L4520">
        <v>7788</v>
      </c>
      <c r="N4520" t="s">
        <v>16393</v>
      </c>
      <c r="O4520" s="4">
        <v>72438</v>
      </c>
      <c r="P4520" s="4">
        <v>203362</v>
      </c>
      <c r="Q4520" s="4">
        <v>275800</v>
      </c>
      <c r="R4520" s="4">
        <v>827400</v>
      </c>
      <c r="S4520" t="s">
        <v>20819</v>
      </c>
      <c r="T4520" s="6">
        <v>43983</v>
      </c>
      <c r="U4520" s="4">
        <v>610000</v>
      </c>
      <c r="V4520" t="s">
        <v>23739</v>
      </c>
      <c r="W4520" t="s">
        <v>26179</v>
      </c>
      <c r="X4520" t="s">
        <v>3</v>
      </c>
      <c r="AA4520" s="5" t="str">
        <f>HYPERLINK("https://www.zillow.com/homes/1475-BAYOU-PATH-DR-NAPERVILLE-IL-605633608_rb/","check listing")</f>
        <v>check listing</v>
      </c>
      <c r="AB4520" s="5" t="str">
        <f>HYPERLINK("https://propertylookup.dupagecounty.gov/Datalets/Datalet.aspx?UseSearch=no&amp;mode=sales&amp;pin=0709311042","sales record")</f>
        <v>sales record</v>
      </c>
      <c r="AC4520" t="s">
        <v>3</v>
      </c>
      <c r="AD4520">
        <v>41.789978</v>
      </c>
      <c r="AE4520">
        <v>-88.220276</v>
      </c>
      <c r="AF4520" s="5" t="str">
        <f>HYPERLINK("https://www.google.com/maps/search/?api=1&amp;query=41.789978,-88.220276","map")</f>
        <v>map</v>
      </c>
    </row>
    <row r="4521" spans="1:32">
      <c r="A4521" t="s">
        <v>4571</v>
      </c>
      <c r="B4521" t="s">
        <v>12104</v>
      </c>
      <c r="C4521" t="s">
        <v>15692</v>
      </c>
      <c r="D4521" t="s">
        <v>16206</v>
      </c>
      <c r="E4521" t="s">
        <v>16218</v>
      </c>
      <c r="F4521" t="s">
        <v>16221</v>
      </c>
      <c r="G4521" t="s">
        <v>16278</v>
      </c>
      <c r="H4521" t="s">
        <v>16277</v>
      </c>
      <c r="I4521" t="s">
        <v>16353</v>
      </c>
      <c r="J4521" t="s">
        <v>16386</v>
      </c>
      <c r="K4521">
        <v>0.179</v>
      </c>
      <c r="L4521">
        <v>7788</v>
      </c>
      <c r="N4521" t="s">
        <v>16393</v>
      </c>
      <c r="O4521" s="4">
        <v>72438</v>
      </c>
      <c r="P4521" s="4">
        <v>176572</v>
      </c>
      <c r="Q4521" s="4">
        <v>249010</v>
      </c>
      <c r="R4521" s="4">
        <v>747030</v>
      </c>
      <c r="S4521" t="s">
        <v>20820</v>
      </c>
      <c r="T4521" s="6">
        <v>43678</v>
      </c>
      <c r="U4521" s="4">
        <v>586547</v>
      </c>
      <c r="V4521" t="s">
        <v>16232</v>
      </c>
      <c r="W4521" t="s">
        <v>26180</v>
      </c>
      <c r="X4521" t="s">
        <v>3</v>
      </c>
      <c r="AA4521" s="5" t="str">
        <f>HYPERLINK("https://www.zillow.com/homes/1471-BAYOU-PATH-DR-NAPERVILLE-IL-605633608_rb/","check listing")</f>
        <v>check listing</v>
      </c>
      <c r="AB4521" s="5" t="str">
        <f>HYPERLINK("https://propertylookup.dupagecounty.gov/Datalets/Datalet.aspx?UseSearch=no&amp;mode=sales&amp;pin=0709311043","sales record")</f>
        <v>sales record</v>
      </c>
      <c r="AC4521" t="s">
        <v>3</v>
      </c>
      <c r="AD4521">
        <v>41.7898</v>
      </c>
      <c r="AE4521">
        <v>-88.220264</v>
      </c>
      <c r="AF4521" s="5" t="str">
        <f>HYPERLINK("https://www.google.com/maps/search/?api=1&amp;query=41.7898,-88.220264","map")</f>
        <v>map</v>
      </c>
    </row>
    <row r="4522" spans="1:32">
      <c r="A4522" t="s">
        <v>4572</v>
      </c>
      <c r="B4522" t="s">
        <v>12105</v>
      </c>
      <c r="C4522" t="s">
        <v>15478</v>
      </c>
      <c r="D4522" t="s">
        <v>16206</v>
      </c>
      <c r="E4522" t="s">
        <v>16218</v>
      </c>
      <c r="F4522" t="s">
        <v>16221</v>
      </c>
      <c r="G4522" t="s">
        <v>16277</v>
      </c>
      <c r="H4522" t="s">
        <v>16277</v>
      </c>
      <c r="I4522" t="s">
        <v>16353</v>
      </c>
      <c r="J4522" t="s">
        <v>16386</v>
      </c>
      <c r="K4522">
        <v>0.179</v>
      </c>
      <c r="L4522">
        <v>7778</v>
      </c>
      <c r="M4522">
        <v>1055</v>
      </c>
      <c r="N4522" t="s">
        <v>16393</v>
      </c>
      <c r="O4522" s="4">
        <v>119856</v>
      </c>
      <c r="P4522" s="4">
        <v>41347</v>
      </c>
      <c r="Q4522" s="4">
        <v>161203</v>
      </c>
      <c r="R4522" s="4">
        <v>483609</v>
      </c>
      <c r="S4522" t="s">
        <v>20821</v>
      </c>
      <c r="X4522" t="s">
        <v>3</v>
      </c>
      <c r="AA4522" s="5" t="str">
        <f>HYPERLINK("https://www.zillow.com/homes/616-N-BRAINARD-ST-NAPERVILLE-IL-60563_rb/","check listing")</f>
        <v>check listing</v>
      </c>
      <c r="AB4522" s="5" t="str">
        <f>HYPERLINK("https://propertylookup.dupagecounty.gov/Datalets/Datalet.aspx?UseSearch=no&amp;mode=sales&amp;pin=0818115012","sales record")</f>
        <v>sales record</v>
      </c>
      <c r="AC4522" t="s">
        <v>3</v>
      </c>
      <c r="AD4522">
        <v>41.782297</v>
      </c>
      <c r="AE4522">
        <v>-88.14280100000001</v>
      </c>
      <c r="AF4522" s="5" t="str">
        <f>HYPERLINK("https://www.google.com/maps/search/?api=1&amp;query=41.782297,-88.142801","map")</f>
        <v>map</v>
      </c>
    </row>
    <row r="4523" spans="1:32">
      <c r="A4523" t="s">
        <v>4573</v>
      </c>
      <c r="B4523" t="s">
        <v>12106</v>
      </c>
      <c r="C4523" t="s">
        <v>15478</v>
      </c>
      <c r="D4523" t="s">
        <v>16206</v>
      </c>
      <c r="E4523" t="s">
        <v>16218</v>
      </c>
      <c r="F4523" t="s">
        <v>16221</v>
      </c>
      <c r="G4523" t="s">
        <v>16278</v>
      </c>
      <c r="H4523" t="s">
        <v>16277</v>
      </c>
      <c r="I4523" t="s">
        <v>16353</v>
      </c>
      <c r="J4523" t="s">
        <v>16386</v>
      </c>
      <c r="K4523">
        <v>0.178</v>
      </c>
      <c r="L4523">
        <v>7774</v>
      </c>
      <c r="N4523" t="s">
        <v>16393</v>
      </c>
      <c r="O4523" s="4">
        <v>62979</v>
      </c>
      <c r="P4523" s="4">
        <v>147548</v>
      </c>
      <c r="Q4523" s="4">
        <v>210527</v>
      </c>
      <c r="R4523" s="4">
        <v>631581</v>
      </c>
      <c r="S4523" t="s">
        <v>20822</v>
      </c>
      <c r="T4523" s="6">
        <v>43344</v>
      </c>
      <c r="U4523" s="4">
        <v>512354</v>
      </c>
      <c r="V4523" t="s">
        <v>16232</v>
      </c>
      <c r="W4523" t="s">
        <v>26181</v>
      </c>
      <c r="X4523" t="s">
        <v>3</v>
      </c>
      <c r="AA4523" s="5" t="str">
        <f>HYPERLINK("https://www.zillow.com/homes/1347-BAYOU-PATH-CT-NAPERVILLE-IL-60563_rb/","check listing")</f>
        <v>check listing</v>
      </c>
      <c r="AB4523" s="5" t="str">
        <f>HYPERLINK("https://propertylookup.dupagecounty.gov/Datalets/Datalet.aspx?UseSearch=no&amp;mode=sales&amp;pin=0709311074","sales record")</f>
        <v>sales record</v>
      </c>
      <c r="AC4523" t="s">
        <v>3</v>
      </c>
      <c r="AD4523">
        <v>41.786004</v>
      </c>
      <c r="AE4523">
        <v>-88.218735</v>
      </c>
      <c r="AF4523" s="5" t="str">
        <f>HYPERLINK("https://www.google.com/maps/search/?api=1&amp;query=41.786004,-88.218735","map")</f>
        <v>map</v>
      </c>
    </row>
    <row r="4524" spans="1:32">
      <c r="A4524" t="s">
        <v>4574</v>
      </c>
      <c r="B4524" t="s">
        <v>12107</v>
      </c>
      <c r="C4524" t="s">
        <v>15648</v>
      </c>
      <c r="D4524" t="s">
        <v>16206</v>
      </c>
      <c r="E4524" t="s">
        <v>16218</v>
      </c>
      <c r="F4524" t="s">
        <v>16221</v>
      </c>
      <c r="G4524" t="s">
        <v>16278</v>
      </c>
      <c r="H4524" t="s">
        <v>16277</v>
      </c>
      <c r="I4524" t="s">
        <v>16353</v>
      </c>
      <c r="J4524" t="s">
        <v>16386</v>
      </c>
      <c r="K4524">
        <v>0.178</v>
      </c>
      <c r="L4524">
        <v>7771</v>
      </c>
      <c r="N4524" t="s">
        <v>16393</v>
      </c>
      <c r="O4524" s="4">
        <v>62979</v>
      </c>
      <c r="P4524" s="4">
        <v>199823</v>
      </c>
      <c r="Q4524" s="4">
        <v>262802</v>
      </c>
      <c r="R4524" s="4">
        <v>788406</v>
      </c>
      <c r="S4524" t="s">
        <v>20823</v>
      </c>
      <c r="T4524" s="6">
        <v>42979</v>
      </c>
      <c r="U4524" s="4">
        <v>526662</v>
      </c>
      <c r="V4524" t="s">
        <v>16232</v>
      </c>
      <c r="W4524" t="s">
        <v>26182</v>
      </c>
      <c r="X4524" t="s">
        <v>3</v>
      </c>
      <c r="AA4524" s="5" t="str">
        <f>HYPERLINK("https://www.zillow.com/homes/1624-ALDERLEAF-LN-NAPERVILLE-IL-605632049_rb/","check listing")</f>
        <v>check listing</v>
      </c>
      <c r="AB4524" s="5" t="str">
        <f>HYPERLINK("https://propertylookup.dupagecounty.gov/Datalets/Datalet.aspx?UseSearch=no&amp;mode=sales&amp;pin=0709102029","sales record")</f>
        <v>sales record</v>
      </c>
      <c r="AC4524" t="s">
        <v>3</v>
      </c>
      <c r="AD4524">
        <v>41.797064</v>
      </c>
      <c r="AE4524">
        <v>-88.21803</v>
      </c>
      <c r="AF4524" s="5" t="str">
        <f>HYPERLINK("https://www.google.com/maps/search/?api=1&amp;query=41.797064,-88.21803","map")</f>
        <v>map</v>
      </c>
    </row>
    <row r="4525" spans="1:32">
      <c r="A4525" t="s">
        <v>4575</v>
      </c>
      <c r="B4525" t="s">
        <v>12108</v>
      </c>
      <c r="C4525" t="s">
        <v>15648</v>
      </c>
      <c r="D4525" t="s">
        <v>16206</v>
      </c>
      <c r="E4525" t="s">
        <v>16218</v>
      </c>
      <c r="F4525" t="s">
        <v>16221</v>
      </c>
      <c r="G4525" t="s">
        <v>16278</v>
      </c>
      <c r="H4525" t="s">
        <v>16277</v>
      </c>
      <c r="I4525" t="s">
        <v>16353</v>
      </c>
      <c r="J4525" t="s">
        <v>16386</v>
      </c>
      <c r="K4525">
        <v>0.178</v>
      </c>
      <c r="L4525">
        <v>7769</v>
      </c>
      <c r="N4525" t="s">
        <v>16393</v>
      </c>
      <c r="O4525" s="4">
        <v>62979</v>
      </c>
      <c r="P4525" s="4">
        <v>192963</v>
      </c>
      <c r="Q4525" s="4">
        <v>255942</v>
      </c>
      <c r="R4525" s="4">
        <v>767826</v>
      </c>
      <c r="S4525" t="s">
        <v>20824</v>
      </c>
      <c r="T4525" s="6">
        <v>42979</v>
      </c>
      <c r="U4525" s="4">
        <v>556577</v>
      </c>
      <c r="V4525" t="s">
        <v>16232</v>
      </c>
      <c r="W4525" t="s">
        <v>26183</v>
      </c>
      <c r="X4525" t="s">
        <v>3</v>
      </c>
      <c r="AA4525" s="5" t="str">
        <f>HYPERLINK("https://www.zillow.com/homes/1628-ALDERLEAF-LN-NAPERVILLE-IL-605632049_rb/","check listing")</f>
        <v>check listing</v>
      </c>
      <c r="AB4525" s="5" t="str">
        <f>HYPERLINK("https://propertylookup.dupagecounty.gov/Datalets/Datalet.aspx?UseSearch=no&amp;mode=sales&amp;pin=0709102028","sales record")</f>
        <v>sales record</v>
      </c>
      <c r="AC4525" t="s">
        <v>3</v>
      </c>
      <c r="AD4525">
        <v>41.797108</v>
      </c>
      <c r="AE4525">
        <v>-88.21826</v>
      </c>
      <c r="AF4525" s="5" t="str">
        <f>HYPERLINK("https://www.google.com/maps/search/?api=1&amp;query=41.797108,-88.21826","map")</f>
        <v>map</v>
      </c>
    </row>
    <row r="4526" spans="1:32">
      <c r="A4526" t="s">
        <v>4576</v>
      </c>
      <c r="B4526" t="s">
        <v>12109</v>
      </c>
      <c r="C4526" t="s">
        <v>15475</v>
      </c>
      <c r="D4526" t="s">
        <v>16206</v>
      </c>
      <c r="E4526" t="s">
        <v>16218</v>
      </c>
      <c r="F4526" t="s">
        <v>16221</v>
      </c>
      <c r="G4526" t="s">
        <v>16277</v>
      </c>
      <c r="H4526" t="s">
        <v>16277</v>
      </c>
      <c r="I4526" t="s">
        <v>16353</v>
      </c>
      <c r="J4526" t="s">
        <v>16386</v>
      </c>
      <c r="K4526">
        <v>0.178</v>
      </c>
      <c r="L4526">
        <v>7763</v>
      </c>
      <c r="M4526">
        <v>1848</v>
      </c>
      <c r="N4526" t="s">
        <v>16393</v>
      </c>
      <c r="O4526" s="4">
        <v>115193</v>
      </c>
      <c r="P4526" s="4">
        <v>60721</v>
      </c>
      <c r="Q4526" s="4">
        <v>175914</v>
      </c>
      <c r="R4526" s="4">
        <v>527742</v>
      </c>
      <c r="S4526" t="s">
        <v>19545</v>
      </c>
      <c r="T4526" s="6">
        <v>37712</v>
      </c>
      <c r="U4526" s="4">
        <v>290000</v>
      </c>
      <c r="V4526" t="s">
        <v>23739</v>
      </c>
      <c r="W4526" t="s">
        <v>19545</v>
      </c>
      <c r="X4526" t="s">
        <v>3</v>
      </c>
      <c r="AA4526" s="5" t="str">
        <f>HYPERLINK("https://www.zillow.com/homes/540-S-MAIN-ST-NAPERVILLE-IL-60540_rb/","check listing")</f>
        <v>check listing</v>
      </c>
      <c r="AB4526" s="5" t="str">
        <f>HYPERLINK("https://propertylookup.dupagecounty.gov/Datalets/Datalet.aspx?UseSearch=no&amp;mode=sales&amp;pin=0724204007","sales record")</f>
        <v>sales record</v>
      </c>
      <c r="AC4526" t="s">
        <v>27873</v>
      </c>
      <c r="AD4526">
        <v>41.768728</v>
      </c>
      <c r="AE4526">
        <v>-88.149359</v>
      </c>
      <c r="AF4526" s="5" t="str">
        <f>HYPERLINK("https://www.google.com/maps/search/?api=1&amp;query=41.768728,-88.149359","map")</f>
        <v>map</v>
      </c>
    </row>
    <row r="4527" spans="1:32">
      <c r="A4527" t="s">
        <v>4577</v>
      </c>
      <c r="B4527" t="s">
        <v>12110</v>
      </c>
      <c r="C4527" t="s">
        <v>15475</v>
      </c>
      <c r="D4527" t="s">
        <v>16206</v>
      </c>
      <c r="E4527" t="s">
        <v>16218</v>
      </c>
      <c r="F4527" t="s">
        <v>16221</v>
      </c>
      <c r="G4527" t="s">
        <v>16277</v>
      </c>
      <c r="H4527" t="s">
        <v>16277</v>
      </c>
      <c r="I4527" t="s">
        <v>16353</v>
      </c>
      <c r="J4527" t="s">
        <v>16386</v>
      </c>
      <c r="K4527">
        <v>0.178</v>
      </c>
      <c r="L4527">
        <v>7761</v>
      </c>
      <c r="M4527">
        <v>1648</v>
      </c>
      <c r="N4527" t="s">
        <v>16393</v>
      </c>
      <c r="O4527" s="4">
        <v>125664</v>
      </c>
      <c r="P4527" s="4">
        <v>75257</v>
      </c>
      <c r="Q4527" s="4">
        <v>200921</v>
      </c>
      <c r="R4527" s="4">
        <v>602763</v>
      </c>
      <c r="S4527" t="s">
        <v>20825</v>
      </c>
      <c r="X4527" t="s">
        <v>3</v>
      </c>
      <c r="AA4527" s="5" t="str">
        <f>HYPERLINK("https://www.zillow.com/homes/9-W-BENTON-AVE-NAPERVILLE-IL-60540_rb/","check listing")</f>
        <v>check listing</v>
      </c>
      <c r="AB4527" s="5" t="str">
        <f>HYPERLINK("https://propertylookup.dupagecounty.gov/Datalets/Datalet.aspx?UseSearch=no&amp;mode=sales&amp;pin=0713409013","sales record")</f>
        <v>sales record</v>
      </c>
      <c r="AC4527" t="s">
        <v>27873</v>
      </c>
      <c r="AD4527">
        <v>41.775463</v>
      </c>
      <c r="AE4527">
        <v>-88.151383</v>
      </c>
      <c r="AF4527" s="5" t="str">
        <f>HYPERLINK("https://www.google.com/maps/search/?api=1&amp;query=41.775463,-88.151383","map")</f>
        <v>map</v>
      </c>
    </row>
    <row r="4528" spans="1:32">
      <c r="A4528" t="s">
        <v>4578</v>
      </c>
      <c r="B4528" t="s">
        <v>12111</v>
      </c>
      <c r="C4528" t="s">
        <v>15478</v>
      </c>
      <c r="D4528" t="s">
        <v>16206</v>
      </c>
      <c r="E4528" t="s">
        <v>16218</v>
      </c>
      <c r="F4528" t="s">
        <v>16221</v>
      </c>
      <c r="G4528" t="s">
        <v>16278</v>
      </c>
      <c r="H4528" t="s">
        <v>16277</v>
      </c>
      <c r="I4528" t="s">
        <v>16353</v>
      </c>
      <c r="J4528" t="s">
        <v>16386</v>
      </c>
      <c r="K4528">
        <v>0.178</v>
      </c>
      <c r="L4528">
        <v>7750</v>
      </c>
      <c r="N4528" t="s">
        <v>16393</v>
      </c>
      <c r="O4528" s="4">
        <v>62979</v>
      </c>
      <c r="P4528" s="4">
        <v>181271</v>
      </c>
      <c r="Q4528" s="4">
        <v>244250</v>
      </c>
      <c r="R4528" s="4">
        <v>732750</v>
      </c>
      <c r="S4528" t="s">
        <v>20826</v>
      </c>
      <c r="T4528" s="6">
        <v>42948</v>
      </c>
      <c r="U4528" s="4">
        <v>519200</v>
      </c>
      <c r="V4528" t="s">
        <v>16232</v>
      </c>
      <c r="W4528" t="s">
        <v>20826</v>
      </c>
      <c r="X4528" t="s">
        <v>3</v>
      </c>
      <c r="AA4528" s="5" t="str">
        <f>HYPERLINK("https://www.zillow.com/homes/2507-BASIN-TRAIL-LN-NAPERVILLE-IL-60563_rb/","check listing")</f>
        <v>check listing</v>
      </c>
      <c r="AB4528" s="5" t="str">
        <f>HYPERLINK("https://propertylookup.dupagecounty.gov/Datalets/Datalet.aspx?UseSearch=no&amp;mode=sales&amp;pin=0709109017","sales record")</f>
        <v>sales record</v>
      </c>
      <c r="AC4528" t="s">
        <v>3</v>
      </c>
      <c r="AD4528">
        <v>41.795979</v>
      </c>
      <c r="AE4528">
        <v>-88.22252400000001</v>
      </c>
      <c r="AF4528" s="5" t="str">
        <f>HYPERLINK("https://www.google.com/maps/search/?api=1&amp;query=41.795979,-88.222524","map")</f>
        <v>map</v>
      </c>
    </row>
    <row r="4529" spans="1:32">
      <c r="A4529" t="s">
        <v>4579</v>
      </c>
      <c r="B4529" t="s">
        <v>12112</v>
      </c>
      <c r="C4529" t="s">
        <v>15475</v>
      </c>
      <c r="D4529" t="s">
        <v>16206</v>
      </c>
      <c r="E4529" t="s">
        <v>16218</v>
      </c>
      <c r="F4529" t="s">
        <v>16221</v>
      </c>
      <c r="G4529" t="s">
        <v>16277</v>
      </c>
      <c r="H4529" t="s">
        <v>16277</v>
      </c>
      <c r="I4529" t="s">
        <v>16353</v>
      </c>
      <c r="J4529" t="s">
        <v>16386</v>
      </c>
      <c r="K4529">
        <v>0.178</v>
      </c>
      <c r="L4529">
        <v>7741</v>
      </c>
      <c r="M4529">
        <v>3331</v>
      </c>
      <c r="N4529" t="s">
        <v>16393</v>
      </c>
      <c r="O4529" s="4">
        <v>131890</v>
      </c>
      <c r="P4529" s="4">
        <v>358807</v>
      </c>
      <c r="Q4529" s="4">
        <v>490697</v>
      </c>
      <c r="R4529" s="4">
        <v>1472091</v>
      </c>
      <c r="S4529" t="s">
        <v>20827</v>
      </c>
      <c r="T4529" s="6">
        <v>45740</v>
      </c>
      <c r="U4529" s="4">
        <v>1495011</v>
      </c>
      <c r="V4529" t="s">
        <v>23739</v>
      </c>
      <c r="W4529" t="s">
        <v>26184</v>
      </c>
      <c r="X4529" t="s">
        <v>3</v>
      </c>
      <c r="AA4529" s="5" t="str">
        <f>HYPERLINK("https://www.zillow.com/homes/20-S-LOOMIS-ST-NAPERVILLE-IL-60540_rb/","check listing")</f>
        <v>check listing</v>
      </c>
      <c r="AB4529" s="5" t="str">
        <f>HYPERLINK("https://propertylookup.dupagecounty.gov/Datalets/Datalet.aspx?UseSearch=no&amp;mode=sales&amp;pin=0818316005","sales record")</f>
        <v>sales record</v>
      </c>
      <c r="AC4529" t="s">
        <v>27873</v>
      </c>
      <c r="AD4529">
        <v>41.77434</v>
      </c>
      <c r="AE4529">
        <v>-88.141913</v>
      </c>
      <c r="AF4529" s="5" t="str">
        <f>HYPERLINK("https://www.google.com/maps/search/?api=1&amp;query=41.77434,-88.141913","map")</f>
        <v>map</v>
      </c>
    </row>
    <row r="4530" spans="1:32">
      <c r="A4530" t="s">
        <v>4580</v>
      </c>
      <c r="B4530" t="s">
        <v>12113</v>
      </c>
      <c r="C4530" t="s">
        <v>15475</v>
      </c>
      <c r="D4530" t="s">
        <v>16206</v>
      </c>
      <c r="E4530" t="s">
        <v>16218</v>
      </c>
      <c r="F4530" t="s">
        <v>16221</v>
      </c>
      <c r="G4530" t="s">
        <v>16277</v>
      </c>
      <c r="H4530" t="s">
        <v>16277</v>
      </c>
      <c r="I4530" t="s">
        <v>16353</v>
      </c>
      <c r="J4530" t="s">
        <v>16386</v>
      </c>
      <c r="K4530">
        <v>0.178</v>
      </c>
      <c r="L4530">
        <v>7739</v>
      </c>
      <c r="M4530">
        <v>3238</v>
      </c>
      <c r="N4530" t="s">
        <v>16393</v>
      </c>
      <c r="O4530" s="4">
        <v>92711</v>
      </c>
      <c r="P4530" s="4">
        <v>212724</v>
      </c>
      <c r="Q4530" s="4">
        <v>305435</v>
      </c>
      <c r="R4530" s="4">
        <v>916305</v>
      </c>
      <c r="S4530" t="s">
        <v>20828</v>
      </c>
      <c r="T4530" s="6">
        <v>40725</v>
      </c>
      <c r="U4530" s="4">
        <v>660000</v>
      </c>
      <c r="V4530" t="s">
        <v>23739</v>
      </c>
      <c r="W4530" t="s">
        <v>26185</v>
      </c>
      <c r="X4530" t="s">
        <v>3</v>
      </c>
      <c r="AA4530" s="5" t="str">
        <f>HYPERLINK("https://www.zillow.com/homes/546-S-MAIN-ST-NAPERVILLE-IL-60540_rb/","check listing")</f>
        <v>check listing</v>
      </c>
      <c r="AB4530" s="5" t="str">
        <f>HYPERLINK("https://propertylookup.dupagecounty.gov/Datalets/Datalet.aspx?UseSearch=no&amp;mode=sales&amp;pin=0724204008","sales record")</f>
        <v>sales record</v>
      </c>
      <c r="AC4530" t="s">
        <v>27873</v>
      </c>
      <c r="AD4530">
        <v>41.768569</v>
      </c>
      <c r="AE4530">
        <v>-88.14936899999999</v>
      </c>
      <c r="AF4530" s="5" t="str">
        <f>HYPERLINK("https://www.google.com/maps/search/?api=1&amp;query=41.768569,-88.149369","map")</f>
        <v>map</v>
      </c>
    </row>
    <row r="4531" spans="1:32">
      <c r="A4531" t="s">
        <v>4581</v>
      </c>
      <c r="B4531" t="s">
        <v>12114</v>
      </c>
      <c r="C4531" t="s">
        <v>15662</v>
      </c>
      <c r="D4531" t="s">
        <v>16206</v>
      </c>
      <c r="E4531" t="s">
        <v>16218</v>
      </c>
      <c r="F4531" t="s">
        <v>16221</v>
      </c>
      <c r="G4531" t="s">
        <v>16278</v>
      </c>
      <c r="H4531" t="s">
        <v>16277</v>
      </c>
      <c r="I4531" t="s">
        <v>16353</v>
      </c>
      <c r="J4531" t="s">
        <v>16386</v>
      </c>
      <c r="K4531">
        <v>0.178</v>
      </c>
      <c r="L4531">
        <v>7736</v>
      </c>
      <c r="N4531" t="s">
        <v>16393</v>
      </c>
      <c r="O4531" s="4">
        <v>56146</v>
      </c>
      <c r="P4531" s="4">
        <v>246713</v>
      </c>
      <c r="Q4531" s="4">
        <v>302859</v>
      </c>
      <c r="R4531" s="4">
        <v>908577</v>
      </c>
      <c r="S4531" t="s">
        <v>20829</v>
      </c>
      <c r="T4531" s="6">
        <v>45330</v>
      </c>
      <c r="U4531" s="4">
        <v>866578</v>
      </c>
      <c r="V4531" t="s">
        <v>16232</v>
      </c>
      <c r="W4531" t="s">
        <v>26186</v>
      </c>
      <c r="X4531" t="s">
        <v>3</v>
      </c>
      <c r="AA4531" s="5" t="str">
        <f>HYPERLINK("https://www.zillow.com/homes/1247-WRENSON-AVE-NAPERVILLE-IL-605631594_rb/","check listing")</f>
        <v>check listing</v>
      </c>
      <c r="AB4531" s="5" t="str">
        <f>HYPERLINK("https://propertylookup.dupagecounty.gov/Datalets/Datalet.aspx?UseSearch=no&amp;mode=sales&amp;pin=0532305007","sales record")</f>
        <v>sales record</v>
      </c>
      <c r="AC4531" t="s">
        <v>3</v>
      </c>
      <c r="AD4531">
        <v>41.817428</v>
      </c>
      <c r="AE4531">
        <v>-88.119514</v>
      </c>
      <c r="AF4531" s="5" t="str">
        <f>HYPERLINK("https://www.google.com/maps/search/?api=1&amp;query=41.817428,-88.119514","map")</f>
        <v>map</v>
      </c>
    </row>
    <row r="4532" spans="1:32">
      <c r="A4532" t="s">
        <v>4582</v>
      </c>
      <c r="B4532" t="s">
        <v>12115</v>
      </c>
      <c r="C4532" t="s">
        <v>15662</v>
      </c>
      <c r="D4532" t="s">
        <v>16206</v>
      </c>
      <c r="E4532" t="s">
        <v>16218</v>
      </c>
      <c r="F4532" t="s">
        <v>16221</v>
      </c>
      <c r="G4532" t="s">
        <v>16278</v>
      </c>
      <c r="H4532" t="s">
        <v>16277</v>
      </c>
      <c r="I4532" t="s">
        <v>16353</v>
      </c>
      <c r="J4532" t="s">
        <v>16386</v>
      </c>
      <c r="K4532">
        <v>0.178</v>
      </c>
      <c r="L4532">
        <v>7735</v>
      </c>
      <c r="N4532" t="s">
        <v>16393</v>
      </c>
      <c r="O4532" s="4">
        <v>56141</v>
      </c>
      <c r="P4532" s="4">
        <v>240765</v>
      </c>
      <c r="Q4532" s="4">
        <v>296906</v>
      </c>
      <c r="R4532" s="4">
        <v>890718</v>
      </c>
      <c r="S4532" t="s">
        <v>20830</v>
      </c>
      <c r="T4532" s="6">
        <v>45646</v>
      </c>
      <c r="U4532" s="4">
        <v>847689</v>
      </c>
      <c r="V4532" t="s">
        <v>16232</v>
      </c>
      <c r="W4532" t="s">
        <v>26187</v>
      </c>
      <c r="X4532" t="s">
        <v>3</v>
      </c>
      <c r="AA4532" s="5" t="str">
        <f>HYPERLINK("https://www.zillow.com/homes/1259-WRENSON-AVE-NAPERVILLE-IL-605631594_rb/","check listing")</f>
        <v>check listing</v>
      </c>
      <c r="AB4532" s="5" t="str">
        <f>HYPERLINK("https://propertylookup.dupagecounty.gov/Datalets/Datalet.aspx?UseSearch=no&amp;mode=sales&amp;pin=0532305004","sales record")</f>
        <v>sales record</v>
      </c>
      <c r="AC4532" t="s">
        <v>3</v>
      </c>
      <c r="AD4532">
        <v>41.817378</v>
      </c>
      <c r="AE4532">
        <v>-88.118899</v>
      </c>
      <c r="AF4532" s="5" t="str">
        <f>HYPERLINK("https://www.google.com/maps/search/?api=1&amp;query=41.817378,-88.118899","map")</f>
        <v>map</v>
      </c>
    </row>
    <row r="4533" spans="1:32">
      <c r="A4533" t="s">
        <v>4583</v>
      </c>
      <c r="B4533" t="s">
        <v>12116</v>
      </c>
      <c r="C4533" t="s">
        <v>15645</v>
      </c>
      <c r="D4533" t="s">
        <v>16206</v>
      </c>
      <c r="E4533" t="s">
        <v>16218</v>
      </c>
      <c r="F4533" t="s">
        <v>16221</v>
      </c>
      <c r="G4533" t="s">
        <v>16278</v>
      </c>
      <c r="H4533" t="s">
        <v>16277</v>
      </c>
      <c r="I4533" t="s">
        <v>16353</v>
      </c>
      <c r="J4533" t="s">
        <v>16386</v>
      </c>
      <c r="K4533">
        <v>0.177</v>
      </c>
      <c r="L4533">
        <v>7719</v>
      </c>
      <c r="N4533" t="s">
        <v>16393</v>
      </c>
      <c r="O4533" s="4">
        <v>66140</v>
      </c>
      <c r="P4533" s="4">
        <v>141287</v>
      </c>
      <c r="Q4533" s="4">
        <v>207427</v>
      </c>
      <c r="R4533" s="4">
        <v>622281</v>
      </c>
      <c r="S4533" t="s">
        <v>20831</v>
      </c>
      <c r="T4533" s="6">
        <v>44378</v>
      </c>
      <c r="U4533" s="4">
        <v>570000</v>
      </c>
      <c r="V4533" t="s">
        <v>23739</v>
      </c>
      <c r="W4533" t="s">
        <v>26188</v>
      </c>
      <c r="X4533" t="s">
        <v>3</v>
      </c>
      <c r="AA4533" s="5" t="str">
        <f>HYPERLINK("https://www.zillow.com/homes/2564-BASIN-TRAIL-LN-NAPERVILLE-IL-605633595_rb/","check listing")</f>
        <v>check listing</v>
      </c>
      <c r="AB4533" s="5" t="str">
        <f>HYPERLINK("https://propertylookup.dupagecounty.gov/Datalets/Datalet.aspx?UseSearch=no&amp;mode=sales&amp;pin=0709110001","sales record")</f>
        <v>sales record</v>
      </c>
      <c r="AC4533" t="s">
        <v>3</v>
      </c>
      <c r="AD4533">
        <v>41.795071</v>
      </c>
      <c r="AE4533">
        <v>-88.224034</v>
      </c>
      <c r="AF4533" s="5" t="str">
        <f>HYPERLINK("https://www.google.com/maps/search/?api=1&amp;query=41.795071,-88.224034","map")</f>
        <v>map</v>
      </c>
    </row>
    <row r="4534" spans="1:32">
      <c r="A4534" t="s">
        <v>4584</v>
      </c>
      <c r="B4534" t="s">
        <v>12117</v>
      </c>
      <c r="C4534" t="s">
        <v>15475</v>
      </c>
      <c r="D4534" t="s">
        <v>16206</v>
      </c>
      <c r="E4534" t="s">
        <v>16218</v>
      </c>
      <c r="F4534" t="s">
        <v>16221</v>
      </c>
      <c r="G4534" t="s">
        <v>16277</v>
      </c>
      <c r="H4534" t="s">
        <v>16277</v>
      </c>
      <c r="I4534" t="s">
        <v>16353</v>
      </c>
      <c r="J4534" t="s">
        <v>16386</v>
      </c>
      <c r="K4534">
        <v>0.177</v>
      </c>
      <c r="L4534">
        <v>7718</v>
      </c>
      <c r="M4534">
        <v>2113</v>
      </c>
      <c r="N4534" t="s">
        <v>16393</v>
      </c>
      <c r="O4534" s="4">
        <v>115193</v>
      </c>
      <c r="P4534" s="4">
        <v>58987</v>
      </c>
      <c r="Q4534" s="4">
        <v>174180</v>
      </c>
      <c r="R4534" s="4">
        <v>522540</v>
      </c>
      <c r="S4534" t="s">
        <v>20832</v>
      </c>
      <c r="T4534" s="6">
        <v>44317</v>
      </c>
      <c r="U4534" s="4">
        <v>495000</v>
      </c>
      <c r="V4534" t="s">
        <v>23739</v>
      </c>
      <c r="W4534" t="s">
        <v>26189</v>
      </c>
      <c r="X4534" t="s">
        <v>3</v>
      </c>
      <c r="AA4534" s="5" t="str">
        <f>HYPERLINK("https://www.zillow.com/homes/548-S-MAIN-ST-NAPERVILLE-IL-60540_rb/","check listing")</f>
        <v>check listing</v>
      </c>
      <c r="AB4534" s="5" t="str">
        <f>HYPERLINK("https://propertylookup.dupagecounty.gov/Datalets/Datalet.aspx?UseSearch=no&amp;mode=sales&amp;pin=0724204009","sales record")</f>
        <v>sales record</v>
      </c>
      <c r="AC4534" t="s">
        <v>3</v>
      </c>
      <c r="AD4534">
        <v>41.768465</v>
      </c>
      <c r="AE4534">
        <v>-88.14937500000001</v>
      </c>
      <c r="AF4534" s="5" t="str">
        <f>HYPERLINK("https://www.google.com/maps/search/?api=1&amp;query=41.768465,-88.149375","map")</f>
        <v>map</v>
      </c>
    </row>
    <row r="4535" spans="1:32">
      <c r="A4535" t="s">
        <v>4585</v>
      </c>
      <c r="B4535" t="s">
        <v>12118</v>
      </c>
      <c r="C4535" t="s">
        <v>15752</v>
      </c>
      <c r="D4535" t="s">
        <v>16206</v>
      </c>
      <c r="E4535" t="s">
        <v>16218</v>
      </c>
      <c r="F4535" t="s">
        <v>16221</v>
      </c>
      <c r="G4535" t="s">
        <v>16278</v>
      </c>
      <c r="H4535" t="s">
        <v>16277</v>
      </c>
      <c r="I4535" t="s">
        <v>16353</v>
      </c>
      <c r="J4535" t="s">
        <v>16386</v>
      </c>
      <c r="K4535">
        <v>0.177</v>
      </c>
      <c r="L4535">
        <v>7711</v>
      </c>
      <c r="N4535" t="s">
        <v>16393</v>
      </c>
      <c r="O4535" s="4">
        <v>66140</v>
      </c>
      <c r="P4535" s="4">
        <v>153004</v>
      </c>
      <c r="Q4535" s="4">
        <v>219144</v>
      </c>
      <c r="R4535" s="4">
        <v>657432</v>
      </c>
      <c r="S4535" t="s">
        <v>20833</v>
      </c>
      <c r="T4535" s="6">
        <v>43647</v>
      </c>
      <c r="U4535" s="4">
        <v>450000</v>
      </c>
      <c r="V4535" t="s">
        <v>23739</v>
      </c>
      <c r="W4535" t="s">
        <v>26190</v>
      </c>
      <c r="X4535" t="s">
        <v>3</v>
      </c>
      <c r="AA4535" s="5" t="str">
        <f>HYPERLINK("https://www.zillow.com/homes/2507-BALSAM-COVE-RD-NAPERVILLE-IL-605633589_rb/","check listing")</f>
        <v>check listing</v>
      </c>
      <c r="AB4535" s="5" t="str">
        <f>HYPERLINK("https://propertylookup.dupagecounty.gov/Datalets/Datalet.aspx?UseSearch=no&amp;mode=sales&amp;pin=0709107022","sales record")</f>
        <v>sales record</v>
      </c>
      <c r="AC4535" t="s">
        <v>3</v>
      </c>
      <c r="AD4535">
        <v>41.796928</v>
      </c>
      <c r="AE4535">
        <v>-88.22242</v>
      </c>
      <c r="AF4535" s="5" t="str">
        <f>HYPERLINK("https://www.google.com/maps/search/?api=1&amp;query=41.796928,-88.22242","map")</f>
        <v>map</v>
      </c>
    </row>
    <row r="4536" spans="1:32">
      <c r="A4536" t="s">
        <v>4586</v>
      </c>
      <c r="B4536" t="s">
        <v>12119</v>
      </c>
      <c r="C4536" t="s">
        <v>15695</v>
      </c>
      <c r="D4536" t="s">
        <v>16206</v>
      </c>
      <c r="E4536" t="s">
        <v>16218</v>
      </c>
      <c r="F4536" t="s">
        <v>16221</v>
      </c>
      <c r="G4536" t="s">
        <v>16278</v>
      </c>
      <c r="H4536" t="s">
        <v>16277</v>
      </c>
      <c r="I4536" t="s">
        <v>16353</v>
      </c>
      <c r="J4536" t="s">
        <v>16386</v>
      </c>
      <c r="K4536">
        <v>0.177</v>
      </c>
      <c r="L4536">
        <v>7709</v>
      </c>
      <c r="N4536" t="s">
        <v>16393</v>
      </c>
      <c r="O4536" s="4">
        <v>59829</v>
      </c>
      <c r="P4536" s="4">
        <v>160706</v>
      </c>
      <c r="Q4536" s="4">
        <v>220535</v>
      </c>
      <c r="R4536" s="4">
        <v>661605</v>
      </c>
      <c r="S4536" t="s">
        <v>20834</v>
      </c>
      <c r="T4536" s="6">
        <v>43191</v>
      </c>
      <c r="U4536" s="4">
        <v>478156</v>
      </c>
      <c r="V4536" t="s">
        <v>16232</v>
      </c>
      <c r="W4536" t="s">
        <v>26191</v>
      </c>
      <c r="X4536" t="s">
        <v>3</v>
      </c>
      <c r="AA4536" s="5" t="str">
        <f>HYPERLINK("https://www.zillow.com/homes/1404-BAYOU-PATH-DR-NAPERVILLE-IL-605633498_rb/","check listing")</f>
        <v>check listing</v>
      </c>
      <c r="AB4536" s="5" t="str">
        <f>HYPERLINK("https://propertylookup.dupagecounty.gov/Datalets/Datalet.aspx?UseSearch=no&amp;mode=sales&amp;pin=0709305045","sales record")</f>
        <v>sales record</v>
      </c>
      <c r="AC4536" t="s">
        <v>3</v>
      </c>
      <c r="AD4536">
        <v>41.787434</v>
      </c>
      <c r="AE4536">
        <v>-88.219097</v>
      </c>
      <c r="AF4536" s="5" t="str">
        <f>HYPERLINK("https://www.google.com/maps/search/?api=1&amp;query=41.787434,-88.219097","map")</f>
        <v>map</v>
      </c>
    </row>
    <row r="4537" spans="1:32">
      <c r="A4537" t="s">
        <v>4587</v>
      </c>
      <c r="B4537" t="s">
        <v>12120</v>
      </c>
      <c r="C4537" t="s">
        <v>15651</v>
      </c>
      <c r="D4537" t="s">
        <v>16206</v>
      </c>
      <c r="E4537" t="s">
        <v>16218</v>
      </c>
      <c r="F4537" t="s">
        <v>16221</v>
      </c>
      <c r="G4537" t="s">
        <v>16277</v>
      </c>
      <c r="H4537" t="s">
        <v>16277</v>
      </c>
      <c r="I4537" t="s">
        <v>16353</v>
      </c>
      <c r="J4537" t="s">
        <v>16386</v>
      </c>
      <c r="K4537">
        <v>0.177</v>
      </c>
      <c r="L4537">
        <v>7705</v>
      </c>
      <c r="M4537">
        <v>1524</v>
      </c>
      <c r="N4537" t="s">
        <v>16393</v>
      </c>
      <c r="O4537" s="4">
        <v>131890</v>
      </c>
      <c r="P4537" s="4">
        <v>121973</v>
      </c>
      <c r="Q4537" s="4">
        <v>253863</v>
      </c>
      <c r="R4537" s="4">
        <v>761589</v>
      </c>
      <c r="S4537" t="s">
        <v>20835</v>
      </c>
      <c r="T4537" s="6">
        <v>45447</v>
      </c>
      <c r="U4537" s="4">
        <v>790000</v>
      </c>
      <c r="V4537" t="s">
        <v>23739</v>
      </c>
      <c r="W4537" t="s">
        <v>26192</v>
      </c>
      <c r="X4537" t="s">
        <v>3</v>
      </c>
      <c r="AA4537" s="5" t="str">
        <f>HYPERLINK("https://www.zillow.com/homes/221-N-SLEIGHT-ST-NAPERVILLE-IL-605404741_rb/","check listing")</f>
        <v>check listing</v>
      </c>
      <c r="AB4537" s="5" t="str">
        <f>HYPERLINK("https://propertylookup.dupagecounty.gov/Datalets/Datalet.aspx?UseSearch=no&amp;mode=sales&amp;pin=0818137006","sales record")</f>
        <v>sales record</v>
      </c>
      <c r="AC4537" t="s">
        <v>27873</v>
      </c>
      <c r="AD4537">
        <v>41.777971</v>
      </c>
      <c r="AE4537">
        <v>-88.141132</v>
      </c>
      <c r="AF4537" s="5" t="str">
        <f>HYPERLINK("https://www.google.com/maps/search/?api=1&amp;query=41.777971,-88.141132","map")</f>
        <v>map</v>
      </c>
    </row>
    <row r="4538" spans="1:32">
      <c r="A4538" t="s">
        <v>4588</v>
      </c>
      <c r="B4538" t="s">
        <v>12121</v>
      </c>
      <c r="C4538" t="s">
        <v>15651</v>
      </c>
      <c r="D4538" t="s">
        <v>16206</v>
      </c>
      <c r="E4538" t="s">
        <v>16218</v>
      </c>
      <c r="F4538" t="s">
        <v>16221</v>
      </c>
      <c r="G4538" t="s">
        <v>16277</v>
      </c>
      <c r="H4538" t="s">
        <v>16277</v>
      </c>
      <c r="I4538" t="s">
        <v>16353</v>
      </c>
      <c r="J4538" t="s">
        <v>16386</v>
      </c>
      <c r="K4538">
        <v>0.177</v>
      </c>
      <c r="L4538">
        <v>7704</v>
      </c>
      <c r="M4538">
        <v>1847</v>
      </c>
      <c r="N4538" t="s">
        <v>16393</v>
      </c>
      <c r="O4538" s="4">
        <v>131890</v>
      </c>
      <c r="P4538" s="4">
        <v>123959</v>
      </c>
      <c r="Q4538" s="4">
        <v>255849</v>
      </c>
      <c r="R4538" s="4">
        <v>767547</v>
      </c>
      <c r="S4538" t="s">
        <v>20836</v>
      </c>
      <c r="T4538" s="6">
        <v>45666</v>
      </c>
      <c r="U4538" s="4">
        <v>580000</v>
      </c>
      <c r="V4538" t="s">
        <v>23739</v>
      </c>
      <c r="W4538" t="s">
        <v>26193</v>
      </c>
      <c r="X4538" t="s">
        <v>3</v>
      </c>
      <c r="AA4538" s="5" t="str">
        <f>HYPERLINK("https://www.zillow.com/homes/205-N-SLEIGHT-ST-NAPERVILLE-IL-605404741_rb/","check listing")</f>
        <v>check listing</v>
      </c>
      <c r="AB4538" s="5" t="str">
        <f>HYPERLINK("https://propertylookup.dupagecounty.gov/Datalets/Datalet.aspx?UseSearch=no&amp;mode=sales&amp;pin=0818137009","sales record")</f>
        <v>sales record</v>
      </c>
      <c r="AC4538" t="s">
        <v>3</v>
      </c>
      <c r="AD4538">
        <v>41.777547</v>
      </c>
      <c r="AE4538">
        <v>-88.141065</v>
      </c>
      <c r="AF4538" s="5" t="str">
        <f>HYPERLINK("https://www.google.com/maps/search/?api=1&amp;query=41.777547,-88.141065","map")</f>
        <v>map</v>
      </c>
    </row>
    <row r="4539" spans="1:32">
      <c r="A4539" t="s">
        <v>4589</v>
      </c>
      <c r="B4539" t="s">
        <v>12122</v>
      </c>
      <c r="C4539" t="s">
        <v>15756</v>
      </c>
      <c r="D4539" t="s">
        <v>16206</v>
      </c>
      <c r="E4539" t="s">
        <v>16218</v>
      </c>
      <c r="F4539" t="s">
        <v>16221</v>
      </c>
      <c r="G4539" t="s">
        <v>16278</v>
      </c>
      <c r="H4539" t="s">
        <v>16277</v>
      </c>
      <c r="I4539" t="s">
        <v>16353</v>
      </c>
      <c r="J4539" t="s">
        <v>16386</v>
      </c>
      <c r="K4539">
        <v>0.177</v>
      </c>
      <c r="L4539">
        <v>7699</v>
      </c>
      <c r="N4539" t="s">
        <v>16393</v>
      </c>
      <c r="O4539" s="4">
        <v>66140</v>
      </c>
      <c r="P4539" s="4">
        <v>166479</v>
      </c>
      <c r="Q4539" s="4">
        <v>232619</v>
      </c>
      <c r="R4539" s="4">
        <v>697857</v>
      </c>
      <c r="S4539" t="s">
        <v>20837</v>
      </c>
      <c r="T4539" s="6">
        <v>43191</v>
      </c>
      <c r="U4539" s="4">
        <v>457112</v>
      </c>
      <c r="V4539" t="s">
        <v>16232</v>
      </c>
      <c r="W4539" t="s">
        <v>26194</v>
      </c>
      <c r="X4539" t="s">
        <v>3</v>
      </c>
      <c r="AA4539" s="5" t="str">
        <f>HYPERLINK("https://www.zillow.com/homes/2576-BASIN-TRAIL-LN-NAPERVILLE-IL-605633610_rb/","check listing")</f>
        <v>check listing</v>
      </c>
      <c r="AB4539" s="5" t="str">
        <f>HYPERLINK("https://propertylookup.dupagecounty.gov/Datalets/Datalet.aspx?UseSearch=no&amp;mode=sales&amp;pin=0709110023","sales record")</f>
        <v>sales record</v>
      </c>
      <c r="AC4539" t="s">
        <v>3</v>
      </c>
      <c r="AD4539">
        <v>41.794601</v>
      </c>
      <c r="AE4539">
        <v>-88.224037</v>
      </c>
      <c r="AF4539" s="5" t="str">
        <f>HYPERLINK("https://www.google.com/maps/search/?api=1&amp;query=41.794601,-88.224037","map")</f>
        <v>map</v>
      </c>
    </row>
    <row r="4540" spans="1:32">
      <c r="A4540" t="s">
        <v>4590</v>
      </c>
      <c r="B4540" t="s">
        <v>12123</v>
      </c>
      <c r="C4540" t="s">
        <v>15475</v>
      </c>
      <c r="D4540" t="s">
        <v>16206</v>
      </c>
      <c r="E4540" t="s">
        <v>16218</v>
      </c>
      <c r="F4540" t="s">
        <v>16221</v>
      </c>
      <c r="G4540" t="s">
        <v>16277</v>
      </c>
      <c r="H4540" t="s">
        <v>16277</v>
      </c>
      <c r="I4540" t="s">
        <v>16353</v>
      </c>
      <c r="J4540" t="s">
        <v>16386</v>
      </c>
      <c r="K4540">
        <v>0.177</v>
      </c>
      <c r="L4540">
        <v>7699</v>
      </c>
      <c r="M4540">
        <v>2395</v>
      </c>
      <c r="N4540" t="s">
        <v>16393</v>
      </c>
      <c r="O4540" s="4">
        <v>131890</v>
      </c>
      <c r="P4540" s="4">
        <v>58007</v>
      </c>
      <c r="Q4540" s="4">
        <v>189897</v>
      </c>
      <c r="R4540" s="4">
        <v>569691</v>
      </c>
      <c r="S4540" t="s">
        <v>20838</v>
      </c>
      <c r="T4540" s="6">
        <v>32721</v>
      </c>
      <c r="U4540" s="4">
        <v>143250</v>
      </c>
      <c r="X4540" t="s">
        <v>3</v>
      </c>
      <c r="AA4540" s="5" t="str">
        <f>HYPERLINK("https://www.zillow.com/homes/204-N-SLEIGHT-ST-NAPERVILLE-IL-60540_rb/","check listing")</f>
        <v>check listing</v>
      </c>
      <c r="AB4540" s="5" t="str">
        <f>HYPERLINK("https://propertylookup.dupagecounty.gov/Datalets/Datalet.aspx?UseSearch=no&amp;mode=sales&amp;pin=0818140005","sales record")</f>
        <v>sales record</v>
      </c>
      <c r="AC4540" t="s">
        <v>3</v>
      </c>
      <c r="AD4540">
        <v>41.777524</v>
      </c>
      <c r="AE4540">
        <v>-88.140366</v>
      </c>
      <c r="AF4540" s="5" t="str">
        <f>HYPERLINK("https://www.google.com/maps/search/?api=1&amp;query=41.777524,-88.140366","map")</f>
        <v>map</v>
      </c>
    </row>
    <row r="4541" spans="1:32">
      <c r="A4541" t="s">
        <v>4591</v>
      </c>
      <c r="B4541" t="s">
        <v>12124</v>
      </c>
      <c r="C4541" t="s">
        <v>15652</v>
      </c>
      <c r="D4541" t="s">
        <v>16206</v>
      </c>
      <c r="E4541" t="s">
        <v>16218</v>
      </c>
      <c r="F4541" t="s">
        <v>16221</v>
      </c>
      <c r="G4541" t="s">
        <v>16277</v>
      </c>
      <c r="H4541" t="s">
        <v>16277</v>
      </c>
      <c r="I4541" t="s">
        <v>16353</v>
      </c>
      <c r="J4541" t="s">
        <v>16386</v>
      </c>
      <c r="K4541">
        <v>0.177</v>
      </c>
      <c r="L4541">
        <v>7699</v>
      </c>
      <c r="M4541">
        <v>1896</v>
      </c>
      <c r="N4541" t="s">
        <v>16393</v>
      </c>
      <c r="O4541" s="4">
        <v>131890</v>
      </c>
      <c r="P4541" s="4">
        <v>112483</v>
      </c>
      <c r="Q4541" s="4">
        <v>244373</v>
      </c>
      <c r="R4541" s="4">
        <v>733119</v>
      </c>
      <c r="S4541" t="s">
        <v>20839</v>
      </c>
      <c r="T4541" s="6">
        <v>42675</v>
      </c>
      <c r="U4541" s="4">
        <v>540000</v>
      </c>
      <c r="V4541" t="s">
        <v>23740</v>
      </c>
      <c r="W4541" t="s">
        <v>26195</v>
      </c>
      <c r="X4541" t="s">
        <v>3</v>
      </c>
      <c r="AA4541" s="5" t="str">
        <f>HYPERLINK("https://www.zillow.com/homes/20-S-SLEIGHT-ST-NAPERVILLE-IL-605404942_rb/","check listing")</f>
        <v>check listing</v>
      </c>
      <c r="AB4541" s="5" t="str">
        <f>HYPERLINK("https://propertylookup.dupagecounty.gov/Datalets/Datalet.aspx?UseSearch=no&amp;mode=sales&amp;pin=0818317003","sales record")</f>
        <v>sales record</v>
      </c>
      <c r="AC4541" t="s">
        <v>27873</v>
      </c>
      <c r="AD4541">
        <v>41.77443</v>
      </c>
      <c r="AE4541">
        <v>-88.140494</v>
      </c>
      <c r="AF4541" s="5" t="str">
        <f>HYPERLINK("https://www.google.com/maps/search/?api=1&amp;query=41.77443,-88.140494","map")</f>
        <v>map</v>
      </c>
    </row>
    <row r="4542" spans="1:32">
      <c r="A4542" t="s">
        <v>4592</v>
      </c>
      <c r="B4542" t="s">
        <v>12125</v>
      </c>
      <c r="C4542" t="s">
        <v>15756</v>
      </c>
      <c r="D4542" t="s">
        <v>16206</v>
      </c>
      <c r="E4542" t="s">
        <v>16218</v>
      </c>
      <c r="F4542" t="s">
        <v>16221</v>
      </c>
      <c r="G4542" t="s">
        <v>16278</v>
      </c>
      <c r="H4542" t="s">
        <v>16277</v>
      </c>
      <c r="I4542" t="s">
        <v>16353</v>
      </c>
      <c r="J4542" t="s">
        <v>16386</v>
      </c>
      <c r="K4542">
        <v>0.177</v>
      </c>
      <c r="L4542">
        <v>7697</v>
      </c>
      <c r="N4542" t="s">
        <v>16393</v>
      </c>
      <c r="O4542" s="4">
        <v>66140</v>
      </c>
      <c r="P4542" s="4">
        <v>166394</v>
      </c>
      <c r="Q4542" s="4">
        <v>232534</v>
      </c>
      <c r="R4542" s="4">
        <v>697602</v>
      </c>
      <c r="S4542" t="s">
        <v>20840</v>
      </c>
      <c r="T4542" s="6">
        <v>43313</v>
      </c>
      <c r="U4542" s="4">
        <v>504322</v>
      </c>
      <c r="V4542" t="s">
        <v>16232</v>
      </c>
      <c r="W4542" t="s">
        <v>26196</v>
      </c>
      <c r="X4542" t="s">
        <v>3</v>
      </c>
      <c r="AA4542" s="5" t="str">
        <f>HYPERLINK("https://www.zillow.com/homes/2572-BASIN-TRAIL-LN-NAPERVILLE-IL-605633610_rb/","check listing")</f>
        <v>check listing</v>
      </c>
      <c r="AB4542" s="5" t="str">
        <f>HYPERLINK("https://propertylookup.dupagecounty.gov/Datalets/Datalet.aspx?UseSearch=no&amp;mode=sales&amp;pin=0709110024","sales record")</f>
        <v>sales record</v>
      </c>
      <c r="AC4542" t="s">
        <v>3</v>
      </c>
      <c r="AD4542">
        <v>41.794758</v>
      </c>
      <c r="AE4542">
        <v>-88.224036</v>
      </c>
      <c r="AF4542" s="5" t="str">
        <f>HYPERLINK("https://www.google.com/maps/search/?api=1&amp;query=41.794758,-88.224036","map")</f>
        <v>map</v>
      </c>
    </row>
    <row r="4543" spans="1:32">
      <c r="A4543" t="s">
        <v>4593</v>
      </c>
      <c r="B4543" t="s">
        <v>12126</v>
      </c>
      <c r="C4543" t="s">
        <v>15478</v>
      </c>
      <c r="D4543" t="s">
        <v>16206</v>
      </c>
      <c r="E4543" t="s">
        <v>16218</v>
      </c>
      <c r="F4543" t="s">
        <v>16221</v>
      </c>
      <c r="G4543" t="s">
        <v>16278</v>
      </c>
      <c r="H4543" t="s">
        <v>16277</v>
      </c>
      <c r="I4543" t="s">
        <v>16353</v>
      </c>
      <c r="J4543" t="s">
        <v>16386</v>
      </c>
      <c r="K4543">
        <v>0.177</v>
      </c>
      <c r="L4543">
        <v>7696</v>
      </c>
      <c r="N4543" t="s">
        <v>16393</v>
      </c>
      <c r="O4543" s="4">
        <v>66140</v>
      </c>
      <c r="P4543" s="4">
        <v>149513</v>
      </c>
      <c r="Q4543" s="4">
        <v>215653</v>
      </c>
      <c r="R4543" s="4">
        <v>646959</v>
      </c>
      <c r="S4543" t="s">
        <v>20841</v>
      </c>
      <c r="T4543" s="6">
        <v>45610</v>
      </c>
      <c r="U4543" s="4">
        <v>700000</v>
      </c>
      <c r="V4543" t="s">
        <v>23739</v>
      </c>
      <c r="W4543" t="s">
        <v>26197</v>
      </c>
      <c r="X4543" t="s">
        <v>3</v>
      </c>
      <c r="AA4543" s="5" t="str">
        <f>HYPERLINK("https://www.zillow.com/homes/2568-BASIN-TRAIL-LN-NAPERVILLE-IL-60563_rb/","check listing")</f>
        <v>check listing</v>
      </c>
      <c r="AB4543" s="5" t="str">
        <f>HYPERLINK("https://propertylookup.dupagecounty.gov/Datalets/Datalet.aspx?UseSearch=no&amp;mode=sales&amp;pin=0709110025","sales record")</f>
        <v>sales record</v>
      </c>
      <c r="AC4543" t="s">
        <v>3</v>
      </c>
      <c r="AD4543">
        <v>41.794914</v>
      </c>
      <c r="AE4543">
        <v>-88.224035</v>
      </c>
      <c r="AF4543" s="5" t="str">
        <f>HYPERLINK("https://www.google.com/maps/search/?api=1&amp;query=41.794914,-88.224035","map")</f>
        <v>map</v>
      </c>
    </row>
    <row r="4544" spans="1:32">
      <c r="A4544" t="s">
        <v>4594</v>
      </c>
      <c r="B4544" t="s">
        <v>12127</v>
      </c>
      <c r="C4544" t="s">
        <v>15662</v>
      </c>
      <c r="D4544" t="s">
        <v>16206</v>
      </c>
      <c r="E4544" t="s">
        <v>16218</v>
      </c>
      <c r="F4544" t="s">
        <v>16221</v>
      </c>
      <c r="G4544" t="s">
        <v>16278</v>
      </c>
      <c r="H4544" t="s">
        <v>16277</v>
      </c>
      <c r="I4544" t="s">
        <v>16353</v>
      </c>
      <c r="J4544" t="s">
        <v>16386</v>
      </c>
      <c r="K4544">
        <v>0.176</v>
      </c>
      <c r="L4544">
        <v>7685</v>
      </c>
      <c r="N4544" t="s">
        <v>16393</v>
      </c>
      <c r="O4544" s="4">
        <v>56146</v>
      </c>
      <c r="P4544" s="4">
        <v>220627</v>
      </c>
      <c r="Q4544" s="4">
        <v>276773</v>
      </c>
      <c r="R4544" s="4">
        <v>830319</v>
      </c>
      <c r="S4544" t="s">
        <v>20842</v>
      </c>
      <c r="T4544" s="6">
        <v>45177</v>
      </c>
      <c r="U4544" s="4">
        <v>782513</v>
      </c>
      <c r="V4544" t="s">
        <v>16232</v>
      </c>
      <c r="W4544" t="s">
        <v>26198</v>
      </c>
      <c r="X4544" t="s">
        <v>3</v>
      </c>
      <c r="AA4544" s="5" t="str">
        <f>HYPERLINK("https://www.zillow.com/homes/1164-HIBBARD-RD-NAPERVILLE-IL-605631594_rb/","check listing")</f>
        <v>check listing</v>
      </c>
      <c r="AB4544" s="5" t="str">
        <f>HYPERLINK("https://propertylookup.dupagecounty.gov/Datalets/Datalet.aspx?UseSearch=no&amp;mode=sales&amp;pin=0532300035","sales record")</f>
        <v>sales record</v>
      </c>
      <c r="AC4544" t="s">
        <v>3</v>
      </c>
      <c r="AD4544">
        <v>41.818533</v>
      </c>
      <c r="AE4544">
        <v>-88.123651</v>
      </c>
      <c r="AF4544" s="5" t="str">
        <f>HYPERLINK("https://www.google.com/maps/search/?api=1&amp;query=41.818533,-88.123651","map")</f>
        <v>map</v>
      </c>
    </row>
    <row r="4545" spans="1:32">
      <c r="A4545" t="s">
        <v>4595</v>
      </c>
      <c r="B4545" t="s">
        <v>12128</v>
      </c>
      <c r="C4545" t="s">
        <v>15475</v>
      </c>
      <c r="D4545" t="s">
        <v>16206</v>
      </c>
      <c r="E4545" t="s">
        <v>16218</v>
      </c>
      <c r="F4545" t="s">
        <v>16221</v>
      </c>
      <c r="G4545" t="s">
        <v>16277</v>
      </c>
      <c r="H4545" t="s">
        <v>16277</v>
      </c>
      <c r="I4545" t="s">
        <v>16353</v>
      </c>
      <c r="J4545" t="s">
        <v>16386</v>
      </c>
      <c r="K4545">
        <v>0.176</v>
      </c>
      <c r="L4545">
        <v>7683</v>
      </c>
      <c r="M4545">
        <v>2905</v>
      </c>
      <c r="N4545" t="s">
        <v>16393</v>
      </c>
      <c r="O4545" s="4">
        <v>131890</v>
      </c>
      <c r="P4545" s="4">
        <v>160560</v>
      </c>
      <c r="Q4545" s="4">
        <v>292450</v>
      </c>
      <c r="R4545" s="4">
        <v>877350</v>
      </c>
      <c r="S4545" t="s">
        <v>20843</v>
      </c>
      <c r="T4545" s="6">
        <v>37226</v>
      </c>
      <c r="U4545" s="4">
        <v>475000</v>
      </c>
      <c r="V4545" t="s">
        <v>23739</v>
      </c>
      <c r="W4545" t="s">
        <v>26199</v>
      </c>
      <c r="X4545" t="s">
        <v>3</v>
      </c>
      <c r="AA4545" s="5" t="str">
        <f>HYPERLINK("https://www.zillow.com/homes/210-N-SLEIGHT-ST-NAPERVILLE-IL-60540_rb/","check listing")</f>
        <v>check listing</v>
      </c>
      <c r="AB4545" s="5" t="str">
        <f>HYPERLINK("https://propertylookup.dupagecounty.gov/Datalets/Datalet.aspx?UseSearch=no&amp;mode=sales&amp;pin=0818140004","sales record")</f>
        <v>sales record</v>
      </c>
      <c r="AC4545" t="s">
        <v>3</v>
      </c>
      <c r="AD4545">
        <v>41.777664</v>
      </c>
      <c r="AE4545">
        <v>-88.14035800000001</v>
      </c>
      <c r="AF4545" s="5" t="str">
        <f>HYPERLINK("https://www.google.com/maps/search/?api=1&amp;query=41.777664,-88.140358","map")</f>
        <v>map</v>
      </c>
    </row>
    <row r="4546" spans="1:32">
      <c r="A4546" t="s">
        <v>4596</v>
      </c>
      <c r="B4546" t="s">
        <v>12129</v>
      </c>
      <c r="C4546" t="s">
        <v>15662</v>
      </c>
      <c r="D4546" t="s">
        <v>16206</v>
      </c>
      <c r="E4546" t="s">
        <v>16218</v>
      </c>
      <c r="F4546" t="s">
        <v>16221</v>
      </c>
      <c r="G4546" t="s">
        <v>16278</v>
      </c>
      <c r="H4546" t="s">
        <v>16277</v>
      </c>
      <c r="I4546" t="s">
        <v>16353</v>
      </c>
      <c r="J4546" t="s">
        <v>16386</v>
      </c>
      <c r="K4546">
        <v>0.176</v>
      </c>
      <c r="L4546">
        <v>7682</v>
      </c>
      <c r="N4546" t="s">
        <v>16393</v>
      </c>
      <c r="O4546" s="4">
        <v>56146</v>
      </c>
      <c r="P4546" s="4">
        <v>245536</v>
      </c>
      <c r="Q4546" s="4">
        <v>301682</v>
      </c>
      <c r="R4546" s="4">
        <v>905046</v>
      </c>
      <c r="S4546" t="s">
        <v>20844</v>
      </c>
      <c r="T4546" s="6">
        <v>45044</v>
      </c>
      <c r="U4546" s="4">
        <v>822323</v>
      </c>
      <c r="V4546" t="s">
        <v>16232</v>
      </c>
      <c r="W4546" t="s">
        <v>26200</v>
      </c>
      <c r="X4546" t="s">
        <v>3</v>
      </c>
      <c r="AA4546" s="5" t="str">
        <f>HYPERLINK("https://www.zillow.com/homes/2548-WEATHERBEE-LN-NAPERVILLE-IL-605631594_rb/","check listing")</f>
        <v>check listing</v>
      </c>
      <c r="AB4546" s="5" t="str">
        <f>HYPERLINK("https://propertylookup.dupagecounty.gov/Datalets/Datalet.aspx?UseSearch=no&amp;mode=sales&amp;pin=0532301008","sales record")</f>
        <v>sales record</v>
      </c>
      <c r="AC4546" t="s">
        <v>3</v>
      </c>
      <c r="AD4546">
        <v>41.819727</v>
      </c>
      <c r="AE4546">
        <v>-88.123954</v>
      </c>
      <c r="AF4546" s="5" t="str">
        <f>HYPERLINK("https://www.google.com/maps/search/?api=1&amp;query=41.819727,-88.123954","map")</f>
        <v>map</v>
      </c>
    </row>
    <row r="4547" spans="1:32">
      <c r="A4547" t="s">
        <v>4597</v>
      </c>
      <c r="B4547" t="s">
        <v>12130</v>
      </c>
      <c r="C4547" t="s">
        <v>15662</v>
      </c>
      <c r="D4547" t="s">
        <v>16206</v>
      </c>
      <c r="E4547" t="s">
        <v>16218</v>
      </c>
      <c r="F4547" t="s">
        <v>16221</v>
      </c>
      <c r="G4547" t="s">
        <v>16278</v>
      </c>
      <c r="H4547" t="s">
        <v>16277</v>
      </c>
      <c r="I4547" t="s">
        <v>16353</v>
      </c>
      <c r="J4547" t="s">
        <v>16386</v>
      </c>
      <c r="K4547">
        <v>0.176</v>
      </c>
      <c r="L4547">
        <v>7681</v>
      </c>
      <c r="N4547" t="s">
        <v>16393</v>
      </c>
      <c r="O4547" s="4">
        <v>56146</v>
      </c>
      <c r="P4547" s="4">
        <v>253537</v>
      </c>
      <c r="Q4547" s="4">
        <v>309683</v>
      </c>
      <c r="R4547" s="4">
        <v>929049</v>
      </c>
      <c r="S4547" t="s">
        <v>20845</v>
      </c>
      <c r="T4547" s="6">
        <v>45084</v>
      </c>
      <c r="U4547" s="4">
        <v>854751</v>
      </c>
      <c r="V4547" t="s">
        <v>16232</v>
      </c>
      <c r="W4547" t="s">
        <v>26201</v>
      </c>
      <c r="X4547" t="s">
        <v>3</v>
      </c>
      <c r="AA4547" s="5" t="str">
        <f>HYPERLINK("https://www.zillow.com/homes/1112-HIBBARD-RD-NAPERVILLE-IL-605631594_rb/","check listing")</f>
        <v>check listing</v>
      </c>
      <c r="AB4547" s="5" t="str">
        <f>HYPERLINK("https://propertylookup.dupagecounty.gov/Datalets/Datalet.aspx?UseSearch=no&amp;mode=sales&amp;pin=0532301003","sales record")</f>
        <v>sales record</v>
      </c>
      <c r="AC4547" t="s">
        <v>3</v>
      </c>
      <c r="AD4547">
        <v>41.820037</v>
      </c>
      <c r="AE4547">
        <v>-88.123682</v>
      </c>
      <c r="AF4547" s="5" t="str">
        <f>HYPERLINK("https://www.google.com/maps/search/?api=1&amp;query=41.820037,-88.123682","map")</f>
        <v>map</v>
      </c>
    </row>
    <row r="4548" spans="1:32">
      <c r="A4548" t="s">
        <v>4598</v>
      </c>
      <c r="B4548" t="s">
        <v>12131</v>
      </c>
      <c r="C4548" t="s">
        <v>15662</v>
      </c>
      <c r="D4548" t="s">
        <v>16206</v>
      </c>
      <c r="E4548" t="s">
        <v>16218</v>
      </c>
      <c r="F4548" t="s">
        <v>16221</v>
      </c>
      <c r="G4548" t="s">
        <v>16278</v>
      </c>
      <c r="H4548" t="s">
        <v>16277</v>
      </c>
      <c r="I4548" t="s">
        <v>16353</v>
      </c>
      <c r="J4548" t="s">
        <v>16386</v>
      </c>
      <c r="K4548">
        <v>0.176</v>
      </c>
      <c r="L4548">
        <v>7681</v>
      </c>
      <c r="N4548" t="s">
        <v>16393</v>
      </c>
      <c r="O4548" s="4">
        <v>56146</v>
      </c>
      <c r="P4548" s="4">
        <v>241071</v>
      </c>
      <c r="Q4548" s="4">
        <v>297217</v>
      </c>
      <c r="R4548" s="4">
        <v>891651</v>
      </c>
      <c r="S4548" t="s">
        <v>20846</v>
      </c>
      <c r="T4548" s="6">
        <v>45061</v>
      </c>
      <c r="U4548" s="4">
        <v>799455</v>
      </c>
      <c r="V4548" t="s">
        <v>16232</v>
      </c>
      <c r="W4548" t="s">
        <v>26202</v>
      </c>
      <c r="X4548" t="s">
        <v>3</v>
      </c>
      <c r="AA4548" s="5" t="str">
        <f>HYPERLINK("https://www.zillow.com/homes/1108-HIBBARD-RD-NAPERVILLE-IL-605631594_rb/","check listing")</f>
        <v>check listing</v>
      </c>
      <c r="AB4548" s="5" t="str">
        <f>HYPERLINK("https://propertylookup.dupagecounty.gov/Datalets/Datalet.aspx?UseSearch=no&amp;mode=sales&amp;pin=0532301002","sales record")</f>
        <v>sales record</v>
      </c>
      <c r="AC4548" t="s">
        <v>3</v>
      </c>
      <c r="AD4548">
        <v>41.820055</v>
      </c>
      <c r="AE4548">
        <v>-88.12391599999999</v>
      </c>
      <c r="AF4548" s="5" t="str">
        <f>HYPERLINK("https://www.google.com/maps/search/?api=1&amp;query=41.820055,-88.123916","map")</f>
        <v>map</v>
      </c>
    </row>
    <row r="4549" spans="1:32">
      <c r="A4549" t="s">
        <v>4599</v>
      </c>
      <c r="B4549" t="s">
        <v>12132</v>
      </c>
      <c r="C4549" t="s">
        <v>15662</v>
      </c>
      <c r="D4549" t="s">
        <v>16206</v>
      </c>
      <c r="E4549" t="s">
        <v>16218</v>
      </c>
      <c r="F4549" t="s">
        <v>16221</v>
      </c>
      <c r="G4549" t="s">
        <v>16278</v>
      </c>
      <c r="H4549" t="s">
        <v>16277</v>
      </c>
      <c r="I4549" t="s">
        <v>16353</v>
      </c>
      <c r="J4549" t="s">
        <v>16386</v>
      </c>
      <c r="K4549">
        <v>0.176</v>
      </c>
      <c r="L4549">
        <v>7681</v>
      </c>
      <c r="N4549" t="s">
        <v>16393</v>
      </c>
      <c r="O4549" s="4">
        <v>56146</v>
      </c>
      <c r="P4549" s="4">
        <v>247127</v>
      </c>
      <c r="Q4549" s="4">
        <v>303273</v>
      </c>
      <c r="R4549" s="4">
        <v>909819</v>
      </c>
      <c r="S4549" t="s">
        <v>20847</v>
      </c>
      <c r="T4549" s="6">
        <v>45268</v>
      </c>
      <c r="U4549" s="4">
        <v>906397</v>
      </c>
      <c r="V4549" t="s">
        <v>16232</v>
      </c>
      <c r="W4549" t="s">
        <v>26203</v>
      </c>
      <c r="X4549" t="s">
        <v>3</v>
      </c>
      <c r="AA4549" s="5" t="str">
        <f>HYPERLINK("https://www.zillow.com/homes/1107-HIBBARD-RD-NAPERVILLE-IL-605631594_rb/","check listing")</f>
        <v>check listing</v>
      </c>
      <c r="AB4549" s="5" t="str">
        <f>HYPERLINK("https://propertylookup.dupagecounty.gov/Datalets/Datalet.aspx?UseSearch=no&amp;mode=sales&amp;pin=0532300069","sales record")</f>
        <v>sales record</v>
      </c>
      <c r="AC4549" t="s">
        <v>3</v>
      </c>
      <c r="AD4549">
        <v>41.820563</v>
      </c>
      <c r="AE4549">
        <v>-88.123847</v>
      </c>
      <c r="AF4549" s="5" t="str">
        <f>HYPERLINK("https://www.google.com/maps/search/?api=1&amp;query=41.820563,-88.123847","map")</f>
        <v>map</v>
      </c>
    </row>
    <row r="4550" spans="1:32">
      <c r="A4550" t="s">
        <v>4600</v>
      </c>
      <c r="B4550" t="s">
        <v>12133</v>
      </c>
      <c r="C4550" t="s">
        <v>15662</v>
      </c>
      <c r="D4550" t="s">
        <v>16206</v>
      </c>
      <c r="E4550" t="s">
        <v>16218</v>
      </c>
      <c r="F4550" t="s">
        <v>16221</v>
      </c>
      <c r="G4550" t="s">
        <v>16278</v>
      </c>
      <c r="H4550" t="s">
        <v>16277</v>
      </c>
      <c r="I4550" t="s">
        <v>16353</v>
      </c>
      <c r="J4550" t="s">
        <v>16386</v>
      </c>
      <c r="K4550">
        <v>0.176</v>
      </c>
      <c r="L4550">
        <v>7681</v>
      </c>
      <c r="N4550" t="s">
        <v>16393</v>
      </c>
      <c r="O4550" s="4">
        <v>56141</v>
      </c>
      <c r="P4550" s="4">
        <v>232329</v>
      </c>
      <c r="Q4550" s="4">
        <v>288470</v>
      </c>
      <c r="R4550" s="4">
        <v>865410</v>
      </c>
      <c r="S4550" t="s">
        <v>20848</v>
      </c>
      <c r="T4550" s="6">
        <v>45615</v>
      </c>
      <c r="U4550" s="4">
        <v>1077910</v>
      </c>
      <c r="V4550" t="s">
        <v>16232</v>
      </c>
      <c r="W4550" t="s">
        <v>26204</v>
      </c>
      <c r="X4550" t="s">
        <v>3</v>
      </c>
      <c r="AA4550" s="5" t="str">
        <f>HYPERLINK("https://www.zillow.com/homes/2571-WEATHERBEE-LN-NAPERVILLE-IL-605631594_rb/","check listing")</f>
        <v>check listing</v>
      </c>
      <c r="AB4550" s="5" t="str">
        <f>HYPERLINK("https://propertylookup.dupagecounty.gov/Datalets/Datalet.aspx?UseSearch=no&amp;mode=sales&amp;pin=0532300047","sales record")</f>
        <v>sales record</v>
      </c>
      <c r="AC4550" t="s">
        <v>3</v>
      </c>
      <c r="AD4550">
        <v>41.820069</v>
      </c>
      <c r="AE4550">
        <v>-88.12476100000001</v>
      </c>
      <c r="AF4550" s="5" t="str">
        <f>HYPERLINK("https://www.google.com/maps/search/?api=1&amp;query=41.820069,-88.124761","map")</f>
        <v>map</v>
      </c>
    </row>
    <row r="4551" spans="1:32">
      <c r="A4551" t="s">
        <v>4601</v>
      </c>
      <c r="B4551" t="s">
        <v>12134</v>
      </c>
      <c r="C4551" t="s">
        <v>15662</v>
      </c>
      <c r="D4551" t="s">
        <v>16206</v>
      </c>
      <c r="E4551" t="s">
        <v>16218</v>
      </c>
      <c r="F4551" t="s">
        <v>16221</v>
      </c>
      <c r="G4551" t="s">
        <v>16278</v>
      </c>
      <c r="H4551" t="s">
        <v>16277</v>
      </c>
      <c r="I4551" t="s">
        <v>16353</v>
      </c>
      <c r="J4551" t="s">
        <v>16386</v>
      </c>
      <c r="K4551">
        <v>0.176</v>
      </c>
      <c r="L4551">
        <v>7680</v>
      </c>
      <c r="N4551" t="s">
        <v>16393</v>
      </c>
      <c r="O4551" s="4">
        <v>56146</v>
      </c>
      <c r="P4551" s="4">
        <v>226248</v>
      </c>
      <c r="Q4551" s="4">
        <v>282394</v>
      </c>
      <c r="R4551" s="4">
        <v>847182</v>
      </c>
      <c r="S4551" t="s">
        <v>20849</v>
      </c>
      <c r="T4551" s="6">
        <v>44901</v>
      </c>
      <c r="U4551" s="4">
        <v>788536</v>
      </c>
      <c r="V4551" t="s">
        <v>16232</v>
      </c>
      <c r="W4551" t="s">
        <v>26205</v>
      </c>
      <c r="X4551" t="s">
        <v>3</v>
      </c>
      <c r="AA4551" s="5" t="str">
        <f>HYPERLINK("https://www.zillow.com/homes/2547-WEATHERBEE-LN-NAPERVILLE-IL-605631594_rb/","check listing")</f>
        <v>check listing</v>
      </c>
      <c r="AB4551" s="5" t="str">
        <f>HYPERLINK("https://propertylookup.dupagecounty.gov/Datalets/Datalet.aspx?UseSearch=no&amp;mode=sales&amp;pin=0532300041","sales record")</f>
        <v>sales record</v>
      </c>
      <c r="AC4551" t="s">
        <v>3</v>
      </c>
      <c r="AD4551">
        <v>41.819215</v>
      </c>
      <c r="AE4551">
        <v>-88.124025</v>
      </c>
      <c r="AF4551" s="5" t="str">
        <f>HYPERLINK("https://www.google.com/maps/search/?api=1&amp;query=41.819215,-88.124025","map")</f>
        <v>map</v>
      </c>
    </row>
    <row r="4552" spans="1:32">
      <c r="A4552" t="s">
        <v>4602</v>
      </c>
      <c r="B4552" t="s">
        <v>12135</v>
      </c>
      <c r="C4552" t="s">
        <v>15662</v>
      </c>
      <c r="D4552" t="s">
        <v>16206</v>
      </c>
      <c r="E4552" t="s">
        <v>16218</v>
      </c>
      <c r="F4552" t="s">
        <v>16221</v>
      </c>
      <c r="G4552" t="s">
        <v>16278</v>
      </c>
      <c r="H4552" t="s">
        <v>16277</v>
      </c>
      <c r="I4552" t="s">
        <v>16353</v>
      </c>
      <c r="J4552" t="s">
        <v>16386</v>
      </c>
      <c r="K4552">
        <v>0.176</v>
      </c>
      <c r="L4552">
        <v>7680</v>
      </c>
      <c r="N4552" t="s">
        <v>16393</v>
      </c>
      <c r="O4552" s="4">
        <v>56146</v>
      </c>
      <c r="P4552" s="4">
        <v>257036</v>
      </c>
      <c r="Q4552" s="4">
        <v>313182</v>
      </c>
      <c r="R4552" s="4">
        <v>939546</v>
      </c>
      <c r="S4552" t="s">
        <v>20850</v>
      </c>
      <c r="T4552" s="6">
        <v>44909</v>
      </c>
      <c r="U4552" s="4">
        <v>786832</v>
      </c>
      <c r="V4552" t="s">
        <v>16232</v>
      </c>
      <c r="W4552" t="s">
        <v>26206</v>
      </c>
      <c r="X4552" t="s">
        <v>3</v>
      </c>
      <c r="AA4552" s="5" t="str">
        <f>HYPERLINK("https://www.zillow.com/homes/2543-WEATHERBEE-LN-NAPERVILLE-IL-605631594_rb/","check listing")</f>
        <v>check listing</v>
      </c>
      <c r="AB4552" s="5" t="str">
        <f>HYPERLINK("https://propertylookup.dupagecounty.gov/Datalets/Datalet.aspx?UseSearch=no&amp;mode=sales&amp;pin=0532300040","sales record")</f>
        <v>sales record</v>
      </c>
      <c r="AC4552" t="s">
        <v>3</v>
      </c>
      <c r="AD4552">
        <v>41.819197</v>
      </c>
      <c r="AE4552">
        <v>-88.123791</v>
      </c>
      <c r="AF4552" s="5" t="str">
        <f>HYPERLINK("https://www.google.com/maps/search/?api=1&amp;query=41.819197,-88.123791","map")</f>
        <v>map</v>
      </c>
    </row>
    <row r="4553" spans="1:32">
      <c r="A4553" t="s">
        <v>4603</v>
      </c>
      <c r="B4553" t="s">
        <v>12136</v>
      </c>
      <c r="C4553" t="s">
        <v>15662</v>
      </c>
      <c r="D4553" t="s">
        <v>16206</v>
      </c>
      <c r="E4553" t="s">
        <v>16218</v>
      </c>
      <c r="F4553" t="s">
        <v>16221</v>
      </c>
      <c r="G4553" t="s">
        <v>16278</v>
      </c>
      <c r="H4553" t="s">
        <v>16277</v>
      </c>
      <c r="I4553" t="s">
        <v>16353</v>
      </c>
      <c r="J4553" t="s">
        <v>16386</v>
      </c>
      <c r="K4553">
        <v>0.176</v>
      </c>
      <c r="L4553">
        <v>7678</v>
      </c>
      <c r="N4553" t="s">
        <v>16393</v>
      </c>
      <c r="O4553" s="4">
        <v>56146</v>
      </c>
      <c r="P4553" s="4">
        <v>239715</v>
      </c>
      <c r="Q4553" s="4">
        <v>295861</v>
      </c>
      <c r="R4553" s="4">
        <v>887583</v>
      </c>
      <c r="S4553" t="s">
        <v>20851</v>
      </c>
      <c r="T4553" s="6">
        <v>44952</v>
      </c>
      <c r="U4553" s="4">
        <v>790822</v>
      </c>
      <c r="V4553" t="s">
        <v>16232</v>
      </c>
      <c r="W4553" t="s">
        <v>26207</v>
      </c>
      <c r="X4553" t="s">
        <v>3</v>
      </c>
      <c r="AA4553" s="5" t="str">
        <f>HYPERLINK("https://www.zillow.com/homes/2544-WEATHERBEE-LN-NAPERVILLE-IL-605631594_rb/","check listing")</f>
        <v>check listing</v>
      </c>
      <c r="AB4553" s="5" t="str">
        <f>HYPERLINK("https://propertylookup.dupagecounty.gov/Datalets/Datalet.aspx?UseSearch=no&amp;mode=sales&amp;pin=0532301007","sales record")</f>
        <v>sales record</v>
      </c>
      <c r="AC4553" t="s">
        <v>3</v>
      </c>
      <c r="AD4553">
        <v>41.819709</v>
      </c>
      <c r="AE4553">
        <v>-88.12372000000001</v>
      </c>
      <c r="AF4553" s="5" t="str">
        <f>HYPERLINK("https://www.google.com/maps/search/?api=1&amp;query=41.819709,-88.12372","map")</f>
        <v>map</v>
      </c>
    </row>
    <row r="4554" spans="1:32">
      <c r="A4554" t="s">
        <v>4604</v>
      </c>
      <c r="B4554" t="s">
        <v>12137</v>
      </c>
      <c r="C4554" t="s">
        <v>15475</v>
      </c>
      <c r="D4554" t="s">
        <v>16206</v>
      </c>
      <c r="E4554" t="s">
        <v>16218</v>
      </c>
      <c r="F4554" t="s">
        <v>16221</v>
      </c>
      <c r="G4554" t="s">
        <v>16277</v>
      </c>
      <c r="H4554" t="s">
        <v>16277</v>
      </c>
      <c r="I4554" t="s">
        <v>16353</v>
      </c>
      <c r="J4554" t="s">
        <v>16386</v>
      </c>
      <c r="K4554">
        <v>0.176</v>
      </c>
      <c r="L4554">
        <v>7677</v>
      </c>
      <c r="M4554">
        <v>1846</v>
      </c>
      <c r="N4554" t="s">
        <v>16393</v>
      </c>
      <c r="O4554" s="4">
        <v>194587</v>
      </c>
      <c r="P4554" s="4">
        <v>85753</v>
      </c>
      <c r="Q4554" s="4">
        <v>280340</v>
      </c>
      <c r="R4554" s="4">
        <v>841020</v>
      </c>
      <c r="S4554" t="s">
        <v>20852</v>
      </c>
      <c r="X4554" t="s">
        <v>3</v>
      </c>
      <c r="AA4554" s="5" t="str">
        <f>HYPERLINK("https://www.zillow.com/homes/135-AURORA-AVE-NAPERVILLE-IL-60540_rb/","check listing")</f>
        <v>check listing</v>
      </c>
      <c r="AB4554" s="5" t="str">
        <f>HYPERLINK("https://propertylookup.dupagecounty.gov/Datalets/Datalet.aspx?UseSearch=no&amp;mode=sales&amp;pin=0713442018","sales record")</f>
        <v>sales record</v>
      </c>
      <c r="AC4554" t="s">
        <v>3</v>
      </c>
      <c r="AD4554">
        <v>41.770221</v>
      </c>
      <c r="AE4554">
        <v>-88.150965</v>
      </c>
      <c r="AF4554" s="5" t="str">
        <f>HYPERLINK("https://www.google.com/maps/search/?api=1&amp;query=41.770221,-88.150965","map")</f>
        <v>map</v>
      </c>
    </row>
    <row r="4555" spans="1:32">
      <c r="A4555" t="s">
        <v>4605</v>
      </c>
      <c r="B4555" t="s">
        <v>12138</v>
      </c>
      <c r="C4555" t="s">
        <v>15662</v>
      </c>
      <c r="D4555" t="s">
        <v>16206</v>
      </c>
      <c r="E4555" t="s">
        <v>16218</v>
      </c>
      <c r="F4555" t="s">
        <v>16221</v>
      </c>
      <c r="G4555" t="s">
        <v>16278</v>
      </c>
      <c r="H4555" t="s">
        <v>16277</v>
      </c>
      <c r="I4555" t="s">
        <v>16353</v>
      </c>
      <c r="J4555" t="s">
        <v>16386</v>
      </c>
      <c r="K4555">
        <v>0.176</v>
      </c>
      <c r="L4555">
        <v>7676</v>
      </c>
      <c r="N4555" t="s">
        <v>16393</v>
      </c>
      <c r="O4555" s="4">
        <v>56146</v>
      </c>
      <c r="P4555" s="4">
        <v>239090</v>
      </c>
      <c r="Q4555" s="4">
        <v>295236</v>
      </c>
      <c r="R4555" s="4">
        <v>885708</v>
      </c>
      <c r="S4555" t="s">
        <v>20853</v>
      </c>
      <c r="T4555" s="6">
        <v>45583</v>
      </c>
      <c r="U4555" s="4">
        <v>906000</v>
      </c>
      <c r="V4555" t="s">
        <v>23739</v>
      </c>
      <c r="W4555" t="s">
        <v>26208</v>
      </c>
      <c r="X4555" t="s">
        <v>3</v>
      </c>
      <c r="AA4555" s="5" t="str">
        <f>HYPERLINK("https://www.zillow.com/homes/1111-HIBBARD-RD-NAPERVILLE-IL-605631594_rb/","check listing")</f>
        <v>check listing</v>
      </c>
      <c r="AB4555" s="5" t="str">
        <f>HYPERLINK("https://propertylookup.dupagecounty.gov/Datalets/Datalet.aspx?UseSearch=no&amp;mode=sales&amp;pin=0532300070","sales record")</f>
        <v>sales record</v>
      </c>
      <c r="AC4555" t="s">
        <v>3</v>
      </c>
      <c r="AD4555">
        <v>41.820545</v>
      </c>
      <c r="AE4555">
        <v>-88.12361300000001</v>
      </c>
      <c r="AF4555" s="5" t="str">
        <f>HYPERLINK("https://www.google.com/maps/search/?api=1&amp;query=41.820545,-88.123613","map")</f>
        <v>map</v>
      </c>
    </row>
    <row r="4556" spans="1:32">
      <c r="A4556" t="s">
        <v>4606</v>
      </c>
      <c r="B4556" t="s">
        <v>12139</v>
      </c>
      <c r="C4556" t="s">
        <v>15662</v>
      </c>
      <c r="D4556" t="s">
        <v>16206</v>
      </c>
      <c r="E4556" t="s">
        <v>16218</v>
      </c>
      <c r="F4556" t="s">
        <v>16221</v>
      </c>
      <c r="G4556" t="s">
        <v>16278</v>
      </c>
      <c r="H4556" t="s">
        <v>16277</v>
      </c>
      <c r="I4556" t="s">
        <v>16353</v>
      </c>
      <c r="J4556" t="s">
        <v>16386</v>
      </c>
      <c r="K4556">
        <v>0.176</v>
      </c>
      <c r="L4556">
        <v>7673</v>
      </c>
      <c r="N4556" t="s">
        <v>16393</v>
      </c>
      <c r="O4556" s="4">
        <v>56146</v>
      </c>
      <c r="P4556" s="4">
        <v>225175</v>
      </c>
      <c r="Q4556" s="4">
        <v>281321</v>
      </c>
      <c r="R4556" s="4">
        <v>843963</v>
      </c>
      <c r="S4556" t="s">
        <v>20854</v>
      </c>
      <c r="T4556" s="6">
        <v>45278</v>
      </c>
      <c r="U4556" s="4">
        <v>914173</v>
      </c>
      <c r="V4556" t="s">
        <v>16232</v>
      </c>
      <c r="W4556" t="s">
        <v>26209</v>
      </c>
      <c r="X4556" t="s">
        <v>3</v>
      </c>
      <c r="AA4556" s="5" t="str">
        <f>HYPERLINK("https://www.zillow.com/homes/2640-WEATHERBEE-CT-NAPERVILLE-IL-605631594_rb/","check listing")</f>
        <v>check listing</v>
      </c>
      <c r="AB4556" s="5" t="str">
        <f>HYPERLINK("https://propertylookup.dupagecounty.gov/Datalets/Datalet.aspx?UseSearch=no&amp;mode=sales&amp;pin=0532300064","sales record")</f>
        <v>sales record</v>
      </c>
      <c r="AC4556" t="s">
        <v>3</v>
      </c>
      <c r="AD4556">
        <v>41.820935</v>
      </c>
      <c r="AE4556">
        <v>-88.123548</v>
      </c>
      <c r="AF4556" s="5" t="str">
        <f>HYPERLINK("https://www.google.com/maps/search/?api=1&amp;query=41.820935,-88.123548","map")</f>
        <v>map</v>
      </c>
    </row>
    <row r="4557" spans="1:32">
      <c r="A4557" t="s">
        <v>4607</v>
      </c>
      <c r="B4557" t="s">
        <v>12140</v>
      </c>
      <c r="C4557" t="s">
        <v>15475</v>
      </c>
      <c r="D4557" t="s">
        <v>16206</v>
      </c>
      <c r="E4557" t="s">
        <v>16218</v>
      </c>
      <c r="F4557" t="s">
        <v>16221</v>
      </c>
      <c r="G4557" t="s">
        <v>16277</v>
      </c>
      <c r="H4557" t="s">
        <v>16277</v>
      </c>
      <c r="I4557" t="s">
        <v>16353</v>
      </c>
      <c r="J4557" t="s">
        <v>16386</v>
      </c>
      <c r="K4557">
        <v>0.176</v>
      </c>
      <c r="L4557">
        <v>7673</v>
      </c>
      <c r="M4557">
        <v>2421</v>
      </c>
      <c r="N4557" t="s">
        <v>16393</v>
      </c>
      <c r="O4557" s="4">
        <v>131878</v>
      </c>
      <c r="P4557" s="4">
        <v>135779</v>
      </c>
      <c r="Q4557" s="4">
        <v>267657</v>
      </c>
      <c r="R4557" s="4">
        <v>802971</v>
      </c>
      <c r="S4557" t="s">
        <v>20855</v>
      </c>
      <c r="T4557" s="6">
        <v>45504</v>
      </c>
      <c r="U4557" s="4">
        <v>827000</v>
      </c>
      <c r="V4557" t="s">
        <v>23739</v>
      </c>
      <c r="W4557" t="s">
        <v>26210</v>
      </c>
      <c r="X4557" t="s">
        <v>3</v>
      </c>
      <c r="AA4557" s="5" t="str">
        <f>HYPERLINK("https://www.zillow.com/homes/216-N-SLEIGHT-ST-NAPERVILLE-IL-60540_rb/","check listing")</f>
        <v>check listing</v>
      </c>
      <c r="AB4557" s="5" t="str">
        <f>HYPERLINK("https://propertylookup.dupagecounty.gov/Datalets/Datalet.aspx?UseSearch=no&amp;mode=sales&amp;pin=0818140003","sales record")</f>
        <v>sales record</v>
      </c>
      <c r="AC4557" t="s">
        <v>27873</v>
      </c>
      <c r="AD4557">
        <v>41.777805</v>
      </c>
      <c r="AE4557">
        <v>-88.14035</v>
      </c>
      <c r="AF4557" s="5" t="str">
        <f>HYPERLINK("https://www.google.com/maps/search/?api=1&amp;query=41.777805,-88.14035","map")</f>
        <v>map</v>
      </c>
    </row>
    <row r="4558" spans="1:32">
      <c r="A4558" t="s">
        <v>4608</v>
      </c>
      <c r="B4558" t="s">
        <v>12141</v>
      </c>
      <c r="C4558" t="s">
        <v>15662</v>
      </c>
      <c r="D4558" t="s">
        <v>16206</v>
      </c>
      <c r="E4558" t="s">
        <v>16218</v>
      </c>
      <c r="F4558" t="s">
        <v>16221</v>
      </c>
      <c r="G4558" t="s">
        <v>16278</v>
      </c>
      <c r="H4558" t="s">
        <v>16277</v>
      </c>
      <c r="I4558" t="s">
        <v>16353</v>
      </c>
      <c r="J4558" t="s">
        <v>16386</v>
      </c>
      <c r="K4558">
        <v>0.176</v>
      </c>
      <c r="L4558">
        <v>7671</v>
      </c>
      <c r="N4558" t="s">
        <v>16393</v>
      </c>
      <c r="O4558" s="4">
        <v>56146</v>
      </c>
      <c r="P4558" s="4">
        <v>216974</v>
      </c>
      <c r="Q4558" s="4">
        <v>273120</v>
      </c>
      <c r="R4558" s="4">
        <v>819360</v>
      </c>
      <c r="S4558" t="s">
        <v>20856</v>
      </c>
      <c r="T4558" s="6">
        <v>45274</v>
      </c>
      <c r="U4558" s="4">
        <v>838788</v>
      </c>
      <c r="V4558" t="s">
        <v>16232</v>
      </c>
      <c r="W4558" t="s">
        <v>26211</v>
      </c>
      <c r="X4558" t="s">
        <v>3</v>
      </c>
      <c r="AA4558" s="5" t="str">
        <f>HYPERLINK("https://www.zillow.com/homes/2636-WEATHERBEE-CT-NAPERVILLE-IL-605631594_rb/","check listing")</f>
        <v>check listing</v>
      </c>
      <c r="AB4558" s="5" t="str">
        <f>HYPERLINK("https://propertylookup.dupagecounty.gov/Datalets/Datalet.aspx?UseSearch=no&amp;mode=sales&amp;pin=0532300065","sales record")</f>
        <v>sales record</v>
      </c>
      <c r="AC4558" t="s">
        <v>3</v>
      </c>
      <c r="AD4558">
        <v>41.82093</v>
      </c>
      <c r="AE4558">
        <v>-88.12378200000001</v>
      </c>
      <c r="AF4558" s="5" t="str">
        <f>HYPERLINK("https://www.google.com/maps/search/?api=1&amp;query=41.82093,-88.123782","map")</f>
        <v>map</v>
      </c>
    </row>
    <row r="4559" spans="1:32">
      <c r="A4559" t="s">
        <v>4609</v>
      </c>
      <c r="B4559" t="s">
        <v>12142</v>
      </c>
      <c r="C4559" t="s">
        <v>15753</v>
      </c>
      <c r="D4559" t="s">
        <v>16206</v>
      </c>
      <c r="E4559" t="s">
        <v>16218</v>
      </c>
      <c r="F4559" t="s">
        <v>16221</v>
      </c>
      <c r="G4559" t="s">
        <v>16277</v>
      </c>
      <c r="H4559" t="s">
        <v>16277</v>
      </c>
      <c r="I4559" t="s">
        <v>16353</v>
      </c>
      <c r="J4559" t="s">
        <v>16386</v>
      </c>
      <c r="K4559">
        <v>0.176</v>
      </c>
      <c r="L4559">
        <v>7662</v>
      </c>
      <c r="M4559">
        <v>2441</v>
      </c>
      <c r="N4559" t="s">
        <v>16393</v>
      </c>
      <c r="O4559" s="4">
        <v>74905</v>
      </c>
      <c r="P4559" s="4">
        <v>43594</v>
      </c>
      <c r="Q4559" s="4">
        <v>118499</v>
      </c>
      <c r="R4559" s="4">
        <v>355497</v>
      </c>
      <c r="S4559" t="s">
        <v>20857</v>
      </c>
      <c r="T4559" s="6">
        <v>38231</v>
      </c>
      <c r="U4559" s="4">
        <v>180000</v>
      </c>
      <c r="V4559" t="s">
        <v>23739</v>
      </c>
      <c r="W4559" t="s">
        <v>26212</v>
      </c>
      <c r="X4559" t="s">
        <v>3</v>
      </c>
      <c r="AA4559" s="5" t="str">
        <f>HYPERLINK("https://www.zillow.com/homes/924-N-SLEIGHT-ST-NAPERVILLE-IL-605632840_rb/","check listing")</f>
        <v>check listing</v>
      </c>
      <c r="AB4559" s="5" t="str">
        <f>HYPERLINK("https://propertylookup.dupagecounty.gov/Datalets/Datalet.aspx?UseSearch=no&amp;mode=sales&amp;pin=0807312010","sales record")</f>
        <v>sales record</v>
      </c>
      <c r="AC4559" t="s">
        <v>3</v>
      </c>
      <c r="AD4559">
        <v>41.786484</v>
      </c>
      <c r="AE4559">
        <v>-88.139314</v>
      </c>
      <c r="AF4559" s="5" t="str">
        <f>HYPERLINK("https://www.google.com/maps/search/?api=1&amp;query=41.786484,-88.139314","map")</f>
        <v>map</v>
      </c>
    </row>
    <row r="4560" spans="1:32">
      <c r="A4560" t="s">
        <v>4610</v>
      </c>
      <c r="B4560" t="s">
        <v>12143</v>
      </c>
      <c r="C4560" t="s">
        <v>15475</v>
      </c>
      <c r="D4560" t="s">
        <v>16206</v>
      </c>
      <c r="E4560" t="s">
        <v>16218</v>
      </c>
      <c r="F4560" t="s">
        <v>16221</v>
      </c>
      <c r="G4560" t="s">
        <v>16277</v>
      </c>
      <c r="H4560" t="s">
        <v>16277</v>
      </c>
      <c r="I4560" t="s">
        <v>16353</v>
      </c>
      <c r="J4560" t="s">
        <v>16386</v>
      </c>
      <c r="K4560">
        <v>0.176</v>
      </c>
      <c r="L4560">
        <v>7654</v>
      </c>
      <c r="M4560">
        <v>2324</v>
      </c>
      <c r="N4560" t="s">
        <v>16393</v>
      </c>
      <c r="O4560" s="4">
        <v>131890</v>
      </c>
      <c r="P4560" s="4">
        <v>77652</v>
      </c>
      <c r="Q4560" s="4">
        <v>209542</v>
      </c>
      <c r="R4560" s="4">
        <v>628626</v>
      </c>
      <c r="S4560" t="s">
        <v>20858</v>
      </c>
      <c r="X4560" t="s">
        <v>3</v>
      </c>
      <c r="AA4560" s="5" t="str">
        <f>HYPERLINK("https://www.zillow.com/homes/133-N-CENTER-ST-NAPERVILLE-IL-60540_rb/","check listing")</f>
        <v>check listing</v>
      </c>
      <c r="AB4560" s="5" t="str">
        <f>HYPERLINK("https://propertylookup.dupagecounty.gov/Datalets/Datalet.aspx?UseSearch=no&amp;mode=sales&amp;pin=0818300002","sales record")</f>
        <v>sales record</v>
      </c>
      <c r="AC4560" t="s">
        <v>3</v>
      </c>
      <c r="AD4560">
        <v>41.776855</v>
      </c>
      <c r="AE4560">
        <v>-88.146708</v>
      </c>
      <c r="AF4560" s="5" t="str">
        <f>HYPERLINK("https://www.google.com/maps/search/?api=1&amp;query=41.776855,-88.146708","map")</f>
        <v>map</v>
      </c>
    </row>
    <row r="4561" spans="1:32">
      <c r="A4561" t="s">
        <v>4611</v>
      </c>
      <c r="B4561" t="s">
        <v>12144</v>
      </c>
      <c r="C4561" t="s">
        <v>15475</v>
      </c>
      <c r="D4561" t="s">
        <v>16206</v>
      </c>
      <c r="E4561" t="s">
        <v>16218</v>
      </c>
      <c r="F4561" t="s">
        <v>16221</v>
      </c>
      <c r="G4561" t="s">
        <v>16277</v>
      </c>
      <c r="H4561" t="s">
        <v>16277</v>
      </c>
      <c r="I4561" t="s">
        <v>16353</v>
      </c>
      <c r="J4561" t="s">
        <v>16386</v>
      </c>
      <c r="K4561">
        <v>0.176</v>
      </c>
      <c r="L4561">
        <v>7647</v>
      </c>
      <c r="M4561">
        <v>2038</v>
      </c>
      <c r="N4561" t="s">
        <v>16393</v>
      </c>
      <c r="O4561" s="4">
        <v>131890</v>
      </c>
      <c r="P4561" s="4">
        <v>77831</v>
      </c>
      <c r="Q4561" s="4">
        <v>209721</v>
      </c>
      <c r="R4561" s="4">
        <v>629163</v>
      </c>
      <c r="S4561" t="s">
        <v>20859</v>
      </c>
      <c r="T4561" s="6">
        <v>36526</v>
      </c>
      <c r="U4561" s="4">
        <v>325000</v>
      </c>
      <c r="V4561" t="s">
        <v>23739</v>
      </c>
      <c r="W4561" t="s">
        <v>26213</v>
      </c>
      <c r="X4561" t="s">
        <v>3</v>
      </c>
      <c r="AA4561" s="5" t="str">
        <f>HYPERLINK("https://www.zillow.com/homes/224-N-ELLSWORTH-ST-NAPERVILLE-IL-60540_rb/","check listing")</f>
        <v>check listing</v>
      </c>
      <c r="AB4561" s="5" t="str">
        <f>HYPERLINK("https://propertylookup.dupagecounty.gov/Datalets/Datalet.aspx?UseSearch=no&amp;mode=sales&amp;pin=0818132003","sales record")</f>
        <v>sales record</v>
      </c>
      <c r="AC4561" t="s">
        <v>3</v>
      </c>
      <c r="AD4561">
        <v>41.778219</v>
      </c>
      <c r="AE4561">
        <v>-88.144544</v>
      </c>
      <c r="AF4561" s="5" t="str">
        <f>HYPERLINK("https://www.google.com/maps/search/?api=1&amp;query=41.778219,-88.144544","map")</f>
        <v>map</v>
      </c>
    </row>
    <row r="4562" spans="1:32">
      <c r="A4562" t="s">
        <v>4612</v>
      </c>
      <c r="B4562" t="s">
        <v>12145</v>
      </c>
      <c r="C4562" t="s">
        <v>15662</v>
      </c>
      <c r="D4562" t="s">
        <v>16206</v>
      </c>
      <c r="E4562" t="s">
        <v>16218</v>
      </c>
      <c r="F4562" t="s">
        <v>16221</v>
      </c>
      <c r="G4562" t="s">
        <v>16278</v>
      </c>
      <c r="H4562" t="s">
        <v>16277</v>
      </c>
      <c r="I4562" t="s">
        <v>16353</v>
      </c>
      <c r="J4562" t="s">
        <v>16386</v>
      </c>
      <c r="K4562">
        <v>0.176</v>
      </c>
      <c r="L4562">
        <v>7647</v>
      </c>
      <c r="N4562" t="s">
        <v>16393</v>
      </c>
      <c r="O4562" s="4">
        <v>56146</v>
      </c>
      <c r="P4562" s="4">
        <v>242193</v>
      </c>
      <c r="Q4562" s="4">
        <v>298339</v>
      </c>
      <c r="R4562" s="4">
        <v>895017</v>
      </c>
      <c r="S4562" t="s">
        <v>20860</v>
      </c>
      <c r="T4562" s="6">
        <v>45355</v>
      </c>
      <c r="U4562" s="4">
        <v>937944</v>
      </c>
      <c r="V4562" t="s">
        <v>16232</v>
      </c>
      <c r="W4562" t="s">
        <v>26214</v>
      </c>
      <c r="X4562" t="s">
        <v>3</v>
      </c>
      <c r="AA4562" s="5" t="str">
        <f>HYPERLINK("https://www.zillow.com/homes/2635-WEATHERBEE-CT-NAPERVILLE-IL-605631594_rb/","check listing")</f>
        <v>check listing</v>
      </c>
      <c r="AB4562" s="5" t="str">
        <f>HYPERLINK("https://propertylookup.dupagecounty.gov/Datalets/Datalet.aspx?UseSearch=no&amp;mode=sales&amp;pin=0532300058","sales record")</f>
        <v>sales record</v>
      </c>
      <c r="AC4562" t="s">
        <v>3</v>
      </c>
      <c r="AD4562">
        <v>41.821599</v>
      </c>
      <c r="AE4562">
        <v>-88.123752</v>
      </c>
      <c r="AF4562" s="5" t="str">
        <f>HYPERLINK("https://www.google.com/maps/search/?api=1&amp;query=41.821599,-88.123752","map")</f>
        <v>map</v>
      </c>
    </row>
    <row r="4563" spans="1:32">
      <c r="A4563" t="s">
        <v>4613</v>
      </c>
      <c r="B4563" t="s">
        <v>12146</v>
      </c>
      <c r="C4563" t="s">
        <v>15475</v>
      </c>
      <c r="D4563" t="s">
        <v>16206</v>
      </c>
      <c r="E4563" t="s">
        <v>16218</v>
      </c>
      <c r="F4563" t="s">
        <v>16221</v>
      </c>
      <c r="G4563" t="s">
        <v>16277</v>
      </c>
      <c r="H4563" t="s">
        <v>16277</v>
      </c>
      <c r="I4563" t="s">
        <v>16353</v>
      </c>
      <c r="J4563" t="s">
        <v>16386</v>
      </c>
      <c r="K4563">
        <v>0.176</v>
      </c>
      <c r="L4563">
        <v>7646</v>
      </c>
      <c r="M4563">
        <v>1716</v>
      </c>
      <c r="N4563" t="s">
        <v>16393</v>
      </c>
      <c r="O4563" s="4">
        <v>115193</v>
      </c>
      <c r="P4563" s="4">
        <v>88414</v>
      </c>
      <c r="Q4563" s="4">
        <v>203607</v>
      </c>
      <c r="R4563" s="4">
        <v>610821</v>
      </c>
      <c r="S4563" t="s">
        <v>20861</v>
      </c>
      <c r="T4563" s="6">
        <v>45040</v>
      </c>
      <c r="U4563" s="4">
        <v>555000</v>
      </c>
      <c r="V4563" t="s">
        <v>23739</v>
      </c>
      <c r="W4563" t="s">
        <v>26215</v>
      </c>
      <c r="X4563" t="s">
        <v>3</v>
      </c>
      <c r="AA4563" s="5" t="str">
        <f>HYPERLINK("https://www.zillow.com/homes/536-S-MAIN-ST-NAPERVILLE-IL-60540_rb/","check listing")</f>
        <v>check listing</v>
      </c>
      <c r="AB4563" s="5" t="str">
        <f>HYPERLINK("https://propertylookup.dupagecounty.gov/Datalets/Datalet.aspx?UseSearch=no&amp;mode=sales&amp;pin=0724204006","sales record")</f>
        <v>sales record</v>
      </c>
      <c r="AC4563" t="s">
        <v>3</v>
      </c>
      <c r="AD4563">
        <v>41.768878</v>
      </c>
      <c r="AE4563">
        <v>-88.149351</v>
      </c>
      <c r="AF4563" s="5" t="str">
        <f>HYPERLINK("https://www.google.com/maps/search/?api=1&amp;query=41.768878,-88.149351","map")</f>
        <v>map</v>
      </c>
    </row>
    <row r="4564" spans="1:32">
      <c r="A4564" t="s">
        <v>4614</v>
      </c>
      <c r="B4564" t="s">
        <v>12147</v>
      </c>
      <c r="C4564" t="s">
        <v>15662</v>
      </c>
      <c r="D4564" t="s">
        <v>16206</v>
      </c>
      <c r="E4564" t="s">
        <v>16218</v>
      </c>
      <c r="F4564" t="s">
        <v>16221</v>
      </c>
      <c r="G4564" t="s">
        <v>16278</v>
      </c>
      <c r="H4564" t="s">
        <v>16277</v>
      </c>
      <c r="I4564" t="s">
        <v>16353</v>
      </c>
      <c r="J4564" t="s">
        <v>16386</v>
      </c>
      <c r="K4564">
        <v>0.176</v>
      </c>
      <c r="L4564">
        <v>7646</v>
      </c>
      <c r="N4564" t="s">
        <v>16393</v>
      </c>
      <c r="O4564" s="4">
        <v>56146</v>
      </c>
      <c r="P4564" s="4">
        <v>257724</v>
      </c>
      <c r="Q4564" s="4">
        <v>313870</v>
      </c>
      <c r="R4564" s="4">
        <v>941610</v>
      </c>
      <c r="S4564" t="s">
        <v>20862</v>
      </c>
      <c r="T4564" s="6">
        <v>46093</v>
      </c>
      <c r="U4564" s="4">
        <v>1135000</v>
      </c>
      <c r="V4564" t="s">
        <v>23739</v>
      </c>
      <c r="W4564" t="s">
        <v>26216</v>
      </c>
      <c r="X4564" t="s">
        <v>3</v>
      </c>
      <c r="AA4564" s="5" t="str">
        <f>HYPERLINK("https://www.zillow.com/homes/2631-WEATHERBEE-CT-NAPERVILLE-IL-605631594_rb/","check listing")</f>
        <v>check listing</v>
      </c>
      <c r="AB4564" s="5" t="str">
        <f>HYPERLINK("https://propertylookup.dupagecounty.gov/Datalets/Datalet.aspx?UseSearch=no&amp;mode=sales&amp;pin=0532300057","sales record")</f>
        <v>sales record</v>
      </c>
      <c r="AC4564" t="s">
        <v>3</v>
      </c>
      <c r="AD4564">
        <v>41.821594</v>
      </c>
      <c r="AE4564">
        <v>-88.123986</v>
      </c>
      <c r="AF4564" s="5" t="str">
        <f>HYPERLINK("https://www.google.com/maps/search/?api=1&amp;query=41.821594,-88.123986","map")</f>
        <v>map</v>
      </c>
    </row>
    <row r="4565" spans="1:32">
      <c r="A4565" t="s">
        <v>4615</v>
      </c>
      <c r="B4565" t="s">
        <v>12148</v>
      </c>
      <c r="C4565" t="s">
        <v>15662</v>
      </c>
      <c r="D4565" t="s">
        <v>16206</v>
      </c>
      <c r="E4565" t="s">
        <v>16218</v>
      </c>
      <c r="F4565" t="s">
        <v>16221</v>
      </c>
      <c r="G4565" t="s">
        <v>16278</v>
      </c>
      <c r="H4565" t="s">
        <v>16277</v>
      </c>
      <c r="I4565" t="s">
        <v>16353</v>
      </c>
      <c r="J4565" t="s">
        <v>16386</v>
      </c>
      <c r="K4565">
        <v>0.175</v>
      </c>
      <c r="L4565">
        <v>7628</v>
      </c>
      <c r="N4565" t="s">
        <v>16393</v>
      </c>
      <c r="O4565" s="4">
        <v>56146</v>
      </c>
      <c r="P4565" s="4">
        <v>235591</v>
      </c>
      <c r="Q4565" s="4">
        <v>291737</v>
      </c>
      <c r="R4565" s="4">
        <v>875211</v>
      </c>
      <c r="S4565" t="s">
        <v>20863</v>
      </c>
      <c r="T4565" s="6">
        <v>45149</v>
      </c>
      <c r="U4565" s="4">
        <v>848996</v>
      </c>
      <c r="V4565" t="s">
        <v>16232</v>
      </c>
      <c r="W4565" t="s">
        <v>26217</v>
      </c>
      <c r="X4565" t="s">
        <v>3</v>
      </c>
      <c r="AA4565" s="5" t="str">
        <f>HYPERLINK("https://www.zillow.com/homes/1135-HIBBARD-RD-NAPERVILLE-IL-605631594_rb/","check listing")</f>
        <v>check listing</v>
      </c>
      <c r="AB4565" s="5" t="str">
        <f>HYPERLINK("https://propertylookup.dupagecounty.gov/Datalets/Datalet.aspx?UseSearch=no&amp;mode=sales&amp;pin=0532300075","sales record")</f>
        <v>sales record</v>
      </c>
      <c r="AC4565" t="s">
        <v>3</v>
      </c>
      <c r="AD4565">
        <v>41.819763</v>
      </c>
      <c r="AE4565">
        <v>-88.122865</v>
      </c>
      <c r="AF4565" s="5" t="str">
        <f>HYPERLINK("https://www.google.com/maps/search/?api=1&amp;query=41.819763,-88.122865","map")</f>
        <v>map</v>
      </c>
    </row>
    <row r="4566" spans="1:32">
      <c r="A4566" t="s">
        <v>4616</v>
      </c>
      <c r="B4566" t="s">
        <v>12149</v>
      </c>
      <c r="C4566" t="s">
        <v>15746</v>
      </c>
      <c r="D4566" t="s">
        <v>16206</v>
      </c>
      <c r="E4566" t="s">
        <v>16218</v>
      </c>
      <c r="F4566" t="s">
        <v>16221</v>
      </c>
      <c r="G4566" t="s">
        <v>16277</v>
      </c>
      <c r="H4566" t="s">
        <v>16277</v>
      </c>
      <c r="I4566" t="s">
        <v>16353</v>
      </c>
      <c r="J4566" t="s">
        <v>16386</v>
      </c>
      <c r="K4566">
        <v>0.175</v>
      </c>
      <c r="L4566">
        <v>7623</v>
      </c>
      <c r="M4566">
        <v>792</v>
      </c>
      <c r="N4566" t="s">
        <v>16393</v>
      </c>
      <c r="O4566" s="4">
        <v>96108</v>
      </c>
      <c r="P4566" s="4">
        <v>252923</v>
      </c>
      <c r="Q4566" s="4">
        <v>349031</v>
      </c>
      <c r="R4566" s="4">
        <v>1047093</v>
      </c>
      <c r="S4566" t="s">
        <v>20864</v>
      </c>
      <c r="T4566" s="6">
        <v>44378</v>
      </c>
      <c r="U4566" s="4">
        <v>177500</v>
      </c>
      <c r="V4566" t="s">
        <v>16232</v>
      </c>
      <c r="W4566" t="s">
        <v>20864</v>
      </c>
      <c r="X4566" t="s">
        <v>3</v>
      </c>
      <c r="AA4566" s="5" t="str">
        <f>HYPERLINK("https://www.zillow.com/homes/125-N-HUFFMAN-ST-NAPERVILLE-IL-605404816_rb/","check listing")</f>
        <v>check listing</v>
      </c>
      <c r="AB4566" s="5" t="str">
        <f>HYPERLINK("https://propertylookup.dupagecounty.gov/Datalets/Datalet.aspx?UseSearch=no&amp;mode=sales&amp;pin=0818401016","sales record")</f>
        <v>sales record</v>
      </c>
      <c r="AC4566" t="s">
        <v>3</v>
      </c>
      <c r="AD4566">
        <v>41.776425</v>
      </c>
      <c r="AE4566">
        <v>-88.13569200000001</v>
      </c>
      <c r="AF4566" s="5" t="str">
        <f>HYPERLINK("https://www.google.com/maps/search/?api=1&amp;query=41.776425,-88.135692","map")</f>
        <v>map</v>
      </c>
    </row>
    <row r="4567" spans="1:32">
      <c r="A4567" t="s">
        <v>4617</v>
      </c>
      <c r="B4567" t="s">
        <v>12150</v>
      </c>
      <c r="C4567" t="s">
        <v>15475</v>
      </c>
      <c r="D4567" t="s">
        <v>16206</v>
      </c>
      <c r="E4567" t="s">
        <v>16218</v>
      </c>
      <c r="F4567" t="s">
        <v>16221</v>
      </c>
      <c r="G4567" t="s">
        <v>16277</v>
      </c>
      <c r="H4567" t="s">
        <v>16277</v>
      </c>
      <c r="I4567" t="s">
        <v>16353</v>
      </c>
      <c r="J4567" t="s">
        <v>16386</v>
      </c>
      <c r="K4567">
        <v>0.175</v>
      </c>
      <c r="L4567">
        <v>7619</v>
      </c>
      <c r="M4567">
        <v>1811</v>
      </c>
      <c r="N4567" t="s">
        <v>16393</v>
      </c>
      <c r="O4567" s="4">
        <v>95395</v>
      </c>
      <c r="P4567" s="4">
        <v>20477</v>
      </c>
      <c r="Q4567" s="4">
        <v>115872</v>
      </c>
      <c r="R4567" s="4">
        <v>347616</v>
      </c>
      <c r="S4567" t="s">
        <v>20865</v>
      </c>
      <c r="T4567" s="6">
        <v>45504</v>
      </c>
      <c r="U4567" s="4">
        <v>400500</v>
      </c>
      <c r="V4567" t="s">
        <v>23741</v>
      </c>
      <c r="W4567" t="s">
        <v>26218</v>
      </c>
      <c r="X4567" t="s">
        <v>3</v>
      </c>
      <c r="AA4567" s="5" t="str">
        <f>HYPERLINK("https://www.zillow.com/homes/121-HUFFMAN-ST-NAPERVILLE-IL-60540_rb/","check listing")</f>
        <v>check listing</v>
      </c>
      <c r="AB4567" s="5" t="str">
        <f>HYPERLINK("https://propertylookup.dupagecounty.gov/Datalets/Datalet.aspx?UseSearch=no&amp;mode=sales&amp;pin=0818401017","sales record")</f>
        <v>sales record</v>
      </c>
      <c r="AC4567" t="s">
        <v>3</v>
      </c>
      <c r="AD4567">
        <v>41.776287</v>
      </c>
      <c r="AE4567">
        <v>-88.1357</v>
      </c>
      <c r="AF4567" s="5" t="str">
        <f>HYPERLINK("https://www.google.com/maps/search/?api=1&amp;query=41.776287,-88.1357","map")</f>
        <v>map</v>
      </c>
    </row>
    <row r="4568" spans="1:32">
      <c r="A4568" t="s">
        <v>4618</v>
      </c>
      <c r="B4568" t="s">
        <v>12151</v>
      </c>
      <c r="C4568" t="s">
        <v>15475</v>
      </c>
      <c r="D4568" t="s">
        <v>16206</v>
      </c>
      <c r="E4568" t="s">
        <v>16218</v>
      </c>
      <c r="F4568" t="s">
        <v>16221</v>
      </c>
      <c r="G4568" t="s">
        <v>16277</v>
      </c>
      <c r="H4568" t="s">
        <v>16277</v>
      </c>
      <c r="I4568" t="s">
        <v>16353</v>
      </c>
      <c r="J4568" t="s">
        <v>16386</v>
      </c>
      <c r="K4568">
        <v>0.175</v>
      </c>
      <c r="L4568">
        <v>7613</v>
      </c>
      <c r="M4568">
        <v>2201</v>
      </c>
      <c r="N4568" t="s">
        <v>16393</v>
      </c>
      <c r="O4568" s="4">
        <v>92077</v>
      </c>
      <c r="P4568" s="4">
        <v>124945</v>
      </c>
      <c r="Q4568" s="4">
        <v>217022</v>
      </c>
      <c r="R4568" s="4">
        <v>651066</v>
      </c>
      <c r="S4568" t="s">
        <v>20866</v>
      </c>
      <c r="T4568" s="6">
        <v>38169</v>
      </c>
      <c r="U4568" s="4">
        <v>285000</v>
      </c>
      <c r="V4568" t="s">
        <v>23739</v>
      </c>
      <c r="W4568" t="s">
        <v>20866</v>
      </c>
      <c r="X4568" t="s">
        <v>3</v>
      </c>
      <c r="AA4568" s="5" t="str">
        <f>HYPERLINK("https://www.zillow.com/homes/115-N-HUFFMAN-ST-NAPERVILLE-IL-60540_rb/","check listing")</f>
        <v>check listing</v>
      </c>
      <c r="AB4568" s="5" t="str">
        <f>HYPERLINK("https://propertylookup.dupagecounty.gov/Datalets/Datalet.aspx?UseSearch=no&amp;mode=sales&amp;pin=0818401018","sales record")</f>
        <v>sales record</v>
      </c>
      <c r="AC4568" t="s">
        <v>27873</v>
      </c>
      <c r="AD4568">
        <v>41.776149</v>
      </c>
      <c r="AE4568">
        <v>-88.135707</v>
      </c>
      <c r="AF4568" s="5" t="str">
        <f>HYPERLINK("https://www.google.com/maps/search/?api=1&amp;query=41.776149,-88.135707","map")</f>
        <v>map</v>
      </c>
    </row>
    <row r="4569" spans="1:32">
      <c r="A4569" t="s">
        <v>4619</v>
      </c>
      <c r="B4569" t="s">
        <v>12152</v>
      </c>
      <c r="C4569" t="s">
        <v>15691</v>
      </c>
      <c r="D4569" t="s">
        <v>16206</v>
      </c>
      <c r="E4569" t="s">
        <v>16218</v>
      </c>
      <c r="F4569" t="s">
        <v>16221</v>
      </c>
      <c r="G4569" t="s">
        <v>16278</v>
      </c>
      <c r="H4569" t="s">
        <v>16277</v>
      </c>
      <c r="I4569" t="s">
        <v>16353</v>
      </c>
      <c r="J4569" t="s">
        <v>16386</v>
      </c>
      <c r="K4569">
        <v>0.175</v>
      </c>
      <c r="L4569">
        <v>7611</v>
      </c>
      <c r="N4569" t="s">
        <v>16393</v>
      </c>
      <c r="O4569" s="4">
        <v>62979</v>
      </c>
      <c r="P4569" s="4">
        <v>165954</v>
      </c>
      <c r="Q4569" s="4">
        <v>228933</v>
      </c>
      <c r="R4569" s="4">
        <v>686799</v>
      </c>
      <c r="S4569" t="s">
        <v>20867</v>
      </c>
      <c r="T4569" s="6">
        <v>43160</v>
      </c>
      <c r="U4569" s="4">
        <v>483856</v>
      </c>
      <c r="V4569" t="s">
        <v>16232</v>
      </c>
      <c r="W4569" t="s">
        <v>26219</v>
      </c>
      <c r="X4569" t="s">
        <v>3</v>
      </c>
      <c r="AA4569" s="5" t="str">
        <f>HYPERLINK("https://www.zillow.com/homes/1655-SILVERLEAF-ST-NAPERVILLE-IL-605633585_rb/","check listing")</f>
        <v>check listing</v>
      </c>
      <c r="AB4569" s="5" t="str">
        <f>HYPERLINK("https://propertylookup.dupagecounty.gov/Datalets/Datalet.aspx?UseSearch=no&amp;mode=sales&amp;pin=0709107007","sales record")</f>
        <v>sales record</v>
      </c>
      <c r="AC4569" t="s">
        <v>3</v>
      </c>
      <c r="AD4569">
        <v>41.797587</v>
      </c>
      <c r="AE4569">
        <v>-88.224417</v>
      </c>
      <c r="AF4569" s="5" t="str">
        <f>HYPERLINK("https://www.google.com/maps/search/?api=1&amp;query=41.797587,-88.224417","map")</f>
        <v>map</v>
      </c>
    </row>
    <row r="4570" spans="1:32">
      <c r="A4570" t="s">
        <v>4620</v>
      </c>
      <c r="B4570" t="s">
        <v>12153</v>
      </c>
      <c r="C4570" t="s">
        <v>15475</v>
      </c>
      <c r="D4570" t="s">
        <v>16206</v>
      </c>
      <c r="E4570" t="s">
        <v>16218</v>
      </c>
      <c r="F4570" t="s">
        <v>16221</v>
      </c>
      <c r="G4570" t="s">
        <v>16277</v>
      </c>
      <c r="H4570" t="s">
        <v>16277</v>
      </c>
      <c r="I4570" t="s">
        <v>16353</v>
      </c>
      <c r="J4570" t="s">
        <v>16386</v>
      </c>
      <c r="K4570">
        <v>0.175</v>
      </c>
      <c r="L4570">
        <v>7607</v>
      </c>
      <c r="M4570">
        <v>1252</v>
      </c>
      <c r="N4570" t="s">
        <v>16393</v>
      </c>
      <c r="O4570" s="4">
        <v>119856</v>
      </c>
      <c r="P4570" s="4">
        <v>125671</v>
      </c>
      <c r="Q4570" s="4">
        <v>245527</v>
      </c>
      <c r="R4570" s="4">
        <v>736581</v>
      </c>
      <c r="S4570" t="s">
        <v>20868</v>
      </c>
      <c r="T4570" s="6">
        <v>37712</v>
      </c>
      <c r="U4570" s="4">
        <v>480000</v>
      </c>
      <c r="V4570" t="s">
        <v>23739</v>
      </c>
      <c r="W4570" t="s">
        <v>26220</v>
      </c>
      <c r="X4570" t="s">
        <v>3</v>
      </c>
      <c r="AA4570" s="5" t="str">
        <f>HYPERLINK("https://www.zillow.com/homes/146-N-JULIAN-ST-NAPERVILLE-IL-60540_rb/","check listing")</f>
        <v>check listing</v>
      </c>
      <c r="AB4570" s="5" t="str">
        <f>HYPERLINK("https://propertylookup.dupagecounty.gov/Datalets/Datalet.aspx?UseSearch=no&amp;mode=sales&amp;pin=0818401002","sales record")</f>
        <v>sales record</v>
      </c>
      <c r="AC4570" t="s">
        <v>3</v>
      </c>
      <c r="AD4570">
        <v>41.776995</v>
      </c>
      <c r="AE4570">
        <v>-88.136219</v>
      </c>
      <c r="AF4570" s="5" t="str">
        <f>HYPERLINK("https://www.google.com/maps/search/?api=1&amp;query=41.776995,-88.136219","map")</f>
        <v>map</v>
      </c>
    </row>
    <row r="4571" spans="1:32">
      <c r="A4571" t="s">
        <v>4621</v>
      </c>
      <c r="B4571" t="s">
        <v>12154</v>
      </c>
      <c r="C4571" t="s">
        <v>15757</v>
      </c>
      <c r="D4571" t="s">
        <v>16206</v>
      </c>
      <c r="E4571" t="s">
        <v>16218</v>
      </c>
      <c r="F4571" t="s">
        <v>16221</v>
      </c>
      <c r="G4571" t="s">
        <v>16277</v>
      </c>
      <c r="H4571" t="s">
        <v>16277</v>
      </c>
      <c r="I4571" t="s">
        <v>16353</v>
      </c>
      <c r="J4571" t="s">
        <v>16386</v>
      </c>
      <c r="K4571">
        <v>0.175</v>
      </c>
      <c r="L4571">
        <v>7606</v>
      </c>
      <c r="M4571">
        <v>2440</v>
      </c>
      <c r="N4571" t="s">
        <v>16393</v>
      </c>
      <c r="O4571" s="4">
        <v>131890</v>
      </c>
      <c r="P4571" s="4">
        <v>115361</v>
      </c>
      <c r="Q4571" s="4">
        <v>247251</v>
      </c>
      <c r="R4571" s="4">
        <v>741753</v>
      </c>
      <c r="S4571" t="s">
        <v>20869</v>
      </c>
      <c r="T4571" s="6">
        <v>36951</v>
      </c>
      <c r="U4571" s="4">
        <v>490000</v>
      </c>
      <c r="V4571" t="s">
        <v>23739</v>
      </c>
      <c r="W4571" t="s">
        <v>26221</v>
      </c>
      <c r="X4571" t="s">
        <v>3</v>
      </c>
      <c r="AA4571" s="5" t="str">
        <f>HYPERLINK("https://www.zillow.com/homes/15-S-BRAINARD-ST-NAPERVILLE-IL-605404901_rb/","check listing")</f>
        <v>check listing</v>
      </c>
      <c r="AB4571" s="5" t="str">
        <f>HYPERLINK("https://propertylookup.dupagecounty.gov/Datalets/Datalet.aspx?UseSearch=no&amp;mode=sales&amp;pin=0818314010","sales record")</f>
        <v>sales record</v>
      </c>
      <c r="AC4571" t="s">
        <v>3</v>
      </c>
      <c r="AD4571">
        <v>41.774557</v>
      </c>
      <c r="AE4571">
        <v>-88.144114</v>
      </c>
      <c r="AF4571" s="5" t="str">
        <f>HYPERLINK("https://www.google.com/maps/search/?api=1&amp;query=41.774557,-88.144114","map")</f>
        <v>map</v>
      </c>
    </row>
    <row r="4572" spans="1:32">
      <c r="A4572" t="s">
        <v>4622</v>
      </c>
      <c r="B4572" t="s">
        <v>12155</v>
      </c>
      <c r="C4572" t="s">
        <v>15475</v>
      </c>
      <c r="D4572" t="s">
        <v>16206</v>
      </c>
      <c r="E4572" t="s">
        <v>16218</v>
      </c>
      <c r="F4572" t="s">
        <v>16221</v>
      </c>
      <c r="G4572" t="s">
        <v>16277</v>
      </c>
      <c r="H4572" t="s">
        <v>16277</v>
      </c>
      <c r="I4572" t="s">
        <v>16353</v>
      </c>
      <c r="J4572" t="s">
        <v>16386</v>
      </c>
      <c r="K4572">
        <v>0.175</v>
      </c>
      <c r="L4572">
        <v>7606</v>
      </c>
      <c r="M4572">
        <v>1385</v>
      </c>
      <c r="N4572" t="s">
        <v>16393</v>
      </c>
      <c r="O4572" s="4">
        <v>119595</v>
      </c>
      <c r="P4572" s="4">
        <v>152581</v>
      </c>
      <c r="Q4572" s="4">
        <v>272176</v>
      </c>
      <c r="R4572" s="4">
        <v>816528</v>
      </c>
      <c r="S4572" t="s">
        <v>20870</v>
      </c>
      <c r="T4572" s="6">
        <v>42095</v>
      </c>
      <c r="U4572" s="4">
        <v>315000</v>
      </c>
      <c r="V4572" t="s">
        <v>23740</v>
      </c>
      <c r="W4572" t="s">
        <v>26222</v>
      </c>
      <c r="X4572" t="s">
        <v>3</v>
      </c>
      <c r="AA4572" s="5" t="str">
        <f>HYPERLINK("https://www.zillow.com/homes/511-E-NORTH-AVE-NAPERVILLE-IL-60540_rb/","check listing")</f>
        <v>check listing</v>
      </c>
      <c r="AB4572" s="5" t="str">
        <f>HYPERLINK("https://propertylookup.dupagecounty.gov/Datalets/Datalet.aspx?UseSearch=no&amp;mode=sales&amp;pin=0818139010","sales record")</f>
        <v>sales record</v>
      </c>
      <c r="AC4572" t="s">
        <v>3</v>
      </c>
      <c r="AD4572">
        <v>41.778616</v>
      </c>
      <c r="AE4572">
        <v>-88.14027299999999</v>
      </c>
      <c r="AF4572" s="5" t="str">
        <f>HYPERLINK("https://www.google.com/maps/search/?api=1&amp;query=41.778616,-88.140273","map")</f>
        <v>map</v>
      </c>
    </row>
    <row r="4573" spans="1:32">
      <c r="A4573" t="s">
        <v>4623</v>
      </c>
      <c r="B4573" t="s">
        <v>12156</v>
      </c>
      <c r="C4573" t="s">
        <v>15475</v>
      </c>
      <c r="D4573" t="s">
        <v>16206</v>
      </c>
      <c r="E4573" t="s">
        <v>16218</v>
      </c>
      <c r="F4573" t="s">
        <v>16221</v>
      </c>
      <c r="G4573" t="s">
        <v>16277</v>
      </c>
      <c r="H4573" t="s">
        <v>16277</v>
      </c>
      <c r="I4573" t="s">
        <v>16353</v>
      </c>
      <c r="J4573" t="s">
        <v>16386</v>
      </c>
      <c r="K4573">
        <v>0.175</v>
      </c>
      <c r="L4573">
        <v>7606</v>
      </c>
      <c r="M4573">
        <v>2357</v>
      </c>
      <c r="N4573" t="s">
        <v>16393</v>
      </c>
      <c r="O4573" s="4">
        <v>119856</v>
      </c>
      <c r="P4573" s="4">
        <v>94752</v>
      </c>
      <c r="Q4573" s="4">
        <v>214608</v>
      </c>
      <c r="R4573" s="4">
        <v>643824</v>
      </c>
      <c r="S4573" t="s">
        <v>20871</v>
      </c>
      <c r="T4573" s="6">
        <v>44823</v>
      </c>
      <c r="U4573" s="4">
        <v>737500</v>
      </c>
      <c r="V4573" t="s">
        <v>23739</v>
      </c>
      <c r="W4573" t="s">
        <v>26223</v>
      </c>
      <c r="X4573" t="s">
        <v>3</v>
      </c>
      <c r="AA4573" s="5" t="str">
        <f>HYPERLINK("https://www.zillow.com/homes/515-NORTH-AVE-NAPERVILLE-IL-60540_rb/","check listing")</f>
        <v>check listing</v>
      </c>
      <c r="AB4573" s="5" t="str">
        <f>HYPERLINK("https://propertylookup.dupagecounty.gov/Datalets/Datalet.aspx?UseSearch=no&amp;mode=sales&amp;pin=0818139011","sales record")</f>
        <v>sales record</v>
      </c>
      <c r="AC4573" t="s">
        <v>3</v>
      </c>
      <c r="AD4573">
        <v>41.778608</v>
      </c>
      <c r="AE4573">
        <v>-88.140084</v>
      </c>
      <c r="AF4573" s="5" t="str">
        <f>HYPERLINK("https://www.google.com/maps/search/?api=1&amp;query=41.778608,-88.140084","map")</f>
        <v>map</v>
      </c>
    </row>
    <row r="4574" spans="1:32">
      <c r="A4574" t="s">
        <v>4624</v>
      </c>
      <c r="B4574" t="s">
        <v>12157</v>
      </c>
      <c r="C4574" t="s">
        <v>15758</v>
      </c>
      <c r="D4574" t="s">
        <v>16206</v>
      </c>
      <c r="E4574" t="s">
        <v>16218</v>
      </c>
      <c r="F4574" t="s">
        <v>16221</v>
      </c>
      <c r="G4574" t="s">
        <v>16277</v>
      </c>
      <c r="H4574" t="s">
        <v>16277</v>
      </c>
      <c r="I4574" t="s">
        <v>16353</v>
      </c>
      <c r="J4574" t="s">
        <v>16386</v>
      </c>
      <c r="K4574">
        <v>0.175</v>
      </c>
      <c r="L4574">
        <v>7603</v>
      </c>
      <c r="M4574">
        <v>2023</v>
      </c>
      <c r="N4574" t="s">
        <v>16393</v>
      </c>
      <c r="O4574" s="4">
        <v>119856</v>
      </c>
      <c r="P4574" s="4">
        <v>203062</v>
      </c>
      <c r="Q4574" s="4">
        <v>322918</v>
      </c>
      <c r="R4574" s="4">
        <v>968754</v>
      </c>
      <c r="S4574" t="s">
        <v>20872</v>
      </c>
      <c r="T4574" s="6">
        <v>34151</v>
      </c>
      <c r="U4574" s="4">
        <v>270000</v>
      </c>
      <c r="X4574" t="s">
        <v>3</v>
      </c>
      <c r="AA4574" s="5" t="str">
        <f>HYPERLINK("https://www.zillow.com/homes/140-N-JULIAN-ST-NAPERVILLE-IL-605404823_rb/","check listing")</f>
        <v>check listing</v>
      </c>
      <c r="AB4574" s="5" t="str">
        <f>HYPERLINK("https://propertylookup.dupagecounty.gov/Datalets/Datalet.aspx?UseSearch=no&amp;mode=sales&amp;pin=0818401003","sales record")</f>
        <v>sales record</v>
      </c>
      <c r="AC4574" t="s">
        <v>27873</v>
      </c>
      <c r="AD4574">
        <v>41.776858</v>
      </c>
      <c r="AE4574">
        <v>-88.13622599999999</v>
      </c>
      <c r="AF4574" s="5" t="str">
        <f>HYPERLINK("https://www.google.com/maps/search/?api=1&amp;query=41.776858,-88.136226","map")</f>
        <v>map</v>
      </c>
    </row>
    <row r="4575" spans="1:32">
      <c r="A4575" t="s">
        <v>4625</v>
      </c>
      <c r="B4575" t="s">
        <v>12158</v>
      </c>
      <c r="C4575" t="s">
        <v>15759</v>
      </c>
      <c r="D4575" t="s">
        <v>16206</v>
      </c>
      <c r="E4575" t="s">
        <v>16218</v>
      </c>
      <c r="F4575" t="s">
        <v>16221</v>
      </c>
      <c r="G4575" t="s">
        <v>16277</v>
      </c>
      <c r="H4575" t="s">
        <v>16277</v>
      </c>
      <c r="I4575" t="s">
        <v>16353</v>
      </c>
      <c r="J4575" t="s">
        <v>16386</v>
      </c>
      <c r="K4575">
        <v>0.174</v>
      </c>
      <c r="L4575">
        <v>7600</v>
      </c>
      <c r="M4575">
        <v>3096</v>
      </c>
      <c r="N4575" t="s">
        <v>16393</v>
      </c>
      <c r="O4575" s="4">
        <v>119844</v>
      </c>
      <c r="P4575" s="4">
        <v>100211</v>
      </c>
      <c r="Q4575" s="4">
        <v>220055</v>
      </c>
      <c r="R4575" s="4">
        <v>660165</v>
      </c>
      <c r="S4575" t="s">
        <v>20873</v>
      </c>
      <c r="T4575" s="6">
        <v>43160</v>
      </c>
      <c r="U4575" s="4">
        <v>390000</v>
      </c>
      <c r="V4575" t="s">
        <v>23739</v>
      </c>
      <c r="W4575" t="s">
        <v>20873</v>
      </c>
      <c r="X4575" t="s">
        <v>3</v>
      </c>
      <c r="AA4575" s="5" t="str">
        <f>HYPERLINK("https://www.zillow.com/homes/512-N-CENTER-ST-NAPERVILLE-IL-605633137_rb/","check listing")</f>
        <v>check listing</v>
      </c>
      <c r="AB4575" s="5" t="str">
        <f>HYPERLINK("https://propertylookup.dupagecounty.gov/Datalets/Datalet.aspx?UseSearch=no&amp;mode=sales&amp;pin=0818108004","sales record")</f>
        <v>sales record</v>
      </c>
      <c r="AC4575" t="s">
        <v>3</v>
      </c>
      <c r="AD4575">
        <v>41.781365</v>
      </c>
      <c r="AE4575">
        <v>-88.14566600000001</v>
      </c>
      <c r="AF4575" s="5" t="str">
        <f>HYPERLINK("https://www.google.com/maps/search/?api=1&amp;query=41.781365,-88.145666","map")</f>
        <v>map</v>
      </c>
    </row>
    <row r="4576" spans="1:32">
      <c r="A4576" t="s">
        <v>4626</v>
      </c>
      <c r="B4576" t="s">
        <v>12159</v>
      </c>
      <c r="C4576" t="s">
        <v>15475</v>
      </c>
      <c r="D4576" t="s">
        <v>16206</v>
      </c>
      <c r="E4576" t="s">
        <v>16218</v>
      </c>
      <c r="F4576" t="s">
        <v>16221</v>
      </c>
      <c r="G4576" t="s">
        <v>16277</v>
      </c>
      <c r="H4576" t="s">
        <v>16277</v>
      </c>
      <c r="I4576" t="s">
        <v>16353</v>
      </c>
      <c r="J4576" t="s">
        <v>16386</v>
      </c>
      <c r="K4576">
        <v>0.174</v>
      </c>
      <c r="L4576">
        <v>7599</v>
      </c>
      <c r="M4576">
        <v>1715</v>
      </c>
      <c r="N4576" t="s">
        <v>16393</v>
      </c>
      <c r="O4576" s="4">
        <v>119856</v>
      </c>
      <c r="P4576" s="4">
        <v>187793</v>
      </c>
      <c r="Q4576" s="4">
        <v>307649</v>
      </c>
      <c r="R4576" s="4">
        <v>922947</v>
      </c>
      <c r="S4576" t="s">
        <v>20874</v>
      </c>
      <c r="T4576" s="6">
        <v>35612</v>
      </c>
      <c r="U4576" s="4">
        <v>360971</v>
      </c>
      <c r="X4576" t="s">
        <v>3</v>
      </c>
      <c r="AA4576" s="5" t="str">
        <f>HYPERLINK("https://www.zillow.com/homes/130-N-JULIAN-ST-NAPERVILLE-IL-60540_rb/","check listing")</f>
        <v>check listing</v>
      </c>
      <c r="AB4576" s="5" t="str">
        <f>HYPERLINK("https://propertylookup.dupagecounty.gov/Datalets/Datalet.aspx?UseSearch=no&amp;mode=sales&amp;pin=0818401005","sales record")</f>
        <v>sales record</v>
      </c>
      <c r="AC4576" t="s">
        <v>3</v>
      </c>
      <c r="AD4576">
        <v>41.776583</v>
      </c>
      <c r="AE4576">
        <v>-88.13624</v>
      </c>
      <c r="AF4576" s="5" t="str">
        <f>HYPERLINK("https://www.google.com/maps/search/?api=1&amp;query=41.776583,-88.13624","map")</f>
        <v>map</v>
      </c>
    </row>
    <row r="4577" spans="1:32">
      <c r="A4577" t="s">
        <v>4627</v>
      </c>
      <c r="B4577" t="s">
        <v>12160</v>
      </c>
      <c r="C4577" t="s">
        <v>15475</v>
      </c>
      <c r="D4577" t="s">
        <v>16206</v>
      </c>
      <c r="E4577" t="s">
        <v>16218</v>
      </c>
      <c r="F4577" t="s">
        <v>16221</v>
      </c>
      <c r="G4577" t="s">
        <v>16277</v>
      </c>
      <c r="H4577" t="s">
        <v>16277</v>
      </c>
      <c r="I4577" t="s">
        <v>16353</v>
      </c>
      <c r="J4577" t="s">
        <v>16386</v>
      </c>
      <c r="K4577">
        <v>0.174</v>
      </c>
      <c r="L4577">
        <v>7592</v>
      </c>
      <c r="M4577">
        <v>1319</v>
      </c>
      <c r="N4577" t="s">
        <v>16393</v>
      </c>
      <c r="O4577" s="4">
        <v>119856</v>
      </c>
      <c r="P4577" s="4">
        <v>66260</v>
      </c>
      <c r="Q4577" s="4">
        <v>186116</v>
      </c>
      <c r="R4577" s="4">
        <v>558348</v>
      </c>
      <c r="S4577" t="s">
        <v>20875</v>
      </c>
      <c r="T4577" s="6">
        <v>40544</v>
      </c>
      <c r="U4577" s="4">
        <v>240000</v>
      </c>
      <c r="V4577" t="s">
        <v>16232</v>
      </c>
      <c r="W4577" t="s">
        <v>26224</v>
      </c>
      <c r="X4577" t="s">
        <v>3</v>
      </c>
      <c r="AA4577" s="5" t="str">
        <f>HYPERLINK("https://www.zillow.com/homes/122-N-JULIAN-ST-NAPERVILLE-IL-60540_rb/","check listing")</f>
        <v>check listing</v>
      </c>
      <c r="AB4577" s="5" t="str">
        <f>HYPERLINK("https://propertylookup.dupagecounty.gov/Datalets/Datalet.aspx?UseSearch=no&amp;mode=sales&amp;pin=0818401007","sales record")</f>
        <v>sales record</v>
      </c>
      <c r="AC4577" t="s">
        <v>3</v>
      </c>
      <c r="AD4577">
        <v>41.776308</v>
      </c>
      <c r="AE4577">
        <v>-88.13625399999999</v>
      </c>
      <c r="AF4577" s="5" t="str">
        <f>HYPERLINK("https://www.google.com/maps/search/?api=1&amp;query=41.776308,-88.136254","map")</f>
        <v>map</v>
      </c>
    </row>
    <row r="4578" spans="1:32">
      <c r="A4578" t="s">
        <v>4628</v>
      </c>
      <c r="B4578" t="s">
        <v>12161</v>
      </c>
      <c r="C4578" t="s">
        <v>15475</v>
      </c>
      <c r="D4578" t="s">
        <v>16206</v>
      </c>
      <c r="E4578" t="s">
        <v>16218</v>
      </c>
      <c r="F4578" t="s">
        <v>16221</v>
      </c>
      <c r="G4578" t="s">
        <v>16277</v>
      </c>
      <c r="H4578" t="s">
        <v>16277</v>
      </c>
      <c r="I4578" t="s">
        <v>16353</v>
      </c>
      <c r="J4578" t="s">
        <v>16386</v>
      </c>
      <c r="K4578">
        <v>0.174</v>
      </c>
      <c r="L4578">
        <v>7590</v>
      </c>
      <c r="M4578">
        <v>1584</v>
      </c>
      <c r="N4578" t="s">
        <v>16393</v>
      </c>
      <c r="O4578" s="4">
        <v>119856</v>
      </c>
      <c r="P4578" s="4">
        <v>58697</v>
      </c>
      <c r="Q4578" s="4">
        <v>178553</v>
      </c>
      <c r="R4578" s="4">
        <v>535659</v>
      </c>
      <c r="S4578" t="s">
        <v>20876</v>
      </c>
      <c r="T4578" s="6">
        <v>35125</v>
      </c>
      <c r="U4578" s="4">
        <v>180000</v>
      </c>
      <c r="X4578" t="s">
        <v>3</v>
      </c>
      <c r="AA4578" s="5" t="str">
        <f>HYPERLINK("https://www.zillow.com/homes/126-N-JULIAN-ST-NAPERVILLE-IL-60540_rb/","check listing")</f>
        <v>check listing</v>
      </c>
      <c r="AB4578" s="5" t="str">
        <f>HYPERLINK("https://propertylookup.dupagecounty.gov/Datalets/Datalet.aspx?UseSearch=no&amp;mode=sales&amp;pin=0818401006","sales record")</f>
        <v>sales record</v>
      </c>
      <c r="AC4578" t="s">
        <v>3</v>
      </c>
      <c r="AD4578">
        <v>41.776445</v>
      </c>
      <c r="AE4578">
        <v>-88.136247</v>
      </c>
      <c r="AF4578" s="5" t="str">
        <f>HYPERLINK("https://www.google.com/maps/search/?api=1&amp;query=41.776445,-88.136247","map")</f>
        <v>map</v>
      </c>
    </row>
    <row r="4579" spans="1:32">
      <c r="A4579" t="s">
        <v>4629</v>
      </c>
      <c r="B4579" t="s">
        <v>12162</v>
      </c>
      <c r="C4579" t="s">
        <v>15661</v>
      </c>
      <c r="D4579" t="s">
        <v>16206</v>
      </c>
      <c r="E4579" t="s">
        <v>16218</v>
      </c>
      <c r="F4579" t="s">
        <v>16221</v>
      </c>
      <c r="G4579" t="s">
        <v>16277</v>
      </c>
      <c r="H4579" t="s">
        <v>16277</v>
      </c>
      <c r="I4579" t="s">
        <v>16353</v>
      </c>
      <c r="J4579" t="s">
        <v>16386</v>
      </c>
      <c r="K4579">
        <v>0.174</v>
      </c>
      <c r="L4579">
        <v>7583</v>
      </c>
      <c r="M4579">
        <v>3067</v>
      </c>
      <c r="N4579" t="s">
        <v>16393</v>
      </c>
      <c r="O4579" s="4">
        <v>80816</v>
      </c>
      <c r="P4579" s="4">
        <v>55950</v>
      </c>
      <c r="Q4579" s="4">
        <v>136766</v>
      </c>
      <c r="R4579" s="4">
        <v>410298</v>
      </c>
      <c r="S4579" t="s">
        <v>20297</v>
      </c>
      <c r="T4579" s="6">
        <v>30468</v>
      </c>
      <c r="U4579" s="4">
        <v>64500</v>
      </c>
      <c r="X4579" t="s">
        <v>3</v>
      </c>
      <c r="AA4579" s="5" t="str">
        <f>HYPERLINK("https://www.zillow.com/homes/91820-N-BRAINARD-ST-NAPERVILLE-IL-605632735_rb/","check listing")</f>
        <v>check listing</v>
      </c>
      <c r="AB4579" s="5" t="str">
        <f>HYPERLINK("https://propertylookup.dupagecounty.gov/Datalets/Datalet.aspx?UseSearch=no&amp;mode=sales&amp;pin=0807310012","sales record")</f>
        <v>sales record</v>
      </c>
      <c r="AC4579" t="s">
        <v>3</v>
      </c>
      <c r="AD4579">
        <v>41.786231</v>
      </c>
      <c r="AE4579">
        <v>-88.142538</v>
      </c>
      <c r="AF4579" s="5" t="str">
        <f>HYPERLINK("https://www.google.com/maps/search/?api=1&amp;query=41.786231,-88.142538","map")</f>
        <v>map</v>
      </c>
    </row>
    <row r="4580" spans="1:32">
      <c r="A4580" t="s">
        <v>4630</v>
      </c>
      <c r="B4580" t="s">
        <v>12163</v>
      </c>
      <c r="C4580" t="s">
        <v>15758</v>
      </c>
      <c r="D4580" t="s">
        <v>16206</v>
      </c>
      <c r="E4580" t="s">
        <v>16218</v>
      </c>
      <c r="F4580" t="s">
        <v>16221</v>
      </c>
      <c r="G4580" t="s">
        <v>16277</v>
      </c>
      <c r="H4580" t="s">
        <v>16277</v>
      </c>
      <c r="I4580" t="s">
        <v>16353</v>
      </c>
      <c r="J4580" t="s">
        <v>16386</v>
      </c>
      <c r="K4580">
        <v>0.174</v>
      </c>
      <c r="L4580">
        <v>7582</v>
      </c>
      <c r="M4580">
        <v>1187</v>
      </c>
      <c r="N4580" t="s">
        <v>16393</v>
      </c>
      <c r="O4580" s="4">
        <v>119856</v>
      </c>
      <c r="P4580" s="4">
        <v>126504</v>
      </c>
      <c r="Q4580" s="4">
        <v>246360</v>
      </c>
      <c r="R4580" s="4">
        <v>739080</v>
      </c>
      <c r="S4580" t="s">
        <v>20877</v>
      </c>
      <c r="T4580" s="6">
        <v>43009</v>
      </c>
      <c r="U4580" s="4">
        <v>585000</v>
      </c>
      <c r="V4580" t="s">
        <v>23739</v>
      </c>
      <c r="W4580" t="s">
        <v>26225</v>
      </c>
      <c r="X4580" t="s">
        <v>3</v>
      </c>
      <c r="AA4580" s="5" t="str">
        <f>HYPERLINK("https://www.zillow.com/homes/116-N-JULIAN-ST-NAPERVILLE-IL-605404823_rb/","check listing")</f>
        <v>check listing</v>
      </c>
      <c r="AB4580" s="5" t="str">
        <f>HYPERLINK("https://propertylookup.dupagecounty.gov/Datalets/Datalet.aspx?UseSearch=no&amp;mode=sales&amp;pin=0818401008","sales record")</f>
        <v>sales record</v>
      </c>
      <c r="AC4580" t="s">
        <v>3</v>
      </c>
      <c r="AD4580">
        <v>41.77617</v>
      </c>
      <c r="AE4580">
        <v>-88.136261</v>
      </c>
      <c r="AF4580" s="5" t="str">
        <f>HYPERLINK("https://www.google.com/maps/search/?api=1&amp;query=41.77617,-88.136261","map")</f>
        <v>map</v>
      </c>
    </row>
    <row r="4581" spans="1:32">
      <c r="A4581" t="s">
        <v>4631</v>
      </c>
      <c r="B4581" t="s">
        <v>12164</v>
      </c>
      <c r="C4581" t="s">
        <v>15478</v>
      </c>
      <c r="D4581" t="s">
        <v>16206</v>
      </c>
      <c r="E4581" t="s">
        <v>16218</v>
      </c>
      <c r="F4581" t="s">
        <v>16221</v>
      </c>
      <c r="G4581" t="s">
        <v>16278</v>
      </c>
      <c r="H4581" t="s">
        <v>16277</v>
      </c>
      <c r="I4581" t="s">
        <v>16353</v>
      </c>
      <c r="J4581" t="s">
        <v>16386</v>
      </c>
      <c r="K4581">
        <v>0.174</v>
      </c>
      <c r="L4581">
        <v>7578</v>
      </c>
      <c r="N4581" t="s">
        <v>16393</v>
      </c>
      <c r="O4581" s="4">
        <v>62979</v>
      </c>
      <c r="P4581" s="4">
        <v>144058</v>
      </c>
      <c r="Q4581" s="4">
        <v>207037</v>
      </c>
      <c r="R4581" s="4">
        <v>621111</v>
      </c>
      <c r="S4581" t="s">
        <v>20878</v>
      </c>
      <c r="T4581" s="6">
        <v>43405</v>
      </c>
      <c r="U4581" s="4">
        <v>475708</v>
      </c>
      <c r="V4581" t="s">
        <v>16232</v>
      </c>
      <c r="W4581" t="s">
        <v>26226</v>
      </c>
      <c r="X4581" t="s">
        <v>3</v>
      </c>
      <c r="AA4581" s="5" t="str">
        <f>HYPERLINK("https://www.zillow.com/homes/1351-BAYOU-PATH-CT-NAPERVILLE-IL-60563_rb/","check listing")</f>
        <v>check listing</v>
      </c>
      <c r="AB4581" s="5" t="str">
        <f>HYPERLINK("https://propertylookup.dupagecounty.gov/Datalets/Datalet.aspx?UseSearch=no&amp;mode=sales&amp;pin=0709311073","sales record")</f>
        <v>sales record</v>
      </c>
      <c r="AC4581" t="s">
        <v>3</v>
      </c>
      <c r="AD4581">
        <v>41.78619</v>
      </c>
      <c r="AE4581">
        <v>-88.218774</v>
      </c>
      <c r="AF4581" s="5" t="str">
        <f>HYPERLINK("https://www.google.com/maps/search/?api=1&amp;query=41.78619,-88.218774","map")</f>
        <v>map</v>
      </c>
    </row>
    <row r="4582" spans="1:32">
      <c r="A4582" t="s">
        <v>4632</v>
      </c>
      <c r="B4582" t="s">
        <v>12165</v>
      </c>
      <c r="C4582" t="s">
        <v>15632</v>
      </c>
      <c r="D4582" t="s">
        <v>16206</v>
      </c>
      <c r="E4582" t="s">
        <v>16218</v>
      </c>
      <c r="F4582" t="s">
        <v>16221</v>
      </c>
      <c r="G4582" t="s">
        <v>16278</v>
      </c>
      <c r="H4582" t="s">
        <v>16277</v>
      </c>
      <c r="I4582" t="s">
        <v>16353</v>
      </c>
      <c r="J4582" t="s">
        <v>16386</v>
      </c>
      <c r="K4582">
        <v>0.174</v>
      </c>
      <c r="L4582">
        <v>7568</v>
      </c>
      <c r="N4582" t="s">
        <v>16393</v>
      </c>
      <c r="O4582" s="4">
        <v>61416</v>
      </c>
      <c r="P4582" s="4">
        <v>178818</v>
      </c>
      <c r="Q4582" s="4">
        <v>240234</v>
      </c>
      <c r="R4582" s="4">
        <v>720702</v>
      </c>
      <c r="S4582" t="s">
        <v>20879</v>
      </c>
      <c r="T4582" s="6">
        <v>42948</v>
      </c>
      <c r="U4582" s="4">
        <v>514544</v>
      </c>
      <c r="V4582" t="s">
        <v>16232</v>
      </c>
      <c r="W4582" t="s">
        <v>26227</v>
      </c>
      <c r="X4582" t="s">
        <v>3</v>
      </c>
      <c r="AA4582" s="5" t="str">
        <f>HYPERLINK("https://www.zillow.com/homes/2515-BASIN-TRAIL-LN-NAPERVILLE-IL-605633593_rb/","check listing")</f>
        <v>check listing</v>
      </c>
      <c r="AB4582" s="5" t="str">
        <f>HYPERLINK("https://propertylookup.dupagecounty.gov/Datalets/Datalet.aspx?UseSearch=no&amp;mode=sales&amp;pin=0709109019","sales record")</f>
        <v>sales record</v>
      </c>
      <c r="AC4582" t="s">
        <v>3</v>
      </c>
      <c r="AD4582">
        <v>41.79598</v>
      </c>
      <c r="AE4582">
        <v>-88.22295</v>
      </c>
      <c r="AF4582" s="5" t="str">
        <f>HYPERLINK("https://www.google.com/maps/search/?api=1&amp;query=41.79598,-88.22295","map")</f>
        <v>map</v>
      </c>
    </row>
    <row r="4583" spans="1:32">
      <c r="A4583" t="s">
        <v>4633</v>
      </c>
      <c r="B4583" t="s">
        <v>12166</v>
      </c>
      <c r="C4583" t="s">
        <v>15475</v>
      </c>
      <c r="D4583" t="s">
        <v>16206</v>
      </c>
      <c r="E4583" t="s">
        <v>16218</v>
      </c>
      <c r="F4583" t="s">
        <v>16221</v>
      </c>
      <c r="G4583" t="s">
        <v>16278</v>
      </c>
      <c r="H4583" t="s">
        <v>16277</v>
      </c>
      <c r="I4583" t="s">
        <v>16353</v>
      </c>
      <c r="J4583" t="s">
        <v>16386</v>
      </c>
      <c r="K4583">
        <v>0.174</v>
      </c>
      <c r="L4583">
        <v>7567</v>
      </c>
      <c r="N4583" t="s">
        <v>16393</v>
      </c>
      <c r="O4583" s="4">
        <v>61416</v>
      </c>
      <c r="P4583" s="4">
        <v>165746</v>
      </c>
      <c r="Q4583" s="4">
        <v>227162</v>
      </c>
      <c r="R4583" s="4">
        <v>681486</v>
      </c>
      <c r="S4583" t="s">
        <v>20880</v>
      </c>
      <c r="T4583" s="6">
        <v>42979</v>
      </c>
      <c r="U4583" s="4">
        <v>465459</v>
      </c>
      <c r="V4583" t="s">
        <v>16232</v>
      </c>
      <c r="W4583" t="s">
        <v>26228</v>
      </c>
      <c r="X4583" t="s">
        <v>3</v>
      </c>
      <c r="AA4583" s="5" t="str">
        <f>HYPERLINK("https://www.zillow.com/homes/2519-BASIN-TRAIL-LN-NAPERVILLE-IL-60540_rb/","check listing")</f>
        <v>check listing</v>
      </c>
      <c r="AB4583" s="5" t="str">
        <f>HYPERLINK("https://propertylookup.dupagecounty.gov/Datalets/Datalet.aspx?UseSearch=no&amp;mode=sales&amp;pin=0709109020","sales record")</f>
        <v>sales record</v>
      </c>
      <c r="AC4583" t="s">
        <v>3</v>
      </c>
      <c r="AD4583">
        <v>41.795981</v>
      </c>
      <c r="AE4583">
        <v>-88.223159</v>
      </c>
      <c r="AF4583" s="5" t="str">
        <f>HYPERLINK("https://www.google.com/maps/search/?api=1&amp;query=41.795981,-88.223159","map")</f>
        <v>map</v>
      </c>
    </row>
    <row r="4584" spans="1:32">
      <c r="A4584" t="s">
        <v>4634</v>
      </c>
      <c r="B4584" t="s">
        <v>12167</v>
      </c>
      <c r="C4584" t="s">
        <v>15760</v>
      </c>
      <c r="D4584" t="s">
        <v>16206</v>
      </c>
      <c r="E4584" t="s">
        <v>16218</v>
      </c>
      <c r="F4584" t="s">
        <v>16221</v>
      </c>
      <c r="G4584" t="s">
        <v>16277</v>
      </c>
      <c r="H4584" t="s">
        <v>16277</v>
      </c>
      <c r="I4584" t="s">
        <v>16353</v>
      </c>
      <c r="J4584" t="s">
        <v>16386</v>
      </c>
      <c r="K4584">
        <v>0.174</v>
      </c>
      <c r="L4584">
        <v>7567</v>
      </c>
      <c r="M4584">
        <v>3413</v>
      </c>
      <c r="N4584" t="s">
        <v>16393</v>
      </c>
      <c r="O4584" s="4">
        <v>120723</v>
      </c>
      <c r="P4584" s="4">
        <v>273567</v>
      </c>
      <c r="Q4584" s="4">
        <v>394290</v>
      </c>
      <c r="R4584" s="4">
        <v>1182870</v>
      </c>
      <c r="S4584" t="s">
        <v>20881</v>
      </c>
      <c r="T4584" s="6">
        <v>43831</v>
      </c>
      <c r="U4584" s="4">
        <v>895000</v>
      </c>
      <c r="V4584" t="s">
        <v>23739</v>
      </c>
      <c r="W4584" t="s">
        <v>26229</v>
      </c>
      <c r="X4584" t="s">
        <v>3</v>
      </c>
      <c r="AA4584" s="5" t="str">
        <f>HYPERLINK("https://www.zillow.com/homes/521-N-ELLSWORTH-ST-NAPERVILLE-IL-605633144_rb/","check listing")</f>
        <v>check listing</v>
      </c>
      <c r="AB4584" s="5" t="str">
        <f>HYPERLINK("https://propertylookup.dupagecounty.gov/Datalets/Datalet.aspx?UseSearch=no&amp;mode=sales&amp;pin=0818108007","sales record")</f>
        <v>sales record</v>
      </c>
      <c r="AC4584" t="s">
        <v>3</v>
      </c>
      <c r="AD4584">
        <v>41.781611</v>
      </c>
      <c r="AE4584">
        <v>-88.145045</v>
      </c>
      <c r="AF4584" s="5" t="str">
        <f>HYPERLINK("https://www.google.com/maps/search/?api=1&amp;query=41.781611,-88.145045","map")</f>
        <v>map</v>
      </c>
    </row>
    <row r="4585" spans="1:32">
      <c r="A4585" t="s">
        <v>4635</v>
      </c>
      <c r="B4585" t="s">
        <v>12168</v>
      </c>
      <c r="C4585" t="s">
        <v>15632</v>
      </c>
      <c r="D4585" t="s">
        <v>16206</v>
      </c>
      <c r="E4585" t="s">
        <v>16218</v>
      </c>
      <c r="F4585" t="s">
        <v>16221</v>
      </c>
      <c r="G4585" t="s">
        <v>16278</v>
      </c>
      <c r="H4585" t="s">
        <v>16277</v>
      </c>
      <c r="I4585" t="s">
        <v>16353</v>
      </c>
      <c r="J4585" t="s">
        <v>16386</v>
      </c>
      <c r="K4585">
        <v>0.174</v>
      </c>
      <c r="L4585">
        <v>7567</v>
      </c>
      <c r="N4585" t="s">
        <v>16393</v>
      </c>
      <c r="O4585" s="4">
        <v>61416</v>
      </c>
      <c r="P4585" s="4">
        <v>149917</v>
      </c>
      <c r="Q4585" s="4">
        <v>211333</v>
      </c>
      <c r="R4585" s="4">
        <v>633999</v>
      </c>
      <c r="S4585" t="s">
        <v>20882</v>
      </c>
      <c r="T4585" s="6">
        <v>42979</v>
      </c>
      <c r="U4585" s="4">
        <v>470770</v>
      </c>
      <c r="V4585" t="s">
        <v>16232</v>
      </c>
      <c r="W4585" t="s">
        <v>26230</v>
      </c>
      <c r="X4585" t="s">
        <v>3</v>
      </c>
      <c r="AA4585" s="5" t="str">
        <f>HYPERLINK("https://www.zillow.com/homes/2531-BASIN-TRAIL-LN-NAPERVILLE-IL-605633593_rb/","check listing")</f>
        <v>check listing</v>
      </c>
      <c r="AB4585" s="5" t="str">
        <f>HYPERLINK("https://propertylookup.dupagecounty.gov/Datalets/Datalet.aspx?UseSearch=no&amp;mode=sales&amp;pin=0709109023","sales record")</f>
        <v>sales record</v>
      </c>
      <c r="AC4585" t="s">
        <v>3</v>
      </c>
      <c r="AD4585">
        <v>41.795982</v>
      </c>
      <c r="AE4585">
        <v>-88.223786</v>
      </c>
      <c r="AF4585" s="5" t="str">
        <f>HYPERLINK("https://www.google.com/maps/search/?api=1&amp;query=41.795982,-88.223786","map")</f>
        <v>map</v>
      </c>
    </row>
    <row r="4586" spans="1:32">
      <c r="A4586" t="s">
        <v>4636</v>
      </c>
      <c r="B4586" t="s">
        <v>12169</v>
      </c>
      <c r="C4586" t="s">
        <v>15632</v>
      </c>
      <c r="D4586" t="s">
        <v>16206</v>
      </c>
      <c r="E4586" t="s">
        <v>16218</v>
      </c>
      <c r="F4586" t="s">
        <v>16221</v>
      </c>
      <c r="G4586" t="s">
        <v>16278</v>
      </c>
      <c r="H4586" t="s">
        <v>16277</v>
      </c>
      <c r="I4586" t="s">
        <v>16353</v>
      </c>
      <c r="J4586" t="s">
        <v>16386</v>
      </c>
      <c r="K4586">
        <v>0.174</v>
      </c>
      <c r="L4586">
        <v>7567</v>
      </c>
      <c r="N4586" t="s">
        <v>16393</v>
      </c>
      <c r="O4586" s="4">
        <v>61416</v>
      </c>
      <c r="P4586" s="4">
        <v>145584</v>
      </c>
      <c r="Q4586" s="4">
        <v>207000</v>
      </c>
      <c r="R4586" s="4">
        <v>621000</v>
      </c>
      <c r="S4586" t="s">
        <v>20883</v>
      </c>
      <c r="T4586" s="6">
        <v>43009</v>
      </c>
      <c r="U4586" s="4">
        <v>490447</v>
      </c>
      <c r="V4586" t="s">
        <v>16232</v>
      </c>
      <c r="W4586" t="s">
        <v>26231</v>
      </c>
      <c r="X4586" t="s">
        <v>3</v>
      </c>
      <c r="AA4586" s="5" t="str">
        <f>HYPERLINK("https://www.zillow.com/homes/2523-BASIN-TRAIL-LN-NAPERVILLE-IL-605633593_rb/","check listing")</f>
        <v>check listing</v>
      </c>
      <c r="AB4586" s="5" t="str">
        <f>HYPERLINK("https://propertylookup.dupagecounty.gov/Datalets/Datalet.aspx?UseSearch=no&amp;mode=sales&amp;pin=0709109021","sales record")</f>
        <v>sales record</v>
      </c>
      <c r="AC4586" t="s">
        <v>3</v>
      </c>
      <c r="AD4586">
        <v>41.795981</v>
      </c>
      <c r="AE4586">
        <v>-88.22336799999999</v>
      </c>
      <c r="AF4586" s="5" t="str">
        <f>HYPERLINK("https://www.google.com/maps/search/?api=1&amp;query=41.795981,-88.223368","map")</f>
        <v>map</v>
      </c>
    </row>
    <row r="4587" spans="1:32">
      <c r="A4587" t="s">
        <v>4637</v>
      </c>
      <c r="B4587" t="s">
        <v>12170</v>
      </c>
      <c r="C4587" t="s">
        <v>15478</v>
      </c>
      <c r="D4587" t="s">
        <v>16206</v>
      </c>
      <c r="E4587" t="s">
        <v>16218</v>
      </c>
      <c r="F4587" t="s">
        <v>16221</v>
      </c>
      <c r="G4587" t="s">
        <v>16277</v>
      </c>
      <c r="H4587" t="s">
        <v>16277</v>
      </c>
      <c r="I4587" t="s">
        <v>16353</v>
      </c>
      <c r="J4587" t="s">
        <v>16386</v>
      </c>
      <c r="K4587">
        <v>0.174</v>
      </c>
      <c r="L4587">
        <v>7566</v>
      </c>
      <c r="M4587">
        <v>3032</v>
      </c>
      <c r="N4587" t="s">
        <v>16393</v>
      </c>
      <c r="O4587" s="4">
        <v>119856</v>
      </c>
      <c r="P4587" s="4">
        <v>208734</v>
      </c>
      <c r="Q4587" s="4">
        <v>328590</v>
      </c>
      <c r="R4587" s="4">
        <v>985770</v>
      </c>
      <c r="S4587" t="s">
        <v>20884</v>
      </c>
      <c r="T4587" s="6">
        <v>41974</v>
      </c>
      <c r="U4587" s="4">
        <v>587500</v>
      </c>
      <c r="V4587" t="s">
        <v>23739</v>
      </c>
      <c r="W4587" t="s">
        <v>26232</v>
      </c>
      <c r="X4587" t="s">
        <v>3</v>
      </c>
      <c r="AA4587" s="5" t="str">
        <f>HYPERLINK("https://www.zillow.com/homes/515-N-ELLSWORTH-ST-NAPERVILLE-IL-60563_rb/","check listing")</f>
        <v>check listing</v>
      </c>
      <c r="AB4587" s="5" t="str">
        <f>HYPERLINK("https://propertylookup.dupagecounty.gov/Datalets/Datalet.aspx?UseSearch=no&amp;mode=sales&amp;pin=0818108008","sales record")</f>
        <v>sales record</v>
      </c>
      <c r="AC4587" t="s">
        <v>3</v>
      </c>
      <c r="AD4587">
        <v>41.781472</v>
      </c>
      <c r="AE4587">
        <v>-88.145053</v>
      </c>
      <c r="AF4587" s="5" t="str">
        <f>HYPERLINK("https://www.google.com/maps/search/?api=1&amp;query=41.781472,-88.145053","map")</f>
        <v>map</v>
      </c>
    </row>
    <row r="4588" spans="1:32">
      <c r="A4588" t="s">
        <v>4638</v>
      </c>
      <c r="B4588" t="s">
        <v>12171</v>
      </c>
      <c r="C4588" t="s">
        <v>15632</v>
      </c>
      <c r="D4588" t="s">
        <v>16206</v>
      </c>
      <c r="E4588" t="s">
        <v>16218</v>
      </c>
      <c r="F4588" t="s">
        <v>16221</v>
      </c>
      <c r="G4588" t="s">
        <v>16278</v>
      </c>
      <c r="H4588" t="s">
        <v>16277</v>
      </c>
      <c r="I4588" t="s">
        <v>16353</v>
      </c>
      <c r="J4588" t="s">
        <v>16386</v>
      </c>
      <c r="K4588">
        <v>0.174</v>
      </c>
      <c r="L4588">
        <v>7564</v>
      </c>
      <c r="N4588" t="s">
        <v>16393</v>
      </c>
      <c r="O4588" s="4">
        <v>61416</v>
      </c>
      <c r="P4588" s="4">
        <v>178257</v>
      </c>
      <c r="Q4588" s="4">
        <v>239673</v>
      </c>
      <c r="R4588" s="4">
        <v>719019</v>
      </c>
      <c r="S4588" t="s">
        <v>20885</v>
      </c>
      <c r="T4588" s="6">
        <v>44501</v>
      </c>
      <c r="U4588" s="4">
        <v>625000</v>
      </c>
      <c r="V4588" t="s">
        <v>23739</v>
      </c>
      <c r="W4588" t="s">
        <v>26233</v>
      </c>
      <c r="X4588" t="s">
        <v>3</v>
      </c>
      <c r="AA4588" s="5" t="str">
        <f>HYPERLINK("https://www.zillow.com/homes/2527-BASIN-TRAIL-LN-NAPERVILLE-IL-605633593_rb/","check listing")</f>
        <v>check listing</v>
      </c>
      <c r="AB4588" s="5" t="str">
        <f>HYPERLINK("https://propertylookup.dupagecounty.gov/Datalets/Datalet.aspx?UseSearch=no&amp;mode=sales&amp;pin=0709109022","sales record")</f>
        <v>sales record</v>
      </c>
      <c r="AC4588" t="s">
        <v>3</v>
      </c>
      <c r="AD4588">
        <v>41.795982</v>
      </c>
      <c r="AE4588">
        <v>-88.22357700000001</v>
      </c>
      <c r="AF4588" s="5" t="str">
        <f>HYPERLINK("https://www.google.com/maps/search/?api=1&amp;query=41.795982,-88.223577","map")</f>
        <v>map</v>
      </c>
    </row>
    <row r="4589" spans="1:32">
      <c r="A4589" t="s">
        <v>4639</v>
      </c>
      <c r="B4589" t="s">
        <v>12172</v>
      </c>
      <c r="C4589" t="s">
        <v>15475</v>
      </c>
      <c r="D4589" t="s">
        <v>16206</v>
      </c>
      <c r="E4589" t="s">
        <v>16218</v>
      </c>
      <c r="F4589" t="s">
        <v>16221</v>
      </c>
      <c r="G4589" t="s">
        <v>16277</v>
      </c>
      <c r="H4589" t="s">
        <v>16277</v>
      </c>
      <c r="I4589" t="s">
        <v>16353</v>
      </c>
      <c r="J4589" t="s">
        <v>16386</v>
      </c>
      <c r="K4589">
        <v>0.174</v>
      </c>
      <c r="L4589">
        <v>7564</v>
      </c>
      <c r="M4589">
        <v>1847</v>
      </c>
      <c r="N4589" t="s">
        <v>16393</v>
      </c>
      <c r="O4589" s="4">
        <v>131890</v>
      </c>
      <c r="P4589" s="4">
        <v>180135</v>
      </c>
      <c r="Q4589" s="4">
        <v>312025</v>
      </c>
      <c r="R4589" s="4">
        <v>936075</v>
      </c>
      <c r="S4589" t="s">
        <v>20886</v>
      </c>
      <c r="T4589" s="6">
        <v>41671</v>
      </c>
      <c r="U4589" s="4">
        <v>685000</v>
      </c>
      <c r="V4589" t="s">
        <v>23739</v>
      </c>
      <c r="W4589" t="s">
        <v>26234</v>
      </c>
      <c r="X4589" t="s">
        <v>3</v>
      </c>
      <c r="AA4589" s="5" t="str">
        <f>HYPERLINK("https://www.zillow.com/homes/143-N-CENTER-ST-NAPERVILLE-IL-60540_rb/","check listing")</f>
        <v>check listing</v>
      </c>
      <c r="AB4589" s="5" t="str">
        <f>HYPERLINK("https://propertylookup.dupagecounty.gov/Datalets/Datalet.aspx?UseSearch=no&amp;mode=sales&amp;pin=0818127003","sales record")</f>
        <v>sales record</v>
      </c>
      <c r="AC4589" t="s">
        <v>3</v>
      </c>
      <c r="AD4589">
        <v>41.777167</v>
      </c>
      <c r="AE4589">
        <v>-88.14669000000001</v>
      </c>
      <c r="AF4589" s="5" t="str">
        <f>HYPERLINK("https://www.google.com/maps/search/?api=1&amp;query=41.777167,-88.14669","map")</f>
        <v>map</v>
      </c>
    </row>
    <row r="4590" spans="1:32">
      <c r="A4590" t="s">
        <v>4640</v>
      </c>
      <c r="B4590" t="s">
        <v>12173</v>
      </c>
      <c r="C4590" t="s">
        <v>15662</v>
      </c>
      <c r="D4590" t="s">
        <v>16206</v>
      </c>
      <c r="E4590" t="s">
        <v>16218</v>
      </c>
      <c r="F4590" t="s">
        <v>16221</v>
      </c>
      <c r="G4590" t="s">
        <v>16278</v>
      </c>
      <c r="H4590" t="s">
        <v>16277</v>
      </c>
      <c r="I4590" t="s">
        <v>16353</v>
      </c>
      <c r="J4590" t="s">
        <v>16386</v>
      </c>
      <c r="K4590">
        <v>0.173</v>
      </c>
      <c r="L4590">
        <v>7557</v>
      </c>
      <c r="N4590" t="s">
        <v>16393</v>
      </c>
      <c r="O4590" s="4">
        <v>56146</v>
      </c>
      <c r="P4590" s="4">
        <v>251299</v>
      </c>
      <c r="Q4590" s="4">
        <v>307445</v>
      </c>
      <c r="R4590" s="4">
        <v>922335</v>
      </c>
      <c r="S4590" t="s">
        <v>20887</v>
      </c>
      <c r="T4590" s="6">
        <v>44904</v>
      </c>
      <c r="U4590" s="4">
        <v>742177</v>
      </c>
      <c r="V4590" t="s">
        <v>16232</v>
      </c>
      <c r="W4590" t="s">
        <v>26235</v>
      </c>
      <c r="X4590" t="s">
        <v>3</v>
      </c>
      <c r="AA4590" s="5" t="str">
        <f>HYPERLINK("https://www.zillow.com/homes/1227-WRENSON-AVE-NAPERVILLE-IL-605631594_rb/","check listing")</f>
        <v>check listing</v>
      </c>
      <c r="AB4590" s="5" t="str">
        <f>HYPERLINK("https://propertylookup.dupagecounty.gov/Datalets/Datalet.aspx?UseSearch=no&amp;mode=sales&amp;pin=0532304008","sales record")</f>
        <v>sales record</v>
      </c>
      <c r="AC4590" t="s">
        <v>3</v>
      </c>
      <c r="AD4590">
        <v>41.81752</v>
      </c>
      <c r="AE4590">
        <v>-88.120632</v>
      </c>
      <c r="AF4590" s="5" t="str">
        <f>HYPERLINK("https://www.google.com/maps/search/?api=1&amp;query=41.81752,-88.120632","map")</f>
        <v>map</v>
      </c>
    </row>
    <row r="4591" spans="1:32">
      <c r="A4591" t="s">
        <v>4641</v>
      </c>
      <c r="B4591" t="s">
        <v>12174</v>
      </c>
      <c r="C4591" t="s">
        <v>15478</v>
      </c>
      <c r="D4591" t="s">
        <v>16206</v>
      </c>
      <c r="E4591" t="s">
        <v>16218</v>
      </c>
      <c r="F4591" t="s">
        <v>16221</v>
      </c>
      <c r="G4591" t="s">
        <v>16278</v>
      </c>
      <c r="H4591" t="s">
        <v>16277</v>
      </c>
      <c r="I4591" t="s">
        <v>16353</v>
      </c>
      <c r="J4591" t="s">
        <v>16386</v>
      </c>
      <c r="K4591">
        <v>0.173</v>
      </c>
      <c r="L4591">
        <v>7556</v>
      </c>
      <c r="N4591" t="s">
        <v>16393</v>
      </c>
      <c r="O4591" s="4">
        <v>56146</v>
      </c>
      <c r="P4591" s="4">
        <v>220710</v>
      </c>
      <c r="Q4591" s="4">
        <v>276856</v>
      </c>
      <c r="R4591" s="4">
        <v>830568</v>
      </c>
      <c r="S4591" t="s">
        <v>20888</v>
      </c>
      <c r="T4591" s="6">
        <v>44763</v>
      </c>
      <c r="U4591" s="4">
        <v>665069</v>
      </c>
      <c r="V4591" t="s">
        <v>16232</v>
      </c>
      <c r="W4591" t="s">
        <v>26236</v>
      </c>
      <c r="X4591" t="s">
        <v>3</v>
      </c>
      <c r="AA4591" s="5" t="str">
        <f>HYPERLINK("https://www.zillow.com/homes/1239-WRENSON-AVE-NAPERVILLE-IL-60563_rb/","check listing")</f>
        <v>check listing</v>
      </c>
      <c r="AB4591" s="5" t="str">
        <f>HYPERLINK("https://propertylookup.dupagecounty.gov/Datalets/Datalet.aspx?UseSearch=no&amp;mode=sales&amp;pin=0532304005","sales record")</f>
        <v>sales record</v>
      </c>
      <c r="AC4591" t="s">
        <v>3</v>
      </c>
      <c r="AD4591">
        <v>41.817467</v>
      </c>
      <c r="AE4591">
        <v>-88.11998699999999</v>
      </c>
      <c r="AF4591" s="5" t="str">
        <f>HYPERLINK("https://www.google.com/maps/search/?api=1&amp;query=41.817467,-88.119987","map")</f>
        <v>map</v>
      </c>
    </row>
    <row r="4592" spans="1:32">
      <c r="A4592" t="s">
        <v>4642</v>
      </c>
      <c r="B4592" t="s">
        <v>12175</v>
      </c>
      <c r="C4592" t="s">
        <v>15475</v>
      </c>
      <c r="D4592" t="s">
        <v>16206</v>
      </c>
      <c r="E4592" t="s">
        <v>16218</v>
      </c>
      <c r="F4592" t="s">
        <v>16221</v>
      </c>
      <c r="G4592" t="s">
        <v>16277</v>
      </c>
      <c r="H4592" t="s">
        <v>16277</v>
      </c>
      <c r="I4592" t="s">
        <v>16353</v>
      </c>
      <c r="J4592" t="s">
        <v>16386</v>
      </c>
      <c r="K4592">
        <v>0.173</v>
      </c>
      <c r="L4592">
        <v>7555</v>
      </c>
      <c r="M4592">
        <v>1846</v>
      </c>
      <c r="N4592" t="s">
        <v>16393</v>
      </c>
      <c r="O4592" s="4">
        <v>131890</v>
      </c>
      <c r="P4592" s="4">
        <v>235193</v>
      </c>
      <c r="Q4592" s="4">
        <v>367083</v>
      </c>
      <c r="R4592" s="4">
        <v>1101249</v>
      </c>
      <c r="S4592" t="s">
        <v>20889</v>
      </c>
      <c r="X4592" t="s">
        <v>3</v>
      </c>
      <c r="AA4592" s="5" t="str">
        <f>HYPERLINK("https://www.zillow.com/homes/137-CENTER-ST-NAPERVILLE-IL-60540_rb/","check listing")</f>
        <v>check listing</v>
      </c>
      <c r="AB4592" s="5" t="str">
        <f>HYPERLINK("https://propertylookup.dupagecounty.gov/Datalets/Datalet.aspx?UseSearch=no&amp;mode=sales&amp;pin=0818300008","sales record")</f>
        <v>sales record</v>
      </c>
      <c r="AC4592" t="s">
        <v>3</v>
      </c>
      <c r="AD4592">
        <v>41.777037</v>
      </c>
      <c r="AE4592">
        <v>-88.146698</v>
      </c>
      <c r="AF4592" s="5" t="str">
        <f>HYPERLINK("https://www.google.com/maps/search/?api=1&amp;query=41.777037,-88.146698","map")</f>
        <v>map</v>
      </c>
    </row>
    <row r="4593" spans="1:32">
      <c r="A4593" t="s">
        <v>4643</v>
      </c>
      <c r="B4593" t="s">
        <v>12176</v>
      </c>
      <c r="C4593" t="s">
        <v>15475</v>
      </c>
      <c r="D4593" t="s">
        <v>16206</v>
      </c>
      <c r="E4593" t="s">
        <v>16218</v>
      </c>
      <c r="F4593" t="s">
        <v>16221</v>
      </c>
      <c r="G4593" t="s">
        <v>16277</v>
      </c>
      <c r="H4593" t="s">
        <v>16277</v>
      </c>
      <c r="I4593" t="s">
        <v>16353</v>
      </c>
      <c r="J4593" t="s">
        <v>16386</v>
      </c>
      <c r="K4593">
        <v>0.173</v>
      </c>
      <c r="L4593">
        <v>7554</v>
      </c>
      <c r="M4593">
        <v>2079</v>
      </c>
      <c r="N4593" t="s">
        <v>16393</v>
      </c>
      <c r="O4593" s="4">
        <v>119856</v>
      </c>
      <c r="P4593" s="4">
        <v>60398</v>
      </c>
      <c r="Q4593" s="4">
        <v>180254</v>
      </c>
      <c r="R4593" s="4">
        <v>540762</v>
      </c>
      <c r="S4593" t="s">
        <v>20890</v>
      </c>
      <c r="T4593" s="6">
        <v>42278</v>
      </c>
      <c r="U4593" s="4">
        <v>199500</v>
      </c>
      <c r="V4593" t="s">
        <v>16232</v>
      </c>
      <c r="W4593" t="s">
        <v>20890</v>
      </c>
      <c r="X4593" t="s">
        <v>3</v>
      </c>
      <c r="AA4593" s="5" t="str">
        <f>HYPERLINK("https://www.zillow.com/homes/230-N-HUFFMAN-ST-NAPERVILLE-IL-60540_rb/","check listing")</f>
        <v>check listing</v>
      </c>
      <c r="AB4593" s="5" t="str">
        <f>HYPERLINK("https://propertylookup.dupagecounty.gov/Datalets/Datalet.aspx?UseSearch=no&amp;mode=sales&amp;pin=0818211001","sales record")</f>
        <v>sales record</v>
      </c>
      <c r="AC4593" t="s">
        <v>3</v>
      </c>
      <c r="AD4593">
        <v>41.777924</v>
      </c>
      <c r="AE4593">
        <v>-88.134905</v>
      </c>
      <c r="AF4593" s="5" t="str">
        <f>HYPERLINK("https://www.google.com/maps/search/?api=1&amp;query=41.777924,-88.134905","map")</f>
        <v>map</v>
      </c>
    </row>
    <row r="4594" spans="1:32">
      <c r="A4594" t="s">
        <v>4644</v>
      </c>
      <c r="B4594" t="s">
        <v>12177</v>
      </c>
      <c r="C4594" t="s">
        <v>15761</v>
      </c>
      <c r="D4594" t="s">
        <v>16206</v>
      </c>
      <c r="E4594" t="s">
        <v>16218</v>
      </c>
      <c r="F4594" t="s">
        <v>16221</v>
      </c>
      <c r="G4594" t="s">
        <v>16277</v>
      </c>
      <c r="H4594" t="s">
        <v>16277</v>
      </c>
      <c r="I4594" t="s">
        <v>16353</v>
      </c>
      <c r="J4594" t="s">
        <v>16386</v>
      </c>
      <c r="K4594">
        <v>0.173</v>
      </c>
      <c r="L4594">
        <v>7553</v>
      </c>
      <c r="M4594">
        <v>2441</v>
      </c>
      <c r="N4594" t="s">
        <v>16393</v>
      </c>
      <c r="O4594" s="4">
        <v>131890</v>
      </c>
      <c r="P4594" s="4">
        <v>96120</v>
      </c>
      <c r="Q4594" s="4">
        <v>228010</v>
      </c>
      <c r="R4594" s="4">
        <v>684030</v>
      </c>
      <c r="S4594" t="s">
        <v>20891</v>
      </c>
      <c r="T4594" s="6">
        <v>44317</v>
      </c>
      <c r="U4594" s="4">
        <v>535000</v>
      </c>
      <c r="V4594" t="s">
        <v>23739</v>
      </c>
      <c r="W4594" t="s">
        <v>26237</v>
      </c>
      <c r="X4594" t="s">
        <v>3</v>
      </c>
      <c r="AA4594" s="5" t="str">
        <f>HYPERLINK("https://www.zillow.com/homes/226-N-CENTER-ST-NAPERVILLE-IL-605404615_rb/","check listing")</f>
        <v>check listing</v>
      </c>
      <c r="AB4594" s="5" t="str">
        <f>HYPERLINK("https://propertylookup.dupagecounty.gov/Datalets/Datalet.aspx?UseSearch=no&amp;mode=sales&amp;pin=0818129002","sales record")</f>
        <v>sales record</v>
      </c>
      <c r="AC4594" t="s">
        <v>3</v>
      </c>
      <c r="AD4594">
        <v>41.778249</v>
      </c>
      <c r="AE4594">
        <v>-88.145847</v>
      </c>
      <c r="AF4594" s="5" t="str">
        <f>HYPERLINK("https://www.google.com/maps/search/?api=1&amp;query=41.778249,-88.145847","map")</f>
        <v>map</v>
      </c>
    </row>
    <row r="4595" spans="1:32">
      <c r="A4595" t="s">
        <v>4645</v>
      </c>
      <c r="B4595" t="s">
        <v>12178</v>
      </c>
      <c r="C4595" t="s">
        <v>15475</v>
      </c>
      <c r="D4595" t="s">
        <v>16206</v>
      </c>
      <c r="E4595" t="s">
        <v>16218</v>
      </c>
      <c r="F4595" t="s">
        <v>16221</v>
      </c>
      <c r="G4595" t="s">
        <v>16277</v>
      </c>
      <c r="H4595" t="s">
        <v>16277</v>
      </c>
      <c r="I4595" t="s">
        <v>16353</v>
      </c>
      <c r="J4595" t="s">
        <v>16386</v>
      </c>
      <c r="K4595">
        <v>0.173</v>
      </c>
      <c r="L4595">
        <v>7553</v>
      </c>
      <c r="M4595">
        <v>2323</v>
      </c>
      <c r="N4595" t="s">
        <v>16393</v>
      </c>
      <c r="O4595" s="4">
        <v>131890</v>
      </c>
      <c r="P4595" s="4">
        <v>88081</v>
      </c>
      <c r="Q4595" s="4">
        <v>219971</v>
      </c>
      <c r="R4595" s="4">
        <v>659913</v>
      </c>
      <c r="S4595" t="s">
        <v>20892</v>
      </c>
      <c r="T4595" s="6">
        <v>38169</v>
      </c>
      <c r="U4595" s="4">
        <v>425000</v>
      </c>
      <c r="V4595" t="s">
        <v>23739</v>
      </c>
      <c r="W4595" t="s">
        <v>26238</v>
      </c>
      <c r="X4595" t="s">
        <v>3</v>
      </c>
      <c r="AA4595" s="5" t="str">
        <f>HYPERLINK("https://www.zillow.com/homes/130-S-ELLSWORTH-ST-NAPERVILLE-IL-60540_rb/","check listing")</f>
        <v>check listing</v>
      </c>
      <c r="AB4595" s="5" t="str">
        <f>HYPERLINK("https://propertylookup.dupagecounty.gov/Datalets/Datalet.aspx?UseSearch=no&amp;mode=sales&amp;pin=0818319006","sales record")</f>
        <v>sales record</v>
      </c>
      <c r="AC4595" t="s">
        <v>3</v>
      </c>
      <c r="AD4595">
        <v>41.773197</v>
      </c>
      <c r="AE4595">
        <v>-88.144807</v>
      </c>
      <c r="AF4595" s="5" t="str">
        <f>HYPERLINK("https://www.google.com/maps/search/?api=1&amp;query=41.773197,-88.144807","map")</f>
        <v>map</v>
      </c>
    </row>
    <row r="4596" spans="1:32">
      <c r="A4596" t="s">
        <v>4646</v>
      </c>
      <c r="B4596" t="s">
        <v>12179</v>
      </c>
      <c r="C4596" t="s">
        <v>15762</v>
      </c>
      <c r="D4596" t="s">
        <v>16206</v>
      </c>
      <c r="E4596" t="s">
        <v>16218</v>
      </c>
      <c r="F4596" t="s">
        <v>16221</v>
      </c>
      <c r="G4596" t="s">
        <v>16277</v>
      </c>
      <c r="H4596" t="s">
        <v>16277</v>
      </c>
      <c r="I4596" t="s">
        <v>16353</v>
      </c>
      <c r="J4596" t="s">
        <v>16386</v>
      </c>
      <c r="K4596">
        <v>0.173</v>
      </c>
      <c r="L4596">
        <v>7550</v>
      </c>
      <c r="M4596">
        <v>1978</v>
      </c>
      <c r="N4596" t="s">
        <v>16393</v>
      </c>
      <c r="O4596" s="4">
        <v>131890</v>
      </c>
      <c r="P4596" s="4">
        <v>205274</v>
      </c>
      <c r="Q4596" s="4">
        <v>337164</v>
      </c>
      <c r="R4596" s="4">
        <v>1011492</v>
      </c>
      <c r="S4596" t="s">
        <v>20893</v>
      </c>
      <c r="T4596" s="6">
        <v>45805</v>
      </c>
      <c r="U4596" s="4">
        <v>1030000</v>
      </c>
      <c r="V4596" t="s">
        <v>23739</v>
      </c>
      <c r="W4596" t="s">
        <v>26239</v>
      </c>
      <c r="X4596" t="s">
        <v>3</v>
      </c>
      <c r="AA4596" s="5" t="str">
        <f>HYPERLINK("https://www.zillow.com/homes/147-CENTER-ST-NAPERVILLE-IL-605404612_rb/","check listing")</f>
        <v>check listing</v>
      </c>
      <c r="AB4596" s="5" t="str">
        <f>HYPERLINK("https://propertylookup.dupagecounty.gov/Datalets/Datalet.aspx?UseSearch=no&amp;mode=sales&amp;pin=0818127002","sales record")</f>
        <v>sales record</v>
      </c>
      <c r="AC4596" t="s">
        <v>3</v>
      </c>
      <c r="AD4596">
        <v>41.777305</v>
      </c>
      <c r="AE4596">
        <v>-88.146683</v>
      </c>
      <c r="AF4596" s="5" t="str">
        <f>HYPERLINK("https://www.google.com/maps/search/?api=1&amp;query=41.777305,-88.146683","map")</f>
        <v>map</v>
      </c>
    </row>
    <row r="4597" spans="1:32">
      <c r="A4597" t="s">
        <v>4647</v>
      </c>
      <c r="B4597" t="s">
        <v>12180</v>
      </c>
      <c r="C4597" t="s">
        <v>15761</v>
      </c>
      <c r="D4597" t="s">
        <v>16206</v>
      </c>
      <c r="E4597" t="s">
        <v>16218</v>
      </c>
      <c r="F4597" t="s">
        <v>16221</v>
      </c>
      <c r="G4597" t="s">
        <v>16277</v>
      </c>
      <c r="H4597" t="s">
        <v>16277</v>
      </c>
      <c r="I4597" t="s">
        <v>16353</v>
      </c>
      <c r="J4597" t="s">
        <v>16386</v>
      </c>
      <c r="K4597">
        <v>0.173</v>
      </c>
      <c r="L4597">
        <v>7546</v>
      </c>
      <c r="M4597">
        <v>3627</v>
      </c>
      <c r="N4597" t="s">
        <v>16393</v>
      </c>
      <c r="O4597" s="4">
        <v>131890</v>
      </c>
      <c r="P4597" s="4">
        <v>102459</v>
      </c>
      <c r="Q4597" s="4">
        <v>234349</v>
      </c>
      <c r="R4597" s="4">
        <v>703047</v>
      </c>
      <c r="S4597" t="s">
        <v>20894</v>
      </c>
      <c r="T4597" s="6">
        <v>45204</v>
      </c>
      <c r="U4597" s="4">
        <v>750000</v>
      </c>
      <c r="V4597" t="s">
        <v>23739</v>
      </c>
      <c r="W4597" t="s">
        <v>26240</v>
      </c>
      <c r="X4597" t="s">
        <v>3</v>
      </c>
      <c r="AA4597" s="5" t="str">
        <f>HYPERLINK("https://www.zillow.com/homes/220-CENTER-ST-NAPERVILLE-IL-605404615_rb/","check listing")</f>
        <v>check listing</v>
      </c>
      <c r="AB4597" s="5" t="str">
        <f>HYPERLINK("https://propertylookup.dupagecounty.gov/Datalets/Datalet.aspx?UseSearch=no&amp;mode=sales&amp;pin=0818129003","sales record")</f>
        <v>sales record</v>
      </c>
      <c r="AC4597" t="s">
        <v>3</v>
      </c>
      <c r="AD4597">
        <v>41.778112</v>
      </c>
      <c r="AE4597">
        <v>-88.145853</v>
      </c>
      <c r="AF4597" s="5" t="str">
        <f>HYPERLINK("https://www.google.com/maps/search/?api=1&amp;query=41.778112,-88.145853","map")</f>
        <v>map</v>
      </c>
    </row>
    <row r="4598" spans="1:32">
      <c r="A4598" t="s">
        <v>4648</v>
      </c>
      <c r="B4598" t="s">
        <v>12181</v>
      </c>
      <c r="C4598" t="s">
        <v>15737</v>
      </c>
      <c r="D4598" t="s">
        <v>16206</v>
      </c>
      <c r="E4598" t="s">
        <v>16218</v>
      </c>
      <c r="F4598" t="s">
        <v>16221</v>
      </c>
      <c r="G4598" t="s">
        <v>16277</v>
      </c>
      <c r="H4598" t="s">
        <v>16277</v>
      </c>
      <c r="I4598" t="s">
        <v>16353</v>
      </c>
      <c r="J4598" t="s">
        <v>16386</v>
      </c>
      <c r="K4598">
        <v>0.173</v>
      </c>
      <c r="L4598">
        <v>7544</v>
      </c>
      <c r="M4598">
        <v>1553</v>
      </c>
      <c r="N4598" t="s">
        <v>16393</v>
      </c>
      <c r="O4598" s="4">
        <v>131890</v>
      </c>
      <c r="P4598" s="4">
        <v>49553</v>
      </c>
      <c r="Q4598" s="4">
        <v>181443</v>
      </c>
      <c r="R4598" s="4">
        <v>544329</v>
      </c>
      <c r="S4598" t="s">
        <v>20895</v>
      </c>
      <c r="T4598" s="6">
        <v>40878</v>
      </c>
      <c r="U4598" s="4">
        <v>350000</v>
      </c>
      <c r="V4598" t="s">
        <v>23739</v>
      </c>
      <c r="W4598" t="s">
        <v>26241</v>
      </c>
      <c r="X4598" t="s">
        <v>3</v>
      </c>
      <c r="AA4598" s="5" t="str">
        <f>HYPERLINK("https://www.zillow.com/homes/203-CENTER-ST-NAPERVILLE-IL-605404614_rb/","check listing")</f>
        <v>check listing</v>
      </c>
      <c r="AB4598" s="5" t="str">
        <f>HYPERLINK("https://propertylookup.dupagecounty.gov/Datalets/Datalet.aspx?UseSearch=no&amp;mode=sales&amp;pin=0818126006","sales record")</f>
        <v>sales record</v>
      </c>
      <c r="AC4598" t="s">
        <v>3</v>
      </c>
      <c r="AD4598">
        <v>41.777718</v>
      </c>
      <c r="AE4598">
        <v>-88.14666200000001</v>
      </c>
      <c r="AF4598" s="5" t="str">
        <f>HYPERLINK("https://www.google.com/maps/search/?api=1&amp;query=41.777718,-88.146662","map")</f>
        <v>map</v>
      </c>
    </row>
    <row r="4599" spans="1:32">
      <c r="A4599" t="s">
        <v>4649</v>
      </c>
      <c r="B4599" t="s">
        <v>12182</v>
      </c>
      <c r="C4599" t="s">
        <v>15478</v>
      </c>
      <c r="D4599" t="s">
        <v>16206</v>
      </c>
      <c r="E4599" t="s">
        <v>16218</v>
      </c>
      <c r="F4599" t="s">
        <v>16221</v>
      </c>
      <c r="G4599" t="s">
        <v>16277</v>
      </c>
      <c r="H4599" t="s">
        <v>16277</v>
      </c>
      <c r="I4599" t="s">
        <v>16353</v>
      </c>
      <c r="J4599" t="s">
        <v>16386</v>
      </c>
      <c r="K4599">
        <v>0.173</v>
      </c>
      <c r="L4599">
        <v>7543</v>
      </c>
      <c r="M4599">
        <v>2203</v>
      </c>
      <c r="N4599" t="s">
        <v>16393</v>
      </c>
      <c r="O4599" s="4">
        <v>119856</v>
      </c>
      <c r="P4599" s="4">
        <v>77486</v>
      </c>
      <c r="Q4599" s="4">
        <v>197342</v>
      </c>
      <c r="R4599" s="4">
        <v>592026</v>
      </c>
      <c r="S4599" t="s">
        <v>20896</v>
      </c>
      <c r="T4599" s="6">
        <v>37135</v>
      </c>
      <c r="U4599" s="4">
        <v>278000</v>
      </c>
      <c r="V4599" t="s">
        <v>23739</v>
      </c>
      <c r="W4599" t="s">
        <v>26242</v>
      </c>
      <c r="X4599" t="s">
        <v>3</v>
      </c>
      <c r="AA4599" s="5" t="str">
        <f>HYPERLINK("https://www.zillow.com/homes/826-N-ELLSWORTH-ST-NAPERVILLE-IL-60563_rb/","check listing")</f>
        <v>check listing</v>
      </c>
      <c r="AB4599" s="5" t="str">
        <f>HYPERLINK("https://propertylookup.dupagecounty.gov/Datalets/Datalet.aspx?UseSearch=no&amp;mode=sales&amp;pin=0807315006","sales record")</f>
        <v>sales record</v>
      </c>
      <c r="AC4599" t="s">
        <v>3</v>
      </c>
      <c r="AD4599">
        <v>41.784866</v>
      </c>
      <c r="AE4599">
        <v>-88.144031</v>
      </c>
      <c r="AF4599" s="5" t="str">
        <f>HYPERLINK("https://www.google.com/maps/search/?api=1&amp;query=41.784866,-88.144031","map")</f>
        <v>map</v>
      </c>
    </row>
    <row r="4600" spans="1:32">
      <c r="A4600" t="s">
        <v>4650</v>
      </c>
      <c r="B4600" t="s">
        <v>12183</v>
      </c>
      <c r="C4600" t="s">
        <v>15475</v>
      </c>
      <c r="D4600" t="s">
        <v>16206</v>
      </c>
      <c r="E4600" t="s">
        <v>16218</v>
      </c>
      <c r="F4600" t="s">
        <v>16221</v>
      </c>
      <c r="G4600" t="s">
        <v>16277</v>
      </c>
      <c r="H4600" t="s">
        <v>16277</v>
      </c>
      <c r="I4600" t="s">
        <v>16353</v>
      </c>
      <c r="J4600" t="s">
        <v>16386</v>
      </c>
      <c r="K4600">
        <v>0.173</v>
      </c>
      <c r="L4600">
        <v>7542</v>
      </c>
      <c r="M4600">
        <v>1444</v>
      </c>
      <c r="N4600" t="s">
        <v>16393</v>
      </c>
      <c r="O4600" s="4">
        <v>131890</v>
      </c>
      <c r="P4600" s="4">
        <v>41621</v>
      </c>
      <c r="Q4600" s="4">
        <v>173511</v>
      </c>
      <c r="R4600" s="4">
        <v>520533</v>
      </c>
      <c r="S4600" t="s">
        <v>20897</v>
      </c>
      <c r="T4600" s="6">
        <v>31291</v>
      </c>
      <c r="U4600" s="4">
        <v>76900</v>
      </c>
      <c r="X4600" t="s">
        <v>3</v>
      </c>
      <c r="AA4600" s="5" t="str">
        <f>HYPERLINK("https://www.zillow.com/homes/209-N-CENTER-ST-NAPERVILLE-IL-60540_rb/","check listing")</f>
        <v>check listing</v>
      </c>
      <c r="AB4600" s="5" t="str">
        <f>HYPERLINK("https://propertylookup.dupagecounty.gov/Datalets/Datalet.aspx?UseSearch=no&amp;mode=sales&amp;pin=0818126005","sales record")</f>
        <v>sales record</v>
      </c>
      <c r="AC4600" t="s">
        <v>27873</v>
      </c>
      <c r="AD4600">
        <v>41.777856</v>
      </c>
      <c r="AE4600">
        <v>-88.146657</v>
      </c>
      <c r="AF4600" s="5" t="str">
        <f>HYPERLINK("https://www.google.com/maps/search/?api=1&amp;query=41.777856,-88.146657","map")</f>
        <v>map</v>
      </c>
    </row>
    <row r="4601" spans="1:32">
      <c r="A4601" t="s">
        <v>4651</v>
      </c>
      <c r="B4601" t="s">
        <v>12184</v>
      </c>
      <c r="C4601" t="s">
        <v>15475</v>
      </c>
      <c r="D4601" t="s">
        <v>16206</v>
      </c>
      <c r="E4601" t="s">
        <v>16218</v>
      </c>
      <c r="F4601" t="s">
        <v>16221</v>
      </c>
      <c r="G4601" t="s">
        <v>16277</v>
      </c>
      <c r="H4601" t="s">
        <v>16277</v>
      </c>
      <c r="I4601" t="s">
        <v>16353</v>
      </c>
      <c r="J4601" t="s">
        <v>16386</v>
      </c>
      <c r="K4601">
        <v>0.173</v>
      </c>
      <c r="L4601">
        <v>7542</v>
      </c>
      <c r="M4601">
        <v>2177</v>
      </c>
      <c r="N4601" t="s">
        <v>16393</v>
      </c>
      <c r="O4601" s="4">
        <v>131890</v>
      </c>
      <c r="P4601" s="4">
        <v>64880</v>
      </c>
      <c r="Q4601" s="4">
        <v>196770</v>
      </c>
      <c r="R4601" s="4">
        <v>590310</v>
      </c>
      <c r="S4601" t="s">
        <v>20898</v>
      </c>
      <c r="T4601" s="6">
        <v>38261</v>
      </c>
      <c r="U4601" s="4">
        <v>415000</v>
      </c>
      <c r="V4601" t="s">
        <v>23739</v>
      </c>
      <c r="W4601" t="s">
        <v>26243</v>
      </c>
      <c r="X4601" t="s">
        <v>3</v>
      </c>
      <c r="AA4601" s="5" t="str">
        <f>HYPERLINK("https://www.zillow.com/homes/215-CENTER-ST-NAPERVILLE-IL-60540_rb/","check listing")</f>
        <v>check listing</v>
      </c>
      <c r="AB4601" s="5" t="str">
        <f>HYPERLINK("https://propertylookup.dupagecounty.gov/Datalets/Datalet.aspx?UseSearch=no&amp;mode=sales&amp;pin=0818126004","sales record")</f>
        <v>sales record</v>
      </c>
      <c r="AC4601" t="s">
        <v>27873</v>
      </c>
      <c r="AD4601">
        <v>41.777994</v>
      </c>
      <c r="AE4601">
        <v>-88.14665100000001</v>
      </c>
      <c r="AF4601" s="5" t="str">
        <f>HYPERLINK("https://www.google.com/maps/search/?api=1&amp;query=41.777994,-88.146651","map")</f>
        <v>map</v>
      </c>
    </row>
    <row r="4602" spans="1:32">
      <c r="A4602" t="s">
        <v>4652</v>
      </c>
      <c r="B4602" t="s">
        <v>12185</v>
      </c>
      <c r="C4602" t="s">
        <v>15478</v>
      </c>
      <c r="D4602" t="s">
        <v>16206</v>
      </c>
      <c r="E4602" t="s">
        <v>16218</v>
      </c>
      <c r="F4602" t="s">
        <v>16221</v>
      </c>
      <c r="G4602" t="s">
        <v>16277</v>
      </c>
      <c r="H4602" t="s">
        <v>16277</v>
      </c>
      <c r="I4602" t="s">
        <v>16353</v>
      </c>
      <c r="J4602" t="s">
        <v>16386</v>
      </c>
      <c r="K4602">
        <v>0.173</v>
      </c>
      <c r="L4602">
        <v>7541</v>
      </c>
      <c r="M4602">
        <v>1437</v>
      </c>
      <c r="N4602" t="s">
        <v>16393</v>
      </c>
      <c r="O4602" s="4">
        <v>119856</v>
      </c>
      <c r="P4602" s="4">
        <v>20585</v>
      </c>
      <c r="Q4602" s="4">
        <v>140441</v>
      </c>
      <c r="R4602" s="4">
        <v>421323</v>
      </c>
      <c r="S4602" t="s">
        <v>20899</v>
      </c>
      <c r="T4602" s="6">
        <v>39995</v>
      </c>
      <c r="U4602" s="4">
        <v>12000</v>
      </c>
      <c r="V4602" t="s">
        <v>23742</v>
      </c>
      <c r="W4602" t="s">
        <v>26244</v>
      </c>
      <c r="X4602" t="s">
        <v>3</v>
      </c>
      <c r="AA4602" s="5" t="str">
        <f>HYPERLINK("https://www.zillow.com/homes/818-N-ELLSWORTH-ST-NAPERVILLE-IL-60563_rb/","check listing")</f>
        <v>check listing</v>
      </c>
      <c r="AB4602" s="5" t="str">
        <f>HYPERLINK("https://propertylookup.dupagecounty.gov/Datalets/Datalet.aspx?UseSearch=no&amp;mode=sales&amp;pin=0807315008","sales record")</f>
        <v>sales record</v>
      </c>
      <c r="AC4602" t="s">
        <v>3</v>
      </c>
      <c r="AD4602">
        <v>41.784592</v>
      </c>
      <c r="AE4602">
        <v>-88.144053</v>
      </c>
      <c r="AF4602" s="5" t="str">
        <f>HYPERLINK("https://www.google.com/maps/search/?api=1&amp;query=41.784592,-88.144053","map")</f>
        <v>map</v>
      </c>
    </row>
    <row r="4603" spans="1:32">
      <c r="A4603" t="s">
        <v>4653</v>
      </c>
      <c r="B4603" t="s">
        <v>12186</v>
      </c>
      <c r="C4603" t="s">
        <v>15478</v>
      </c>
      <c r="D4603" t="s">
        <v>16206</v>
      </c>
      <c r="E4603" t="s">
        <v>16218</v>
      </c>
      <c r="F4603" t="s">
        <v>16221</v>
      </c>
      <c r="G4603" t="s">
        <v>16277</v>
      </c>
      <c r="H4603" t="s">
        <v>16277</v>
      </c>
      <c r="I4603" t="s">
        <v>16353</v>
      </c>
      <c r="J4603" t="s">
        <v>16386</v>
      </c>
      <c r="K4603">
        <v>0.173</v>
      </c>
      <c r="L4603">
        <v>7541</v>
      </c>
      <c r="M4603">
        <v>1848</v>
      </c>
      <c r="N4603" t="s">
        <v>16393</v>
      </c>
      <c r="O4603" s="4">
        <v>119856</v>
      </c>
      <c r="P4603" s="4">
        <v>54118</v>
      </c>
      <c r="Q4603" s="4">
        <v>173974</v>
      </c>
      <c r="R4603" s="4">
        <v>521922</v>
      </c>
      <c r="S4603" t="s">
        <v>20899</v>
      </c>
      <c r="T4603" s="6">
        <v>38384</v>
      </c>
      <c r="U4603" s="4">
        <v>386000</v>
      </c>
      <c r="V4603" t="s">
        <v>23739</v>
      </c>
      <c r="W4603" t="s">
        <v>26245</v>
      </c>
      <c r="X4603" t="s">
        <v>3</v>
      </c>
      <c r="AA4603" s="5" t="str">
        <f>HYPERLINK("https://www.zillow.com/homes/824-N-ELLSWORTH-AVE-NAPERVILLE-IL-60563_rb/","check listing")</f>
        <v>check listing</v>
      </c>
      <c r="AB4603" s="5" t="str">
        <f>HYPERLINK("https://propertylookup.dupagecounty.gov/Datalets/Datalet.aspx?UseSearch=no&amp;mode=sales&amp;pin=0807315007","sales record")</f>
        <v>sales record</v>
      </c>
      <c r="AC4603" t="s">
        <v>3</v>
      </c>
      <c r="AD4603">
        <v>41.784729</v>
      </c>
      <c r="AE4603">
        <v>-88.144042</v>
      </c>
      <c r="AF4603" s="5" t="str">
        <f>HYPERLINK("https://www.google.com/maps/search/?api=1&amp;query=41.784729,-88.144042","map")</f>
        <v>map</v>
      </c>
    </row>
    <row r="4604" spans="1:32">
      <c r="A4604" t="s">
        <v>4654</v>
      </c>
      <c r="B4604" t="s">
        <v>12187</v>
      </c>
      <c r="C4604" t="s">
        <v>15475</v>
      </c>
      <c r="D4604" t="s">
        <v>16206</v>
      </c>
      <c r="E4604" t="s">
        <v>16218</v>
      </c>
      <c r="F4604" t="s">
        <v>16221</v>
      </c>
      <c r="G4604" t="s">
        <v>16277</v>
      </c>
      <c r="H4604" t="s">
        <v>16277</v>
      </c>
      <c r="I4604" t="s">
        <v>16353</v>
      </c>
      <c r="J4604" t="s">
        <v>16386</v>
      </c>
      <c r="K4604">
        <v>0.173</v>
      </c>
      <c r="L4604">
        <v>7538</v>
      </c>
      <c r="M4604">
        <v>3450</v>
      </c>
      <c r="N4604" t="s">
        <v>16393</v>
      </c>
      <c r="O4604" s="4">
        <v>131890</v>
      </c>
      <c r="P4604" s="4">
        <v>85406</v>
      </c>
      <c r="Q4604" s="4">
        <v>217296</v>
      </c>
      <c r="R4604" s="4">
        <v>651888</v>
      </c>
      <c r="S4604" t="s">
        <v>20900</v>
      </c>
      <c r="T4604" s="6">
        <v>34912</v>
      </c>
      <c r="U4604" s="4">
        <v>200000</v>
      </c>
      <c r="X4604" t="s">
        <v>3</v>
      </c>
      <c r="AA4604" s="5" t="str">
        <f>HYPERLINK("https://www.zillow.com/homes/153-N-CENTER-ST-NAPERVILLE-IL-60540_rb/","check listing")</f>
        <v>check listing</v>
      </c>
      <c r="AB4604" s="5" t="str">
        <f>HYPERLINK("https://propertylookup.dupagecounty.gov/Datalets/Datalet.aspx?UseSearch=no&amp;mode=sales&amp;pin=0818127001","sales record")</f>
        <v>sales record</v>
      </c>
      <c r="AC4604" t="s">
        <v>3</v>
      </c>
      <c r="AD4604">
        <v>41.777443</v>
      </c>
      <c r="AE4604">
        <v>-88.146675</v>
      </c>
      <c r="AF4604" s="5" t="str">
        <f>HYPERLINK("https://www.google.com/maps/search/?api=1&amp;query=41.777443,-88.146675","map")</f>
        <v>map</v>
      </c>
    </row>
    <row r="4605" spans="1:32">
      <c r="A4605" t="s">
        <v>4655</v>
      </c>
      <c r="B4605" t="s">
        <v>12188</v>
      </c>
      <c r="C4605" t="s">
        <v>15478</v>
      </c>
      <c r="D4605" t="s">
        <v>16206</v>
      </c>
      <c r="E4605" t="s">
        <v>16218</v>
      </c>
      <c r="F4605" t="s">
        <v>16221</v>
      </c>
      <c r="G4605" t="s">
        <v>16277</v>
      </c>
      <c r="H4605" t="s">
        <v>16277</v>
      </c>
      <c r="I4605" t="s">
        <v>16353</v>
      </c>
      <c r="J4605" t="s">
        <v>16386</v>
      </c>
      <c r="K4605">
        <v>0.173</v>
      </c>
      <c r="L4605">
        <v>7527</v>
      </c>
      <c r="M4605">
        <v>2561</v>
      </c>
      <c r="N4605" t="s">
        <v>16393</v>
      </c>
      <c r="O4605" s="4">
        <v>120723</v>
      </c>
      <c r="P4605" s="4">
        <v>114980</v>
      </c>
      <c r="Q4605" s="4">
        <v>235703</v>
      </c>
      <c r="R4605" s="4">
        <v>707109</v>
      </c>
      <c r="S4605" t="s">
        <v>20901</v>
      </c>
      <c r="T4605" s="6">
        <v>38930</v>
      </c>
      <c r="U4605" s="4">
        <v>550000</v>
      </c>
      <c r="V4605" t="s">
        <v>23739</v>
      </c>
      <c r="W4605" t="s">
        <v>26246</v>
      </c>
      <c r="X4605" t="s">
        <v>3</v>
      </c>
      <c r="AA4605" s="5" t="str">
        <f>HYPERLINK("https://www.zillow.com/homes/819-N-BRAINARD-ST-NAPERVILLE-IL-60563_rb/","check listing")</f>
        <v>check listing</v>
      </c>
      <c r="AB4605" s="5" t="str">
        <f>HYPERLINK("https://propertylookup.dupagecounty.gov/Datalets/Datalet.aspx?UseSearch=no&amp;mode=sales&amp;pin=0807315015","sales record")</f>
        <v>sales record</v>
      </c>
      <c r="AC4605" t="s">
        <v>3</v>
      </c>
      <c r="AD4605">
        <v>41.784702</v>
      </c>
      <c r="AE4605">
        <v>-88.14343</v>
      </c>
      <c r="AF4605" s="5" t="str">
        <f>HYPERLINK("https://www.google.com/maps/search/?api=1&amp;query=41.784702,-88.14343","map")</f>
        <v>map</v>
      </c>
    </row>
    <row r="4606" spans="1:32">
      <c r="A4606" t="s">
        <v>4656</v>
      </c>
      <c r="B4606" t="s">
        <v>12189</v>
      </c>
      <c r="C4606" t="s">
        <v>15763</v>
      </c>
      <c r="D4606" t="s">
        <v>16206</v>
      </c>
      <c r="E4606" t="s">
        <v>16218</v>
      </c>
      <c r="F4606" t="s">
        <v>16221</v>
      </c>
      <c r="G4606" t="s">
        <v>16277</v>
      </c>
      <c r="H4606" t="s">
        <v>16277</v>
      </c>
      <c r="I4606" t="s">
        <v>16353</v>
      </c>
      <c r="J4606" t="s">
        <v>16386</v>
      </c>
      <c r="K4606">
        <v>0.173</v>
      </c>
      <c r="L4606">
        <v>7527</v>
      </c>
      <c r="M4606">
        <v>1365</v>
      </c>
      <c r="N4606" t="s">
        <v>16393</v>
      </c>
      <c r="O4606" s="4">
        <v>96572</v>
      </c>
      <c r="P4606" s="4">
        <v>299241</v>
      </c>
      <c r="Q4606" s="4">
        <v>395813</v>
      </c>
      <c r="R4606" s="4">
        <v>1187439</v>
      </c>
      <c r="S4606" t="s">
        <v>20902</v>
      </c>
      <c r="T4606" s="6">
        <v>44348</v>
      </c>
      <c r="U4606" s="4">
        <v>1130000</v>
      </c>
      <c r="V4606" t="s">
        <v>23739</v>
      </c>
      <c r="W4606" t="s">
        <v>26247</v>
      </c>
      <c r="X4606" t="s">
        <v>3</v>
      </c>
      <c r="AA4606" s="5" t="str">
        <f>HYPERLINK("https://www.zillow.com/homes/841-N-BRAINARD-ST-NAPERVILLE-IL-605633134_rb/","check listing")</f>
        <v>check listing</v>
      </c>
      <c r="AB4606" s="5" t="str">
        <f>HYPERLINK("https://propertylookup.dupagecounty.gov/Datalets/Datalet.aspx?UseSearch=no&amp;mode=sales&amp;pin=0807315010","sales record")</f>
        <v>sales record</v>
      </c>
      <c r="AC4606" t="s">
        <v>27873</v>
      </c>
      <c r="AD4606">
        <v>41.785387</v>
      </c>
      <c r="AE4606">
        <v>-88.14337399999999</v>
      </c>
      <c r="AF4606" s="5" t="str">
        <f>HYPERLINK("https://www.google.com/maps/search/?api=1&amp;query=41.785387,-88.143374","map")</f>
        <v>map</v>
      </c>
    </row>
    <row r="4607" spans="1:32">
      <c r="A4607" t="s">
        <v>4657</v>
      </c>
      <c r="B4607" t="s">
        <v>12190</v>
      </c>
      <c r="C4607" t="s">
        <v>15763</v>
      </c>
      <c r="D4607" t="s">
        <v>16206</v>
      </c>
      <c r="E4607" t="s">
        <v>16218</v>
      </c>
      <c r="F4607" t="s">
        <v>16221</v>
      </c>
      <c r="G4607" t="s">
        <v>16277</v>
      </c>
      <c r="H4607" t="s">
        <v>16277</v>
      </c>
      <c r="I4607" t="s">
        <v>16353</v>
      </c>
      <c r="J4607" t="s">
        <v>16386</v>
      </c>
      <c r="K4607">
        <v>0.173</v>
      </c>
      <c r="L4607">
        <v>7525</v>
      </c>
      <c r="M4607">
        <v>1848</v>
      </c>
      <c r="N4607" t="s">
        <v>16393</v>
      </c>
      <c r="O4607" s="4">
        <v>119856</v>
      </c>
      <c r="P4607" s="4">
        <v>89972</v>
      </c>
      <c r="Q4607" s="4">
        <v>209828</v>
      </c>
      <c r="R4607" s="4">
        <v>629484</v>
      </c>
      <c r="S4607" t="s">
        <v>20903</v>
      </c>
      <c r="T4607" s="6">
        <v>43221</v>
      </c>
      <c r="U4607" s="4">
        <v>419500</v>
      </c>
      <c r="V4607" t="s">
        <v>23740</v>
      </c>
      <c r="W4607" t="s">
        <v>20903</v>
      </c>
      <c r="X4607" t="s">
        <v>3</v>
      </c>
      <c r="AA4607" s="5" t="str">
        <f>HYPERLINK("https://www.zillow.com/homes/829-N-BRAINARD-ST-NAPERVILLE-IL-605633134_rb/","check listing")</f>
        <v>check listing</v>
      </c>
      <c r="AB4607" s="5" t="str">
        <f>HYPERLINK("https://propertylookup.dupagecounty.gov/Datalets/Datalet.aspx?UseSearch=no&amp;mode=sales&amp;pin=0807315013","sales record")</f>
        <v>sales record</v>
      </c>
      <c r="AC4607" t="s">
        <v>3</v>
      </c>
      <c r="AD4607">
        <v>41.784976</v>
      </c>
      <c r="AE4607">
        <v>-88.14340799999999</v>
      </c>
      <c r="AF4607" s="5" t="str">
        <f>HYPERLINK("https://www.google.com/maps/search/?api=1&amp;query=41.784976,-88.143408","map")</f>
        <v>map</v>
      </c>
    </row>
    <row r="4608" spans="1:32">
      <c r="A4608" t="s">
        <v>4658</v>
      </c>
      <c r="B4608" t="s">
        <v>12191</v>
      </c>
      <c r="C4608" t="s">
        <v>15478</v>
      </c>
      <c r="D4608" t="s">
        <v>16206</v>
      </c>
      <c r="E4608" t="s">
        <v>16218</v>
      </c>
      <c r="F4608" t="s">
        <v>16221</v>
      </c>
      <c r="G4608" t="s">
        <v>16277</v>
      </c>
      <c r="H4608" t="s">
        <v>16277</v>
      </c>
      <c r="I4608" t="s">
        <v>16353</v>
      </c>
      <c r="J4608" t="s">
        <v>16386</v>
      </c>
      <c r="K4608">
        <v>0.173</v>
      </c>
      <c r="L4608">
        <v>7525</v>
      </c>
      <c r="M4608">
        <v>3496</v>
      </c>
      <c r="N4608" t="s">
        <v>16393</v>
      </c>
      <c r="O4608" s="4">
        <v>120723</v>
      </c>
      <c r="P4608" s="4">
        <v>313487</v>
      </c>
      <c r="Q4608" s="4">
        <v>434210</v>
      </c>
      <c r="R4608" s="4">
        <v>1302630</v>
      </c>
      <c r="S4608" t="s">
        <v>20904</v>
      </c>
      <c r="T4608" s="6">
        <v>42461</v>
      </c>
      <c r="U4608" s="4">
        <v>1000000</v>
      </c>
      <c r="V4608" t="s">
        <v>23739</v>
      </c>
      <c r="W4608" t="s">
        <v>26248</v>
      </c>
      <c r="X4608" t="s">
        <v>3</v>
      </c>
      <c r="AA4608" s="5" t="str">
        <f>HYPERLINK("https://www.zillow.com/homes/809-N-BRAINARD-ST-NAPERVILLE-IL-60563_rb/","check listing")</f>
        <v>check listing</v>
      </c>
      <c r="AB4608" s="5" t="str">
        <f>HYPERLINK("https://propertylookup.dupagecounty.gov/Datalets/Datalet.aspx?UseSearch=no&amp;mode=sales&amp;pin=0818110002","sales record")</f>
        <v>sales record</v>
      </c>
      <c r="AC4608" t="s">
        <v>3</v>
      </c>
      <c r="AD4608">
        <v>41.784422</v>
      </c>
      <c r="AE4608">
        <v>-88.14345299999999</v>
      </c>
      <c r="AF4608" s="5" t="str">
        <f>HYPERLINK("https://www.google.com/maps/search/?api=1&amp;query=41.784422,-88.143453","map")</f>
        <v>map</v>
      </c>
    </row>
    <row r="4609" spans="1:32">
      <c r="A4609" t="s">
        <v>4659</v>
      </c>
      <c r="B4609" t="s">
        <v>12192</v>
      </c>
      <c r="C4609" t="s">
        <v>15478</v>
      </c>
      <c r="D4609" t="s">
        <v>16206</v>
      </c>
      <c r="E4609" t="s">
        <v>16218</v>
      </c>
      <c r="F4609" t="s">
        <v>16221</v>
      </c>
      <c r="G4609" t="s">
        <v>16277</v>
      </c>
      <c r="H4609" t="s">
        <v>16277</v>
      </c>
      <c r="I4609" t="s">
        <v>16353</v>
      </c>
      <c r="J4609" t="s">
        <v>16386</v>
      </c>
      <c r="K4609">
        <v>0.173</v>
      </c>
      <c r="L4609">
        <v>7525</v>
      </c>
      <c r="M4609">
        <v>2045</v>
      </c>
      <c r="N4609" t="s">
        <v>16393</v>
      </c>
      <c r="O4609" s="4">
        <v>119856</v>
      </c>
      <c r="P4609" s="4">
        <v>45271</v>
      </c>
      <c r="Q4609" s="4">
        <v>165127</v>
      </c>
      <c r="R4609" s="4">
        <v>495381</v>
      </c>
      <c r="S4609" t="s">
        <v>20905</v>
      </c>
      <c r="T4609" s="6">
        <v>38808</v>
      </c>
      <c r="U4609" s="4">
        <v>372000</v>
      </c>
      <c r="V4609" t="s">
        <v>23739</v>
      </c>
      <c r="W4609" t="s">
        <v>26249</v>
      </c>
      <c r="X4609" t="s">
        <v>3</v>
      </c>
      <c r="AA4609" s="5" t="str">
        <f>HYPERLINK("https://www.zillow.com/homes/815-N-BRAINARD-ST-NAPERVILLE-IL-60563_rb/","check listing")</f>
        <v>check listing</v>
      </c>
      <c r="AB4609" s="5" t="str">
        <f>HYPERLINK("https://propertylookup.dupagecounty.gov/Datalets/Datalet.aspx?UseSearch=no&amp;mode=sales&amp;pin=0807315016","sales record")</f>
        <v>sales record</v>
      </c>
      <c r="AC4609" t="s">
        <v>3</v>
      </c>
      <c r="AD4609">
        <v>41.784565</v>
      </c>
      <c r="AE4609">
        <v>-88.143441</v>
      </c>
      <c r="AF4609" s="5" t="str">
        <f>HYPERLINK("https://www.google.com/maps/search/?api=1&amp;query=41.784565,-88.143441","map")</f>
        <v>map</v>
      </c>
    </row>
    <row r="4610" spans="1:32">
      <c r="A4610" t="s">
        <v>4660</v>
      </c>
      <c r="B4610" t="s">
        <v>12193</v>
      </c>
      <c r="C4610" t="s">
        <v>15475</v>
      </c>
      <c r="D4610" t="s">
        <v>16206</v>
      </c>
      <c r="E4610" t="s">
        <v>16218</v>
      </c>
      <c r="F4610" t="s">
        <v>16221</v>
      </c>
      <c r="G4610" t="s">
        <v>16277</v>
      </c>
      <c r="H4610" t="s">
        <v>16277</v>
      </c>
      <c r="I4610" t="s">
        <v>16353</v>
      </c>
      <c r="J4610" t="s">
        <v>16386</v>
      </c>
      <c r="K4610">
        <v>0.173</v>
      </c>
      <c r="L4610">
        <v>7525</v>
      </c>
      <c r="M4610">
        <v>3354</v>
      </c>
      <c r="N4610" t="s">
        <v>16393</v>
      </c>
      <c r="O4610" s="4">
        <v>131890</v>
      </c>
      <c r="P4610" s="4">
        <v>124244</v>
      </c>
      <c r="Q4610" s="4">
        <v>256134</v>
      </c>
      <c r="R4610" s="4">
        <v>768402</v>
      </c>
      <c r="S4610" t="s">
        <v>20740</v>
      </c>
      <c r="X4610" t="s">
        <v>3</v>
      </c>
      <c r="AA4610" s="5" t="str">
        <f>HYPERLINK("https://www.zillow.com/homes/126-S-ELLSWORTH-ST-NAPERVILLE-IL-60540_rb/","check listing")</f>
        <v>check listing</v>
      </c>
      <c r="AB4610" s="5" t="str">
        <f>HYPERLINK("https://propertylookup.dupagecounty.gov/Datalets/Datalet.aspx?UseSearch=no&amp;mode=sales&amp;pin=0818319005","sales record")</f>
        <v>sales record</v>
      </c>
      <c r="AC4610" t="s">
        <v>27873</v>
      </c>
      <c r="AD4610">
        <v>41.773335</v>
      </c>
      <c r="AE4610">
        <v>-88.14479900000001</v>
      </c>
      <c r="AF4610" s="5" t="str">
        <f>HYPERLINK("https://www.google.com/maps/search/?api=1&amp;query=41.773335,-88.144799","map")</f>
        <v>map</v>
      </c>
    </row>
    <row r="4611" spans="1:32">
      <c r="A4611" t="s">
        <v>4661</v>
      </c>
      <c r="B4611" t="s">
        <v>12194</v>
      </c>
      <c r="C4611" t="s">
        <v>15763</v>
      </c>
      <c r="D4611" t="s">
        <v>16206</v>
      </c>
      <c r="E4611" t="s">
        <v>16218</v>
      </c>
      <c r="F4611" t="s">
        <v>16221</v>
      </c>
      <c r="G4611" t="s">
        <v>16277</v>
      </c>
      <c r="H4611" t="s">
        <v>16277</v>
      </c>
      <c r="I4611" t="s">
        <v>16353</v>
      </c>
      <c r="J4611" t="s">
        <v>16386</v>
      </c>
      <c r="K4611">
        <v>0.173</v>
      </c>
      <c r="L4611">
        <v>7525</v>
      </c>
      <c r="M4611">
        <v>2637</v>
      </c>
      <c r="N4611" t="s">
        <v>16393</v>
      </c>
      <c r="O4611" s="4">
        <v>120723</v>
      </c>
      <c r="P4611" s="4">
        <v>207556</v>
      </c>
      <c r="Q4611" s="4">
        <v>328279</v>
      </c>
      <c r="R4611" s="4">
        <v>984837</v>
      </c>
      <c r="S4611" t="s">
        <v>20906</v>
      </c>
      <c r="T4611" s="6">
        <v>44378</v>
      </c>
      <c r="U4611" s="4">
        <v>871793</v>
      </c>
      <c r="V4611" t="s">
        <v>23739</v>
      </c>
      <c r="W4611" t="s">
        <v>26250</v>
      </c>
      <c r="X4611" t="s">
        <v>3</v>
      </c>
      <c r="AA4611" s="5" t="str">
        <f>HYPERLINK("https://www.zillow.com/homes/825-N-BRAINARD-ST-NAPERVILLE-IL-605633134_rb/","check listing")</f>
        <v>check listing</v>
      </c>
      <c r="AB4611" s="5" t="str">
        <f>HYPERLINK("https://propertylookup.dupagecounty.gov/Datalets/Datalet.aspx?UseSearch=no&amp;mode=sales&amp;pin=0807315014","sales record")</f>
        <v>sales record</v>
      </c>
      <c r="AC4611" t="s">
        <v>3</v>
      </c>
      <c r="AD4611">
        <v>41.784839</v>
      </c>
      <c r="AE4611">
        <v>-88.14341899999999</v>
      </c>
      <c r="AF4611" s="5" t="str">
        <f>HYPERLINK("https://www.google.com/maps/search/?api=1&amp;query=41.784839,-88.143419","map")</f>
        <v>map</v>
      </c>
    </row>
    <row r="4612" spans="1:32">
      <c r="A4612" t="s">
        <v>4662</v>
      </c>
      <c r="B4612" t="s">
        <v>12195</v>
      </c>
      <c r="C4612" t="s">
        <v>15763</v>
      </c>
      <c r="D4612" t="s">
        <v>16206</v>
      </c>
      <c r="E4612" t="s">
        <v>16218</v>
      </c>
      <c r="F4612" t="s">
        <v>16221</v>
      </c>
      <c r="G4612" t="s">
        <v>16277</v>
      </c>
      <c r="H4612" t="s">
        <v>16277</v>
      </c>
      <c r="I4612" t="s">
        <v>16353</v>
      </c>
      <c r="J4612" t="s">
        <v>16386</v>
      </c>
      <c r="K4612">
        <v>0.173</v>
      </c>
      <c r="L4612">
        <v>7525</v>
      </c>
      <c r="M4612">
        <v>3338</v>
      </c>
      <c r="N4612" t="s">
        <v>16393</v>
      </c>
      <c r="O4612" s="4">
        <v>119856</v>
      </c>
      <c r="P4612" s="4">
        <v>84573</v>
      </c>
      <c r="Q4612" s="4">
        <v>204429</v>
      </c>
      <c r="R4612" s="4">
        <v>613287</v>
      </c>
      <c r="S4612" t="s">
        <v>20907</v>
      </c>
      <c r="T4612" s="6">
        <v>43647</v>
      </c>
      <c r="U4612" s="4">
        <v>492000</v>
      </c>
      <c r="V4612" t="s">
        <v>23739</v>
      </c>
      <c r="W4612" t="s">
        <v>26251</v>
      </c>
      <c r="X4612" t="s">
        <v>3</v>
      </c>
      <c r="AA4612" s="5" t="str">
        <f>HYPERLINK("https://www.zillow.com/homes/839-N-BRAINARD-ST-NAPERVILLE-IL-605633134_rb/","check listing")</f>
        <v>check listing</v>
      </c>
      <c r="AB4612" s="5" t="str">
        <f>HYPERLINK("https://propertylookup.dupagecounty.gov/Datalets/Datalet.aspx?UseSearch=no&amp;mode=sales&amp;pin=0807315011","sales record")</f>
        <v>sales record</v>
      </c>
      <c r="AC4612" t="s">
        <v>27873</v>
      </c>
      <c r="AD4612">
        <v>41.78525</v>
      </c>
      <c r="AE4612">
        <v>-88.14338499999999</v>
      </c>
      <c r="AF4612" s="5" t="str">
        <f>HYPERLINK("https://www.google.com/maps/search/?api=1&amp;query=41.78525,-88.143385","map")</f>
        <v>map</v>
      </c>
    </row>
    <row r="4613" spans="1:32">
      <c r="A4613" t="s">
        <v>4663</v>
      </c>
      <c r="B4613" t="s">
        <v>12196</v>
      </c>
      <c r="C4613" t="s">
        <v>15478</v>
      </c>
      <c r="D4613" t="s">
        <v>16206</v>
      </c>
      <c r="E4613" t="s">
        <v>16218</v>
      </c>
      <c r="F4613" t="s">
        <v>16221</v>
      </c>
      <c r="G4613" t="s">
        <v>16277</v>
      </c>
      <c r="H4613" t="s">
        <v>16277</v>
      </c>
      <c r="I4613" t="s">
        <v>16353</v>
      </c>
      <c r="J4613" t="s">
        <v>16386</v>
      </c>
      <c r="K4613">
        <v>0.173</v>
      </c>
      <c r="L4613">
        <v>7524</v>
      </c>
      <c r="M4613">
        <v>2375</v>
      </c>
      <c r="N4613" t="s">
        <v>16393</v>
      </c>
      <c r="O4613" s="4">
        <v>119856</v>
      </c>
      <c r="P4613" s="4">
        <v>23569</v>
      </c>
      <c r="Q4613" s="4">
        <v>143425</v>
      </c>
      <c r="R4613" s="4">
        <v>430275</v>
      </c>
      <c r="S4613" t="s">
        <v>20908</v>
      </c>
      <c r="T4613" s="6">
        <v>40452</v>
      </c>
      <c r="U4613" s="4">
        <v>166256</v>
      </c>
      <c r="V4613" t="s">
        <v>16232</v>
      </c>
      <c r="W4613" t="s">
        <v>26252</v>
      </c>
      <c r="X4613" t="s">
        <v>3</v>
      </c>
      <c r="AA4613" s="5" t="str">
        <f>HYPERLINK("https://www.zillow.com/homes/805-N-BRAINARD-ST-NAPERVILLE-IL-60563_rb/","check listing")</f>
        <v>check listing</v>
      </c>
      <c r="AB4613" s="5" t="str">
        <f>HYPERLINK("https://propertylookup.dupagecounty.gov/Datalets/Datalet.aspx?UseSearch=no&amp;mode=sales&amp;pin=0818110003","sales record")</f>
        <v>sales record</v>
      </c>
      <c r="AC4613" t="s">
        <v>3</v>
      </c>
      <c r="AD4613">
        <v>41.784291</v>
      </c>
      <c r="AE4613">
        <v>-88.143463</v>
      </c>
      <c r="AF4613" s="5" t="str">
        <f>HYPERLINK("https://www.google.com/maps/search/?api=1&amp;query=41.784291,-88.143463","map")</f>
        <v>map</v>
      </c>
    </row>
    <row r="4614" spans="1:32">
      <c r="A4614" t="s">
        <v>4664</v>
      </c>
      <c r="B4614" t="s">
        <v>12197</v>
      </c>
      <c r="C4614" t="s">
        <v>15662</v>
      </c>
      <c r="D4614" t="s">
        <v>16206</v>
      </c>
      <c r="E4614" t="s">
        <v>16218</v>
      </c>
      <c r="F4614" t="s">
        <v>16221</v>
      </c>
      <c r="G4614" t="s">
        <v>16278</v>
      </c>
      <c r="H4614" t="s">
        <v>16277</v>
      </c>
      <c r="I4614" t="s">
        <v>16353</v>
      </c>
      <c r="J4614" t="s">
        <v>16386</v>
      </c>
      <c r="K4614">
        <v>0.173</v>
      </c>
      <c r="L4614">
        <v>7521</v>
      </c>
      <c r="N4614" t="s">
        <v>16393</v>
      </c>
      <c r="O4614" s="4">
        <v>56141</v>
      </c>
      <c r="P4614" s="4">
        <v>194461</v>
      </c>
      <c r="Q4614" s="4">
        <v>250602</v>
      </c>
      <c r="R4614" s="4">
        <v>751806</v>
      </c>
      <c r="S4614" t="s">
        <v>20909</v>
      </c>
      <c r="T4614" s="6">
        <v>45618</v>
      </c>
      <c r="U4614" s="4">
        <v>895939</v>
      </c>
      <c r="V4614" t="s">
        <v>16232</v>
      </c>
      <c r="W4614" t="s">
        <v>26253</v>
      </c>
      <c r="X4614" t="s">
        <v>3</v>
      </c>
      <c r="AA4614" s="5" t="str">
        <f>HYPERLINK("https://www.zillow.com/homes/2416-WEATHERBEE-LN-NAPERVILLE-IL-605631594_rb/","check listing")</f>
        <v>check listing</v>
      </c>
      <c r="AB4614" s="5" t="str">
        <f>HYPERLINK("https://propertylookup.dupagecounty.gov/Datalets/Datalet.aspx?UseSearch=no&amp;mode=sales&amp;pin=0532300099","sales record")</f>
        <v>sales record</v>
      </c>
      <c r="AC4614" t="s">
        <v>3</v>
      </c>
      <c r="AD4614">
        <v>41.817754</v>
      </c>
      <c r="AE4614">
        <v>-88.11827700000001</v>
      </c>
      <c r="AF4614" s="5" t="str">
        <f>HYPERLINK("https://www.google.com/maps/search/?api=1&amp;query=41.817754,-88.118277","map")</f>
        <v>map</v>
      </c>
    </row>
    <row r="4615" spans="1:32">
      <c r="A4615" t="s">
        <v>4665</v>
      </c>
      <c r="B4615" t="s">
        <v>12198</v>
      </c>
      <c r="C4615" t="s">
        <v>15475</v>
      </c>
      <c r="D4615" t="s">
        <v>16206</v>
      </c>
      <c r="E4615" t="s">
        <v>16218</v>
      </c>
      <c r="F4615" t="s">
        <v>16221</v>
      </c>
      <c r="G4615" t="s">
        <v>16277</v>
      </c>
      <c r="H4615" t="s">
        <v>16277</v>
      </c>
      <c r="I4615" t="s">
        <v>16353</v>
      </c>
      <c r="J4615" t="s">
        <v>16386</v>
      </c>
      <c r="K4615">
        <v>0.172</v>
      </c>
      <c r="L4615">
        <v>7507</v>
      </c>
      <c r="M4615">
        <v>2235</v>
      </c>
      <c r="N4615" t="s">
        <v>16393</v>
      </c>
      <c r="O4615" s="4">
        <v>131926</v>
      </c>
      <c r="P4615" s="4">
        <v>135969</v>
      </c>
      <c r="Q4615" s="4">
        <v>267895</v>
      </c>
      <c r="R4615" s="4">
        <v>803685</v>
      </c>
      <c r="S4615" t="s">
        <v>20910</v>
      </c>
      <c r="T4615" s="6">
        <v>35704</v>
      </c>
      <c r="U4615" s="4">
        <v>355000</v>
      </c>
      <c r="X4615" t="s">
        <v>3</v>
      </c>
      <c r="AA4615" s="5" t="str">
        <f>HYPERLINK("https://www.zillow.com/homes/129-S-SLEIGHT-ST-NAPERVILLE-IL-60540_rb/","check listing")</f>
        <v>check listing</v>
      </c>
      <c r="AB4615" s="5" t="str">
        <f>HYPERLINK("https://propertylookup.dupagecounty.gov/Datalets/Datalet.aspx?UseSearch=no&amp;mode=sales&amp;pin=0818321014","sales record")</f>
        <v>sales record</v>
      </c>
      <c r="AC4615" t="s">
        <v>3</v>
      </c>
      <c r="AD4615">
        <v>41.773086</v>
      </c>
      <c r="AE4615">
        <v>-88.14136999999999</v>
      </c>
      <c r="AF4615" s="5" t="str">
        <f>HYPERLINK("https://www.google.com/maps/search/?api=1&amp;query=41.773086,-88.14137","map")</f>
        <v>map</v>
      </c>
    </row>
    <row r="4616" spans="1:32">
      <c r="A4616" t="s">
        <v>4666</v>
      </c>
      <c r="B4616" t="s">
        <v>12199</v>
      </c>
      <c r="C4616" t="s">
        <v>15475</v>
      </c>
      <c r="D4616" t="s">
        <v>16206</v>
      </c>
      <c r="E4616" t="s">
        <v>16218</v>
      </c>
      <c r="F4616" t="s">
        <v>16221</v>
      </c>
      <c r="G4616" t="s">
        <v>16277</v>
      </c>
      <c r="H4616" t="s">
        <v>16277</v>
      </c>
      <c r="I4616" t="s">
        <v>16353</v>
      </c>
      <c r="J4616" t="s">
        <v>16386</v>
      </c>
      <c r="K4616">
        <v>0.172</v>
      </c>
      <c r="L4616">
        <v>7504</v>
      </c>
      <c r="M4616">
        <v>2199</v>
      </c>
      <c r="N4616" t="s">
        <v>16393</v>
      </c>
      <c r="O4616" s="4">
        <v>131890</v>
      </c>
      <c r="P4616" s="4">
        <v>97987</v>
      </c>
      <c r="Q4616" s="4">
        <v>229877</v>
      </c>
      <c r="R4616" s="4">
        <v>689631</v>
      </c>
      <c r="S4616" t="s">
        <v>20911</v>
      </c>
      <c r="X4616" t="s">
        <v>3</v>
      </c>
      <c r="AA4616" s="5" t="str">
        <f>HYPERLINK("https://www.zillow.com/homes/120-S-ELLSWORTH-ST-NAPERVILLE-IL-60540_rb/","check listing")</f>
        <v>check listing</v>
      </c>
      <c r="AB4616" s="5" t="str">
        <f>HYPERLINK("https://propertylookup.dupagecounty.gov/Datalets/Datalet.aspx?UseSearch=no&amp;mode=sales&amp;pin=0818319004","sales record")</f>
        <v>sales record</v>
      </c>
      <c r="AC4616" t="s">
        <v>27873</v>
      </c>
      <c r="AD4616">
        <v>41.773473</v>
      </c>
      <c r="AE4616">
        <v>-88.14479</v>
      </c>
      <c r="AF4616" s="5" t="str">
        <f>HYPERLINK("https://www.google.com/maps/search/?api=1&amp;query=41.773473,-88.14479","map")</f>
        <v>map</v>
      </c>
    </row>
    <row r="4617" spans="1:32">
      <c r="A4617" t="s">
        <v>4667</v>
      </c>
      <c r="B4617" t="s">
        <v>12200</v>
      </c>
      <c r="C4617" t="s">
        <v>15478</v>
      </c>
      <c r="D4617" t="s">
        <v>16206</v>
      </c>
      <c r="E4617" t="s">
        <v>16218</v>
      </c>
      <c r="F4617" t="s">
        <v>16221</v>
      </c>
      <c r="G4617" t="s">
        <v>16278</v>
      </c>
      <c r="H4617" t="s">
        <v>16277</v>
      </c>
      <c r="I4617" t="s">
        <v>16353</v>
      </c>
      <c r="J4617" t="s">
        <v>16386</v>
      </c>
      <c r="K4617">
        <v>0.172</v>
      </c>
      <c r="L4617">
        <v>7499</v>
      </c>
      <c r="N4617" t="s">
        <v>16393</v>
      </c>
      <c r="O4617" s="4">
        <v>58341</v>
      </c>
      <c r="P4617" s="4">
        <v>167796</v>
      </c>
      <c r="Q4617" s="4">
        <v>226137</v>
      </c>
      <c r="R4617" s="4">
        <v>678411</v>
      </c>
      <c r="S4617" t="s">
        <v>20912</v>
      </c>
      <c r="T4617" s="6">
        <v>42705</v>
      </c>
      <c r="U4617" s="4">
        <v>480938</v>
      </c>
      <c r="V4617" t="s">
        <v>16232</v>
      </c>
      <c r="W4617" t="s">
        <v>20912</v>
      </c>
      <c r="X4617" t="s">
        <v>3</v>
      </c>
      <c r="AA4617" s="5" t="str">
        <f>HYPERLINK("https://www.zillow.com/homes/2504-BALSAM-COVE-RD-NAPERVILLE-IL-60563_rb/","check listing")</f>
        <v>check listing</v>
      </c>
      <c r="AB4617" s="5" t="str">
        <f>HYPERLINK("https://propertylookup.dupagecounty.gov/Datalets/Datalet.aspx?UseSearch=no&amp;mode=sales&amp;pin=0709109015","sales record")</f>
        <v>sales record</v>
      </c>
      <c r="AC4617" t="s">
        <v>3</v>
      </c>
      <c r="AD4617">
        <v>41.796353</v>
      </c>
      <c r="AE4617">
        <v>-88.22220900000001</v>
      </c>
      <c r="AF4617" s="5" t="str">
        <f>HYPERLINK("https://www.google.com/maps/search/?api=1&amp;query=41.796353,-88.222209","map")</f>
        <v>map</v>
      </c>
    </row>
    <row r="4618" spans="1:32">
      <c r="A4618" t="s">
        <v>4668</v>
      </c>
      <c r="B4618" t="s">
        <v>12201</v>
      </c>
      <c r="C4618" t="s">
        <v>15475</v>
      </c>
      <c r="D4618" t="s">
        <v>16206</v>
      </c>
      <c r="E4618" t="s">
        <v>16218</v>
      </c>
      <c r="F4618" t="s">
        <v>16221</v>
      </c>
      <c r="G4618" t="s">
        <v>16277</v>
      </c>
      <c r="H4618" t="s">
        <v>16277</v>
      </c>
      <c r="I4618" t="s">
        <v>16353</v>
      </c>
      <c r="J4618" t="s">
        <v>16386</v>
      </c>
      <c r="K4618">
        <v>0.172</v>
      </c>
      <c r="L4618">
        <v>7497</v>
      </c>
      <c r="M4618">
        <v>1332</v>
      </c>
      <c r="N4618" t="s">
        <v>16393</v>
      </c>
      <c r="O4618" s="4">
        <v>119856</v>
      </c>
      <c r="P4618" s="4">
        <v>44915</v>
      </c>
      <c r="Q4618" s="4">
        <v>164771</v>
      </c>
      <c r="R4618" s="4">
        <v>494313</v>
      </c>
      <c r="S4618" t="s">
        <v>20913</v>
      </c>
      <c r="T4618" s="6">
        <v>33390</v>
      </c>
      <c r="U4618" s="4">
        <v>130000</v>
      </c>
      <c r="X4618" t="s">
        <v>3</v>
      </c>
      <c r="AA4618" s="5" t="str">
        <f>HYPERLINK("https://www.zillow.com/homes/225-N-JULIAN-ST-NAPERVILLE-IL-60540_rb/","check listing")</f>
        <v>check listing</v>
      </c>
      <c r="AB4618" s="5" t="str">
        <f>HYPERLINK("https://propertylookup.dupagecounty.gov/Datalets/Datalet.aspx?UseSearch=no&amp;mode=sales&amp;pin=0818209005","sales record")</f>
        <v>sales record</v>
      </c>
      <c r="AC4618" t="s">
        <v>3</v>
      </c>
      <c r="AD4618">
        <v>41.77798</v>
      </c>
      <c r="AE4618">
        <v>-88.13691799999999</v>
      </c>
      <c r="AF4618" s="5" t="str">
        <f>HYPERLINK("https://www.google.com/maps/search/?api=1&amp;query=41.77798,-88.136918","map")</f>
        <v>map</v>
      </c>
    </row>
    <row r="4619" spans="1:32">
      <c r="A4619" t="s">
        <v>4669</v>
      </c>
      <c r="B4619" t="s">
        <v>12202</v>
      </c>
      <c r="C4619" t="s">
        <v>15742</v>
      </c>
      <c r="D4619" t="s">
        <v>16206</v>
      </c>
      <c r="E4619" t="s">
        <v>16218</v>
      </c>
      <c r="F4619" t="s">
        <v>16221</v>
      </c>
      <c r="G4619" t="s">
        <v>16277</v>
      </c>
      <c r="H4619" t="s">
        <v>16277</v>
      </c>
      <c r="I4619" t="s">
        <v>16353</v>
      </c>
      <c r="J4619" t="s">
        <v>16386</v>
      </c>
      <c r="K4619">
        <v>0.172</v>
      </c>
      <c r="L4619">
        <v>7496</v>
      </c>
      <c r="M4619">
        <v>3102</v>
      </c>
      <c r="N4619" t="s">
        <v>16393</v>
      </c>
      <c r="O4619" s="4">
        <v>86333</v>
      </c>
      <c r="P4619" s="4">
        <v>363539</v>
      </c>
      <c r="Q4619" s="4">
        <v>449872</v>
      </c>
      <c r="R4619" s="4">
        <v>1349616</v>
      </c>
      <c r="S4619" t="s">
        <v>20914</v>
      </c>
      <c r="T4619" s="6">
        <v>44348</v>
      </c>
      <c r="U4619" s="4">
        <v>1050000</v>
      </c>
      <c r="V4619" t="s">
        <v>23739</v>
      </c>
      <c r="W4619" t="s">
        <v>20914</v>
      </c>
      <c r="X4619" t="s">
        <v>3</v>
      </c>
      <c r="AA4619" s="5" t="str">
        <f>HYPERLINK("https://www.zillow.com/homes/33-S-HUFFMAN-ST-NAPERVILLE-IL-605404924_rb/","check listing")</f>
        <v>check listing</v>
      </c>
      <c r="AB4619" s="5" t="str">
        <f>HYPERLINK("https://propertylookup.dupagecounty.gov/Datalets/Datalet.aspx?UseSearch=no&amp;mode=sales&amp;pin=0818411017","sales record")</f>
        <v>sales record</v>
      </c>
      <c r="AC4619" t="s">
        <v>3</v>
      </c>
      <c r="AD4619">
        <v>41.773925</v>
      </c>
      <c r="AE4619">
        <v>-88.135835</v>
      </c>
      <c r="AF4619" s="5" t="str">
        <f>HYPERLINK("https://www.google.com/maps/search/?api=1&amp;query=41.773925,-88.135835","map")</f>
        <v>map</v>
      </c>
    </row>
    <row r="4620" spans="1:32">
      <c r="A4620" t="s">
        <v>4670</v>
      </c>
      <c r="B4620" t="s">
        <v>12203</v>
      </c>
      <c r="C4620" t="s">
        <v>15478</v>
      </c>
      <c r="D4620" t="s">
        <v>16206</v>
      </c>
      <c r="E4620" t="s">
        <v>16218</v>
      </c>
      <c r="F4620" t="s">
        <v>16221</v>
      </c>
      <c r="G4620" t="s">
        <v>16278</v>
      </c>
      <c r="H4620" t="s">
        <v>16277</v>
      </c>
      <c r="I4620" t="s">
        <v>16353</v>
      </c>
      <c r="J4620" t="s">
        <v>16386</v>
      </c>
      <c r="K4620">
        <v>0.172</v>
      </c>
      <c r="L4620">
        <v>7491</v>
      </c>
      <c r="N4620" t="s">
        <v>16393</v>
      </c>
      <c r="O4620" s="4">
        <v>61416</v>
      </c>
      <c r="P4620" s="4">
        <v>149525</v>
      </c>
      <c r="Q4620" s="4">
        <v>210941</v>
      </c>
      <c r="R4620" s="4">
        <v>632823</v>
      </c>
      <c r="S4620" t="s">
        <v>20915</v>
      </c>
      <c r="T4620" s="6">
        <v>42736</v>
      </c>
      <c r="U4620" s="4">
        <v>477479</v>
      </c>
      <c r="V4620" t="s">
        <v>16232</v>
      </c>
      <c r="W4620" t="s">
        <v>26254</v>
      </c>
      <c r="X4620" t="s">
        <v>3</v>
      </c>
      <c r="AA4620" s="5" t="str">
        <f>HYPERLINK("https://www.zillow.com/homes/2511-BALSAM-COVE-RD-NAPERVILLE-IL-60563_rb/","check listing")</f>
        <v>check listing</v>
      </c>
      <c r="AB4620" s="5" t="str">
        <f>HYPERLINK("https://propertylookup.dupagecounty.gov/Datalets/Datalet.aspx?UseSearch=no&amp;mode=sales&amp;pin=0709107023","sales record")</f>
        <v>sales record</v>
      </c>
      <c r="AC4620" t="s">
        <v>3</v>
      </c>
      <c r="AD4620">
        <v>41.796918</v>
      </c>
      <c r="AE4620">
        <v>-88.222633</v>
      </c>
      <c r="AF4620" s="5" t="str">
        <f>HYPERLINK("https://www.google.com/maps/search/?api=1&amp;query=41.796918,-88.222633","map")</f>
        <v>map</v>
      </c>
    </row>
    <row r="4621" spans="1:32">
      <c r="A4621" t="s">
        <v>4671</v>
      </c>
      <c r="B4621" t="s">
        <v>12204</v>
      </c>
      <c r="C4621" t="s">
        <v>15475</v>
      </c>
      <c r="D4621" t="s">
        <v>16206</v>
      </c>
      <c r="E4621" t="s">
        <v>16218</v>
      </c>
      <c r="F4621" t="s">
        <v>16221</v>
      </c>
      <c r="G4621" t="s">
        <v>16277</v>
      </c>
      <c r="H4621" t="s">
        <v>16277</v>
      </c>
      <c r="I4621" t="s">
        <v>16353</v>
      </c>
      <c r="J4621" t="s">
        <v>16386</v>
      </c>
      <c r="K4621">
        <v>0.172</v>
      </c>
      <c r="L4621">
        <v>7490</v>
      </c>
      <c r="M4621">
        <v>4589</v>
      </c>
      <c r="N4621" t="s">
        <v>16393</v>
      </c>
      <c r="O4621" s="4">
        <v>120723</v>
      </c>
      <c r="P4621" s="4">
        <v>233808</v>
      </c>
      <c r="Q4621" s="4">
        <v>354531</v>
      </c>
      <c r="R4621" s="4">
        <v>1063593</v>
      </c>
      <c r="S4621" t="s">
        <v>20916</v>
      </c>
      <c r="T4621" s="6">
        <v>45247</v>
      </c>
      <c r="U4621" s="4">
        <v>980000</v>
      </c>
      <c r="V4621" t="s">
        <v>23741</v>
      </c>
      <c r="W4621" t="s">
        <v>26255</v>
      </c>
      <c r="X4621" t="s">
        <v>3</v>
      </c>
      <c r="AA4621" s="5" t="str">
        <f>HYPERLINK("https://www.zillow.com/homes/30-S-JULIAN-ST-NAPERVILLE-IL-60540_rb/","check listing")</f>
        <v>check listing</v>
      </c>
      <c r="AB4621" s="5" t="str">
        <f>HYPERLINK("https://propertylookup.dupagecounty.gov/Datalets/Datalet.aspx?UseSearch=no&amp;mode=sales&amp;pin=0818411006","sales record")</f>
        <v>sales record</v>
      </c>
      <c r="AC4621" t="s">
        <v>3</v>
      </c>
      <c r="AD4621">
        <v>41.773947</v>
      </c>
      <c r="AE4621">
        <v>-88.13638400000001</v>
      </c>
      <c r="AF4621" s="5" t="str">
        <f>HYPERLINK("https://www.google.com/maps/search/?api=1&amp;query=41.773947,-88.136384","map")</f>
        <v>map</v>
      </c>
    </row>
    <row r="4622" spans="1:32">
      <c r="A4622" t="s">
        <v>4672</v>
      </c>
      <c r="B4622" t="s">
        <v>12205</v>
      </c>
      <c r="C4622" t="s">
        <v>15742</v>
      </c>
      <c r="D4622" t="s">
        <v>16206</v>
      </c>
      <c r="E4622" t="s">
        <v>16218</v>
      </c>
      <c r="F4622" t="s">
        <v>16221</v>
      </c>
      <c r="G4622" t="s">
        <v>16277</v>
      </c>
      <c r="H4622" t="s">
        <v>16277</v>
      </c>
      <c r="I4622" t="s">
        <v>16353</v>
      </c>
      <c r="J4622" t="s">
        <v>16386</v>
      </c>
      <c r="K4622">
        <v>0.172</v>
      </c>
      <c r="L4622">
        <v>7488</v>
      </c>
      <c r="M4622">
        <v>1913</v>
      </c>
      <c r="N4622" t="s">
        <v>16393</v>
      </c>
      <c r="O4622" s="4">
        <v>85953</v>
      </c>
      <c r="P4622" s="4">
        <v>61622</v>
      </c>
      <c r="Q4622" s="4">
        <v>147575</v>
      </c>
      <c r="R4622" s="4">
        <v>442725</v>
      </c>
      <c r="S4622" t="s">
        <v>20917</v>
      </c>
      <c r="T4622" s="6">
        <v>42339</v>
      </c>
      <c r="U4622" s="4">
        <v>321762</v>
      </c>
      <c r="V4622" t="s">
        <v>23739</v>
      </c>
      <c r="W4622" t="s">
        <v>26256</v>
      </c>
      <c r="X4622" t="s">
        <v>3</v>
      </c>
      <c r="AA4622" s="5" t="str">
        <f>HYPERLINK("https://www.zillow.com/homes/23-S-HUFFMAN-ST-NAPERVILLE-IL-605404924_rb/","check listing")</f>
        <v>check listing</v>
      </c>
      <c r="AB4622" s="5" t="str">
        <f>HYPERLINK("https://propertylookup.dupagecounty.gov/Datalets/Datalet.aspx?UseSearch=no&amp;mode=sales&amp;pin=0818411016","sales record")</f>
        <v>sales record</v>
      </c>
      <c r="AC4622" t="s">
        <v>3</v>
      </c>
      <c r="AD4622">
        <v>41.774062</v>
      </c>
      <c r="AE4622">
        <v>-88.135828</v>
      </c>
      <c r="AF4622" s="5" t="str">
        <f>HYPERLINK("https://www.google.com/maps/search/?api=1&amp;query=41.774062,-88.135828","map")</f>
        <v>map</v>
      </c>
    </row>
    <row r="4623" spans="1:32">
      <c r="A4623" t="s">
        <v>4673</v>
      </c>
      <c r="B4623" t="s">
        <v>12206</v>
      </c>
      <c r="C4623" t="s">
        <v>15475</v>
      </c>
      <c r="D4623" t="s">
        <v>16206</v>
      </c>
      <c r="E4623" t="s">
        <v>16218</v>
      </c>
      <c r="F4623" t="s">
        <v>16221</v>
      </c>
      <c r="G4623" t="s">
        <v>16277</v>
      </c>
      <c r="H4623" t="s">
        <v>16277</v>
      </c>
      <c r="I4623" t="s">
        <v>16353</v>
      </c>
      <c r="J4623" t="s">
        <v>16386</v>
      </c>
      <c r="K4623">
        <v>0.172</v>
      </c>
      <c r="L4623">
        <v>7484</v>
      </c>
      <c r="M4623">
        <v>3107</v>
      </c>
      <c r="N4623" t="s">
        <v>16393</v>
      </c>
      <c r="O4623" s="4">
        <v>120723</v>
      </c>
      <c r="P4623" s="4">
        <v>398287</v>
      </c>
      <c r="Q4623" s="4">
        <v>519010</v>
      </c>
      <c r="R4623" s="4">
        <v>1557030</v>
      </c>
      <c r="S4623" t="s">
        <v>20918</v>
      </c>
      <c r="T4623" s="6">
        <v>42522</v>
      </c>
      <c r="U4623" s="4">
        <v>950000</v>
      </c>
      <c r="V4623" t="s">
        <v>23739</v>
      </c>
      <c r="W4623" t="s">
        <v>20918</v>
      </c>
      <c r="X4623" t="s">
        <v>3</v>
      </c>
      <c r="AA4623" s="5" t="str">
        <f>HYPERLINK("https://www.zillow.com/homes/24-S-JULIAN-ST-NAPERVILLE-IL-60540_rb/","check listing")</f>
        <v>check listing</v>
      </c>
      <c r="AB4623" s="5" t="str">
        <f>HYPERLINK("https://propertylookup.dupagecounty.gov/Datalets/Datalet.aspx?UseSearch=no&amp;mode=sales&amp;pin=0818411005","sales record")</f>
        <v>sales record</v>
      </c>
      <c r="AC4623" t="s">
        <v>3</v>
      </c>
      <c r="AD4623">
        <v>41.774084</v>
      </c>
      <c r="AE4623">
        <v>-88.136376</v>
      </c>
      <c r="AF4623" s="5" t="str">
        <f>HYPERLINK("https://www.google.com/maps/search/?api=1&amp;query=41.774084,-88.136376","map")</f>
        <v>map</v>
      </c>
    </row>
    <row r="4624" spans="1:32">
      <c r="A4624" t="s">
        <v>4674</v>
      </c>
      <c r="B4624" t="s">
        <v>12207</v>
      </c>
      <c r="C4624" t="s">
        <v>15475</v>
      </c>
      <c r="D4624" t="s">
        <v>16206</v>
      </c>
      <c r="E4624" t="s">
        <v>16218</v>
      </c>
      <c r="F4624" t="s">
        <v>16221</v>
      </c>
      <c r="G4624" t="s">
        <v>16277</v>
      </c>
      <c r="H4624" t="s">
        <v>16277</v>
      </c>
      <c r="I4624" t="s">
        <v>16353</v>
      </c>
      <c r="J4624" t="s">
        <v>16386</v>
      </c>
      <c r="K4624">
        <v>0.172</v>
      </c>
      <c r="L4624">
        <v>7483</v>
      </c>
      <c r="M4624">
        <v>2458</v>
      </c>
      <c r="N4624" t="s">
        <v>16393</v>
      </c>
      <c r="O4624" s="4">
        <v>131890</v>
      </c>
      <c r="P4624" s="4">
        <v>148169</v>
      </c>
      <c r="Q4624" s="4">
        <v>280059</v>
      </c>
      <c r="R4624" s="4">
        <v>840177</v>
      </c>
      <c r="S4624" t="s">
        <v>20919</v>
      </c>
      <c r="T4624" s="6">
        <v>32629</v>
      </c>
      <c r="U4624" s="4">
        <v>171000</v>
      </c>
      <c r="X4624" t="s">
        <v>3</v>
      </c>
      <c r="AA4624" s="5" t="str">
        <f>HYPERLINK("https://www.zillow.com/homes/114-N-CENTER-ST-NAPERVILLE-IL-60540_rb/","check listing")</f>
        <v>check listing</v>
      </c>
      <c r="AB4624" s="5" t="str">
        <f>HYPERLINK("https://propertylookup.dupagecounty.gov/Datalets/Datalet.aspx?UseSearch=no&amp;mode=sales&amp;pin=0818301005","sales record")</f>
        <v>sales record</v>
      </c>
      <c r="AC4624" t="s">
        <v>3</v>
      </c>
      <c r="AD4624">
        <v>41.776349</v>
      </c>
      <c r="AE4624">
        <v>-88.145937</v>
      </c>
      <c r="AF4624" s="5" t="str">
        <f>HYPERLINK("https://www.google.com/maps/search/?api=1&amp;query=41.776349,-88.145937","map")</f>
        <v>map</v>
      </c>
    </row>
    <row r="4625" spans="1:32">
      <c r="A4625" t="s">
        <v>4675</v>
      </c>
      <c r="B4625" t="s">
        <v>12208</v>
      </c>
      <c r="C4625" t="s">
        <v>15475</v>
      </c>
      <c r="D4625" t="s">
        <v>16206</v>
      </c>
      <c r="E4625" t="s">
        <v>16218</v>
      </c>
      <c r="F4625" t="s">
        <v>16221</v>
      </c>
      <c r="G4625" t="s">
        <v>16277</v>
      </c>
      <c r="H4625" t="s">
        <v>16277</v>
      </c>
      <c r="I4625" t="s">
        <v>16353</v>
      </c>
      <c r="J4625" t="s">
        <v>16386</v>
      </c>
      <c r="K4625">
        <v>0.172</v>
      </c>
      <c r="L4625">
        <v>7482</v>
      </c>
      <c r="M4625">
        <v>2798</v>
      </c>
      <c r="N4625" t="s">
        <v>16393</v>
      </c>
      <c r="O4625" s="4">
        <v>131890</v>
      </c>
      <c r="P4625" s="4">
        <v>122412</v>
      </c>
      <c r="Q4625" s="4">
        <v>254302</v>
      </c>
      <c r="R4625" s="4">
        <v>762906</v>
      </c>
      <c r="S4625" t="s">
        <v>20920</v>
      </c>
      <c r="T4625" s="6">
        <v>31079</v>
      </c>
      <c r="U4625" s="4">
        <v>125000</v>
      </c>
      <c r="X4625" t="s">
        <v>3</v>
      </c>
      <c r="AA4625" s="5" t="str">
        <f>HYPERLINK("https://www.zillow.com/homes/146-N-COLUMBIA-ST-NAPERVILLE-IL-60540_rb/","check listing")</f>
        <v>check listing</v>
      </c>
      <c r="AB4625" s="5" t="str">
        <f>HYPERLINK("https://propertylookup.dupagecounty.gov/Datalets/Datalet.aspx?UseSearch=no&amp;mode=sales&amp;pin=0818400003","sales record")</f>
        <v>sales record</v>
      </c>
      <c r="AC4625" t="s">
        <v>27873</v>
      </c>
      <c r="AD4625">
        <v>41.776994</v>
      </c>
      <c r="AE4625">
        <v>-88.137575</v>
      </c>
      <c r="AF4625" s="5" t="str">
        <f>HYPERLINK("https://www.google.com/maps/search/?api=1&amp;query=41.776994,-88.137575","map")</f>
        <v>map</v>
      </c>
    </row>
    <row r="4626" spans="1:32">
      <c r="A4626" t="s">
        <v>4676</v>
      </c>
      <c r="B4626" t="s">
        <v>12209</v>
      </c>
      <c r="C4626" t="s">
        <v>15475</v>
      </c>
      <c r="D4626" t="s">
        <v>16206</v>
      </c>
      <c r="E4626" t="s">
        <v>16218</v>
      </c>
      <c r="F4626" t="s">
        <v>16221</v>
      </c>
      <c r="G4626" t="s">
        <v>16277</v>
      </c>
      <c r="H4626" t="s">
        <v>16277</v>
      </c>
      <c r="I4626" t="s">
        <v>16353</v>
      </c>
      <c r="J4626" t="s">
        <v>16386</v>
      </c>
      <c r="K4626">
        <v>0.172</v>
      </c>
      <c r="L4626">
        <v>7481</v>
      </c>
      <c r="M4626">
        <v>1628</v>
      </c>
      <c r="N4626" t="s">
        <v>16393</v>
      </c>
      <c r="O4626" s="4">
        <v>85953</v>
      </c>
      <c r="P4626" s="4">
        <v>89152</v>
      </c>
      <c r="Q4626" s="4">
        <v>175105</v>
      </c>
      <c r="R4626" s="4">
        <v>525315</v>
      </c>
      <c r="S4626" t="s">
        <v>20921</v>
      </c>
      <c r="T4626" s="6">
        <v>38869</v>
      </c>
      <c r="U4626" s="4">
        <v>390000</v>
      </c>
      <c r="V4626" t="s">
        <v>23739</v>
      </c>
      <c r="W4626" t="s">
        <v>26257</v>
      </c>
      <c r="X4626" t="s">
        <v>3</v>
      </c>
      <c r="AA4626" s="5" t="str">
        <f>HYPERLINK("https://www.zillow.com/homes/19-S-HUFFMAN-ST-NAPERVILLE-IL-60540_rb/","check listing")</f>
        <v>check listing</v>
      </c>
      <c r="AB4626" s="5" t="str">
        <f>HYPERLINK("https://propertylookup.dupagecounty.gov/Datalets/Datalet.aspx?UseSearch=no&amp;mode=sales&amp;pin=0818411015","sales record")</f>
        <v>sales record</v>
      </c>
      <c r="AC4626" t="s">
        <v>3</v>
      </c>
      <c r="AD4626">
        <v>41.774199</v>
      </c>
      <c r="AE4626">
        <v>-88.13582100000001</v>
      </c>
      <c r="AF4626" s="5" t="str">
        <f>HYPERLINK("https://www.google.com/maps/search/?api=1&amp;query=41.774199,-88.135821","map")</f>
        <v>map</v>
      </c>
    </row>
    <row r="4627" spans="1:32">
      <c r="A4627" t="s">
        <v>4677</v>
      </c>
      <c r="B4627" t="s">
        <v>12210</v>
      </c>
      <c r="C4627" t="s">
        <v>15662</v>
      </c>
      <c r="D4627" t="s">
        <v>16206</v>
      </c>
      <c r="E4627" t="s">
        <v>16218</v>
      </c>
      <c r="F4627" t="s">
        <v>16221</v>
      </c>
      <c r="G4627" t="s">
        <v>16278</v>
      </c>
      <c r="H4627" t="s">
        <v>16277</v>
      </c>
      <c r="I4627" t="s">
        <v>16353</v>
      </c>
      <c r="J4627" t="s">
        <v>16386</v>
      </c>
      <c r="K4627">
        <v>0.172</v>
      </c>
      <c r="L4627">
        <v>7480</v>
      </c>
      <c r="N4627" t="s">
        <v>16393</v>
      </c>
      <c r="O4627" s="4">
        <v>56146</v>
      </c>
      <c r="P4627" s="4">
        <v>233607</v>
      </c>
      <c r="Q4627" s="4">
        <v>289753</v>
      </c>
      <c r="R4627" s="4">
        <v>869259</v>
      </c>
      <c r="S4627" t="s">
        <v>20922</v>
      </c>
      <c r="T4627" s="6">
        <v>45530</v>
      </c>
      <c r="U4627" s="4">
        <v>893672</v>
      </c>
      <c r="V4627" t="s">
        <v>16232</v>
      </c>
      <c r="W4627" t="s">
        <v>26258</v>
      </c>
      <c r="X4627" t="s">
        <v>3</v>
      </c>
      <c r="AA4627" s="5" t="str">
        <f>HYPERLINK("https://www.zillow.com/homes/2412-HATTIE-ST-NAPERVILLE-IL-605631594_rb/","check listing")</f>
        <v>check listing</v>
      </c>
      <c r="AB4627" s="5" t="str">
        <f>HYPERLINK("https://propertylookup.dupagecounty.gov/Datalets/Datalet.aspx?UseSearch=no&amp;mode=sales&amp;pin=0532304010","sales record")</f>
        <v>sales record</v>
      </c>
      <c r="AC4627" t="s">
        <v>3</v>
      </c>
      <c r="AD4627">
        <v>41.817928</v>
      </c>
      <c r="AE4627">
        <v>-88.12047</v>
      </c>
      <c r="AF4627" s="5" t="str">
        <f>HYPERLINK("https://www.google.com/maps/search/?api=1&amp;query=41.817928,-88.12047","map")</f>
        <v>map</v>
      </c>
    </row>
    <row r="4628" spans="1:32">
      <c r="A4628" t="s">
        <v>4678</v>
      </c>
      <c r="B4628" t="s">
        <v>12211</v>
      </c>
      <c r="C4628" t="s">
        <v>15475</v>
      </c>
      <c r="D4628" t="s">
        <v>16206</v>
      </c>
      <c r="E4628" t="s">
        <v>16218</v>
      </c>
      <c r="F4628" t="s">
        <v>16221</v>
      </c>
      <c r="G4628" t="s">
        <v>16277</v>
      </c>
      <c r="H4628" t="s">
        <v>16277</v>
      </c>
      <c r="I4628" t="s">
        <v>16353</v>
      </c>
      <c r="J4628" t="s">
        <v>16386</v>
      </c>
      <c r="K4628">
        <v>0.172</v>
      </c>
      <c r="L4628">
        <v>7478</v>
      </c>
      <c r="M4628">
        <v>2270</v>
      </c>
      <c r="N4628" t="s">
        <v>16393</v>
      </c>
      <c r="O4628" s="4">
        <v>119856</v>
      </c>
      <c r="P4628" s="4">
        <v>84716</v>
      </c>
      <c r="Q4628" s="4">
        <v>204572</v>
      </c>
      <c r="R4628" s="4">
        <v>613716</v>
      </c>
      <c r="S4628" t="s">
        <v>20923</v>
      </c>
      <c r="T4628" s="6">
        <v>37773</v>
      </c>
      <c r="U4628" s="4">
        <v>350000</v>
      </c>
      <c r="V4628" t="s">
        <v>23739</v>
      </c>
      <c r="W4628" t="s">
        <v>26259</v>
      </c>
      <c r="X4628" t="s">
        <v>3</v>
      </c>
      <c r="AA4628" s="5" t="str">
        <f>HYPERLINK("https://www.zillow.com/homes/20-S-JULIAN-ST-NAPERVILLE-IL-60540_rb/","check listing")</f>
        <v>check listing</v>
      </c>
      <c r="AB4628" s="5" t="str">
        <f>HYPERLINK("https://propertylookup.dupagecounty.gov/Datalets/Datalet.aspx?UseSearch=no&amp;mode=sales&amp;pin=0818411004","sales record")</f>
        <v>sales record</v>
      </c>
      <c r="AC4628" t="s">
        <v>3</v>
      </c>
      <c r="AD4628">
        <v>41.774221</v>
      </c>
      <c r="AE4628">
        <v>-88.136369</v>
      </c>
      <c r="AF4628" s="5" t="str">
        <f>HYPERLINK("https://www.google.com/maps/search/?api=1&amp;query=41.774221,-88.136369","map")</f>
        <v>map</v>
      </c>
    </row>
    <row r="4629" spans="1:32">
      <c r="A4629" t="s">
        <v>4679</v>
      </c>
      <c r="B4629" t="s">
        <v>12212</v>
      </c>
      <c r="C4629" t="s">
        <v>15475</v>
      </c>
      <c r="D4629" t="s">
        <v>16206</v>
      </c>
      <c r="E4629" t="s">
        <v>16218</v>
      </c>
      <c r="F4629" t="s">
        <v>16221</v>
      </c>
      <c r="G4629" t="s">
        <v>16277</v>
      </c>
      <c r="H4629" t="s">
        <v>16277</v>
      </c>
      <c r="I4629" t="s">
        <v>16353</v>
      </c>
      <c r="J4629" t="s">
        <v>16386</v>
      </c>
      <c r="K4629">
        <v>0.172</v>
      </c>
      <c r="L4629">
        <v>7474</v>
      </c>
      <c r="M4629">
        <v>1023</v>
      </c>
      <c r="N4629" t="s">
        <v>16393</v>
      </c>
      <c r="O4629" s="4">
        <v>85953</v>
      </c>
      <c r="P4629" s="4">
        <v>10500</v>
      </c>
      <c r="Q4629" s="4">
        <v>96453</v>
      </c>
      <c r="R4629" s="4">
        <v>289359</v>
      </c>
      <c r="S4629" t="s">
        <v>20924</v>
      </c>
      <c r="T4629" s="6">
        <v>45383</v>
      </c>
      <c r="U4629" s="4">
        <v>359500</v>
      </c>
      <c r="V4629" t="s">
        <v>23739</v>
      </c>
      <c r="W4629" t="s">
        <v>26260</v>
      </c>
      <c r="X4629" t="s">
        <v>3</v>
      </c>
      <c r="AA4629" s="5" t="str">
        <f>HYPERLINK("https://www.zillow.com/homes/15-S-HUFFMAN-ST-NAPERVILLE-IL-60540_rb/","check listing")</f>
        <v>check listing</v>
      </c>
      <c r="AB4629" s="5" t="str">
        <f>HYPERLINK("https://propertylookup.dupagecounty.gov/Datalets/Datalet.aspx?UseSearch=no&amp;mode=sales&amp;pin=0818411014","sales record")</f>
        <v>sales record</v>
      </c>
      <c r="AC4629" t="s">
        <v>3</v>
      </c>
      <c r="AD4629">
        <v>41.774336</v>
      </c>
      <c r="AE4629">
        <v>-88.135814</v>
      </c>
      <c r="AF4629" s="5" t="str">
        <f>HYPERLINK("https://www.google.com/maps/search/?api=1&amp;query=41.774336,-88.135814","map")</f>
        <v>map</v>
      </c>
    </row>
    <row r="4630" spans="1:32">
      <c r="A4630" t="s">
        <v>4680</v>
      </c>
      <c r="B4630" t="s">
        <v>12213</v>
      </c>
      <c r="C4630" t="s">
        <v>15475</v>
      </c>
      <c r="D4630" t="s">
        <v>16206</v>
      </c>
      <c r="E4630" t="s">
        <v>16218</v>
      </c>
      <c r="F4630" t="s">
        <v>16221</v>
      </c>
      <c r="G4630" t="s">
        <v>16277</v>
      </c>
      <c r="H4630" t="s">
        <v>16277</v>
      </c>
      <c r="I4630" t="s">
        <v>16353</v>
      </c>
      <c r="J4630" t="s">
        <v>16386</v>
      </c>
      <c r="K4630">
        <v>0.172</v>
      </c>
      <c r="L4630">
        <v>7472</v>
      </c>
      <c r="M4630">
        <v>1286</v>
      </c>
      <c r="N4630" t="s">
        <v>16393</v>
      </c>
      <c r="O4630" s="4">
        <v>131890</v>
      </c>
      <c r="P4630" s="4">
        <v>101459</v>
      </c>
      <c r="Q4630" s="4">
        <v>233349</v>
      </c>
      <c r="R4630" s="4">
        <v>700047</v>
      </c>
      <c r="S4630" t="s">
        <v>20925</v>
      </c>
      <c r="T4630" s="6">
        <v>45148</v>
      </c>
      <c r="U4630" s="4">
        <v>545000</v>
      </c>
      <c r="V4630" t="s">
        <v>23739</v>
      </c>
      <c r="W4630" t="s">
        <v>26261</v>
      </c>
      <c r="X4630" t="s">
        <v>3</v>
      </c>
      <c r="AA4630" s="5" t="str">
        <f>HYPERLINK("https://www.zillow.com/homes/125-N-ELLSWORTH-ST-NAPERVILLE-IL-60540_rb/","check listing")</f>
        <v>check listing</v>
      </c>
      <c r="AB4630" s="5" t="str">
        <f>HYPERLINK("https://propertylookup.dupagecounty.gov/Datalets/Datalet.aspx?UseSearch=no&amp;mode=sales&amp;pin=0818301011","sales record")</f>
        <v>sales record</v>
      </c>
      <c r="AC4630" t="s">
        <v>3</v>
      </c>
      <c r="AD4630">
        <v>41.776672</v>
      </c>
      <c r="AE4630">
        <v>-88.14541199999999</v>
      </c>
      <c r="AF4630" s="5" t="str">
        <f>HYPERLINK("https://www.google.com/maps/search/?api=1&amp;query=41.776672,-88.145412","map")</f>
        <v>map</v>
      </c>
    </row>
    <row r="4631" spans="1:32">
      <c r="A4631" t="s">
        <v>4681</v>
      </c>
      <c r="B4631" t="s">
        <v>12214</v>
      </c>
      <c r="C4631" t="s">
        <v>15764</v>
      </c>
      <c r="D4631" t="s">
        <v>16206</v>
      </c>
      <c r="E4631" t="s">
        <v>16218</v>
      </c>
      <c r="F4631" t="s">
        <v>16221</v>
      </c>
      <c r="G4631" t="s">
        <v>16277</v>
      </c>
      <c r="H4631" t="s">
        <v>16277</v>
      </c>
      <c r="I4631" t="s">
        <v>16353</v>
      </c>
      <c r="J4631" t="s">
        <v>16386</v>
      </c>
      <c r="K4631">
        <v>0.172</v>
      </c>
      <c r="L4631">
        <v>7472</v>
      </c>
      <c r="M4631">
        <v>2461</v>
      </c>
      <c r="N4631" t="s">
        <v>16393</v>
      </c>
      <c r="O4631" s="4">
        <v>131890</v>
      </c>
      <c r="P4631" s="4">
        <v>84811</v>
      </c>
      <c r="Q4631" s="4">
        <v>216701</v>
      </c>
      <c r="R4631" s="4">
        <v>650103</v>
      </c>
      <c r="S4631" t="s">
        <v>20926</v>
      </c>
      <c r="T4631" s="6">
        <v>44136</v>
      </c>
      <c r="U4631" s="4">
        <v>440000</v>
      </c>
      <c r="V4631" t="s">
        <v>23740</v>
      </c>
      <c r="W4631" t="s">
        <v>26262</v>
      </c>
      <c r="X4631" t="s">
        <v>3</v>
      </c>
      <c r="AA4631" s="5" t="str">
        <f>HYPERLINK("https://www.zillow.com/homes/114-S-ELLSWORTH-ST-NAPERVILLE-IL-605404922_rb/","check listing")</f>
        <v>check listing</v>
      </c>
      <c r="AB4631" s="5" t="str">
        <f>HYPERLINK("https://propertylookup.dupagecounty.gov/Datalets/Datalet.aspx?UseSearch=no&amp;mode=sales&amp;pin=0818319003","sales record")</f>
        <v>sales record</v>
      </c>
      <c r="AC4631" t="s">
        <v>3</v>
      </c>
      <c r="AD4631">
        <v>41.77361</v>
      </c>
      <c r="AE4631">
        <v>-88.14478099999999</v>
      </c>
      <c r="AF4631" s="5" t="str">
        <f>HYPERLINK("https://www.google.com/maps/search/?api=1&amp;query=41.77361,-88.144781","map")</f>
        <v>map</v>
      </c>
    </row>
    <row r="4632" spans="1:32">
      <c r="A4632" t="s">
        <v>4682</v>
      </c>
      <c r="B4632" t="s">
        <v>12215</v>
      </c>
      <c r="C4632" t="s">
        <v>15765</v>
      </c>
      <c r="D4632" t="s">
        <v>16206</v>
      </c>
      <c r="E4632" t="s">
        <v>16218</v>
      </c>
      <c r="F4632" t="s">
        <v>16221</v>
      </c>
      <c r="G4632" t="s">
        <v>16277</v>
      </c>
      <c r="H4632" t="s">
        <v>16277</v>
      </c>
      <c r="I4632" t="s">
        <v>16353</v>
      </c>
      <c r="J4632" t="s">
        <v>16386</v>
      </c>
      <c r="K4632">
        <v>0.172</v>
      </c>
      <c r="L4632">
        <v>7471</v>
      </c>
      <c r="M4632">
        <v>1451</v>
      </c>
      <c r="N4632" t="s">
        <v>16393</v>
      </c>
      <c r="O4632" s="4">
        <v>85953</v>
      </c>
      <c r="P4632" s="4">
        <v>35889</v>
      </c>
      <c r="Q4632" s="4">
        <v>121842</v>
      </c>
      <c r="R4632" s="4">
        <v>365526</v>
      </c>
      <c r="S4632" t="s">
        <v>20927</v>
      </c>
      <c r="T4632" s="6">
        <v>44440</v>
      </c>
      <c r="U4632" s="4">
        <v>360500</v>
      </c>
      <c r="V4632" t="s">
        <v>23739</v>
      </c>
      <c r="W4632" t="s">
        <v>26263</v>
      </c>
      <c r="X4632" t="s">
        <v>3</v>
      </c>
      <c r="AA4632" s="5" t="str">
        <f>HYPERLINK("https://www.zillow.com/homes/20-S-HUFFMAN-ST-NAPERVILLE-IL-605405581_rb/","check listing")</f>
        <v>check listing</v>
      </c>
      <c r="AB4632" s="5" t="str">
        <f>HYPERLINK("https://propertylookup.dupagecounty.gov/Datalets/Datalet.aspx?UseSearch=no&amp;mode=sales&amp;pin=0818412004","sales record")</f>
        <v>sales record</v>
      </c>
      <c r="AC4632" t="s">
        <v>3</v>
      </c>
      <c r="AD4632">
        <v>41.774167</v>
      </c>
      <c r="AE4632">
        <v>-88.135093</v>
      </c>
      <c r="AF4632" s="5" t="str">
        <f>HYPERLINK("https://www.google.com/maps/search/?api=1&amp;query=41.774167,-88.135093","map")</f>
        <v>map</v>
      </c>
    </row>
    <row r="4633" spans="1:32">
      <c r="A4633" t="s">
        <v>4683</v>
      </c>
      <c r="B4633" t="s">
        <v>12216</v>
      </c>
      <c r="C4633" t="s">
        <v>15730</v>
      </c>
      <c r="D4633" t="s">
        <v>16206</v>
      </c>
      <c r="E4633" t="s">
        <v>16218</v>
      </c>
      <c r="F4633" t="s">
        <v>16221</v>
      </c>
      <c r="G4633" t="s">
        <v>16277</v>
      </c>
      <c r="H4633" t="s">
        <v>16277</v>
      </c>
      <c r="I4633" t="s">
        <v>16353</v>
      </c>
      <c r="J4633" t="s">
        <v>16386</v>
      </c>
      <c r="K4633">
        <v>0.172</v>
      </c>
      <c r="L4633">
        <v>7471</v>
      </c>
      <c r="M4633">
        <v>1584</v>
      </c>
      <c r="N4633" t="s">
        <v>16393</v>
      </c>
      <c r="O4633" s="4">
        <v>85953</v>
      </c>
      <c r="P4633" s="4">
        <v>11558</v>
      </c>
      <c r="Q4633" s="4">
        <v>97511</v>
      </c>
      <c r="R4633" s="4">
        <v>292533</v>
      </c>
      <c r="S4633" t="s">
        <v>20928</v>
      </c>
      <c r="T4633" s="6">
        <v>43617</v>
      </c>
      <c r="U4633" s="4">
        <v>255000</v>
      </c>
      <c r="V4633" t="s">
        <v>23739</v>
      </c>
      <c r="W4633" t="s">
        <v>26264</v>
      </c>
      <c r="X4633" t="s">
        <v>3</v>
      </c>
      <c r="AA4633" s="5" t="str">
        <f>HYPERLINK("https://www.zillow.com/homes/14-N-HUFFMAN-ST-NAPERVILLE-IL-605404815_rb/","check listing")</f>
        <v>check listing</v>
      </c>
      <c r="AB4633" s="5" t="str">
        <f>HYPERLINK("https://propertylookup.dupagecounty.gov/Datalets/Datalet.aspx?UseSearch=no&amp;mode=sales&amp;pin=0818406003","sales record")</f>
        <v>sales record</v>
      </c>
      <c r="AC4633" t="s">
        <v>3</v>
      </c>
      <c r="AD4633">
        <v>41.775203</v>
      </c>
      <c r="AE4633">
        <v>-88.135035</v>
      </c>
      <c r="AF4633" s="5" t="str">
        <f>HYPERLINK("https://www.google.com/maps/search/?api=1&amp;query=41.775203,-88.135035","map")</f>
        <v>map</v>
      </c>
    </row>
    <row r="4634" spans="1:32">
      <c r="A4634" t="s">
        <v>4684</v>
      </c>
      <c r="B4634" t="s">
        <v>12217</v>
      </c>
      <c r="C4634" t="s">
        <v>15478</v>
      </c>
      <c r="D4634" t="s">
        <v>16206</v>
      </c>
      <c r="E4634" t="s">
        <v>16218</v>
      </c>
      <c r="F4634" t="s">
        <v>16221</v>
      </c>
      <c r="G4634" t="s">
        <v>16277</v>
      </c>
      <c r="H4634" t="s">
        <v>16277</v>
      </c>
      <c r="I4634" t="s">
        <v>16353</v>
      </c>
      <c r="J4634" t="s">
        <v>16386</v>
      </c>
      <c r="K4634">
        <v>0.171</v>
      </c>
      <c r="L4634">
        <v>7470</v>
      </c>
      <c r="M4634">
        <v>2045</v>
      </c>
      <c r="N4634" t="s">
        <v>16393</v>
      </c>
      <c r="O4634" s="4">
        <v>74905</v>
      </c>
      <c r="P4634" s="4">
        <v>41169</v>
      </c>
      <c r="Q4634" s="4">
        <v>116074</v>
      </c>
      <c r="R4634" s="4">
        <v>348222</v>
      </c>
      <c r="S4634" t="s">
        <v>20929</v>
      </c>
      <c r="T4634" s="6">
        <v>43160</v>
      </c>
      <c r="U4634" s="4">
        <v>270000</v>
      </c>
      <c r="V4634" t="s">
        <v>23739</v>
      </c>
      <c r="W4634" t="s">
        <v>26265</v>
      </c>
      <c r="X4634" t="s">
        <v>3</v>
      </c>
      <c r="AA4634" s="5" t="str">
        <f>HYPERLINK("https://www.zillow.com/homes/928-N-SLEIGHT-ST-NAPERVILLE-IL-60563_rb/","check listing")</f>
        <v>check listing</v>
      </c>
      <c r="AB4634" s="5" t="str">
        <f>HYPERLINK("https://propertylookup.dupagecounty.gov/Datalets/Datalet.aspx?UseSearch=no&amp;mode=sales&amp;pin=0807312009","sales record")</f>
        <v>sales record</v>
      </c>
      <c r="AC4634" t="s">
        <v>3</v>
      </c>
      <c r="AD4634">
        <v>41.786621</v>
      </c>
      <c r="AE4634">
        <v>-88.139315</v>
      </c>
      <c r="AF4634" s="5" t="str">
        <f>HYPERLINK("https://www.google.com/maps/search/?api=1&amp;query=41.786621,-88.139315","map")</f>
        <v>map</v>
      </c>
    </row>
    <row r="4635" spans="1:32">
      <c r="A4635" t="s">
        <v>4685</v>
      </c>
      <c r="B4635" t="s">
        <v>12218</v>
      </c>
      <c r="C4635" t="s">
        <v>15766</v>
      </c>
      <c r="D4635" t="s">
        <v>16206</v>
      </c>
      <c r="E4635" t="s">
        <v>16218</v>
      </c>
      <c r="F4635" t="s">
        <v>16221</v>
      </c>
      <c r="G4635" t="s">
        <v>16277</v>
      </c>
      <c r="H4635" t="s">
        <v>16277</v>
      </c>
      <c r="I4635" t="s">
        <v>16353</v>
      </c>
      <c r="J4635" t="s">
        <v>16386</v>
      </c>
      <c r="K4635">
        <v>0.171</v>
      </c>
      <c r="L4635">
        <v>7469</v>
      </c>
      <c r="M4635">
        <v>2676</v>
      </c>
      <c r="N4635" t="s">
        <v>16393</v>
      </c>
      <c r="O4635" s="4">
        <v>131890</v>
      </c>
      <c r="P4635" s="4">
        <v>116906</v>
      </c>
      <c r="Q4635" s="4">
        <v>248796</v>
      </c>
      <c r="R4635" s="4">
        <v>746388</v>
      </c>
      <c r="S4635" t="s">
        <v>20930</v>
      </c>
      <c r="T4635" s="6">
        <v>43221</v>
      </c>
      <c r="U4635" s="4">
        <v>595000</v>
      </c>
      <c r="V4635" t="s">
        <v>23739</v>
      </c>
      <c r="W4635" t="s">
        <v>26266</v>
      </c>
      <c r="X4635" t="s">
        <v>3</v>
      </c>
      <c r="AA4635" s="5" t="str">
        <f>HYPERLINK("https://www.zillow.com/homes/142-N-COLUMBIA-ST-NAPERVILLE-IL-605404714_rb/","check listing")</f>
        <v>check listing</v>
      </c>
      <c r="AB4635" s="5" t="str">
        <f>HYPERLINK("https://propertylookup.dupagecounty.gov/Datalets/Datalet.aspx?UseSearch=no&amp;mode=sales&amp;pin=0818400004","sales record")</f>
        <v>sales record</v>
      </c>
      <c r="AC4635" t="s">
        <v>3</v>
      </c>
      <c r="AD4635">
        <v>41.776857</v>
      </c>
      <c r="AE4635">
        <v>-88.137579</v>
      </c>
      <c r="AF4635" s="5" t="str">
        <f>HYPERLINK("https://www.google.com/maps/search/?api=1&amp;query=41.776857,-88.137579","map")</f>
        <v>map</v>
      </c>
    </row>
    <row r="4636" spans="1:32">
      <c r="A4636" t="s">
        <v>4686</v>
      </c>
      <c r="B4636" t="s">
        <v>12219</v>
      </c>
      <c r="C4636" t="s">
        <v>15475</v>
      </c>
      <c r="D4636" t="s">
        <v>16206</v>
      </c>
      <c r="E4636" t="s">
        <v>16218</v>
      </c>
      <c r="F4636" t="s">
        <v>16221</v>
      </c>
      <c r="G4636" t="s">
        <v>16277</v>
      </c>
      <c r="H4636" t="s">
        <v>16277</v>
      </c>
      <c r="I4636" t="s">
        <v>16353</v>
      </c>
      <c r="J4636" t="s">
        <v>16386</v>
      </c>
      <c r="K4636">
        <v>0.171</v>
      </c>
      <c r="L4636">
        <v>7468</v>
      </c>
      <c r="M4636">
        <v>2474</v>
      </c>
      <c r="N4636" t="s">
        <v>16393</v>
      </c>
      <c r="O4636" s="4">
        <v>85953</v>
      </c>
      <c r="P4636" s="4">
        <v>24306</v>
      </c>
      <c r="Q4636" s="4">
        <v>110259</v>
      </c>
      <c r="R4636" s="4">
        <v>330777</v>
      </c>
      <c r="S4636" t="s">
        <v>20931</v>
      </c>
      <c r="T4636" s="6">
        <v>42064</v>
      </c>
      <c r="U4636" s="4">
        <v>195000</v>
      </c>
      <c r="V4636" t="s">
        <v>23739</v>
      </c>
      <c r="W4636" t="s">
        <v>26267</v>
      </c>
      <c r="X4636" t="s">
        <v>3</v>
      </c>
      <c r="AA4636" s="5" t="str">
        <f>HYPERLINK("https://www.zillow.com/homes/24-S-HUFFMAN-ST-NAPERVILLE-IL-60540_rb/","check listing")</f>
        <v>check listing</v>
      </c>
      <c r="AB4636" s="5" t="str">
        <f>HYPERLINK("https://propertylookup.dupagecounty.gov/Datalets/Datalet.aspx?UseSearch=no&amp;mode=sales&amp;pin=0818412005","sales record")</f>
        <v>sales record</v>
      </c>
      <c r="AC4636" t="s">
        <v>3</v>
      </c>
      <c r="AD4636">
        <v>41.774029</v>
      </c>
      <c r="AE4636">
        <v>-88.13509999999999</v>
      </c>
      <c r="AF4636" s="5" t="str">
        <f>HYPERLINK("https://www.google.com/maps/search/?api=1&amp;query=41.774029,-88.1351","map")</f>
        <v>map</v>
      </c>
    </row>
    <row r="4637" spans="1:32">
      <c r="A4637" t="s">
        <v>4687</v>
      </c>
      <c r="B4637" t="s">
        <v>12220</v>
      </c>
      <c r="C4637" t="s">
        <v>15742</v>
      </c>
      <c r="D4637" t="s">
        <v>16206</v>
      </c>
      <c r="E4637" t="s">
        <v>16218</v>
      </c>
      <c r="F4637" t="s">
        <v>16221</v>
      </c>
      <c r="G4637" t="s">
        <v>16277</v>
      </c>
      <c r="H4637" t="s">
        <v>16277</v>
      </c>
      <c r="I4637" t="s">
        <v>16353</v>
      </c>
      <c r="J4637" t="s">
        <v>16386</v>
      </c>
      <c r="K4637">
        <v>0.171</v>
      </c>
      <c r="L4637">
        <v>7466</v>
      </c>
      <c r="M4637">
        <v>1809</v>
      </c>
      <c r="N4637" t="s">
        <v>16393</v>
      </c>
      <c r="O4637" s="4">
        <v>85953</v>
      </c>
      <c r="P4637" s="4">
        <v>82267</v>
      </c>
      <c r="Q4637" s="4">
        <v>168220</v>
      </c>
      <c r="R4637" s="4">
        <v>504660</v>
      </c>
      <c r="S4637" t="s">
        <v>20932</v>
      </c>
      <c r="T4637" s="6">
        <v>42887</v>
      </c>
      <c r="U4637" s="4">
        <v>290000</v>
      </c>
      <c r="V4637" t="s">
        <v>23739</v>
      </c>
      <c r="W4637" t="s">
        <v>26268</v>
      </c>
      <c r="X4637" t="s">
        <v>3</v>
      </c>
      <c r="AA4637" s="5" t="str">
        <f>HYPERLINK("https://www.zillow.com/homes/9-S-HUFFMAN-ST-NAPERVILLE-IL-605404924_rb/","check listing")</f>
        <v>check listing</v>
      </c>
      <c r="AB4637" s="5" t="str">
        <f>HYPERLINK("https://propertylookup.dupagecounty.gov/Datalets/Datalet.aspx?UseSearch=no&amp;mode=sales&amp;pin=0818411013","sales record")</f>
        <v>sales record</v>
      </c>
      <c r="AC4637" t="s">
        <v>3</v>
      </c>
      <c r="AD4637">
        <v>41.774473</v>
      </c>
      <c r="AE4637">
        <v>-88.135807</v>
      </c>
      <c r="AF4637" s="5" t="str">
        <f>HYPERLINK("https://www.google.com/maps/search/?api=1&amp;query=41.774473,-88.135807","map")</f>
        <v>map</v>
      </c>
    </row>
    <row r="4638" spans="1:32">
      <c r="A4638" t="s">
        <v>4688</v>
      </c>
      <c r="B4638" t="s">
        <v>12221</v>
      </c>
      <c r="C4638" t="s">
        <v>15691</v>
      </c>
      <c r="D4638" t="s">
        <v>16206</v>
      </c>
      <c r="E4638" t="s">
        <v>16218</v>
      </c>
      <c r="F4638" t="s">
        <v>16221</v>
      </c>
      <c r="G4638" t="s">
        <v>16278</v>
      </c>
      <c r="H4638" t="s">
        <v>16277</v>
      </c>
      <c r="I4638" t="s">
        <v>16353</v>
      </c>
      <c r="J4638" t="s">
        <v>16386</v>
      </c>
      <c r="K4638">
        <v>0.171</v>
      </c>
      <c r="L4638">
        <v>7465</v>
      </c>
      <c r="N4638" t="s">
        <v>16393</v>
      </c>
      <c r="O4638" s="4">
        <v>58341</v>
      </c>
      <c r="P4638" s="4">
        <v>166161</v>
      </c>
      <c r="Q4638" s="4">
        <v>224502</v>
      </c>
      <c r="R4638" s="4">
        <v>673506</v>
      </c>
      <c r="S4638" t="s">
        <v>20933</v>
      </c>
      <c r="T4638" s="6">
        <v>42948</v>
      </c>
      <c r="U4638" s="4">
        <v>479167</v>
      </c>
      <c r="V4638" t="s">
        <v>16232</v>
      </c>
      <c r="W4638" t="s">
        <v>26269</v>
      </c>
      <c r="X4638" t="s">
        <v>3</v>
      </c>
      <c r="AA4638" s="5" t="str">
        <f>HYPERLINK("https://www.zillow.com/homes/1643-SILVERLEAF-ST-NAPERVILLE-IL-605633585_rb/","check listing")</f>
        <v>check listing</v>
      </c>
      <c r="AB4638" s="5" t="str">
        <f>HYPERLINK("https://propertylookup.dupagecounty.gov/Datalets/Datalet.aspx?UseSearch=no&amp;mode=sales&amp;pin=0709107004","sales record")</f>
        <v>sales record</v>
      </c>
      <c r="AC4638" t="s">
        <v>3</v>
      </c>
      <c r="AD4638">
        <v>41.797167</v>
      </c>
      <c r="AE4638">
        <v>-88.22476899999999</v>
      </c>
      <c r="AF4638" s="5" t="str">
        <f>HYPERLINK("https://www.google.com/maps/search/?api=1&amp;query=41.797167,-88.224769","map")</f>
        <v>map</v>
      </c>
    </row>
    <row r="4639" spans="1:32">
      <c r="A4639" t="s">
        <v>4689</v>
      </c>
      <c r="B4639" t="s">
        <v>12222</v>
      </c>
      <c r="C4639" t="s">
        <v>15475</v>
      </c>
      <c r="D4639" t="s">
        <v>16206</v>
      </c>
      <c r="E4639" t="s">
        <v>16218</v>
      </c>
      <c r="F4639" t="s">
        <v>16221</v>
      </c>
      <c r="G4639" t="s">
        <v>16277</v>
      </c>
      <c r="H4639" t="s">
        <v>16277</v>
      </c>
      <c r="I4639" t="s">
        <v>16353</v>
      </c>
      <c r="J4639" t="s">
        <v>16386</v>
      </c>
      <c r="K4639">
        <v>0.171</v>
      </c>
      <c r="L4639">
        <v>7464</v>
      </c>
      <c r="M4639">
        <v>3166</v>
      </c>
      <c r="N4639" t="s">
        <v>16393</v>
      </c>
      <c r="O4639" s="4">
        <v>131890</v>
      </c>
      <c r="P4639" s="4">
        <v>78425</v>
      </c>
      <c r="Q4639" s="4">
        <v>210315</v>
      </c>
      <c r="R4639" s="4">
        <v>630945</v>
      </c>
      <c r="S4639" t="s">
        <v>20934</v>
      </c>
      <c r="T4639" s="6">
        <v>45433</v>
      </c>
      <c r="U4639" s="4">
        <v>489250</v>
      </c>
      <c r="V4639" t="s">
        <v>23741</v>
      </c>
      <c r="W4639" t="s">
        <v>26270</v>
      </c>
      <c r="X4639" t="s">
        <v>3</v>
      </c>
      <c r="AA4639" s="5" t="str">
        <f>HYPERLINK("https://www.zillow.com/homes/145-N-ELLSWORTH-ST-NAPERVILLE-IL-60540_rb/","check listing")</f>
        <v>check listing</v>
      </c>
      <c r="AB4639" s="5" t="str">
        <f>HYPERLINK("https://propertylookup.dupagecounty.gov/Datalets/Datalet.aspx?UseSearch=no&amp;mode=sales&amp;pin=0818130005","sales record")</f>
        <v>sales record</v>
      </c>
      <c r="AC4639" t="s">
        <v>3</v>
      </c>
      <c r="AD4639">
        <v>41.777151</v>
      </c>
      <c r="AE4639">
        <v>-88.14538899999999</v>
      </c>
      <c r="AF4639" s="5" t="str">
        <f>HYPERLINK("https://www.google.com/maps/search/?api=1&amp;query=41.777151,-88.145389","map")</f>
        <v>map</v>
      </c>
    </row>
    <row r="4640" spans="1:32">
      <c r="A4640" t="s">
        <v>4690</v>
      </c>
      <c r="B4640" t="s">
        <v>12223</v>
      </c>
      <c r="C4640" t="s">
        <v>15475</v>
      </c>
      <c r="D4640" t="s">
        <v>16206</v>
      </c>
      <c r="E4640" t="s">
        <v>16218</v>
      </c>
      <c r="F4640" t="s">
        <v>16221</v>
      </c>
      <c r="G4640" t="s">
        <v>16277</v>
      </c>
      <c r="H4640" t="s">
        <v>16277</v>
      </c>
      <c r="I4640" t="s">
        <v>16353</v>
      </c>
      <c r="J4640" t="s">
        <v>16386</v>
      </c>
      <c r="K4640">
        <v>0.171</v>
      </c>
      <c r="L4640">
        <v>7463</v>
      </c>
      <c r="M4640">
        <v>2622</v>
      </c>
      <c r="N4640" t="s">
        <v>16393</v>
      </c>
      <c r="O4640" s="4">
        <v>131890</v>
      </c>
      <c r="P4640" s="4">
        <v>119321</v>
      </c>
      <c r="Q4640" s="4">
        <v>251211</v>
      </c>
      <c r="R4640" s="4">
        <v>753633</v>
      </c>
      <c r="S4640" t="s">
        <v>20935</v>
      </c>
      <c r="T4640" s="6">
        <v>41426</v>
      </c>
      <c r="U4640" s="4">
        <v>474000</v>
      </c>
      <c r="V4640" t="s">
        <v>23740</v>
      </c>
      <c r="W4640" t="s">
        <v>26271</v>
      </c>
      <c r="X4640" t="s">
        <v>3</v>
      </c>
      <c r="AA4640" s="5" t="str">
        <f>HYPERLINK("https://www.zillow.com/homes/16-N-SLEIGHT-ST-NAPERVILLE-IL-60540_rb/","check listing")</f>
        <v>check listing</v>
      </c>
      <c r="AB4640" s="5" t="str">
        <f>HYPERLINK("https://propertylookup.dupagecounty.gov/Datalets/Datalet.aspx?UseSearch=no&amp;mode=sales&amp;pin=0818311003","sales record")</f>
        <v>sales record</v>
      </c>
      <c r="AC4640" t="s">
        <v>27873</v>
      </c>
      <c r="AD4640">
        <v>41.775324</v>
      </c>
      <c r="AE4640">
        <v>-88.140435</v>
      </c>
      <c r="AF4640" s="5" t="str">
        <f>HYPERLINK("https://www.google.com/maps/search/?api=1&amp;query=41.775324,-88.140435","map")</f>
        <v>map</v>
      </c>
    </row>
    <row r="4641" spans="1:32">
      <c r="A4641" t="s">
        <v>4691</v>
      </c>
      <c r="B4641" t="s">
        <v>12224</v>
      </c>
      <c r="C4641" t="s">
        <v>15475</v>
      </c>
      <c r="D4641" t="s">
        <v>16206</v>
      </c>
      <c r="E4641" t="s">
        <v>16218</v>
      </c>
      <c r="F4641" t="s">
        <v>16221</v>
      </c>
      <c r="G4641" t="s">
        <v>16277</v>
      </c>
      <c r="H4641" t="s">
        <v>16277</v>
      </c>
      <c r="I4641" t="s">
        <v>16353</v>
      </c>
      <c r="J4641" t="s">
        <v>16386</v>
      </c>
      <c r="K4641">
        <v>0.171</v>
      </c>
      <c r="L4641">
        <v>7463</v>
      </c>
      <c r="M4641">
        <v>1851</v>
      </c>
      <c r="N4641" t="s">
        <v>16393</v>
      </c>
      <c r="O4641" s="4">
        <v>131890</v>
      </c>
      <c r="P4641" s="4">
        <v>79175</v>
      </c>
      <c r="Q4641" s="4">
        <v>211065</v>
      </c>
      <c r="R4641" s="4">
        <v>633195</v>
      </c>
      <c r="S4641" t="s">
        <v>20936</v>
      </c>
      <c r="T4641" s="6">
        <v>34912</v>
      </c>
      <c r="U4641" s="4">
        <v>208000</v>
      </c>
      <c r="X4641" t="s">
        <v>3</v>
      </c>
      <c r="AA4641" s="5" t="str">
        <f>HYPERLINK("https://www.zillow.com/homes/124-CENTER-ST-NAPERVILLE-IL-60540_rb/","check listing")</f>
        <v>check listing</v>
      </c>
      <c r="AB4641" s="5" t="str">
        <f>HYPERLINK("https://propertylookup.dupagecounty.gov/Datalets/Datalet.aspx?UseSearch=no&amp;mode=sales&amp;pin=0818301003","sales record")</f>
        <v>sales record</v>
      </c>
      <c r="AC4641" t="s">
        <v>3</v>
      </c>
      <c r="AD4641">
        <v>41.776688</v>
      </c>
      <c r="AE4641">
        <v>-88.14592</v>
      </c>
      <c r="AF4641" s="5" t="str">
        <f>HYPERLINK("https://www.google.com/maps/search/?api=1&amp;query=41.776688,-88.14592","map")</f>
        <v>map</v>
      </c>
    </row>
    <row r="4642" spans="1:32">
      <c r="A4642" t="s">
        <v>4692</v>
      </c>
      <c r="B4642" t="s">
        <v>12225</v>
      </c>
      <c r="C4642" t="s">
        <v>15730</v>
      </c>
      <c r="D4642" t="s">
        <v>16206</v>
      </c>
      <c r="E4642" t="s">
        <v>16218</v>
      </c>
      <c r="F4642" t="s">
        <v>16221</v>
      </c>
      <c r="G4642" t="s">
        <v>16277</v>
      </c>
      <c r="H4642" t="s">
        <v>16277</v>
      </c>
      <c r="I4642" t="s">
        <v>16353</v>
      </c>
      <c r="J4642" t="s">
        <v>16386</v>
      </c>
      <c r="K4642">
        <v>0.171</v>
      </c>
      <c r="L4642">
        <v>7462</v>
      </c>
      <c r="M4642">
        <v>1716</v>
      </c>
      <c r="N4642" t="s">
        <v>16393</v>
      </c>
      <c r="O4642" s="4">
        <v>85953</v>
      </c>
      <c r="P4642" s="4">
        <v>28932</v>
      </c>
      <c r="Q4642" s="4">
        <v>114885</v>
      </c>
      <c r="R4642" s="4">
        <v>344655</v>
      </c>
      <c r="S4642" t="s">
        <v>20937</v>
      </c>
      <c r="T4642" s="6">
        <v>38534</v>
      </c>
      <c r="U4642" s="4">
        <v>268400</v>
      </c>
      <c r="V4642" t="s">
        <v>16232</v>
      </c>
      <c r="W4642" t="s">
        <v>20937</v>
      </c>
      <c r="X4642" t="s">
        <v>3</v>
      </c>
      <c r="AA4642" s="5" t="str">
        <f>HYPERLINK("https://www.zillow.com/homes/20-N-HUFFMAN-ST-NAPERVILLE-IL-605404815_rb/","check listing")</f>
        <v>check listing</v>
      </c>
      <c r="AB4642" s="5" t="str">
        <f>HYPERLINK("https://propertylookup.dupagecounty.gov/Datalets/Datalet.aspx?UseSearch=no&amp;mode=sales&amp;pin=0818406002","sales record")</f>
        <v>sales record</v>
      </c>
      <c r="AC4642" t="s">
        <v>3</v>
      </c>
      <c r="AD4642">
        <v>41.775357</v>
      </c>
      <c r="AE4642">
        <v>-88.13502800000001</v>
      </c>
      <c r="AF4642" s="5" t="str">
        <f>HYPERLINK("https://www.google.com/maps/search/?api=1&amp;query=41.775357,-88.135028","map")</f>
        <v>map</v>
      </c>
    </row>
    <row r="4643" spans="1:32">
      <c r="A4643" t="s">
        <v>4693</v>
      </c>
      <c r="B4643" t="s">
        <v>12226</v>
      </c>
      <c r="C4643" t="s">
        <v>15475</v>
      </c>
      <c r="D4643" t="s">
        <v>16206</v>
      </c>
      <c r="E4643" t="s">
        <v>16218</v>
      </c>
      <c r="F4643" t="s">
        <v>16221</v>
      </c>
      <c r="G4643" t="s">
        <v>16277</v>
      </c>
      <c r="H4643" t="s">
        <v>16277</v>
      </c>
      <c r="I4643" t="s">
        <v>16353</v>
      </c>
      <c r="J4643" t="s">
        <v>16386</v>
      </c>
      <c r="K4643">
        <v>0.171</v>
      </c>
      <c r="L4643">
        <v>7461</v>
      </c>
      <c r="M4643">
        <v>2654</v>
      </c>
      <c r="N4643" t="s">
        <v>16393</v>
      </c>
      <c r="O4643" s="4">
        <v>131890</v>
      </c>
      <c r="P4643" s="4">
        <v>74656</v>
      </c>
      <c r="Q4643" s="4">
        <v>206546</v>
      </c>
      <c r="R4643" s="4">
        <v>619638</v>
      </c>
      <c r="S4643" t="s">
        <v>20938</v>
      </c>
      <c r="T4643" s="6">
        <v>35674</v>
      </c>
      <c r="U4643" s="4">
        <v>249000</v>
      </c>
      <c r="X4643" t="s">
        <v>3</v>
      </c>
      <c r="AA4643" s="5" t="str">
        <f>HYPERLINK("https://www.zillow.com/homes/136-N-COLUMBIA-ST-NAPERVILLE-IL-60540_rb/","check listing")</f>
        <v>check listing</v>
      </c>
      <c r="AB4643" s="5" t="str">
        <f>HYPERLINK("https://propertylookup.dupagecounty.gov/Datalets/Datalet.aspx?UseSearch=no&amp;mode=sales&amp;pin=0818400005","sales record")</f>
        <v>sales record</v>
      </c>
      <c r="AC4643" t="s">
        <v>3</v>
      </c>
      <c r="AD4643">
        <v>41.77672</v>
      </c>
      <c r="AE4643">
        <v>-88.137584</v>
      </c>
      <c r="AF4643" s="5" t="str">
        <f>HYPERLINK("https://www.google.com/maps/search/?api=1&amp;query=41.77672,-88.137584","map")</f>
        <v>map</v>
      </c>
    </row>
    <row r="4644" spans="1:32">
      <c r="A4644" t="s">
        <v>4694</v>
      </c>
      <c r="B4644" t="s">
        <v>12227</v>
      </c>
      <c r="C4644" t="s">
        <v>15475</v>
      </c>
      <c r="D4644" t="s">
        <v>16206</v>
      </c>
      <c r="E4644" t="s">
        <v>16218</v>
      </c>
      <c r="F4644" t="s">
        <v>16221</v>
      </c>
      <c r="G4644" t="s">
        <v>16277</v>
      </c>
      <c r="H4644" t="s">
        <v>16277</v>
      </c>
      <c r="I4644" t="s">
        <v>16353</v>
      </c>
      <c r="J4644" t="s">
        <v>16386</v>
      </c>
      <c r="K4644">
        <v>0.171</v>
      </c>
      <c r="L4644">
        <v>7459</v>
      </c>
      <c r="M4644">
        <v>3958</v>
      </c>
      <c r="N4644" t="s">
        <v>16393</v>
      </c>
      <c r="O4644" s="4">
        <v>120723</v>
      </c>
      <c r="P4644" s="4">
        <v>464155</v>
      </c>
      <c r="Q4644" s="4">
        <v>584878</v>
      </c>
      <c r="R4644" s="4">
        <v>1754634</v>
      </c>
      <c r="S4644" t="s">
        <v>20939</v>
      </c>
      <c r="T4644" s="6">
        <v>43040</v>
      </c>
      <c r="U4644" s="4">
        <v>1025000</v>
      </c>
      <c r="V4644" t="s">
        <v>23739</v>
      </c>
      <c r="W4644" t="s">
        <v>20939</v>
      </c>
      <c r="X4644" t="s">
        <v>3</v>
      </c>
      <c r="AA4644" s="5" t="str">
        <f>HYPERLINK("https://www.zillow.com/homes/147-N-JULIAN-ST-NAPERVILLE-IL-60540_rb/","check listing")</f>
        <v>check listing</v>
      </c>
      <c r="AB4644" s="5" t="str">
        <f>HYPERLINK("https://propertylookup.dupagecounty.gov/Datalets/Datalet.aspx?UseSearch=no&amp;mode=sales&amp;pin=0818400013","sales record")</f>
        <v>sales record</v>
      </c>
      <c r="AC4644" t="s">
        <v>3</v>
      </c>
      <c r="AD4644">
        <v>41.777015</v>
      </c>
      <c r="AE4644">
        <v>-88.136965</v>
      </c>
      <c r="AF4644" s="5" t="str">
        <f>HYPERLINK("https://www.google.com/maps/search/?api=1&amp;query=41.777015,-88.136965","map")</f>
        <v>map</v>
      </c>
    </row>
    <row r="4645" spans="1:32">
      <c r="A4645" t="s">
        <v>4695</v>
      </c>
      <c r="B4645" t="s">
        <v>12228</v>
      </c>
      <c r="C4645" t="s">
        <v>15478</v>
      </c>
      <c r="D4645" t="s">
        <v>16206</v>
      </c>
      <c r="E4645" t="s">
        <v>16218</v>
      </c>
      <c r="F4645" t="s">
        <v>16221</v>
      </c>
      <c r="G4645" t="s">
        <v>16277</v>
      </c>
      <c r="H4645" t="s">
        <v>16277</v>
      </c>
      <c r="I4645" t="s">
        <v>16353</v>
      </c>
      <c r="J4645" t="s">
        <v>16386</v>
      </c>
      <c r="K4645">
        <v>0.171</v>
      </c>
      <c r="L4645">
        <v>7457</v>
      </c>
      <c r="M4645">
        <v>2687</v>
      </c>
      <c r="N4645" t="s">
        <v>16393</v>
      </c>
      <c r="O4645" s="4">
        <v>119856</v>
      </c>
      <c r="P4645" s="4">
        <v>129524</v>
      </c>
      <c r="Q4645" s="4">
        <v>249380</v>
      </c>
      <c r="R4645" s="4">
        <v>748140</v>
      </c>
      <c r="S4645" t="s">
        <v>20940</v>
      </c>
      <c r="T4645" s="6">
        <v>35674</v>
      </c>
      <c r="U4645" s="4">
        <v>175500</v>
      </c>
      <c r="X4645" t="s">
        <v>3</v>
      </c>
      <c r="AA4645" s="5" t="str">
        <f>HYPERLINK("https://www.zillow.com/homes/705-N-ELLSWORTH-ST-NAPERVILLE-IL-60563_rb/","check listing")</f>
        <v>check listing</v>
      </c>
      <c r="AB4645" s="5" t="str">
        <f>HYPERLINK("https://propertylookup.dupagecounty.gov/Datalets/Datalet.aspx?UseSearch=no&amp;mode=sales&amp;pin=0818106013","sales record")</f>
        <v>sales record</v>
      </c>
      <c r="AC4645" t="s">
        <v>3</v>
      </c>
      <c r="AD4645">
        <v>41.783217</v>
      </c>
      <c r="AE4645">
        <v>-88.144941</v>
      </c>
      <c r="AF4645" s="5" t="str">
        <f>HYPERLINK("https://www.google.com/maps/search/?api=1&amp;query=41.783217,-88.144941","map")</f>
        <v>map</v>
      </c>
    </row>
    <row r="4646" spans="1:32">
      <c r="A4646" t="s">
        <v>4696</v>
      </c>
      <c r="B4646" t="s">
        <v>12229</v>
      </c>
      <c r="C4646" t="s">
        <v>15700</v>
      </c>
      <c r="D4646" t="s">
        <v>16206</v>
      </c>
      <c r="E4646" t="s">
        <v>16218</v>
      </c>
      <c r="F4646" t="s">
        <v>16221</v>
      </c>
      <c r="G4646" t="s">
        <v>16278</v>
      </c>
      <c r="H4646" t="s">
        <v>16277</v>
      </c>
      <c r="I4646" t="s">
        <v>16353</v>
      </c>
      <c r="J4646" t="s">
        <v>16386</v>
      </c>
      <c r="K4646">
        <v>0.171</v>
      </c>
      <c r="L4646">
        <v>7452</v>
      </c>
      <c r="N4646" t="s">
        <v>16393</v>
      </c>
      <c r="O4646" s="4">
        <v>70619</v>
      </c>
      <c r="P4646" s="4">
        <v>170104</v>
      </c>
      <c r="Q4646" s="4">
        <v>240723</v>
      </c>
      <c r="R4646" s="4">
        <v>722169</v>
      </c>
      <c r="S4646" t="s">
        <v>20941</v>
      </c>
      <c r="T4646" s="6">
        <v>43009</v>
      </c>
      <c r="U4646" s="4">
        <v>490928</v>
      </c>
      <c r="V4646" t="s">
        <v>16232</v>
      </c>
      <c r="W4646" t="s">
        <v>26272</v>
      </c>
      <c r="X4646" t="s">
        <v>3</v>
      </c>
      <c r="AA4646" s="5" t="str">
        <f>HYPERLINK("https://www.zillow.com/homes/2448-BASIN-TRAIL-LN-NAPERVILLE-IL-605633596_rb/","check listing")</f>
        <v>check listing</v>
      </c>
      <c r="AB4646" s="5" t="str">
        <f>HYPERLINK("https://propertylookup.dupagecounty.gov/Datalets/Datalet.aspx?UseSearch=no&amp;mode=sales&amp;pin=0709114010","sales record")</f>
        <v>sales record</v>
      </c>
      <c r="AC4646" t="s">
        <v>3</v>
      </c>
      <c r="AD4646">
        <v>41.794484</v>
      </c>
      <c r="AE4646">
        <v>-88.220314</v>
      </c>
      <c r="AF4646" s="5" t="str">
        <f>HYPERLINK("https://www.google.com/maps/search/?api=1&amp;query=41.794484,-88.220314","map")</f>
        <v>map</v>
      </c>
    </row>
    <row r="4647" spans="1:32">
      <c r="A4647" t="s">
        <v>4697</v>
      </c>
      <c r="B4647" t="s">
        <v>12230</v>
      </c>
      <c r="C4647" t="s">
        <v>15700</v>
      </c>
      <c r="D4647" t="s">
        <v>16206</v>
      </c>
      <c r="E4647" t="s">
        <v>16218</v>
      </c>
      <c r="F4647" t="s">
        <v>16221</v>
      </c>
      <c r="G4647" t="s">
        <v>16278</v>
      </c>
      <c r="H4647" t="s">
        <v>16277</v>
      </c>
      <c r="I4647" t="s">
        <v>16353</v>
      </c>
      <c r="J4647" t="s">
        <v>16386</v>
      </c>
      <c r="K4647">
        <v>0.171</v>
      </c>
      <c r="L4647">
        <v>7450</v>
      </c>
      <c r="N4647" t="s">
        <v>16393</v>
      </c>
      <c r="O4647" s="4">
        <v>70619</v>
      </c>
      <c r="P4647" s="4">
        <v>148122</v>
      </c>
      <c r="Q4647" s="4">
        <v>218741</v>
      </c>
      <c r="R4647" s="4">
        <v>656223</v>
      </c>
      <c r="S4647" t="s">
        <v>20942</v>
      </c>
      <c r="T4647" s="6">
        <v>42795</v>
      </c>
      <c r="U4647" s="4">
        <v>509586</v>
      </c>
      <c r="V4647" t="s">
        <v>16232</v>
      </c>
      <c r="W4647" t="s">
        <v>26273</v>
      </c>
      <c r="X4647" t="s">
        <v>3</v>
      </c>
      <c r="AA4647" s="5" t="str">
        <f>HYPERLINK("https://www.zillow.com/homes/2456-BASIN-TRAIL-LN-NAPERVILLE-IL-605633596_rb/","check listing")</f>
        <v>check listing</v>
      </c>
      <c r="AB4647" s="5" t="str">
        <f>HYPERLINK("https://propertylookup.dupagecounty.gov/Datalets/Datalet.aspx?UseSearch=no&amp;mode=sales&amp;pin=0709114008","sales record")</f>
        <v>sales record</v>
      </c>
      <c r="AC4647" t="s">
        <v>3</v>
      </c>
      <c r="AD4647">
        <v>41.794402</v>
      </c>
      <c r="AE4647">
        <v>-88.22071800000001</v>
      </c>
      <c r="AF4647" s="5" t="str">
        <f>HYPERLINK("https://www.google.com/maps/search/?api=1&amp;query=41.794402,-88.220718","map")</f>
        <v>map</v>
      </c>
    </row>
    <row r="4648" spans="1:32">
      <c r="A4648" t="s">
        <v>4698</v>
      </c>
      <c r="B4648" t="s">
        <v>12231</v>
      </c>
      <c r="C4648" t="s">
        <v>15475</v>
      </c>
      <c r="D4648" t="s">
        <v>16206</v>
      </c>
      <c r="E4648" t="s">
        <v>16218</v>
      </c>
      <c r="F4648" t="s">
        <v>16221</v>
      </c>
      <c r="G4648" t="s">
        <v>16277</v>
      </c>
      <c r="H4648" t="s">
        <v>16277</v>
      </c>
      <c r="I4648" t="s">
        <v>16353</v>
      </c>
      <c r="J4648" t="s">
        <v>16386</v>
      </c>
      <c r="K4648">
        <v>0.171</v>
      </c>
      <c r="L4648">
        <v>7450</v>
      </c>
      <c r="M4648">
        <v>1606</v>
      </c>
      <c r="N4648" t="s">
        <v>16393</v>
      </c>
      <c r="O4648" s="4">
        <v>131890</v>
      </c>
      <c r="P4648" s="4">
        <v>109391</v>
      </c>
      <c r="Q4648" s="4">
        <v>241281</v>
      </c>
      <c r="R4648" s="4">
        <v>723843</v>
      </c>
      <c r="S4648" t="s">
        <v>20943</v>
      </c>
      <c r="T4648" s="6">
        <v>33482</v>
      </c>
      <c r="U4648" s="4">
        <v>170500</v>
      </c>
      <c r="X4648" t="s">
        <v>3</v>
      </c>
      <c r="AA4648" s="5" t="str">
        <f>HYPERLINK("https://www.zillow.com/homes/130-N-COLUMBIA-ST-NAPERVILLE-IL-60540_rb/","check listing")</f>
        <v>check listing</v>
      </c>
      <c r="AB4648" s="5" t="str">
        <f>HYPERLINK("https://propertylookup.dupagecounty.gov/Datalets/Datalet.aspx?UseSearch=no&amp;mode=sales&amp;pin=0818400006","sales record")</f>
        <v>sales record</v>
      </c>
      <c r="AC4648" t="s">
        <v>27873</v>
      </c>
      <c r="AD4648">
        <v>41.776583</v>
      </c>
      <c r="AE4648">
        <v>-88.13758799999999</v>
      </c>
      <c r="AF4648" s="5" t="str">
        <f>HYPERLINK("https://www.google.com/maps/search/?api=1&amp;query=41.776583,-88.137588","map")</f>
        <v>map</v>
      </c>
    </row>
    <row r="4649" spans="1:32">
      <c r="A4649" t="s">
        <v>4699</v>
      </c>
      <c r="B4649" t="s">
        <v>12232</v>
      </c>
      <c r="C4649" t="s">
        <v>15767</v>
      </c>
      <c r="D4649" t="s">
        <v>16206</v>
      </c>
      <c r="E4649" t="s">
        <v>16218</v>
      </c>
      <c r="F4649" t="s">
        <v>16221</v>
      </c>
      <c r="G4649" t="s">
        <v>16277</v>
      </c>
      <c r="H4649" t="s">
        <v>16277</v>
      </c>
      <c r="I4649" t="s">
        <v>16353</v>
      </c>
      <c r="J4649" t="s">
        <v>16386</v>
      </c>
      <c r="K4649">
        <v>0.171</v>
      </c>
      <c r="L4649">
        <v>7449</v>
      </c>
      <c r="M4649">
        <v>1646</v>
      </c>
      <c r="N4649" t="s">
        <v>16393</v>
      </c>
      <c r="O4649" s="4">
        <v>131890</v>
      </c>
      <c r="P4649" s="4">
        <v>91791</v>
      </c>
      <c r="Q4649" s="4">
        <v>223681</v>
      </c>
      <c r="R4649" s="4">
        <v>671043</v>
      </c>
      <c r="S4649" t="s">
        <v>20944</v>
      </c>
      <c r="T4649" s="6">
        <v>44409</v>
      </c>
      <c r="U4649" s="4">
        <v>465000</v>
      </c>
      <c r="V4649" t="s">
        <v>23739</v>
      </c>
      <c r="W4649" t="s">
        <v>26274</v>
      </c>
      <c r="X4649" t="s">
        <v>3</v>
      </c>
      <c r="AA4649" s="5" t="str">
        <f>HYPERLINK("https://www.zillow.com/homes/110-S-ELLSWORTH-ST-NAPERVILLE-IL-605405574_rb/","check listing")</f>
        <v>check listing</v>
      </c>
      <c r="AB4649" s="5" t="str">
        <f>HYPERLINK("https://propertylookup.dupagecounty.gov/Datalets/Datalet.aspx?UseSearch=no&amp;mode=sales&amp;pin=0818319002","sales record")</f>
        <v>sales record</v>
      </c>
      <c r="AC4649" t="s">
        <v>3</v>
      </c>
      <c r="AD4649">
        <v>41.773748</v>
      </c>
      <c r="AE4649">
        <v>-88.144772</v>
      </c>
      <c r="AF4649" s="5" t="str">
        <f>HYPERLINK("https://www.google.com/maps/search/?api=1&amp;query=41.773748,-88.144772","map")</f>
        <v>map</v>
      </c>
    </row>
    <row r="4650" spans="1:32">
      <c r="A4650" t="s">
        <v>4700</v>
      </c>
      <c r="B4650" t="s">
        <v>12233</v>
      </c>
      <c r="C4650" t="s">
        <v>15475</v>
      </c>
      <c r="D4650" t="s">
        <v>16206</v>
      </c>
      <c r="E4650" t="s">
        <v>16218</v>
      </c>
      <c r="F4650" t="s">
        <v>16221</v>
      </c>
      <c r="G4650" t="s">
        <v>16277</v>
      </c>
      <c r="H4650" t="s">
        <v>16277</v>
      </c>
      <c r="I4650" t="s">
        <v>16353</v>
      </c>
      <c r="J4650" t="s">
        <v>16386</v>
      </c>
      <c r="K4650">
        <v>0.171</v>
      </c>
      <c r="L4650">
        <v>7449</v>
      </c>
      <c r="M4650">
        <v>2902</v>
      </c>
      <c r="N4650" t="s">
        <v>16393</v>
      </c>
      <c r="O4650" s="4">
        <v>120438</v>
      </c>
      <c r="P4650" s="4">
        <v>313404</v>
      </c>
      <c r="Q4650" s="4">
        <v>433842</v>
      </c>
      <c r="R4650" s="4">
        <v>1301526</v>
      </c>
      <c r="S4650" t="s">
        <v>20945</v>
      </c>
      <c r="T4650" s="6">
        <v>45156</v>
      </c>
      <c r="U4650" s="4">
        <v>990000</v>
      </c>
      <c r="V4650" t="s">
        <v>23739</v>
      </c>
      <c r="W4650" t="s">
        <v>26275</v>
      </c>
      <c r="X4650" t="s">
        <v>3</v>
      </c>
      <c r="AA4650" s="5" t="str">
        <f>HYPERLINK("https://www.zillow.com/homes/624-N-CENTER-ST-NAPERVILLE-IL-60540_rb/","check listing")</f>
        <v>check listing</v>
      </c>
      <c r="AB4650" s="5" t="str">
        <f>HYPERLINK("https://propertylookup.dupagecounty.gov/Datalets/Datalet.aspx?UseSearch=no&amp;mode=sales&amp;pin=0818107015","sales record")</f>
        <v>sales record</v>
      </c>
      <c r="AC4650" t="s">
        <v>3</v>
      </c>
      <c r="AD4650">
        <v>41.7827</v>
      </c>
      <c r="AE4650">
        <v>-88.145584</v>
      </c>
      <c r="AF4650" s="5" t="str">
        <f>HYPERLINK("https://www.google.com/maps/search/?api=1&amp;query=41.7827,-88.145584","map")</f>
        <v>map</v>
      </c>
    </row>
    <row r="4651" spans="1:32">
      <c r="A4651" t="s">
        <v>4701</v>
      </c>
      <c r="B4651" t="s">
        <v>12234</v>
      </c>
      <c r="C4651" t="s">
        <v>15768</v>
      </c>
      <c r="D4651" t="s">
        <v>16206</v>
      </c>
      <c r="E4651" t="s">
        <v>16218</v>
      </c>
      <c r="F4651" t="s">
        <v>16221</v>
      </c>
      <c r="G4651" t="s">
        <v>16277</v>
      </c>
      <c r="H4651" t="s">
        <v>16277</v>
      </c>
      <c r="I4651" t="s">
        <v>16353</v>
      </c>
      <c r="J4651" t="s">
        <v>16386</v>
      </c>
      <c r="K4651">
        <v>0.171</v>
      </c>
      <c r="L4651">
        <v>7448</v>
      </c>
      <c r="M4651">
        <v>2621</v>
      </c>
      <c r="N4651" t="s">
        <v>16393</v>
      </c>
      <c r="O4651" s="4">
        <v>131890</v>
      </c>
      <c r="P4651" s="4">
        <v>106680</v>
      </c>
      <c r="Q4651" s="4">
        <v>238570</v>
      </c>
      <c r="R4651" s="4">
        <v>715710</v>
      </c>
      <c r="S4651" t="s">
        <v>20946</v>
      </c>
      <c r="T4651" s="6">
        <v>43009</v>
      </c>
      <c r="U4651" s="4">
        <v>450000</v>
      </c>
      <c r="V4651" t="s">
        <v>23739</v>
      </c>
      <c r="W4651" t="s">
        <v>26276</v>
      </c>
      <c r="X4651" t="s">
        <v>3</v>
      </c>
      <c r="AA4651" s="5" t="str">
        <f>HYPERLINK("https://www.zillow.com/homes/127-S-WRIGHT-ST-NAPERVILLE-IL-605404959_rb/","check listing")</f>
        <v>check listing</v>
      </c>
      <c r="AB4651" s="5" t="str">
        <f>HYPERLINK("https://propertylookup.dupagecounty.gov/Datalets/Datalet.aspx?UseSearch=no&amp;mode=sales&amp;pin=0818322014","sales record")</f>
        <v>sales record</v>
      </c>
      <c r="AC4651" t="s">
        <v>27873</v>
      </c>
      <c r="AD4651">
        <v>41.773045</v>
      </c>
      <c r="AE4651">
        <v>-88.139955</v>
      </c>
      <c r="AF4651" s="5" t="str">
        <f>HYPERLINK("https://www.google.com/maps/search/?api=1&amp;query=41.773045,-88.139955","map")</f>
        <v>map</v>
      </c>
    </row>
    <row r="4652" spans="1:32">
      <c r="A4652" t="s">
        <v>4702</v>
      </c>
      <c r="B4652" t="s">
        <v>12235</v>
      </c>
      <c r="C4652" t="s">
        <v>15478</v>
      </c>
      <c r="D4652" t="s">
        <v>16206</v>
      </c>
      <c r="E4652" t="s">
        <v>16218</v>
      </c>
      <c r="F4652" t="s">
        <v>16221</v>
      </c>
      <c r="G4652" t="s">
        <v>16278</v>
      </c>
      <c r="H4652" t="s">
        <v>16277</v>
      </c>
      <c r="I4652" t="s">
        <v>16353</v>
      </c>
      <c r="J4652" t="s">
        <v>16386</v>
      </c>
      <c r="K4652">
        <v>0.171</v>
      </c>
      <c r="L4652">
        <v>7448</v>
      </c>
      <c r="N4652" t="s">
        <v>16393</v>
      </c>
      <c r="O4652" s="4">
        <v>70619</v>
      </c>
      <c r="P4652" s="4">
        <v>124541</v>
      </c>
      <c r="Q4652" s="4">
        <v>195160</v>
      </c>
      <c r="R4652" s="4">
        <v>585480</v>
      </c>
      <c r="S4652" t="s">
        <v>20947</v>
      </c>
      <c r="T4652" s="6">
        <v>42705</v>
      </c>
      <c r="U4652" s="4">
        <v>431600</v>
      </c>
      <c r="V4652" t="s">
        <v>16232</v>
      </c>
      <c r="W4652" t="s">
        <v>26277</v>
      </c>
      <c r="X4652" t="s">
        <v>3</v>
      </c>
      <c r="AA4652" s="5" t="str">
        <f>HYPERLINK("https://www.zillow.com/homes/2452-BASIN-TRAIL-LN-NAPERVILLE-IL-60563_rb/","check listing")</f>
        <v>check listing</v>
      </c>
      <c r="AB4652" s="5" t="str">
        <f>HYPERLINK("https://propertylookup.dupagecounty.gov/Datalets/Datalet.aspx?UseSearch=no&amp;mode=sales&amp;pin=0709114009","sales record")</f>
        <v>sales record</v>
      </c>
      <c r="AC4652" t="s">
        <v>3</v>
      </c>
      <c r="AD4652">
        <v>41.794443</v>
      </c>
      <c r="AE4652">
        <v>-88.220516</v>
      </c>
      <c r="AF4652" s="5" t="str">
        <f>HYPERLINK("https://www.google.com/maps/search/?api=1&amp;query=41.794443,-88.220516","map")</f>
        <v>map</v>
      </c>
    </row>
    <row r="4653" spans="1:32">
      <c r="A4653" t="s">
        <v>4703</v>
      </c>
      <c r="B4653" t="s">
        <v>12236</v>
      </c>
      <c r="C4653" t="s">
        <v>15478</v>
      </c>
      <c r="D4653" t="s">
        <v>16206</v>
      </c>
      <c r="E4653" t="s">
        <v>16218</v>
      </c>
      <c r="F4653" t="s">
        <v>16221</v>
      </c>
      <c r="G4653" t="s">
        <v>16277</v>
      </c>
      <c r="H4653" t="s">
        <v>16277</v>
      </c>
      <c r="I4653" t="s">
        <v>16353</v>
      </c>
      <c r="J4653" t="s">
        <v>16386</v>
      </c>
      <c r="K4653">
        <v>0.171</v>
      </c>
      <c r="L4653">
        <v>7446</v>
      </c>
      <c r="M4653">
        <v>3036</v>
      </c>
      <c r="N4653" t="s">
        <v>16393</v>
      </c>
      <c r="O4653" s="4">
        <v>120723</v>
      </c>
      <c r="P4653" s="4">
        <v>275565</v>
      </c>
      <c r="Q4653" s="4">
        <v>396288</v>
      </c>
      <c r="R4653" s="4">
        <v>1188864</v>
      </c>
      <c r="S4653" t="s">
        <v>20948</v>
      </c>
      <c r="T4653" s="6">
        <v>37926</v>
      </c>
      <c r="U4653" s="4">
        <v>889341</v>
      </c>
      <c r="V4653" t="s">
        <v>23739</v>
      </c>
      <c r="W4653" t="s">
        <v>26278</v>
      </c>
      <c r="X4653" t="s">
        <v>3</v>
      </c>
      <c r="AA4653" s="5" t="str">
        <f>HYPERLINK("https://www.zillow.com/homes/706-N-ELLSWORTH-ST-NAPERVILLE-IL-60563_rb/","check listing")</f>
        <v>check listing</v>
      </c>
      <c r="AB4653" s="5" t="str">
        <f>HYPERLINK("https://propertylookup.dupagecounty.gov/Datalets/Datalet.aspx?UseSearch=no&amp;mode=sales&amp;pin=0818111007","sales record")</f>
        <v>sales record</v>
      </c>
      <c r="AC4653" t="s">
        <v>3</v>
      </c>
      <c r="AD4653">
        <v>41.783178</v>
      </c>
      <c r="AE4653">
        <v>-88.144148</v>
      </c>
      <c r="AF4653" s="5" t="str">
        <f>HYPERLINK("https://www.google.com/maps/search/?api=1&amp;query=41.783178,-88.144148","map")</f>
        <v>map</v>
      </c>
    </row>
    <row r="4654" spans="1:32">
      <c r="A4654" t="s">
        <v>4704</v>
      </c>
      <c r="B4654" t="s">
        <v>12237</v>
      </c>
      <c r="C4654" t="s">
        <v>15475</v>
      </c>
      <c r="D4654" t="s">
        <v>16206</v>
      </c>
      <c r="E4654" t="s">
        <v>16218</v>
      </c>
      <c r="F4654" t="s">
        <v>16221</v>
      </c>
      <c r="G4654" t="s">
        <v>16278</v>
      </c>
      <c r="H4654" t="s">
        <v>16277</v>
      </c>
      <c r="I4654" t="s">
        <v>16353</v>
      </c>
      <c r="J4654" t="s">
        <v>16386</v>
      </c>
      <c r="K4654">
        <v>0.171</v>
      </c>
      <c r="L4654">
        <v>7446</v>
      </c>
      <c r="N4654" t="s">
        <v>16393</v>
      </c>
      <c r="O4654" s="4">
        <v>58341</v>
      </c>
      <c r="P4654" s="4">
        <v>161314</v>
      </c>
      <c r="Q4654" s="4">
        <v>219655</v>
      </c>
      <c r="R4654" s="4">
        <v>658965</v>
      </c>
      <c r="S4654" t="s">
        <v>20949</v>
      </c>
      <c r="T4654" s="6">
        <v>43040</v>
      </c>
      <c r="U4654" s="4">
        <v>463934</v>
      </c>
      <c r="V4654" t="s">
        <v>16232</v>
      </c>
      <c r="W4654" t="s">
        <v>26279</v>
      </c>
      <c r="X4654" t="s">
        <v>3</v>
      </c>
      <c r="AA4654" s="5" t="str">
        <f>HYPERLINK("https://www.zillow.com/homes/2559-BASIN-TRAIL-LN-NAPERVILLE-IL-60540_rb/","check listing")</f>
        <v>check listing</v>
      </c>
      <c r="AB4654" s="5" t="str">
        <f>HYPERLINK("https://propertylookup.dupagecounty.gov/Datalets/Datalet.aspx?UseSearch=no&amp;mode=sales&amp;pin=0709109031","sales record")</f>
        <v>sales record</v>
      </c>
      <c r="AC4654" t="s">
        <v>3</v>
      </c>
      <c r="AD4654">
        <v>41.795257</v>
      </c>
      <c r="AE4654">
        <v>-88.224762</v>
      </c>
      <c r="AF4654" s="5" t="str">
        <f>HYPERLINK("https://www.google.com/maps/search/?api=1&amp;query=41.795257,-88.224762","map")</f>
        <v>map</v>
      </c>
    </row>
    <row r="4655" spans="1:32">
      <c r="A4655" t="s">
        <v>4705</v>
      </c>
      <c r="B4655" t="s">
        <v>12238</v>
      </c>
      <c r="C4655" t="s">
        <v>15662</v>
      </c>
      <c r="D4655" t="s">
        <v>16206</v>
      </c>
      <c r="E4655" t="s">
        <v>16218</v>
      </c>
      <c r="F4655" t="s">
        <v>16221</v>
      </c>
      <c r="G4655" t="s">
        <v>16278</v>
      </c>
      <c r="H4655" t="s">
        <v>16277</v>
      </c>
      <c r="I4655" t="s">
        <v>16353</v>
      </c>
      <c r="J4655" t="s">
        <v>16386</v>
      </c>
      <c r="K4655">
        <v>0.171</v>
      </c>
      <c r="L4655">
        <v>7445</v>
      </c>
      <c r="N4655" t="s">
        <v>16393</v>
      </c>
      <c r="O4655" s="4">
        <v>56146</v>
      </c>
      <c r="P4655" s="4">
        <v>238616</v>
      </c>
      <c r="Q4655" s="4">
        <v>294762</v>
      </c>
      <c r="R4655" s="4">
        <v>884286</v>
      </c>
      <c r="S4655" t="s">
        <v>20950</v>
      </c>
      <c r="T4655" s="6">
        <v>45308</v>
      </c>
      <c r="U4655" s="4">
        <v>842609</v>
      </c>
      <c r="V4655" t="s">
        <v>16232</v>
      </c>
      <c r="W4655" t="s">
        <v>26280</v>
      </c>
      <c r="X4655" t="s">
        <v>3</v>
      </c>
      <c r="AA4655" s="5" t="str">
        <f>HYPERLINK("https://www.zillow.com/homes/1147-HIBBARD-RD-NAPERVILLE-IL-605631594_rb/","check listing")</f>
        <v>check listing</v>
      </c>
      <c r="AB4655" s="5" t="str">
        <f>HYPERLINK("https://propertylookup.dupagecounty.gov/Datalets/Datalet.aspx?UseSearch=no&amp;mode=sales&amp;pin=0532302001","sales record")</f>
        <v>sales record</v>
      </c>
      <c r="AC4655" t="s">
        <v>3</v>
      </c>
      <c r="AD4655">
        <v>41.819212</v>
      </c>
      <c r="AE4655">
        <v>-88.122939</v>
      </c>
      <c r="AF4655" s="5" t="str">
        <f>HYPERLINK("https://www.google.com/maps/search/?api=1&amp;query=41.819212,-88.122939","map")</f>
        <v>map</v>
      </c>
    </row>
    <row r="4656" spans="1:32">
      <c r="A4656" t="s">
        <v>4706</v>
      </c>
      <c r="B4656" t="s">
        <v>12239</v>
      </c>
      <c r="C4656" t="s">
        <v>15478</v>
      </c>
      <c r="D4656" t="s">
        <v>16206</v>
      </c>
      <c r="E4656" t="s">
        <v>16218</v>
      </c>
      <c r="F4656" t="s">
        <v>16221</v>
      </c>
      <c r="G4656" t="s">
        <v>16277</v>
      </c>
      <c r="H4656" t="s">
        <v>16277</v>
      </c>
      <c r="I4656" t="s">
        <v>16353</v>
      </c>
      <c r="J4656" t="s">
        <v>16386</v>
      </c>
      <c r="K4656">
        <v>0.171</v>
      </c>
      <c r="L4656">
        <v>7445</v>
      </c>
      <c r="M4656">
        <v>3317</v>
      </c>
      <c r="N4656" t="s">
        <v>16393</v>
      </c>
      <c r="O4656" s="4">
        <v>119856</v>
      </c>
      <c r="P4656" s="4">
        <v>82100</v>
      </c>
      <c r="Q4656" s="4">
        <v>201956</v>
      </c>
      <c r="R4656" s="4">
        <v>605868</v>
      </c>
      <c r="S4656" t="s">
        <v>20951</v>
      </c>
      <c r="T4656" s="6">
        <v>36342</v>
      </c>
      <c r="U4656" s="4">
        <v>296000</v>
      </c>
      <c r="X4656" t="s">
        <v>3</v>
      </c>
      <c r="AA4656" s="5" t="str">
        <f>HYPERLINK("https://www.zillow.com/homes/716-N-ELLSWORTH-ST-NAPERVILLE-IL-60563_rb/","check listing")</f>
        <v>check listing</v>
      </c>
      <c r="AB4656" s="5" t="str">
        <f>HYPERLINK("https://propertylookup.dupagecounty.gov/Datalets/Datalet.aspx?UseSearch=no&amp;mode=sales&amp;pin=0818111005","sales record")</f>
        <v>sales record</v>
      </c>
      <c r="AC4656" t="s">
        <v>3</v>
      </c>
      <c r="AD4656">
        <v>41.783453</v>
      </c>
      <c r="AE4656">
        <v>-88.14413</v>
      </c>
      <c r="AF4656" s="5" t="str">
        <f>HYPERLINK("https://www.google.com/maps/search/?api=1&amp;query=41.783453,-88.14413","map")</f>
        <v>map</v>
      </c>
    </row>
    <row r="4657" spans="1:32">
      <c r="A4657" t="s">
        <v>4707</v>
      </c>
      <c r="B4657" t="s">
        <v>12240</v>
      </c>
      <c r="C4657" t="s">
        <v>15769</v>
      </c>
      <c r="D4657" t="s">
        <v>16206</v>
      </c>
      <c r="E4657" t="s">
        <v>16218</v>
      </c>
      <c r="F4657" t="s">
        <v>16221</v>
      </c>
      <c r="G4657" t="s">
        <v>16277</v>
      </c>
      <c r="H4657" t="s">
        <v>16277</v>
      </c>
      <c r="I4657" t="s">
        <v>16353</v>
      </c>
      <c r="J4657" t="s">
        <v>16386</v>
      </c>
      <c r="K4657">
        <v>0.171</v>
      </c>
      <c r="L4657">
        <v>7444</v>
      </c>
      <c r="M4657">
        <v>2632</v>
      </c>
      <c r="N4657" t="s">
        <v>16393</v>
      </c>
      <c r="O4657" s="4">
        <v>120723</v>
      </c>
      <c r="P4657" s="4">
        <v>176305</v>
      </c>
      <c r="Q4657" s="4">
        <v>297028</v>
      </c>
      <c r="R4657" s="4">
        <v>891084</v>
      </c>
      <c r="S4657" t="s">
        <v>20952</v>
      </c>
      <c r="T4657" s="6">
        <v>44287</v>
      </c>
      <c r="U4657" s="4">
        <v>750000</v>
      </c>
      <c r="V4657" t="s">
        <v>23739</v>
      </c>
      <c r="W4657" t="s">
        <v>26281</v>
      </c>
      <c r="X4657" t="s">
        <v>3</v>
      </c>
      <c r="AA4657" s="5" t="str">
        <f>HYPERLINK("https://www.zillow.com/homes/219-N-HUFFMAN-ST-NAPERVILLE-IL-605404818_rb/","check listing")</f>
        <v>check listing</v>
      </c>
      <c r="AB4657" s="5" t="str">
        <f>HYPERLINK("https://propertylookup.dupagecounty.gov/Datalets/Datalet.aspx?UseSearch=no&amp;mode=sales&amp;pin=0818210006","sales record")</f>
        <v>sales record</v>
      </c>
      <c r="AC4657" t="s">
        <v>3</v>
      </c>
      <c r="AD4657">
        <v>41.777945</v>
      </c>
      <c r="AE4657">
        <v>-88.13563600000001</v>
      </c>
      <c r="AF4657" s="5" t="str">
        <f>HYPERLINK("https://www.google.com/maps/search/?api=1&amp;query=41.777945,-88.135636","map")</f>
        <v>map</v>
      </c>
    </row>
    <row r="4658" spans="1:32">
      <c r="A4658" t="s">
        <v>4708</v>
      </c>
      <c r="B4658" t="s">
        <v>12241</v>
      </c>
      <c r="C4658" t="s">
        <v>15478</v>
      </c>
      <c r="D4658" t="s">
        <v>16206</v>
      </c>
      <c r="E4658" t="s">
        <v>16218</v>
      </c>
      <c r="F4658" t="s">
        <v>16221</v>
      </c>
      <c r="G4658" t="s">
        <v>16277</v>
      </c>
      <c r="H4658" t="s">
        <v>16277</v>
      </c>
      <c r="I4658" t="s">
        <v>16353</v>
      </c>
      <c r="J4658" t="s">
        <v>16386</v>
      </c>
      <c r="K4658">
        <v>0.171</v>
      </c>
      <c r="L4658">
        <v>7444</v>
      </c>
      <c r="M4658">
        <v>2672</v>
      </c>
      <c r="N4658" t="s">
        <v>16393</v>
      </c>
      <c r="O4658" s="4">
        <v>120723</v>
      </c>
      <c r="P4658" s="4">
        <v>214822</v>
      </c>
      <c r="Q4658" s="4">
        <v>335545</v>
      </c>
      <c r="R4658" s="4">
        <v>1006635</v>
      </c>
      <c r="S4658" t="s">
        <v>20953</v>
      </c>
      <c r="T4658" s="6">
        <v>44013</v>
      </c>
      <c r="U4658" s="4">
        <v>765000</v>
      </c>
      <c r="V4658" t="s">
        <v>23739</v>
      </c>
      <c r="W4658" t="s">
        <v>26282</v>
      </c>
      <c r="X4658" t="s">
        <v>3</v>
      </c>
      <c r="AA4658" s="5" t="str">
        <f>HYPERLINK("https://www.zillow.com/homes/710-N-ELLSWORTH-ST-NAPERVILLE-IL-60563_rb/","check listing")</f>
        <v>check listing</v>
      </c>
      <c r="AB4658" s="5" t="str">
        <f>HYPERLINK("https://propertylookup.dupagecounty.gov/Datalets/Datalet.aspx?UseSearch=no&amp;mode=sales&amp;pin=0818111006","sales record")</f>
        <v>sales record</v>
      </c>
      <c r="AC4658" t="s">
        <v>3</v>
      </c>
      <c r="AD4658">
        <v>41.783315</v>
      </c>
      <c r="AE4658">
        <v>-88.144139</v>
      </c>
      <c r="AF4658" s="5" t="str">
        <f>HYPERLINK("https://www.google.com/maps/search/?api=1&amp;query=41.783315,-88.144139","map")</f>
        <v>map</v>
      </c>
    </row>
    <row r="4659" spans="1:32">
      <c r="A4659" t="s">
        <v>4709</v>
      </c>
      <c r="B4659" t="s">
        <v>12242</v>
      </c>
      <c r="C4659" t="s">
        <v>15632</v>
      </c>
      <c r="D4659" t="s">
        <v>16206</v>
      </c>
      <c r="E4659" t="s">
        <v>16218</v>
      </c>
      <c r="F4659" t="s">
        <v>16221</v>
      </c>
      <c r="G4659" t="s">
        <v>16278</v>
      </c>
      <c r="H4659" t="s">
        <v>16277</v>
      </c>
      <c r="I4659" t="s">
        <v>16353</v>
      </c>
      <c r="J4659" t="s">
        <v>16386</v>
      </c>
      <c r="K4659">
        <v>0.171</v>
      </c>
      <c r="L4659">
        <v>7441</v>
      </c>
      <c r="N4659" t="s">
        <v>16393</v>
      </c>
      <c r="O4659" s="4">
        <v>58341</v>
      </c>
      <c r="P4659" s="4">
        <v>155885</v>
      </c>
      <c r="Q4659" s="4">
        <v>214226</v>
      </c>
      <c r="R4659" s="4">
        <v>642678</v>
      </c>
      <c r="S4659" t="s">
        <v>20954</v>
      </c>
      <c r="T4659" s="6">
        <v>43040</v>
      </c>
      <c r="U4659" s="4">
        <v>472222</v>
      </c>
      <c r="V4659" t="s">
        <v>16232</v>
      </c>
      <c r="W4659" t="s">
        <v>26283</v>
      </c>
      <c r="X4659" t="s">
        <v>3</v>
      </c>
      <c r="AA4659" s="5" t="str">
        <f>HYPERLINK("https://www.zillow.com/homes/2567-BASIN-TRAIL-LN-NAPERVILLE-IL-605633593_rb/","check listing")</f>
        <v>check listing</v>
      </c>
      <c r="AB4659" s="5" t="str">
        <f>HYPERLINK("https://propertylookup.dupagecounty.gov/Datalets/Datalet.aspx?UseSearch=no&amp;mode=sales&amp;pin=0709109033","sales record")</f>
        <v>sales record</v>
      </c>
      <c r="AC4659" t="s">
        <v>3</v>
      </c>
      <c r="AD4659">
        <v>41.794978</v>
      </c>
      <c r="AE4659">
        <v>-88.224763</v>
      </c>
      <c r="AF4659" s="5" t="str">
        <f>HYPERLINK("https://www.google.com/maps/search/?api=1&amp;query=41.794978,-88.224763","map")</f>
        <v>map</v>
      </c>
    </row>
    <row r="4660" spans="1:32">
      <c r="A4660" t="s">
        <v>4710</v>
      </c>
      <c r="B4660" t="s">
        <v>12243</v>
      </c>
      <c r="C4660" t="s">
        <v>15475</v>
      </c>
      <c r="D4660" t="s">
        <v>16206</v>
      </c>
      <c r="E4660" t="s">
        <v>16218</v>
      </c>
      <c r="F4660" t="s">
        <v>16221</v>
      </c>
      <c r="G4660" t="s">
        <v>16277</v>
      </c>
      <c r="H4660" t="s">
        <v>16277</v>
      </c>
      <c r="I4660" t="s">
        <v>16353</v>
      </c>
      <c r="J4660" t="s">
        <v>16386</v>
      </c>
      <c r="K4660">
        <v>0.171</v>
      </c>
      <c r="L4660">
        <v>7440</v>
      </c>
      <c r="M4660">
        <v>2858</v>
      </c>
      <c r="N4660" t="s">
        <v>16393</v>
      </c>
      <c r="O4660" s="4">
        <v>131890</v>
      </c>
      <c r="P4660" s="4">
        <v>124767</v>
      </c>
      <c r="Q4660" s="4">
        <v>256657</v>
      </c>
      <c r="R4660" s="4">
        <v>769971</v>
      </c>
      <c r="S4660" t="s">
        <v>20955</v>
      </c>
      <c r="T4660" s="6">
        <v>31625</v>
      </c>
      <c r="U4660" s="4">
        <v>158000</v>
      </c>
      <c r="X4660" t="s">
        <v>3</v>
      </c>
      <c r="AA4660" s="5" t="str">
        <f>HYPERLINK("https://www.zillow.com/homes/130-S-SLEIGHT-ST-NAPERVILLE-IL-60540_rb/","check listing")</f>
        <v>check listing</v>
      </c>
      <c r="AB4660" s="5" t="str">
        <f>HYPERLINK("https://propertylookup.dupagecounty.gov/Datalets/Datalet.aspx?UseSearch=no&amp;mode=sales&amp;pin=0818322005","sales record")</f>
        <v>sales record</v>
      </c>
      <c r="AC4660" t="s">
        <v>27873</v>
      </c>
      <c r="AD4660">
        <v>41.773064</v>
      </c>
      <c r="AE4660">
        <v>-88.140567</v>
      </c>
      <c r="AF4660" s="5" t="str">
        <f>HYPERLINK("https://www.google.com/maps/search/?api=1&amp;query=41.773064,-88.140567","map")</f>
        <v>map</v>
      </c>
    </row>
    <row r="4661" spans="1:32">
      <c r="A4661" t="s">
        <v>4711</v>
      </c>
      <c r="B4661" t="s">
        <v>12244</v>
      </c>
      <c r="C4661" t="s">
        <v>15478</v>
      </c>
      <c r="D4661" t="s">
        <v>16206</v>
      </c>
      <c r="E4661" t="s">
        <v>16218</v>
      </c>
      <c r="F4661" t="s">
        <v>16221</v>
      </c>
      <c r="G4661" t="s">
        <v>16277</v>
      </c>
      <c r="H4661" t="s">
        <v>16277</v>
      </c>
      <c r="I4661" t="s">
        <v>16353</v>
      </c>
      <c r="J4661" t="s">
        <v>16386</v>
      </c>
      <c r="K4661">
        <v>0.171</v>
      </c>
      <c r="L4661">
        <v>7440</v>
      </c>
      <c r="M4661">
        <v>2952</v>
      </c>
      <c r="N4661" t="s">
        <v>16393</v>
      </c>
      <c r="O4661" s="4">
        <v>87190</v>
      </c>
      <c r="P4661" s="4">
        <v>76368</v>
      </c>
      <c r="Q4661" s="4">
        <v>163558</v>
      </c>
      <c r="R4661" s="4">
        <v>490674</v>
      </c>
      <c r="S4661" t="s">
        <v>20956</v>
      </c>
      <c r="T4661" s="6">
        <v>44830</v>
      </c>
      <c r="U4661" s="4">
        <v>445000</v>
      </c>
      <c r="V4661" t="s">
        <v>23739</v>
      </c>
      <c r="W4661" t="s">
        <v>26284</v>
      </c>
      <c r="X4661" t="s">
        <v>3</v>
      </c>
      <c r="AA4661" s="5" t="str">
        <f>HYPERLINK("https://www.zillow.com/homes/835-N-CENTER-ST-NAPERVILLE-IL-60563_rb/","check listing")</f>
        <v>check listing</v>
      </c>
      <c r="AB4661" s="5" t="str">
        <f>HYPERLINK("https://propertylookup.dupagecounty.gov/Datalets/Datalet.aspx?UseSearch=no&amp;mode=sales&amp;pin=0807313007","sales record")</f>
        <v>sales record</v>
      </c>
      <c r="AC4661" t="s">
        <v>27873</v>
      </c>
      <c r="AD4661">
        <v>41.785218</v>
      </c>
      <c r="AE4661">
        <v>-88.146207</v>
      </c>
      <c r="AF4661" s="5" t="str">
        <f>HYPERLINK("https://www.google.com/maps/search/?api=1&amp;query=41.785218,-88.146207","map")</f>
        <v>map</v>
      </c>
    </row>
    <row r="4662" spans="1:32">
      <c r="A4662" t="s">
        <v>4712</v>
      </c>
      <c r="B4662" t="s">
        <v>12245</v>
      </c>
      <c r="C4662" t="s">
        <v>15770</v>
      </c>
      <c r="D4662" t="s">
        <v>16206</v>
      </c>
      <c r="E4662" t="s">
        <v>16218</v>
      </c>
      <c r="F4662" t="s">
        <v>16221</v>
      </c>
      <c r="G4662" t="s">
        <v>16277</v>
      </c>
      <c r="H4662" t="s">
        <v>16277</v>
      </c>
      <c r="I4662" t="s">
        <v>16353</v>
      </c>
      <c r="J4662" t="s">
        <v>16386</v>
      </c>
      <c r="K4662">
        <v>0.171</v>
      </c>
      <c r="L4662">
        <v>7440</v>
      </c>
      <c r="M4662">
        <v>2526</v>
      </c>
      <c r="N4662" t="s">
        <v>16393</v>
      </c>
      <c r="O4662" s="4">
        <v>119856</v>
      </c>
      <c r="P4662" s="4">
        <v>134756</v>
      </c>
      <c r="Q4662" s="4">
        <v>254612</v>
      </c>
      <c r="R4662" s="4">
        <v>763836</v>
      </c>
      <c r="S4662" t="s">
        <v>20957</v>
      </c>
      <c r="T4662" s="6">
        <v>34335</v>
      </c>
      <c r="U4662" s="4">
        <v>168800</v>
      </c>
      <c r="X4662" t="s">
        <v>3</v>
      </c>
      <c r="AA4662" s="5" t="str">
        <f>HYPERLINK("https://www.zillow.com/homes/720-N-ELLSWORTH-ST-NAPERVILLE-IL-605633149_rb/","check listing")</f>
        <v>check listing</v>
      </c>
      <c r="AB4662" s="5" t="str">
        <f>HYPERLINK("https://propertylookup.dupagecounty.gov/Datalets/Datalet.aspx?UseSearch=no&amp;mode=sales&amp;pin=0818111004","sales record")</f>
        <v>sales record</v>
      </c>
      <c r="AC4662" t="s">
        <v>3</v>
      </c>
      <c r="AD4662">
        <v>41.78359</v>
      </c>
      <c r="AE4662">
        <v>-88.144122</v>
      </c>
      <c r="AF4662" s="5" t="str">
        <f>HYPERLINK("https://www.google.com/maps/search/?api=1&amp;query=41.78359,-88.144122","map")</f>
        <v>map</v>
      </c>
    </row>
    <row r="4663" spans="1:32">
      <c r="A4663" t="s">
        <v>4713</v>
      </c>
      <c r="B4663" t="s">
        <v>12246</v>
      </c>
      <c r="C4663" t="s">
        <v>15770</v>
      </c>
      <c r="D4663" t="s">
        <v>16206</v>
      </c>
      <c r="E4663" t="s">
        <v>16218</v>
      </c>
      <c r="F4663" t="s">
        <v>16221</v>
      </c>
      <c r="G4663" t="s">
        <v>16277</v>
      </c>
      <c r="H4663" t="s">
        <v>16277</v>
      </c>
      <c r="I4663" t="s">
        <v>16353</v>
      </c>
      <c r="J4663" t="s">
        <v>16386</v>
      </c>
      <c r="K4663">
        <v>0.171</v>
      </c>
      <c r="L4663">
        <v>7439</v>
      </c>
      <c r="M4663">
        <v>3416</v>
      </c>
      <c r="N4663" t="s">
        <v>16393</v>
      </c>
      <c r="O4663" s="4">
        <v>119856</v>
      </c>
      <c r="P4663" s="4">
        <v>44974</v>
      </c>
      <c r="Q4663" s="4">
        <v>164830</v>
      </c>
      <c r="R4663" s="4">
        <v>494490</v>
      </c>
      <c r="S4663" t="s">
        <v>20958</v>
      </c>
      <c r="T4663" s="6">
        <v>45523</v>
      </c>
      <c r="U4663" s="4">
        <v>284000</v>
      </c>
      <c r="V4663" t="s">
        <v>23741</v>
      </c>
      <c r="W4663" t="s">
        <v>26285</v>
      </c>
      <c r="X4663" t="s">
        <v>3</v>
      </c>
      <c r="AA4663" s="5" t="str">
        <f>HYPERLINK("https://www.zillow.com/homes/732-N-ELLSWORTH-ST-NAPERVILLE-IL-605633149_rb/","check listing")</f>
        <v>check listing</v>
      </c>
      <c r="AB4663" s="5" t="str">
        <f>HYPERLINK("https://propertylookup.dupagecounty.gov/Datalets/Datalet.aspx?UseSearch=no&amp;mode=sales&amp;pin=0818111002","sales record")</f>
        <v>sales record</v>
      </c>
      <c r="AC4663" t="s">
        <v>27873</v>
      </c>
      <c r="AD4663">
        <v>41.783865</v>
      </c>
      <c r="AE4663">
        <v>-88.144104</v>
      </c>
      <c r="AF4663" s="5" t="str">
        <f>HYPERLINK("https://www.google.com/maps/search/?api=1&amp;query=41.783865,-88.144104","map")</f>
        <v>map</v>
      </c>
    </row>
    <row r="4664" spans="1:32">
      <c r="A4664" t="s">
        <v>4714</v>
      </c>
      <c r="B4664" t="s">
        <v>12247</v>
      </c>
      <c r="C4664" t="s">
        <v>15475</v>
      </c>
      <c r="D4664" t="s">
        <v>16206</v>
      </c>
      <c r="E4664" t="s">
        <v>16218</v>
      </c>
      <c r="F4664" t="s">
        <v>16221</v>
      </c>
      <c r="G4664" t="s">
        <v>16277</v>
      </c>
      <c r="H4664" t="s">
        <v>16277</v>
      </c>
      <c r="I4664" t="s">
        <v>16353</v>
      </c>
      <c r="J4664" t="s">
        <v>16386</v>
      </c>
      <c r="K4664">
        <v>0.171</v>
      </c>
      <c r="L4664">
        <v>7439</v>
      </c>
      <c r="M4664">
        <v>3466</v>
      </c>
      <c r="N4664" t="s">
        <v>16393</v>
      </c>
      <c r="O4664" s="4">
        <v>120723</v>
      </c>
      <c r="P4664" s="4">
        <v>241817</v>
      </c>
      <c r="Q4664" s="4">
        <v>362540</v>
      </c>
      <c r="R4664" s="4">
        <v>1087620</v>
      </c>
      <c r="S4664" t="s">
        <v>20959</v>
      </c>
      <c r="T4664" s="6">
        <v>38626</v>
      </c>
      <c r="U4664" s="4">
        <v>864495</v>
      </c>
      <c r="V4664" t="s">
        <v>23739</v>
      </c>
      <c r="W4664" t="s">
        <v>26286</v>
      </c>
      <c r="X4664" t="s">
        <v>3</v>
      </c>
      <c r="AA4664" s="5" t="str">
        <f>HYPERLINK("https://www.zillow.com/homes/736-N-CENTER-ST-NAPERVILLE-IL-60540_rb/","check listing")</f>
        <v>check listing</v>
      </c>
      <c r="AB4664" s="5" t="str">
        <f>HYPERLINK("https://propertylookup.dupagecounty.gov/Datalets/Datalet.aspx?UseSearch=no&amp;mode=sales&amp;pin=0818106001","sales record")</f>
        <v>sales record</v>
      </c>
      <c r="AC4664" t="s">
        <v>3</v>
      </c>
      <c r="AD4664">
        <v>41.784057</v>
      </c>
      <c r="AE4664">
        <v>-88.145494</v>
      </c>
      <c r="AF4664" s="5" t="str">
        <f>HYPERLINK("https://www.google.com/maps/search/?api=1&amp;query=41.784057,-88.145494","map")</f>
        <v>map</v>
      </c>
    </row>
    <row r="4665" spans="1:32">
      <c r="A4665" t="s">
        <v>4715</v>
      </c>
      <c r="B4665" t="s">
        <v>12248</v>
      </c>
      <c r="C4665" t="s">
        <v>15475</v>
      </c>
      <c r="D4665" t="s">
        <v>16206</v>
      </c>
      <c r="E4665" t="s">
        <v>16218</v>
      </c>
      <c r="F4665" t="s">
        <v>16221</v>
      </c>
      <c r="G4665" t="s">
        <v>16277</v>
      </c>
      <c r="H4665" t="s">
        <v>16277</v>
      </c>
      <c r="I4665" t="s">
        <v>16353</v>
      </c>
      <c r="J4665" t="s">
        <v>16386</v>
      </c>
      <c r="K4665">
        <v>0.171</v>
      </c>
      <c r="L4665">
        <v>7438</v>
      </c>
      <c r="M4665">
        <v>1855</v>
      </c>
      <c r="N4665" t="s">
        <v>16393</v>
      </c>
      <c r="O4665" s="4">
        <v>131890</v>
      </c>
      <c r="P4665" s="4">
        <v>83277</v>
      </c>
      <c r="Q4665" s="4">
        <v>215167</v>
      </c>
      <c r="R4665" s="4">
        <v>645501</v>
      </c>
      <c r="S4665" t="s">
        <v>20960</v>
      </c>
      <c r="T4665" s="6">
        <v>43617</v>
      </c>
      <c r="U4665" s="4">
        <v>526500</v>
      </c>
      <c r="V4665" t="s">
        <v>23739</v>
      </c>
      <c r="W4665" t="s">
        <v>20960</v>
      </c>
      <c r="X4665" t="s">
        <v>3</v>
      </c>
      <c r="AA4665" s="5" t="str">
        <f>HYPERLINK("https://www.zillow.com/homes/136-S-SLEIGHT-ST-NAPERVILLE-IL-60540_rb/","check listing")</f>
        <v>check listing</v>
      </c>
      <c r="AB4665" s="5" t="str">
        <f>HYPERLINK("https://propertylookup.dupagecounty.gov/Datalets/Datalet.aspx?UseSearch=no&amp;mode=sales&amp;pin=0818322006","sales record")</f>
        <v>sales record</v>
      </c>
      <c r="AC4665" t="s">
        <v>3</v>
      </c>
      <c r="AD4665">
        <v>41.772928</v>
      </c>
      <c r="AE4665">
        <v>-88.140575</v>
      </c>
      <c r="AF4665" s="5" t="str">
        <f>HYPERLINK("https://www.google.com/maps/search/?api=1&amp;query=41.772928,-88.140575","map")</f>
        <v>map</v>
      </c>
    </row>
    <row r="4666" spans="1:32">
      <c r="A4666" t="s">
        <v>4716</v>
      </c>
      <c r="B4666" t="s">
        <v>12249</v>
      </c>
      <c r="C4666" t="s">
        <v>15645</v>
      </c>
      <c r="D4666" t="s">
        <v>16206</v>
      </c>
      <c r="E4666" t="s">
        <v>16218</v>
      </c>
      <c r="F4666" t="s">
        <v>16221</v>
      </c>
      <c r="G4666" t="s">
        <v>16278</v>
      </c>
      <c r="H4666" t="s">
        <v>16277</v>
      </c>
      <c r="I4666" t="s">
        <v>16353</v>
      </c>
      <c r="J4666" t="s">
        <v>16386</v>
      </c>
      <c r="K4666">
        <v>0.171</v>
      </c>
      <c r="L4666">
        <v>7438</v>
      </c>
      <c r="N4666" t="s">
        <v>16393</v>
      </c>
      <c r="O4666" s="4">
        <v>64480</v>
      </c>
      <c r="P4666" s="4">
        <v>143362</v>
      </c>
      <c r="Q4666" s="4">
        <v>207842</v>
      </c>
      <c r="R4666" s="4">
        <v>623526</v>
      </c>
      <c r="S4666" t="s">
        <v>20961</v>
      </c>
      <c r="T4666" s="6">
        <v>42887</v>
      </c>
      <c r="U4666" s="4">
        <v>431634</v>
      </c>
      <c r="V4666" t="s">
        <v>16232</v>
      </c>
      <c r="W4666" t="s">
        <v>26287</v>
      </c>
      <c r="X4666" t="s">
        <v>3</v>
      </c>
      <c r="AA4666" s="5" t="str">
        <f>HYPERLINK("https://www.zillow.com/homes/2516-BASIN-TRAIL-LN-NAPERVILLE-IL-605633595_rb/","check listing")</f>
        <v>check listing</v>
      </c>
      <c r="AB4666" s="5" t="str">
        <f>HYPERLINK("https://propertylookup.dupagecounty.gov/Datalets/Datalet.aspx?UseSearch=no&amp;mode=sales&amp;pin=0709110007","sales record")</f>
        <v>sales record</v>
      </c>
      <c r="AC4666" t="s">
        <v>3</v>
      </c>
      <c r="AD4666">
        <v>41.795438</v>
      </c>
      <c r="AE4666">
        <v>-88.22293999999999</v>
      </c>
      <c r="AF4666" s="5" t="str">
        <f>HYPERLINK("https://www.google.com/maps/search/?api=1&amp;query=41.795438,-88.22294","map")</f>
        <v>map</v>
      </c>
    </row>
    <row r="4667" spans="1:32">
      <c r="A4667" t="s">
        <v>4717</v>
      </c>
      <c r="B4667" t="s">
        <v>12250</v>
      </c>
      <c r="C4667" t="s">
        <v>15771</v>
      </c>
      <c r="D4667" t="s">
        <v>16206</v>
      </c>
      <c r="E4667" t="s">
        <v>16218</v>
      </c>
      <c r="F4667" t="s">
        <v>16221</v>
      </c>
      <c r="G4667" t="s">
        <v>16277</v>
      </c>
      <c r="H4667" t="s">
        <v>16277</v>
      </c>
      <c r="I4667" t="s">
        <v>16353</v>
      </c>
      <c r="J4667" t="s">
        <v>16386</v>
      </c>
      <c r="K4667">
        <v>0.171</v>
      </c>
      <c r="L4667">
        <v>7438</v>
      </c>
      <c r="M4667">
        <v>1341</v>
      </c>
      <c r="N4667" t="s">
        <v>16393</v>
      </c>
      <c r="O4667" s="4">
        <v>119856</v>
      </c>
      <c r="P4667" s="4">
        <v>64726</v>
      </c>
      <c r="Q4667" s="4">
        <v>184582</v>
      </c>
      <c r="R4667" s="4">
        <v>553746</v>
      </c>
      <c r="S4667" t="s">
        <v>20962</v>
      </c>
      <c r="T4667" s="6">
        <v>44621</v>
      </c>
      <c r="U4667" s="4">
        <v>500000</v>
      </c>
      <c r="V4667" t="s">
        <v>23739</v>
      </c>
      <c r="W4667" t="s">
        <v>20962</v>
      </c>
      <c r="X4667" t="s">
        <v>3</v>
      </c>
      <c r="AA4667" s="5" t="str">
        <f>HYPERLINK("https://www.zillow.com/homes/730-N-CENTER-ST-NAPERVILLE-IL-605633141_rb/","check listing")</f>
        <v>check listing</v>
      </c>
      <c r="AB4667" s="5" t="str">
        <f>HYPERLINK("https://propertylookup.dupagecounty.gov/Datalets/Datalet.aspx?UseSearch=no&amp;mode=sales&amp;pin=0818106002","sales record")</f>
        <v>sales record</v>
      </c>
      <c r="AC4667" t="s">
        <v>3</v>
      </c>
      <c r="AD4667">
        <v>41.783921</v>
      </c>
      <c r="AE4667">
        <v>-88.14550300000001</v>
      </c>
      <c r="AF4667" s="5" t="str">
        <f>HYPERLINK("https://www.google.com/maps/search/?api=1&amp;query=41.783921,-88.145503","map")</f>
        <v>map</v>
      </c>
    </row>
    <row r="4668" spans="1:32">
      <c r="A4668" t="s">
        <v>4718</v>
      </c>
      <c r="B4668" t="s">
        <v>12251</v>
      </c>
      <c r="C4668" t="s">
        <v>15770</v>
      </c>
      <c r="D4668" t="s">
        <v>16206</v>
      </c>
      <c r="E4668" t="s">
        <v>16218</v>
      </c>
      <c r="F4668" t="s">
        <v>16221</v>
      </c>
      <c r="G4668" t="s">
        <v>16277</v>
      </c>
      <c r="H4668" t="s">
        <v>16277</v>
      </c>
      <c r="I4668" t="s">
        <v>16353</v>
      </c>
      <c r="J4668" t="s">
        <v>16386</v>
      </c>
      <c r="K4668">
        <v>0.171</v>
      </c>
      <c r="L4668">
        <v>7438</v>
      </c>
      <c r="M4668">
        <v>1583</v>
      </c>
      <c r="N4668" t="s">
        <v>16393</v>
      </c>
      <c r="O4668" s="4">
        <v>119856</v>
      </c>
      <c r="P4668" s="4">
        <v>41347</v>
      </c>
      <c r="Q4668" s="4">
        <v>161203</v>
      </c>
      <c r="R4668" s="4">
        <v>483609</v>
      </c>
      <c r="S4668" t="s">
        <v>20963</v>
      </c>
      <c r="X4668" t="s">
        <v>3</v>
      </c>
      <c r="AA4668" s="5" t="str">
        <f>HYPERLINK("https://www.zillow.com/homes/726-N-ELLSWORTH-ST-NAPERVILLE-IL-605633149_rb/","check listing")</f>
        <v>check listing</v>
      </c>
      <c r="AB4668" s="5" t="str">
        <f>HYPERLINK("https://propertylookup.dupagecounty.gov/Datalets/Datalet.aspx?UseSearch=no&amp;mode=sales&amp;pin=0818111003","sales record")</f>
        <v>sales record</v>
      </c>
      <c r="AC4668" t="s">
        <v>27873</v>
      </c>
      <c r="AD4668">
        <v>41.783728</v>
      </c>
      <c r="AE4668">
        <v>-88.144113</v>
      </c>
      <c r="AF4668" s="5" t="str">
        <f>HYPERLINK("https://www.google.com/maps/search/?api=1&amp;query=41.783728,-88.144113","map")</f>
        <v>map</v>
      </c>
    </row>
    <row r="4669" spans="1:32">
      <c r="A4669" t="s">
        <v>4719</v>
      </c>
      <c r="B4669" t="s">
        <v>12252</v>
      </c>
      <c r="C4669" t="s">
        <v>15475</v>
      </c>
      <c r="D4669" t="s">
        <v>16206</v>
      </c>
      <c r="E4669" t="s">
        <v>16218</v>
      </c>
      <c r="F4669" t="s">
        <v>16221</v>
      </c>
      <c r="G4669" t="s">
        <v>16277</v>
      </c>
      <c r="H4669" t="s">
        <v>16277</v>
      </c>
      <c r="I4669" t="s">
        <v>16353</v>
      </c>
      <c r="J4669" t="s">
        <v>16386</v>
      </c>
      <c r="K4669">
        <v>0.171</v>
      </c>
      <c r="L4669">
        <v>7437</v>
      </c>
      <c r="M4669">
        <v>2572</v>
      </c>
      <c r="N4669" t="s">
        <v>16393</v>
      </c>
      <c r="O4669" s="4">
        <v>119856</v>
      </c>
      <c r="P4669" s="4">
        <v>134054</v>
      </c>
      <c r="Q4669" s="4">
        <v>253910</v>
      </c>
      <c r="R4669" s="4">
        <v>761730</v>
      </c>
      <c r="S4669" t="s">
        <v>20964</v>
      </c>
      <c r="T4669" s="6">
        <v>33451</v>
      </c>
      <c r="U4669" s="4">
        <v>72500</v>
      </c>
      <c r="X4669" t="s">
        <v>3</v>
      </c>
      <c r="AA4669" s="5" t="str">
        <f>HYPERLINK("https://www.zillow.com/homes/228-N-JULIAN-ST-NAPERVILLE-IL-60540_rb/","check listing")</f>
        <v>check listing</v>
      </c>
      <c r="AB4669" s="5" t="str">
        <f>HYPERLINK("https://propertylookup.dupagecounty.gov/Datalets/Datalet.aspx?UseSearch=no&amp;mode=sales&amp;pin=0818210001","sales record")</f>
        <v>sales record</v>
      </c>
      <c r="AC4669" t="s">
        <v>3</v>
      </c>
      <c r="AD4669">
        <v>41.77796</v>
      </c>
      <c r="AE4669">
        <v>-88.136185</v>
      </c>
      <c r="AF4669" s="5" t="str">
        <f>HYPERLINK("https://www.google.com/maps/search/?api=1&amp;query=41.77796,-88.136185","map")</f>
        <v>map</v>
      </c>
    </row>
    <row r="4670" spans="1:32">
      <c r="A4670" t="s">
        <v>4720</v>
      </c>
      <c r="B4670" t="s">
        <v>12253</v>
      </c>
      <c r="C4670" t="s">
        <v>15630</v>
      </c>
      <c r="D4670" t="s">
        <v>16206</v>
      </c>
      <c r="E4670" t="s">
        <v>16218</v>
      </c>
      <c r="F4670" t="s">
        <v>16221</v>
      </c>
      <c r="G4670" t="s">
        <v>16277</v>
      </c>
      <c r="H4670" t="s">
        <v>16277</v>
      </c>
      <c r="I4670" t="s">
        <v>16353</v>
      </c>
      <c r="J4670" t="s">
        <v>16386</v>
      </c>
      <c r="K4670">
        <v>0.171</v>
      </c>
      <c r="L4670">
        <v>7437</v>
      </c>
      <c r="M4670">
        <v>1755</v>
      </c>
      <c r="N4670" t="s">
        <v>16393</v>
      </c>
      <c r="O4670" s="4">
        <v>131890</v>
      </c>
      <c r="P4670" s="4">
        <v>46556</v>
      </c>
      <c r="Q4670" s="4">
        <v>178446</v>
      </c>
      <c r="R4670" s="4">
        <v>535338</v>
      </c>
      <c r="S4670" t="s">
        <v>20965</v>
      </c>
      <c r="T4670" s="6">
        <v>43282</v>
      </c>
      <c r="U4670" s="4">
        <v>411000</v>
      </c>
      <c r="V4670" t="s">
        <v>23739</v>
      </c>
      <c r="W4670" t="s">
        <v>26288</v>
      </c>
      <c r="X4670" t="s">
        <v>3</v>
      </c>
      <c r="AA4670" s="5" t="str">
        <f>HYPERLINK("https://www.zillow.com/homes/124-S-SLEIGHT-ST-NAPERVILLE-IL-605404944_rb/","check listing")</f>
        <v>check listing</v>
      </c>
      <c r="AB4670" s="5" t="str">
        <f>HYPERLINK("https://propertylookup.dupagecounty.gov/Datalets/Datalet.aspx?UseSearch=no&amp;mode=sales&amp;pin=0818322004","sales record")</f>
        <v>sales record</v>
      </c>
      <c r="AC4670" t="s">
        <v>27873</v>
      </c>
      <c r="AD4670">
        <v>41.7732</v>
      </c>
      <c r="AE4670">
        <v>-88.14055999999999</v>
      </c>
      <c r="AF4670" s="5" t="str">
        <f>HYPERLINK("https://www.google.com/maps/search/?api=1&amp;query=41.7732,-88.14056","map")</f>
        <v>map</v>
      </c>
    </row>
    <row r="4671" spans="1:32">
      <c r="A4671" t="s">
        <v>4721</v>
      </c>
      <c r="B4671" t="s">
        <v>12254</v>
      </c>
      <c r="C4671" t="s">
        <v>15475</v>
      </c>
      <c r="D4671" t="s">
        <v>16206</v>
      </c>
      <c r="E4671" t="s">
        <v>16218</v>
      </c>
      <c r="F4671" t="s">
        <v>16221</v>
      </c>
      <c r="G4671" t="s">
        <v>16277</v>
      </c>
      <c r="H4671" t="s">
        <v>16277</v>
      </c>
      <c r="I4671" t="s">
        <v>16353</v>
      </c>
      <c r="J4671" t="s">
        <v>16386</v>
      </c>
      <c r="K4671">
        <v>0.171</v>
      </c>
      <c r="L4671">
        <v>7436</v>
      </c>
      <c r="M4671">
        <v>2391</v>
      </c>
      <c r="N4671" t="s">
        <v>16393</v>
      </c>
      <c r="O4671" s="4">
        <v>131890</v>
      </c>
      <c r="P4671" s="4">
        <v>127906</v>
      </c>
      <c r="Q4671" s="4">
        <v>259796</v>
      </c>
      <c r="R4671" s="4">
        <v>779388</v>
      </c>
      <c r="S4671" t="s">
        <v>20966</v>
      </c>
      <c r="T4671" s="6">
        <v>43313</v>
      </c>
      <c r="U4671" s="4">
        <v>540000</v>
      </c>
      <c r="V4671" t="s">
        <v>23740</v>
      </c>
      <c r="W4671" t="s">
        <v>26289</v>
      </c>
      <c r="X4671" t="s">
        <v>3</v>
      </c>
      <c r="AA4671" s="5" t="str">
        <f>HYPERLINK("https://www.zillow.com/homes/126-N-COLUMBIA-ST-NAPERVILLE-IL-60540_rb/","check listing")</f>
        <v>check listing</v>
      </c>
      <c r="AB4671" s="5" t="str">
        <f>HYPERLINK("https://propertylookup.dupagecounty.gov/Datalets/Datalet.aspx?UseSearch=no&amp;mode=sales&amp;pin=0818400007","sales record")</f>
        <v>sales record</v>
      </c>
      <c r="AC4671" t="s">
        <v>27873</v>
      </c>
      <c r="AD4671">
        <v>41.776445</v>
      </c>
      <c r="AE4671">
        <v>-88.137592</v>
      </c>
      <c r="AF4671" s="5" t="str">
        <f>HYPERLINK("https://www.google.com/maps/search/?api=1&amp;query=41.776445,-88.137592","map")</f>
        <v>map</v>
      </c>
    </row>
    <row r="4672" spans="1:32">
      <c r="A4672" t="s">
        <v>4722</v>
      </c>
      <c r="B4672" t="s">
        <v>12255</v>
      </c>
      <c r="C4672" t="s">
        <v>15772</v>
      </c>
      <c r="D4672" t="s">
        <v>16206</v>
      </c>
      <c r="E4672" t="s">
        <v>16218</v>
      </c>
      <c r="F4672" t="s">
        <v>16221</v>
      </c>
      <c r="G4672" t="s">
        <v>16277</v>
      </c>
      <c r="H4672" t="s">
        <v>16277</v>
      </c>
      <c r="I4672" t="s">
        <v>16353</v>
      </c>
      <c r="J4672" t="s">
        <v>16386</v>
      </c>
      <c r="K4672">
        <v>0.171</v>
      </c>
      <c r="L4672">
        <v>7435</v>
      </c>
      <c r="M4672">
        <v>1747</v>
      </c>
      <c r="N4672" t="s">
        <v>16393</v>
      </c>
      <c r="O4672" s="4">
        <v>119856</v>
      </c>
      <c r="P4672" s="4">
        <v>63513</v>
      </c>
      <c r="Q4672" s="4">
        <v>183369</v>
      </c>
      <c r="R4672" s="4">
        <v>550107</v>
      </c>
      <c r="S4672" t="s">
        <v>20967</v>
      </c>
      <c r="T4672" s="6">
        <v>44228</v>
      </c>
      <c r="U4672" s="4">
        <v>410000</v>
      </c>
      <c r="V4672" t="s">
        <v>23739</v>
      </c>
      <c r="W4672" t="s">
        <v>26290</v>
      </c>
      <c r="X4672" t="s">
        <v>3</v>
      </c>
      <c r="AA4672" s="5" t="str">
        <f>HYPERLINK("https://www.zillow.com/homes/735-N-BRAINARD-ST-NAPERVILLE-IL-605633132_rb/","check listing")</f>
        <v>check listing</v>
      </c>
      <c r="AB4672" s="5" t="str">
        <f>HYPERLINK("https://propertylookup.dupagecounty.gov/Datalets/Datalet.aspx?UseSearch=no&amp;mode=sales&amp;pin=0818111008","sales record")</f>
        <v>sales record</v>
      </c>
      <c r="AC4672" t="s">
        <v>3</v>
      </c>
      <c r="AD4672">
        <v>41.78398</v>
      </c>
      <c r="AE4672">
        <v>-88.143495</v>
      </c>
      <c r="AF4672" s="5" t="str">
        <f>HYPERLINK("https://www.google.com/maps/search/?api=1&amp;query=41.78398,-88.143495","map")</f>
        <v>map</v>
      </c>
    </row>
    <row r="4673" spans="1:32">
      <c r="A4673" t="s">
        <v>4723</v>
      </c>
      <c r="B4673" t="s">
        <v>12256</v>
      </c>
      <c r="C4673" t="s">
        <v>15630</v>
      </c>
      <c r="D4673" t="s">
        <v>16206</v>
      </c>
      <c r="E4673" t="s">
        <v>16218</v>
      </c>
      <c r="F4673" t="s">
        <v>16221</v>
      </c>
      <c r="G4673" t="s">
        <v>16277</v>
      </c>
      <c r="H4673" t="s">
        <v>16277</v>
      </c>
      <c r="I4673" t="s">
        <v>16353</v>
      </c>
      <c r="J4673" t="s">
        <v>16386</v>
      </c>
      <c r="K4673">
        <v>0.171</v>
      </c>
      <c r="L4673">
        <v>7435</v>
      </c>
      <c r="M4673">
        <v>2285</v>
      </c>
      <c r="N4673" t="s">
        <v>16393</v>
      </c>
      <c r="O4673" s="4">
        <v>131890</v>
      </c>
      <c r="P4673" s="4">
        <v>106026</v>
      </c>
      <c r="Q4673" s="4">
        <v>237916</v>
      </c>
      <c r="R4673" s="4">
        <v>713748</v>
      </c>
      <c r="S4673" t="s">
        <v>20968</v>
      </c>
      <c r="T4673" s="6">
        <v>42979</v>
      </c>
      <c r="U4673" s="4">
        <v>545000</v>
      </c>
      <c r="V4673" t="s">
        <v>23739</v>
      </c>
      <c r="W4673" t="s">
        <v>26291</v>
      </c>
      <c r="X4673" t="s">
        <v>3</v>
      </c>
      <c r="AA4673" s="5" t="str">
        <f>HYPERLINK("https://www.zillow.com/homes/120-S-SLEIGHT-ST-NAPERVILLE-IL-605404944_rb/","check listing")</f>
        <v>check listing</v>
      </c>
      <c r="AB4673" s="5" t="str">
        <f>HYPERLINK("https://propertylookup.dupagecounty.gov/Datalets/Datalet.aspx?UseSearch=no&amp;mode=sales&amp;pin=0818322003","sales record")</f>
        <v>sales record</v>
      </c>
      <c r="AC4673" t="s">
        <v>27873</v>
      </c>
      <c r="AD4673">
        <v>41.773336</v>
      </c>
      <c r="AE4673">
        <v>-88.140552</v>
      </c>
      <c r="AF4673" s="5" t="str">
        <f>HYPERLINK("https://www.google.com/maps/search/?api=1&amp;query=41.773336,-88.140552","map")</f>
        <v>map</v>
      </c>
    </row>
    <row r="4674" spans="1:32">
      <c r="A4674" t="s">
        <v>4724</v>
      </c>
      <c r="B4674" t="s">
        <v>12257</v>
      </c>
      <c r="C4674" t="s">
        <v>15645</v>
      </c>
      <c r="D4674" t="s">
        <v>16206</v>
      </c>
      <c r="E4674" t="s">
        <v>16218</v>
      </c>
      <c r="F4674" t="s">
        <v>16221</v>
      </c>
      <c r="G4674" t="s">
        <v>16278</v>
      </c>
      <c r="H4674" t="s">
        <v>16277</v>
      </c>
      <c r="I4674" t="s">
        <v>16353</v>
      </c>
      <c r="J4674" t="s">
        <v>16386</v>
      </c>
      <c r="K4674">
        <v>0.171</v>
      </c>
      <c r="L4674">
        <v>7435</v>
      </c>
      <c r="N4674" t="s">
        <v>16393</v>
      </c>
      <c r="O4674" s="4">
        <v>64480</v>
      </c>
      <c r="P4674" s="4">
        <v>143362</v>
      </c>
      <c r="Q4674" s="4">
        <v>207842</v>
      </c>
      <c r="R4674" s="4">
        <v>623526</v>
      </c>
      <c r="S4674" t="s">
        <v>20969</v>
      </c>
      <c r="T4674" s="6">
        <v>42979</v>
      </c>
      <c r="U4674" s="4">
        <v>440632</v>
      </c>
      <c r="V4674" t="s">
        <v>16232</v>
      </c>
      <c r="W4674" t="s">
        <v>26292</v>
      </c>
      <c r="X4674" t="s">
        <v>3</v>
      </c>
      <c r="AA4674" s="5" t="str">
        <f>HYPERLINK("https://www.zillow.com/homes/2524-BASIN-TRAIL-LN-NAPERVILLE-IL-605633595_rb/","check listing")</f>
        <v>check listing</v>
      </c>
      <c r="AB4674" s="5" t="str">
        <f>HYPERLINK("https://propertylookup.dupagecounty.gov/Datalets/Datalet.aspx?UseSearch=no&amp;mode=sales&amp;pin=0709110005","sales record")</f>
        <v>sales record</v>
      </c>
      <c r="AC4674" t="s">
        <v>3</v>
      </c>
      <c r="AD4674">
        <v>41.795439</v>
      </c>
      <c r="AE4674">
        <v>-88.223358</v>
      </c>
      <c r="AF4674" s="5" t="str">
        <f>HYPERLINK("https://www.google.com/maps/search/?api=1&amp;query=41.795439,-88.223358","map")</f>
        <v>map</v>
      </c>
    </row>
    <row r="4675" spans="1:32">
      <c r="A4675" t="s">
        <v>4725</v>
      </c>
      <c r="B4675" t="s">
        <v>12258</v>
      </c>
      <c r="C4675" t="s">
        <v>15662</v>
      </c>
      <c r="D4675" t="s">
        <v>16206</v>
      </c>
      <c r="E4675" t="s">
        <v>16218</v>
      </c>
      <c r="F4675" t="s">
        <v>16221</v>
      </c>
      <c r="G4675" t="s">
        <v>16278</v>
      </c>
      <c r="H4675" t="s">
        <v>16277</v>
      </c>
      <c r="I4675" t="s">
        <v>16353</v>
      </c>
      <c r="J4675" t="s">
        <v>16386</v>
      </c>
      <c r="K4675">
        <v>0.171</v>
      </c>
      <c r="L4675">
        <v>7433</v>
      </c>
      <c r="N4675" t="s">
        <v>16393</v>
      </c>
      <c r="O4675" s="4">
        <v>56146</v>
      </c>
      <c r="P4675" s="4">
        <v>215088</v>
      </c>
      <c r="Q4675" s="4">
        <v>271234</v>
      </c>
      <c r="R4675" s="4">
        <v>813702</v>
      </c>
      <c r="S4675" t="s">
        <v>20970</v>
      </c>
      <c r="T4675" s="6">
        <v>44999</v>
      </c>
      <c r="U4675" s="4">
        <v>725000</v>
      </c>
      <c r="V4675" t="s">
        <v>16232</v>
      </c>
      <c r="W4675" t="s">
        <v>26293</v>
      </c>
      <c r="X4675" t="s">
        <v>3</v>
      </c>
      <c r="AA4675" s="5" t="str">
        <f>HYPERLINK("https://www.zillow.com/homes/1196-HIBBARD-RD-NAPERVILLE-IL-605631594_rb/","check listing")</f>
        <v>check listing</v>
      </c>
      <c r="AB4675" s="5" t="str">
        <f>HYPERLINK("https://propertylookup.dupagecounty.gov/Datalets/Datalet.aspx?UseSearch=no&amp;mode=sales&amp;pin=0532300027","sales record")</f>
        <v>sales record</v>
      </c>
      <c r="AC4675" t="s">
        <v>3</v>
      </c>
      <c r="AD4675">
        <v>41.817806</v>
      </c>
      <c r="AE4675">
        <v>-88.122395</v>
      </c>
      <c r="AF4675" s="5" t="str">
        <f>HYPERLINK("https://www.google.com/maps/search/?api=1&amp;query=41.817806,-88.122395","map")</f>
        <v>map</v>
      </c>
    </row>
    <row r="4676" spans="1:32">
      <c r="A4676" t="s">
        <v>4726</v>
      </c>
      <c r="B4676" t="s">
        <v>12259</v>
      </c>
      <c r="C4676" t="s">
        <v>15632</v>
      </c>
      <c r="D4676" t="s">
        <v>16206</v>
      </c>
      <c r="E4676" t="s">
        <v>16218</v>
      </c>
      <c r="F4676" t="s">
        <v>16221</v>
      </c>
      <c r="G4676" t="s">
        <v>16278</v>
      </c>
      <c r="H4676" t="s">
        <v>16277</v>
      </c>
      <c r="I4676" t="s">
        <v>16353</v>
      </c>
      <c r="J4676" t="s">
        <v>16386</v>
      </c>
      <c r="K4676">
        <v>0.171</v>
      </c>
      <c r="L4676">
        <v>7433</v>
      </c>
      <c r="N4676" t="s">
        <v>16393</v>
      </c>
      <c r="O4676" s="4">
        <v>58341</v>
      </c>
      <c r="P4676" s="4">
        <v>174973</v>
      </c>
      <c r="Q4676" s="4">
        <v>233314</v>
      </c>
      <c r="R4676" s="4">
        <v>699942</v>
      </c>
      <c r="S4676" t="s">
        <v>20971</v>
      </c>
      <c r="T4676" s="6">
        <v>44348</v>
      </c>
      <c r="U4676" s="4">
        <v>579000</v>
      </c>
      <c r="V4676" t="s">
        <v>23739</v>
      </c>
      <c r="W4676" t="s">
        <v>26294</v>
      </c>
      <c r="X4676" t="s">
        <v>3</v>
      </c>
      <c r="AA4676" s="5" t="str">
        <f>HYPERLINK("https://www.zillow.com/homes/2563-BASIN-TRAIL-LN-NAPERVILLE-IL-605633593_rb/","check listing")</f>
        <v>check listing</v>
      </c>
      <c r="AB4676" s="5" t="str">
        <f>HYPERLINK("https://propertylookup.dupagecounty.gov/Datalets/Datalet.aspx?UseSearch=no&amp;mode=sales&amp;pin=0709109032","sales record")</f>
        <v>sales record</v>
      </c>
      <c r="AC4676" t="s">
        <v>3</v>
      </c>
      <c r="AD4676">
        <v>41.795135</v>
      </c>
      <c r="AE4676">
        <v>-88.224763</v>
      </c>
      <c r="AF4676" s="5" t="str">
        <f>HYPERLINK("https://www.google.com/maps/search/?api=1&amp;query=41.795135,-88.224763","map")</f>
        <v>map</v>
      </c>
    </row>
    <row r="4677" spans="1:32">
      <c r="A4677" t="s">
        <v>4727</v>
      </c>
      <c r="B4677" t="s">
        <v>12260</v>
      </c>
      <c r="C4677" t="s">
        <v>15773</v>
      </c>
      <c r="D4677" t="s">
        <v>16206</v>
      </c>
      <c r="E4677" t="s">
        <v>16218</v>
      </c>
      <c r="F4677" t="s">
        <v>16221</v>
      </c>
      <c r="G4677" t="s">
        <v>16277</v>
      </c>
      <c r="H4677" t="s">
        <v>16277</v>
      </c>
      <c r="I4677" t="s">
        <v>16353</v>
      </c>
      <c r="J4677" t="s">
        <v>16386</v>
      </c>
      <c r="K4677">
        <v>0.171</v>
      </c>
      <c r="L4677">
        <v>7433</v>
      </c>
      <c r="M4677">
        <v>3066</v>
      </c>
      <c r="N4677" t="s">
        <v>16393</v>
      </c>
      <c r="O4677" s="4">
        <v>119856</v>
      </c>
      <c r="P4677" s="4">
        <v>204393</v>
      </c>
      <c r="Q4677" s="4">
        <v>324249</v>
      </c>
      <c r="R4677" s="4">
        <v>972747</v>
      </c>
      <c r="S4677" t="s">
        <v>20972</v>
      </c>
      <c r="T4677" s="6">
        <v>43525</v>
      </c>
      <c r="U4677" s="4">
        <v>955000</v>
      </c>
      <c r="V4677" t="s">
        <v>23739</v>
      </c>
      <c r="W4677" t="s">
        <v>20972</v>
      </c>
      <c r="X4677" t="s">
        <v>3</v>
      </c>
      <c r="AA4677" s="5" t="str">
        <f>HYPERLINK("https://www.zillow.com/homes/133-N-JULIAN-ST-NAPERVILLE-IL-605404822_rb/","check listing")</f>
        <v>check listing</v>
      </c>
      <c r="AB4677" s="5" t="str">
        <f>HYPERLINK("https://propertylookup.dupagecounty.gov/Datalets/Datalet.aspx?UseSearch=no&amp;mode=sales&amp;pin=0818400016","sales record")</f>
        <v>sales record</v>
      </c>
      <c r="AC4677" t="s">
        <v>3</v>
      </c>
      <c r="AD4677">
        <v>41.776604</v>
      </c>
      <c r="AE4677">
        <v>-88.13698100000001</v>
      </c>
      <c r="AF4677" s="5" t="str">
        <f>HYPERLINK("https://www.google.com/maps/search/?api=1&amp;query=41.776604,-88.136981","map")</f>
        <v>map</v>
      </c>
    </row>
    <row r="4678" spans="1:32">
      <c r="A4678" t="s">
        <v>4728</v>
      </c>
      <c r="B4678" t="s">
        <v>12261</v>
      </c>
      <c r="C4678" t="s">
        <v>15645</v>
      </c>
      <c r="D4678" t="s">
        <v>16206</v>
      </c>
      <c r="E4678" t="s">
        <v>16218</v>
      </c>
      <c r="F4678" t="s">
        <v>16221</v>
      </c>
      <c r="G4678" t="s">
        <v>16278</v>
      </c>
      <c r="H4678" t="s">
        <v>16277</v>
      </c>
      <c r="I4678" t="s">
        <v>16353</v>
      </c>
      <c r="J4678" t="s">
        <v>16386</v>
      </c>
      <c r="K4678">
        <v>0.171</v>
      </c>
      <c r="L4678">
        <v>7433</v>
      </c>
      <c r="N4678" t="s">
        <v>16393</v>
      </c>
      <c r="O4678" s="4">
        <v>64480</v>
      </c>
      <c r="P4678" s="4">
        <v>143606</v>
      </c>
      <c r="Q4678" s="4">
        <v>208086</v>
      </c>
      <c r="R4678" s="4">
        <v>624258</v>
      </c>
      <c r="S4678" t="s">
        <v>20973</v>
      </c>
      <c r="T4678" s="6">
        <v>44652</v>
      </c>
      <c r="U4678" s="4">
        <v>570000</v>
      </c>
      <c r="V4678" t="s">
        <v>23739</v>
      </c>
      <c r="W4678" t="s">
        <v>20973</v>
      </c>
      <c r="X4678" t="s">
        <v>3</v>
      </c>
      <c r="AA4678" s="5" t="str">
        <f>HYPERLINK("https://www.zillow.com/homes/2520-BASIN-TRAIL-LN-NAPERVILLE-IL-605633595_rb/","check listing")</f>
        <v>check listing</v>
      </c>
      <c r="AB4678" s="5" t="str">
        <f>HYPERLINK("https://propertylookup.dupagecounty.gov/Datalets/Datalet.aspx?UseSearch=no&amp;mode=sales&amp;pin=0709110006","sales record")</f>
        <v>sales record</v>
      </c>
      <c r="AC4678" t="s">
        <v>3</v>
      </c>
      <c r="AD4678">
        <v>41.795439</v>
      </c>
      <c r="AE4678">
        <v>-88.22314900000001</v>
      </c>
      <c r="AF4678" s="5" t="str">
        <f>HYPERLINK("https://www.google.com/maps/search/?api=1&amp;query=41.795439,-88.223149","map")</f>
        <v>map</v>
      </c>
    </row>
    <row r="4679" spans="1:32">
      <c r="A4679" t="s">
        <v>4729</v>
      </c>
      <c r="B4679" t="s">
        <v>12262</v>
      </c>
      <c r="C4679" t="s">
        <v>15774</v>
      </c>
      <c r="D4679" t="s">
        <v>16206</v>
      </c>
      <c r="E4679" t="s">
        <v>16218</v>
      </c>
      <c r="F4679" t="s">
        <v>16221</v>
      </c>
      <c r="G4679" t="s">
        <v>16277</v>
      </c>
      <c r="H4679" t="s">
        <v>16277</v>
      </c>
      <c r="I4679" t="s">
        <v>16353</v>
      </c>
      <c r="J4679" t="s">
        <v>16386</v>
      </c>
      <c r="K4679">
        <v>0.171</v>
      </c>
      <c r="L4679">
        <v>7433</v>
      </c>
      <c r="M4679">
        <v>2507</v>
      </c>
      <c r="N4679" t="s">
        <v>16393</v>
      </c>
      <c r="O4679" s="4">
        <v>120723</v>
      </c>
      <c r="P4679" s="4">
        <v>270511</v>
      </c>
      <c r="Q4679" s="4">
        <v>391234</v>
      </c>
      <c r="R4679" s="4">
        <v>1173702</v>
      </c>
      <c r="S4679" t="s">
        <v>20974</v>
      </c>
      <c r="T4679" s="6">
        <v>43556</v>
      </c>
      <c r="U4679" s="4">
        <v>300000</v>
      </c>
      <c r="V4679" t="s">
        <v>23740</v>
      </c>
      <c r="W4679" t="s">
        <v>26295</v>
      </c>
      <c r="X4679" t="s">
        <v>3</v>
      </c>
      <c r="AA4679" s="5" t="str">
        <f>HYPERLINK("https://www.zillow.com/homes/208-E-8TH-AVE-NAPERVILLE-IL-605633125_rb/","check listing")</f>
        <v>check listing</v>
      </c>
      <c r="AB4679" s="5" t="str">
        <f>HYPERLINK("https://propertylookup.dupagecounty.gov/Datalets/Datalet.aspx?UseSearch=no&amp;mode=sales&amp;pin=0818111001","sales record")</f>
        <v>sales record</v>
      </c>
      <c r="AC4679" t="s">
        <v>27873</v>
      </c>
      <c r="AD4679">
        <v>41.784003</v>
      </c>
      <c r="AE4679">
        <v>-88.144096</v>
      </c>
      <c r="AF4679" s="5" t="str">
        <f>HYPERLINK("https://www.google.com/maps/search/?api=1&amp;query=41.784003,-88.144096","map")</f>
        <v>map</v>
      </c>
    </row>
    <row r="4680" spans="1:32">
      <c r="A4680" t="s">
        <v>4730</v>
      </c>
      <c r="B4680" t="s">
        <v>12263</v>
      </c>
      <c r="C4680" t="s">
        <v>15775</v>
      </c>
      <c r="D4680" t="s">
        <v>16206</v>
      </c>
      <c r="E4680" t="s">
        <v>16218</v>
      </c>
      <c r="F4680" t="s">
        <v>16221</v>
      </c>
      <c r="G4680" t="s">
        <v>16277</v>
      </c>
      <c r="H4680" t="s">
        <v>16277</v>
      </c>
      <c r="I4680" t="s">
        <v>16353</v>
      </c>
      <c r="J4680" t="s">
        <v>16386</v>
      </c>
      <c r="K4680">
        <v>0.171</v>
      </c>
      <c r="L4680">
        <v>7432</v>
      </c>
      <c r="M4680">
        <v>2375</v>
      </c>
      <c r="N4680" t="s">
        <v>16393</v>
      </c>
      <c r="O4680" s="4">
        <v>119856</v>
      </c>
      <c r="P4680" s="4">
        <v>180229</v>
      </c>
      <c r="Q4680" s="4">
        <v>300085</v>
      </c>
      <c r="R4680" s="4">
        <v>900255</v>
      </c>
      <c r="S4680" t="s">
        <v>20975</v>
      </c>
      <c r="T4680" s="6">
        <v>44166</v>
      </c>
      <c r="U4680" s="4">
        <v>673000</v>
      </c>
      <c r="V4680" t="s">
        <v>23739</v>
      </c>
      <c r="W4680" t="s">
        <v>26296</v>
      </c>
      <c r="X4680" t="s">
        <v>3</v>
      </c>
      <c r="AA4680" s="5" t="str">
        <f>HYPERLINK("https://www.zillow.com/homes/717-N-ELLSWORTH-ST-NAPERVILLE-IL-605633148_rb/","check listing")</f>
        <v>check listing</v>
      </c>
      <c r="AB4680" s="5" t="str">
        <f>HYPERLINK("https://propertylookup.dupagecounty.gov/Datalets/Datalet.aspx?UseSearch=no&amp;mode=sales&amp;pin=0818106011","sales record")</f>
        <v>sales record</v>
      </c>
      <c r="AC4680" t="s">
        <v>3</v>
      </c>
      <c r="AD4680">
        <v>41.783557</v>
      </c>
      <c r="AE4680">
        <v>-88.144918</v>
      </c>
      <c r="AF4680" s="5" t="str">
        <f>HYPERLINK("https://www.google.com/maps/search/?api=1&amp;query=41.783557,-88.144918","map")</f>
        <v>map</v>
      </c>
    </row>
    <row r="4681" spans="1:32">
      <c r="A4681" t="s">
        <v>4731</v>
      </c>
      <c r="B4681" t="s">
        <v>12264</v>
      </c>
      <c r="C4681" t="s">
        <v>15475</v>
      </c>
      <c r="D4681" t="s">
        <v>16206</v>
      </c>
      <c r="E4681" t="s">
        <v>16218</v>
      </c>
      <c r="F4681" t="s">
        <v>16221</v>
      </c>
      <c r="G4681" t="s">
        <v>16277</v>
      </c>
      <c r="H4681" t="s">
        <v>16277</v>
      </c>
      <c r="I4681" t="s">
        <v>16353</v>
      </c>
      <c r="J4681" t="s">
        <v>16386</v>
      </c>
      <c r="K4681">
        <v>0.171</v>
      </c>
      <c r="L4681">
        <v>7431</v>
      </c>
      <c r="M4681">
        <v>2887</v>
      </c>
      <c r="N4681" t="s">
        <v>16393</v>
      </c>
      <c r="O4681" s="4">
        <v>131878</v>
      </c>
      <c r="P4681" s="4">
        <v>152391</v>
      </c>
      <c r="Q4681" s="4">
        <v>284269</v>
      </c>
      <c r="R4681" s="4">
        <v>852807</v>
      </c>
      <c r="S4681" t="s">
        <v>20976</v>
      </c>
      <c r="T4681" s="6">
        <v>44753</v>
      </c>
      <c r="U4681" s="4">
        <v>900000</v>
      </c>
      <c r="V4681" t="s">
        <v>23741</v>
      </c>
      <c r="W4681" t="s">
        <v>26297</v>
      </c>
      <c r="X4681" t="s">
        <v>3</v>
      </c>
      <c r="AA4681" s="5" t="str">
        <f>HYPERLINK("https://www.zillow.com/homes/21-S-COLUMBIA-ST-NAPERVILLE-IL-60540_rb/","check listing")</f>
        <v>check listing</v>
      </c>
      <c r="AB4681" s="5" t="str">
        <f>HYPERLINK("https://propertylookup.dupagecounty.gov/Datalets/Datalet.aspx?UseSearch=no&amp;mode=sales&amp;pin=0818407005","sales record")</f>
        <v>sales record</v>
      </c>
      <c r="AC4681" t="s">
        <v>27873</v>
      </c>
      <c r="AD4681">
        <v>41.774244</v>
      </c>
      <c r="AE4681">
        <v>-88.13848900000001</v>
      </c>
      <c r="AF4681" s="5" t="str">
        <f>HYPERLINK("https://www.google.com/maps/search/?api=1&amp;query=41.774244,-88.138489","map")</f>
        <v>map</v>
      </c>
    </row>
    <row r="4682" spans="1:32">
      <c r="A4682" t="s">
        <v>4732</v>
      </c>
      <c r="B4682" t="s">
        <v>12265</v>
      </c>
      <c r="C4682" t="s">
        <v>15475</v>
      </c>
      <c r="D4682" t="s">
        <v>16206</v>
      </c>
      <c r="E4682" t="s">
        <v>16218</v>
      </c>
      <c r="F4682" t="s">
        <v>16221</v>
      </c>
      <c r="G4682" t="s">
        <v>16277</v>
      </c>
      <c r="H4682" t="s">
        <v>16277</v>
      </c>
      <c r="I4682" t="s">
        <v>16353</v>
      </c>
      <c r="J4682" t="s">
        <v>16386</v>
      </c>
      <c r="K4682">
        <v>0.171</v>
      </c>
      <c r="L4682">
        <v>7431</v>
      </c>
      <c r="M4682">
        <v>1187</v>
      </c>
      <c r="N4682" t="s">
        <v>16393</v>
      </c>
      <c r="O4682" s="4">
        <v>85953</v>
      </c>
      <c r="P4682" s="4">
        <v>57556</v>
      </c>
      <c r="Q4682" s="4">
        <v>143509</v>
      </c>
      <c r="R4682" s="4">
        <v>430527</v>
      </c>
      <c r="S4682" t="s">
        <v>20977</v>
      </c>
      <c r="T4682" s="6">
        <v>45196</v>
      </c>
      <c r="U4682" s="4">
        <v>449900</v>
      </c>
      <c r="V4682" t="s">
        <v>23741</v>
      </c>
      <c r="W4682" t="s">
        <v>26298</v>
      </c>
      <c r="X4682" t="s">
        <v>3</v>
      </c>
      <c r="AA4682" s="5" t="str">
        <f>HYPERLINK("https://www.zillow.com/homes/15-N-HUFFMAN-ST-NAPERVILLE-IL-60540_rb/","check listing")</f>
        <v>check listing</v>
      </c>
      <c r="AB4682" s="5" t="str">
        <f>HYPERLINK("https://propertylookup.dupagecounty.gov/Datalets/Datalet.aspx?UseSearch=no&amp;mode=sales&amp;pin=0818405008","sales record")</f>
        <v>sales record</v>
      </c>
      <c r="AC4682" t="s">
        <v>3</v>
      </c>
      <c r="AD4682">
        <v>41.775231</v>
      </c>
      <c r="AE4682">
        <v>-88.13576500000001</v>
      </c>
      <c r="AF4682" s="5" t="str">
        <f>HYPERLINK("https://www.google.com/maps/search/?api=1&amp;query=41.775231,-88.135765","map")</f>
        <v>map</v>
      </c>
    </row>
    <row r="4683" spans="1:32">
      <c r="A4683" t="s">
        <v>4733</v>
      </c>
      <c r="B4683" t="s">
        <v>12266</v>
      </c>
      <c r="C4683" t="s">
        <v>15475</v>
      </c>
      <c r="D4683" t="s">
        <v>16206</v>
      </c>
      <c r="E4683" t="s">
        <v>16218</v>
      </c>
      <c r="F4683" t="s">
        <v>16221</v>
      </c>
      <c r="G4683" t="s">
        <v>16277</v>
      </c>
      <c r="H4683" t="s">
        <v>16277</v>
      </c>
      <c r="I4683" t="s">
        <v>16353</v>
      </c>
      <c r="J4683" t="s">
        <v>16386</v>
      </c>
      <c r="K4683">
        <v>0.171</v>
      </c>
      <c r="L4683">
        <v>7431</v>
      </c>
      <c r="M4683">
        <v>2354</v>
      </c>
      <c r="N4683" t="s">
        <v>16393</v>
      </c>
      <c r="O4683" s="4">
        <v>119856</v>
      </c>
      <c r="P4683" s="4">
        <v>96798</v>
      </c>
      <c r="Q4683" s="4">
        <v>216654</v>
      </c>
      <c r="R4683" s="4">
        <v>649962</v>
      </c>
      <c r="S4683" t="s">
        <v>20978</v>
      </c>
      <c r="T4683" s="6">
        <v>36342</v>
      </c>
      <c r="U4683" s="4">
        <v>269900</v>
      </c>
      <c r="X4683" t="s">
        <v>3</v>
      </c>
      <c r="AA4683" s="5" t="str">
        <f>HYPERLINK("https://www.zillow.com/homes/39-S-JULIAN-ST-NAPERVILLE-IL-60540_rb/","check listing")</f>
        <v>check listing</v>
      </c>
      <c r="AB4683" s="5" t="str">
        <f>HYPERLINK("https://propertylookup.dupagecounty.gov/Datalets/Datalet.aspx?UseSearch=no&amp;mode=sales&amp;pin=0818410006","sales record")</f>
        <v>sales record</v>
      </c>
      <c r="AC4683" t="s">
        <v>3</v>
      </c>
      <c r="AD4683">
        <v>41.773707</v>
      </c>
      <c r="AE4683">
        <v>-88.13712700000001</v>
      </c>
      <c r="AF4683" s="5" t="str">
        <f>HYPERLINK("https://www.google.com/maps/search/?api=1&amp;query=41.773707,-88.137127","map")</f>
        <v>map</v>
      </c>
    </row>
    <row r="4684" spans="1:32">
      <c r="A4684" t="s">
        <v>4734</v>
      </c>
      <c r="B4684" t="s">
        <v>12267</v>
      </c>
      <c r="C4684" t="s">
        <v>15478</v>
      </c>
      <c r="D4684" t="s">
        <v>16206</v>
      </c>
      <c r="E4684" t="s">
        <v>16218</v>
      </c>
      <c r="F4684" t="s">
        <v>16221</v>
      </c>
      <c r="G4684" t="s">
        <v>16277</v>
      </c>
      <c r="H4684" t="s">
        <v>16277</v>
      </c>
      <c r="I4684" t="s">
        <v>16353</v>
      </c>
      <c r="J4684" t="s">
        <v>16386</v>
      </c>
      <c r="K4684">
        <v>0.171</v>
      </c>
      <c r="L4684">
        <v>7431</v>
      </c>
      <c r="M4684">
        <v>1668</v>
      </c>
      <c r="N4684" t="s">
        <v>16393</v>
      </c>
      <c r="O4684" s="4">
        <v>119856</v>
      </c>
      <c r="P4684" s="4">
        <v>62859</v>
      </c>
      <c r="Q4684" s="4">
        <v>182715</v>
      </c>
      <c r="R4684" s="4">
        <v>548145</v>
      </c>
      <c r="S4684" t="s">
        <v>20979</v>
      </c>
      <c r="T4684" s="6">
        <v>35431</v>
      </c>
      <c r="U4684" s="4">
        <v>196000</v>
      </c>
      <c r="X4684" t="s">
        <v>3</v>
      </c>
      <c r="AA4684" s="5" t="str">
        <f>HYPERLINK("https://www.zillow.com/homes/726-N-CENTER-ST-NAPERVILLE-IL-60563_rb/","check listing")</f>
        <v>check listing</v>
      </c>
      <c r="AB4684" s="5" t="str">
        <f>HYPERLINK("https://propertylookup.dupagecounty.gov/Datalets/Datalet.aspx?UseSearch=no&amp;mode=sales&amp;pin=0818106003","sales record")</f>
        <v>sales record</v>
      </c>
      <c r="AC4684" t="s">
        <v>27873</v>
      </c>
      <c r="AD4684">
        <v>41.783785</v>
      </c>
      <c r="AE4684">
        <v>-88.145512</v>
      </c>
      <c r="AF4684" s="5" t="str">
        <f>HYPERLINK("https://www.google.com/maps/search/?api=1&amp;query=41.783785,-88.145512","map")</f>
        <v>map</v>
      </c>
    </row>
    <row r="4685" spans="1:32">
      <c r="A4685" t="s">
        <v>4735</v>
      </c>
      <c r="B4685" t="s">
        <v>12268</v>
      </c>
      <c r="C4685" t="s">
        <v>15645</v>
      </c>
      <c r="D4685" t="s">
        <v>16206</v>
      </c>
      <c r="E4685" t="s">
        <v>16218</v>
      </c>
      <c r="F4685" t="s">
        <v>16221</v>
      </c>
      <c r="G4685" t="s">
        <v>16278</v>
      </c>
      <c r="H4685" t="s">
        <v>16277</v>
      </c>
      <c r="I4685" t="s">
        <v>16353</v>
      </c>
      <c r="J4685" t="s">
        <v>16386</v>
      </c>
      <c r="K4685">
        <v>0.171</v>
      </c>
      <c r="L4685">
        <v>7429</v>
      </c>
      <c r="N4685" t="s">
        <v>16393</v>
      </c>
      <c r="O4685" s="4">
        <v>64480</v>
      </c>
      <c r="P4685" s="4">
        <v>140115</v>
      </c>
      <c r="Q4685" s="4">
        <v>204595</v>
      </c>
      <c r="R4685" s="4">
        <v>613785</v>
      </c>
      <c r="S4685" t="s">
        <v>20980</v>
      </c>
      <c r="T4685" s="6">
        <v>43009</v>
      </c>
      <c r="U4685" s="4">
        <v>448731</v>
      </c>
      <c r="V4685" t="s">
        <v>16232</v>
      </c>
      <c r="W4685" t="s">
        <v>20980</v>
      </c>
      <c r="X4685" t="s">
        <v>3</v>
      </c>
      <c r="AA4685" s="5" t="str">
        <f>HYPERLINK("https://www.zillow.com/homes/2528-BASIN-TRAIL-LN-NAPERVILLE-IL-605633595_rb/","check listing")</f>
        <v>check listing</v>
      </c>
      <c r="AB4685" s="5" t="str">
        <f>HYPERLINK("https://propertylookup.dupagecounty.gov/Datalets/Datalet.aspx?UseSearch=no&amp;mode=sales&amp;pin=0709110004","sales record")</f>
        <v>sales record</v>
      </c>
      <c r="AC4685" t="s">
        <v>3</v>
      </c>
      <c r="AD4685">
        <v>41.79544</v>
      </c>
      <c r="AE4685">
        <v>-88.223567</v>
      </c>
      <c r="AF4685" s="5" t="str">
        <f>HYPERLINK("https://www.google.com/maps/search/?api=1&amp;query=41.79544,-88.223567","map")</f>
        <v>map</v>
      </c>
    </row>
    <row r="4686" spans="1:32">
      <c r="A4686" t="s">
        <v>4736</v>
      </c>
      <c r="B4686" t="s">
        <v>12269</v>
      </c>
      <c r="C4686" t="s">
        <v>15776</v>
      </c>
      <c r="D4686" t="s">
        <v>16206</v>
      </c>
      <c r="E4686" t="s">
        <v>16218</v>
      </c>
      <c r="F4686" t="s">
        <v>16221</v>
      </c>
      <c r="G4686" t="s">
        <v>16277</v>
      </c>
      <c r="H4686" t="s">
        <v>16277</v>
      </c>
      <c r="I4686" t="s">
        <v>16353</v>
      </c>
      <c r="J4686" t="s">
        <v>16386</v>
      </c>
      <c r="K4686">
        <v>0.171</v>
      </c>
      <c r="L4686">
        <v>7429</v>
      </c>
      <c r="M4686">
        <v>1859</v>
      </c>
      <c r="N4686" t="s">
        <v>16393</v>
      </c>
      <c r="O4686" s="4">
        <v>131890</v>
      </c>
      <c r="P4686" s="4">
        <v>112136</v>
      </c>
      <c r="Q4686" s="4">
        <v>244026</v>
      </c>
      <c r="R4686" s="4">
        <v>732078</v>
      </c>
      <c r="S4686" t="s">
        <v>20981</v>
      </c>
      <c r="T4686" s="6">
        <v>43313</v>
      </c>
      <c r="U4686" s="4">
        <v>546000</v>
      </c>
      <c r="V4686" t="s">
        <v>23740</v>
      </c>
      <c r="W4686" t="s">
        <v>24124</v>
      </c>
      <c r="X4686" t="s">
        <v>3</v>
      </c>
      <c r="AA4686" s="5" t="str">
        <f>HYPERLINK("https://www.zillow.com/homes/31-S-COLUMBIA-ST-NAPERVILLE-IL-605404914_rb/","check listing")</f>
        <v>check listing</v>
      </c>
      <c r="AB4686" s="5" t="str">
        <f>HYPERLINK("https://propertylookup.dupagecounty.gov/Datalets/Datalet.aspx?UseSearch=no&amp;mode=sales&amp;pin=0818407007","sales record")</f>
        <v>sales record</v>
      </c>
      <c r="AC4686" t="s">
        <v>3</v>
      </c>
      <c r="AD4686">
        <v>41.77397</v>
      </c>
      <c r="AE4686">
        <v>-88.13850499999999</v>
      </c>
      <c r="AF4686" s="5" t="str">
        <f>HYPERLINK("https://www.google.com/maps/search/?api=1&amp;query=41.77397,-88.138505","map")</f>
        <v>map</v>
      </c>
    </row>
    <row r="4687" spans="1:32">
      <c r="A4687" t="s">
        <v>4737</v>
      </c>
      <c r="B4687" t="s">
        <v>12270</v>
      </c>
      <c r="C4687" t="s">
        <v>15475</v>
      </c>
      <c r="D4687" t="s">
        <v>16206</v>
      </c>
      <c r="E4687" t="s">
        <v>16218</v>
      </c>
      <c r="F4687" t="s">
        <v>16221</v>
      </c>
      <c r="G4687" t="s">
        <v>16277</v>
      </c>
      <c r="H4687" t="s">
        <v>16277</v>
      </c>
      <c r="I4687" t="s">
        <v>16353</v>
      </c>
      <c r="J4687" t="s">
        <v>16386</v>
      </c>
      <c r="K4687">
        <v>0.171</v>
      </c>
      <c r="L4687">
        <v>7429</v>
      </c>
      <c r="M4687">
        <v>2044</v>
      </c>
      <c r="N4687" t="s">
        <v>16393</v>
      </c>
      <c r="O4687" s="4">
        <v>131890</v>
      </c>
      <c r="P4687" s="4">
        <v>59612</v>
      </c>
      <c r="Q4687" s="4">
        <v>191502</v>
      </c>
      <c r="R4687" s="4">
        <v>574506</v>
      </c>
      <c r="S4687" t="s">
        <v>20982</v>
      </c>
      <c r="T4687" s="6">
        <v>40269</v>
      </c>
      <c r="U4687" s="4">
        <v>255000</v>
      </c>
      <c r="V4687" t="s">
        <v>23739</v>
      </c>
      <c r="W4687" t="s">
        <v>26299</v>
      </c>
      <c r="X4687" t="s">
        <v>3</v>
      </c>
      <c r="AA4687" s="5" t="str">
        <f>HYPERLINK("https://www.zillow.com/homes/154-N-CENTER-ST-NAPERVILLE-IL-60540_rb/","check listing")</f>
        <v>check listing</v>
      </c>
      <c r="AB4687" s="5" t="str">
        <f>HYPERLINK("https://propertylookup.dupagecounty.gov/Datalets/Datalet.aspx?UseSearch=no&amp;mode=sales&amp;pin=0818130001","sales record")</f>
        <v>sales record</v>
      </c>
      <c r="AC4687" t="s">
        <v>3</v>
      </c>
      <c r="AD4687">
        <v>41.777422</v>
      </c>
      <c r="AE4687">
        <v>-88.145883</v>
      </c>
      <c r="AF4687" s="5" t="str">
        <f>HYPERLINK("https://www.google.com/maps/search/?api=1&amp;query=41.777422,-88.145883","map")</f>
        <v>map</v>
      </c>
    </row>
    <row r="4688" spans="1:32">
      <c r="A4688" t="s">
        <v>4738</v>
      </c>
      <c r="B4688" t="s">
        <v>12271</v>
      </c>
      <c r="C4688" t="s">
        <v>15475</v>
      </c>
      <c r="D4688" t="s">
        <v>16206</v>
      </c>
      <c r="E4688" t="s">
        <v>16218</v>
      </c>
      <c r="F4688" t="s">
        <v>16221</v>
      </c>
      <c r="G4688" t="s">
        <v>16277</v>
      </c>
      <c r="H4688" t="s">
        <v>16277</v>
      </c>
      <c r="I4688" t="s">
        <v>16353</v>
      </c>
      <c r="J4688" t="s">
        <v>16386</v>
      </c>
      <c r="K4688">
        <v>0.171</v>
      </c>
      <c r="L4688">
        <v>7428</v>
      </c>
      <c r="M4688">
        <v>2572</v>
      </c>
      <c r="N4688" t="s">
        <v>16393</v>
      </c>
      <c r="O4688" s="4">
        <v>120723</v>
      </c>
      <c r="P4688" s="4">
        <v>183619</v>
      </c>
      <c r="Q4688" s="4">
        <v>304342</v>
      </c>
      <c r="R4688" s="4">
        <v>913026</v>
      </c>
      <c r="S4688" t="s">
        <v>20983</v>
      </c>
      <c r="T4688" s="6">
        <v>42430</v>
      </c>
      <c r="U4688" s="4">
        <v>680000</v>
      </c>
      <c r="V4688" t="s">
        <v>23739</v>
      </c>
      <c r="W4688" t="s">
        <v>26300</v>
      </c>
      <c r="X4688" t="s">
        <v>3</v>
      </c>
      <c r="AA4688" s="5" t="str">
        <f>HYPERLINK("https://www.zillow.com/homes/120-N-COLUMBIA-ST-NAPERVILLE-IL-60540_rb/","check listing")</f>
        <v>check listing</v>
      </c>
      <c r="AB4688" s="5" t="str">
        <f>HYPERLINK("https://propertylookup.dupagecounty.gov/Datalets/Datalet.aspx?UseSearch=no&amp;mode=sales&amp;pin=0818400008","sales record")</f>
        <v>sales record</v>
      </c>
      <c r="AC4688" t="s">
        <v>3</v>
      </c>
      <c r="AD4688">
        <v>41.776308</v>
      </c>
      <c r="AE4688">
        <v>-88.137596</v>
      </c>
      <c r="AF4688" s="5" t="str">
        <f>HYPERLINK("https://www.google.com/maps/search/?api=1&amp;query=41.776308,-88.137596","map")</f>
        <v>map</v>
      </c>
    </row>
    <row r="4689" spans="1:32">
      <c r="A4689" t="s">
        <v>4739</v>
      </c>
      <c r="B4689" t="s">
        <v>12272</v>
      </c>
      <c r="C4689" t="s">
        <v>15475</v>
      </c>
      <c r="D4689" t="s">
        <v>16206</v>
      </c>
      <c r="E4689" t="s">
        <v>16218</v>
      </c>
      <c r="F4689" t="s">
        <v>16221</v>
      </c>
      <c r="G4689" t="s">
        <v>16277</v>
      </c>
      <c r="H4689" t="s">
        <v>16277</v>
      </c>
      <c r="I4689" t="s">
        <v>16353</v>
      </c>
      <c r="J4689" t="s">
        <v>16386</v>
      </c>
      <c r="K4689">
        <v>0.171</v>
      </c>
      <c r="L4689">
        <v>7427</v>
      </c>
      <c r="M4689">
        <v>2465</v>
      </c>
      <c r="N4689" t="s">
        <v>16393</v>
      </c>
      <c r="O4689" s="4">
        <v>131890</v>
      </c>
      <c r="P4689" s="4">
        <v>141404</v>
      </c>
      <c r="Q4689" s="4">
        <v>273294</v>
      </c>
      <c r="R4689" s="4">
        <v>819882</v>
      </c>
      <c r="S4689" t="s">
        <v>20984</v>
      </c>
      <c r="T4689" s="6">
        <v>37135</v>
      </c>
      <c r="U4689" s="4">
        <v>421000</v>
      </c>
      <c r="V4689" t="s">
        <v>23739</v>
      </c>
      <c r="W4689" t="s">
        <v>20984</v>
      </c>
      <c r="X4689" t="s">
        <v>3</v>
      </c>
      <c r="AA4689" s="5" t="str">
        <f>HYPERLINK("https://www.zillow.com/homes/27-S-COLUMBIA-ST-NAPERVILLE-IL-60540_rb/","check listing")</f>
        <v>check listing</v>
      </c>
      <c r="AB4689" s="5" t="str">
        <f>HYPERLINK("https://propertylookup.dupagecounty.gov/Datalets/Datalet.aspx?UseSearch=no&amp;mode=sales&amp;pin=0818407006","sales record")</f>
        <v>sales record</v>
      </c>
      <c r="AC4689" t="s">
        <v>27873</v>
      </c>
      <c r="AD4689">
        <v>41.774107</v>
      </c>
      <c r="AE4689">
        <v>-88.138497</v>
      </c>
      <c r="AF4689" s="5" t="str">
        <f>HYPERLINK("https://www.google.com/maps/search/?api=1&amp;query=41.774107,-88.138497","map")</f>
        <v>map</v>
      </c>
    </row>
    <row r="4690" spans="1:32">
      <c r="A4690" t="s">
        <v>4740</v>
      </c>
      <c r="B4690" t="s">
        <v>12273</v>
      </c>
      <c r="C4690" t="s">
        <v>15478</v>
      </c>
      <c r="D4690" t="s">
        <v>16206</v>
      </c>
      <c r="E4690" t="s">
        <v>16218</v>
      </c>
      <c r="F4690" t="s">
        <v>16221</v>
      </c>
      <c r="G4690" t="s">
        <v>16278</v>
      </c>
      <c r="H4690" t="s">
        <v>16277</v>
      </c>
      <c r="I4690" t="s">
        <v>16353</v>
      </c>
      <c r="J4690" t="s">
        <v>16386</v>
      </c>
      <c r="K4690">
        <v>0.17</v>
      </c>
      <c r="L4690">
        <v>7423</v>
      </c>
      <c r="N4690" t="s">
        <v>16393</v>
      </c>
      <c r="O4690" s="4">
        <v>64480</v>
      </c>
      <c r="P4690" s="4">
        <v>173997</v>
      </c>
      <c r="Q4690" s="4">
        <v>238477</v>
      </c>
      <c r="R4690" s="4">
        <v>715431</v>
      </c>
      <c r="S4690" t="s">
        <v>20985</v>
      </c>
      <c r="T4690" s="6">
        <v>43405</v>
      </c>
      <c r="U4690" s="4">
        <v>535828</v>
      </c>
      <c r="V4690" t="s">
        <v>16232</v>
      </c>
      <c r="W4690" t="s">
        <v>26301</v>
      </c>
      <c r="X4690" t="s">
        <v>3</v>
      </c>
      <c r="AA4690" s="5" t="str">
        <f>HYPERLINK("https://www.zillow.com/homes/2603-BASIN-TRAIL-CT-NAPERVILLE-IL-60563_rb/","check listing")</f>
        <v>check listing</v>
      </c>
      <c r="AB4690" s="5" t="str">
        <f>HYPERLINK("https://propertylookup.dupagecounty.gov/Datalets/Datalet.aspx?UseSearch=no&amp;mode=sales&amp;pin=0709109041","sales record")</f>
        <v>sales record</v>
      </c>
      <c r="AC4690" t="s">
        <v>3</v>
      </c>
      <c r="AD4690">
        <v>41.793883</v>
      </c>
      <c r="AE4690">
        <v>-88.22476899999999</v>
      </c>
      <c r="AF4690" s="5" t="str">
        <f>HYPERLINK("https://www.google.com/maps/search/?api=1&amp;query=41.793883,-88.224769","map")</f>
        <v>map</v>
      </c>
    </row>
    <row r="4691" spans="1:32">
      <c r="A4691" t="s">
        <v>4741</v>
      </c>
      <c r="B4691" t="s">
        <v>12274</v>
      </c>
      <c r="C4691" t="s">
        <v>15475</v>
      </c>
      <c r="D4691" t="s">
        <v>16206</v>
      </c>
      <c r="E4691" t="s">
        <v>16218</v>
      </c>
      <c r="F4691" t="s">
        <v>16221</v>
      </c>
      <c r="G4691" t="s">
        <v>16277</v>
      </c>
      <c r="H4691" t="s">
        <v>16277</v>
      </c>
      <c r="I4691" t="s">
        <v>16353</v>
      </c>
      <c r="J4691" t="s">
        <v>16386</v>
      </c>
      <c r="K4691">
        <v>0.17</v>
      </c>
      <c r="L4691">
        <v>7422</v>
      </c>
      <c r="M4691">
        <v>2377</v>
      </c>
      <c r="N4691" t="s">
        <v>16393</v>
      </c>
      <c r="O4691" s="4">
        <v>131890</v>
      </c>
      <c r="P4691" s="4">
        <v>208639</v>
      </c>
      <c r="Q4691" s="4">
        <v>340529</v>
      </c>
      <c r="R4691" s="4">
        <v>1021587</v>
      </c>
      <c r="S4691" t="s">
        <v>20986</v>
      </c>
      <c r="T4691" s="6">
        <v>39630</v>
      </c>
      <c r="U4691" s="4">
        <v>790000</v>
      </c>
      <c r="V4691" t="s">
        <v>23740</v>
      </c>
      <c r="W4691" t="s">
        <v>26302</v>
      </c>
      <c r="X4691" t="s">
        <v>3</v>
      </c>
      <c r="AA4691" s="5" t="str">
        <f>HYPERLINK("https://www.zillow.com/homes/104-S-ELLSWORTH-ST-NAPERVILLE-IL-60540_rb/","check listing")</f>
        <v>check listing</v>
      </c>
      <c r="AB4691" s="5" t="str">
        <f>HYPERLINK("https://propertylookup.dupagecounty.gov/Datalets/Datalet.aspx?UseSearch=no&amp;mode=sales&amp;pin=0818319001","sales record")</f>
        <v>sales record</v>
      </c>
      <c r="AC4691" t="s">
        <v>3</v>
      </c>
      <c r="AD4691">
        <v>41.773886</v>
      </c>
      <c r="AE4691">
        <v>-88.144763</v>
      </c>
      <c r="AF4691" s="5" t="str">
        <f>HYPERLINK("https://www.google.com/maps/search/?api=1&amp;query=41.773886,-88.144763","map")</f>
        <v>map</v>
      </c>
    </row>
    <row r="4692" spans="1:32">
      <c r="A4692" t="s">
        <v>4742</v>
      </c>
      <c r="B4692" t="s">
        <v>12275</v>
      </c>
      <c r="C4692" t="s">
        <v>15773</v>
      </c>
      <c r="D4692" t="s">
        <v>16206</v>
      </c>
      <c r="E4692" t="s">
        <v>16218</v>
      </c>
      <c r="F4692" t="s">
        <v>16221</v>
      </c>
      <c r="G4692" t="s">
        <v>16277</v>
      </c>
      <c r="H4692" t="s">
        <v>16277</v>
      </c>
      <c r="I4692" t="s">
        <v>16353</v>
      </c>
      <c r="J4692" t="s">
        <v>16386</v>
      </c>
      <c r="K4692">
        <v>0.17</v>
      </c>
      <c r="L4692">
        <v>7422</v>
      </c>
      <c r="M4692">
        <v>1319</v>
      </c>
      <c r="N4692" t="s">
        <v>16393</v>
      </c>
      <c r="O4692" s="4">
        <v>119856</v>
      </c>
      <c r="P4692" s="4">
        <v>97642</v>
      </c>
      <c r="Q4692" s="4">
        <v>217498</v>
      </c>
      <c r="R4692" s="4">
        <v>652494</v>
      </c>
      <c r="S4692" t="s">
        <v>20987</v>
      </c>
      <c r="T4692" s="6">
        <v>44075</v>
      </c>
      <c r="U4692" s="4">
        <v>620000</v>
      </c>
      <c r="V4692" t="s">
        <v>23739</v>
      </c>
      <c r="W4692" t="s">
        <v>26303</v>
      </c>
      <c r="X4692" t="s">
        <v>3</v>
      </c>
      <c r="AA4692" s="5" t="str">
        <f>HYPERLINK("https://www.zillow.com/homes/123-N-JULIAN-ST-NAPERVILLE-IL-605404822_rb/","check listing")</f>
        <v>check listing</v>
      </c>
      <c r="AB4692" s="5" t="str">
        <f>HYPERLINK("https://propertylookup.dupagecounty.gov/Datalets/Datalet.aspx?UseSearch=no&amp;mode=sales&amp;pin=0818400017","sales record")</f>
        <v>sales record</v>
      </c>
      <c r="AC4692" t="s">
        <v>3</v>
      </c>
      <c r="AD4692">
        <v>41.776468</v>
      </c>
      <c r="AE4692">
        <v>-88.13698599999999</v>
      </c>
      <c r="AF4692" s="5" t="str">
        <f>HYPERLINK("https://www.google.com/maps/search/?api=1&amp;query=41.776468,-88.136986","map")</f>
        <v>map</v>
      </c>
    </row>
    <row r="4693" spans="1:32">
      <c r="A4693" t="s">
        <v>4743</v>
      </c>
      <c r="B4693" t="s">
        <v>12276</v>
      </c>
      <c r="C4693" t="s">
        <v>15478</v>
      </c>
      <c r="D4693" t="s">
        <v>16206</v>
      </c>
      <c r="E4693" t="s">
        <v>16218</v>
      </c>
      <c r="F4693" t="s">
        <v>16221</v>
      </c>
      <c r="G4693" t="s">
        <v>16278</v>
      </c>
      <c r="H4693" t="s">
        <v>16277</v>
      </c>
      <c r="I4693" t="s">
        <v>16353</v>
      </c>
      <c r="J4693" t="s">
        <v>16386</v>
      </c>
      <c r="K4693">
        <v>0.17</v>
      </c>
      <c r="L4693">
        <v>7422</v>
      </c>
      <c r="N4693" t="s">
        <v>16393</v>
      </c>
      <c r="O4693" s="4">
        <v>58341</v>
      </c>
      <c r="P4693" s="4">
        <v>177830</v>
      </c>
      <c r="Q4693" s="4">
        <v>236171</v>
      </c>
      <c r="R4693" s="4">
        <v>708513</v>
      </c>
      <c r="S4693" t="s">
        <v>20988</v>
      </c>
      <c r="T4693" s="6">
        <v>43221</v>
      </c>
      <c r="U4693" s="4">
        <v>529471</v>
      </c>
      <c r="V4693" t="s">
        <v>16232</v>
      </c>
      <c r="W4693" t="s">
        <v>26304</v>
      </c>
      <c r="X4693" t="s">
        <v>3</v>
      </c>
      <c r="AA4693" s="5" t="str">
        <f>HYPERLINK("https://www.zillow.com/homes/2583-BASIN-TRAIL-LN-NAPERVILLE-IL-60563_rb/","check listing")</f>
        <v>check listing</v>
      </c>
      <c r="AB4693" s="5" t="str">
        <f>HYPERLINK("https://propertylookup.dupagecounty.gov/Datalets/Datalet.aspx?UseSearch=no&amp;mode=sales&amp;pin=0709109038","sales record")</f>
        <v>sales record</v>
      </c>
      <c r="AC4693" t="s">
        <v>3</v>
      </c>
      <c r="AD4693">
        <v>41.794352</v>
      </c>
      <c r="AE4693">
        <v>-88.224766</v>
      </c>
      <c r="AF4693" s="5" t="str">
        <f>HYPERLINK("https://www.google.com/maps/search/?api=1&amp;query=41.794352,-88.224766","map")</f>
        <v>map</v>
      </c>
    </row>
    <row r="4694" spans="1:32">
      <c r="A4694" t="s">
        <v>4744</v>
      </c>
      <c r="B4694" t="s">
        <v>12277</v>
      </c>
      <c r="C4694" t="s">
        <v>15475</v>
      </c>
      <c r="D4694" t="s">
        <v>16206</v>
      </c>
      <c r="E4694" t="s">
        <v>16218</v>
      </c>
      <c r="F4694" t="s">
        <v>16221</v>
      </c>
      <c r="G4694" t="s">
        <v>16277</v>
      </c>
      <c r="H4694" t="s">
        <v>16277</v>
      </c>
      <c r="I4694" t="s">
        <v>16353</v>
      </c>
      <c r="J4694" t="s">
        <v>16386</v>
      </c>
      <c r="K4694">
        <v>0.17</v>
      </c>
      <c r="L4694">
        <v>7421</v>
      </c>
      <c r="M4694">
        <v>2127</v>
      </c>
      <c r="N4694" t="s">
        <v>16393</v>
      </c>
      <c r="O4694" s="4">
        <v>119856</v>
      </c>
      <c r="P4694" s="4">
        <v>31489</v>
      </c>
      <c r="Q4694" s="4">
        <v>151345</v>
      </c>
      <c r="R4694" s="4">
        <v>454035</v>
      </c>
      <c r="S4694" t="s">
        <v>20989</v>
      </c>
      <c r="X4694" t="s">
        <v>3</v>
      </c>
      <c r="AA4694" s="5" t="str">
        <f>HYPERLINK("https://www.zillow.com/homes/35-S-JULIAN-ST-NAPERVILLE-IL-60540_rb/","check listing")</f>
        <v>check listing</v>
      </c>
      <c r="AB4694" s="5" t="str">
        <f>HYPERLINK("https://propertylookup.dupagecounty.gov/Datalets/Datalet.aspx?UseSearch=no&amp;mode=sales&amp;pin=0818408012","sales record")</f>
        <v>sales record</v>
      </c>
      <c r="AC4694" t="s">
        <v>3</v>
      </c>
      <c r="AD4694">
        <v>41.773842</v>
      </c>
      <c r="AE4694">
        <v>-88.13712</v>
      </c>
      <c r="AF4694" s="5" t="str">
        <f>HYPERLINK("https://www.google.com/maps/search/?api=1&amp;query=41.773842,-88.13712","map")</f>
        <v>map</v>
      </c>
    </row>
    <row r="4695" spans="1:32">
      <c r="A4695" t="s">
        <v>4745</v>
      </c>
      <c r="B4695" t="s">
        <v>12278</v>
      </c>
      <c r="C4695" t="s">
        <v>15777</v>
      </c>
      <c r="D4695" t="s">
        <v>16206</v>
      </c>
      <c r="E4695" t="s">
        <v>16218</v>
      </c>
      <c r="F4695" t="s">
        <v>16221</v>
      </c>
      <c r="G4695" t="s">
        <v>16278</v>
      </c>
      <c r="H4695" t="s">
        <v>16277</v>
      </c>
      <c r="I4695" t="s">
        <v>16353</v>
      </c>
      <c r="J4695" t="s">
        <v>16386</v>
      </c>
      <c r="K4695">
        <v>0.17</v>
      </c>
      <c r="L4695">
        <v>7419</v>
      </c>
      <c r="N4695" t="s">
        <v>16393</v>
      </c>
      <c r="O4695" s="4">
        <v>58341</v>
      </c>
      <c r="P4695" s="4">
        <v>158680</v>
      </c>
      <c r="Q4695" s="4">
        <v>217021</v>
      </c>
      <c r="R4695" s="4">
        <v>651063</v>
      </c>
      <c r="S4695" t="s">
        <v>20990</v>
      </c>
      <c r="T4695" s="6">
        <v>43191</v>
      </c>
      <c r="U4695" s="4">
        <v>479757</v>
      </c>
      <c r="V4695" t="s">
        <v>16232</v>
      </c>
      <c r="W4695" t="s">
        <v>26305</v>
      </c>
      <c r="X4695" t="s">
        <v>3</v>
      </c>
      <c r="AA4695" s="5" t="str">
        <f>HYPERLINK("https://www.zillow.com/homes/2579-BASIN-TRAIL-LN-NAPERVILLE-IL-605633611_rb/","check listing")</f>
        <v>check listing</v>
      </c>
      <c r="AB4695" s="5" t="str">
        <f>HYPERLINK("https://propertylookup.dupagecounty.gov/Datalets/Datalet.aspx?UseSearch=no&amp;mode=sales&amp;pin=0709109037","sales record")</f>
        <v>sales record</v>
      </c>
      <c r="AC4695" t="s">
        <v>3</v>
      </c>
      <c r="AD4695">
        <v>41.794509</v>
      </c>
      <c r="AE4695">
        <v>-88.224766</v>
      </c>
      <c r="AF4695" s="5" t="str">
        <f>HYPERLINK("https://www.google.com/maps/search/?api=1&amp;query=41.794509,-88.224766","map")</f>
        <v>map</v>
      </c>
    </row>
    <row r="4696" spans="1:32">
      <c r="A4696" t="s">
        <v>4746</v>
      </c>
      <c r="B4696" t="s">
        <v>12279</v>
      </c>
      <c r="C4696" t="s">
        <v>15478</v>
      </c>
      <c r="D4696" t="s">
        <v>16206</v>
      </c>
      <c r="E4696" t="s">
        <v>16218</v>
      </c>
      <c r="F4696" t="s">
        <v>16221</v>
      </c>
      <c r="G4696" t="s">
        <v>16278</v>
      </c>
      <c r="H4696" t="s">
        <v>16277</v>
      </c>
      <c r="I4696" t="s">
        <v>16353</v>
      </c>
      <c r="J4696" t="s">
        <v>16386</v>
      </c>
      <c r="K4696">
        <v>0.17</v>
      </c>
      <c r="L4696">
        <v>7419</v>
      </c>
      <c r="N4696" t="s">
        <v>16393</v>
      </c>
      <c r="O4696" s="4">
        <v>58341</v>
      </c>
      <c r="P4696" s="4">
        <v>182199</v>
      </c>
      <c r="Q4696" s="4">
        <v>240540</v>
      </c>
      <c r="R4696" s="4">
        <v>721620</v>
      </c>
      <c r="S4696" t="s">
        <v>20991</v>
      </c>
      <c r="T4696" s="6">
        <v>43405</v>
      </c>
      <c r="U4696" s="4">
        <v>580518</v>
      </c>
      <c r="V4696" t="s">
        <v>16232</v>
      </c>
      <c r="W4696" t="s">
        <v>26306</v>
      </c>
      <c r="X4696" t="s">
        <v>3</v>
      </c>
      <c r="AA4696" s="5" t="str">
        <f>HYPERLINK("https://www.zillow.com/homes/2587-BASIN-TRAIL-LN-NAPERVILLE-IL-60563_rb/","check listing")</f>
        <v>check listing</v>
      </c>
      <c r="AB4696" s="5" t="str">
        <f>HYPERLINK("https://propertylookup.dupagecounty.gov/Datalets/Datalet.aspx?UseSearch=no&amp;mode=sales&amp;pin=0709109039","sales record")</f>
        <v>sales record</v>
      </c>
      <c r="AC4696" t="s">
        <v>3</v>
      </c>
      <c r="AD4696">
        <v>41.794196</v>
      </c>
      <c r="AE4696">
        <v>-88.224767</v>
      </c>
      <c r="AF4696" s="5" t="str">
        <f>HYPERLINK("https://www.google.com/maps/search/?api=1&amp;query=41.794196,-88.224767","map")</f>
        <v>map</v>
      </c>
    </row>
    <row r="4697" spans="1:32">
      <c r="A4697" t="s">
        <v>4747</v>
      </c>
      <c r="B4697" t="s">
        <v>12280</v>
      </c>
      <c r="C4697" t="s">
        <v>15777</v>
      </c>
      <c r="D4697" t="s">
        <v>16206</v>
      </c>
      <c r="E4697" t="s">
        <v>16218</v>
      </c>
      <c r="F4697" t="s">
        <v>16221</v>
      </c>
      <c r="G4697" t="s">
        <v>16278</v>
      </c>
      <c r="H4697" t="s">
        <v>16277</v>
      </c>
      <c r="I4697" t="s">
        <v>16353</v>
      </c>
      <c r="J4697" t="s">
        <v>16386</v>
      </c>
      <c r="K4697">
        <v>0.17</v>
      </c>
      <c r="L4697">
        <v>7419</v>
      </c>
      <c r="N4697" t="s">
        <v>16393</v>
      </c>
      <c r="O4697" s="4">
        <v>58341</v>
      </c>
      <c r="P4697" s="4">
        <v>175962</v>
      </c>
      <c r="Q4697" s="4">
        <v>234303</v>
      </c>
      <c r="R4697" s="4">
        <v>702909</v>
      </c>
      <c r="S4697" t="s">
        <v>20992</v>
      </c>
      <c r="T4697" s="6">
        <v>43313</v>
      </c>
      <c r="U4697" s="4">
        <v>544902</v>
      </c>
      <c r="V4697" t="s">
        <v>16232</v>
      </c>
      <c r="W4697" t="s">
        <v>26307</v>
      </c>
      <c r="X4697" t="s">
        <v>3</v>
      </c>
      <c r="AA4697" s="5" t="str">
        <f>HYPERLINK("https://www.zillow.com/homes/2591-BASIN-TRAIL-LN-NAPERVILLE-IL-605633611_rb/","check listing")</f>
        <v>check listing</v>
      </c>
      <c r="AB4697" s="5" t="str">
        <f>HYPERLINK("https://propertylookup.dupagecounty.gov/Datalets/Datalet.aspx?UseSearch=no&amp;mode=sales&amp;pin=0709109040","sales record")</f>
        <v>sales record</v>
      </c>
      <c r="AC4697" t="s">
        <v>3</v>
      </c>
      <c r="AD4697">
        <v>41.794039</v>
      </c>
      <c r="AE4697">
        <v>-88.224768</v>
      </c>
      <c r="AF4697" s="5" t="str">
        <f>HYPERLINK("https://www.google.com/maps/search/?api=1&amp;query=41.794039,-88.224768","map")</f>
        <v>map</v>
      </c>
    </row>
    <row r="4698" spans="1:32">
      <c r="A4698" t="s">
        <v>4748</v>
      </c>
      <c r="B4698" t="s">
        <v>12281</v>
      </c>
      <c r="C4698" t="s">
        <v>15777</v>
      </c>
      <c r="D4698" t="s">
        <v>16206</v>
      </c>
      <c r="E4698" t="s">
        <v>16218</v>
      </c>
      <c r="F4698" t="s">
        <v>16221</v>
      </c>
      <c r="G4698" t="s">
        <v>16278</v>
      </c>
      <c r="H4698" t="s">
        <v>16277</v>
      </c>
      <c r="I4698" t="s">
        <v>16353</v>
      </c>
      <c r="J4698" t="s">
        <v>16386</v>
      </c>
      <c r="K4698">
        <v>0.17</v>
      </c>
      <c r="L4698">
        <v>7419</v>
      </c>
      <c r="N4698" t="s">
        <v>16393</v>
      </c>
      <c r="O4698" s="4">
        <v>58341</v>
      </c>
      <c r="P4698" s="4">
        <v>179880</v>
      </c>
      <c r="Q4698" s="4">
        <v>238221</v>
      </c>
      <c r="R4698" s="4">
        <v>714663</v>
      </c>
      <c r="S4698" t="s">
        <v>20993</v>
      </c>
      <c r="T4698" s="6">
        <v>43252</v>
      </c>
      <c r="U4698" s="4">
        <v>526672</v>
      </c>
      <c r="V4698" t="s">
        <v>16232</v>
      </c>
      <c r="W4698" t="s">
        <v>26308</v>
      </c>
      <c r="X4698" t="s">
        <v>3</v>
      </c>
      <c r="AA4698" s="5" t="str">
        <f>HYPERLINK("https://www.zillow.com/homes/2575-BASIN-TRAIL-LN-NAPERVILLE-IL-605633611_rb/","check listing")</f>
        <v>check listing</v>
      </c>
      <c r="AB4698" s="5" t="str">
        <f>HYPERLINK("https://propertylookup.dupagecounty.gov/Datalets/Datalet.aspx?UseSearch=no&amp;mode=sales&amp;pin=0709109036","sales record")</f>
        <v>sales record</v>
      </c>
      <c r="AC4698" t="s">
        <v>3</v>
      </c>
      <c r="AD4698">
        <v>41.794665</v>
      </c>
      <c r="AE4698">
        <v>-88.224765</v>
      </c>
      <c r="AF4698" s="5" t="str">
        <f>HYPERLINK("https://www.google.com/maps/search/?api=1&amp;query=41.794665,-88.224765","map")</f>
        <v>map</v>
      </c>
    </row>
    <row r="4699" spans="1:32">
      <c r="A4699" t="s">
        <v>4749</v>
      </c>
      <c r="B4699" t="s">
        <v>12282</v>
      </c>
      <c r="C4699" t="s">
        <v>15777</v>
      </c>
      <c r="D4699" t="s">
        <v>16206</v>
      </c>
      <c r="E4699" t="s">
        <v>16218</v>
      </c>
      <c r="F4699" t="s">
        <v>16221</v>
      </c>
      <c r="G4699" t="s">
        <v>16278</v>
      </c>
      <c r="H4699" t="s">
        <v>16277</v>
      </c>
      <c r="I4699" t="s">
        <v>16353</v>
      </c>
      <c r="J4699" t="s">
        <v>16386</v>
      </c>
      <c r="K4699">
        <v>0.17</v>
      </c>
      <c r="L4699">
        <v>7418</v>
      </c>
      <c r="N4699" t="s">
        <v>16393</v>
      </c>
      <c r="O4699" s="4">
        <v>58341</v>
      </c>
      <c r="P4699" s="4">
        <v>142043</v>
      </c>
      <c r="Q4699" s="4">
        <v>200384</v>
      </c>
      <c r="R4699" s="4">
        <v>601152</v>
      </c>
      <c r="S4699" t="s">
        <v>20994</v>
      </c>
      <c r="T4699" s="6">
        <v>43101</v>
      </c>
      <c r="U4699" s="4">
        <v>473171</v>
      </c>
      <c r="V4699" t="s">
        <v>16232</v>
      </c>
      <c r="W4699" t="s">
        <v>26309</v>
      </c>
      <c r="X4699" t="s">
        <v>3</v>
      </c>
      <c r="AA4699" s="5" t="str">
        <f>HYPERLINK("https://www.zillow.com/homes/2571-BASIN-TRAIL-LN-NAPERVILLE-IL-605633611_rb/","check listing")</f>
        <v>check listing</v>
      </c>
      <c r="AB4699" s="5" t="str">
        <f>HYPERLINK("https://propertylookup.dupagecounty.gov/Datalets/Datalet.aspx?UseSearch=no&amp;mode=sales&amp;pin=0709109035","sales record")</f>
        <v>sales record</v>
      </c>
      <c r="AC4699" t="s">
        <v>3</v>
      </c>
      <c r="AD4699">
        <v>41.794822</v>
      </c>
      <c r="AE4699">
        <v>-88.22476399999999</v>
      </c>
      <c r="AF4699" s="5" t="str">
        <f>HYPERLINK("https://www.google.com/maps/search/?api=1&amp;query=41.794822,-88.224764","map")</f>
        <v>map</v>
      </c>
    </row>
    <row r="4700" spans="1:32">
      <c r="A4700" t="s">
        <v>4750</v>
      </c>
      <c r="B4700" t="s">
        <v>12283</v>
      </c>
      <c r="C4700" t="s">
        <v>15772</v>
      </c>
      <c r="D4700" t="s">
        <v>16206</v>
      </c>
      <c r="E4700" t="s">
        <v>16218</v>
      </c>
      <c r="F4700" t="s">
        <v>16221</v>
      </c>
      <c r="G4700" t="s">
        <v>16277</v>
      </c>
      <c r="H4700" t="s">
        <v>16277</v>
      </c>
      <c r="I4700" t="s">
        <v>16353</v>
      </c>
      <c r="J4700" t="s">
        <v>16386</v>
      </c>
      <c r="K4700">
        <v>0.17</v>
      </c>
      <c r="L4700">
        <v>7418</v>
      </c>
      <c r="M4700">
        <v>4433</v>
      </c>
      <c r="N4700" t="s">
        <v>16393</v>
      </c>
      <c r="O4700" s="4">
        <v>120723</v>
      </c>
      <c r="P4700" s="4">
        <v>394755</v>
      </c>
      <c r="Q4700" s="4">
        <v>515478</v>
      </c>
      <c r="R4700" s="4">
        <v>1546434</v>
      </c>
      <c r="S4700" t="s">
        <v>20995</v>
      </c>
      <c r="T4700" s="6">
        <v>38108</v>
      </c>
      <c r="U4700" s="4">
        <v>325000</v>
      </c>
      <c r="V4700" t="s">
        <v>23740</v>
      </c>
      <c r="W4700" t="s">
        <v>26310</v>
      </c>
      <c r="X4700" t="s">
        <v>3</v>
      </c>
      <c r="AA4700" s="5" t="str">
        <f>HYPERLINK("https://www.zillow.com/homes/731-N-BRAINARD-ST-NAPERVILLE-IL-605633132_rb/","check listing")</f>
        <v>check listing</v>
      </c>
      <c r="AB4700" s="5" t="str">
        <f>HYPERLINK("https://propertylookup.dupagecounty.gov/Datalets/Datalet.aspx?UseSearch=no&amp;mode=sales&amp;pin=0818111009","sales record")</f>
        <v>sales record</v>
      </c>
      <c r="AC4700" t="s">
        <v>3</v>
      </c>
      <c r="AD4700">
        <v>41.783841</v>
      </c>
      <c r="AE4700">
        <v>-88.14350399999999</v>
      </c>
      <c r="AF4700" s="5" t="str">
        <f>HYPERLINK("https://www.google.com/maps/search/?api=1&amp;query=41.783841,-88.143504","map")</f>
        <v>map</v>
      </c>
    </row>
    <row r="4701" spans="1:32">
      <c r="A4701" t="s">
        <v>4751</v>
      </c>
      <c r="B4701" t="s">
        <v>12284</v>
      </c>
      <c r="C4701" t="s">
        <v>15478</v>
      </c>
      <c r="D4701" t="s">
        <v>16206</v>
      </c>
      <c r="E4701" t="s">
        <v>16218</v>
      </c>
      <c r="F4701" t="s">
        <v>16221</v>
      </c>
      <c r="G4701" t="s">
        <v>16278</v>
      </c>
      <c r="H4701" t="s">
        <v>16277</v>
      </c>
      <c r="I4701" t="s">
        <v>16353</v>
      </c>
      <c r="J4701" t="s">
        <v>16386</v>
      </c>
      <c r="K4701">
        <v>0.17</v>
      </c>
      <c r="L4701">
        <v>7418</v>
      </c>
      <c r="N4701" t="s">
        <v>16393</v>
      </c>
      <c r="O4701" s="4">
        <v>64480</v>
      </c>
      <c r="P4701" s="4">
        <v>174131</v>
      </c>
      <c r="Q4701" s="4">
        <v>238611</v>
      </c>
      <c r="R4701" s="4">
        <v>715833</v>
      </c>
      <c r="S4701" t="s">
        <v>20996</v>
      </c>
      <c r="T4701" s="6">
        <v>43344</v>
      </c>
      <c r="U4701" s="4">
        <v>534798</v>
      </c>
      <c r="V4701" t="s">
        <v>16232</v>
      </c>
      <c r="W4701" t="s">
        <v>26311</v>
      </c>
      <c r="X4701" t="s">
        <v>3</v>
      </c>
      <c r="AA4701" s="5" t="str">
        <f>HYPERLINK("https://www.zillow.com/homes/2607-BASIN-TRAIL-CT-NAPERVILLE-IL-60563_rb/","check listing")</f>
        <v>check listing</v>
      </c>
      <c r="AB4701" s="5" t="str">
        <f>HYPERLINK("https://propertylookup.dupagecounty.gov/Datalets/Datalet.aspx?UseSearch=no&amp;mode=sales&amp;pin=0709109042","sales record")</f>
        <v>sales record</v>
      </c>
      <c r="AC4701" t="s">
        <v>3</v>
      </c>
      <c r="AD4701">
        <v>41.793726</v>
      </c>
      <c r="AE4701">
        <v>-88.22477000000001</v>
      </c>
      <c r="AF4701" s="5" t="str">
        <f>HYPERLINK("https://www.google.com/maps/search/?api=1&amp;query=41.793726,-88.22477","map")</f>
        <v>map</v>
      </c>
    </row>
    <row r="4702" spans="1:32">
      <c r="A4702" t="s">
        <v>4752</v>
      </c>
      <c r="B4702" t="s">
        <v>12285</v>
      </c>
      <c r="C4702" t="s">
        <v>15646</v>
      </c>
      <c r="D4702" t="s">
        <v>16206</v>
      </c>
      <c r="E4702" t="s">
        <v>16218</v>
      </c>
      <c r="F4702" t="s">
        <v>16221</v>
      </c>
      <c r="G4702" t="s">
        <v>16278</v>
      </c>
      <c r="H4702" t="s">
        <v>16277</v>
      </c>
      <c r="I4702" t="s">
        <v>16353</v>
      </c>
      <c r="J4702" t="s">
        <v>16386</v>
      </c>
      <c r="K4702">
        <v>0.17</v>
      </c>
      <c r="L4702">
        <v>7418</v>
      </c>
      <c r="N4702" t="s">
        <v>16393</v>
      </c>
      <c r="O4702" s="4">
        <v>64480</v>
      </c>
      <c r="P4702" s="4">
        <v>177085</v>
      </c>
      <c r="Q4702" s="4">
        <v>241565</v>
      </c>
      <c r="R4702" s="4">
        <v>724695</v>
      </c>
      <c r="S4702" t="s">
        <v>20997</v>
      </c>
      <c r="T4702" s="6">
        <v>43586</v>
      </c>
      <c r="U4702" s="4">
        <v>524238</v>
      </c>
      <c r="V4702" t="s">
        <v>16232</v>
      </c>
      <c r="W4702" t="s">
        <v>26312</v>
      </c>
      <c r="X4702" t="s">
        <v>3</v>
      </c>
      <c r="AA4702" s="5" t="str">
        <f>HYPERLINK("https://www.zillow.com/homes/2611-BASIN-TRAIL-CT-NAPERVILLE-IL-605633603_rb/","check listing")</f>
        <v>check listing</v>
      </c>
      <c r="AB4702" s="5" t="str">
        <f>HYPERLINK("https://propertylookup.dupagecounty.gov/Datalets/Datalet.aspx?UseSearch=no&amp;mode=sales&amp;pin=0709109043","sales record")</f>
        <v>sales record</v>
      </c>
      <c r="AC4702" t="s">
        <v>3</v>
      </c>
      <c r="AD4702">
        <v>41.793569</v>
      </c>
      <c r="AE4702">
        <v>-88.22477000000001</v>
      </c>
      <c r="AF4702" s="5" t="str">
        <f>HYPERLINK("https://www.google.com/maps/search/?api=1&amp;query=41.793569,-88.22477","map")</f>
        <v>map</v>
      </c>
    </row>
    <row r="4703" spans="1:32">
      <c r="A4703" t="s">
        <v>4753</v>
      </c>
      <c r="B4703" t="s">
        <v>12286</v>
      </c>
      <c r="C4703" t="s">
        <v>15766</v>
      </c>
      <c r="D4703" t="s">
        <v>16206</v>
      </c>
      <c r="E4703" t="s">
        <v>16218</v>
      </c>
      <c r="F4703" t="s">
        <v>16221</v>
      </c>
      <c r="G4703" t="s">
        <v>16277</v>
      </c>
      <c r="H4703" t="s">
        <v>16277</v>
      </c>
      <c r="I4703" t="s">
        <v>16353</v>
      </c>
      <c r="J4703" t="s">
        <v>16386</v>
      </c>
      <c r="K4703">
        <v>0.17</v>
      </c>
      <c r="L4703">
        <v>7417</v>
      </c>
      <c r="M4703">
        <v>2562</v>
      </c>
      <c r="N4703" t="s">
        <v>16393</v>
      </c>
      <c r="O4703" s="4">
        <v>131890</v>
      </c>
      <c r="P4703" s="4">
        <v>100449</v>
      </c>
      <c r="Q4703" s="4">
        <v>232339</v>
      </c>
      <c r="R4703" s="4">
        <v>697017</v>
      </c>
      <c r="S4703" t="s">
        <v>20998</v>
      </c>
      <c r="T4703" s="6">
        <v>45268</v>
      </c>
      <c r="U4703" s="4">
        <v>795000</v>
      </c>
      <c r="V4703" t="s">
        <v>23739</v>
      </c>
      <c r="W4703" t="s">
        <v>26313</v>
      </c>
      <c r="X4703" t="s">
        <v>3</v>
      </c>
      <c r="AA4703" s="5" t="str">
        <f>HYPERLINK("https://www.zillow.com/homes/116-N-COLUMBIA-ST-NAPERVILLE-IL-605404714_rb/","check listing")</f>
        <v>check listing</v>
      </c>
      <c r="AB4703" s="5" t="str">
        <f>HYPERLINK("https://propertylookup.dupagecounty.gov/Datalets/Datalet.aspx?UseSearch=no&amp;mode=sales&amp;pin=0818400009","sales record")</f>
        <v>sales record</v>
      </c>
      <c r="AC4703" t="s">
        <v>3</v>
      </c>
      <c r="AD4703">
        <v>41.776171</v>
      </c>
      <c r="AE4703">
        <v>-88.137601</v>
      </c>
      <c r="AF4703" s="5" t="str">
        <f>HYPERLINK("https://www.google.com/maps/search/?api=1&amp;query=41.776171,-88.137601","map")</f>
        <v>map</v>
      </c>
    </row>
    <row r="4704" spans="1:32">
      <c r="A4704" t="s">
        <v>4754</v>
      </c>
      <c r="B4704" t="s">
        <v>12287</v>
      </c>
      <c r="C4704" t="s">
        <v>15475</v>
      </c>
      <c r="D4704" t="s">
        <v>16206</v>
      </c>
      <c r="E4704" t="s">
        <v>16218</v>
      </c>
      <c r="F4704" t="s">
        <v>16221</v>
      </c>
      <c r="G4704" t="s">
        <v>16277</v>
      </c>
      <c r="H4704" t="s">
        <v>16277</v>
      </c>
      <c r="I4704" t="s">
        <v>16353</v>
      </c>
      <c r="J4704" t="s">
        <v>16386</v>
      </c>
      <c r="K4704">
        <v>0.17</v>
      </c>
      <c r="L4704">
        <v>7416</v>
      </c>
      <c r="N4704" t="s">
        <v>16393</v>
      </c>
      <c r="O4704" s="4">
        <v>120723</v>
      </c>
      <c r="P4704" s="4">
        <v>225363</v>
      </c>
      <c r="Q4704" s="4">
        <v>346086</v>
      </c>
      <c r="R4704" s="4">
        <v>1038258</v>
      </c>
      <c r="S4704" t="s">
        <v>20999</v>
      </c>
      <c r="T4704" s="6">
        <v>45384</v>
      </c>
      <c r="U4704" s="4">
        <v>1050000</v>
      </c>
      <c r="V4704" t="s">
        <v>23739</v>
      </c>
      <c r="W4704" t="s">
        <v>26314</v>
      </c>
      <c r="X4704" t="s">
        <v>3</v>
      </c>
      <c r="AA4704" s="5" t="str">
        <f>HYPERLINK("https://www.zillow.com/homes/715-N-CENTER-ST-NAPERVILLE-IL-60540_rb/","check listing")</f>
        <v>check listing</v>
      </c>
      <c r="AB4704" s="5" t="str">
        <f>HYPERLINK("https://propertylookup.dupagecounty.gov/Datalets/Datalet.aspx?UseSearch=no&amp;mode=sales&amp;pin=0818101020","sales record")</f>
        <v>sales record</v>
      </c>
      <c r="AC4704" t="s">
        <v>3</v>
      </c>
      <c r="AD4704">
        <v>41.783548</v>
      </c>
      <c r="AE4704">
        <v>-88.14631799999999</v>
      </c>
      <c r="AF4704" s="5" t="str">
        <f>HYPERLINK("https://www.google.com/maps/search/?api=1&amp;query=41.783548,-88.146318","map")</f>
        <v>map</v>
      </c>
    </row>
    <row r="4705" spans="1:32">
      <c r="A4705" t="s">
        <v>4755</v>
      </c>
      <c r="B4705" t="s">
        <v>12288</v>
      </c>
      <c r="C4705" t="s">
        <v>15778</v>
      </c>
      <c r="D4705" t="s">
        <v>16206</v>
      </c>
      <c r="E4705" t="s">
        <v>16218</v>
      </c>
      <c r="F4705" t="s">
        <v>16221</v>
      </c>
      <c r="G4705" t="s">
        <v>16278</v>
      </c>
      <c r="H4705" t="s">
        <v>16277</v>
      </c>
      <c r="I4705" t="s">
        <v>16353</v>
      </c>
      <c r="J4705" t="s">
        <v>16386</v>
      </c>
      <c r="K4705">
        <v>0.17</v>
      </c>
      <c r="L4705">
        <v>7415</v>
      </c>
      <c r="N4705" t="s">
        <v>16393</v>
      </c>
      <c r="O4705" s="4">
        <v>64480</v>
      </c>
      <c r="P4705" s="4">
        <v>125274</v>
      </c>
      <c r="Q4705" s="4">
        <v>189754</v>
      </c>
      <c r="R4705" s="4">
        <v>569262</v>
      </c>
      <c r="S4705" t="s">
        <v>21000</v>
      </c>
      <c r="T4705" s="6">
        <v>43070</v>
      </c>
      <c r="U4705" s="4">
        <v>442359</v>
      </c>
      <c r="V4705" t="s">
        <v>16232</v>
      </c>
      <c r="W4705" t="s">
        <v>26315</v>
      </c>
      <c r="X4705" t="s">
        <v>3</v>
      </c>
      <c r="AA4705" s="5" t="str">
        <f>HYPERLINK("https://www.zillow.com/homes/2531-SILVER-LOCH-RD-NAPERVILLE-IL-605633607_rb/","check listing")</f>
        <v>check listing</v>
      </c>
      <c r="AB4705" s="5" t="str">
        <f>HYPERLINK("https://propertylookup.dupagecounty.gov/Datalets/Datalet.aspx?UseSearch=no&amp;mode=sales&amp;pin=0709110017","sales record")</f>
        <v>sales record</v>
      </c>
      <c r="AC4705" t="s">
        <v>3</v>
      </c>
      <c r="AD4705">
        <v>41.794341</v>
      </c>
      <c r="AE4705">
        <v>-88.222672</v>
      </c>
      <c r="AF4705" s="5" t="str">
        <f>HYPERLINK("https://www.google.com/maps/search/?api=1&amp;query=41.794341,-88.222672","map")</f>
        <v>map</v>
      </c>
    </row>
    <row r="4706" spans="1:32">
      <c r="A4706" t="s">
        <v>4756</v>
      </c>
      <c r="B4706" t="s">
        <v>12289</v>
      </c>
      <c r="C4706" t="s">
        <v>15778</v>
      </c>
      <c r="D4706" t="s">
        <v>16206</v>
      </c>
      <c r="E4706" t="s">
        <v>16218</v>
      </c>
      <c r="F4706" t="s">
        <v>16221</v>
      </c>
      <c r="G4706" t="s">
        <v>16278</v>
      </c>
      <c r="H4706" t="s">
        <v>16277</v>
      </c>
      <c r="I4706" t="s">
        <v>16353</v>
      </c>
      <c r="J4706" t="s">
        <v>16386</v>
      </c>
      <c r="K4706">
        <v>0.17</v>
      </c>
      <c r="L4706">
        <v>7415</v>
      </c>
      <c r="N4706" t="s">
        <v>16393</v>
      </c>
      <c r="O4706" s="4">
        <v>64480</v>
      </c>
      <c r="P4706" s="4">
        <v>143716</v>
      </c>
      <c r="Q4706" s="4">
        <v>208196</v>
      </c>
      <c r="R4706" s="4">
        <v>624588</v>
      </c>
      <c r="S4706" t="s">
        <v>21001</v>
      </c>
      <c r="T4706" s="6">
        <v>43374</v>
      </c>
      <c r="U4706" s="4">
        <v>460062</v>
      </c>
      <c r="V4706" t="s">
        <v>16232</v>
      </c>
      <c r="W4706" t="s">
        <v>21001</v>
      </c>
      <c r="X4706" t="s">
        <v>3</v>
      </c>
      <c r="AA4706" s="5" t="str">
        <f>HYPERLINK("https://www.zillow.com/homes/2527-SILVER-LOCH-RD-NAPERVILLE-IL-605633607_rb/","check listing")</f>
        <v>check listing</v>
      </c>
      <c r="AB4706" s="5" t="str">
        <f>HYPERLINK("https://propertylookup.dupagecounty.gov/Datalets/Datalet.aspx?UseSearch=no&amp;mode=sales&amp;pin=0709110016","sales record")</f>
        <v>sales record</v>
      </c>
      <c r="AC4706" t="s">
        <v>3</v>
      </c>
      <c r="AD4706">
        <v>41.79434</v>
      </c>
      <c r="AE4706">
        <v>-88.222463</v>
      </c>
      <c r="AF4706" s="5" t="str">
        <f>HYPERLINK("https://www.google.com/maps/search/?api=1&amp;query=41.79434,-88.222463","map")</f>
        <v>map</v>
      </c>
    </row>
    <row r="4707" spans="1:32">
      <c r="A4707" t="s">
        <v>4757</v>
      </c>
      <c r="B4707" t="s">
        <v>12290</v>
      </c>
      <c r="C4707" t="s">
        <v>15779</v>
      </c>
      <c r="D4707" t="s">
        <v>16206</v>
      </c>
      <c r="E4707" t="s">
        <v>16218</v>
      </c>
      <c r="F4707" t="s">
        <v>16221</v>
      </c>
      <c r="G4707" t="s">
        <v>16277</v>
      </c>
      <c r="H4707" t="s">
        <v>16277</v>
      </c>
      <c r="I4707" t="s">
        <v>16353</v>
      </c>
      <c r="J4707" t="s">
        <v>16386</v>
      </c>
      <c r="K4707">
        <v>0.17</v>
      </c>
      <c r="L4707">
        <v>7415</v>
      </c>
      <c r="M4707">
        <v>2655</v>
      </c>
      <c r="N4707" t="s">
        <v>16393</v>
      </c>
      <c r="O4707" s="4">
        <v>120723</v>
      </c>
      <c r="P4707" s="4">
        <v>238475</v>
      </c>
      <c r="Q4707" s="4">
        <v>359198</v>
      </c>
      <c r="R4707" s="4">
        <v>1077594</v>
      </c>
      <c r="S4707" t="s">
        <v>21002</v>
      </c>
      <c r="T4707" s="6">
        <v>42614</v>
      </c>
      <c r="U4707" s="4">
        <v>815000</v>
      </c>
      <c r="V4707" t="s">
        <v>23739</v>
      </c>
      <c r="W4707" t="s">
        <v>26316</v>
      </c>
      <c r="X4707" t="s">
        <v>3</v>
      </c>
      <c r="AA4707" s="5" t="str">
        <f>HYPERLINK("https://www.zillow.com/homes/707-N-CENTER-ST-NAPERVILLE-IL-605633140_rb/","check listing")</f>
        <v>check listing</v>
      </c>
      <c r="AB4707" s="5" t="str">
        <f>HYPERLINK("https://propertylookup.dupagecounty.gov/Datalets/Datalet.aspx?UseSearch=no&amp;mode=sales&amp;pin=0818101015","sales record")</f>
        <v>sales record</v>
      </c>
      <c r="AC4707" t="s">
        <v>3</v>
      </c>
      <c r="AD4707">
        <v>41.783277</v>
      </c>
      <c r="AE4707">
        <v>-88.14633499999999</v>
      </c>
      <c r="AF4707" s="5" t="str">
        <f>HYPERLINK("https://www.google.com/maps/search/?api=1&amp;query=41.783277,-88.146335","map")</f>
        <v>map</v>
      </c>
    </row>
    <row r="4708" spans="1:32">
      <c r="A4708" t="s">
        <v>4758</v>
      </c>
      <c r="B4708" t="s">
        <v>12291</v>
      </c>
      <c r="C4708" t="s">
        <v>15780</v>
      </c>
      <c r="D4708" t="s">
        <v>16206</v>
      </c>
      <c r="E4708" t="s">
        <v>16218</v>
      </c>
      <c r="F4708" t="s">
        <v>16221</v>
      </c>
      <c r="G4708" t="s">
        <v>16277</v>
      </c>
      <c r="H4708" t="s">
        <v>16277</v>
      </c>
      <c r="I4708" t="s">
        <v>16353</v>
      </c>
      <c r="J4708" t="s">
        <v>16386</v>
      </c>
      <c r="K4708">
        <v>0.17</v>
      </c>
      <c r="L4708">
        <v>7415</v>
      </c>
      <c r="M4708">
        <v>1056</v>
      </c>
      <c r="N4708" t="s">
        <v>16393</v>
      </c>
      <c r="O4708" s="4">
        <v>119856</v>
      </c>
      <c r="P4708" s="4">
        <v>33118</v>
      </c>
      <c r="Q4708" s="4">
        <v>152974</v>
      </c>
      <c r="R4708" s="4">
        <v>458922</v>
      </c>
      <c r="S4708" t="s">
        <v>21003</v>
      </c>
      <c r="T4708" s="6">
        <v>44562</v>
      </c>
      <c r="U4708" s="4">
        <v>415000</v>
      </c>
      <c r="V4708" t="s">
        <v>23738</v>
      </c>
      <c r="W4708" t="s">
        <v>26317</v>
      </c>
      <c r="X4708" t="s">
        <v>3</v>
      </c>
      <c r="AA4708" s="5" t="str">
        <f>HYPERLINK("https://www.zillow.com/homes/29-E-6TH-AVE-NAPERVILLE-IL-605633106_rb/","check listing")</f>
        <v>check listing</v>
      </c>
      <c r="AB4708" s="5" t="str">
        <f>HYPERLINK("https://propertylookup.dupagecounty.gov/Datalets/Datalet.aspx?UseSearch=no&amp;mode=sales&amp;pin=0818102014","sales record")</f>
        <v>sales record</v>
      </c>
      <c r="AC4708" t="s">
        <v>3</v>
      </c>
      <c r="AD4708">
        <v>41.782192</v>
      </c>
      <c r="AE4708">
        <v>-88.146404</v>
      </c>
      <c r="AF4708" s="5" t="str">
        <f>HYPERLINK("https://www.google.com/maps/search/?api=1&amp;query=41.782192,-88.146404","map")</f>
        <v>map</v>
      </c>
    </row>
    <row r="4709" spans="1:32">
      <c r="A4709" t="s">
        <v>4759</v>
      </c>
      <c r="B4709" t="s">
        <v>12292</v>
      </c>
      <c r="C4709" t="s">
        <v>15779</v>
      </c>
      <c r="D4709" t="s">
        <v>16206</v>
      </c>
      <c r="E4709" t="s">
        <v>16218</v>
      </c>
      <c r="F4709" t="s">
        <v>16221</v>
      </c>
      <c r="G4709" t="s">
        <v>16277</v>
      </c>
      <c r="H4709" t="s">
        <v>16277</v>
      </c>
      <c r="I4709" t="s">
        <v>16353</v>
      </c>
      <c r="J4709" t="s">
        <v>16386</v>
      </c>
      <c r="K4709">
        <v>0.17</v>
      </c>
      <c r="L4709">
        <v>7414</v>
      </c>
      <c r="M4709">
        <v>2870</v>
      </c>
      <c r="N4709" t="s">
        <v>16393</v>
      </c>
      <c r="O4709" s="4">
        <v>120723</v>
      </c>
      <c r="P4709" s="4">
        <v>330658</v>
      </c>
      <c r="Q4709" s="4">
        <v>451381</v>
      </c>
      <c r="R4709" s="4">
        <v>1354143</v>
      </c>
      <c r="S4709" t="s">
        <v>21004</v>
      </c>
      <c r="T4709" s="6">
        <v>42522</v>
      </c>
      <c r="U4709" s="4">
        <v>1007000</v>
      </c>
      <c r="V4709" t="s">
        <v>23739</v>
      </c>
      <c r="W4709" t="s">
        <v>26318</v>
      </c>
      <c r="X4709" t="s">
        <v>3</v>
      </c>
      <c r="AA4709" s="5" t="str">
        <f>HYPERLINK("https://www.zillow.com/homes/729-N-CENTER-ST-NAPERVILLE-IL-605633140_rb/","check listing")</f>
        <v>check listing</v>
      </c>
      <c r="AB4709" s="5" t="str">
        <f>HYPERLINK("https://propertylookup.dupagecounty.gov/Datalets/Datalet.aspx?UseSearch=no&amp;mode=sales&amp;pin=0818101010","sales record")</f>
        <v>sales record</v>
      </c>
      <c r="AC4709" t="s">
        <v>3</v>
      </c>
      <c r="AD4709">
        <v>41.783955</v>
      </c>
      <c r="AE4709">
        <v>-88.146294</v>
      </c>
      <c r="AF4709" s="5" t="str">
        <f>HYPERLINK("https://www.google.com/maps/search/?api=1&amp;query=41.783955,-88.146294","map")</f>
        <v>map</v>
      </c>
    </row>
    <row r="4710" spans="1:32">
      <c r="A4710" t="s">
        <v>4760</v>
      </c>
      <c r="B4710" t="s">
        <v>12293</v>
      </c>
      <c r="C4710" t="s">
        <v>15781</v>
      </c>
      <c r="D4710" t="s">
        <v>16206</v>
      </c>
      <c r="E4710" t="s">
        <v>16218</v>
      </c>
      <c r="F4710" t="s">
        <v>16221</v>
      </c>
      <c r="G4710" t="s">
        <v>16277</v>
      </c>
      <c r="H4710" t="s">
        <v>16277</v>
      </c>
      <c r="I4710" t="s">
        <v>16353</v>
      </c>
      <c r="J4710" t="s">
        <v>16386</v>
      </c>
      <c r="K4710">
        <v>0.17</v>
      </c>
      <c r="L4710">
        <v>7413</v>
      </c>
      <c r="M4710">
        <v>2754</v>
      </c>
      <c r="N4710" t="s">
        <v>16393</v>
      </c>
      <c r="O4710" s="4">
        <v>131890</v>
      </c>
      <c r="P4710" s="4">
        <v>90863</v>
      </c>
      <c r="Q4710" s="4">
        <v>222753</v>
      </c>
      <c r="R4710" s="4">
        <v>668259</v>
      </c>
      <c r="S4710" t="s">
        <v>21005</v>
      </c>
      <c r="T4710" s="6">
        <v>42491</v>
      </c>
      <c r="U4710" s="4">
        <v>543000</v>
      </c>
      <c r="V4710" t="s">
        <v>23740</v>
      </c>
      <c r="W4710" t="s">
        <v>26319</v>
      </c>
      <c r="X4710" t="s">
        <v>3</v>
      </c>
      <c r="AA4710" s="5" t="str">
        <f>HYPERLINK("https://www.zillow.com/homes/138-CENTER-ST-NAPERVILLE-IL-605404613_rb/","check listing")</f>
        <v>check listing</v>
      </c>
      <c r="AB4710" s="5" t="str">
        <f>HYPERLINK("https://propertylookup.dupagecounty.gov/Datalets/Datalet.aspx?UseSearch=no&amp;mode=sales&amp;pin=0818301001","sales record")</f>
        <v>sales record</v>
      </c>
      <c r="AC4710" t="s">
        <v>3</v>
      </c>
      <c r="AD4710">
        <v>41.776981</v>
      </c>
      <c r="AE4710">
        <v>-88.145905</v>
      </c>
      <c r="AF4710" s="5" t="str">
        <f>HYPERLINK("https://www.google.com/maps/search/?api=1&amp;query=41.776981,-88.145905","map")</f>
        <v>map</v>
      </c>
    </row>
    <row r="4711" spans="1:32">
      <c r="A4711" t="s">
        <v>4761</v>
      </c>
      <c r="B4711" t="s">
        <v>12294</v>
      </c>
      <c r="C4711" t="s">
        <v>15779</v>
      </c>
      <c r="D4711" t="s">
        <v>16206</v>
      </c>
      <c r="E4711" t="s">
        <v>16218</v>
      </c>
      <c r="F4711" t="s">
        <v>16221</v>
      </c>
      <c r="G4711" t="s">
        <v>16277</v>
      </c>
      <c r="H4711" t="s">
        <v>16277</v>
      </c>
      <c r="I4711" t="s">
        <v>16353</v>
      </c>
      <c r="J4711" t="s">
        <v>16386</v>
      </c>
      <c r="K4711">
        <v>0.17</v>
      </c>
      <c r="L4711">
        <v>7413</v>
      </c>
      <c r="M4711">
        <v>2653</v>
      </c>
      <c r="N4711" t="s">
        <v>16393</v>
      </c>
      <c r="O4711" s="4">
        <v>120723</v>
      </c>
      <c r="P4711" s="4">
        <v>234788</v>
      </c>
      <c r="Q4711" s="4">
        <v>355511</v>
      </c>
      <c r="R4711" s="4">
        <v>1066533</v>
      </c>
      <c r="S4711" t="s">
        <v>21006</v>
      </c>
      <c r="T4711" s="6">
        <v>42644</v>
      </c>
      <c r="U4711" s="4">
        <v>735000</v>
      </c>
      <c r="V4711" t="s">
        <v>23739</v>
      </c>
      <c r="W4711" t="s">
        <v>26320</v>
      </c>
      <c r="X4711" t="s">
        <v>3</v>
      </c>
      <c r="AA4711" s="5" t="str">
        <f>HYPERLINK("https://www.zillow.com/homes/711-N-CENTER-ST-NAPERVILLE-IL-605633140_rb/","check listing")</f>
        <v>check listing</v>
      </c>
      <c r="AB4711" s="5" t="str">
        <f>HYPERLINK("https://propertylookup.dupagecounty.gov/Datalets/Datalet.aspx?UseSearch=no&amp;mode=sales&amp;pin=0818101014","sales record")</f>
        <v>sales record</v>
      </c>
      <c r="AC4711" t="s">
        <v>3</v>
      </c>
      <c r="AD4711">
        <v>41.783413</v>
      </c>
      <c r="AE4711">
        <v>-88.146326</v>
      </c>
      <c r="AF4711" s="5" t="str">
        <f>HYPERLINK("https://www.google.com/maps/search/?api=1&amp;query=41.783413,-88.146326","map")</f>
        <v>map</v>
      </c>
    </row>
    <row r="4712" spans="1:32">
      <c r="A4712" t="s">
        <v>4762</v>
      </c>
      <c r="B4712" t="s">
        <v>12295</v>
      </c>
      <c r="C4712" t="s">
        <v>15779</v>
      </c>
      <c r="D4712" t="s">
        <v>16206</v>
      </c>
      <c r="E4712" t="s">
        <v>16218</v>
      </c>
      <c r="F4712" t="s">
        <v>16221</v>
      </c>
      <c r="G4712" t="s">
        <v>16277</v>
      </c>
      <c r="H4712" t="s">
        <v>16277</v>
      </c>
      <c r="I4712" t="s">
        <v>16353</v>
      </c>
      <c r="J4712" t="s">
        <v>16386</v>
      </c>
      <c r="K4712">
        <v>0.17</v>
      </c>
      <c r="L4712">
        <v>7412</v>
      </c>
      <c r="M4712">
        <v>2162</v>
      </c>
      <c r="N4712" t="s">
        <v>16393</v>
      </c>
      <c r="O4712" s="4">
        <v>119856</v>
      </c>
      <c r="P4712" s="4">
        <v>55653</v>
      </c>
      <c r="Q4712" s="4">
        <v>175509</v>
      </c>
      <c r="R4712" s="4">
        <v>526527</v>
      </c>
      <c r="S4712" t="s">
        <v>21007</v>
      </c>
      <c r="T4712" s="6">
        <v>38412</v>
      </c>
      <c r="U4712" s="4">
        <v>432000</v>
      </c>
      <c r="V4712" t="s">
        <v>23739</v>
      </c>
      <c r="W4712" t="s">
        <v>26321</v>
      </c>
      <c r="X4712" t="s">
        <v>3</v>
      </c>
      <c r="AA4712" s="5" t="str">
        <f>HYPERLINK("https://www.zillow.com/homes/725-N-CENTER-ST-NAPERVILLE-IL-605633140_rb/","check listing")</f>
        <v>check listing</v>
      </c>
      <c r="AB4712" s="5" t="str">
        <f>HYPERLINK("https://propertylookup.dupagecounty.gov/Datalets/Datalet.aspx?UseSearch=no&amp;mode=sales&amp;pin=0818101011","sales record")</f>
        <v>sales record</v>
      </c>
      <c r="AC4712" t="s">
        <v>3</v>
      </c>
      <c r="AD4712">
        <v>41.783819</v>
      </c>
      <c r="AE4712">
        <v>-88.14630200000001</v>
      </c>
      <c r="AF4712" s="5" t="str">
        <f>HYPERLINK("https://www.google.com/maps/search/?api=1&amp;query=41.783819,-88.146302","map")</f>
        <v>map</v>
      </c>
    </row>
    <row r="4713" spans="1:32">
      <c r="A4713" t="s">
        <v>4763</v>
      </c>
      <c r="B4713" t="s">
        <v>12296</v>
      </c>
      <c r="C4713" t="s">
        <v>15475</v>
      </c>
      <c r="D4713" t="s">
        <v>16206</v>
      </c>
      <c r="E4713" t="s">
        <v>16218</v>
      </c>
      <c r="F4713" t="s">
        <v>16221</v>
      </c>
      <c r="G4713" t="s">
        <v>16277</v>
      </c>
      <c r="H4713" t="s">
        <v>16277</v>
      </c>
      <c r="I4713" t="s">
        <v>16353</v>
      </c>
      <c r="J4713" t="s">
        <v>16386</v>
      </c>
      <c r="K4713">
        <v>0.17</v>
      </c>
      <c r="L4713">
        <v>7411</v>
      </c>
      <c r="M4713">
        <v>2836</v>
      </c>
      <c r="N4713" t="s">
        <v>16393</v>
      </c>
      <c r="O4713" s="4">
        <v>131890</v>
      </c>
      <c r="P4713" s="4">
        <v>155102</v>
      </c>
      <c r="Q4713" s="4">
        <v>286992</v>
      </c>
      <c r="R4713" s="4">
        <v>860976</v>
      </c>
      <c r="S4713" t="s">
        <v>21008</v>
      </c>
      <c r="T4713" s="6">
        <v>43556</v>
      </c>
      <c r="U4713" s="4">
        <v>689000</v>
      </c>
      <c r="V4713" t="s">
        <v>23739</v>
      </c>
      <c r="W4713" t="s">
        <v>21008</v>
      </c>
      <c r="X4713" t="s">
        <v>3</v>
      </c>
      <c r="AA4713" s="5" t="str">
        <f>HYPERLINK("https://www.zillow.com/homes/136-N-ELLSWORTH-ST-NAPERVILLE-IL-60540_rb/","check listing")</f>
        <v>check listing</v>
      </c>
      <c r="AB4713" s="5" t="str">
        <f>HYPERLINK("https://propertylookup.dupagecounty.gov/Datalets/Datalet.aspx?UseSearch=no&amp;mode=sales&amp;pin=0818302002","sales record")</f>
        <v>sales record</v>
      </c>
      <c r="AC4713" t="s">
        <v>3</v>
      </c>
      <c r="AD4713">
        <v>41.776917</v>
      </c>
      <c r="AE4713">
        <v>-88.14460200000001</v>
      </c>
      <c r="AF4713" s="5" t="str">
        <f>HYPERLINK("https://www.google.com/maps/search/?api=1&amp;query=41.776917,-88.144602","map")</f>
        <v>map</v>
      </c>
    </row>
    <row r="4714" spans="1:32">
      <c r="A4714" t="s">
        <v>4764</v>
      </c>
      <c r="B4714" t="s">
        <v>12297</v>
      </c>
      <c r="C4714" t="s">
        <v>15475</v>
      </c>
      <c r="D4714" t="s">
        <v>16206</v>
      </c>
      <c r="E4714" t="s">
        <v>16218</v>
      </c>
      <c r="F4714" t="s">
        <v>16221</v>
      </c>
      <c r="G4714" t="s">
        <v>16277</v>
      </c>
      <c r="H4714" t="s">
        <v>16277</v>
      </c>
      <c r="I4714" t="s">
        <v>16353</v>
      </c>
      <c r="J4714" t="s">
        <v>16386</v>
      </c>
      <c r="K4714">
        <v>0.17</v>
      </c>
      <c r="L4714">
        <v>7410</v>
      </c>
      <c r="M4714">
        <v>4154</v>
      </c>
      <c r="N4714" t="s">
        <v>16393</v>
      </c>
      <c r="O4714" s="4">
        <v>120723</v>
      </c>
      <c r="P4714" s="4">
        <v>289871</v>
      </c>
      <c r="Q4714" s="4">
        <v>410594</v>
      </c>
      <c r="R4714" s="4">
        <v>1231782</v>
      </c>
      <c r="S4714" t="s">
        <v>21009</v>
      </c>
      <c r="T4714" s="6">
        <v>45057</v>
      </c>
      <c r="U4714" s="4">
        <v>1125000</v>
      </c>
      <c r="V4714" t="s">
        <v>23739</v>
      </c>
      <c r="W4714" t="s">
        <v>26322</v>
      </c>
      <c r="X4714" t="s">
        <v>3</v>
      </c>
      <c r="AA4714" s="5" t="str">
        <f>HYPERLINK("https://www.zillow.com/homes/719-N-CENTER-ST-NAPERVILLE-IL-60540_rb/","check listing")</f>
        <v>check listing</v>
      </c>
      <c r="AB4714" s="5" t="str">
        <f>HYPERLINK("https://propertylookup.dupagecounty.gov/Datalets/Datalet.aspx?UseSearch=no&amp;mode=sales&amp;pin=0818101019","sales record")</f>
        <v>sales record</v>
      </c>
      <c r="AC4714" t="s">
        <v>3</v>
      </c>
      <c r="AD4714">
        <v>41.783684</v>
      </c>
      <c r="AE4714">
        <v>-88.14631</v>
      </c>
      <c r="AF4714" s="5" t="str">
        <f>HYPERLINK("https://www.google.com/maps/search/?api=1&amp;query=41.783684,-88.14631","map")</f>
        <v>map</v>
      </c>
    </row>
    <row r="4715" spans="1:32">
      <c r="A4715" t="s">
        <v>4765</v>
      </c>
      <c r="B4715" t="s">
        <v>12298</v>
      </c>
      <c r="C4715" t="s">
        <v>15782</v>
      </c>
      <c r="D4715" t="s">
        <v>16206</v>
      </c>
      <c r="E4715" t="s">
        <v>16218</v>
      </c>
      <c r="F4715" t="s">
        <v>16221</v>
      </c>
      <c r="G4715" t="s">
        <v>16277</v>
      </c>
      <c r="H4715" t="s">
        <v>16277</v>
      </c>
      <c r="I4715" t="s">
        <v>16353</v>
      </c>
      <c r="J4715" t="s">
        <v>16386</v>
      </c>
      <c r="K4715">
        <v>0.17</v>
      </c>
      <c r="L4715">
        <v>7410</v>
      </c>
      <c r="M4715">
        <v>594</v>
      </c>
      <c r="N4715" t="s">
        <v>16393</v>
      </c>
      <c r="O4715" s="4">
        <v>120723</v>
      </c>
      <c r="P4715" s="4">
        <v>412973</v>
      </c>
      <c r="Q4715" s="4">
        <v>533696</v>
      </c>
      <c r="R4715" s="4">
        <v>1601088</v>
      </c>
      <c r="S4715" t="s">
        <v>21010</v>
      </c>
      <c r="T4715" s="6">
        <v>43862</v>
      </c>
      <c r="U4715" s="4">
        <v>1052786</v>
      </c>
      <c r="V4715" t="s">
        <v>23739</v>
      </c>
      <c r="W4715" t="s">
        <v>21010</v>
      </c>
      <c r="X4715" t="s">
        <v>3</v>
      </c>
      <c r="AA4715" s="5" t="str">
        <f>HYPERLINK("https://www.zillow.com/homes/29-S-JULIAN-ST-NAPERVILLE-IL-605404934_rb/","check listing")</f>
        <v>check listing</v>
      </c>
      <c r="AB4715" s="5" t="str">
        <f>HYPERLINK("https://propertylookup.dupagecounty.gov/Datalets/Datalet.aspx?UseSearch=no&amp;mode=sales&amp;pin=0818408011","sales record")</f>
        <v>sales record</v>
      </c>
      <c r="AC4715" t="s">
        <v>3</v>
      </c>
      <c r="AD4715">
        <v>41.773978</v>
      </c>
      <c r="AE4715">
        <v>-88.137112</v>
      </c>
      <c r="AF4715" s="5" t="str">
        <f>HYPERLINK("https://www.google.com/maps/search/?api=1&amp;query=41.773978,-88.137112","map")</f>
        <v>map</v>
      </c>
    </row>
    <row r="4716" spans="1:32">
      <c r="A4716" t="s">
        <v>4766</v>
      </c>
      <c r="B4716" t="s">
        <v>12299</v>
      </c>
      <c r="C4716" t="s">
        <v>15778</v>
      </c>
      <c r="D4716" t="s">
        <v>16206</v>
      </c>
      <c r="E4716" t="s">
        <v>16218</v>
      </c>
      <c r="F4716" t="s">
        <v>16221</v>
      </c>
      <c r="G4716" t="s">
        <v>16278</v>
      </c>
      <c r="H4716" t="s">
        <v>16277</v>
      </c>
      <c r="I4716" t="s">
        <v>16353</v>
      </c>
      <c r="J4716" t="s">
        <v>16386</v>
      </c>
      <c r="K4716">
        <v>0.17</v>
      </c>
      <c r="L4716">
        <v>7410</v>
      </c>
      <c r="N4716" t="s">
        <v>16393</v>
      </c>
      <c r="O4716" s="4">
        <v>64480</v>
      </c>
      <c r="P4716" s="4">
        <v>141239</v>
      </c>
      <c r="Q4716" s="4">
        <v>205719</v>
      </c>
      <c r="R4716" s="4">
        <v>617157</v>
      </c>
      <c r="S4716" t="s">
        <v>21011</v>
      </c>
      <c r="T4716" s="6">
        <v>43344</v>
      </c>
      <c r="U4716" s="4">
        <v>450424</v>
      </c>
      <c r="V4716" t="s">
        <v>16232</v>
      </c>
      <c r="W4716" t="s">
        <v>26323</v>
      </c>
      <c r="X4716" t="s">
        <v>3</v>
      </c>
      <c r="AA4716" s="5" t="str">
        <f>HYPERLINK("https://www.zillow.com/homes/2555-SILVER-LOCH-RD-NAPERVILLE-IL-605633607_rb/","check listing")</f>
        <v>check listing</v>
      </c>
      <c r="AB4716" s="5" t="str">
        <f>HYPERLINK("https://propertylookup.dupagecounty.gov/Datalets/Datalet.aspx?UseSearch=no&amp;mode=sales&amp;pin=0709110020","sales record")</f>
        <v>sales record</v>
      </c>
      <c r="AC4716" t="s">
        <v>3</v>
      </c>
      <c r="AD4716">
        <v>41.794344</v>
      </c>
      <c r="AE4716">
        <v>-88.22374499999999</v>
      </c>
      <c r="AF4716" s="5" t="str">
        <f>HYPERLINK("https://www.google.com/maps/search/?api=1&amp;query=41.794344,-88.223745","map")</f>
        <v>map</v>
      </c>
    </row>
    <row r="4717" spans="1:32">
      <c r="A4717" t="s">
        <v>4767</v>
      </c>
      <c r="B4717" t="s">
        <v>12300</v>
      </c>
      <c r="C4717" t="s">
        <v>15773</v>
      </c>
      <c r="D4717" t="s">
        <v>16206</v>
      </c>
      <c r="E4717" t="s">
        <v>16218</v>
      </c>
      <c r="F4717" t="s">
        <v>16221</v>
      </c>
      <c r="G4717" t="s">
        <v>16277</v>
      </c>
      <c r="H4717" t="s">
        <v>16277</v>
      </c>
      <c r="I4717" t="s">
        <v>16353</v>
      </c>
      <c r="J4717" t="s">
        <v>16386</v>
      </c>
      <c r="K4717">
        <v>0.17</v>
      </c>
      <c r="L4717">
        <v>7409</v>
      </c>
      <c r="M4717">
        <v>1847</v>
      </c>
      <c r="N4717" t="s">
        <v>16393</v>
      </c>
      <c r="O4717" s="4">
        <v>120723</v>
      </c>
      <c r="P4717" s="4">
        <v>410166</v>
      </c>
      <c r="Q4717" s="4">
        <v>530889</v>
      </c>
      <c r="R4717" s="4">
        <v>1592667</v>
      </c>
      <c r="S4717" t="s">
        <v>21012</v>
      </c>
      <c r="T4717" s="6">
        <v>45131</v>
      </c>
      <c r="U4717" s="4">
        <v>1725000</v>
      </c>
      <c r="V4717" t="s">
        <v>23739</v>
      </c>
      <c r="W4717" t="s">
        <v>26324</v>
      </c>
      <c r="X4717" t="s">
        <v>3</v>
      </c>
      <c r="AA4717" s="5" t="str">
        <f>HYPERLINK("https://www.zillow.com/homes/121-N-JULIAN-ST-NAPERVILLE-IL-605404822_rb/","check listing")</f>
        <v>check listing</v>
      </c>
      <c r="AB4717" s="5" t="str">
        <f>HYPERLINK("https://propertylookup.dupagecounty.gov/Datalets/Datalet.aspx?UseSearch=no&amp;mode=sales&amp;pin=0818400018","sales record")</f>
        <v>sales record</v>
      </c>
      <c r="AC4717" t="s">
        <v>3</v>
      </c>
      <c r="AD4717">
        <v>41.776331</v>
      </c>
      <c r="AE4717">
        <v>-88.13699099999999</v>
      </c>
      <c r="AF4717" s="5" t="str">
        <f>HYPERLINK("https://www.google.com/maps/search/?api=1&amp;query=41.776331,-88.136991","map")</f>
        <v>map</v>
      </c>
    </row>
    <row r="4718" spans="1:32">
      <c r="A4718" t="s">
        <v>4768</v>
      </c>
      <c r="B4718" t="s">
        <v>12301</v>
      </c>
      <c r="C4718" t="s">
        <v>15478</v>
      </c>
      <c r="D4718" t="s">
        <v>16206</v>
      </c>
      <c r="E4718" t="s">
        <v>16218</v>
      </c>
      <c r="F4718" t="s">
        <v>16221</v>
      </c>
      <c r="G4718" t="s">
        <v>16277</v>
      </c>
      <c r="H4718" t="s">
        <v>16277</v>
      </c>
      <c r="I4718" t="s">
        <v>16353</v>
      </c>
      <c r="J4718" t="s">
        <v>16386</v>
      </c>
      <c r="K4718">
        <v>0.17</v>
      </c>
      <c r="L4718">
        <v>7409</v>
      </c>
      <c r="M4718">
        <v>3555</v>
      </c>
      <c r="N4718" t="s">
        <v>16393</v>
      </c>
      <c r="O4718" s="4">
        <v>119856</v>
      </c>
      <c r="P4718" s="4">
        <v>29574</v>
      </c>
      <c r="Q4718" s="4">
        <v>149430</v>
      </c>
      <c r="R4718" s="4">
        <v>448290</v>
      </c>
      <c r="S4718" t="s">
        <v>21013</v>
      </c>
      <c r="T4718" s="6">
        <v>33909</v>
      </c>
      <c r="U4718" s="4">
        <v>125000</v>
      </c>
      <c r="X4718" t="s">
        <v>3</v>
      </c>
      <c r="AA4718" s="5" t="str">
        <f>HYPERLINK("https://www.zillow.com/homes/725-N-BRAINARD-ST-NAPERVILLE-IL-60563_rb/","check listing")</f>
        <v>check listing</v>
      </c>
      <c r="AB4718" s="5" t="str">
        <f>HYPERLINK("https://propertylookup.dupagecounty.gov/Datalets/Datalet.aspx?UseSearch=no&amp;mode=sales&amp;pin=0818111010","sales record")</f>
        <v>sales record</v>
      </c>
      <c r="AC4718" t="s">
        <v>3</v>
      </c>
      <c r="AD4718">
        <v>41.783703</v>
      </c>
      <c r="AE4718">
        <v>-88.143513</v>
      </c>
      <c r="AF4718" s="5" t="str">
        <f>HYPERLINK("https://www.google.com/maps/search/?api=1&amp;query=41.783703,-88.143513","map")</f>
        <v>map</v>
      </c>
    </row>
    <row r="4719" spans="1:32">
      <c r="A4719" t="s">
        <v>4769</v>
      </c>
      <c r="B4719" t="s">
        <v>12302</v>
      </c>
      <c r="C4719" t="s">
        <v>15478</v>
      </c>
      <c r="D4719" t="s">
        <v>16206</v>
      </c>
      <c r="E4719" t="s">
        <v>16218</v>
      </c>
      <c r="F4719" t="s">
        <v>16221</v>
      </c>
      <c r="G4719" t="s">
        <v>16277</v>
      </c>
      <c r="H4719" t="s">
        <v>16277</v>
      </c>
      <c r="I4719" t="s">
        <v>16353</v>
      </c>
      <c r="J4719" t="s">
        <v>16386</v>
      </c>
      <c r="K4719">
        <v>0.17</v>
      </c>
      <c r="L4719">
        <v>7408</v>
      </c>
      <c r="M4719">
        <v>2690</v>
      </c>
      <c r="N4719" t="s">
        <v>16393</v>
      </c>
      <c r="O4719" s="4">
        <v>119844</v>
      </c>
      <c r="P4719" s="4">
        <v>91554</v>
      </c>
      <c r="Q4719" s="4">
        <v>211398</v>
      </c>
      <c r="R4719" s="4">
        <v>634194</v>
      </c>
      <c r="S4719" t="s">
        <v>21014</v>
      </c>
      <c r="T4719" s="6">
        <v>41244</v>
      </c>
      <c r="U4719" s="4">
        <v>229000</v>
      </c>
      <c r="V4719" t="s">
        <v>16232</v>
      </c>
      <c r="W4719" t="s">
        <v>26325</v>
      </c>
      <c r="X4719" t="s">
        <v>3</v>
      </c>
      <c r="AA4719" s="5" t="str">
        <f>HYPERLINK("https://www.zillow.com/homes/615-N-CENTER-ST-NAPERVILLE-IL-60563_rb/","check listing")</f>
        <v>check listing</v>
      </c>
      <c r="AB4719" s="5" t="str">
        <f>HYPERLINK("https://propertylookup.dupagecounty.gov/Datalets/Datalet.aspx?UseSearch=no&amp;mode=sales&amp;pin=0818102012","sales record")</f>
        <v>sales record</v>
      </c>
      <c r="AC4719" t="s">
        <v>3</v>
      </c>
      <c r="AD4719">
        <v>41.782463</v>
      </c>
      <c r="AE4719">
        <v>-88.146388</v>
      </c>
      <c r="AF4719" s="5" t="str">
        <f>HYPERLINK("https://www.google.com/maps/search/?api=1&amp;query=41.782463,-88.146388","map")</f>
        <v>map</v>
      </c>
    </row>
    <row r="4720" spans="1:32">
      <c r="A4720" t="s">
        <v>4770</v>
      </c>
      <c r="B4720" t="s">
        <v>12303</v>
      </c>
      <c r="C4720" t="s">
        <v>15478</v>
      </c>
      <c r="D4720" t="s">
        <v>16206</v>
      </c>
      <c r="E4720" t="s">
        <v>16218</v>
      </c>
      <c r="F4720" t="s">
        <v>16221</v>
      </c>
      <c r="G4720" t="s">
        <v>16277</v>
      </c>
      <c r="H4720" t="s">
        <v>16277</v>
      </c>
      <c r="I4720" t="s">
        <v>16353</v>
      </c>
      <c r="J4720" t="s">
        <v>16386</v>
      </c>
      <c r="K4720">
        <v>0.17</v>
      </c>
      <c r="L4720">
        <v>7408</v>
      </c>
      <c r="M4720">
        <v>2094</v>
      </c>
      <c r="N4720" t="s">
        <v>16393</v>
      </c>
      <c r="O4720" s="4">
        <v>119856</v>
      </c>
      <c r="P4720" s="4">
        <v>33047</v>
      </c>
      <c r="Q4720" s="4">
        <v>152903</v>
      </c>
      <c r="R4720" s="4">
        <v>458709</v>
      </c>
      <c r="S4720" t="s">
        <v>21015</v>
      </c>
      <c r="T4720" s="6">
        <v>33086</v>
      </c>
      <c r="U4720" s="4">
        <v>110000</v>
      </c>
      <c r="X4720" t="s">
        <v>3</v>
      </c>
      <c r="AA4720" s="5" t="str">
        <f>HYPERLINK("https://www.zillow.com/homes/735-N-CENTER-ST-NAPERVILLE-IL-60563_rb/","check listing")</f>
        <v>check listing</v>
      </c>
      <c r="AB4720" s="5" t="str">
        <f>HYPERLINK("https://propertylookup.dupagecounty.gov/Datalets/Datalet.aspx?UseSearch=no&amp;mode=sales&amp;pin=0818101009","sales record")</f>
        <v>sales record</v>
      </c>
      <c r="AC4720" t="s">
        <v>3</v>
      </c>
      <c r="AD4720">
        <v>41.78409</v>
      </c>
      <c r="AE4720">
        <v>-88.146286</v>
      </c>
      <c r="AF4720" s="5" t="str">
        <f>HYPERLINK("https://www.google.com/maps/search/?api=1&amp;query=41.78409,-88.146286","map")</f>
        <v>map</v>
      </c>
    </row>
    <row r="4721" spans="1:32">
      <c r="A4721" t="s">
        <v>4771</v>
      </c>
      <c r="B4721" t="s">
        <v>12304</v>
      </c>
      <c r="C4721" t="s">
        <v>15768</v>
      </c>
      <c r="D4721" t="s">
        <v>16206</v>
      </c>
      <c r="E4721" t="s">
        <v>16218</v>
      </c>
      <c r="F4721" t="s">
        <v>16221</v>
      </c>
      <c r="G4721" t="s">
        <v>16277</v>
      </c>
      <c r="H4721" t="s">
        <v>16277</v>
      </c>
      <c r="I4721" t="s">
        <v>16353</v>
      </c>
      <c r="J4721" t="s">
        <v>16386</v>
      </c>
      <c r="K4721">
        <v>0.17</v>
      </c>
      <c r="L4721">
        <v>7408</v>
      </c>
      <c r="M4721">
        <v>1930</v>
      </c>
      <c r="N4721" t="s">
        <v>16393</v>
      </c>
      <c r="O4721" s="4">
        <v>131890</v>
      </c>
      <c r="P4721" s="4">
        <v>85026</v>
      </c>
      <c r="Q4721" s="4">
        <v>216916</v>
      </c>
      <c r="R4721" s="4">
        <v>650748</v>
      </c>
      <c r="S4721" t="s">
        <v>21016</v>
      </c>
      <c r="T4721" s="6">
        <v>32264</v>
      </c>
      <c r="U4721" s="4">
        <v>112000</v>
      </c>
      <c r="X4721" t="s">
        <v>3</v>
      </c>
      <c r="AA4721" s="5" t="str">
        <f>HYPERLINK("https://www.zillow.com/homes/111-S-WRIGHT-ST-NAPERVILLE-IL-605404959_rb/","check listing")</f>
        <v>check listing</v>
      </c>
      <c r="AB4721" s="5" t="str">
        <f>HYPERLINK("https://propertylookup.dupagecounty.gov/Datalets/Datalet.aspx?UseSearch=no&amp;mode=sales&amp;pin=0818322010","sales record")</f>
        <v>sales record</v>
      </c>
      <c r="AC4721" t="s">
        <v>27873</v>
      </c>
      <c r="AD4721">
        <v>41.773588</v>
      </c>
      <c r="AE4721">
        <v>-88.13992399999999</v>
      </c>
      <c r="AF4721" s="5" t="str">
        <f>HYPERLINK("https://www.google.com/maps/search/?api=1&amp;query=41.773588,-88.139924","map")</f>
        <v>map</v>
      </c>
    </row>
    <row r="4722" spans="1:32">
      <c r="A4722" t="s">
        <v>4772</v>
      </c>
      <c r="B4722" t="s">
        <v>12305</v>
      </c>
      <c r="C4722" t="s">
        <v>15694</v>
      </c>
      <c r="D4722" t="s">
        <v>16206</v>
      </c>
      <c r="E4722" t="s">
        <v>16218</v>
      </c>
      <c r="F4722" t="s">
        <v>16221</v>
      </c>
      <c r="G4722" t="s">
        <v>16278</v>
      </c>
      <c r="H4722" t="s">
        <v>16277</v>
      </c>
      <c r="I4722" t="s">
        <v>16353</v>
      </c>
      <c r="J4722" t="s">
        <v>16386</v>
      </c>
      <c r="K4722">
        <v>0.17</v>
      </c>
      <c r="L4722">
        <v>7407</v>
      </c>
      <c r="N4722" t="s">
        <v>16393</v>
      </c>
      <c r="O4722" s="4">
        <v>70619</v>
      </c>
      <c r="P4722" s="4">
        <v>149575</v>
      </c>
      <c r="Q4722" s="4">
        <v>220194</v>
      </c>
      <c r="R4722" s="4">
        <v>660582</v>
      </c>
      <c r="S4722" t="s">
        <v>21017</v>
      </c>
      <c r="T4722" s="6">
        <v>43647</v>
      </c>
      <c r="U4722" s="4">
        <v>475852</v>
      </c>
      <c r="V4722" t="s">
        <v>16232</v>
      </c>
      <c r="W4722" t="s">
        <v>26326</v>
      </c>
      <c r="X4722" t="s">
        <v>3</v>
      </c>
      <c r="AA4722" s="5" t="str">
        <f>HYPERLINK("https://www.zillow.com/homes/2524-SILVER-LOCH-RD-NAPERVILLE-IL-605633612_rb/","check listing")</f>
        <v>check listing</v>
      </c>
      <c r="AB4722" s="5" t="str">
        <f>HYPERLINK("https://propertylookup.dupagecounty.gov/Datalets/Datalet.aspx?UseSearch=no&amp;mode=sales&amp;pin=0709109060","sales record")</f>
        <v>sales record</v>
      </c>
      <c r="AC4722" t="s">
        <v>3</v>
      </c>
      <c r="AD4722">
        <v>41.793801</v>
      </c>
      <c r="AE4722">
        <v>-88.222289</v>
      </c>
      <c r="AF4722" s="5" t="str">
        <f>HYPERLINK("https://www.google.com/maps/search/?api=1&amp;query=41.793801,-88.222289","map")</f>
        <v>map</v>
      </c>
    </row>
    <row r="4723" spans="1:32">
      <c r="A4723" t="s">
        <v>4773</v>
      </c>
      <c r="B4723" t="s">
        <v>12306</v>
      </c>
      <c r="C4723" t="s">
        <v>15775</v>
      </c>
      <c r="D4723" t="s">
        <v>16206</v>
      </c>
      <c r="E4723" t="s">
        <v>16218</v>
      </c>
      <c r="F4723" t="s">
        <v>16221</v>
      </c>
      <c r="G4723" t="s">
        <v>16277</v>
      </c>
      <c r="H4723" t="s">
        <v>16277</v>
      </c>
      <c r="I4723" t="s">
        <v>16353</v>
      </c>
      <c r="J4723" t="s">
        <v>16386</v>
      </c>
      <c r="K4723">
        <v>0.17</v>
      </c>
      <c r="L4723">
        <v>7407</v>
      </c>
      <c r="M4723">
        <v>1848</v>
      </c>
      <c r="N4723" t="s">
        <v>16393</v>
      </c>
      <c r="O4723" s="4">
        <v>119856</v>
      </c>
      <c r="P4723" s="4">
        <v>105609</v>
      </c>
      <c r="Q4723" s="4">
        <v>225465</v>
      </c>
      <c r="R4723" s="4">
        <v>676395</v>
      </c>
      <c r="S4723" t="s">
        <v>21018</v>
      </c>
      <c r="T4723" s="6">
        <v>44652</v>
      </c>
      <c r="U4723" s="4">
        <v>692500</v>
      </c>
      <c r="V4723" t="s">
        <v>23739</v>
      </c>
      <c r="W4723" t="s">
        <v>26327</v>
      </c>
      <c r="X4723" t="s">
        <v>3</v>
      </c>
      <c r="AA4723" s="5" t="str">
        <f>HYPERLINK("https://www.zillow.com/homes/729-N-ELLSWORTH-ST-NAPERVILLE-IL-605633148_rb/","check listing")</f>
        <v>check listing</v>
      </c>
      <c r="AB4723" s="5" t="str">
        <f>HYPERLINK("https://propertylookup.dupagecounty.gov/Datalets/Datalet.aspx?UseSearch=no&amp;mode=sales&amp;pin=0818106009","sales record")</f>
        <v>sales record</v>
      </c>
      <c r="AC4723" t="s">
        <v>3</v>
      </c>
      <c r="AD4723">
        <v>41.783899</v>
      </c>
      <c r="AE4723">
        <v>-88.14489500000001</v>
      </c>
      <c r="AF4723" s="5" t="str">
        <f>HYPERLINK("https://www.google.com/maps/search/?api=1&amp;query=41.783899,-88.144895","map")</f>
        <v>map</v>
      </c>
    </row>
    <row r="4724" spans="1:32">
      <c r="A4724" t="s">
        <v>4774</v>
      </c>
      <c r="B4724" t="s">
        <v>12307</v>
      </c>
      <c r="C4724" t="s">
        <v>15778</v>
      </c>
      <c r="D4724" t="s">
        <v>16206</v>
      </c>
      <c r="E4724" t="s">
        <v>16218</v>
      </c>
      <c r="F4724" t="s">
        <v>16221</v>
      </c>
      <c r="G4724" t="s">
        <v>16278</v>
      </c>
      <c r="H4724" t="s">
        <v>16277</v>
      </c>
      <c r="I4724" t="s">
        <v>16353</v>
      </c>
      <c r="J4724" t="s">
        <v>16386</v>
      </c>
      <c r="K4724">
        <v>0.17</v>
      </c>
      <c r="L4724">
        <v>7406</v>
      </c>
      <c r="N4724" t="s">
        <v>16393</v>
      </c>
      <c r="O4724" s="4">
        <v>61416</v>
      </c>
      <c r="P4724" s="4">
        <v>143716</v>
      </c>
      <c r="Q4724" s="4">
        <v>205132</v>
      </c>
      <c r="R4724" s="4">
        <v>615396</v>
      </c>
      <c r="S4724" t="s">
        <v>20425</v>
      </c>
      <c r="T4724" s="6">
        <v>43374</v>
      </c>
      <c r="U4724" s="4">
        <v>447656</v>
      </c>
      <c r="V4724" t="s">
        <v>16232</v>
      </c>
      <c r="W4724" t="s">
        <v>26328</v>
      </c>
      <c r="X4724" t="s">
        <v>3</v>
      </c>
      <c r="AA4724" s="5" t="str">
        <f>HYPERLINK("https://www.zillow.com/homes/2559-SILVER-LOCH-RD-NAPERVILLE-IL-605633607_rb/","check listing")</f>
        <v>check listing</v>
      </c>
      <c r="AB4724" s="5" t="str">
        <f>HYPERLINK("https://propertylookup.dupagecounty.gov/Datalets/Datalet.aspx?UseSearch=no&amp;mode=sales&amp;pin=0709110021","sales record")</f>
        <v>sales record</v>
      </c>
      <c r="AC4724" t="s">
        <v>3</v>
      </c>
      <c r="AD4724">
        <v>41.794345</v>
      </c>
      <c r="AE4724">
        <v>-88.22395400000001</v>
      </c>
      <c r="AF4724" s="5" t="str">
        <f>HYPERLINK("https://www.google.com/maps/search/?api=1&amp;query=41.794345,-88.223954","map")</f>
        <v>map</v>
      </c>
    </row>
    <row r="4725" spans="1:32">
      <c r="A4725" t="s">
        <v>4775</v>
      </c>
      <c r="B4725" t="s">
        <v>12308</v>
      </c>
      <c r="C4725" t="s">
        <v>15778</v>
      </c>
      <c r="D4725" t="s">
        <v>16206</v>
      </c>
      <c r="E4725" t="s">
        <v>16218</v>
      </c>
      <c r="F4725" t="s">
        <v>16221</v>
      </c>
      <c r="G4725" t="s">
        <v>16278</v>
      </c>
      <c r="H4725" t="s">
        <v>16277</v>
      </c>
      <c r="I4725" t="s">
        <v>16353</v>
      </c>
      <c r="J4725" t="s">
        <v>16386</v>
      </c>
      <c r="K4725">
        <v>0.17</v>
      </c>
      <c r="L4725">
        <v>7406</v>
      </c>
      <c r="N4725" t="s">
        <v>16393</v>
      </c>
      <c r="O4725" s="4">
        <v>64480</v>
      </c>
      <c r="P4725" s="4">
        <v>163269</v>
      </c>
      <c r="Q4725" s="4">
        <v>227749</v>
      </c>
      <c r="R4725" s="4">
        <v>683247</v>
      </c>
      <c r="S4725" t="s">
        <v>21019</v>
      </c>
      <c r="T4725" s="6">
        <v>43313</v>
      </c>
      <c r="U4725" s="4">
        <v>504042</v>
      </c>
      <c r="V4725" t="s">
        <v>16232</v>
      </c>
      <c r="W4725" t="s">
        <v>26329</v>
      </c>
      <c r="X4725" t="s">
        <v>3</v>
      </c>
      <c r="AA4725" s="5" t="str">
        <f>HYPERLINK("https://www.zillow.com/homes/2551-SILVER-LOCH-RD-NAPERVILLE-IL-605633607_rb/","check listing")</f>
        <v>check listing</v>
      </c>
      <c r="AB4725" s="5" t="str">
        <f>HYPERLINK("https://propertylookup.dupagecounty.gov/Datalets/Datalet.aspx?UseSearch=no&amp;mode=sales&amp;pin=0709110019","sales record")</f>
        <v>sales record</v>
      </c>
      <c r="AC4725" t="s">
        <v>3</v>
      </c>
      <c r="AD4725">
        <v>41.794343</v>
      </c>
      <c r="AE4725">
        <v>-88.223535</v>
      </c>
      <c r="AF4725" s="5" t="str">
        <f>HYPERLINK("https://www.google.com/maps/search/?api=1&amp;query=41.794343,-88.223535","map")</f>
        <v>map</v>
      </c>
    </row>
    <row r="4726" spans="1:32">
      <c r="A4726" t="s">
        <v>4776</v>
      </c>
      <c r="B4726" t="s">
        <v>12309</v>
      </c>
      <c r="C4726" t="s">
        <v>15694</v>
      </c>
      <c r="D4726" t="s">
        <v>16206</v>
      </c>
      <c r="E4726" t="s">
        <v>16218</v>
      </c>
      <c r="F4726" t="s">
        <v>16221</v>
      </c>
      <c r="G4726" t="s">
        <v>16278</v>
      </c>
      <c r="H4726" t="s">
        <v>16277</v>
      </c>
      <c r="I4726" t="s">
        <v>16353</v>
      </c>
      <c r="J4726" t="s">
        <v>16386</v>
      </c>
      <c r="K4726">
        <v>0.17</v>
      </c>
      <c r="L4726">
        <v>7405</v>
      </c>
      <c r="N4726" t="s">
        <v>16393</v>
      </c>
      <c r="O4726" s="4">
        <v>70619</v>
      </c>
      <c r="P4726" s="4">
        <v>130669</v>
      </c>
      <c r="Q4726" s="4">
        <v>201288</v>
      </c>
      <c r="R4726" s="4">
        <v>603864</v>
      </c>
      <c r="S4726" t="s">
        <v>21020</v>
      </c>
      <c r="T4726" s="6">
        <v>43101</v>
      </c>
      <c r="U4726" s="4">
        <v>503618</v>
      </c>
      <c r="V4726" t="s">
        <v>16232</v>
      </c>
      <c r="W4726" t="s">
        <v>21020</v>
      </c>
      <c r="X4726" t="s">
        <v>3</v>
      </c>
      <c r="AA4726" s="5" t="str">
        <f>HYPERLINK("https://www.zillow.com/homes/2540-SILVER-LOCH-RD-NAPERVILLE-IL-605633612_rb/","check listing")</f>
        <v>check listing</v>
      </c>
      <c r="AB4726" s="5" t="str">
        <f>HYPERLINK("https://propertylookup.dupagecounty.gov/Datalets/Datalet.aspx?UseSearch=no&amp;mode=sales&amp;pin=0709109056","sales record")</f>
        <v>sales record</v>
      </c>
      <c r="AC4726" t="s">
        <v>3</v>
      </c>
      <c r="AD4726">
        <v>41.793803</v>
      </c>
      <c r="AE4726">
        <v>-88.223078</v>
      </c>
      <c r="AF4726" s="5" t="str">
        <f>HYPERLINK("https://www.google.com/maps/search/?api=1&amp;query=41.793803,-88.223078","map")</f>
        <v>map</v>
      </c>
    </row>
    <row r="4727" spans="1:32">
      <c r="A4727" t="s">
        <v>4777</v>
      </c>
      <c r="B4727" t="s">
        <v>12310</v>
      </c>
      <c r="C4727" t="s">
        <v>15475</v>
      </c>
      <c r="D4727" t="s">
        <v>16206</v>
      </c>
      <c r="E4727" t="s">
        <v>16218</v>
      </c>
      <c r="F4727" t="s">
        <v>16221</v>
      </c>
      <c r="G4727" t="s">
        <v>16277</v>
      </c>
      <c r="H4727" t="s">
        <v>16277</v>
      </c>
      <c r="I4727" t="s">
        <v>16353</v>
      </c>
      <c r="J4727" t="s">
        <v>16386</v>
      </c>
      <c r="K4727">
        <v>0.17</v>
      </c>
      <c r="L4727">
        <v>7405</v>
      </c>
      <c r="M4727">
        <v>1319</v>
      </c>
      <c r="N4727" t="s">
        <v>16393</v>
      </c>
      <c r="O4727" s="4">
        <v>119856</v>
      </c>
      <c r="P4727" s="4">
        <v>39218</v>
      </c>
      <c r="Q4727" s="4">
        <v>159074</v>
      </c>
      <c r="R4727" s="4">
        <v>477222</v>
      </c>
      <c r="S4727" t="s">
        <v>21021</v>
      </c>
      <c r="T4727" s="6">
        <v>43160</v>
      </c>
      <c r="U4727" s="4">
        <v>244000</v>
      </c>
      <c r="V4727" t="s">
        <v>23740</v>
      </c>
      <c r="W4727" t="s">
        <v>26330</v>
      </c>
      <c r="X4727" t="s">
        <v>3</v>
      </c>
      <c r="AA4727" s="5" t="str">
        <f>HYPERLINK("https://www.zillow.com/homes/839-N-ELLSWORTH-ST-NAPERVILLE-IL-60540_rb/","check listing")</f>
        <v>check listing</v>
      </c>
      <c r="AB4727" s="5" t="str">
        <f>HYPERLINK("https://propertylookup.dupagecounty.gov/Datalets/Datalet.aspx?UseSearch=no&amp;mode=sales&amp;pin=0807314010","sales record")</f>
        <v>sales record</v>
      </c>
      <c r="AC4727" t="s">
        <v>3</v>
      </c>
      <c r="AD4727">
        <v>41.785298</v>
      </c>
      <c r="AE4727">
        <v>-88.144791</v>
      </c>
      <c r="AF4727" s="5" t="str">
        <f>HYPERLINK("https://www.google.com/maps/search/?api=1&amp;query=41.785298,-88.144791","map")</f>
        <v>map</v>
      </c>
    </row>
    <row r="4728" spans="1:32">
      <c r="A4728" t="s">
        <v>4778</v>
      </c>
      <c r="B4728" t="s">
        <v>12311</v>
      </c>
      <c r="C4728" t="s">
        <v>15694</v>
      </c>
      <c r="D4728" t="s">
        <v>16206</v>
      </c>
      <c r="E4728" t="s">
        <v>16218</v>
      </c>
      <c r="F4728" t="s">
        <v>16221</v>
      </c>
      <c r="G4728" t="s">
        <v>16278</v>
      </c>
      <c r="H4728" t="s">
        <v>16277</v>
      </c>
      <c r="I4728" t="s">
        <v>16353</v>
      </c>
      <c r="J4728" t="s">
        <v>16386</v>
      </c>
      <c r="K4728">
        <v>0.17</v>
      </c>
      <c r="L4728">
        <v>7405</v>
      </c>
      <c r="N4728" t="s">
        <v>16393</v>
      </c>
      <c r="O4728" s="4">
        <v>70619</v>
      </c>
      <c r="P4728" s="4">
        <v>181247</v>
      </c>
      <c r="Q4728" s="4">
        <v>251866</v>
      </c>
      <c r="R4728" s="4">
        <v>755598</v>
      </c>
      <c r="S4728" t="s">
        <v>21022</v>
      </c>
      <c r="T4728" s="6">
        <v>43497</v>
      </c>
      <c r="U4728" s="4">
        <v>568642</v>
      </c>
      <c r="V4728" t="s">
        <v>16232</v>
      </c>
      <c r="W4728" t="s">
        <v>26331</v>
      </c>
      <c r="X4728" t="s">
        <v>3</v>
      </c>
      <c r="AA4728" s="5" t="str">
        <f>HYPERLINK("https://www.zillow.com/homes/2532-SILVER-LOCH-RD-NAPERVILLE-IL-605633612_rb/","check listing")</f>
        <v>check listing</v>
      </c>
      <c r="AB4728" s="5" t="str">
        <f>HYPERLINK("https://propertylookup.dupagecounty.gov/Datalets/Datalet.aspx?UseSearch=no&amp;mode=sales&amp;pin=0709109058","sales record")</f>
        <v>sales record</v>
      </c>
      <c r="AC4728" t="s">
        <v>3</v>
      </c>
      <c r="AD4728">
        <v>41.793802</v>
      </c>
      <c r="AE4728">
        <v>-88.222706</v>
      </c>
      <c r="AF4728" s="5" t="str">
        <f>HYPERLINK("https://www.google.com/maps/search/?api=1&amp;query=41.793802,-88.222706","map")</f>
        <v>map</v>
      </c>
    </row>
    <row r="4729" spans="1:32">
      <c r="A4729" t="s">
        <v>4779</v>
      </c>
      <c r="B4729" t="s">
        <v>12312</v>
      </c>
      <c r="C4729" t="s">
        <v>15664</v>
      </c>
      <c r="D4729" t="s">
        <v>16206</v>
      </c>
      <c r="E4729" t="s">
        <v>16218</v>
      </c>
      <c r="F4729" t="s">
        <v>16221</v>
      </c>
      <c r="G4729" t="s">
        <v>16277</v>
      </c>
      <c r="H4729" t="s">
        <v>16277</v>
      </c>
      <c r="I4729" t="s">
        <v>16353</v>
      </c>
      <c r="J4729" t="s">
        <v>16386</v>
      </c>
      <c r="K4729">
        <v>0.17</v>
      </c>
      <c r="L4729">
        <v>7403</v>
      </c>
      <c r="M4729">
        <v>2546</v>
      </c>
      <c r="N4729" t="s">
        <v>16393</v>
      </c>
      <c r="O4729" s="4">
        <v>131890</v>
      </c>
      <c r="P4729" s="4">
        <v>56390</v>
      </c>
      <c r="Q4729" s="4">
        <v>188280</v>
      </c>
      <c r="R4729" s="4">
        <v>564840</v>
      </c>
      <c r="S4729" t="s">
        <v>21023</v>
      </c>
      <c r="T4729" s="6">
        <v>43405</v>
      </c>
      <c r="U4729" s="4">
        <v>390000</v>
      </c>
      <c r="V4729" t="s">
        <v>23739</v>
      </c>
      <c r="W4729" t="s">
        <v>21023</v>
      </c>
      <c r="X4729" t="s">
        <v>3</v>
      </c>
      <c r="AA4729" s="5" t="str">
        <f>HYPERLINK("https://www.zillow.com/homes/12-S-COLUMBIA-ST-NAPERVILLE-IL-605404915_rb/","check listing")</f>
        <v>check listing</v>
      </c>
      <c r="AB4729" s="5" t="str">
        <f>HYPERLINK("https://propertylookup.dupagecounty.gov/Datalets/Datalet.aspx?UseSearch=no&amp;mode=sales&amp;pin=0818408002","sales record")</f>
        <v>sales record</v>
      </c>
      <c r="AC4729" t="s">
        <v>3</v>
      </c>
      <c r="AD4729">
        <v>41.77451</v>
      </c>
      <c r="AE4729">
        <v>-88.13768899999999</v>
      </c>
      <c r="AF4729" s="5" t="str">
        <f>HYPERLINK("https://www.google.com/maps/search/?api=1&amp;query=41.77451,-88.137689","map")</f>
        <v>map</v>
      </c>
    </row>
    <row r="4730" spans="1:32">
      <c r="A4730" t="s">
        <v>4780</v>
      </c>
      <c r="B4730" t="s">
        <v>12313</v>
      </c>
      <c r="C4730" t="s">
        <v>15475</v>
      </c>
      <c r="D4730" t="s">
        <v>16206</v>
      </c>
      <c r="E4730" t="s">
        <v>16218</v>
      </c>
      <c r="F4730" t="s">
        <v>16221</v>
      </c>
      <c r="G4730" t="s">
        <v>16277</v>
      </c>
      <c r="H4730" t="s">
        <v>16277</v>
      </c>
      <c r="I4730" t="s">
        <v>16353</v>
      </c>
      <c r="J4730" t="s">
        <v>16386</v>
      </c>
      <c r="K4730">
        <v>0.17</v>
      </c>
      <c r="L4730">
        <v>7403</v>
      </c>
      <c r="M4730">
        <v>3163</v>
      </c>
      <c r="N4730" t="s">
        <v>16393</v>
      </c>
      <c r="O4730" s="4">
        <v>131890</v>
      </c>
      <c r="P4730" s="4">
        <v>150299</v>
      </c>
      <c r="Q4730" s="4">
        <v>282189</v>
      </c>
      <c r="R4730" s="4">
        <v>846567</v>
      </c>
      <c r="S4730" t="s">
        <v>21024</v>
      </c>
      <c r="T4730" s="6">
        <v>31107</v>
      </c>
      <c r="U4730" s="4">
        <v>109000</v>
      </c>
      <c r="X4730" t="s">
        <v>3</v>
      </c>
      <c r="AA4730" s="5" t="str">
        <f>HYPERLINK("https://www.zillow.com/homes/112-N-COLUMBIA-ST-NAPERVILLE-IL-60540_rb/","check listing")</f>
        <v>check listing</v>
      </c>
      <c r="AB4730" s="5" t="str">
        <f>HYPERLINK("https://propertylookup.dupagecounty.gov/Datalets/Datalet.aspx?UseSearch=no&amp;mode=sales&amp;pin=0818400010","sales record")</f>
        <v>sales record</v>
      </c>
      <c r="AC4730" t="s">
        <v>3</v>
      </c>
      <c r="AD4730">
        <v>41.776034</v>
      </c>
      <c r="AE4730">
        <v>-88.13760499999999</v>
      </c>
      <c r="AF4730" s="5" t="str">
        <f>HYPERLINK("https://www.google.com/maps/search/?api=1&amp;query=41.776034,-88.137605","map")</f>
        <v>map</v>
      </c>
    </row>
    <row r="4731" spans="1:32">
      <c r="A4731" t="s">
        <v>4781</v>
      </c>
      <c r="B4731" t="s">
        <v>12314</v>
      </c>
      <c r="C4731" t="s">
        <v>15782</v>
      </c>
      <c r="D4731" t="s">
        <v>16206</v>
      </c>
      <c r="E4731" t="s">
        <v>16218</v>
      </c>
      <c r="F4731" t="s">
        <v>16221</v>
      </c>
      <c r="G4731" t="s">
        <v>16277</v>
      </c>
      <c r="H4731" t="s">
        <v>16277</v>
      </c>
      <c r="I4731" t="s">
        <v>16353</v>
      </c>
      <c r="J4731" t="s">
        <v>16386</v>
      </c>
      <c r="K4731">
        <v>0.17</v>
      </c>
      <c r="L4731">
        <v>7403</v>
      </c>
      <c r="M4731">
        <v>1451</v>
      </c>
      <c r="N4731" t="s">
        <v>16393</v>
      </c>
      <c r="O4731" s="4">
        <v>119856</v>
      </c>
      <c r="P4731" s="4">
        <v>179183</v>
      </c>
      <c r="Q4731" s="4">
        <v>299039</v>
      </c>
      <c r="R4731" s="4">
        <v>897117</v>
      </c>
      <c r="S4731" t="s">
        <v>21025</v>
      </c>
      <c r="T4731" s="6">
        <v>43221</v>
      </c>
      <c r="U4731" s="4">
        <v>746000</v>
      </c>
      <c r="V4731" t="s">
        <v>23739</v>
      </c>
      <c r="W4731" t="s">
        <v>26332</v>
      </c>
      <c r="X4731" t="s">
        <v>3</v>
      </c>
      <c r="AA4731" s="5" t="str">
        <f>HYPERLINK("https://www.zillow.com/homes/23-S-JULIAN-ST-NAPERVILLE-IL-605404934_rb/","check listing")</f>
        <v>check listing</v>
      </c>
      <c r="AB4731" s="5" t="str">
        <f>HYPERLINK("https://propertylookup.dupagecounty.gov/Datalets/Datalet.aspx?UseSearch=no&amp;mode=sales&amp;pin=0818408010","sales record")</f>
        <v>sales record</v>
      </c>
      <c r="AC4731" t="s">
        <v>3</v>
      </c>
      <c r="AD4731">
        <v>41.774114</v>
      </c>
      <c r="AE4731">
        <v>-88.13710500000001</v>
      </c>
      <c r="AF4731" s="5" t="str">
        <f>HYPERLINK("https://www.google.com/maps/search/?api=1&amp;query=41.774114,-88.137105","map")</f>
        <v>map</v>
      </c>
    </row>
    <row r="4732" spans="1:32">
      <c r="A4732" t="s">
        <v>4782</v>
      </c>
      <c r="B4732" t="s">
        <v>12315</v>
      </c>
      <c r="C4732" t="s">
        <v>15694</v>
      </c>
      <c r="D4732" t="s">
        <v>16206</v>
      </c>
      <c r="E4732" t="s">
        <v>16218</v>
      </c>
      <c r="F4732" t="s">
        <v>16221</v>
      </c>
      <c r="G4732" t="s">
        <v>16278</v>
      </c>
      <c r="H4732" t="s">
        <v>16277</v>
      </c>
      <c r="I4732" t="s">
        <v>16353</v>
      </c>
      <c r="J4732" t="s">
        <v>16386</v>
      </c>
      <c r="K4732">
        <v>0.17</v>
      </c>
      <c r="L4732">
        <v>7402</v>
      </c>
      <c r="N4732" t="s">
        <v>16393</v>
      </c>
      <c r="O4732" s="4">
        <v>70619</v>
      </c>
      <c r="P4732" s="4">
        <v>125226</v>
      </c>
      <c r="Q4732" s="4">
        <v>195845</v>
      </c>
      <c r="R4732" s="4">
        <v>587535</v>
      </c>
      <c r="S4732" t="s">
        <v>21026</v>
      </c>
      <c r="T4732" s="6">
        <v>43221</v>
      </c>
      <c r="U4732" s="4">
        <v>468382</v>
      </c>
      <c r="V4732" t="s">
        <v>16232</v>
      </c>
      <c r="W4732" t="s">
        <v>26333</v>
      </c>
      <c r="X4732" t="s">
        <v>3</v>
      </c>
      <c r="AA4732" s="5" t="str">
        <f>HYPERLINK("https://www.zillow.com/homes/2544-SILVER-LOCH-RD-NAPERVILLE-IL-605633612_rb/","check listing")</f>
        <v>check listing</v>
      </c>
      <c r="AB4732" s="5" t="str">
        <f>HYPERLINK("https://propertylookup.dupagecounty.gov/Datalets/Datalet.aspx?UseSearch=no&amp;mode=sales&amp;pin=0709109055","sales record")</f>
        <v>sales record</v>
      </c>
      <c r="AC4732" t="s">
        <v>3</v>
      </c>
      <c r="AD4732">
        <v>41.793805</v>
      </c>
      <c r="AE4732">
        <v>-88.223286</v>
      </c>
      <c r="AF4732" s="5" t="str">
        <f>HYPERLINK("https://www.google.com/maps/search/?api=1&amp;query=41.793805,-88.223286","map")</f>
        <v>map</v>
      </c>
    </row>
    <row r="4733" spans="1:32">
      <c r="A4733" t="s">
        <v>4783</v>
      </c>
      <c r="B4733" t="s">
        <v>12316</v>
      </c>
      <c r="C4733" t="s">
        <v>15694</v>
      </c>
      <c r="D4733" t="s">
        <v>16206</v>
      </c>
      <c r="E4733" t="s">
        <v>16218</v>
      </c>
      <c r="F4733" t="s">
        <v>16221</v>
      </c>
      <c r="G4733" t="s">
        <v>16278</v>
      </c>
      <c r="H4733" t="s">
        <v>16277</v>
      </c>
      <c r="I4733" t="s">
        <v>16353</v>
      </c>
      <c r="J4733" t="s">
        <v>16386</v>
      </c>
      <c r="K4733">
        <v>0.17</v>
      </c>
      <c r="L4733">
        <v>7402</v>
      </c>
      <c r="N4733" t="s">
        <v>16393</v>
      </c>
      <c r="O4733" s="4">
        <v>70619</v>
      </c>
      <c r="P4733" s="4">
        <v>179318</v>
      </c>
      <c r="Q4733" s="4">
        <v>249937</v>
      </c>
      <c r="R4733" s="4">
        <v>749811</v>
      </c>
      <c r="S4733" t="s">
        <v>21027</v>
      </c>
      <c r="T4733" s="6">
        <v>43313</v>
      </c>
      <c r="U4733" s="4">
        <v>542030</v>
      </c>
      <c r="V4733" t="s">
        <v>16232</v>
      </c>
      <c r="W4733" t="s">
        <v>21027</v>
      </c>
      <c r="X4733" t="s">
        <v>3</v>
      </c>
      <c r="AA4733" s="5" t="str">
        <f>HYPERLINK("https://www.zillow.com/homes/2548-SILVER-LOCH-RD-NAPERVILLE-IL-605633612_rb/","check listing")</f>
        <v>check listing</v>
      </c>
      <c r="AB4733" s="5" t="str">
        <f>HYPERLINK("https://propertylookup.dupagecounty.gov/Datalets/Datalet.aspx?UseSearch=no&amp;mode=sales&amp;pin=0709109054","sales record")</f>
        <v>sales record</v>
      </c>
      <c r="AC4733" t="s">
        <v>3</v>
      </c>
      <c r="AD4733">
        <v>41.793805</v>
      </c>
      <c r="AE4733">
        <v>-88.223495</v>
      </c>
      <c r="AF4733" s="5" t="str">
        <f>HYPERLINK("https://www.google.com/maps/search/?api=1&amp;query=41.793805,-88.223495","map")</f>
        <v>map</v>
      </c>
    </row>
    <row r="4734" spans="1:32">
      <c r="A4734" t="s">
        <v>4784</v>
      </c>
      <c r="B4734" t="s">
        <v>12317</v>
      </c>
      <c r="C4734" t="s">
        <v>15745</v>
      </c>
      <c r="D4734" t="s">
        <v>16206</v>
      </c>
      <c r="E4734" t="s">
        <v>16218</v>
      </c>
      <c r="F4734" t="s">
        <v>16221</v>
      </c>
      <c r="G4734" t="s">
        <v>16277</v>
      </c>
      <c r="H4734" t="s">
        <v>16277</v>
      </c>
      <c r="I4734" t="s">
        <v>16353</v>
      </c>
      <c r="J4734" t="s">
        <v>16386</v>
      </c>
      <c r="K4734">
        <v>0.17</v>
      </c>
      <c r="L4734">
        <v>7402</v>
      </c>
      <c r="M4734">
        <v>1423</v>
      </c>
      <c r="N4734" t="s">
        <v>16393</v>
      </c>
      <c r="O4734" s="4">
        <v>131890</v>
      </c>
      <c r="P4734" s="4">
        <v>152677</v>
      </c>
      <c r="Q4734" s="4">
        <v>284567</v>
      </c>
      <c r="R4734" s="4">
        <v>853701</v>
      </c>
      <c r="S4734" t="s">
        <v>21028</v>
      </c>
      <c r="T4734" s="6">
        <v>35916</v>
      </c>
      <c r="U4734" s="4">
        <v>310000</v>
      </c>
      <c r="X4734" t="s">
        <v>3</v>
      </c>
      <c r="AA4734" s="5" t="str">
        <f>HYPERLINK("https://www.zillow.com/homes/219-N-COLUMBIA-ST-NAPERVILLE-IL-605404715_rb/","check listing")</f>
        <v>check listing</v>
      </c>
      <c r="AB4734" s="5" t="str">
        <f>HYPERLINK("https://propertylookup.dupagecounty.gov/Datalets/Datalet.aspx?UseSearch=no&amp;mode=sales&amp;pin=0818205002","sales record")</f>
        <v>sales record</v>
      </c>
      <c r="AC4734" t="s">
        <v>27873</v>
      </c>
      <c r="AD4734">
        <v>41.777871</v>
      </c>
      <c r="AE4734">
        <v>-88.13832600000001</v>
      </c>
      <c r="AF4734" s="5" t="str">
        <f>HYPERLINK("https://www.google.com/maps/search/?api=1&amp;query=41.777871,-88.138326","map")</f>
        <v>map</v>
      </c>
    </row>
    <row r="4735" spans="1:32">
      <c r="A4735" t="s">
        <v>4785</v>
      </c>
      <c r="B4735" t="s">
        <v>12318</v>
      </c>
      <c r="C4735" t="s">
        <v>15694</v>
      </c>
      <c r="D4735" t="s">
        <v>16206</v>
      </c>
      <c r="E4735" t="s">
        <v>16218</v>
      </c>
      <c r="F4735" t="s">
        <v>16221</v>
      </c>
      <c r="G4735" t="s">
        <v>16278</v>
      </c>
      <c r="H4735" t="s">
        <v>16277</v>
      </c>
      <c r="I4735" t="s">
        <v>16353</v>
      </c>
      <c r="J4735" t="s">
        <v>16386</v>
      </c>
      <c r="K4735">
        <v>0.17</v>
      </c>
      <c r="L4735">
        <v>7402</v>
      </c>
      <c r="N4735" t="s">
        <v>16393</v>
      </c>
      <c r="O4735" s="4">
        <v>70619</v>
      </c>
      <c r="P4735" s="4">
        <v>177219</v>
      </c>
      <c r="Q4735" s="4">
        <v>247838</v>
      </c>
      <c r="R4735" s="4">
        <v>743514</v>
      </c>
      <c r="S4735" t="s">
        <v>21029</v>
      </c>
      <c r="T4735" s="6">
        <v>43525</v>
      </c>
      <c r="U4735" s="4">
        <v>566590</v>
      </c>
      <c r="V4735" t="s">
        <v>16232</v>
      </c>
      <c r="W4735" t="s">
        <v>26334</v>
      </c>
      <c r="X4735" t="s">
        <v>3</v>
      </c>
      <c r="AA4735" s="5" t="str">
        <f>HYPERLINK("https://www.zillow.com/homes/2528-SILVER-LOCH-RD-NAPERVILLE-IL-605633612_rb/","check listing")</f>
        <v>check listing</v>
      </c>
      <c r="AB4735" s="5" t="str">
        <f>HYPERLINK("https://propertylookup.dupagecounty.gov/Datalets/Datalet.aspx?UseSearch=no&amp;mode=sales&amp;pin=0709109059","sales record")</f>
        <v>sales record</v>
      </c>
      <c r="AC4735" t="s">
        <v>3</v>
      </c>
      <c r="AD4735">
        <v>41.793801</v>
      </c>
      <c r="AE4735">
        <v>-88.222497</v>
      </c>
      <c r="AF4735" s="5" t="str">
        <f>HYPERLINK("https://www.google.com/maps/search/?api=1&amp;query=41.793801,-88.222497","map")</f>
        <v>map</v>
      </c>
    </row>
    <row r="4736" spans="1:32">
      <c r="A4736" t="s">
        <v>4786</v>
      </c>
      <c r="B4736" t="s">
        <v>12319</v>
      </c>
      <c r="C4736" t="s">
        <v>15694</v>
      </c>
      <c r="D4736" t="s">
        <v>16206</v>
      </c>
      <c r="E4736" t="s">
        <v>16218</v>
      </c>
      <c r="F4736" t="s">
        <v>16221</v>
      </c>
      <c r="G4736" t="s">
        <v>16278</v>
      </c>
      <c r="H4736" t="s">
        <v>16277</v>
      </c>
      <c r="I4736" t="s">
        <v>16353</v>
      </c>
      <c r="J4736" t="s">
        <v>16386</v>
      </c>
      <c r="K4736">
        <v>0.17</v>
      </c>
      <c r="L4736">
        <v>7401</v>
      </c>
      <c r="N4736" t="s">
        <v>16393</v>
      </c>
      <c r="O4736" s="4">
        <v>61416</v>
      </c>
      <c r="P4736" s="4">
        <v>168126</v>
      </c>
      <c r="Q4736" s="4">
        <v>229542</v>
      </c>
      <c r="R4736" s="4">
        <v>688626</v>
      </c>
      <c r="S4736" t="s">
        <v>21030</v>
      </c>
      <c r="T4736" s="6">
        <v>43313</v>
      </c>
      <c r="U4736" s="4">
        <v>513230</v>
      </c>
      <c r="V4736" t="s">
        <v>16232</v>
      </c>
      <c r="W4736" t="s">
        <v>26335</v>
      </c>
      <c r="X4736" t="s">
        <v>3</v>
      </c>
      <c r="AA4736" s="5" t="str">
        <f>HYPERLINK("https://www.zillow.com/homes/2556-SILVER-LOCH-RD-NAPERVILLE-IL-605633612_rb/","check listing")</f>
        <v>check listing</v>
      </c>
      <c r="AB4736" s="5" t="str">
        <f>HYPERLINK("https://propertylookup.dupagecounty.gov/Datalets/Datalet.aspx?UseSearch=no&amp;mode=sales&amp;pin=0709109052","sales record")</f>
        <v>sales record</v>
      </c>
      <c r="AC4736" t="s">
        <v>3</v>
      </c>
      <c r="AD4736">
        <v>41.793805</v>
      </c>
      <c r="AE4736">
        <v>-88.223913</v>
      </c>
      <c r="AF4736" s="5" t="str">
        <f>HYPERLINK("https://www.google.com/maps/search/?api=1&amp;query=41.793805,-88.223913","map")</f>
        <v>map</v>
      </c>
    </row>
    <row r="4737" spans="1:32">
      <c r="A4737" t="s">
        <v>4787</v>
      </c>
      <c r="B4737" t="s">
        <v>12320</v>
      </c>
      <c r="C4737" t="s">
        <v>15694</v>
      </c>
      <c r="D4737" t="s">
        <v>16206</v>
      </c>
      <c r="E4737" t="s">
        <v>16218</v>
      </c>
      <c r="F4737" t="s">
        <v>16221</v>
      </c>
      <c r="G4737" t="s">
        <v>16278</v>
      </c>
      <c r="H4737" t="s">
        <v>16277</v>
      </c>
      <c r="I4737" t="s">
        <v>16353</v>
      </c>
      <c r="J4737" t="s">
        <v>16386</v>
      </c>
      <c r="K4737">
        <v>0.17</v>
      </c>
      <c r="L4737">
        <v>7401</v>
      </c>
      <c r="N4737" t="s">
        <v>16393</v>
      </c>
      <c r="O4737" s="4">
        <v>61416</v>
      </c>
      <c r="P4737" s="4">
        <v>183480</v>
      </c>
      <c r="Q4737" s="4">
        <v>244896</v>
      </c>
      <c r="R4737" s="4">
        <v>734688</v>
      </c>
      <c r="S4737" t="s">
        <v>21031</v>
      </c>
      <c r="T4737" s="6">
        <v>43282</v>
      </c>
      <c r="U4737" s="4">
        <v>555240</v>
      </c>
      <c r="V4737" t="s">
        <v>16232</v>
      </c>
      <c r="W4737" t="s">
        <v>26336</v>
      </c>
      <c r="X4737" t="s">
        <v>3</v>
      </c>
      <c r="AA4737" s="5" t="str">
        <f>HYPERLINK("https://www.zillow.com/homes/2552-SILVER-LOCH-RD-NAPERVILLE-IL-605633612_rb/","check listing")</f>
        <v>check listing</v>
      </c>
      <c r="AB4737" s="5" t="str">
        <f>HYPERLINK("https://propertylookup.dupagecounty.gov/Datalets/Datalet.aspx?UseSearch=no&amp;mode=sales&amp;pin=0709109053","sales record")</f>
        <v>sales record</v>
      </c>
      <c r="AC4737" t="s">
        <v>3</v>
      </c>
      <c r="AD4737">
        <v>41.793805</v>
      </c>
      <c r="AE4737">
        <v>-88.223704</v>
      </c>
      <c r="AF4737" s="5" t="str">
        <f>HYPERLINK("https://www.google.com/maps/search/?api=1&amp;query=41.793805,-88.223704","map")</f>
        <v>map</v>
      </c>
    </row>
    <row r="4738" spans="1:32">
      <c r="A4738" t="s">
        <v>4788</v>
      </c>
      <c r="B4738" t="s">
        <v>12321</v>
      </c>
      <c r="C4738" t="s">
        <v>15783</v>
      </c>
      <c r="D4738" t="s">
        <v>16206</v>
      </c>
      <c r="E4738" t="s">
        <v>16218</v>
      </c>
      <c r="F4738" t="s">
        <v>16221</v>
      </c>
      <c r="G4738" t="s">
        <v>16277</v>
      </c>
      <c r="H4738" t="s">
        <v>16277</v>
      </c>
      <c r="I4738" t="s">
        <v>16353</v>
      </c>
      <c r="J4738" t="s">
        <v>16386</v>
      </c>
      <c r="K4738">
        <v>0.17</v>
      </c>
      <c r="L4738">
        <v>7400</v>
      </c>
      <c r="M4738">
        <v>2256</v>
      </c>
      <c r="N4738" t="s">
        <v>16393</v>
      </c>
      <c r="O4738" s="4">
        <v>119856</v>
      </c>
      <c r="P4738" s="4">
        <v>101649</v>
      </c>
      <c r="Q4738" s="4">
        <v>221505</v>
      </c>
      <c r="R4738" s="4">
        <v>664515</v>
      </c>
      <c r="S4738" t="s">
        <v>21032</v>
      </c>
      <c r="T4738" s="6">
        <v>42856</v>
      </c>
      <c r="U4738" s="4">
        <v>400000</v>
      </c>
      <c r="V4738" t="s">
        <v>23739</v>
      </c>
      <c r="W4738" t="s">
        <v>21032</v>
      </c>
      <c r="X4738" t="s">
        <v>3</v>
      </c>
      <c r="AA4738" s="5" t="str">
        <f>HYPERLINK("https://www.zillow.com/homes/619-N-CENTER-ST-NAPERVILLE-IL-605633138_rb/","check listing")</f>
        <v>check listing</v>
      </c>
      <c r="AB4738" s="5" t="str">
        <f>HYPERLINK("https://propertylookup.dupagecounty.gov/Datalets/Datalet.aspx?UseSearch=no&amp;mode=sales&amp;pin=0818102011","sales record")</f>
        <v>sales record</v>
      </c>
      <c r="AC4738" t="s">
        <v>3</v>
      </c>
      <c r="AD4738">
        <v>41.782599</v>
      </c>
      <c r="AE4738">
        <v>-88.146379</v>
      </c>
      <c r="AF4738" s="5" t="str">
        <f>HYPERLINK("https://www.google.com/maps/search/?api=1&amp;query=41.782599,-88.146379","map")</f>
        <v>map</v>
      </c>
    </row>
    <row r="4739" spans="1:32">
      <c r="A4739" t="s">
        <v>4789</v>
      </c>
      <c r="B4739" t="s">
        <v>12322</v>
      </c>
      <c r="C4739" t="s">
        <v>15475</v>
      </c>
      <c r="D4739" t="s">
        <v>16206</v>
      </c>
      <c r="E4739" t="s">
        <v>16218</v>
      </c>
      <c r="F4739" t="s">
        <v>16221</v>
      </c>
      <c r="G4739" t="s">
        <v>16277</v>
      </c>
      <c r="H4739" t="s">
        <v>16277</v>
      </c>
      <c r="I4739" t="s">
        <v>16353</v>
      </c>
      <c r="J4739" t="s">
        <v>16386</v>
      </c>
      <c r="K4739">
        <v>0.17</v>
      </c>
      <c r="L4739">
        <v>7400</v>
      </c>
      <c r="M4739">
        <v>2408</v>
      </c>
      <c r="N4739" t="s">
        <v>16393</v>
      </c>
      <c r="O4739" s="4">
        <v>119856</v>
      </c>
      <c r="P4739" s="4">
        <v>95680</v>
      </c>
      <c r="Q4739" s="4">
        <v>215536</v>
      </c>
      <c r="R4739" s="4">
        <v>646608</v>
      </c>
      <c r="S4739" t="s">
        <v>21033</v>
      </c>
      <c r="T4739" s="6">
        <v>31686</v>
      </c>
      <c r="U4739" s="4">
        <v>118500</v>
      </c>
      <c r="X4739" t="s">
        <v>3</v>
      </c>
      <c r="AA4739" s="5" t="str">
        <f>HYPERLINK("https://www.zillow.com/homes/117-N-JULIAN-ST-NAPERVILLE-IL-60540_rb/","check listing")</f>
        <v>check listing</v>
      </c>
      <c r="AB4739" s="5" t="str">
        <f>HYPERLINK("https://propertylookup.dupagecounty.gov/Datalets/Datalet.aspx?UseSearch=no&amp;mode=sales&amp;pin=0818400019","sales record")</f>
        <v>sales record</v>
      </c>
      <c r="AC4739" t="s">
        <v>3</v>
      </c>
      <c r="AD4739">
        <v>41.776194</v>
      </c>
      <c r="AE4739">
        <v>-88.136996</v>
      </c>
      <c r="AF4739" s="5" t="str">
        <f>HYPERLINK("https://www.google.com/maps/search/?api=1&amp;query=41.776194,-88.136996","map")</f>
        <v>map</v>
      </c>
    </row>
    <row r="4740" spans="1:32">
      <c r="A4740" t="s">
        <v>4790</v>
      </c>
      <c r="B4740" t="s">
        <v>12323</v>
      </c>
      <c r="C4740" t="s">
        <v>15784</v>
      </c>
      <c r="D4740" t="s">
        <v>16206</v>
      </c>
      <c r="E4740" t="s">
        <v>16218</v>
      </c>
      <c r="F4740" t="s">
        <v>16221</v>
      </c>
      <c r="G4740" t="s">
        <v>16277</v>
      </c>
      <c r="H4740" t="s">
        <v>16277</v>
      </c>
      <c r="I4740" t="s">
        <v>16353</v>
      </c>
      <c r="J4740" t="s">
        <v>16386</v>
      </c>
      <c r="K4740">
        <v>0.17</v>
      </c>
      <c r="L4740">
        <v>7400</v>
      </c>
      <c r="M4740">
        <v>1386</v>
      </c>
      <c r="N4740" t="s">
        <v>16393</v>
      </c>
      <c r="O4740" s="4">
        <v>119856</v>
      </c>
      <c r="P4740" s="4">
        <v>110223</v>
      </c>
      <c r="Q4740" s="4">
        <v>230079</v>
      </c>
      <c r="R4740" s="4">
        <v>690237</v>
      </c>
      <c r="S4740" t="s">
        <v>21034</v>
      </c>
      <c r="T4740" s="6">
        <v>42856</v>
      </c>
      <c r="U4740" s="4">
        <v>550000</v>
      </c>
      <c r="V4740" t="s">
        <v>23739</v>
      </c>
      <c r="W4740" t="s">
        <v>26337</v>
      </c>
      <c r="X4740" t="s">
        <v>3</v>
      </c>
      <c r="AA4740" s="5" t="str">
        <f>HYPERLINK("https://www.zillow.com/homes/529-N-BRAINARD-ST-NAPERVILLE-IL-605633128_rb/","check listing")</f>
        <v>check listing</v>
      </c>
      <c r="AB4740" s="5" t="str">
        <f>HYPERLINK("https://propertylookup.dupagecounty.gov/Datalets/Datalet.aspx?UseSearch=no&amp;mode=sales&amp;pin=0818113007","sales record")</f>
        <v>sales record</v>
      </c>
      <c r="AC4740" t="s">
        <v>3</v>
      </c>
      <c r="AD4740">
        <v>41.781742</v>
      </c>
      <c r="AE4740">
        <v>-88.143637</v>
      </c>
      <c r="AF4740" s="5" t="str">
        <f>HYPERLINK("https://www.google.com/maps/search/?api=1&amp;query=41.781742,-88.143637","map")</f>
        <v>map</v>
      </c>
    </row>
    <row r="4741" spans="1:32">
      <c r="A4741" t="s">
        <v>4791</v>
      </c>
      <c r="B4741" t="s">
        <v>12324</v>
      </c>
      <c r="C4741" t="s">
        <v>15475</v>
      </c>
      <c r="D4741" t="s">
        <v>16206</v>
      </c>
      <c r="E4741" t="s">
        <v>16218</v>
      </c>
      <c r="F4741" t="s">
        <v>16221</v>
      </c>
      <c r="G4741" t="s">
        <v>16277</v>
      </c>
      <c r="H4741" t="s">
        <v>16277</v>
      </c>
      <c r="I4741" t="s">
        <v>16353</v>
      </c>
      <c r="J4741" t="s">
        <v>16386</v>
      </c>
      <c r="K4741">
        <v>0.17</v>
      </c>
      <c r="L4741">
        <v>7399</v>
      </c>
      <c r="M4741">
        <v>1583</v>
      </c>
      <c r="N4741" t="s">
        <v>16393</v>
      </c>
      <c r="O4741" s="4">
        <v>119856</v>
      </c>
      <c r="P4741" s="4">
        <v>64916</v>
      </c>
      <c r="Q4741" s="4">
        <v>184772</v>
      </c>
      <c r="R4741" s="4">
        <v>554316</v>
      </c>
      <c r="S4741" t="s">
        <v>21035</v>
      </c>
      <c r="T4741" s="6">
        <v>42186</v>
      </c>
      <c r="U4741" s="4">
        <v>333000</v>
      </c>
      <c r="V4741" t="s">
        <v>23738</v>
      </c>
      <c r="W4741" t="s">
        <v>26338</v>
      </c>
      <c r="X4741" t="s">
        <v>3</v>
      </c>
      <c r="AA4741" s="5" t="str">
        <f>HYPERLINK("https://www.zillow.com/homes/528-N-ELLSWORTH-ST-NAPERVILLE-IL-60540_rb/","check listing")</f>
        <v>check listing</v>
      </c>
      <c r="AB4741" s="5" t="str">
        <f>HYPERLINK("https://propertylookup.dupagecounty.gov/Datalets/Datalet.aspx?UseSearch=no&amp;mode=sales&amp;pin=0818113001","sales record")</f>
        <v>sales record</v>
      </c>
      <c r="AC4741" t="s">
        <v>27873</v>
      </c>
      <c r="AD4741">
        <v>41.78177</v>
      </c>
      <c r="AE4741">
        <v>-88.144233</v>
      </c>
      <c r="AF4741" s="5" t="str">
        <f>HYPERLINK("https://www.google.com/maps/search/?api=1&amp;query=41.78177,-88.144233","map")</f>
        <v>map</v>
      </c>
    </row>
    <row r="4742" spans="1:32">
      <c r="A4742" t="s">
        <v>4792</v>
      </c>
      <c r="B4742" t="s">
        <v>12325</v>
      </c>
      <c r="C4742" t="s">
        <v>15475</v>
      </c>
      <c r="D4742" t="s">
        <v>16206</v>
      </c>
      <c r="E4742" t="s">
        <v>16218</v>
      </c>
      <c r="F4742" t="s">
        <v>16221</v>
      </c>
      <c r="G4742" t="s">
        <v>16277</v>
      </c>
      <c r="H4742" t="s">
        <v>16277</v>
      </c>
      <c r="I4742" t="s">
        <v>16353</v>
      </c>
      <c r="J4742" t="s">
        <v>16386</v>
      </c>
      <c r="K4742">
        <v>0.17</v>
      </c>
      <c r="L4742">
        <v>7397</v>
      </c>
      <c r="M4742">
        <v>1055</v>
      </c>
      <c r="N4742" t="s">
        <v>16393</v>
      </c>
      <c r="O4742" s="4">
        <v>119856</v>
      </c>
      <c r="P4742" s="4">
        <v>25282</v>
      </c>
      <c r="Q4742" s="4">
        <v>145138</v>
      </c>
      <c r="R4742" s="4">
        <v>435414</v>
      </c>
      <c r="S4742" t="s">
        <v>21036</v>
      </c>
      <c r="T4742" s="6">
        <v>37165</v>
      </c>
      <c r="U4742" s="4">
        <v>257900</v>
      </c>
      <c r="V4742" t="s">
        <v>23739</v>
      </c>
      <c r="W4742" t="s">
        <v>26339</v>
      </c>
      <c r="X4742" t="s">
        <v>3</v>
      </c>
      <c r="AA4742" s="5" t="str">
        <f>HYPERLINK("https://www.zillow.com/homes/20-N-JULIAN-ST-NAPERVILLE-IL-60540_rb/","check listing")</f>
        <v>check listing</v>
      </c>
      <c r="AB4742" s="5" t="str">
        <f>HYPERLINK("https://propertylookup.dupagecounty.gov/Datalets/Datalet.aspx?UseSearch=no&amp;mode=sales&amp;pin=0818405002","sales record")</f>
        <v>sales record</v>
      </c>
      <c r="AC4742" t="s">
        <v>3</v>
      </c>
      <c r="AD4742">
        <v>41.775388</v>
      </c>
      <c r="AE4742">
        <v>-88.13630499999999</v>
      </c>
      <c r="AF4742" s="5" t="str">
        <f>HYPERLINK("https://www.google.com/maps/search/?api=1&amp;query=41.775388,-88.136305","map")</f>
        <v>map</v>
      </c>
    </row>
    <row r="4743" spans="1:32">
      <c r="A4743" t="s">
        <v>4793</v>
      </c>
      <c r="B4743" t="s">
        <v>12326</v>
      </c>
      <c r="C4743" t="s">
        <v>15475</v>
      </c>
      <c r="D4743" t="s">
        <v>16206</v>
      </c>
      <c r="E4743" t="s">
        <v>16218</v>
      </c>
      <c r="F4743" t="s">
        <v>16221</v>
      </c>
      <c r="G4743" t="s">
        <v>16277</v>
      </c>
      <c r="H4743" t="s">
        <v>16277</v>
      </c>
      <c r="I4743" t="s">
        <v>16353</v>
      </c>
      <c r="J4743" t="s">
        <v>16386</v>
      </c>
      <c r="K4743">
        <v>0.17</v>
      </c>
      <c r="L4743">
        <v>7397</v>
      </c>
      <c r="M4743">
        <v>2403</v>
      </c>
      <c r="N4743" t="s">
        <v>16393</v>
      </c>
      <c r="O4743" s="4">
        <v>131890</v>
      </c>
      <c r="P4743" s="4">
        <v>243172</v>
      </c>
      <c r="Q4743" s="4">
        <v>375062</v>
      </c>
      <c r="R4743" s="4">
        <v>1125186</v>
      </c>
      <c r="S4743" t="s">
        <v>21037</v>
      </c>
      <c r="X4743" t="s">
        <v>3</v>
      </c>
      <c r="AA4743" s="5" t="str">
        <f>HYPERLINK("https://www.zillow.com/homes/24-S-COLUMBIA-ST-NAPERVILLE-IL-60540_rb/","check listing")</f>
        <v>check listing</v>
      </c>
      <c r="AB4743" s="5" t="str">
        <f>HYPERLINK("https://propertylookup.dupagecounty.gov/Datalets/Datalet.aspx?UseSearch=no&amp;mode=sales&amp;pin=0818408013","sales record")</f>
        <v>sales record</v>
      </c>
      <c r="AC4743" t="s">
        <v>3</v>
      </c>
      <c r="AD4743">
        <v>41.774169</v>
      </c>
      <c r="AE4743">
        <v>-88.137709</v>
      </c>
      <c r="AF4743" s="5" t="str">
        <f>HYPERLINK("https://www.google.com/maps/search/?api=1&amp;query=41.774169,-88.137709","map")</f>
        <v>map</v>
      </c>
    </row>
    <row r="4744" spans="1:32">
      <c r="A4744" t="s">
        <v>4794</v>
      </c>
      <c r="B4744" t="s">
        <v>12327</v>
      </c>
      <c r="C4744" t="s">
        <v>15478</v>
      </c>
      <c r="D4744" t="s">
        <v>16206</v>
      </c>
      <c r="E4744" t="s">
        <v>16218</v>
      </c>
      <c r="F4744" t="s">
        <v>16221</v>
      </c>
      <c r="G4744" t="s">
        <v>16277</v>
      </c>
      <c r="H4744" t="s">
        <v>16277</v>
      </c>
      <c r="I4744" t="s">
        <v>16353</v>
      </c>
      <c r="J4744" t="s">
        <v>16386</v>
      </c>
      <c r="K4744">
        <v>0.17</v>
      </c>
      <c r="L4744">
        <v>7397</v>
      </c>
      <c r="M4744">
        <v>3689</v>
      </c>
      <c r="N4744" t="s">
        <v>16393</v>
      </c>
      <c r="O4744" s="4">
        <v>120723</v>
      </c>
      <c r="P4744" s="4">
        <v>207973</v>
      </c>
      <c r="Q4744" s="4">
        <v>328696</v>
      </c>
      <c r="R4744" s="4">
        <v>986088</v>
      </c>
      <c r="S4744" t="s">
        <v>21038</v>
      </c>
      <c r="T4744" s="6">
        <v>42552</v>
      </c>
      <c r="U4744" s="4">
        <v>715000</v>
      </c>
      <c r="V4744" t="s">
        <v>23739</v>
      </c>
      <c r="W4744" t="s">
        <v>26340</v>
      </c>
      <c r="X4744" t="s">
        <v>3</v>
      </c>
      <c r="AA4744" s="5" t="str">
        <f>HYPERLINK("https://www.zillow.com/homes/823-N-CENTER-ST-NAPERVILLE-IL-60563_rb/","check listing")</f>
        <v>check listing</v>
      </c>
      <c r="AB4744" s="5" t="str">
        <f>HYPERLINK("https://propertylookup.dupagecounty.gov/Datalets/Datalet.aspx?UseSearch=no&amp;mode=sales&amp;pin=0807313009","sales record")</f>
        <v>sales record</v>
      </c>
      <c r="AC4744" t="s">
        <v>3</v>
      </c>
      <c r="AD4744">
        <v>41.784882</v>
      </c>
      <c r="AE4744">
        <v>-88.146232</v>
      </c>
      <c r="AF4744" s="5" t="str">
        <f>HYPERLINK("https://www.google.com/maps/search/?api=1&amp;query=41.784882,-88.146232","map")</f>
        <v>map</v>
      </c>
    </row>
    <row r="4745" spans="1:32">
      <c r="A4745" t="s">
        <v>4795</v>
      </c>
      <c r="B4745" t="s">
        <v>12328</v>
      </c>
      <c r="C4745" t="s">
        <v>15645</v>
      </c>
      <c r="D4745" t="s">
        <v>16206</v>
      </c>
      <c r="E4745" t="s">
        <v>16218</v>
      </c>
      <c r="F4745" t="s">
        <v>16221</v>
      </c>
      <c r="G4745" t="s">
        <v>16278</v>
      </c>
      <c r="H4745" t="s">
        <v>16277</v>
      </c>
      <c r="I4745" t="s">
        <v>16353</v>
      </c>
      <c r="J4745" t="s">
        <v>16386</v>
      </c>
      <c r="K4745">
        <v>0.17</v>
      </c>
      <c r="L4745">
        <v>7396</v>
      </c>
      <c r="N4745" t="s">
        <v>16393</v>
      </c>
      <c r="O4745" s="4">
        <v>64480</v>
      </c>
      <c r="P4745" s="4">
        <v>170092</v>
      </c>
      <c r="Q4745" s="4">
        <v>234572</v>
      </c>
      <c r="R4745" s="4">
        <v>703716</v>
      </c>
      <c r="S4745" t="s">
        <v>21039</v>
      </c>
      <c r="T4745" s="6">
        <v>42979</v>
      </c>
      <c r="U4745" s="4">
        <v>516351</v>
      </c>
      <c r="V4745" t="s">
        <v>16232</v>
      </c>
      <c r="W4745" t="s">
        <v>26341</v>
      </c>
      <c r="X4745" t="s">
        <v>3</v>
      </c>
      <c r="AA4745" s="5" t="str">
        <f>HYPERLINK("https://www.zillow.com/homes/2488-BASIN-TRAIL-LN-NAPERVILLE-IL-605633595_rb/","check listing")</f>
        <v>check listing</v>
      </c>
      <c r="AB4745" s="5" t="str">
        <f>HYPERLINK("https://propertylookup.dupagecounty.gov/Datalets/Datalet.aspx?UseSearch=no&amp;mode=sales&amp;pin=0709110010","sales record")</f>
        <v>sales record</v>
      </c>
      <c r="AC4745" t="s">
        <v>3</v>
      </c>
      <c r="AD4745">
        <v>41.795135</v>
      </c>
      <c r="AE4745">
        <v>-88.222381</v>
      </c>
      <c r="AF4745" s="5" t="str">
        <f>HYPERLINK("https://www.google.com/maps/search/?api=1&amp;query=41.795135,-88.222381","map")</f>
        <v>map</v>
      </c>
    </row>
    <row r="4746" spans="1:32">
      <c r="A4746" t="s">
        <v>4796</v>
      </c>
      <c r="B4746" t="s">
        <v>12329</v>
      </c>
      <c r="C4746" t="s">
        <v>15766</v>
      </c>
      <c r="D4746" t="s">
        <v>16206</v>
      </c>
      <c r="E4746" t="s">
        <v>16218</v>
      </c>
      <c r="F4746" t="s">
        <v>16221</v>
      </c>
      <c r="G4746" t="s">
        <v>16277</v>
      </c>
      <c r="H4746" t="s">
        <v>16277</v>
      </c>
      <c r="I4746" t="s">
        <v>16353</v>
      </c>
      <c r="J4746" t="s">
        <v>16386</v>
      </c>
      <c r="K4746">
        <v>0.17</v>
      </c>
      <c r="L4746">
        <v>7394</v>
      </c>
      <c r="M4746">
        <v>3509</v>
      </c>
      <c r="N4746" t="s">
        <v>16393</v>
      </c>
      <c r="O4746" s="4">
        <v>131890</v>
      </c>
      <c r="P4746" s="4">
        <v>230424</v>
      </c>
      <c r="Q4746" s="4">
        <v>362314</v>
      </c>
      <c r="R4746" s="4">
        <v>1086942</v>
      </c>
      <c r="S4746" t="s">
        <v>21040</v>
      </c>
      <c r="T4746" s="6">
        <v>43525</v>
      </c>
      <c r="U4746" s="4">
        <v>750000</v>
      </c>
      <c r="V4746" t="s">
        <v>23739</v>
      </c>
      <c r="W4746" t="s">
        <v>26342</v>
      </c>
      <c r="X4746" t="s">
        <v>3</v>
      </c>
      <c r="AA4746" s="5" t="str">
        <f>HYPERLINK("https://www.zillow.com/homes/106-N-COLUMBIA-ST-NAPERVILLE-IL-605404714_rb/","check listing")</f>
        <v>check listing</v>
      </c>
      <c r="AB4746" s="5" t="str">
        <f>HYPERLINK("https://propertylookup.dupagecounty.gov/Datalets/Datalet.aspx?UseSearch=no&amp;mode=sales&amp;pin=0818400011","sales record")</f>
        <v>sales record</v>
      </c>
      <c r="AC4746" t="s">
        <v>3</v>
      </c>
      <c r="AD4746">
        <v>41.775897</v>
      </c>
      <c r="AE4746">
        <v>-88.137609</v>
      </c>
      <c r="AF4746" s="5" t="str">
        <f>HYPERLINK("https://www.google.com/maps/search/?api=1&amp;query=41.775897,-88.137609","map")</f>
        <v>map</v>
      </c>
    </row>
    <row r="4747" spans="1:32">
      <c r="A4747" t="s">
        <v>4797</v>
      </c>
      <c r="B4747" t="s">
        <v>12330</v>
      </c>
      <c r="C4747" t="s">
        <v>15478</v>
      </c>
      <c r="D4747" t="s">
        <v>16206</v>
      </c>
      <c r="E4747" t="s">
        <v>16218</v>
      </c>
      <c r="F4747" t="s">
        <v>16221</v>
      </c>
      <c r="G4747" t="s">
        <v>16277</v>
      </c>
      <c r="H4747" t="s">
        <v>16277</v>
      </c>
      <c r="I4747" t="s">
        <v>16353</v>
      </c>
      <c r="J4747" t="s">
        <v>16386</v>
      </c>
      <c r="K4747">
        <v>0.17</v>
      </c>
      <c r="L4747">
        <v>7394</v>
      </c>
      <c r="M4747">
        <v>3203</v>
      </c>
      <c r="N4747" t="s">
        <v>16393</v>
      </c>
      <c r="O4747" s="4">
        <v>119856</v>
      </c>
      <c r="P4747" s="4">
        <v>106240</v>
      </c>
      <c r="Q4747" s="4">
        <v>226096</v>
      </c>
      <c r="R4747" s="4">
        <v>678288</v>
      </c>
      <c r="S4747" t="s">
        <v>21041</v>
      </c>
      <c r="T4747" s="6">
        <v>30987</v>
      </c>
      <c r="U4747" s="4">
        <v>75000</v>
      </c>
      <c r="X4747" t="s">
        <v>3</v>
      </c>
      <c r="AA4747" s="5" t="str">
        <f>HYPERLINK("https://www.zillow.com/homes/735-N-ELLSWORTH-ST-NAPERVILLE-IL-60563_rb/","check listing")</f>
        <v>check listing</v>
      </c>
      <c r="AB4747" s="5" t="str">
        <f>HYPERLINK("https://propertylookup.dupagecounty.gov/Datalets/Datalet.aspx?UseSearch=no&amp;mode=sales&amp;pin=0818106008","sales record")</f>
        <v>sales record</v>
      </c>
      <c r="AC4747" t="s">
        <v>3</v>
      </c>
      <c r="AD4747">
        <v>41.784035</v>
      </c>
      <c r="AE4747">
        <v>-88.144885</v>
      </c>
      <c r="AF4747" s="5" t="str">
        <f>HYPERLINK("https://www.google.com/maps/search/?api=1&amp;query=41.784035,-88.144885","map")</f>
        <v>map</v>
      </c>
    </row>
    <row r="4748" spans="1:32">
      <c r="A4748" t="s">
        <v>4798</v>
      </c>
      <c r="B4748" t="s">
        <v>12331</v>
      </c>
      <c r="C4748" t="s">
        <v>15475</v>
      </c>
      <c r="D4748" t="s">
        <v>16206</v>
      </c>
      <c r="E4748" t="s">
        <v>16218</v>
      </c>
      <c r="F4748" t="s">
        <v>16221</v>
      </c>
      <c r="G4748" t="s">
        <v>16277</v>
      </c>
      <c r="H4748" t="s">
        <v>16277</v>
      </c>
      <c r="I4748" t="s">
        <v>16353</v>
      </c>
      <c r="J4748" t="s">
        <v>16386</v>
      </c>
      <c r="K4748">
        <v>0.17</v>
      </c>
      <c r="L4748">
        <v>7394</v>
      </c>
      <c r="M4748">
        <v>1286</v>
      </c>
      <c r="N4748" t="s">
        <v>16393</v>
      </c>
      <c r="O4748" s="4">
        <v>131890</v>
      </c>
      <c r="P4748" s="4">
        <v>73408</v>
      </c>
      <c r="Q4748" s="4">
        <v>205298</v>
      </c>
      <c r="R4748" s="4">
        <v>615894</v>
      </c>
      <c r="S4748" t="s">
        <v>21042</v>
      </c>
      <c r="T4748" s="6">
        <v>31291</v>
      </c>
      <c r="U4748" s="4">
        <v>125000</v>
      </c>
      <c r="X4748" t="s">
        <v>3</v>
      </c>
      <c r="AA4748" s="5" t="str">
        <f>HYPERLINK("https://www.zillow.com/homes/145-N-BRAINARD-ST-NAPERVILLE-IL-60540_rb/","check listing")</f>
        <v>check listing</v>
      </c>
      <c r="AB4748" s="5" t="str">
        <f>HYPERLINK("https://propertylookup.dupagecounty.gov/Datalets/Datalet.aspx?UseSearch=no&amp;mode=sales&amp;pin=0818133004","sales record")</f>
        <v>sales record</v>
      </c>
      <c r="AC4748" t="s">
        <v>27873</v>
      </c>
      <c r="AD4748">
        <v>41.77718</v>
      </c>
      <c r="AE4748">
        <v>-88.14398</v>
      </c>
      <c r="AF4748" s="5" t="str">
        <f>HYPERLINK("https://www.google.com/maps/search/?api=1&amp;query=41.77718,-88.14398","map")</f>
        <v>map</v>
      </c>
    </row>
    <row r="4749" spans="1:32">
      <c r="A4749" t="s">
        <v>4799</v>
      </c>
      <c r="B4749" t="s">
        <v>12332</v>
      </c>
      <c r="C4749" t="s">
        <v>15662</v>
      </c>
      <c r="D4749" t="s">
        <v>16206</v>
      </c>
      <c r="E4749" t="s">
        <v>16218</v>
      </c>
      <c r="F4749" t="s">
        <v>16221</v>
      </c>
      <c r="G4749" t="s">
        <v>16278</v>
      </c>
      <c r="H4749" t="s">
        <v>16277</v>
      </c>
      <c r="I4749" t="s">
        <v>16353</v>
      </c>
      <c r="J4749" t="s">
        <v>16386</v>
      </c>
      <c r="K4749">
        <v>0.17</v>
      </c>
      <c r="L4749">
        <v>7392</v>
      </c>
      <c r="N4749" t="s">
        <v>16393</v>
      </c>
      <c r="O4749" s="4">
        <v>56146</v>
      </c>
      <c r="P4749" s="4">
        <v>198987</v>
      </c>
      <c r="Q4749" s="4">
        <v>255133</v>
      </c>
      <c r="R4749" s="4">
        <v>765399</v>
      </c>
      <c r="S4749" t="s">
        <v>21043</v>
      </c>
      <c r="T4749" s="6">
        <v>45526</v>
      </c>
      <c r="U4749" s="4">
        <v>767178</v>
      </c>
      <c r="V4749" t="s">
        <v>16232</v>
      </c>
      <c r="W4749" t="s">
        <v>26343</v>
      </c>
      <c r="X4749" t="s">
        <v>3</v>
      </c>
      <c r="AA4749" s="5" t="str">
        <f>HYPERLINK("https://www.zillow.com/homes/2408-LUCENT-LN-NAPERVILLE-IL-605631594_rb/","check listing")</f>
        <v>check listing</v>
      </c>
      <c r="AB4749" s="5" t="str">
        <f>HYPERLINK("https://propertylookup.dupagecounty.gov/Datalets/Datalet.aspx?UseSearch=no&amp;mode=sales&amp;pin=0532303012","sales record")</f>
        <v>sales record</v>
      </c>
      <c r="AC4749" t="s">
        <v>3</v>
      </c>
      <c r="AD4749">
        <v>41.817932</v>
      </c>
      <c r="AE4749">
        <v>-88.121797</v>
      </c>
      <c r="AF4749" s="5" t="str">
        <f>HYPERLINK("https://www.google.com/maps/search/?api=1&amp;query=41.817932,-88.121797","map")</f>
        <v>map</v>
      </c>
    </row>
    <row r="4750" spans="1:32">
      <c r="A4750" t="s">
        <v>4800</v>
      </c>
      <c r="B4750" t="s">
        <v>12333</v>
      </c>
      <c r="C4750" t="s">
        <v>15785</v>
      </c>
      <c r="D4750" t="s">
        <v>16206</v>
      </c>
      <c r="E4750" t="s">
        <v>16218</v>
      </c>
      <c r="F4750" t="s">
        <v>16221</v>
      </c>
      <c r="G4750" t="s">
        <v>16277</v>
      </c>
      <c r="H4750" t="s">
        <v>16277</v>
      </c>
      <c r="I4750" t="s">
        <v>16353</v>
      </c>
      <c r="J4750" t="s">
        <v>16386</v>
      </c>
      <c r="K4750">
        <v>0.17</v>
      </c>
      <c r="L4750">
        <v>7392</v>
      </c>
      <c r="M4750">
        <v>2804</v>
      </c>
      <c r="N4750" t="s">
        <v>16393</v>
      </c>
      <c r="O4750" s="4">
        <v>79496</v>
      </c>
      <c r="P4750" s="4">
        <v>70827</v>
      </c>
      <c r="Q4750" s="4">
        <v>150323</v>
      </c>
      <c r="R4750" s="4">
        <v>450969</v>
      </c>
      <c r="S4750" t="s">
        <v>21044</v>
      </c>
      <c r="T4750" s="6">
        <v>43252</v>
      </c>
      <c r="U4750" s="4">
        <v>320000</v>
      </c>
      <c r="V4750" t="s">
        <v>16232</v>
      </c>
      <c r="W4750" t="s">
        <v>26344</v>
      </c>
      <c r="X4750" t="s">
        <v>3</v>
      </c>
      <c r="AA4750" s="5" t="str">
        <f>HYPERLINK("https://www.zillow.com/homes/810-N-CENTER-ST-NAPERVILLE-IL-605633143_rb/","check listing")</f>
        <v>check listing</v>
      </c>
      <c r="AB4750" s="5" t="str">
        <f>HYPERLINK("https://propertylookup.dupagecounty.gov/Datalets/Datalet.aspx?UseSearch=no&amp;mode=sales&amp;pin=0807314008","sales record")</f>
        <v>sales record</v>
      </c>
      <c r="AC4750" t="s">
        <v>3</v>
      </c>
      <c r="AD4750">
        <v>41.784512</v>
      </c>
      <c r="AE4750">
        <v>-88.145466</v>
      </c>
      <c r="AF4750" s="5" t="str">
        <f>HYPERLINK("https://www.google.com/maps/search/?api=1&amp;query=41.784512,-88.145466","map")</f>
        <v>map</v>
      </c>
    </row>
    <row r="4751" spans="1:32">
      <c r="A4751" t="s">
        <v>4801</v>
      </c>
      <c r="B4751" t="s">
        <v>12334</v>
      </c>
      <c r="C4751" t="s">
        <v>15478</v>
      </c>
      <c r="D4751" t="s">
        <v>16206</v>
      </c>
      <c r="E4751" t="s">
        <v>16218</v>
      </c>
      <c r="F4751" t="s">
        <v>16221</v>
      </c>
      <c r="G4751" t="s">
        <v>16277</v>
      </c>
      <c r="H4751" t="s">
        <v>16277</v>
      </c>
      <c r="I4751" t="s">
        <v>16353</v>
      </c>
      <c r="J4751" t="s">
        <v>16386</v>
      </c>
      <c r="K4751">
        <v>0.17</v>
      </c>
      <c r="L4751">
        <v>7392</v>
      </c>
      <c r="M4751">
        <v>2104</v>
      </c>
      <c r="N4751" t="s">
        <v>16393</v>
      </c>
      <c r="O4751" s="4">
        <v>119856</v>
      </c>
      <c r="P4751" s="4">
        <v>18896</v>
      </c>
      <c r="Q4751" s="4">
        <v>138752</v>
      </c>
      <c r="R4751" s="4">
        <v>416256</v>
      </c>
      <c r="S4751" t="s">
        <v>21045</v>
      </c>
      <c r="T4751" s="6">
        <v>33025</v>
      </c>
      <c r="U4751" s="4">
        <v>102000</v>
      </c>
      <c r="X4751" t="s">
        <v>3</v>
      </c>
      <c r="AA4751" s="5" t="str">
        <f>HYPERLINK("https://www.zillow.com/homes/820-N-CENTER-ST-NAPERVILLE-IL-60563_rb/","check listing")</f>
        <v>check listing</v>
      </c>
      <c r="AB4751" s="5" t="str">
        <f>HYPERLINK("https://propertylookup.dupagecounty.gov/Datalets/Datalet.aspx?UseSearch=no&amp;mode=sales&amp;pin=0807314006","sales record")</f>
        <v>sales record</v>
      </c>
      <c r="AC4751" t="s">
        <v>3</v>
      </c>
      <c r="AD4751">
        <v>41.784783</v>
      </c>
      <c r="AE4751">
        <v>-88.145444</v>
      </c>
      <c r="AF4751" s="5" t="str">
        <f>HYPERLINK("https://www.google.com/maps/search/?api=1&amp;query=41.784783,-88.145444","map")</f>
        <v>map</v>
      </c>
    </row>
    <row r="4752" spans="1:32">
      <c r="A4752" t="s">
        <v>4802</v>
      </c>
      <c r="B4752" t="s">
        <v>12335</v>
      </c>
      <c r="C4752" t="s">
        <v>15785</v>
      </c>
      <c r="D4752" t="s">
        <v>16206</v>
      </c>
      <c r="E4752" t="s">
        <v>16218</v>
      </c>
      <c r="F4752" t="s">
        <v>16221</v>
      </c>
      <c r="G4752" t="s">
        <v>16277</v>
      </c>
      <c r="H4752" t="s">
        <v>16277</v>
      </c>
      <c r="I4752" t="s">
        <v>16353</v>
      </c>
      <c r="J4752" t="s">
        <v>16386</v>
      </c>
      <c r="K4752">
        <v>0.17</v>
      </c>
      <c r="L4752">
        <v>7392</v>
      </c>
      <c r="M4752">
        <v>2092</v>
      </c>
      <c r="N4752" t="s">
        <v>16393</v>
      </c>
      <c r="O4752" s="4">
        <v>119856</v>
      </c>
      <c r="P4752" s="4">
        <v>31525</v>
      </c>
      <c r="Q4752" s="4">
        <v>151381</v>
      </c>
      <c r="R4752" s="4">
        <v>454143</v>
      </c>
      <c r="S4752" t="s">
        <v>21046</v>
      </c>
      <c r="T4752" s="6">
        <v>44562</v>
      </c>
      <c r="U4752" s="4">
        <v>315000</v>
      </c>
      <c r="V4752" t="s">
        <v>23740</v>
      </c>
      <c r="W4752" t="s">
        <v>26345</v>
      </c>
      <c r="X4752" t="s">
        <v>3</v>
      </c>
      <c r="AA4752" s="5" t="str">
        <f>HYPERLINK("https://www.zillow.com/homes/826-N-CENTER-ST-NAPERVILLE-IL-605633143_rb/","check listing")</f>
        <v>check listing</v>
      </c>
      <c r="AB4752" s="5" t="str">
        <f>HYPERLINK("https://propertylookup.dupagecounty.gov/Datalets/Datalet.aspx?UseSearch=no&amp;mode=sales&amp;pin=0807314005","sales record")</f>
        <v>sales record</v>
      </c>
      <c r="AC4752" t="s">
        <v>3</v>
      </c>
      <c r="AD4752">
        <v>41.784918</v>
      </c>
      <c r="AE4752">
        <v>-88.145433</v>
      </c>
      <c r="AF4752" s="5" t="str">
        <f>HYPERLINK("https://www.google.com/maps/search/?api=1&amp;query=41.784918,-88.145433","map")</f>
        <v>map</v>
      </c>
    </row>
    <row r="4753" spans="1:32">
      <c r="A4753" t="s">
        <v>4803</v>
      </c>
      <c r="B4753" t="s">
        <v>12336</v>
      </c>
      <c r="C4753" t="s">
        <v>15475</v>
      </c>
      <c r="D4753" t="s">
        <v>16206</v>
      </c>
      <c r="E4753" t="s">
        <v>16218</v>
      </c>
      <c r="F4753" t="s">
        <v>16221</v>
      </c>
      <c r="G4753" t="s">
        <v>16278</v>
      </c>
      <c r="H4753" t="s">
        <v>16277</v>
      </c>
      <c r="I4753" t="s">
        <v>16353</v>
      </c>
      <c r="J4753" t="s">
        <v>16386</v>
      </c>
      <c r="K4753">
        <v>0.17</v>
      </c>
      <c r="L4753">
        <v>7391</v>
      </c>
      <c r="N4753" t="s">
        <v>16393</v>
      </c>
      <c r="O4753" s="4">
        <v>61416</v>
      </c>
      <c r="P4753" s="4">
        <v>172215</v>
      </c>
      <c r="Q4753" s="4">
        <v>233631</v>
      </c>
      <c r="R4753" s="4">
        <v>700893</v>
      </c>
      <c r="S4753" t="s">
        <v>21047</v>
      </c>
      <c r="T4753" s="6">
        <v>42826</v>
      </c>
      <c r="U4753" s="4">
        <v>475030</v>
      </c>
      <c r="V4753" t="s">
        <v>16232</v>
      </c>
      <c r="W4753" t="s">
        <v>26346</v>
      </c>
      <c r="X4753" t="s">
        <v>3</v>
      </c>
      <c r="AA4753" s="5" t="str">
        <f>HYPERLINK("https://www.zillow.com/homes/1652-LEYLAND-DR-NAPERVILLE-IL-60540_rb/","check listing")</f>
        <v>check listing</v>
      </c>
      <c r="AB4753" s="5" t="str">
        <f>HYPERLINK("https://propertylookup.dupagecounty.gov/Datalets/Datalet.aspx?UseSearch=no&amp;mode=sales&amp;pin=0709107028","sales record")</f>
        <v>sales record</v>
      </c>
      <c r="AC4753" t="s">
        <v>3</v>
      </c>
      <c r="AD4753">
        <v>41.79754</v>
      </c>
      <c r="AE4753">
        <v>-88.223147</v>
      </c>
      <c r="AF4753" s="5" t="str">
        <f>HYPERLINK("https://www.google.com/maps/search/?api=1&amp;query=41.79754,-88.223147","map")</f>
        <v>map</v>
      </c>
    </row>
    <row r="4754" spans="1:32">
      <c r="A4754" t="s">
        <v>4804</v>
      </c>
      <c r="B4754" t="s">
        <v>12337</v>
      </c>
      <c r="C4754" t="s">
        <v>15478</v>
      </c>
      <c r="D4754" t="s">
        <v>16206</v>
      </c>
      <c r="E4754" t="s">
        <v>16218</v>
      </c>
      <c r="F4754" t="s">
        <v>16221</v>
      </c>
      <c r="G4754" t="s">
        <v>16277</v>
      </c>
      <c r="H4754" t="s">
        <v>16277</v>
      </c>
      <c r="I4754" t="s">
        <v>16353</v>
      </c>
      <c r="J4754" t="s">
        <v>16386</v>
      </c>
      <c r="K4754">
        <v>0.17</v>
      </c>
      <c r="L4754">
        <v>7390</v>
      </c>
      <c r="M4754">
        <v>2546</v>
      </c>
      <c r="N4754" t="s">
        <v>16393</v>
      </c>
      <c r="O4754" s="4">
        <v>119856</v>
      </c>
      <c r="P4754" s="4">
        <v>44736</v>
      </c>
      <c r="Q4754" s="4">
        <v>164592</v>
      </c>
      <c r="R4754" s="4">
        <v>493776</v>
      </c>
      <c r="S4754" t="s">
        <v>20402</v>
      </c>
      <c r="T4754" s="6">
        <v>46032</v>
      </c>
      <c r="U4754" s="4">
        <v>435100</v>
      </c>
      <c r="V4754" t="s">
        <v>16232</v>
      </c>
      <c r="W4754" t="s">
        <v>26347</v>
      </c>
      <c r="X4754" t="s">
        <v>3</v>
      </c>
      <c r="AA4754" s="5" t="str">
        <f>HYPERLINK("https://www.zillow.com/homes/815-N-ELLSWORTH-ST-NAPERVILLE-IL-60563_rb/","check listing")</f>
        <v>check listing</v>
      </c>
      <c r="AB4754" s="5" t="str">
        <f>HYPERLINK("https://propertylookup.dupagecounty.gov/Datalets/Datalet.aspx?UseSearch=no&amp;mode=sales&amp;pin=0807314015","sales record")</f>
        <v>sales record</v>
      </c>
      <c r="AC4754" t="s">
        <v>3</v>
      </c>
      <c r="AD4754">
        <v>41.784621</v>
      </c>
      <c r="AE4754">
        <v>-88.144847</v>
      </c>
      <c r="AF4754" s="5" t="str">
        <f>HYPERLINK("https://www.google.com/maps/search/?api=1&amp;query=41.784621,-88.144847","map")</f>
        <v>map</v>
      </c>
    </row>
    <row r="4755" spans="1:32">
      <c r="A4755" t="s">
        <v>4805</v>
      </c>
      <c r="B4755" t="s">
        <v>12338</v>
      </c>
      <c r="C4755" t="s">
        <v>15478</v>
      </c>
      <c r="D4755" t="s">
        <v>16206</v>
      </c>
      <c r="E4755" t="s">
        <v>16218</v>
      </c>
      <c r="F4755" t="s">
        <v>16221</v>
      </c>
      <c r="G4755" t="s">
        <v>16277</v>
      </c>
      <c r="H4755" t="s">
        <v>16277</v>
      </c>
      <c r="I4755" t="s">
        <v>16353</v>
      </c>
      <c r="J4755" t="s">
        <v>16386</v>
      </c>
      <c r="K4755">
        <v>0.17</v>
      </c>
      <c r="L4755">
        <v>7390</v>
      </c>
      <c r="M4755">
        <v>2275</v>
      </c>
      <c r="N4755" t="s">
        <v>16393</v>
      </c>
      <c r="O4755" s="4">
        <v>119856</v>
      </c>
      <c r="P4755" s="4">
        <v>43856</v>
      </c>
      <c r="Q4755" s="4">
        <v>163712</v>
      </c>
      <c r="R4755" s="4">
        <v>491136</v>
      </c>
      <c r="S4755" t="s">
        <v>21048</v>
      </c>
      <c r="X4755" t="s">
        <v>3</v>
      </c>
      <c r="AA4755" s="5" t="str">
        <f>HYPERLINK("https://www.zillow.com/homes/816-N-CENTER-ST-NAPERVILLE-IL-60563_rb/","check listing")</f>
        <v>check listing</v>
      </c>
      <c r="AB4755" s="5" t="str">
        <f>HYPERLINK("https://propertylookup.dupagecounty.gov/Datalets/Datalet.aspx?UseSearch=no&amp;mode=sales&amp;pin=0807314007","sales record")</f>
        <v>sales record</v>
      </c>
      <c r="AC4755" t="s">
        <v>3</v>
      </c>
      <c r="AD4755">
        <v>41.784648</v>
      </c>
      <c r="AE4755">
        <v>-88.145455</v>
      </c>
      <c r="AF4755" s="5" t="str">
        <f>HYPERLINK("https://www.google.com/maps/search/?api=1&amp;query=41.784648,-88.145455","map")</f>
        <v>map</v>
      </c>
    </row>
    <row r="4756" spans="1:32">
      <c r="A4756" t="s">
        <v>4806</v>
      </c>
      <c r="B4756" t="s">
        <v>12339</v>
      </c>
      <c r="C4756" t="s">
        <v>15785</v>
      </c>
      <c r="D4756" t="s">
        <v>16206</v>
      </c>
      <c r="E4756" t="s">
        <v>16218</v>
      </c>
      <c r="F4756" t="s">
        <v>16221</v>
      </c>
      <c r="G4756" t="s">
        <v>16277</v>
      </c>
      <c r="H4756" t="s">
        <v>16277</v>
      </c>
      <c r="I4756" t="s">
        <v>16353</v>
      </c>
      <c r="J4756" t="s">
        <v>16386</v>
      </c>
      <c r="K4756">
        <v>0.17</v>
      </c>
      <c r="L4756">
        <v>7390</v>
      </c>
      <c r="M4756">
        <v>3233</v>
      </c>
      <c r="N4756" t="s">
        <v>16393</v>
      </c>
      <c r="O4756" s="4">
        <v>119856</v>
      </c>
      <c r="P4756" s="4">
        <v>89484</v>
      </c>
      <c r="Q4756" s="4">
        <v>209340</v>
      </c>
      <c r="R4756" s="4">
        <v>628020</v>
      </c>
      <c r="S4756" t="s">
        <v>21049</v>
      </c>
      <c r="T4756" s="6">
        <v>37926</v>
      </c>
      <c r="U4756" s="4">
        <v>418000</v>
      </c>
      <c r="V4756" t="s">
        <v>23739</v>
      </c>
      <c r="W4756" t="s">
        <v>26348</v>
      </c>
      <c r="X4756" t="s">
        <v>3</v>
      </c>
      <c r="AA4756" s="5" t="str">
        <f>HYPERLINK("https://www.zillow.com/homes/840-N-CENTER-ST-NAPERVILLE-IL-605633143_rb/","check listing")</f>
        <v>check listing</v>
      </c>
      <c r="AB4756" s="5" t="str">
        <f>HYPERLINK("https://propertylookup.dupagecounty.gov/Datalets/Datalet.aspx?UseSearch=no&amp;mode=sales&amp;pin=0807314002","sales record")</f>
        <v>sales record</v>
      </c>
      <c r="AC4756" t="s">
        <v>3</v>
      </c>
      <c r="AD4756">
        <v>41.785324</v>
      </c>
      <c r="AE4756">
        <v>-88.1454</v>
      </c>
      <c r="AF4756" s="5" t="str">
        <f>HYPERLINK("https://www.google.com/maps/search/?api=1&amp;query=41.785324,-88.1454","map")</f>
        <v>map</v>
      </c>
    </row>
    <row r="4757" spans="1:32">
      <c r="A4757" t="s">
        <v>4807</v>
      </c>
      <c r="B4757" t="s">
        <v>12340</v>
      </c>
      <c r="C4757" t="s">
        <v>15786</v>
      </c>
      <c r="D4757" t="s">
        <v>16206</v>
      </c>
      <c r="E4757" t="s">
        <v>16218</v>
      </c>
      <c r="F4757" t="s">
        <v>16221</v>
      </c>
      <c r="G4757" t="s">
        <v>16277</v>
      </c>
      <c r="H4757" t="s">
        <v>16277</v>
      </c>
      <c r="I4757" t="s">
        <v>16353</v>
      </c>
      <c r="J4757" t="s">
        <v>16386</v>
      </c>
      <c r="K4757">
        <v>0.17</v>
      </c>
      <c r="L4757">
        <v>7390</v>
      </c>
      <c r="M4757">
        <v>2275</v>
      </c>
      <c r="N4757" t="s">
        <v>16393</v>
      </c>
      <c r="O4757" s="4">
        <v>119856</v>
      </c>
      <c r="P4757" s="4">
        <v>46139</v>
      </c>
      <c r="Q4757" s="4">
        <v>165995</v>
      </c>
      <c r="R4757" s="4">
        <v>497985</v>
      </c>
      <c r="S4757" t="s">
        <v>21050</v>
      </c>
      <c r="T4757" s="6">
        <v>44197</v>
      </c>
      <c r="U4757" s="4">
        <v>329900</v>
      </c>
      <c r="V4757" t="s">
        <v>23739</v>
      </c>
      <c r="W4757" t="s">
        <v>21050</v>
      </c>
      <c r="X4757" t="s">
        <v>3</v>
      </c>
      <c r="AA4757" s="5" t="str">
        <f>HYPERLINK("https://www.zillow.com/homes/804-N-CENTER-ST-NAPERVILLE-IL-605633624_rb/","check listing")</f>
        <v>check listing</v>
      </c>
      <c r="AB4757" s="5" t="str">
        <f>HYPERLINK("https://propertylookup.dupagecounty.gov/Datalets/Datalet.aspx?UseSearch=no&amp;mode=sales&amp;pin=0818105001","sales record")</f>
        <v>sales record</v>
      </c>
      <c r="AC4757" t="s">
        <v>3</v>
      </c>
      <c r="AD4757">
        <v>41.784376</v>
      </c>
      <c r="AE4757">
        <v>-88.145477</v>
      </c>
      <c r="AF4757" s="5" t="str">
        <f>HYPERLINK("https://www.google.com/maps/search/?api=1&amp;query=41.784376,-88.145477","map")</f>
        <v>map</v>
      </c>
    </row>
    <row r="4758" spans="1:32">
      <c r="A4758" t="s">
        <v>4808</v>
      </c>
      <c r="B4758" t="s">
        <v>12341</v>
      </c>
      <c r="C4758" t="s">
        <v>15478</v>
      </c>
      <c r="D4758" t="s">
        <v>16206</v>
      </c>
      <c r="E4758" t="s">
        <v>16218</v>
      </c>
      <c r="F4758" t="s">
        <v>16221</v>
      </c>
      <c r="G4758" t="s">
        <v>16277</v>
      </c>
      <c r="H4758" t="s">
        <v>16277</v>
      </c>
      <c r="I4758" t="s">
        <v>16353</v>
      </c>
      <c r="J4758" t="s">
        <v>16386</v>
      </c>
      <c r="K4758">
        <v>0.17</v>
      </c>
      <c r="L4758">
        <v>7386</v>
      </c>
      <c r="M4758">
        <v>2242</v>
      </c>
      <c r="N4758" t="s">
        <v>16393</v>
      </c>
      <c r="O4758" s="4">
        <v>119856</v>
      </c>
      <c r="P4758" s="4">
        <v>45545</v>
      </c>
      <c r="Q4758" s="4">
        <v>165401</v>
      </c>
      <c r="R4758" s="4">
        <v>496203</v>
      </c>
      <c r="S4758" t="s">
        <v>21051</v>
      </c>
      <c r="T4758" s="6">
        <v>44894</v>
      </c>
      <c r="U4758" s="4">
        <v>325000</v>
      </c>
      <c r="V4758" t="s">
        <v>23741</v>
      </c>
      <c r="W4758" t="s">
        <v>26349</v>
      </c>
      <c r="X4758" t="s">
        <v>3</v>
      </c>
      <c r="AA4758" s="5" t="str">
        <f>HYPERLINK("https://www.zillow.com/homes/129-E-8TH-AVE-NAPERVILLE-IL-60563_rb/","check listing")</f>
        <v>check listing</v>
      </c>
      <c r="AB4758" s="5" t="str">
        <f>HYPERLINK("https://propertylookup.dupagecounty.gov/Datalets/Datalet.aspx?UseSearch=no&amp;mode=sales&amp;pin=0818105002","sales record")</f>
        <v>sales record</v>
      </c>
      <c r="AC4758" t="s">
        <v>3</v>
      </c>
      <c r="AD4758">
        <v>41.784324</v>
      </c>
      <c r="AE4758">
        <v>-88.14487099999999</v>
      </c>
      <c r="AF4758" s="5" t="str">
        <f>HYPERLINK("https://www.google.com/maps/search/?api=1&amp;query=41.784324,-88.144871","map")</f>
        <v>map</v>
      </c>
    </row>
    <row r="4759" spans="1:32">
      <c r="A4759" t="s">
        <v>4809</v>
      </c>
      <c r="B4759" t="s">
        <v>12342</v>
      </c>
      <c r="C4759" t="s">
        <v>15478</v>
      </c>
      <c r="D4759" t="s">
        <v>16206</v>
      </c>
      <c r="E4759" t="s">
        <v>16218</v>
      </c>
      <c r="F4759" t="s">
        <v>16221</v>
      </c>
      <c r="G4759" t="s">
        <v>16277</v>
      </c>
      <c r="H4759" t="s">
        <v>16277</v>
      </c>
      <c r="I4759" t="s">
        <v>16353</v>
      </c>
      <c r="J4759" t="s">
        <v>16386</v>
      </c>
      <c r="K4759">
        <v>0.17</v>
      </c>
      <c r="L4759">
        <v>7386</v>
      </c>
      <c r="M4759">
        <v>2640</v>
      </c>
      <c r="N4759" t="s">
        <v>16393</v>
      </c>
      <c r="O4759" s="4">
        <v>119761</v>
      </c>
      <c r="P4759" s="4">
        <v>93361</v>
      </c>
      <c r="Q4759" s="4">
        <v>213122</v>
      </c>
      <c r="R4759" s="4">
        <v>639366</v>
      </c>
      <c r="S4759" t="s">
        <v>21052</v>
      </c>
      <c r="T4759" s="6">
        <v>45153</v>
      </c>
      <c r="U4759" s="4">
        <v>512702</v>
      </c>
      <c r="V4759" t="s">
        <v>23739</v>
      </c>
      <c r="W4759" t="s">
        <v>26350</v>
      </c>
      <c r="X4759" t="s">
        <v>3</v>
      </c>
      <c r="AA4759" s="5" t="str">
        <f>HYPERLINK("https://www.zillow.com/homes/80911-N-ELLSWORTH-ST-NAPERVILLE-IL-60563_rb/","check listing")</f>
        <v>check listing</v>
      </c>
      <c r="AB4759" s="5" t="str">
        <f>HYPERLINK("https://propertylookup.dupagecounty.gov/Datalets/Datalet.aspx?UseSearch=no&amp;mode=sales&amp;pin=0807314016","sales record")</f>
        <v>sales record</v>
      </c>
      <c r="AC4759" t="s">
        <v>3</v>
      </c>
      <c r="AD4759">
        <v>41.784486</v>
      </c>
      <c r="AE4759">
        <v>-88.144858</v>
      </c>
      <c r="AF4759" s="5" t="str">
        <f>HYPERLINK("https://www.google.com/maps/search/?api=1&amp;query=41.784486,-88.144858","map")</f>
        <v>map</v>
      </c>
    </row>
    <row r="4760" spans="1:32">
      <c r="A4760" t="s">
        <v>4810</v>
      </c>
      <c r="B4760" t="s">
        <v>12343</v>
      </c>
      <c r="C4760" t="s">
        <v>15773</v>
      </c>
      <c r="D4760" t="s">
        <v>16206</v>
      </c>
      <c r="E4760" t="s">
        <v>16218</v>
      </c>
      <c r="F4760" t="s">
        <v>16221</v>
      </c>
      <c r="G4760" t="s">
        <v>16277</v>
      </c>
      <c r="H4760" t="s">
        <v>16277</v>
      </c>
      <c r="I4760" t="s">
        <v>16353</v>
      </c>
      <c r="J4760" t="s">
        <v>16386</v>
      </c>
      <c r="K4760">
        <v>0.169</v>
      </c>
      <c r="L4760">
        <v>7383</v>
      </c>
      <c r="M4760">
        <v>2768</v>
      </c>
      <c r="N4760" t="s">
        <v>16393</v>
      </c>
      <c r="O4760" s="4">
        <v>119856</v>
      </c>
      <c r="P4760" s="4">
        <v>213812</v>
      </c>
      <c r="Q4760" s="4">
        <v>333668</v>
      </c>
      <c r="R4760" s="4">
        <v>1001004</v>
      </c>
      <c r="S4760" t="s">
        <v>21053</v>
      </c>
      <c r="T4760" s="6">
        <v>44348</v>
      </c>
      <c r="U4760" s="4">
        <v>929900</v>
      </c>
      <c r="V4760" t="s">
        <v>23739</v>
      </c>
      <c r="W4760" t="s">
        <v>21053</v>
      </c>
      <c r="X4760" t="s">
        <v>3</v>
      </c>
      <c r="AA4760" s="5" t="str">
        <f>HYPERLINK("https://www.zillow.com/homes/111-N-JULIAN-ST-NAPERVILLE-IL-605404822_rb/","check listing")</f>
        <v>check listing</v>
      </c>
      <c r="AB4760" s="5" t="str">
        <f>HYPERLINK("https://propertylookup.dupagecounty.gov/Datalets/Datalet.aspx?UseSearch=no&amp;mode=sales&amp;pin=0818400020","sales record")</f>
        <v>sales record</v>
      </c>
      <c r="AC4760" t="s">
        <v>3</v>
      </c>
      <c r="AD4760">
        <v>41.776057</v>
      </c>
      <c r="AE4760">
        <v>-88.137001</v>
      </c>
      <c r="AF4760" s="5" t="str">
        <f>HYPERLINK("https://www.google.com/maps/search/?api=1&amp;query=41.776057,-88.137001","map")</f>
        <v>map</v>
      </c>
    </row>
    <row r="4761" spans="1:32">
      <c r="A4761" t="s">
        <v>4811</v>
      </c>
      <c r="B4761" t="s">
        <v>12344</v>
      </c>
      <c r="C4761" t="s">
        <v>15475</v>
      </c>
      <c r="D4761" t="s">
        <v>16206</v>
      </c>
      <c r="E4761" t="s">
        <v>16218</v>
      </c>
      <c r="F4761" t="s">
        <v>16221</v>
      </c>
      <c r="G4761" t="s">
        <v>16277</v>
      </c>
      <c r="H4761" t="s">
        <v>16277</v>
      </c>
      <c r="I4761" t="s">
        <v>16353</v>
      </c>
      <c r="J4761" t="s">
        <v>16386</v>
      </c>
      <c r="K4761">
        <v>0.169</v>
      </c>
      <c r="L4761">
        <v>7383</v>
      </c>
      <c r="M4761">
        <v>1922</v>
      </c>
      <c r="N4761" t="s">
        <v>16393</v>
      </c>
      <c r="O4761" s="4">
        <v>131890</v>
      </c>
      <c r="P4761" s="4">
        <v>109855</v>
      </c>
      <c r="Q4761" s="4">
        <v>241745</v>
      </c>
      <c r="R4761" s="4">
        <v>725235</v>
      </c>
      <c r="S4761" t="s">
        <v>21054</v>
      </c>
      <c r="T4761" s="6">
        <v>41395</v>
      </c>
      <c r="U4761" s="4">
        <v>411000</v>
      </c>
      <c r="V4761" t="s">
        <v>23740</v>
      </c>
      <c r="W4761" t="s">
        <v>26351</v>
      </c>
      <c r="X4761" t="s">
        <v>3</v>
      </c>
      <c r="AA4761" s="5" t="str">
        <f>HYPERLINK("https://www.zillow.com/homes/141-N-BRAINARD-ST-NAPERVILLE-IL-60540_rb/","check listing")</f>
        <v>check listing</v>
      </c>
      <c r="AB4761" s="5" t="str">
        <f>HYPERLINK("https://propertylookup.dupagecounty.gov/Datalets/Datalet.aspx?UseSearch=no&amp;mode=sales&amp;pin=0818302006","sales record")</f>
        <v>sales record</v>
      </c>
      <c r="AC4761" t="s">
        <v>27873</v>
      </c>
      <c r="AD4761">
        <v>41.777032</v>
      </c>
      <c r="AE4761">
        <v>-88.143986</v>
      </c>
      <c r="AF4761" s="5" t="str">
        <f>HYPERLINK("https://www.google.com/maps/search/?api=1&amp;query=41.777032,-88.143986","map")</f>
        <v>map</v>
      </c>
    </row>
    <row r="4762" spans="1:32">
      <c r="A4762" t="s">
        <v>4812</v>
      </c>
      <c r="B4762" t="s">
        <v>12345</v>
      </c>
      <c r="C4762" t="s">
        <v>15787</v>
      </c>
      <c r="D4762" t="s">
        <v>16206</v>
      </c>
      <c r="E4762" t="s">
        <v>16218</v>
      </c>
      <c r="F4762" t="s">
        <v>16221</v>
      </c>
      <c r="G4762" t="s">
        <v>16277</v>
      </c>
      <c r="H4762" t="s">
        <v>16277</v>
      </c>
      <c r="I4762" t="s">
        <v>16353</v>
      </c>
      <c r="J4762" t="s">
        <v>16386</v>
      </c>
      <c r="K4762">
        <v>0.169</v>
      </c>
      <c r="L4762">
        <v>7379</v>
      </c>
      <c r="M4762">
        <v>4013</v>
      </c>
      <c r="N4762" t="s">
        <v>16393</v>
      </c>
      <c r="O4762" s="4">
        <v>120747</v>
      </c>
      <c r="P4762" s="4">
        <v>256574</v>
      </c>
      <c r="Q4762" s="4">
        <v>377321</v>
      </c>
      <c r="R4762" s="4">
        <v>1131963</v>
      </c>
      <c r="S4762" t="s">
        <v>21055</v>
      </c>
      <c r="T4762" s="6">
        <v>44166</v>
      </c>
      <c r="U4762" s="4">
        <v>880000</v>
      </c>
      <c r="V4762" t="s">
        <v>23739</v>
      </c>
      <c r="W4762" t="s">
        <v>26352</v>
      </c>
      <c r="X4762" t="s">
        <v>3</v>
      </c>
      <c r="AA4762" s="5" t="str">
        <f>HYPERLINK("https://www.zillow.com/homes/7-N-JULIAN-ST-NAPERVILLE-IL-605404820_rb/","check listing")</f>
        <v>check listing</v>
      </c>
      <c r="AB4762" s="5" t="str">
        <f>HYPERLINK("https://propertylookup.dupagecounty.gov/Datalets/Datalet.aspx?UseSearch=no&amp;mode=sales&amp;pin=0818404009","sales record")</f>
        <v>sales record</v>
      </c>
      <c r="AC4762" t="s">
        <v>3</v>
      </c>
      <c r="AD4762">
        <v>41.775142</v>
      </c>
      <c r="AE4762">
        <v>-88.137046</v>
      </c>
      <c r="AF4762" s="5" t="str">
        <f>HYPERLINK("https://www.google.com/maps/search/?api=1&amp;query=41.775142,-88.137046","map")</f>
        <v>map</v>
      </c>
    </row>
    <row r="4763" spans="1:32">
      <c r="A4763" t="s">
        <v>4813</v>
      </c>
      <c r="B4763" t="s">
        <v>12346</v>
      </c>
      <c r="C4763" t="s">
        <v>15772</v>
      </c>
      <c r="D4763" t="s">
        <v>16206</v>
      </c>
      <c r="E4763" t="s">
        <v>16218</v>
      </c>
      <c r="F4763" t="s">
        <v>16221</v>
      </c>
      <c r="G4763" t="s">
        <v>16277</v>
      </c>
      <c r="H4763" t="s">
        <v>16277</v>
      </c>
      <c r="I4763" t="s">
        <v>16353</v>
      </c>
      <c r="J4763" t="s">
        <v>16386</v>
      </c>
      <c r="K4763">
        <v>0.169</v>
      </c>
      <c r="L4763">
        <v>7372</v>
      </c>
      <c r="M4763">
        <v>1188</v>
      </c>
      <c r="N4763" t="s">
        <v>16393</v>
      </c>
      <c r="O4763" s="4">
        <v>119856</v>
      </c>
      <c r="P4763" s="4">
        <v>22023</v>
      </c>
      <c r="Q4763" s="4">
        <v>141879</v>
      </c>
      <c r="R4763" s="4">
        <v>425637</v>
      </c>
      <c r="S4763" t="s">
        <v>21056</v>
      </c>
      <c r="T4763" s="6">
        <v>40026</v>
      </c>
      <c r="U4763" s="4">
        <v>230000</v>
      </c>
      <c r="V4763" t="s">
        <v>23739</v>
      </c>
      <c r="W4763" t="s">
        <v>26353</v>
      </c>
      <c r="X4763" t="s">
        <v>3</v>
      </c>
      <c r="AA4763" s="5" t="str">
        <f>HYPERLINK("https://www.zillow.com/homes/709-N-BRAINARD-ST-NAPERVILLE-IL-605633132_rb/","check listing")</f>
        <v>check listing</v>
      </c>
      <c r="AB4763" s="5" t="str">
        <f>HYPERLINK("https://propertylookup.dupagecounty.gov/Datalets/Datalet.aspx?UseSearch=no&amp;mode=sales&amp;pin=0818111013","sales record")</f>
        <v>sales record</v>
      </c>
      <c r="AC4763" t="s">
        <v>3</v>
      </c>
      <c r="AD4763">
        <v>41.783288</v>
      </c>
      <c r="AE4763">
        <v>-88.143541</v>
      </c>
      <c r="AF4763" s="5" t="str">
        <f>HYPERLINK("https://www.google.com/maps/search/?api=1&amp;query=41.783288,-88.143541","map")</f>
        <v>map</v>
      </c>
    </row>
    <row r="4764" spans="1:32">
      <c r="A4764" t="s">
        <v>4814</v>
      </c>
      <c r="B4764" t="s">
        <v>12347</v>
      </c>
      <c r="C4764" t="s">
        <v>15782</v>
      </c>
      <c r="D4764" t="s">
        <v>16206</v>
      </c>
      <c r="E4764" t="s">
        <v>16218</v>
      </c>
      <c r="F4764" t="s">
        <v>16221</v>
      </c>
      <c r="G4764" t="s">
        <v>16277</v>
      </c>
      <c r="H4764" t="s">
        <v>16277</v>
      </c>
      <c r="I4764" t="s">
        <v>16353</v>
      </c>
      <c r="J4764" t="s">
        <v>16386</v>
      </c>
      <c r="K4764">
        <v>0.169</v>
      </c>
      <c r="L4764">
        <v>7371</v>
      </c>
      <c r="M4764">
        <v>2499</v>
      </c>
      <c r="N4764" t="s">
        <v>16393</v>
      </c>
      <c r="O4764" s="4">
        <v>119856</v>
      </c>
      <c r="P4764" s="4">
        <v>50421</v>
      </c>
      <c r="Q4764" s="4">
        <v>170277</v>
      </c>
      <c r="R4764" s="4">
        <v>510831</v>
      </c>
      <c r="S4764" t="s">
        <v>21057</v>
      </c>
      <c r="T4764" s="6">
        <v>45009</v>
      </c>
      <c r="U4764" s="4">
        <v>595000</v>
      </c>
      <c r="V4764" t="s">
        <v>23739</v>
      </c>
      <c r="W4764" t="s">
        <v>26354</v>
      </c>
      <c r="X4764" t="s">
        <v>3</v>
      </c>
      <c r="AA4764" s="5" t="str">
        <f>HYPERLINK("https://www.zillow.com/homes/11-S-JULIAN-ST-NAPERVILLE-IL-605404934_rb/","check listing")</f>
        <v>check listing</v>
      </c>
      <c r="AB4764" s="5" t="str">
        <f>HYPERLINK("https://propertylookup.dupagecounty.gov/Datalets/Datalet.aspx?UseSearch=no&amp;mode=sales&amp;pin=0818408007","sales record")</f>
        <v>sales record</v>
      </c>
      <c r="AC4764" t="s">
        <v>3</v>
      </c>
      <c r="AD4764">
        <v>41.774521</v>
      </c>
      <c r="AE4764">
        <v>-88.13708200000001</v>
      </c>
      <c r="AF4764" s="5" t="str">
        <f>HYPERLINK("https://www.google.com/maps/search/?api=1&amp;query=41.774521,-88.137082","map")</f>
        <v>map</v>
      </c>
    </row>
    <row r="4765" spans="1:32">
      <c r="A4765" t="s">
        <v>4815</v>
      </c>
      <c r="B4765" t="s">
        <v>12348</v>
      </c>
      <c r="C4765" t="s">
        <v>15475</v>
      </c>
      <c r="D4765" t="s">
        <v>16206</v>
      </c>
      <c r="E4765" t="s">
        <v>16218</v>
      </c>
      <c r="F4765" t="s">
        <v>16221</v>
      </c>
      <c r="G4765" t="s">
        <v>16277</v>
      </c>
      <c r="H4765" t="s">
        <v>16277</v>
      </c>
      <c r="I4765" t="s">
        <v>16353</v>
      </c>
      <c r="J4765" t="s">
        <v>16386</v>
      </c>
      <c r="K4765">
        <v>0.169</v>
      </c>
      <c r="L4765">
        <v>7369</v>
      </c>
      <c r="M4765">
        <v>1962</v>
      </c>
      <c r="N4765" t="s">
        <v>16393</v>
      </c>
      <c r="O4765" s="4">
        <v>119856</v>
      </c>
      <c r="P4765" s="4">
        <v>27969</v>
      </c>
      <c r="Q4765" s="4">
        <v>147825</v>
      </c>
      <c r="R4765" s="4">
        <v>443475</v>
      </c>
      <c r="S4765" t="s">
        <v>21058</v>
      </c>
      <c r="T4765" s="6">
        <v>32325</v>
      </c>
      <c r="U4765" s="4">
        <v>129250</v>
      </c>
      <c r="X4765" t="s">
        <v>3</v>
      </c>
      <c r="AA4765" s="5" t="str">
        <f>HYPERLINK("https://www.zillow.com/homes/15-N-JULIAN-ST-NAPERVILLE-IL-60540_rb/","check listing")</f>
        <v>check listing</v>
      </c>
      <c r="AB4765" s="5" t="str">
        <f>HYPERLINK("https://propertylookup.dupagecounty.gov/Datalets/Datalet.aspx?UseSearch=no&amp;mode=sales&amp;pin=0818404008","sales record")</f>
        <v>sales record</v>
      </c>
      <c r="AC4765" t="s">
        <v>3</v>
      </c>
      <c r="AD4765">
        <v>41.775278</v>
      </c>
      <c r="AE4765">
        <v>-88.137039</v>
      </c>
      <c r="AF4765" s="5" t="str">
        <f>HYPERLINK("https://www.google.com/maps/search/?api=1&amp;query=41.775278,-88.137039","map")</f>
        <v>map</v>
      </c>
    </row>
    <row r="4766" spans="1:32">
      <c r="A4766" t="s">
        <v>4816</v>
      </c>
      <c r="B4766" t="s">
        <v>12349</v>
      </c>
      <c r="C4766" t="s">
        <v>15772</v>
      </c>
      <c r="D4766" t="s">
        <v>16206</v>
      </c>
      <c r="E4766" t="s">
        <v>16218</v>
      </c>
      <c r="F4766" t="s">
        <v>16221</v>
      </c>
      <c r="G4766" t="s">
        <v>16277</v>
      </c>
      <c r="H4766" t="s">
        <v>16277</v>
      </c>
      <c r="I4766" t="s">
        <v>16353</v>
      </c>
      <c r="J4766" t="s">
        <v>16386</v>
      </c>
      <c r="K4766">
        <v>0.169</v>
      </c>
      <c r="L4766">
        <v>7367</v>
      </c>
      <c r="M4766">
        <v>3167</v>
      </c>
      <c r="N4766" t="s">
        <v>16393</v>
      </c>
      <c r="O4766" s="4">
        <v>119844</v>
      </c>
      <c r="P4766" s="4">
        <v>89711</v>
      </c>
      <c r="Q4766" s="4">
        <v>209555</v>
      </c>
      <c r="R4766" s="4">
        <v>628665</v>
      </c>
      <c r="S4766" t="s">
        <v>21059</v>
      </c>
      <c r="T4766" s="6">
        <v>44531</v>
      </c>
      <c r="U4766" s="4">
        <v>550000</v>
      </c>
      <c r="V4766" t="s">
        <v>23739</v>
      </c>
      <c r="W4766" t="s">
        <v>26355</v>
      </c>
      <c r="X4766" t="s">
        <v>3</v>
      </c>
      <c r="AA4766" s="5" t="str">
        <f>HYPERLINK("https://www.zillow.com/homes/705-N-BRAINARD-ST-NAPERVILLE-IL-605633132_rb/","check listing")</f>
        <v>check listing</v>
      </c>
      <c r="AB4766" s="5" t="str">
        <f>HYPERLINK("https://propertylookup.dupagecounty.gov/Datalets/Datalet.aspx?UseSearch=no&amp;mode=sales&amp;pin=0818111014","sales record")</f>
        <v>sales record</v>
      </c>
      <c r="AC4766" t="s">
        <v>3</v>
      </c>
      <c r="AD4766">
        <v>41.78315</v>
      </c>
      <c r="AE4766">
        <v>-88.14355</v>
      </c>
      <c r="AF4766" s="5" t="str">
        <f>HYPERLINK("https://www.google.com/maps/search/?api=1&amp;query=41.78315,-88.14355","map")</f>
        <v>map</v>
      </c>
    </row>
    <row r="4767" spans="1:32">
      <c r="A4767" t="s">
        <v>4817</v>
      </c>
      <c r="B4767" t="s">
        <v>12350</v>
      </c>
      <c r="C4767" t="s">
        <v>15662</v>
      </c>
      <c r="D4767" t="s">
        <v>16206</v>
      </c>
      <c r="E4767" t="s">
        <v>16218</v>
      </c>
      <c r="F4767" t="s">
        <v>16221</v>
      </c>
      <c r="G4767" t="s">
        <v>16278</v>
      </c>
      <c r="H4767" t="s">
        <v>16277</v>
      </c>
      <c r="I4767" t="s">
        <v>16353</v>
      </c>
      <c r="J4767" t="s">
        <v>16386</v>
      </c>
      <c r="K4767">
        <v>0.169</v>
      </c>
      <c r="L4767">
        <v>7366</v>
      </c>
      <c r="N4767" t="s">
        <v>16393</v>
      </c>
      <c r="O4767" s="4">
        <v>56146</v>
      </c>
      <c r="P4767" s="4">
        <v>225175</v>
      </c>
      <c r="Q4767" s="4">
        <v>281321</v>
      </c>
      <c r="R4767" s="4">
        <v>843963</v>
      </c>
      <c r="S4767" t="s">
        <v>21060</v>
      </c>
      <c r="T4767" s="6">
        <v>45097</v>
      </c>
      <c r="U4767" s="4">
        <v>710935</v>
      </c>
      <c r="V4767" t="s">
        <v>16232</v>
      </c>
      <c r="W4767" t="s">
        <v>26356</v>
      </c>
      <c r="X4767" t="s">
        <v>3</v>
      </c>
      <c r="AA4767" s="5" t="str">
        <f>HYPERLINK("https://www.zillow.com/homes/2411-LUCENT-LN-NAPERVILLE-IL-605631594_rb/","check listing")</f>
        <v>check listing</v>
      </c>
      <c r="AB4767" s="5" t="str">
        <f>HYPERLINK("https://propertylookup.dupagecounty.gov/Datalets/Datalet.aspx?UseSearch=no&amp;mode=sales&amp;pin=0532302009","sales record")</f>
        <v>sales record</v>
      </c>
      <c r="AC4767" t="s">
        <v>3</v>
      </c>
      <c r="AD4767">
        <v>41.818224</v>
      </c>
      <c r="AE4767">
        <v>-88.122227</v>
      </c>
      <c r="AF4767" s="5" t="str">
        <f>HYPERLINK("https://www.google.com/maps/search/?api=1&amp;query=41.818224,-88.122227","map")</f>
        <v>map</v>
      </c>
    </row>
    <row r="4768" spans="1:32">
      <c r="A4768" t="s">
        <v>4818</v>
      </c>
      <c r="B4768" t="s">
        <v>12351</v>
      </c>
      <c r="C4768" t="s">
        <v>15478</v>
      </c>
      <c r="D4768" t="s">
        <v>16206</v>
      </c>
      <c r="E4768" t="s">
        <v>16218</v>
      </c>
      <c r="F4768" t="s">
        <v>16221</v>
      </c>
      <c r="G4768" t="s">
        <v>16277</v>
      </c>
      <c r="H4768" t="s">
        <v>16277</v>
      </c>
      <c r="I4768" t="s">
        <v>16353</v>
      </c>
      <c r="J4768" t="s">
        <v>16386</v>
      </c>
      <c r="K4768">
        <v>0.169</v>
      </c>
      <c r="L4768">
        <v>7366</v>
      </c>
      <c r="M4768">
        <v>2321</v>
      </c>
      <c r="N4768" t="s">
        <v>16393</v>
      </c>
      <c r="O4768" s="4">
        <v>119856</v>
      </c>
      <c r="P4768" s="4">
        <v>40348</v>
      </c>
      <c r="Q4768" s="4">
        <v>160204</v>
      </c>
      <c r="R4768" s="4">
        <v>480612</v>
      </c>
      <c r="S4768" t="s">
        <v>21061</v>
      </c>
      <c r="T4768" s="6">
        <v>36192</v>
      </c>
      <c r="U4768" s="4">
        <v>204500</v>
      </c>
      <c r="X4768" t="s">
        <v>3</v>
      </c>
      <c r="AA4768" s="5" t="str">
        <f>HYPERLINK("https://www.zillow.com/homes/619-N-ELLSWORTH-ST-NAPERVILLE-IL-60563_rb/","check listing")</f>
        <v>check listing</v>
      </c>
      <c r="AB4768" s="5" t="str">
        <f>HYPERLINK("https://propertylookup.dupagecounty.gov/Datalets/Datalet.aspx?UseSearch=no&amp;mode=sales&amp;pin=0818107008","sales record")</f>
        <v>sales record</v>
      </c>
      <c r="AC4768" t="s">
        <v>3</v>
      </c>
      <c r="AD4768">
        <v>41.782538</v>
      </c>
      <c r="AE4768">
        <v>-88.14498500000001</v>
      </c>
      <c r="AF4768" s="5" t="str">
        <f>HYPERLINK("https://www.google.com/maps/search/?api=1&amp;query=41.782538,-88.144985","map")</f>
        <v>map</v>
      </c>
    </row>
    <row r="4769" spans="1:32">
      <c r="A4769" t="s">
        <v>4819</v>
      </c>
      <c r="B4769" t="s">
        <v>12352</v>
      </c>
      <c r="C4769" t="s">
        <v>15475</v>
      </c>
      <c r="D4769" t="s">
        <v>16206</v>
      </c>
      <c r="E4769" t="s">
        <v>16218</v>
      </c>
      <c r="F4769" t="s">
        <v>16221</v>
      </c>
      <c r="G4769" t="s">
        <v>16277</v>
      </c>
      <c r="H4769" t="s">
        <v>16277</v>
      </c>
      <c r="I4769" t="s">
        <v>16353</v>
      </c>
      <c r="J4769" t="s">
        <v>16386</v>
      </c>
      <c r="K4769">
        <v>0.169</v>
      </c>
      <c r="L4769">
        <v>7362</v>
      </c>
      <c r="M4769">
        <v>1583</v>
      </c>
      <c r="N4769" t="s">
        <v>16393</v>
      </c>
      <c r="O4769" s="4">
        <v>131890</v>
      </c>
      <c r="P4769" s="4">
        <v>75203</v>
      </c>
      <c r="Q4769" s="4">
        <v>207093</v>
      </c>
      <c r="R4769" s="4">
        <v>621279</v>
      </c>
      <c r="S4769" t="s">
        <v>21062</v>
      </c>
      <c r="T4769" s="6">
        <v>32234</v>
      </c>
      <c r="U4769" s="4">
        <v>152000</v>
      </c>
      <c r="X4769" t="s">
        <v>3</v>
      </c>
      <c r="AA4769" s="5" t="str">
        <f>HYPERLINK("https://www.zillow.com/homes/125-N-BRAINARD-ST-NAPERVILLE-IL-60540_rb/","check listing")</f>
        <v>check listing</v>
      </c>
      <c r="AB4769" s="5" t="str">
        <f>HYPERLINK("https://propertylookup.dupagecounty.gov/Datalets/Datalet.aspx?UseSearch=no&amp;mode=sales&amp;pin=0818302008","sales record")</f>
        <v>sales record</v>
      </c>
      <c r="AC4769" t="s">
        <v>3</v>
      </c>
      <c r="AD4769">
        <v>41.776625</v>
      </c>
      <c r="AE4769">
        <v>-88.144002</v>
      </c>
      <c r="AF4769" s="5" t="str">
        <f>HYPERLINK("https://www.google.com/maps/search/?api=1&amp;query=41.776625,-88.144002","map")</f>
        <v>map</v>
      </c>
    </row>
    <row r="4770" spans="1:32">
      <c r="A4770" t="s">
        <v>4820</v>
      </c>
      <c r="B4770" t="s">
        <v>12353</v>
      </c>
      <c r="C4770" t="s">
        <v>15478</v>
      </c>
      <c r="D4770" t="s">
        <v>16206</v>
      </c>
      <c r="E4770" t="s">
        <v>16218</v>
      </c>
      <c r="F4770" t="s">
        <v>16221</v>
      </c>
      <c r="G4770" t="s">
        <v>16277</v>
      </c>
      <c r="H4770" t="s">
        <v>16277</v>
      </c>
      <c r="I4770" t="s">
        <v>16353</v>
      </c>
      <c r="J4770" t="s">
        <v>16386</v>
      </c>
      <c r="K4770">
        <v>0.169</v>
      </c>
      <c r="L4770">
        <v>7358</v>
      </c>
      <c r="M4770">
        <v>1915</v>
      </c>
      <c r="N4770" t="s">
        <v>16393</v>
      </c>
      <c r="O4770" s="4">
        <v>119856</v>
      </c>
      <c r="P4770" s="4">
        <v>70066</v>
      </c>
      <c r="Q4770" s="4">
        <v>189922</v>
      </c>
      <c r="R4770" s="4">
        <v>569766</v>
      </c>
      <c r="S4770" t="s">
        <v>21063</v>
      </c>
      <c r="T4770" s="6">
        <v>32782</v>
      </c>
      <c r="U4770" s="4">
        <v>126000</v>
      </c>
      <c r="X4770" t="s">
        <v>3</v>
      </c>
      <c r="AA4770" s="5" t="str">
        <f>HYPERLINK("https://www.zillow.com/homes/615-N-ELLSWORTH-ST-NAPERVILLE-IL-60563_rb/","check listing")</f>
        <v>check listing</v>
      </c>
      <c r="AB4770" s="5" t="str">
        <f>HYPERLINK("https://propertylookup.dupagecounty.gov/Datalets/Datalet.aspx?UseSearch=no&amp;mode=sales&amp;pin=0818107009","sales record")</f>
        <v>sales record</v>
      </c>
      <c r="AC4770" t="s">
        <v>3</v>
      </c>
      <c r="AD4770">
        <v>41.782403</v>
      </c>
      <c r="AE4770">
        <v>-88.14499499999999</v>
      </c>
      <c r="AF4770" s="5" t="str">
        <f>HYPERLINK("https://www.google.com/maps/search/?api=1&amp;query=41.782403,-88.144995","map")</f>
        <v>map</v>
      </c>
    </row>
    <row r="4771" spans="1:32">
      <c r="A4771" t="s">
        <v>4821</v>
      </c>
      <c r="B4771" t="s">
        <v>12354</v>
      </c>
      <c r="C4771" t="s">
        <v>15788</v>
      </c>
      <c r="D4771" t="s">
        <v>16206</v>
      </c>
      <c r="E4771" t="s">
        <v>16218</v>
      </c>
      <c r="F4771" t="s">
        <v>16221</v>
      </c>
      <c r="G4771" t="s">
        <v>16277</v>
      </c>
      <c r="H4771" t="s">
        <v>16277</v>
      </c>
      <c r="I4771" t="s">
        <v>16353</v>
      </c>
      <c r="J4771" t="s">
        <v>16386</v>
      </c>
      <c r="K4771">
        <v>0.169</v>
      </c>
      <c r="L4771">
        <v>7349</v>
      </c>
      <c r="M4771">
        <v>1934</v>
      </c>
      <c r="N4771" t="s">
        <v>16393</v>
      </c>
      <c r="O4771" s="4">
        <v>119856</v>
      </c>
      <c r="P4771" s="4">
        <v>46295</v>
      </c>
      <c r="Q4771" s="4">
        <v>166151</v>
      </c>
      <c r="R4771" s="4">
        <v>498453</v>
      </c>
      <c r="S4771" t="s">
        <v>21064</v>
      </c>
      <c r="T4771" s="6">
        <v>45385</v>
      </c>
      <c r="U4771" s="4">
        <v>515000</v>
      </c>
      <c r="V4771" t="s">
        <v>23739</v>
      </c>
      <c r="W4771" t="s">
        <v>26357</v>
      </c>
      <c r="X4771" t="s">
        <v>3</v>
      </c>
      <c r="AA4771" s="5" t="str">
        <f>HYPERLINK("https://www.zillow.com/homes/611-N-ELLSWORTH-ST-NAPERVILLE-IL-605633146_rb/","check listing")</f>
        <v>check listing</v>
      </c>
      <c r="AB4771" s="5" t="str">
        <f>HYPERLINK("https://propertylookup.dupagecounty.gov/Datalets/Datalet.aspx?UseSearch=no&amp;mode=sales&amp;pin=0818107010","sales record")</f>
        <v>sales record</v>
      </c>
      <c r="AC4771" t="s">
        <v>27873</v>
      </c>
      <c r="AD4771">
        <v>41.782268</v>
      </c>
      <c r="AE4771">
        <v>-88.145004</v>
      </c>
      <c r="AF4771" s="5" t="str">
        <f>HYPERLINK("https://www.google.com/maps/search/?api=1&amp;query=41.782268,-88.145004","map")</f>
        <v>map</v>
      </c>
    </row>
    <row r="4772" spans="1:32">
      <c r="A4772" t="s">
        <v>4822</v>
      </c>
      <c r="B4772" t="s">
        <v>12355</v>
      </c>
      <c r="C4772" t="s">
        <v>15789</v>
      </c>
      <c r="D4772" t="s">
        <v>16206</v>
      </c>
      <c r="E4772" t="s">
        <v>16218</v>
      </c>
      <c r="F4772" t="s">
        <v>16221</v>
      </c>
      <c r="G4772" t="s">
        <v>16277</v>
      </c>
      <c r="H4772" t="s">
        <v>16277</v>
      </c>
      <c r="I4772" t="s">
        <v>16353</v>
      </c>
      <c r="J4772" t="s">
        <v>16386</v>
      </c>
      <c r="K4772">
        <v>0.169</v>
      </c>
      <c r="L4772">
        <v>7345</v>
      </c>
      <c r="M4772">
        <v>791</v>
      </c>
      <c r="N4772" t="s">
        <v>16393</v>
      </c>
      <c r="O4772" s="4">
        <v>120723</v>
      </c>
      <c r="P4772" s="4">
        <v>283878</v>
      </c>
      <c r="Q4772" s="4">
        <v>404601</v>
      </c>
      <c r="R4772" s="4">
        <v>1213803</v>
      </c>
      <c r="S4772" t="s">
        <v>21065</v>
      </c>
      <c r="T4772" s="6">
        <v>44105</v>
      </c>
      <c r="U4772" s="4">
        <v>990000</v>
      </c>
      <c r="V4772" t="s">
        <v>23740</v>
      </c>
      <c r="W4772" t="s">
        <v>26358</v>
      </c>
      <c r="X4772" t="s">
        <v>3</v>
      </c>
      <c r="AA4772" s="5" t="str">
        <f>HYPERLINK("https://www.zillow.com/homes/815-N-CENTER-ST-NAPERVILLE-IL-605633142_rb/","check listing")</f>
        <v>check listing</v>
      </c>
      <c r="AB4772" s="5" t="str">
        <f>HYPERLINK("https://propertylookup.dupagecounty.gov/Datalets/Datalet.aspx?UseSearch=no&amp;mode=sales&amp;pin=0818100002","sales record")</f>
        <v>sales record</v>
      </c>
      <c r="AC4772" t="s">
        <v>3</v>
      </c>
      <c r="AD4772">
        <v>41.784417</v>
      </c>
      <c r="AE4772">
        <v>-88.146266</v>
      </c>
      <c r="AF4772" s="5" t="str">
        <f>HYPERLINK("https://www.google.com/maps/search/?api=1&amp;query=41.784417,-88.146266","map")</f>
        <v>map</v>
      </c>
    </row>
    <row r="4773" spans="1:32">
      <c r="A4773" t="s">
        <v>4823</v>
      </c>
      <c r="B4773" t="s">
        <v>12356</v>
      </c>
      <c r="C4773" t="s">
        <v>15475</v>
      </c>
      <c r="D4773" t="s">
        <v>16206</v>
      </c>
      <c r="E4773" t="s">
        <v>16218</v>
      </c>
      <c r="F4773" t="s">
        <v>16221</v>
      </c>
      <c r="G4773" t="s">
        <v>16277</v>
      </c>
      <c r="H4773" t="s">
        <v>16277</v>
      </c>
      <c r="I4773" t="s">
        <v>16353</v>
      </c>
      <c r="J4773" t="s">
        <v>16386</v>
      </c>
      <c r="K4773">
        <v>0.169</v>
      </c>
      <c r="L4773">
        <v>7344</v>
      </c>
      <c r="M4773">
        <v>1485</v>
      </c>
      <c r="N4773" t="s">
        <v>16393</v>
      </c>
      <c r="O4773" s="4">
        <v>85953</v>
      </c>
      <c r="P4773" s="4">
        <v>15174</v>
      </c>
      <c r="Q4773" s="4">
        <v>101127</v>
      </c>
      <c r="R4773" s="4">
        <v>303381</v>
      </c>
      <c r="S4773" t="s">
        <v>21066</v>
      </c>
      <c r="T4773" s="6">
        <v>44013</v>
      </c>
      <c r="U4773" s="4">
        <v>235000</v>
      </c>
      <c r="V4773" t="s">
        <v>23739</v>
      </c>
      <c r="W4773" t="s">
        <v>20865</v>
      </c>
      <c r="X4773" t="s">
        <v>3</v>
      </c>
      <c r="AA4773" s="5" t="str">
        <f>HYPERLINK("https://www.zillow.com/homes/110-N-HUFFMAN-ST-NAPERVILLE-IL-60540_rb/","check listing")</f>
        <v>check listing</v>
      </c>
      <c r="AB4773" s="5" t="str">
        <f>HYPERLINK("https://propertylookup.dupagecounty.gov/Datalets/Datalet.aspx?UseSearch=no&amp;mode=sales&amp;pin=0818402007","sales record")</f>
        <v>sales record</v>
      </c>
      <c r="AC4773" t="s">
        <v>3</v>
      </c>
      <c r="AD4773">
        <v>41.776001</v>
      </c>
      <c r="AE4773">
        <v>-88.134991</v>
      </c>
      <c r="AF4773" s="5" t="str">
        <f>HYPERLINK("https://www.google.com/maps/search/?api=1&amp;query=41.776001,-88.134991","map")</f>
        <v>map</v>
      </c>
    </row>
    <row r="4774" spans="1:32">
      <c r="A4774" t="s">
        <v>4824</v>
      </c>
      <c r="B4774" t="s">
        <v>12357</v>
      </c>
      <c r="C4774" t="s">
        <v>15691</v>
      </c>
      <c r="D4774" t="s">
        <v>16206</v>
      </c>
      <c r="E4774" t="s">
        <v>16218</v>
      </c>
      <c r="F4774" t="s">
        <v>16221</v>
      </c>
      <c r="G4774" t="s">
        <v>16278</v>
      </c>
      <c r="H4774" t="s">
        <v>16277</v>
      </c>
      <c r="I4774" t="s">
        <v>16353</v>
      </c>
      <c r="J4774" t="s">
        <v>16386</v>
      </c>
      <c r="K4774">
        <v>0.169</v>
      </c>
      <c r="L4774">
        <v>7343</v>
      </c>
      <c r="N4774" t="s">
        <v>16393</v>
      </c>
      <c r="O4774" s="4">
        <v>55265</v>
      </c>
      <c r="P4774" s="4">
        <v>165746</v>
      </c>
      <c r="Q4774" s="4">
        <v>221011</v>
      </c>
      <c r="R4774" s="4">
        <v>663033</v>
      </c>
      <c r="S4774" t="s">
        <v>21067</v>
      </c>
      <c r="T4774" s="6">
        <v>44105</v>
      </c>
      <c r="U4774" s="4">
        <v>490000</v>
      </c>
      <c r="V4774" t="s">
        <v>23739</v>
      </c>
      <c r="W4774" t="s">
        <v>26359</v>
      </c>
      <c r="X4774" t="s">
        <v>3</v>
      </c>
      <c r="AA4774" s="5" t="str">
        <f>HYPERLINK("https://www.zillow.com/homes/1635-SILVERLEAF-ST-NAPERVILLE-IL-605633585_rb/","check listing")</f>
        <v>check listing</v>
      </c>
      <c r="AB4774" s="5" t="str">
        <f>HYPERLINK("https://propertylookup.dupagecounty.gov/Datalets/Datalet.aspx?UseSearch=no&amp;mode=sales&amp;pin=0709107002","sales record")</f>
        <v>sales record</v>
      </c>
      <c r="AC4774" t="s">
        <v>3</v>
      </c>
      <c r="AD4774">
        <v>41.79683</v>
      </c>
      <c r="AE4774">
        <v>-88.224772</v>
      </c>
      <c r="AF4774" s="5" t="str">
        <f>HYPERLINK("https://www.google.com/maps/search/?api=1&amp;query=41.79683,-88.224772","map")</f>
        <v>map</v>
      </c>
    </row>
    <row r="4775" spans="1:32">
      <c r="A4775" t="s">
        <v>4825</v>
      </c>
      <c r="B4775" t="s">
        <v>12358</v>
      </c>
      <c r="C4775" t="s">
        <v>15709</v>
      </c>
      <c r="D4775" t="s">
        <v>16206</v>
      </c>
      <c r="E4775" t="s">
        <v>16218</v>
      </c>
      <c r="F4775" t="s">
        <v>16221</v>
      </c>
      <c r="G4775" t="s">
        <v>16277</v>
      </c>
      <c r="H4775" t="s">
        <v>16277</v>
      </c>
      <c r="I4775" t="s">
        <v>16353</v>
      </c>
      <c r="J4775" t="s">
        <v>16386</v>
      </c>
      <c r="K4775">
        <v>0.168</v>
      </c>
      <c r="L4775">
        <v>7338</v>
      </c>
      <c r="M4775">
        <v>1187</v>
      </c>
      <c r="N4775" t="s">
        <v>16393</v>
      </c>
      <c r="O4775" s="4">
        <v>95205</v>
      </c>
      <c r="P4775" s="4">
        <v>37435</v>
      </c>
      <c r="Q4775" s="4">
        <v>132640</v>
      </c>
      <c r="R4775" s="4">
        <v>397920</v>
      </c>
      <c r="S4775" t="s">
        <v>21068</v>
      </c>
      <c r="T4775" s="6">
        <v>43009</v>
      </c>
      <c r="U4775" s="4">
        <v>280000</v>
      </c>
      <c r="V4775" t="s">
        <v>23739</v>
      </c>
      <c r="W4775" t="s">
        <v>26360</v>
      </c>
      <c r="X4775" t="s">
        <v>3</v>
      </c>
      <c r="AA4775" s="5" t="str">
        <f>HYPERLINK("https://www.zillow.com/homes/114-N-HUFFMAN-ST-NAPERVILLE-IL-605404817_rb/","check listing")</f>
        <v>check listing</v>
      </c>
      <c r="AB4775" s="5" t="str">
        <f>HYPERLINK("https://propertylookup.dupagecounty.gov/Datalets/Datalet.aspx?UseSearch=no&amp;mode=sales&amp;pin=0818402006","sales record")</f>
        <v>sales record</v>
      </c>
      <c r="AC4775" t="s">
        <v>3</v>
      </c>
      <c r="AD4775">
        <v>41.77612</v>
      </c>
      <c r="AE4775">
        <v>-88.134985</v>
      </c>
      <c r="AF4775" s="5" t="str">
        <f>HYPERLINK("https://www.google.com/maps/search/?api=1&amp;query=41.77612,-88.134985","map")</f>
        <v>map</v>
      </c>
    </row>
    <row r="4776" spans="1:32">
      <c r="A4776" t="s">
        <v>4826</v>
      </c>
      <c r="B4776" t="s">
        <v>12359</v>
      </c>
      <c r="C4776" t="s">
        <v>15475</v>
      </c>
      <c r="D4776" t="s">
        <v>16206</v>
      </c>
      <c r="E4776" t="s">
        <v>16218</v>
      </c>
      <c r="F4776" t="s">
        <v>16221</v>
      </c>
      <c r="G4776" t="s">
        <v>16277</v>
      </c>
      <c r="H4776" t="s">
        <v>16277</v>
      </c>
      <c r="I4776" t="s">
        <v>16353</v>
      </c>
      <c r="J4776" t="s">
        <v>16386</v>
      </c>
      <c r="K4776">
        <v>0.168</v>
      </c>
      <c r="L4776">
        <v>7330</v>
      </c>
      <c r="M4776">
        <v>2302</v>
      </c>
      <c r="N4776" t="s">
        <v>16393</v>
      </c>
      <c r="O4776" s="4">
        <v>131890</v>
      </c>
      <c r="P4776" s="4">
        <v>170014</v>
      </c>
      <c r="Q4776" s="4">
        <v>301904</v>
      </c>
      <c r="R4776" s="4">
        <v>905712</v>
      </c>
      <c r="S4776" t="s">
        <v>21069</v>
      </c>
      <c r="T4776" s="6">
        <v>38534</v>
      </c>
      <c r="U4776" s="4">
        <v>564900</v>
      </c>
      <c r="V4776" t="s">
        <v>23740</v>
      </c>
      <c r="W4776" t="s">
        <v>26361</v>
      </c>
      <c r="X4776" t="s">
        <v>3</v>
      </c>
      <c r="AA4776" s="5" t="str">
        <f>HYPERLINK("https://www.zillow.com/homes/146-N-LOOMIS-ST-NAPERVILLE-IL-60540_rb/","check listing")</f>
        <v>check listing</v>
      </c>
      <c r="AB4776" s="5" t="str">
        <f>HYPERLINK("https://propertylookup.dupagecounty.gov/Datalets/Datalet.aspx?UseSearch=no&amp;mode=sales&amp;pin=0818307001","sales record")</f>
        <v>sales record</v>
      </c>
      <c r="AC4776" t="s">
        <v>27873</v>
      </c>
      <c r="AD4776">
        <v>41.777095</v>
      </c>
      <c r="AE4776">
        <v>-88.141785</v>
      </c>
      <c r="AF4776" s="5" t="str">
        <f>HYPERLINK("https://www.google.com/maps/search/?api=1&amp;query=41.777095,-88.141785","map")</f>
        <v>map</v>
      </c>
    </row>
    <row r="4777" spans="1:32">
      <c r="A4777" t="s">
        <v>4827</v>
      </c>
      <c r="B4777" t="s">
        <v>12360</v>
      </c>
      <c r="C4777" t="s">
        <v>15790</v>
      </c>
      <c r="D4777" t="s">
        <v>16206</v>
      </c>
      <c r="E4777" t="s">
        <v>16218</v>
      </c>
      <c r="F4777" t="s">
        <v>16221</v>
      </c>
      <c r="G4777" t="s">
        <v>16277</v>
      </c>
      <c r="H4777" t="s">
        <v>16277</v>
      </c>
      <c r="I4777" t="s">
        <v>16353</v>
      </c>
      <c r="J4777" t="s">
        <v>16386</v>
      </c>
      <c r="K4777">
        <v>0.168</v>
      </c>
      <c r="L4777">
        <v>7329</v>
      </c>
      <c r="M4777">
        <v>1980</v>
      </c>
      <c r="N4777" t="s">
        <v>16393</v>
      </c>
      <c r="O4777" s="4">
        <v>101947</v>
      </c>
      <c r="P4777" s="4">
        <v>82183</v>
      </c>
      <c r="Q4777" s="4">
        <v>184130</v>
      </c>
      <c r="R4777" s="4">
        <v>552390</v>
      </c>
      <c r="S4777" t="s">
        <v>21070</v>
      </c>
      <c r="T4777" s="6">
        <v>44075</v>
      </c>
      <c r="U4777" s="4">
        <v>334000</v>
      </c>
      <c r="V4777" t="s">
        <v>23740</v>
      </c>
      <c r="W4777" t="s">
        <v>26362</v>
      </c>
      <c r="X4777" t="s">
        <v>3</v>
      </c>
      <c r="AA4777" s="5" t="str">
        <f>HYPERLINK("https://www.zillow.com/homes/629-E-4TH-AVE-NAPERVILLE-IL-605404754_rb/","check listing")</f>
        <v>check listing</v>
      </c>
      <c r="AB4777" s="5" t="str">
        <f>HYPERLINK("https://propertylookup.dupagecounty.gov/Datalets/Datalet.aspx?UseSearch=no&amp;mode=sales&amp;pin=0818203002","sales record")</f>
        <v>sales record</v>
      </c>
      <c r="AC4777" t="s">
        <v>3</v>
      </c>
      <c r="AD4777">
        <v>41.77967</v>
      </c>
      <c r="AE4777">
        <v>-88.13815700000001</v>
      </c>
      <c r="AF4777" s="5" t="str">
        <f>HYPERLINK("https://www.google.com/maps/search/?api=1&amp;query=41.77967,-88.138157","map")</f>
        <v>map</v>
      </c>
    </row>
    <row r="4778" spans="1:32">
      <c r="A4778" t="s">
        <v>4828</v>
      </c>
      <c r="B4778" t="s">
        <v>12361</v>
      </c>
      <c r="C4778" t="s">
        <v>15475</v>
      </c>
      <c r="D4778" t="s">
        <v>16206</v>
      </c>
      <c r="E4778" t="s">
        <v>16218</v>
      </c>
      <c r="F4778" t="s">
        <v>16221</v>
      </c>
      <c r="G4778" t="s">
        <v>16277</v>
      </c>
      <c r="H4778" t="s">
        <v>16277</v>
      </c>
      <c r="I4778" t="s">
        <v>16353</v>
      </c>
      <c r="J4778" t="s">
        <v>16386</v>
      </c>
      <c r="K4778">
        <v>0.168</v>
      </c>
      <c r="L4778">
        <v>7328</v>
      </c>
      <c r="N4778" t="s">
        <v>16393</v>
      </c>
      <c r="O4778" s="4">
        <v>95205</v>
      </c>
      <c r="P4778" s="4">
        <v>19657</v>
      </c>
      <c r="Q4778" s="4">
        <v>114862</v>
      </c>
      <c r="R4778" s="4">
        <v>344586</v>
      </c>
      <c r="S4778" t="s">
        <v>21071</v>
      </c>
      <c r="T4778" s="6">
        <v>37438</v>
      </c>
      <c r="U4778" s="4">
        <v>210000</v>
      </c>
      <c r="V4778" t="s">
        <v>23739</v>
      </c>
      <c r="W4778" t="s">
        <v>26363</v>
      </c>
      <c r="X4778" t="s">
        <v>3</v>
      </c>
      <c r="AA4778" s="5" t="str">
        <f>HYPERLINK("https://www.zillow.com/homes/120-N-HUFFMAN-ST-NAPERVILLE-IL-60540_rb/","check listing")</f>
        <v>check listing</v>
      </c>
      <c r="AB4778" s="5" t="str">
        <f>HYPERLINK("https://propertylookup.dupagecounty.gov/Datalets/Datalet.aspx?UseSearch=no&amp;mode=sales&amp;pin=0818402005","sales record")</f>
        <v>sales record</v>
      </c>
      <c r="AC4778" t="s">
        <v>3</v>
      </c>
      <c r="AD4778">
        <v>41.776257</v>
      </c>
      <c r="AE4778">
        <v>-88.134978</v>
      </c>
      <c r="AF4778" s="5" t="str">
        <f>HYPERLINK("https://www.google.com/maps/search/?api=1&amp;query=41.776257,-88.134978","map")</f>
        <v>map</v>
      </c>
    </row>
    <row r="4779" spans="1:32">
      <c r="A4779" t="s">
        <v>4829</v>
      </c>
      <c r="B4779" t="s">
        <v>12362</v>
      </c>
      <c r="C4779" t="s">
        <v>15475</v>
      </c>
      <c r="D4779" t="s">
        <v>16206</v>
      </c>
      <c r="E4779" t="s">
        <v>16218</v>
      </c>
      <c r="F4779" t="s">
        <v>16221</v>
      </c>
      <c r="G4779" t="s">
        <v>16277</v>
      </c>
      <c r="H4779" t="s">
        <v>16277</v>
      </c>
      <c r="I4779" t="s">
        <v>16353</v>
      </c>
      <c r="J4779" t="s">
        <v>16386</v>
      </c>
      <c r="K4779">
        <v>0.168</v>
      </c>
      <c r="L4779">
        <v>7327</v>
      </c>
      <c r="M4779">
        <v>1320</v>
      </c>
      <c r="N4779" t="s">
        <v>16393</v>
      </c>
      <c r="O4779" s="4">
        <v>114973</v>
      </c>
      <c r="P4779" s="4">
        <v>278827</v>
      </c>
      <c r="Q4779" s="4">
        <v>393800</v>
      </c>
      <c r="R4779" s="4">
        <v>1181400</v>
      </c>
      <c r="S4779" t="s">
        <v>21072</v>
      </c>
      <c r="X4779" t="s">
        <v>3</v>
      </c>
      <c r="AA4779" s="5" t="str">
        <f>HYPERLINK("https://www.zillow.com/homes/435-W-BENTON-AVE-NAPERVILLE-IL-60540_rb/","check listing")</f>
        <v>check listing</v>
      </c>
      <c r="AB4779" s="5" t="str">
        <f>HYPERLINK("https://propertylookup.dupagecounty.gov/Datalets/Datalet.aspx?UseSearch=no&amp;mode=sales&amp;pin=0713407017","sales record")</f>
        <v>sales record</v>
      </c>
      <c r="AC4779" t="s">
        <v>27873</v>
      </c>
      <c r="AD4779">
        <v>41.775603</v>
      </c>
      <c r="AE4779">
        <v>-88.155766</v>
      </c>
      <c r="AF4779" s="5" t="str">
        <f>HYPERLINK("https://www.google.com/maps/search/?api=1&amp;query=41.775603,-88.155766","map")</f>
        <v>map</v>
      </c>
    </row>
    <row r="4780" spans="1:32">
      <c r="A4780" t="s">
        <v>4830</v>
      </c>
      <c r="B4780" t="s">
        <v>12363</v>
      </c>
      <c r="C4780" t="s">
        <v>15747</v>
      </c>
      <c r="D4780" t="s">
        <v>16206</v>
      </c>
      <c r="E4780" t="s">
        <v>16218</v>
      </c>
      <c r="F4780" t="s">
        <v>16221</v>
      </c>
      <c r="G4780" t="s">
        <v>16278</v>
      </c>
      <c r="H4780" t="s">
        <v>16277</v>
      </c>
      <c r="I4780" t="s">
        <v>16353</v>
      </c>
      <c r="J4780" t="s">
        <v>16386</v>
      </c>
      <c r="K4780">
        <v>0.168</v>
      </c>
      <c r="L4780">
        <v>7326</v>
      </c>
      <c r="N4780" t="s">
        <v>16393</v>
      </c>
      <c r="O4780" s="4">
        <v>64480</v>
      </c>
      <c r="P4780" s="4">
        <v>143594</v>
      </c>
      <c r="Q4780" s="4">
        <v>208074</v>
      </c>
      <c r="R4780" s="4">
        <v>624222</v>
      </c>
      <c r="S4780" t="s">
        <v>21073</v>
      </c>
      <c r="T4780" s="6">
        <v>44044</v>
      </c>
      <c r="U4780" s="4">
        <v>468500</v>
      </c>
      <c r="V4780" t="s">
        <v>23739</v>
      </c>
      <c r="W4780" t="s">
        <v>21073</v>
      </c>
      <c r="X4780" t="s">
        <v>3</v>
      </c>
      <c r="AA4780" s="5" t="str">
        <f>HYPERLINK("https://www.zillow.com/homes/1644-LEYLAND-DR-NAPERVILLE-IL-605633587_rb/","check listing")</f>
        <v>check listing</v>
      </c>
      <c r="AB4780" s="5" t="str">
        <f>HYPERLINK("https://propertylookup.dupagecounty.gov/Datalets/Datalet.aspx?UseSearch=no&amp;mode=sales&amp;pin=0709107026","sales record")</f>
        <v>sales record</v>
      </c>
      <c r="AC4780" t="s">
        <v>3</v>
      </c>
      <c r="AD4780">
        <v>41.797403</v>
      </c>
      <c r="AE4780">
        <v>-88.222796</v>
      </c>
      <c r="AF4780" s="5" t="str">
        <f>HYPERLINK("https://www.google.com/maps/search/?api=1&amp;query=41.797403,-88.222796","map")</f>
        <v>map</v>
      </c>
    </row>
    <row r="4781" spans="1:32">
      <c r="A4781" t="s">
        <v>4831</v>
      </c>
      <c r="B4781" t="s">
        <v>12364</v>
      </c>
      <c r="C4781" t="s">
        <v>15791</v>
      </c>
      <c r="D4781" t="s">
        <v>16206</v>
      </c>
      <c r="E4781" t="s">
        <v>16218</v>
      </c>
      <c r="F4781" t="s">
        <v>16221</v>
      </c>
      <c r="G4781" t="s">
        <v>16277</v>
      </c>
      <c r="H4781" t="s">
        <v>16277</v>
      </c>
      <c r="I4781" t="s">
        <v>16353</v>
      </c>
      <c r="J4781" t="s">
        <v>16386</v>
      </c>
      <c r="K4781">
        <v>0.168</v>
      </c>
      <c r="L4781">
        <v>7326</v>
      </c>
      <c r="M4781">
        <v>2111</v>
      </c>
      <c r="N4781" t="s">
        <v>16393</v>
      </c>
      <c r="O4781" s="4">
        <v>113435</v>
      </c>
      <c r="P4781" s="4">
        <v>47076</v>
      </c>
      <c r="Q4781" s="4">
        <v>160511</v>
      </c>
      <c r="R4781" s="4">
        <v>481533</v>
      </c>
      <c r="S4781" t="s">
        <v>21074</v>
      </c>
      <c r="T4781" s="6">
        <v>44013</v>
      </c>
      <c r="U4781" s="4">
        <v>335000</v>
      </c>
      <c r="V4781" t="s">
        <v>23739</v>
      </c>
      <c r="W4781" t="s">
        <v>26364</v>
      </c>
      <c r="X4781" t="s">
        <v>3</v>
      </c>
      <c r="AA4781" s="5" t="str">
        <f>HYPERLINK("https://www.zillow.com/homes/117-N-MILL-ST-NAPERVILLE-IL-605404435_rb/","check listing")</f>
        <v>check listing</v>
      </c>
      <c r="AB4781" s="5" t="str">
        <f>HYPERLINK("https://propertylookup.dupagecounty.gov/Datalets/Datalet.aspx?UseSearch=no&amp;mode=sales&amp;pin=0713401007","sales record")</f>
        <v>sales record</v>
      </c>
      <c r="AC4781" t="s">
        <v>3</v>
      </c>
      <c r="AD4781">
        <v>41.776686</v>
      </c>
      <c r="AE4781">
        <v>-88.15483999999999</v>
      </c>
      <c r="AF4781" s="5" t="str">
        <f>HYPERLINK("https://www.google.com/maps/search/?api=1&amp;query=41.776686,-88.15484","map")</f>
        <v>map</v>
      </c>
    </row>
    <row r="4782" spans="1:32">
      <c r="A4782" t="s">
        <v>4832</v>
      </c>
      <c r="B4782" t="s">
        <v>12365</v>
      </c>
      <c r="C4782" t="s">
        <v>15791</v>
      </c>
      <c r="D4782" t="s">
        <v>16206</v>
      </c>
      <c r="E4782" t="s">
        <v>16218</v>
      </c>
      <c r="F4782" t="s">
        <v>16221</v>
      </c>
      <c r="G4782" t="s">
        <v>16277</v>
      </c>
      <c r="H4782" t="s">
        <v>16277</v>
      </c>
      <c r="I4782" t="s">
        <v>16353</v>
      </c>
      <c r="J4782" t="s">
        <v>16386</v>
      </c>
      <c r="K4782">
        <v>0.168</v>
      </c>
      <c r="L4782">
        <v>7324</v>
      </c>
      <c r="M4782">
        <v>2277</v>
      </c>
      <c r="N4782" t="s">
        <v>16393</v>
      </c>
      <c r="O4782" s="4">
        <v>113435</v>
      </c>
      <c r="P4782" s="4">
        <v>61636</v>
      </c>
      <c r="Q4782" s="4">
        <v>175071</v>
      </c>
      <c r="R4782" s="4">
        <v>525213</v>
      </c>
      <c r="S4782" t="s">
        <v>21075</v>
      </c>
      <c r="T4782" s="6">
        <v>43221</v>
      </c>
      <c r="U4782" s="4">
        <v>415000</v>
      </c>
      <c r="V4782" t="s">
        <v>23739</v>
      </c>
      <c r="W4782" t="s">
        <v>26365</v>
      </c>
      <c r="X4782" t="s">
        <v>3</v>
      </c>
      <c r="AA4782" s="5" t="str">
        <f>HYPERLINK("https://www.zillow.com/homes/127-N-MILL-ST-NAPERVILLE-IL-605404435_rb/","check listing")</f>
        <v>check listing</v>
      </c>
      <c r="AB4782" s="5" t="str">
        <f>HYPERLINK("https://propertylookup.dupagecounty.gov/Datalets/Datalet.aspx?UseSearch=no&amp;mode=sales&amp;pin=0713401005","sales record")</f>
        <v>sales record</v>
      </c>
      <c r="AC4782" t="s">
        <v>3</v>
      </c>
      <c r="AD4782">
        <v>41.776989</v>
      </c>
      <c r="AE4782">
        <v>-88.154825</v>
      </c>
      <c r="AF4782" s="5" t="str">
        <f>HYPERLINK("https://www.google.com/maps/search/?api=1&amp;query=41.776989,-88.154825","map")</f>
        <v>map</v>
      </c>
    </row>
    <row r="4783" spans="1:32">
      <c r="A4783" t="s">
        <v>4833</v>
      </c>
      <c r="B4783" t="s">
        <v>12366</v>
      </c>
      <c r="C4783" t="s">
        <v>15669</v>
      </c>
      <c r="D4783" t="s">
        <v>16206</v>
      </c>
      <c r="E4783" t="s">
        <v>16218</v>
      </c>
      <c r="F4783" t="s">
        <v>16221</v>
      </c>
      <c r="G4783" t="s">
        <v>16277</v>
      </c>
      <c r="H4783" t="s">
        <v>16277</v>
      </c>
      <c r="I4783" t="s">
        <v>16353</v>
      </c>
      <c r="J4783" t="s">
        <v>16386</v>
      </c>
      <c r="K4783">
        <v>0.168</v>
      </c>
      <c r="L4783">
        <v>7324</v>
      </c>
      <c r="M4783">
        <v>2044</v>
      </c>
      <c r="N4783" t="s">
        <v>16393</v>
      </c>
      <c r="O4783" s="4">
        <v>113435</v>
      </c>
      <c r="P4783" s="4">
        <v>49992</v>
      </c>
      <c r="Q4783" s="4">
        <v>163427</v>
      </c>
      <c r="R4783" s="4">
        <v>490281</v>
      </c>
      <c r="S4783" t="s">
        <v>21076</v>
      </c>
      <c r="T4783" s="6">
        <v>42705</v>
      </c>
      <c r="U4783" s="4">
        <v>236000</v>
      </c>
      <c r="V4783" t="s">
        <v>23738</v>
      </c>
      <c r="W4783" t="s">
        <v>26366</v>
      </c>
      <c r="X4783" t="s">
        <v>3</v>
      </c>
      <c r="AA4783" s="5" t="str">
        <f>HYPERLINK("https://www.zillow.com/homes/410-DOUGLAS-AVE-NAPERVILLE-IL-605404414_rb/","check listing")</f>
        <v>check listing</v>
      </c>
      <c r="AB4783" s="5" t="str">
        <f>HYPERLINK("https://propertylookup.dupagecounty.gov/Datalets/Datalet.aspx?UseSearch=no&amp;mode=sales&amp;pin=0713223005","sales record")</f>
        <v>sales record</v>
      </c>
      <c r="AC4783" t="s">
        <v>3</v>
      </c>
      <c r="AD4783">
        <v>41.777141</v>
      </c>
      <c r="AE4783">
        <v>-88.15481699999999</v>
      </c>
      <c r="AF4783" s="5" t="str">
        <f>HYPERLINK("https://www.google.com/maps/search/?api=1&amp;query=41.777141,-88.154817","map")</f>
        <v>map</v>
      </c>
    </row>
    <row r="4784" spans="1:32">
      <c r="A4784" t="s">
        <v>4834</v>
      </c>
      <c r="B4784" t="s">
        <v>12367</v>
      </c>
      <c r="C4784" t="s">
        <v>15662</v>
      </c>
      <c r="D4784" t="s">
        <v>16206</v>
      </c>
      <c r="E4784" t="s">
        <v>16218</v>
      </c>
      <c r="F4784" t="s">
        <v>16221</v>
      </c>
      <c r="G4784" t="s">
        <v>16278</v>
      </c>
      <c r="H4784" t="s">
        <v>16277</v>
      </c>
      <c r="I4784" t="s">
        <v>16353</v>
      </c>
      <c r="J4784" t="s">
        <v>16386</v>
      </c>
      <c r="K4784">
        <v>0.168</v>
      </c>
      <c r="L4784">
        <v>7323</v>
      </c>
      <c r="N4784" t="s">
        <v>16393</v>
      </c>
      <c r="O4784" s="4">
        <v>56146</v>
      </c>
      <c r="P4784" s="4">
        <v>230301</v>
      </c>
      <c r="Q4784" s="4">
        <v>286447</v>
      </c>
      <c r="R4784" s="4">
        <v>859341</v>
      </c>
      <c r="S4784" t="s">
        <v>21077</v>
      </c>
      <c r="T4784" s="6">
        <v>44769</v>
      </c>
      <c r="U4784" s="4">
        <v>642313</v>
      </c>
      <c r="V4784" t="s">
        <v>16232</v>
      </c>
      <c r="W4784" t="s">
        <v>26367</v>
      </c>
      <c r="X4784" t="s">
        <v>3</v>
      </c>
      <c r="AA4784" s="5" t="str">
        <f>HYPERLINK("https://www.zillow.com/homes/1276-SNAPPER-RD-NAPERVILLE-IL-605631594_rb/","check listing")</f>
        <v>check listing</v>
      </c>
      <c r="AB4784" s="5" t="str">
        <f>HYPERLINK("https://propertylookup.dupagecounty.gov/Datalets/Datalet.aspx?UseSearch=no&amp;mode=sales&amp;pin=0532307018","sales record")</f>
        <v>sales record</v>
      </c>
      <c r="AC4784" t="s">
        <v>3</v>
      </c>
      <c r="AD4784">
        <v>41.816609</v>
      </c>
      <c r="AE4784">
        <v>-88.11900799999999</v>
      </c>
      <c r="AF4784" s="5" t="str">
        <f>HYPERLINK("https://www.google.com/maps/search/?api=1&amp;query=41.816609,-88.119008","map")</f>
        <v>map</v>
      </c>
    </row>
    <row r="4785" spans="1:32">
      <c r="A4785" t="s">
        <v>4835</v>
      </c>
      <c r="B4785" t="s">
        <v>12368</v>
      </c>
      <c r="C4785" t="s">
        <v>15791</v>
      </c>
      <c r="D4785" t="s">
        <v>16206</v>
      </c>
      <c r="E4785" t="s">
        <v>16218</v>
      </c>
      <c r="F4785" t="s">
        <v>16221</v>
      </c>
      <c r="G4785" t="s">
        <v>16277</v>
      </c>
      <c r="H4785" t="s">
        <v>16277</v>
      </c>
      <c r="I4785" t="s">
        <v>16353</v>
      </c>
      <c r="J4785" t="s">
        <v>16386</v>
      </c>
      <c r="K4785">
        <v>0.168</v>
      </c>
      <c r="L4785">
        <v>7323</v>
      </c>
      <c r="M4785">
        <v>1979</v>
      </c>
      <c r="N4785" t="s">
        <v>16393</v>
      </c>
      <c r="O4785" s="4">
        <v>113435</v>
      </c>
      <c r="P4785" s="4">
        <v>43340</v>
      </c>
      <c r="Q4785" s="4">
        <v>156775</v>
      </c>
      <c r="R4785" s="4">
        <v>470325</v>
      </c>
      <c r="S4785" t="s">
        <v>21078</v>
      </c>
      <c r="T4785" s="6">
        <v>45061</v>
      </c>
      <c r="U4785" s="4">
        <v>487000</v>
      </c>
      <c r="V4785" t="s">
        <v>23741</v>
      </c>
      <c r="W4785" t="s">
        <v>26368</v>
      </c>
      <c r="X4785" t="s">
        <v>3</v>
      </c>
      <c r="AA4785" s="5" t="str">
        <f>HYPERLINK("https://www.zillow.com/homes/121-N-MILL-ST-NAPERVILLE-IL-605404435_rb/","check listing")</f>
        <v>check listing</v>
      </c>
      <c r="AB4785" s="5" t="str">
        <f>HYPERLINK("https://propertylookup.dupagecounty.gov/Datalets/Datalet.aspx?UseSearch=no&amp;mode=sales&amp;pin=0713401006","sales record")</f>
        <v>sales record</v>
      </c>
      <c r="AC4785" t="s">
        <v>3</v>
      </c>
      <c r="AD4785">
        <v>41.776838</v>
      </c>
      <c r="AE4785">
        <v>-88.154833</v>
      </c>
      <c r="AF4785" s="5" t="str">
        <f>HYPERLINK("https://www.google.com/maps/search/?api=1&amp;query=41.776838,-88.154833","map")</f>
        <v>map</v>
      </c>
    </row>
    <row r="4786" spans="1:32">
      <c r="A4786" t="s">
        <v>4836</v>
      </c>
      <c r="B4786" t="s">
        <v>12369</v>
      </c>
      <c r="C4786" t="s">
        <v>15709</v>
      </c>
      <c r="D4786" t="s">
        <v>16206</v>
      </c>
      <c r="E4786" t="s">
        <v>16218</v>
      </c>
      <c r="F4786" t="s">
        <v>16221</v>
      </c>
      <c r="G4786" t="s">
        <v>16277</v>
      </c>
      <c r="H4786" t="s">
        <v>16277</v>
      </c>
      <c r="I4786" t="s">
        <v>16353</v>
      </c>
      <c r="J4786" t="s">
        <v>16386</v>
      </c>
      <c r="K4786">
        <v>0.168</v>
      </c>
      <c r="L4786">
        <v>7321</v>
      </c>
      <c r="M4786">
        <v>1236</v>
      </c>
      <c r="N4786" t="s">
        <v>16393</v>
      </c>
      <c r="O4786" s="4">
        <v>95395</v>
      </c>
      <c r="P4786" s="4">
        <v>32631</v>
      </c>
      <c r="Q4786" s="4">
        <v>128026</v>
      </c>
      <c r="R4786" s="4">
        <v>384078</v>
      </c>
      <c r="S4786" t="s">
        <v>21079</v>
      </c>
      <c r="T4786" s="6">
        <v>44593</v>
      </c>
      <c r="U4786" s="4">
        <v>320000</v>
      </c>
      <c r="V4786" t="s">
        <v>23739</v>
      </c>
      <c r="W4786" t="s">
        <v>26369</v>
      </c>
      <c r="X4786" t="s">
        <v>3</v>
      </c>
      <c r="AA4786" s="5" t="str">
        <f>HYPERLINK("https://www.zillow.com/homes/124-N-HUFFMAN-ST-NAPERVILLE-IL-605404817_rb/","check listing")</f>
        <v>check listing</v>
      </c>
      <c r="AB4786" s="5" t="str">
        <f>HYPERLINK("https://propertylookup.dupagecounty.gov/Datalets/Datalet.aspx?UseSearch=no&amp;mode=sales&amp;pin=0818402004","sales record")</f>
        <v>sales record</v>
      </c>
      <c r="AC4786" t="s">
        <v>3</v>
      </c>
      <c r="AD4786">
        <v>41.776395</v>
      </c>
      <c r="AE4786">
        <v>-88.13497099999999</v>
      </c>
      <c r="AF4786" s="5" t="str">
        <f>HYPERLINK("https://www.google.com/maps/search/?api=1&amp;query=41.776395,-88.134971","map")</f>
        <v>map</v>
      </c>
    </row>
    <row r="4787" spans="1:32">
      <c r="A4787" t="s">
        <v>4837</v>
      </c>
      <c r="B4787" t="s">
        <v>12370</v>
      </c>
      <c r="C4787" t="s">
        <v>15475</v>
      </c>
      <c r="D4787" t="s">
        <v>16206</v>
      </c>
      <c r="E4787" t="s">
        <v>16218</v>
      </c>
      <c r="F4787" t="s">
        <v>16221</v>
      </c>
      <c r="G4787" t="s">
        <v>16277</v>
      </c>
      <c r="H4787" t="s">
        <v>16277</v>
      </c>
      <c r="I4787" t="s">
        <v>16353</v>
      </c>
      <c r="J4787" t="s">
        <v>16386</v>
      </c>
      <c r="K4787">
        <v>0.168</v>
      </c>
      <c r="L4787">
        <v>7315</v>
      </c>
      <c r="M4787">
        <v>1418</v>
      </c>
      <c r="N4787" t="s">
        <v>16393</v>
      </c>
      <c r="O4787" s="4">
        <v>78235</v>
      </c>
      <c r="P4787" s="4">
        <v>26079</v>
      </c>
      <c r="Q4787" s="4">
        <v>104314</v>
      </c>
      <c r="R4787" s="4">
        <v>312942</v>
      </c>
      <c r="S4787" t="s">
        <v>21080</v>
      </c>
      <c r="T4787" s="6">
        <v>45636</v>
      </c>
      <c r="U4787" s="4">
        <v>400000</v>
      </c>
      <c r="V4787" t="s">
        <v>23739</v>
      </c>
      <c r="W4787" t="s">
        <v>26370</v>
      </c>
      <c r="X4787" t="s">
        <v>3</v>
      </c>
      <c r="AA4787" s="5" t="str">
        <f>HYPERLINK("https://www.zillow.com/homes/130-N-HUFFMAN-ST-NAPERVILLE-IL-60540_rb/","check listing")</f>
        <v>check listing</v>
      </c>
      <c r="AB4787" s="5" t="str">
        <f>HYPERLINK("https://propertylookup.dupagecounty.gov/Datalets/Datalet.aspx?UseSearch=no&amp;mode=sales&amp;pin=0818402003","sales record")</f>
        <v>sales record</v>
      </c>
      <c r="AC4787" t="s">
        <v>3</v>
      </c>
      <c r="AD4787">
        <v>41.776533</v>
      </c>
      <c r="AE4787">
        <v>-88.134964</v>
      </c>
      <c r="AF4787" s="5" t="str">
        <f>HYPERLINK("https://www.google.com/maps/search/?api=1&amp;query=41.776533,-88.134964","map")</f>
        <v>map</v>
      </c>
    </row>
    <row r="4788" spans="1:32">
      <c r="A4788" t="s">
        <v>4838</v>
      </c>
      <c r="B4788" t="s">
        <v>12371</v>
      </c>
      <c r="C4788" t="s">
        <v>15475</v>
      </c>
      <c r="D4788" t="s">
        <v>16206</v>
      </c>
      <c r="E4788" t="s">
        <v>16218</v>
      </c>
      <c r="F4788" t="s">
        <v>16221</v>
      </c>
      <c r="G4788" t="s">
        <v>16277</v>
      </c>
      <c r="H4788" t="s">
        <v>16277</v>
      </c>
      <c r="I4788" t="s">
        <v>16353</v>
      </c>
      <c r="J4788" t="s">
        <v>16386</v>
      </c>
      <c r="K4788">
        <v>0.168</v>
      </c>
      <c r="L4788">
        <v>7314</v>
      </c>
      <c r="M4788">
        <v>2836</v>
      </c>
      <c r="N4788" t="s">
        <v>16393</v>
      </c>
      <c r="O4788" s="4">
        <v>99415</v>
      </c>
      <c r="P4788" s="4">
        <v>89164</v>
      </c>
      <c r="Q4788" s="4">
        <v>188579</v>
      </c>
      <c r="R4788" s="4">
        <v>565737</v>
      </c>
      <c r="S4788" t="s">
        <v>21081</v>
      </c>
      <c r="T4788" s="6">
        <v>42826</v>
      </c>
      <c r="U4788" s="4">
        <v>350000</v>
      </c>
      <c r="V4788" t="s">
        <v>23739</v>
      </c>
      <c r="W4788" t="s">
        <v>26371</v>
      </c>
      <c r="X4788" t="s">
        <v>3</v>
      </c>
      <c r="AA4788" s="5" t="str">
        <f>HYPERLINK("https://www.zillow.com/homes/108-N-CENTER-ST-NAPERVILLE-IL-60540_rb/","check listing")</f>
        <v>check listing</v>
      </c>
      <c r="AB4788" s="5" t="str">
        <f>HYPERLINK("https://propertylookup.dupagecounty.gov/Datalets/Datalet.aspx?UseSearch=no&amp;mode=sales&amp;pin=0818301006","sales record")</f>
        <v>sales record</v>
      </c>
      <c r="AC4788" t="s">
        <v>3</v>
      </c>
      <c r="AD4788">
        <v>41.776141</v>
      </c>
      <c r="AE4788">
        <v>-88.146058</v>
      </c>
      <c r="AF4788" s="5" t="str">
        <f>HYPERLINK("https://www.google.com/maps/search/?api=1&amp;query=41.776141,-88.146058","map")</f>
        <v>map</v>
      </c>
    </row>
    <row r="4789" spans="1:32">
      <c r="A4789" t="s">
        <v>4839</v>
      </c>
      <c r="B4789" t="s">
        <v>12372</v>
      </c>
      <c r="C4789" t="s">
        <v>15792</v>
      </c>
      <c r="D4789" t="s">
        <v>16206</v>
      </c>
      <c r="E4789" t="s">
        <v>16218</v>
      </c>
      <c r="F4789" t="s">
        <v>16221</v>
      </c>
      <c r="G4789" t="s">
        <v>16277</v>
      </c>
      <c r="H4789" t="s">
        <v>16277</v>
      </c>
      <c r="I4789" t="s">
        <v>16353</v>
      </c>
      <c r="J4789" t="s">
        <v>16386</v>
      </c>
      <c r="K4789">
        <v>0.167</v>
      </c>
      <c r="L4789">
        <v>7295</v>
      </c>
      <c r="M4789">
        <v>1847</v>
      </c>
      <c r="N4789" t="s">
        <v>16393</v>
      </c>
      <c r="O4789" s="4">
        <v>119856</v>
      </c>
      <c r="P4789" s="4">
        <v>27173</v>
      </c>
      <c r="Q4789" s="4">
        <v>147029</v>
      </c>
      <c r="R4789" s="4">
        <v>441087</v>
      </c>
      <c r="S4789" t="s">
        <v>21082</v>
      </c>
      <c r="T4789" s="6">
        <v>45050</v>
      </c>
      <c r="U4789" s="4">
        <v>330000</v>
      </c>
      <c r="V4789" t="s">
        <v>23741</v>
      </c>
      <c r="W4789" t="s">
        <v>26372</v>
      </c>
      <c r="X4789" t="s">
        <v>3</v>
      </c>
      <c r="AA4789" s="5" t="str">
        <f>HYPERLINK("https://www.zillow.com/homes/220-N-HUFFMAN-ST-NAPERVILLE-IL-605404819_rb/","check listing")</f>
        <v>check listing</v>
      </c>
      <c r="AB4789" s="5" t="str">
        <f>HYPERLINK("https://propertylookup.dupagecounty.gov/Datalets/Datalet.aspx?UseSearch=no&amp;mode=sales&amp;pin=0818211002","sales record")</f>
        <v>sales record</v>
      </c>
      <c r="AC4789" t="s">
        <v>3</v>
      </c>
      <c r="AD4789">
        <v>41.777788</v>
      </c>
      <c r="AE4789">
        <v>-88.134911</v>
      </c>
      <c r="AF4789" s="5" t="str">
        <f>HYPERLINK("https://www.google.com/maps/search/?api=1&amp;query=41.777788,-88.134911","map")</f>
        <v>map</v>
      </c>
    </row>
    <row r="4790" spans="1:32">
      <c r="A4790" t="s">
        <v>4840</v>
      </c>
      <c r="B4790" t="s">
        <v>12373</v>
      </c>
      <c r="C4790" t="s">
        <v>15475</v>
      </c>
      <c r="D4790" t="s">
        <v>16206</v>
      </c>
      <c r="E4790" t="s">
        <v>16218</v>
      </c>
      <c r="F4790" t="s">
        <v>16221</v>
      </c>
      <c r="G4790" t="s">
        <v>16277</v>
      </c>
      <c r="H4790" t="s">
        <v>16277</v>
      </c>
      <c r="I4790" t="s">
        <v>16353</v>
      </c>
      <c r="J4790" t="s">
        <v>16386</v>
      </c>
      <c r="K4790">
        <v>0.167</v>
      </c>
      <c r="L4790">
        <v>7286</v>
      </c>
      <c r="M4790">
        <v>1420</v>
      </c>
      <c r="N4790" t="s">
        <v>16393</v>
      </c>
      <c r="O4790" s="4">
        <v>131890</v>
      </c>
      <c r="P4790" s="4">
        <v>98914</v>
      </c>
      <c r="Q4790" s="4">
        <v>230804</v>
      </c>
      <c r="R4790" s="4">
        <v>692412</v>
      </c>
      <c r="S4790" t="s">
        <v>21083</v>
      </c>
      <c r="X4790" t="s">
        <v>3</v>
      </c>
      <c r="AA4790" s="5" t="str">
        <f>HYPERLINK("https://www.zillow.com/homes/15-N-SLEIGHT-ST-NAPERVILLE-IL-60540_rb/","check listing")</f>
        <v>check listing</v>
      </c>
      <c r="AB4790" s="5" t="str">
        <f>HYPERLINK("https://propertylookup.dupagecounty.gov/Datalets/Datalet.aspx?UseSearch=no&amp;mode=sales&amp;pin=0818310008","sales record")</f>
        <v>sales record</v>
      </c>
      <c r="AC4790" t="s">
        <v>27873</v>
      </c>
      <c r="AD4790">
        <v>41.775352</v>
      </c>
      <c r="AE4790">
        <v>-88.14123499999999</v>
      </c>
      <c r="AF4790" s="5" t="str">
        <f>HYPERLINK("https://www.google.com/maps/search/?api=1&amp;query=41.775352,-88.141235","map")</f>
        <v>map</v>
      </c>
    </row>
    <row r="4791" spans="1:32">
      <c r="A4791" t="s">
        <v>4841</v>
      </c>
      <c r="B4791" t="s">
        <v>12374</v>
      </c>
      <c r="C4791" t="s">
        <v>15753</v>
      </c>
      <c r="D4791" t="s">
        <v>16206</v>
      </c>
      <c r="E4791" t="s">
        <v>16218</v>
      </c>
      <c r="F4791" t="s">
        <v>16221</v>
      </c>
      <c r="G4791" t="s">
        <v>16277</v>
      </c>
      <c r="H4791" t="s">
        <v>16277</v>
      </c>
      <c r="I4791" t="s">
        <v>16353</v>
      </c>
      <c r="J4791" t="s">
        <v>16386</v>
      </c>
      <c r="K4791">
        <v>0.167</v>
      </c>
      <c r="L4791">
        <v>7285</v>
      </c>
      <c r="M4791">
        <v>1039</v>
      </c>
      <c r="N4791" t="s">
        <v>16393</v>
      </c>
      <c r="O4791" s="4">
        <v>74905</v>
      </c>
      <c r="P4791" s="4">
        <v>36472</v>
      </c>
      <c r="Q4791" s="4">
        <v>111377</v>
      </c>
      <c r="R4791" s="4">
        <v>334131</v>
      </c>
      <c r="S4791" t="s">
        <v>21084</v>
      </c>
      <c r="T4791" s="6">
        <v>44593</v>
      </c>
      <c r="U4791" s="4">
        <v>280000</v>
      </c>
      <c r="V4791" t="s">
        <v>23739</v>
      </c>
      <c r="W4791" t="s">
        <v>26373</v>
      </c>
      <c r="X4791" t="s">
        <v>3</v>
      </c>
      <c r="AA4791" s="5" t="str">
        <f>HYPERLINK("https://www.zillow.com/homes/930-N-SLEIGHT-ST-NAPERVILLE-IL-605632840_rb/","check listing")</f>
        <v>check listing</v>
      </c>
      <c r="AB4791" s="5" t="str">
        <f>HYPERLINK("https://propertylookup.dupagecounty.gov/Datalets/Datalet.aspx?UseSearch=no&amp;mode=sales&amp;pin=0807312008","sales record")</f>
        <v>sales record</v>
      </c>
      <c r="AC4791" t="s">
        <v>3</v>
      </c>
      <c r="AD4791">
        <v>41.786759</v>
      </c>
      <c r="AE4791">
        <v>-88.139315</v>
      </c>
      <c r="AF4791" s="5" t="str">
        <f>HYPERLINK("https://www.google.com/maps/search/?api=1&amp;query=41.786759,-88.139315","map")</f>
        <v>map</v>
      </c>
    </row>
    <row r="4792" spans="1:32">
      <c r="A4792" t="s">
        <v>4842</v>
      </c>
      <c r="B4792" t="s">
        <v>12375</v>
      </c>
      <c r="C4792" t="s">
        <v>15793</v>
      </c>
      <c r="D4792" t="s">
        <v>16206</v>
      </c>
      <c r="E4792" t="s">
        <v>16218</v>
      </c>
      <c r="F4792" t="s">
        <v>16221</v>
      </c>
      <c r="G4792" t="s">
        <v>16277</v>
      </c>
      <c r="H4792" t="s">
        <v>16277</v>
      </c>
      <c r="I4792" t="s">
        <v>16353</v>
      </c>
      <c r="J4792" t="s">
        <v>16386</v>
      </c>
      <c r="K4792">
        <v>0.167</v>
      </c>
      <c r="L4792">
        <v>7284</v>
      </c>
      <c r="M4792">
        <v>2244</v>
      </c>
      <c r="N4792" t="s">
        <v>16393</v>
      </c>
      <c r="O4792" s="4">
        <v>112886</v>
      </c>
      <c r="P4792" s="4">
        <v>339316</v>
      </c>
      <c r="Q4792" s="4">
        <v>452202</v>
      </c>
      <c r="R4792" s="4">
        <v>1356606</v>
      </c>
      <c r="S4792" t="s">
        <v>21085</v>
      </c>
      <c r="X4792" t="s">
        <v>3</v>
      </c>
      <c r="AA4792" s="5" t="str">
        <f>HYPERLINK("https://www.zillow.com/homes/4-N-WEST-ST-NAPERVILLE-IL-605404345_rb/","check listing")</f>
        <v>check listing</v>
      </c>
      <c r="AB4792" s="5" t="str">
        <f>HYPERLINK("https://propertylookup.dupagecounty.gov/Datalets/Datalet.aspx?UseSearch=no&amp;mode=sales&amp;pin=0713306008","sales record")</f>
        <v>sales record</v>
      </c>
      <c r="AC4792" t="s">
        <v>3</v>
      </c>
      <c r="AD4792">
        <v>41.775649</v>
      </c>
      <c r="AE4792">
        <v>-88.157465</v>
      </c>
      <c r="AF4792" s="5" t="str">
        <f>HYPERLINK("https://www.google.com/maps/search/?api=1&amp;query=41.775649,-88.157465","map")</f>
        <v>map</v>
      </c>
    </row>
    <row r="4793" spans="1:32">
      <c r="A4793" t="s">
        <v>4843</v>
      </c>
      <c r="B4793" t="s">
        <v>12376</v>
      </c>
      <c r="C4793" t="s">
        <v>15721</v>
      </c>
      <c r="D4793" t="s">
        <v>16206</v>
      </c>
      <c r="E4793" t="s">
        <v>16218</v>
      </c>
      <c r="F4793" t="s">
        <v>16221</v>
      </c>
      <c r="G4793" t="s">
        <v>16277</v>
      </c>
      <c r="H4793" t="s">
        <v>16277</v>
      </c>
      <c r="I4793" t="s">
        <v>16353</v>
      </c>
      <c r="J4793" t="s">
        <v>16386</v>
      </c>
      <c r="K4793">
        <v>0.167</v>
      </c>
      <c r="L4793">
        <v>7281</v>
      </c>
      <c r="M4793">
        <v>1542</v>
      </c>
      <c r="N4793" t="s">
        <v>16393</v>
      </c>
      <c r="O4793" s="4">
        <v>108650</v>
      </c>
      <c r="P4793" s="4">
        <v>49992</v>
      </c>
      <c r="Q4793" s="4">
        <v>158642</v>
      </c>
      <c r="R4793" s="4">
        <v>475926</v>
      </c>
      <c r="S4793" t="s">
        <v>18991</v>
      </c>
      <c r="T4793" s="6">
        <v>42339</v>
      </c>
      <c r="U4793" s="4">
        <v>216666</v>
      </c>
      <c r="V4793" t="s">
        <v>16232</v>
      </c>
      <c r="W4793" t="s">
        <v>26014</v>
      </c>
      <c r="X4793" t="s">
        <v>3</v>
      </c>
      <c r="AA4793" s="5" t="str">
        <f>HYPERLINK("https://www.zillow.com/homes/22-W-FRANKLIN-AVE-NAPERVILLE-IL-605404525_rb/","check listing")</f>
        <v>check listing</v>
      </c>
      <c r="AB4793" s="5" t="str">
        <f>HYPERLINK("https://propertylookup.dupagecounty.gov/Datalets/Datalet.aspx?UseSearch=no&amp;mode=sales&amp;pin=0713411005","sales record")</f>
        <v>sales record</v>
      </c>
      <c r="AC4793" t="s">
        <v>3</v>
      </c>
      <c r="AD4793">
        <v>41.775858</v>
      </c>
      <c r="AE4793">
        <v>-88.14847</v>
      </c>
      <c r="AF4793" s="5" t="str">
        <f>HYPERLINK("https://www.google.com/maps/search/?api=1&amp;query=41.775858,-88.14847","map")</f>
        <v>map</v>
      </c>
    </row>
    <row r="4794" spans="1:32">
      <c r="A4794" t="s">
        <v>4844</v>
      </c>
      <c r="B4794" t="s">
        <v>12377</v>
      </c>
      <c r="C4794" t="s">
        <v>15478</v>
      </c>
      <c r="D4794" t="s">
        <v>16206</v>
      </c>
      <c r="E4794" t="s">
        <v>16218</v>
      </c>
      <c r="F4794" t="s">
        <v>16221</v>
      </c>
      <c r="G4794" t="s">
        <v>16278</v>
      </c>
      <c r="H4794" t="s">
        <v>16277</v>
      </c>
      <c r="I4794" t="s">
        <v>16353</v>
      </c>
      <c r="J4794" t="s">
        <v>16386</v>
      </c>
      <c r="K4794">
        <v>0.167</v>
      </c>
      <c r="L4794">
        <v>7279</v>
      </c>
      <c r="N4794" t="s">
        <v>16393</v>
      </c>
      <c r="O4794" s="4">
        <v>61416</v>
      </c>
      <c r="P4794" s="4">
        <v>159924</v>
      </c>
      <c r="Q4794" s="4">
        <v>221340</v>
      </c>
      <c r="R4794" s="4">
        <v>664020</v>
      </c>
      <c r="S4794" t="s">
        <v>21086</v>
      </c>
      <c r="T4794" s="6">
        <v>43252</v>
      </c>
      <c r="U4794" s="4">
        <v>494866</v>
      </c>
      <c r="V4794" t="s">
        <v>16232</v>
      </c>
      <c r="W4794" t="s">
        <v>26374</v>
      </c>
      <c r="X4794" t="s">
        <v>3</v>
      </c>
      <c r="AA4794" s="5" t="str">
        <f>HYPERLINK("https://www.zillow.com/homes/1339-BAYOU-PATH-CT-NAPERVILLE-IL-60563_rb/","check listing")</f>
        <v>check listing</v>
      </c>
      <c r="AB4794" s="5" t="str">
        <f>HYPERLINK("https://propertylookup.dupagecounty.gov/Datalets/Datalet.aspx?UseSearch=no&amp;mode=sales&amp;pin=0709311076","sales record")</f>
        <v>sales record</v>
      </c>
      <c r="AC4794" t="s">
        <v>3</v>
      </c>
      <c r="AD4794">
        <v>41.78572</v>
      </c>
      <c r="AE4794">
        <v>-88.21855100000001</v>
      </c>
      <c r="AF4794" s="5" t="str">
        <f>HYPERLINK("https://www.google.com/maps/search/?api=1&amp;query=41.78572,-88.218551","map")</f>
        <v>map</v>
      </c>
    </row>
    <row r="4795" spans="1:32">
      <c r="A4795" t="s">
        <v>4845</v>
      </c>
      <c r="B4795" t="s">
        <v>12378</v>
      </c>
      <c r="C4795" t="s">
        <v>15478</v>
      </c>
      <c r="D4795" t="s">
        <v>16206</v>
      </c>
      <c r="E4795" t="s">
        <v>16218</v>
      </c>
      <c r="F4795" t="s">
        <v>16221</v>
      </c>
      <c r="G4795" t="s">
        <v>16277</v>
      </c>
      <c r="H4795" t="s">
        <v>16277</v>
      </c>
      <c r="I4795" t="s">
        <v>16353</v>
      </c>
      <c r="J4795" t="s">
        <v>16386</v>
      </c>
      <c r="K4795">
        <v>0.167</v>
      </c>
      <c r="L4795">
        <v>7278</v>
      </c>
      <c r="M4795">
        <v>2813</v>
      </c>
      <c r="N4795" t="s">
        <v>16393</v>
      </c>
      <c r="O4795" s="4">
        <v>119856</v>
      </c>
      <c r="P4795" s="4">
        <v>42548</v>
      </c>
      <c r="Q4795" s="4">
        <v>162404</v>
      </c>
      <c r="R4795" s="4">
        <v>487212</v>
      </c>
      <c r="S4795" t="s">
        <v>21087</v>
      </c>
      <c r="T4795" s="6">
        <v>37347</v>
      </c>
      <c r="U4795" s="4">
        <v>300000</v>
      </c>
      <c r="V4795" t="s">
        <v>23739</v>
      </c>
      <c r="W4795" t="s">
        <v>26375</v>
      </c>
      <c r="X4795" t="s">
        <v>3</v>
      </c>
      <c r="AA4795" s="5" t="str">
        <f>HYPERLINK("https://www.zillow.com/homes/624-N-ELLSWORTH-ST-NAPERVILLE-IL-60563_rb/","check listing")</f>
        <v>check listing</v>
      </c>
      <c r="AB4795" s="5" t="str">
        <f>HYPERLINK("https://propertylookup.dupagecounty.gov/Datalets/Datalet.aspx?UseSearch=no&amp;mode=sales&amp;pin=0818112004","sales record")</f>
        <v>sales record</v>
      </c>
      <c r="AC4795" t="s">
        <v>3</v>
      </c>
      <c r="AD4795">
        <v>41.782561</v>
      </c>
      <c r="AE4795">
        <v>-88.144186</v>
      </c>
      <c r="AF4795" s="5" t="str">
        <f>HYPERLINK("https://www.google.com/maps/search/?api=1&amp;query=41.782561,-88.144186","map")</f>
        <v>map</v>
      </c>
    </row>
    <row r="4796" spans="1:32">
      <c r="A4796" t="s">
        <v>4846</v>
      </c>
      <c r="B4796" t="s">
        <v>12379</v>
      </c>
      <c r="C4796" t="s">
        <v>15794</v>
      </c>
      <c r="D4796" t="s">
        <v>16206</v>
      </c>
      <c r="E4796" t="s">
        <v>16218</v>
      </c>
      <c r="F4796" t="s">
        <v>16221</v>
      </c>
      <c r="G4796" t="s">
        <v>16277</v>
      </c>
      <c r="H4796" t="s">
        <v>16277</v>
      </c>
      <c r="I4796" t="s">
        <v>16353</v>
      </c>
      <c r="J4796" t="s">
        <v>16386</v>
      </c>
      <c r="K4796">
        <v>0.167</v>
      </c>
      <c r="L4796">
        <v>7270</v>
      </c>
      <c r="M4796">
        <v>2857</v>
      </c>
      <c r="N4796" t="s">
        <v>16393</v>
      </c>
      <c r="O4796" s="4">
        <v>131890</v>
      </c>
      <c r="P4796" s="4">
        <v>233659</v>
      </c>
      <c r="Q4796" s="4">
        <v>365549</v>
      </c>
      <c r="R4796" s="4">
        <v>1096647</v>
      </c>
      <c r="S4796" t="s">
        <v>21088</v>
      </c>
      <c r="T4796" s="6">
        <v>43647</v>
      </c>
      <c r="U4796" s="4">
        <v>855000</v>
      </c>
      <c r="V4796" t="s">
        <v>23740</v>
      </c>
      <c r="W4796" t="s">
        <v>26376</v>
      </c>
      <c r="X4796" t="s">
        <v>3</v>
      </c>
      <c r="AA4796" s="5" t="str">
        <f>HYPERLINK("https://www.zillow.com/homes/9-N-SLEIGHT-ST-NAPERVILLE-IL-605404737_rb/","check listing")</f>
        <v>check listing</v>
      </c>
      <c r="AB4796" s="5" t="str">
        <f>HYPERLINK("https://propertylookup.dupagecounty.gov/Datalets/Datalet.aspx?UseSearch=no&amp;mode=sales&amp;pin=0818310009","sales record")</f>
        <v>sales record</v>
      </c>
      <c r="AC4796" t="s">
        <v>27873</v>
      </c>
      <c r="AD4796">
        <v>41.77522</v>
      </c>
      <c r="AE4796">
        <v>-88.141244</v>
      </c>
      <c r="AF4796" s="5" t="str">
        <f>HYPERLINK("https://www.google.com/maps/search/?api=1&amp;query=41.77522,-88.141244","map")</f>
        <v>map</v>
      </c>
    </row>
    <row r="4797" spans="1:32">
      <c r="A4797" t="s">
        <v>4847</v>
      </c>
      <c r="B4797" t="s">
        <v>12380</v>
      </c>
      <c r="C4797" t="s">
        <v>15629</v>
      </c>
      <c r="D4797" t="s">
        <v>16206</v>
      </c>
      <c r="E4797" t="s">
        <v>16218</v>
      </c>
      <c r="F4797" t="s">
        <v>16221</v>
      </c>
      <c r="G4797" t="s">
        <v>16278</v>
      </c>
      <c r="H4797" t="s">
        <v>16277</v>
      </c>
      <c r="I4797" t="s">
        <v>16353</v>
      </c>
      <c r="J4797" t="s">
        <v>16386</v>
      </c>
      <c r="K4797">
        <v>0.167</v>
      </c>
      <c r="L4797">
        <v>7266</v>
      </c>
      <c r="N4797" t="s">
        <v>16393</v>
      </c>
      <c r="O4797" s="4">
        <v>61416</v>
      </c>
      <c r="P4797" s="4">
        <v>177219</v>
      </c>
      <c r="Q4797" s="4">
        <v>238635</v>
      </c>
      <c r="R4797" s="4">
        <v>715905</v>
      </c>
      <c r="S4797" t="s">
        <v>21089</v>
      </c>
      <c r="T4797" s="6">
        <v>45538</v>
      </c>
      <c r="U4797" s="4">
        <v>837000</v>
      </c>
      <c r="V4797" t="s">
        <v>23739</v>
      </c>
      <c r="W4797" t="s">
        <v>26377</v>
      </c>
      <c r="X4797" t="s">
        <v>3</v>
      </c>
      <c r="AA4797" s="5" t="str">
        <f>HYPERLINK("https://www.zillow.com/homes/1311-BAYOU-PATH-CT-NAPERVILLE-IL-605633609_rb/","check listing")</f>
        <v>check listing</v>
      </c>
      <c r="AB4797" s="5" t="str">
        <f>HYPERLINK("https://propertylookup.dupagecounty.gov/Datalets/Datalet.aspx?UseSearch=no&amp;mode=sales&amp;pin=0709311083","sales record")</f>
        <v>sales record</v>
      </c>
      <c r="AC4797" t="s">
        <v>3</v>
      </c>
      <c r="AD4797">
        <v>41.78487</v>
      </c>
      <c r="AE4797">
        <v>-88.217645</v>
      </c>
      <c r="AF4797" s="5" t="str">
        <f>HYPERLINK("https://www.google.com/maps/search/?api=1&amp;query=41.78487,-88.217645","map")</f>
        <v>map</v>
      </c>
    </row>
    <row r="4798" spans="1:32">
      <c r="A4798" t="s">
        <v>4848</v>
      </c>
      <c r="B4798" t="s">
        <v>12381</v>
      </c>
      <c r="C4798" t="s">
        <v>15478</v>
      </c>
      <c r="D4798" t="s">
        <v>16206</v>
      </c>
      <c r="E4798" t="s">
        <v>16218</v>
      </c>
      <c r="F4798" t="s">
        <v>16221</v>
      </c>
      <c r="G4798" t="s">
        <v>16277</v>
      </c>
      <c r="H4798" t="s">
        <v>16277</v>
      </c>
      <c r="I4798" t="s">
        <v>16353</v>
      </c>
      <c r="J4798" t="s">
        <v>16386</v>
      </c>
      <c r="K4798">
        <v>0.167</v>
      </c>
      <c r="L4798">
        <v>7262</v>
      </c>
      <c r="M4798">
        <v>2968</v>
      </c>
      <c r="N4798" t="s">
        <v>16393</v>
      </c>
      <c r="O4798" s="4">
        <v>119844</v>
      </c>
      <c r="P4798" s="4">
        <v>123791</v>
      </c>
      <c r="Q4798" s="4">
        <v>243635</v>
      </c>
      <c r="R4798" s="4">
        <v>730905</v>
      </c>
      <c r="S4798" t="s">
        <v>21090</v>
      </c>
      <c r="T4798" s="6">
        <v>45534</v>
      </c>
      <c r="U4798" s="4">
        <v>755000</v>
      </c>
      <c r="V4798" t="s">
        <v>23739</v>
      </c>
      <c r="W4798" t="s">
        <v>26378</v>
      </c>
      <c r="X4798" t="s">
        <v>3</v>
      </c>
      <c r="AA4798" s="5" t="str">
        <f>HYPERLINK("https://www.zillow.com/homes/610-N-ELLSWORTH-ST-NAPERVILLE-IL-60563_rb/","check listing")</f>
        <v>check listing</v>
      </c>
      <c r="AB4798" s="5" t="str">
        <f>HYPERLINK("https://propertylookup.dupagecounty.gov/Datalets/Datalet.aspx?UseSearch=no&amp;mode=sales&amp;pin=0818112007","sales record")</f>
        <v>sales record</v>
      </c>
      <c r="AC4798" t="s">
        <v>3</v>
      </c>
      <c r="AD4798">
        <v>41.782223</v>
      </c>
      <c r="AE4798">
        <v>-88.144206</v>
      </c>
      <c r="AF4798" s="5" t="str">
        <f>HYPERLINK("https://www.google.com/maps/search/?api=1&amp;query=41.782223,-88.144206","map")</f>
        <v>map</v>
      </c>
    </row>
    <row r="4799" spans="1:32">
      <c r="A4799" t="s">
        <v>4849</v>
      </c>
      <c r="B4799" t="s">
        <v>12382</v>
      </c>
      <c r="C4799" t="s">
        <v>15478</v>
      </c>
      <c r="D4799" t="s">
        <v>16206</v>
      </c>
      <c r="E4799" t="s">
        <v>16218</v>
      </c>
      <c r="F4799" t="s">
        <v>16221</v>
      </c>
      <c r="G4799" t="s">
        <v>16277</v>
      </c>
      <c r="H4799" t="s">
        <v>16277</v>
      </c>
      <c r="I4799" t="s">
        <v>16353</v>
      </c>
      <c r="J4799" t="s">
        <v>16386</v>
      </c>
      <c r="K4799">
        <v>0.167</v>
      </c>
      <c r="L4799">
        <v>7259</v>
      </c>
      <c r="M4799">
        <v>1501</v>
      </c>
      <c r="N4799" t="s">
        <v>16393</v>
      </c>
      <c r="O4799" s="4">
        <v>119856</v>
      </c>
      <c r="P4799" s="4">
        <v>79770</v>
      </c>
      <c r="Q4799" s="4">
        <v>199626</v>
      </c>
      <c r="R4799" s="4">
        <v>598878</v>
      </c>
      <c r="S4799" t="s">
        <v>21091</v>
      </c>
      <c r="T4799" s="6">
        <v>31168</v>
      </c>
      <c r="U4799" s="4">
        <v>82000</v>
      </c>
      <c r="X4799" t="s">
        <v>3</v>
      </c>
      <c r="AA4799" s="5" t="str">
        <f>HYPERLINK("https://www.zillow.com/homes/606-N-ELLSWORTH-ST-NAPERVILLE-IL-60563_rb/","check listing")</f>
        <v>check listing</v>
      </c>
      <c r="AB4799" s="5" t="str">
        <f>HYPERLINK("https://propertylookup.dupagecounty.gov/Datalets/Datalet.aspx?UseSearch=no&amp;mode=sales&amp;pin=0818112008","sales record")</f>
        <v>sales record</v>
      </c>
      <c r="AC4799" t="s">
        <v>3</v>
      </c>
      <c r="AD4799">
        <v>41.782088</v>
      </c>
      <c r="AE4799">
        <v>-88.14421400000001</v>
      </c>
      <c r="AF4799" s="5" t="str">
        <f>HYPERLINK("https://www.google.com/maps/search/?api=1&amp;query=41.782088,-88.144214","map")</f>
        <v>map</v>
      </c>
    </row>
    <row r="4800" spans="1:32">
      <c r="A4800" t="s">
        <v>4850</v>
      </c>
      <c r="B4800" t="s">
        <v>12383</v>
      </c>
      <c r="C4800" t="s">
        <v>15475</v>
      </c>
      <c r="D4800" t="s">
        <v>16206</v>
      </c>
      <c r="E4800" t="s">
        <v>16218</v>
      </c>
      <c r="F4800" t="s">
        <v>16221</v>
      </c>
      <c r="G4800" t="s">
        <v>16277</v>
      </c>
      <c r="H4800" t="s">
        <v>16277</v>
      </c>
      <c r="I4800" t="s">
        <v>16353</v>
      </c>
      <c r="J4800" t="s">
        <v>16386</v>
      </c>
      <c r="K4800">
        <v>0.166</v>
      </c>
      <c r="L4800">
        <v>7251</v>
      </c>
      <c r="M4800">
        <v>1672</v>
      </c>
      <c r="N4800" t="s">
        <v>16393</v>
      </c>
      <c r="O4800" s="4">
        <v>131890</v>
      </c>
      <c r="P4800" s="4">
        <v>219745</v>
      </c>
      <c r="Q4800" s="4">
        <v>351635</v>
      </c>
      <c r="R4800" s="4">
        <v>1054905</v>
      </c>
      <c r="S4800" t="s">
        <v>21092</v>
      </c>
      <c r="T4800" s="6">
        <v>35827</v>
      </c>
      <c r="U4800" s="4">
        <v>261000</v>
      </c>
      <c r="X4800" t="s">
        <v>3</v>
      </c>
      <c r="AA4800" s="5" t="str">
        <f>HYPERLINK("https://www.zillow.com/homes/5-N-SLEIGHT-ST-NAPERVILLE-IL-60540_rb/","check listing")</f>
        <v>check listing</v>
      </c>
      <c r="AB4800" s="5" t="str">
        <f>HYPERLINK("https://propertylookup.dupagecounty.gov/Datalets/Datalet.aspx?UseSearch=no&amp;mode=sales&amp;pin=0818310010","sales record")</f>
        <v>sales record</v>
      </c>
      <c r="AC4800" t="s">
        <v>3</v>
      </c>
      <c r="AD4800">
        <v>41.775088</v>
      </c>
      <c r="AE4800">
        <v>-88.14125300000001</v>
      </c>
      <c r="AF4800" s="5" t="str">
        <f>HYPERLINK("https://www.google.com/maps/search/?api=1&amp;query=41.775088,-88.141253","map")</f>
        <v>map</v>
      </c>
    </row>
    <row r="4801" spans="1:32">
      <c r="A4801" t="s">
        <v>4851</v>
      </c>
      <c r="B4801" t="s">
        <v>12384</v>
      </c>
      <c r="C4801" t="s">
        <v>15795</v>
      </c>
      <c r="D4801" t="s">
        <v>16206</v>
      </c>
      <c r="E4801" t="s">
        <v>16218</v>
      </c>
      <c r="F4801" t="s">
        <v>16221</v>
      </c>
      <c r="G4801" t="s">
        <v>16277</v>
      </c>
      <c r="H4801" t="s">
        <v>16277</v>
      </c>
      <c r="I4801" t="s">
        <v>16353</v>
      </c>
      <c r="J4801" t="s">
        <v>16386</v>
      </c>
      <c r="K4801">
        <v>0.166</v>
      </c>
      <c r="L4801">
        <v>7249</v>
      </c>
      <c r="M4801">
        <v>2441</v>
      </c>
      <c r="N4801" t="s">
        <v>16393</v>
      </c>
      <c r="O4801" s="4">
        <v>119856</v>
      </c>
      <c r="P4801" s="4">
        <v>58875</v>
      </c>
      <c r="Q4801" s="4">
        <v>178731</v>
      </c>
      <c r="R4801" s="4">
        <v>536193</v>
      </c>
      <c r="S4801" t="s">
        <v>21093</v>
      </c>
      <c r="T4801" s="6">
        <v>43252</v>
      </c>
      <c r="U4801" s="4">
        <v>425000</v>
      </c>
      <c r="V4801" t="s">
        <v>23739</v>
      </c>
      <c r="W4801" t="s">
        <v>26379</v>
      </c>
      <c r="X4801" t="s">
        <v>3</v>
      </c>
      <c r="AA4801" s="5" t="str">
        <f>HYPERLINK("https://www.zillow.com/homes/213-N-JULIAN-ST-NAPERVILLE-IL-605404824_rb/","check listing")</f>
        <v>check listing</v>
      </c>
      <c r="AB4801" s="5" t="str">
        <f>HYPERLINK("https://propertylookup.dupagecounty.gov/Datalets/Datalet.aspx?UseSearch=no&amp;mode=sales&amp;pin=0818209007","sales record")</f>
        <v>sales record</v>
      </c>
      <c r="AC4801" t="s">
        <v>3</v>
      </c>
      <c r="AD4801">
        <v>41.777712</v>
      </c>
      <c r="AE4801">
        <v>-88.136932</v>
      </c>
      <c r="AF4801" s="5" t="str">
        <f>HYPERLINK("https://www.google.com/maps/search/?api=1&amp;query=41.777712,-88.136932","map")</f>
        <v>map</v>
      </c>
    </row>
    <row r="4802" spans="1:32">
      <c r="A4802" t="s">
        <v>4852</v>
      </c>
      <c r="B4802" t="s">
        <v>12385</v>
      </c>
      <c r="C4802" t="s">
        <v>15475</v>
      </c>
      <c r="D4802" t="s">
        <v>16206</v>
      </c>
      <c r="E4802" t="s">
        <v>16218</v>
      </c>
      <c r="F4802" t="s">
        <v>16221</v>
      </c>
      <c r="G4802" t="s">
        <v>16277</v>
      </c>
      <c r="H4802" t="s">
        <v>16277</v>
      </c>
      <c r="I4802" t="s">
        <v>16353</v>
      </c>
      <c r="J4802" t="s">
        <v>16386</v>
      </c>
      <c r="K4802">
        <v>0.166</v>
      </c>
      <c r="L4802">
        <v>7248</v>
      </c>
      <c r="M4802">
        <v>948</v>
      </c>
      <c r="N4802" t="s">
        <v>16393</v>
      </c>
      <c r="O4802" s="4">
        <v>119856</v>
      </c>
      <c r="P4802" s="4">
        <v>27089</v>
      </c>
      <c r="Q4802" s="4">
        <v>146945</v>
      </c>
      <c r="R4802" s="4">
        <v>440835</v>
      </c>
      <c r="S4802" t="s">
        <v>21094</v>
      </c>
      <c r="T4802" s="6">
        <v>42491</v>
      </c>
      <c r="U4802" s="4">
        <v>240000</v>
      </c>
      <c r="V4802" t="s">
        <v>23739</v>
      </c>
      <c r="W4802" t="s">
        <v>26380</v>
      </c>
      <c r="X4802" t="s">
        <v>3</v>
      </c>
      <c r="AA4802" s="5" t="str">
        <f>HYPERLINK("https://www.zillow.com/homes/721-SCHOOL-ST-NAPERVILLE-IL-60540_rb/","check listing")</f>
        <v>check listing</v>
      </c>
      <c r="AB4802" s="5" t="str">
        <f>HYPERLINK("https://propertylookup.dupagecounty.gov/Datalets/Datalet.aspx?UseSearch=no&amp;mode=sales&amp;pin=0818209009","sales record")</f>
        <v>sales record</v>
      </c>
      <c r="AC4802" t="s">
        <v>27873</v>
      </c>
      <c r="AD4802">
        <v>41.777447</v>
      </c>
      <c r="AE4802">
        <v>-88.13694599999999</v>
      </c>
      <c r="AF4802" s="5" t="str">
        <f>HYPERLINK("https://www.google.com/maps/search/?api=1&amp;query=41.777447,-88.136946","map")</f>
        <v>map</v>
      </c>
    </row>
    <row r="4803" spans="1:32">
      <c r="A4803" t="s">
        <v>4853</v>
      </c>
      <c r="B4803" t="s">
        <v>12386</v>
      </c>
      <c r="C4803" t="s">
        <v>15475</v>
      </c>
      <c r="D4803" t="s">
        <v>16206</v>
      </c>
      <c r="E4803" t="s">
        <v>16218</v>
      </c>
      <c r="F4803" t="s">
        <v>16221</v>
      </c>
      <c r="G4803" t="s">
        <v>16277</v>
      </c>
      <c r="H4803" t="s">
        <v>16277</v>
      </c>
      <c r="I4803" t="s">
        <v>16353</v>
      </c>
      <c r="J4803" t="s">
        <v>16386</v>
      </c>
      <c r="K4803">
        <v>0.166</v>
      </c>
      <c r="L4803">
        <v>7247</v>
      </c>
      <c r="M4803">
        <v>2427</v>
      </c>
      <c r="N4803" t="s">
        <v>16393</v>
      </c>
      <c r="O4803" s="4">
        <v>119856</v>
      </c>
      <c r="P4803" s="4">
        <v>358354</v>
      </c>
      <c r="Q4803" s="4">
        <v>478210</v>
      </c>
      <c r="R4803" s="4">
        <v>1434630</v>
      </c>
      <c r="S4803" t="s">
        <v>21094</v>
      </c>
      <c r="T4803" s="6">
        <v>42491</v>
      </c>
      <c r="U4803" s="4">
        <v>925000</v>
      </c>
      <c r="V4803" t="s">
        <v>23739</v>
      </c>
      <c r="W4803" t="s">
        <v>21094</v>
      </c>
      <c r="X4803" t="s">
        <v>3</v>
      </c>
      <c r="AA4803" s="5" t="str">
        <f>HYPERLINK("https://www.zillow.com/homes/209-N-JULIAN-ST-NAPERVILLE-IL-60540_rb/","check listing")</f>
        <v>check listing</v>
      </c>
      <c r="AB4803" s="5" t="str">
        <f>HYPERLINK("https://propertylookup.dupagecounty.gov/Datalets/Datalet.aspx?UseSearch=no&amp;mode=sales&amp;pin=0818209008","sales record")</f>
        <v>sales record</v>
      </c>
      <c r="AC4803" t="s">
        <v>27873</v>
      </c>
      <c r="AD4803">
        <v>41.77758</v>
      </c>
      <c r="AE4803">
        <v>-88.136939</v>
      </c>
      <c r="AF4803" s="5" t="str">
        <f>HYPERLINK("https://www.google.com/maps/search/?api=1&amp;query=41.77758,-88.136939","map")</f>
        <v>map</v>
      </c>
    </row>
    <row r="4804" spans="1:32">
      <c r="A4804" t="s">
        <v>4854</v>
      </c>
      <c r="B4804" t="s">
        <v>12387</v>
      </c>
      <c r="C4804" t="s">
        <v>15475</v>
      </c>
      <c r="D4804" t="s">
        <v>16206</v>
      </c>
      <c r="E4804" t="s">
        <v>16218</v>
      </c>
      <c r="F4804" t="s">
        <v>16221</v>
      </c>
      <c r="G4804" t="s">
        <v>16277</v>
      </c>
      <c r="H4804" t="s">
        <v>16277</v>
      </c>
      <c r="I4804" t="s">
        <v>16353</v>
      </c>
      <c r="J4804" t="s">
        <v>16386</v>
      </c>
      <c r="K4804">
        <v>0.166</v>
      </c>
      <c r="L4804">
        <v>7244</v>
      </c>
      <c r="M4804">
        <v>3023</v>
      </c>
      <c r="N4804" t="s">
        <v>16393</v>
      </c>
      <c r="O4804" s="4">
        <v>119856</v>
      </c>
      <c r="P4804" s="4">
        <v>48850</v>
      </c>
      <c r="Q4804" s="4">
        <v>168706</v>
      </c>
      <c r="R4804" s="4">
        <v>506118</v>
      </c>
      <c r="S4804" t="s">
        <v>21095</v>
      </c>
      <c r="T4804" s="6">
        <v>44075</v>
      </c>
      <c r="U4804" s="4">
        <v>360000</v>
      </c>
      <c r="V4804" t="s">
        <v>23740</v>
      </c>
      <c r="W4804" t="s">
        <v>26381</v>
      </c>
      <c r="X4804" t="s">
        <v>3</v>
      </c>
      <c r="AA4804" s="5" t="str">
        <f>HYPERLINK("https://www.zillow.com/homes/219-N-JULIAN-ST-NAPERVILLE-IL-60540_rb/","check listing")</f>
        <v>check listing</v>
      </c>
      <c r="AB4804" s="5" t="str">
        <f>HYPERLINK("https://propertylookup.dupagecounty.gov/Datalets/Datalet.aspx?UseSearch=no&amp;mode=sales&amp;pin=0818209006","sales record")</f>
        <v>sales record</v>
      </c>
      <c r="AC4804" t="s">
        <v>3</v>
      </c>
      <c r="AD4804">
        <v>41.777845</v>
      </c>
      <c r="AE4804">
        <v>-88.13692500000001</v>
      </c>
      <c r="AF4804" s="5" t="str">
        <f>HYPERLINK("https://www.google.com/maps/search/?api=1&amp;query=41.777845,-88.136925","map")</f>
        <v>map</v>
      </c>
    </row>
    <row r="4805" spans="1:32">
      <c r="A4805" t="s">
        <v>4855</v>
      </c>
      <c r="B4805" t="s">
        <v>12388</v>
      </c>
      <c r="C4805" t="s">
        <v>15478</v>
      </c>
      <c r="D4805" t="s">
        <v>16206</v>
      </c>
      <c r="E4805" t="s">
        <v>16218</v>
      </c>
      <c r="F4805" t="s">
        <v>16221</v>
      </c>
      <c r="G4805" t="s">
        <v>16278</v>
      </c>
      <c r="H4805" t="s">
        <v>16277</v>
      </c>
      <c r="I4805" t="s">
        <v>16353</v>
      </c>
      <c r="J4805" t="s">
        <v>16386</v>
      </c>
      <c r="K4805">
        <v>0.166</v>
      </c>
      <c r="L4805">
        <v>7228</v>
      </c>
      <c r="N4805" t="s">
        <v>16393</v>
      </c>
      <c r="O4805" s="4">
        <v>67556</v>
      </c>
      <c r="P4805" s="4">
        <v>153651</v>
      </c>
      <c r="Q4805" s="4">
        <v>221207</v>
      </c>
      <c r="R4805" s="4">
        <v>663621</v>
      </c>
      <c r="S4805" t="s">
        <v>21096</v>
      </c>
      <c r="T4805" s="6">
        <v>42675</v>
      </c>
      <c r="U4805" s="4">
        <v>459949</v>
      </c>
      <c r="V4805" t="s">
        <v>16232</v>
      </c>
      <c r="W4805" t="s">
        <v>26382</v>
      </c>
      <c r="X4805" t="s">
        <v>3</v>
      </c>
      <c r="AA4805" s="5" t="str">
        <f>HYPERLINK("https://www.zillow.com/homes/2412-BALSAM-COVE-RD-NAPERVILLE-IL-60563_rb/","check listing")</f>
        <v>check listing</v>
      </c>
      <c r="AB4805" s="5" t="str">
        <f>HYPERLINK("https://propertylookup.dupagecounty.gov/Datalets/Datalet.aspx?UseSearch=no&amp;mode=sales&amp;pin=0709111003","sales record")</f>
        <v>sales record</v>
      </c>
      <c r="AC4805" t="s">
        <v>3</v>
      </c>
      <c r="AD4805">
        <v>41.796701</v>
      </c>
      <c r="AE4805">
        <v>-88.221311</v>
      </c>
      <c r="AF4805" s="5" t="str">
        <f>HYPERLINK("https://www.google.com/maps/search/?api=1&amp;query=41.796701,-88.221311","map")</f>
        <v>map</v>
      </c>
    </row>
    <row r="4806" spans="1:32">
      <c r="A4806" t="s">
        <v>4856</v>
      </c>
      <c r="B4806" t="s">
        <v>12389</v>
      </c>
      <c r="C4806" t="s">
        <v>15662</v>
      </c>
      <c r="D4806" t="s">
        <v>16206</v>
      </c>
      <c r="E4806" t="s">
        <v>16218</v>
      </c>
      <c r="F4806" t="s">
        <v>16221</v>
      </c>
      <c r="G4806" t="s">
        <v>16278</v>
      </c>
      <c r="H4806" t="s">
        <v>16277</v>
      </c>
      <c r="I4806" t="s">
        <v>16353</v>
      </c>
      <c r="J4806" t="s">
        <v>16386</v>
      </c>
      <c r="K4806">
        <v>0.166</v>
      </c>
      <c r="L4806">
        <v>7220</v>
      </c>
      <c r="N4806" t="s">
        <v>16393</v>
      </c>
      <c r="O4806" s="4">
        <v>56146</v>
      </c>
      <c r="P4806" s="4">
        <v>245399</v>
      </c>
      <c r="Q4806" s="4">
        <v>301545</v>
      </c>
      <c r="R4806" s="4">
        <v>904635</v>
      </c>
      <c r="S4806" t="s">
        <v>21097</v>
      </c>
      <c r="T4806" s="6">
        <v>45442</v>
      </c>
      <c r="U4806" s="4">
        <v>861968</v>
      </c>
      <c r="V4806" t="s">
        <v>16232</v>
      </c>
      <c r="W4806" t="s">
        <v>26383</v>
      </c>
      <c r="X4806" t="s">
        <v>3</v>
      </c>
      <c r="AA4806" s="5" t="str">
        <f>HYPERLINK("https://www.zillow.com/homes/2420-HATTIE-ST-NAPERVILLE-IL-605631594_rb/","check listing")</f>
        <v>check listing</v>
      </c>
      <c r="AB4806" s="5" t="str">
        <f>HYPERLINK("https://propertylookup.dupagecounty.gov/Datalets/Datalet.aspx?UseSearch=no&amp;mode=sales&amp;pin=0532304011","sales record")</f>
        <v>sales record</v>
      </c>
      <c r="AC4806" t="s">
        <v>3</v>
      </c>
      <c r="AD4806">
        <v>41.818054</v>
      </c>
      <c r="AE4806">
        <v>-88.120361</v>
      </c>
      <c r="AF4806" s="5" t="str">
        <f>HYPERLINK("https://www.google.com/maps/search/?api=1&amp;query=41.818054,-88.120361","map")</f>
        <v>map</v>
      </c>
    </row>
    <row r="4807" spans="1:32">
      <c r="A4807" t="s">
        <v>4857</v>
      </c>
      <c r="B4807" t="s">
        <v>12390</v>
      </c>
      <c r="C4807" t="s">
        <v>15796</v>
      </c>
      <c r="D4807" t="s">
        <v>16206</v>
      </c>
      <c r="E4807" t="s">
        <v>16218</v>
      </c>
      <c r="F4807" t="s">
        <v>16221</v>
      </c>
      <c r="G4807" t="s">
        <v>16277</v>
      </c>
      <c r="H4807" t="s">
        <v>16277</v>
      </c>
      <c r="I4807" t="s">
        <v>16353</v>
      </c>
      <c r="J4807" t="s">
        <v>16386</v>
      </c>
      <c r="K4807">
        <v>0.165</v>
      </c>
      <c r="L4807">
        <v>7209</v>
      </c>
      <c r="M4807">
        <v>3924</v>
      </c>
      <c r="N4807" t="s">
        <v>16393</v>
      </c>
      <c r="O4807" s="4">
        <v>120723</v>
      </c>
      <c r="P4807" s="4">
        <v>383053</v>
      </c>
      <c r="Q4807" s="4">
        <v>503776</v>
      </c>
      <c r="R4807" s="4">
        <v>1511328</v>
      </c>
      <c r="S4807" t="s">
        <v>21098</v>
      </c>
      <c r="T4807" s="6">
        <v>42430</v>
      </c>
      <c r="U4807" s="4">
        <v>752000</v>
      </c>
      <c r="V4807" t="s">
        <v>16232</v>
      </c>
      <c r="W4807" t="s">
        <v>26384</v>
      </c>
      <c r="X4807" t="s">
        <v>3</v>
      </c>
      <c r="AA4807" s="5" t="str">
        <f>HYPERLINK("https://www.zillow.com/homes/615-N-BRAINARD-ST-NAPERVILLE-IL-605633130_rb/","check listing")</f>
        <v>check listing</v>
      </c>
      <c r="AB4807" s="5" t="str">
        <f>HYPERLINK("https://propertylookup.dupagecounty.gov/Datalets/Datalet.aspx?UseSearch=no&amp;mode=sales&amp;pin=0818112012","sales record")</f>
        <v>sales record</v>
      </c>
      <c r="AC4807" t="s">
        <v>3</v>
      </c>
      <c r="AD4807">
        <v>41.782333</v>
      </c>
      <c r="AE4807">
        <v>-88.14359899999999</v>
      </c>
      <c r="AF4807" s="5" t="str">
        <f>HYPERLINK("https://www.google.com/maps/search/?api=1&amp;query=41.782333,-88.143599","map")</f>
        <v>map</v>
      </c>
    </row>
    <row r="4808" spans="1:32">
      <c r="A4808" t="s">
        <v>4858</v>
      </c>
      <c r="B4808" t="s">
        <v>12391</v>
      </c>
      <c r="C4808" t="s">
        <v>15478</v>
      </c>
      <c r="D4808" t="s">
        <v>16206</v>
      </c>
      <c r="E4808" t="s">
        <v>16218</v>
      </c>
      <c r="F4808" t="s">
        <v>16221</v>
      </c>
      <c r="G4808" t="s">
        <v>16277</v>
      </c>
      <c r="H4808" t="s">
        <v>16277</v>
      </c>
      <c r="I4808" t="s">
        <v>16353</v>
      </c>
      <c r="J4808" t="s">
        <v>16386</v>
      </c>
      <c r="K4808">
        <v>0.165</v>
      </c>
      <c r="L4808">
        <v>7209</v>
      </c>
      <c r="M4808">
        <v>3134</v>
      </c>
      <c r="N4808" t="s">
        <v>16393</v>
      </c>
      <c r="O4808" s="4">
        <v>120712</v>
      </c>
      <c r="P4808" s="4">
        <v>258144</v>
      </c>
      <c r="Q4808" s="4">
        <v>378856</v>
      </c>
      <c r="R4808" s="4">
        <v>1136568</v>
      </c>
      <c r="S4808" t="s">
        <v>21099</v>
      </c>
      <c r="T4808" s="6">
        <v>40210</v>
      </c>
      <c r="U4808" s="4">
        <v>625000</v>
      </c>
      <c r="V4808" t="s">
        <v>23739</v>
      </c>
      <c r="W4808" t="s">
        <v>26385</v>
      </c>
      <c r="X4808" t="s">
        <v>3</v>
      </c>
      <c r="AA4808" s="5" t="str">
        <f>HYPERLINK("https://www.zillow.com/homes/619-N-BRAINARD-ST-NAPERVILLE-IL-60563_rb/","check listing")</f>
        <v>check listing</v>
      </c>
      <c r="AB4808" s="5" t="str">
        <f>HYPERLINK("https://propertylookup.dupagecounty.gov/Datalets/Datalet.aspx?UseSearch=no&amp;mode=sales&amp;pin=0818112011","sales record")</f>
        <v>sales record</v>
      </c>
      <c r="AC4808" t="s">
        <v>3</v>
      </c>
      <c r="AD4808">
        <v>41.782467</v>
      </c>
      <c r="AE4808">
        <v>-88.143591</v>
      </c>
      <c r="AF4808" s="5" t="str">
        <f>HYPERLINK("https://www.google.com/maps/search/?api=1&amp;query=41.782467,-88.143591","map")</f>
        <v>map</v>
      </c>
    </row>
    <row r="4809" spans="1:32">
      <c r="A4809" t="s">
        <v>4859</v>
      </c>
      <c r="B4809" t="s">
        <v>12392</v>
      </c>
      <c r="C4809" t="s">
        <v>15478</v>
      </c>
      <c r="D4809" t="s">
        <v>16206</v>
      </c>
      <c r="E4809" t="s">
        <v>16218</v>
      </c>
      <c r="F4809" t="s">
        <v>16221</v>
      </c>
      <c r="G4809" t="s">
        <v>16277</v>
      </c>
      <c r="H4809" t="s">
        <v>16277</v>
      </c>
      <c r="I4809" t="s">
        <v>16353</v>
      </c>
      <c r="J4809" t="s">
        <v>16386</v>
      </c>
      <c r="K4809">
        <v>0.165</v>
      </c>
      <c r="L4809">
        <v>7200</v>
      </c>
      <c r="M4809">
        <v>3695</v>
      </c>
      <c r="N4809" t="s">
        <v>16393</v>
      </c>
      <c r="O4809" s="4">
        <v>119856</v>
      </c>
      <c r="P4809" s="4">
        <v>144412</v>
      </c>
      <c r="Q4809" s="4">
        <v>264268</v>
      </c>
      <c r="R4809" s="4">
        <v>792804</v>
      </c>
      <c r="S4809" t="s">
        <v>21100</v>
      </c>
      <c r="T4809" s="6">
        <v>38108</v>
      </c>
      <c r="U4809" s="4">
        <v>450000</v>
      </c>
      <c r="V4809" t="s">
        <v>23739</v>
      </c>
      <c r="W4809" t="s">
        <v>26386</v>
      </c>
      <c r="X4809" t="s">
        <v>3</v>
      </c>
      <c r="AA4809" s="5" t="str">
        <f>HYPERLINK("https://www.zillow.com/homes/609-N-BRAINARD-ST-NAPERVILLE-IL-60563_rb/","check listing")</f>
        <v>check listing</v>
      </c>
      <c r="AB4809" s="5" t="str">
        <f>HYPERLINK("https://propertylookup.dupagecounty.gov/Datalets/Datalet.aspx?UseSearch=no&amp;mode=sales&amp;pin=0818112013","sales record")</f>
        <v>sales record</v>
      </c>
      <c r="AC4809" t="s">
        <v>3</v>
      </c>
      <c r="AD4809">
        <v>41.782199</v>
      </c>
      <c r="AE4809">
        <v>-88.143608</v>
      </c>
      <c r="AF4809" s="5" t="str">
        <f>HYPERLINK("https://www.google.com/maps/search/?api=1&amp;query=41.782199,-88.143608","map")</f>
        <v>map</v>
      </c>
    </row>
    <row r="4810" spans="1:32">
      <c r="A4810" t="s">
        <v>4860</v>
      </c>
      <c r="B4810" t="s">
        <v>12393</v>
      </c>
      <c r="C4810" t="s">
        <v>15478</v>
      </c>
      <c r="D4810" t="s">
        <v>16206</v>
      </c>
      <c r="E4810" t="s">
        <v>16218</v>
      </c>
      <c r="F4810" t="s">
        <v>16221</v>
      </c>
      <c r="G4810" t="s">
        <v>16277</v>
      </c>
      <c r="H4810" t="s">
        <v>16277</v>
      </c>
      <c r="I4810" t="s">
        <v>16353</v>
      </c>
      <c r="J4810" t="s">
        <v>16386</v>
      </c>
      <c r="K4810">
        <v>0.165</v>
      </c>
      <c r="L4810">
        <v>7195</v>
      </c>
      <c r="M4810">
        <v>1847</v>
      </c>
      <c r="N4810" t="s">
        <v>16393</v>
      </c>
      <c r="O4810" s="4">
        <v>119856</v>
      </c>
      <c r="P4810" s="4">
        <v>83622</v>
      </c>
      <c r="Q4810" s="4">
        <v>203478</v>
      </c>
      <c r="R4810" s="4">
        <v>610434</v>
      </c>
      <c r="S4810" t="s">
        <v>21101</v>
      </c>
      <c r="T4810" s="6">
        <v>46066</v>
      </c>
      <c r="U4810" s="4">
        <v>650000</v>
      </c>
      <c r="V4810" t="s">
        <v>23739</v>
      </c>
      <c r="W4810" t="s">
        <v>26387</v>
      </c>
      <c r="X4810" t="s">
        <v>3</v>
      </c>
      <c r="AA4810" s="5" t="str">
        <f>HYPERLINK("https://www.zillow.com/homes/603-N-BRAINARD-ST-NAPERVILLE-IL-60563_rb/","check listing")</f>
        <v>check listing</v>
      </c>
      <c r="AB4810" s="5" t="str">
        <f>HYPERLINK("https://propertylookup.dupagecounty.gov/Datalets/Datalet.aspx?UseSearch=no&amp;mode=sales&amp;pin=0818112014","sales record")</f>
        <v>sales record</v>
      </c>
      <c r="AC4810" t="s">
        <v>3</v>
      </c>
      <c r="AD4810">
        <v>41.782065</v>
      </c>
      <c r="AE4810">
        <v>-88.14361599999999</v>
      </c>
      <c r="AF4810" s="5" t="str">
        <f>HYPERLINK("https://www.google.com/maps/search/?api=1&amp;query=41.782065,-88.143616","map")</f>
        <v>map</v>
      </c>
    </row>
    <row r="4811" spans="1:32">
      <c r="A4811" t="s">
        <v>4861</v>
      </c>
      <c r="B4811" t="s">
        <v>12394</v>
      </c>
      <c r="C4811" t="s">
        <v>15475</v>
      </c>
      <c r="D4811" t="s">
        <v>16206</v>
      </c>
      <c r="E4811" t="s">
        <v>16218</v>
      </c>
      <c r="F4811" t="s">
        <v>16221</v>
      </c>
      <c r="G4811" t="s">
        <v>16277</v>
      </c>
      <c r="H4811" t="s">
        <v>16277</v>
      </c>
      <c r="I4811" t="s">
        <v>16353</v>
      </c>
      <c r="J4811" t="s">
        <v>16386</v>
      </c>
      <c r="K4811">
        <v>0.165</v>
      </c>
      <c r="L4811">
        <v>7182</v>
      </c>
      <c r="M4811">
        <v>792</v>
      </c>
      <c r="N4811" t="s">
        <v>16393</v>
      </c>
      <c r="O4811" s="4">
        <v>119856</v>
      </c>
      <c r="P4811" s="4">
        <v>50301</v>
      </c>
      <c r="Q4811" s="4">
        <v>170157</v>
      </c>
      <c r="R4811" s="4">
        <v>510471</v>
      </c>
      <c r="S4811" t="s">
        <v>21102</v>
      </c>
      <c r="T4811" s="6">
        <v>42552</v>
      </c>
      <c r="U4811" s="4">
        <v>364000</v>
      </c>
      <c r="V4811" t="s">
        <v>23740</v>
      </c>
      <c r="W4811" t="s">
        <v>21102</v>
      </c>
      <c r="X4811" t="s">
        <v>3</v>
      </c>
      <c r="AA4811" s="5" t="str">
        <f>HYPERLINK("https://www.zillow.com/homes/205-N-HUFFMAN-ST-NAPERVILLE-IL-60540_rb/","check listing")</f>
        <v>check listing</v>
      </c>
      <c r="AB4811" s="5" t="str">
        <f>HYPERLINK("https://propertylookup.dupagecounty.gov/Datalets/Datalet.aspx?UseSearch=no&amp;mode=sales&amp;pin=0818210009","sales record")</f>
        <v>sales record</v>
      </c>
      <c r="AC4811" t="s">
        <v>3</v>
      </c>
      <c r="AD4811">
        <v>41.777548</v>
      </c>
      <c r="AE4811">
        <v>-88.135653</v>
      </c>
      <c r="AF4811" s="5" t="str">
        <f>HYPERLINK("https://www.google.com/maps/search/?api=1&amp;query=41.777548,-88.135653","map")</f>
        <v>map</v>
      </c>
    </row>
    <row r="4812" spans="1:32">
      <c r="A4812" t="s">
        <v>4862</v>
      </c>
      <c r="B4812" t="s">
        <v>12395</v>
      </c>
      <c r="C4812" t="s">
        <v>15475</v>
      </c>
      <c r="D4812" t="s">
        <v>16206</v>
      </c>
      <c r="E4812" t="s">
        <v>16218</v>
      </c>
      <c r="F4812" t="s">
        <v>16221</v>
      </c>
      <c r="G4812" t="s">
        <v>16277</v>
      </c>
      <c r="H4812" t="s">
        <v>16277</v>
      </c>
      <c r="I4812" t="s">
        <v>16353</v>
      </c>
      <c r="J4812" t="s">
        <v>16386</v>
      </c>
      <c r="K4812">
        <v>0.165</v>
      </c>
      <c r="L4812">
        <v>7181</v>
      </c>
      <c r="M4812">
        <v>1451</v>
      </c>
      <c r="N4812" t="s">
        <v>16393</v>
      </c>
      <c r="O4812" s="4">
        <v>119856</v>
      </c>
      <c r="P4812" s="4">
        <v>61147</v>
      </c>
      <c r="Q4812" s="4">
        <v>181003</v>
      </c>
      <c r="R4812" s="4">
        <v>543009</v>
      </c>
      <c r="S4812" t="s">
        <v>21103</v>
      </c>
      <c r="T4812" s="6">
        <v>38777</v>
      </c>
      <c r="U4812" s="4">
        <v>410000</v>
      </c>
      <c r="V4812" t="s">
        <v>23742</v>
      </c>
      <c r="W4812" t="s">
        <v>26388</v>
      </c>
      <c r="X4812" t="s">
        <v>3</v>
      </c>
      <c r="AA4812" s="5" t="str">
        <f>HYPERLINK("https://www.zillow.com/homes/220-N-JULIAN-ST-NAPERVILLE-IL-60540_rb/","check listing")</f>
        <v>check listing</v>
      </c>
      <c r="AB4812" s="5" t="str">
        <f>HYPERLINK("https://propertylookup.dupagecounty.gov/Datalets/Datalet.aspx?UseSearch=no&amp;mode=sales&amp;pin=0818210002","sales record")</f>
        <v>sales record</v>
      </c>
      <c r="AC4812" t="s">
        <v>3</v>
      </c>
      <c r="AD4812">
        <v>41.777853</v>
      </c>
      <c r="AE4812">
        <v>-88.136189</v>
      </c>
      <c r="AF4812" s="5" t="str">
        <f>HYPERLINK("https://www.google.com/maps/search/?api=1&amp;query=41.777853,-88.136189","map")</f>
        <v>map</v>
      </c>
    </row>
    <row r="4813" spans="1:32">
      <c r="A4813" t="s">
        <v>4863</v>
      </c>
      <c r="B4813" t="s">
        <v>12396</v>
      </c>
      <c r="C4813" t="s">
        <v>15662</v>
      </c>
      <c r="D4813" t="s">
        <v>16206</v>
      </c>
      <c r="E4813" t="s">
        <v>16218</v>
      </c>
      <c r="F4813" t="s">
        <v>16221</v>
      </c>
      <c r="G4813" t="s">
        <v>16278</v>
      </c>
      <c r="H4813" t="s">
        <v>16277</v>
      </c>
      <c r="I4813" t="s">
        <v>16353</v>
      </c>
      <c r="J4813" t="s">
        <v>16386</v>
      </c>
      <c r="K4813">
        <v>0.165</v>
      </c>
      <c r="L4813">
        <v>7175</v>
      </c>
      <c r="N4813" t="s">
        <v>16393</v>
      </c>
      <c r="O4813" s="4">
        <v>56146</v>
      </c>
      <c r="P4813" s="4">
        <v>236558</v>
      </c>
      <c r="Q4813" s="4">
        <v>292704</v>
      </c>
      <c r="R4813" s="4">
        <v>878112</v>
      </c>
      <c r="S4813" t="s">
        <v>21104</v>
      </c>
      <c r="T4813" s="6">
        <v>44851</v>
      </c>
      <c r="U4813" s="4">
        <v>753139</v>
      </c>
      <c r="V4813" t="s">
        <v>16232</v>
      </c>
      <c r="W4813" t="s">
        <v>26389</v>
      </c>
      <c r="X4813" t="s">
        <v>3</v>
      </c>
      <c r="AA4813" s="5" t="str">
        <f>HYPERLINK("https://www.zillow.com/homes/2331-LUCENT-LN-NAPERVILLE-IL-605631594_rb/","check listing")</f>
        <v>check listing</v>
      </c>
      <c r="AB4813" s="5" t="str">
        <f>HYPERLINK("https://propertylookup.dupagecounty.gov/Datalets/Datalet.aspx?UseSearch=no&amp;mode=sales&amp;pin=0532300025","sales record")</f>
        <v>sales record</v>
      </c>
      <c r="AC4813" t="s">
        <v>3</v>
      </c>
      <c r="AD4813">
        <v>41.81747</v>
      </c>
      <c r="AE4813">
        <v>-88.12285900000001</v>
      </c>
      <c r="AF4813" s="5" t="str">
        <f>HYPERLINK("https://www.google.com/maps/search/?api=1&amp;query=41.81747,-88.122859","map")</f>
        <v>map</v>
      </c>
    </row>
    <row r="4814" spans="1:32">
      <c r="A4814" t="s">
        <v>4864</v>
      </c>
      <c r="B4814" t="s">
        <v>12397</v>
      </c>
      <c r="C4814" t="s">
        <v>15797</v>
      </c>
      <c r="D4814" t="s">
        <v>16206</v>
      </c>
      <c r="E4814" t="s">
        <v>16218</v>
      </c>
      <c r="F4814" t="s">
        <v>16221</v>
      </c>
      <c r="G4814" t="s">
        <v>16277</v>
      </c>
      <c r="H4814" t="s">
        <v>16277</v>
      </c>
      <c r="I4814" t="s">
        <v>16353</v>
      </c>
      <c r="J4814" t="s">
        <v>16386</v>
      </c>
      <c r="K4814">
        <v>0.165</v>
      </c>
      <c r="L4814">
        <v>7174</v>
      </c>
      <c r="M4814">
        <v>2902</v>
      </c>
      <c r="N4814" t="s">
        <v>16393</v>
      </c>
      <c r="O4814" s="4">
        <v>119856</v>
      </c>
      <c r="P4814" s="4">
        <v>145946</v>
      </c>
      <c r="Q4814" s="4">
        <v>265802</v>
      </c>
      <c r="R4814" s="4">
        <v>797406</v>
      </c>
      <c r="S4814" t="s">
        <v>21105</v>
      </c>
      <c r="T4814" s="6">
        <v>43221</v>
      </c>
      <c r="U4814" s="4">
        <v>705000</v>
      </c>
      <c r="V4814" t="s">
        <v>23739</v>
      </c>
      <c r="W4814" t="s">
        <v>26390</v>
      </c>
      <c r="X4814" t="s">
        <v>3</v>
      </c>
      <c r="AA4814" s="5" t="str">
        <f>HYPERLINK("https://www.zillow.com/homes/214-N-JULIAN-ST-NAPERVILLE-IL-605404825_rb/","check listing")</f>
        <v>check listing</v>
      </c>
      <c r="AB4814" s="5" t="str">
        <f>HYPERLINK("https://propertylookup.dupagecounty.gov/Datalets/Datalet.aspx?UseSearch=no&amp;mode=sales&amp;pin=0818210003","sales record")</f>
        <v>sales record</v>
      </c>
      <c r="AC4814" t="s">
        <v>3</v>
      </c>
      <c r="AD4814">
        <v>41.777722</v>
      </c>
      <c r="AE4814">
        <v>-88.136194</v>
      </c>
      <c r="AF4814" s="5" t="str">
        <f>HYPERLINK("https://www.google.com/maps/search/?api=1&amp;query=41.777722,-88.136194","map")</f>
        <v>map</v>
      </c>
    </row>
    <row r="4815" spans="1:32">
      <c r="A4815" t="s">
        <v>4865</v>
      </c>
      <c r="B4815" t="s">
        <v>12398</v>
      </c>
      <c r="C4815" t="s">
        <v>15475</v>
      </c>
      <c r="D4815" t="s">
        <v>16206</v>
      </c>
      <c r="E4815" t="s">
        <v>16218</v>
      </c>
      <c r="F4815" t="s">
        <v>16221</v>
      </c>
      <c r="G4815" t="s">
        <v>16277</v>
      </c>
      <c r="H4815" t="s">
        <v>16277</v>
      </c>
      <c r="I4815" t="s">
        <v>16353</v>
      </c>
      <c r="J4815" t="s">
        <v>16386</v>
      </c>
      <c r="K4815">
        <v>0.165</v>
      </c>
      <c r="L4815">
        <v>7174</v>
      </c>
      <c r="M4815">
        <v>989</v>
      </c>
      <c r="N4815" t="s">
        <v>16393</v>
      </c>
      <c r="O4815" s="4">
        <v>119856</v>
      </c>
      <c r="P4815" s="4">
        <v>71254</v>
      </c>
      <c r="Q4815" s="4">
        <v>191110</v>
      </c>
      <c r="R4815" s="4">
        <v>573330</v>
      </c>
      <c r="S4815" t="s">
        <v>21106</v>
      </c>
      <c r="T4815" s="6">
        <v>38504</v>
      </c>
      <c r="U4815" s="4">
        <v>386500</v>
      </c>
      <c r="V4815" t="s">
        <v>23739</v>
      </c>
      <c r="W4815" t="s">
        <v>26391</v>
      </c>
      <c r="X4815" t="s">
        <v>3</v>
      </c>
      <c r="AA4815" s="5" t="str">
        <f>HYPERLINK("https://www.zillow.com/homes/825-SCHOOL-ST-NAPERVILLE-IL-60540_rb/","check listing")</f>
        <v>check listing</v>
      </c>
      <c r="AB4815" s="5" t="str">
        <f>HYPERLINK("https://propertylookup.dupagecounty.gov/Datalets/Datalet.aspx?UseSearch=no&amp;mode=sales&amp;pin=0818210010","sales record")</f>
        <v>sales record</v>
      </c>
      <c r="AC4815" t="s">
        <v>3</v>
      </c>
      <c r="AD4815">
        <v>41.777416</v>
      </c>
      <c r="AE4815">
        <v>-88.135659</v>
      </c>
      <c r="AF4815" s="5" t="str">
        <f>HYPERLINK("https://www.google.com/maps/search/?api=1&amp;query=41.777416,-88.135659","map")</f>
        <v>map</v>
      </c>
    </row>
    <row r="4816" spans="1:32">
      <c r="A4816" t="s">
        <v>4866</v>
      </c>
      <c r="B4816" t="s">
        <v>12399</v>
      </c>
      <c r="C4816" t="s">
        <v>15798</v>
      </c>
      <c r="D4816" t="s">
        <v>16206</v>
      </c>
      <c r="E4816" t="s">
        <v>16218</v>
      </c>
      <c r="F4816" t="s">
        <v>16221</v>
      </c>
      <c r="G4816" t="s">
        <v>16277</v>
      </c>
      <c r="H4816" t="s">
        <v>16277</v>
      </c>
      <c r="I4816" t="s">
        <v>16353</v>
      </c>
      <c r="J4816" t="s">
        <v>16386</v>
      </c>
      <c r="K4816">
        <v>0.165</v>
      </c>
      <c r="L4816">
        <v>7173</v>
      </c>
      <c r="M4816">
        <v>1649</v>
      </c>
      <c r="N4816" t="s">
        <v>16393</v>
      </c>
      <c r="O4816" s="4">
        <v>69543</v>
      </c>
      <c r="P4816" s="4">
        <v>98023</v>
      </c>
      <c r="Q4816" s="4">
        <v>167566</v>
      </c>
      <c r="R4816" s="4">
        <v>502698</v>
      </c>
      <c r="S4816" t="s">
        <v>21107</v>
      </c>
      <c r="T4816" s="6">
        <v>44795</v>
      </c>
      <c r="U4816" s="4">
        <v>501000</v>
      </c>
      <c r="V4816" t="s">
        <v>23739</v>
      </c>
      <c r="W4816" t="s">
        <v>26392</v>
      </c>
      <c r="X4816" t="s">
        <v>3</v>
      </c>
      <c r="AA4816" s="5" t="str">
        <f>HYPERLINK("https://www.zillow.com/homes/94345-N-BRAINARD-ST-NAPERVILLE-IL-605632734_rb/","check listing")</f>
        <v>check listing</v>
      </c>
      <c r="AB4816" s="5" t="str">
        <f>HYPERLINK("https://propertylookup.dupagecounty.gov/Datalets/Datalet.aspx?UseSearch=no&amp;mode=sales&amp;pin=0807309013","sales record")</f>
        <v>sales record</v>
      </c>
      <c r="AC4816" t="s">
        <v>3</v>
      </c>
      <c r="AD4816">
        <v>41.786921</v>
      </c>
      <c r="AE4816">
        <v>-88.143283</v>
      </c>
      <c r="AF4816" s="5" t="str">
        <f>HYPERLINK("https://www.google.com/maps/search/?api=1&amp;query=41.786921,-88.143283","map")</f>
        <v>map</v>
      </c>
    </row>
    <row r="4817" spans="1:32">
      <c r="A4817" t="s">
        <v>4867</v>
      </c>
      <c r="B4817" t="s">
        <v>12400</v>
      </c>
      <c r="C4817" t="s">
        <v>15798</v>
      </c>
      <c r="D4817" t="s">
        <v>16206</v>
      </c>
      <c r="E4817" t="s">
        <v>16218</v>
      </c>
      <c r="F4817" t="s">
        <v>16221</v>
      </c>
      <c r="G4817" t="s">
        <v>16277</v>
      </c>
      <c r="H4817" t="s">
        <v>16277</v>
      </c>
      <c r="I4817" t="s">
        <v>16353</v>
      </c>
      <c r="J4817" t="s">
        <v>16386</v>
      </c>
      <c r="K4817">
        <v>0.165</v>
      </c>
      <c r="L4817">
        <v>7171</v>
      </c>
      <c r="M4817">
        <v>1648</v>
      </c>
      <c r="N4817" t="s">
        <v>16393</v>
      </c>
      <c r="O4817" s="4">
        <v>69543</v>
      </c>
      <c r="P4817" s="4">
        <v>100627</v>
      </c>
      <c r="Q4817" s="4">
        <v>170170</v>
      </c>
      <c r="R4817" s="4">
        <v>510510</v>
      </c>
      <c r="S4817" t="s">
        <v>21108</v>
      </c>
      <c r="T4817" s="6">
        <v>34759</v>
      </c>
      <c r="U4817" s="4">
        <v>180000</v>
      </c>
      <c r="X4817" t="s">
        <v>3</v>
      </c>
      <c r="AA4817" s="5" t="str">
        <f>HYPERLINK("https://www.zillow.com/homes/941-N-BRAINARD-ST-NAPERVILLE-IL-605632734_rb/","check listing")</f>
        <v>check listing</v>
      </c>
      <c r="AB4817" s="5" t="str">
        <f>HYPERLINK("https://propertylookup.dupagecounty.gov/Datalets/Datalet.aspx?UseSearch=no&amp;mode=sales&amp;pin=0807309014","sales record")</f>
        <v>sales record</v>
      </c>
      <c r="AC4817" t="s">
        <v>3</v>
      </c>
      <c r="AD4817">
        <v>41.786783</v>
      </c>
      <c r="AE4817">
        <v>-88.14328999999999</v>
      </c>
      <c r="AF4817" s="5" t="str">
        <f>HYPERLINK("https://www.google.com/maps/search/?api=1&amp;query=41.786783,-88.14329","map")</f>
        <v>map</v>
      </c>
    </row>
    <row r="4818" spans="1:32">
      <c r="A4818" t="s">
        <v>4868</v>
      </c>
      <c r="B4818" t="s">
        <v>12401</v>
      </c>
      <c r="C4818" t="s">
        <v>15662</v>
      </c>
      <c r="D4818" t="s">
        <v>16206</v>
      </c>
      <c r="E4818" t="s">
        <v>16218</v>
      </c>
      <c r="F4818" t="s">
        <v>16221</v>
      </c>
      <c r="G4818" t="s">
        <v>16278</v>
      </c>
      <c r="H4818" t="s">
        <v>16277</v>
      </c>
      <c r="I4818" t="s">
        <v>16353</v>
      </c>
      <c r="J4818" t="s">
        <v>16386</v>
      </c>
      <c r="K4818">
        <v>0.164</v>
      </c>
      <c r="L4818">
        <v>7150</v>
      </c>
      <c r="N4818" t="s">
        <v>16393</v>
      </c>
      <c r="O4818" s="4">
        <v>56146</v>
      </c>
      <c r="P4818" s="4">
        <v>238654</v>
      </c>
      <c r="Q4818" s="4">
        <v>294800</v>
      </c>
      <c r="R4818" s="4">
        <v>884400</v>
      </c>
      <c r="S4818" t="s">
        <v>21109</v>
      </c>
      <c r="T4818" s="6">
        <v>44995</v>
      </c>
      <c r="U4818" s="4">
        <v>788004</v>
      </c>
      <c r="V4818" t="s">
        <v>16232</v>
      </c>
      <c r="W4818" t="s">
        <v>26393</v>
      </c>
      <c r="X4818" t="s">
        <v>3</v>
      </c>
      <c r="AA4818" s="5" t="str">
        <f>HYPERLINK("https://www.zillow.com/homes/1192-HIBBARD-RD-NAPERVILLE-IL-605631594_rb/","check listing")</f>
        <v>check listing</v>
      </c>
      <c r="AB4818" s="5" t="str">
        <f>HYPERLINK("https://propertylookup.dupagecounty.gov/Datalets/Datalet.aspx?UseSearch=no&amp;mode=sales&amp;pin=0532300028","sales record")</f>
        <v>sales record</v>
      </c>
      <c r="AC4818" t="s">
        <v>3</v>
      </c>
      <c r="AD4818">
        <v>41.817888</v>
      </c>
      <c r="AE4818">
        <v>-88.12259400000001</v>
      </c>
      <c r="AF4818" s="5" t="str">
        <f>HYPERLINK("https://www.google.com/maps/search/?api=1&amp;query=41.817888,-88.122594","map")</f>
        <v>map</v>
      </c>
    </row>
    <row r="4819" spans="1:32">
      <c r="A4819" t="s">
        <v>4869</v>
      </c>
      <c r="B4819" t="s">
        <v>12402</v>
      </c>
      <c r="C4819" t="s">
        <v>15478</v>
      </c>
      <c r="D4819" t="s">
        <v>16206</v>
      </c>
      <c r="E4819" t="s">
        <v>16218</v>
      </c>
      <c r="F4819" t="s">
        <v>16221</v>
      </c>
      <c r="G4819" t="s">
        <v>16278</v>
      </c>
      <c r="H4819" t="s">
        <v>16277</v>
      </c>
      <c r="I4819" t="s">
        <v>16353</v>
      </c>
      <c r="J4819" t="s">
        <v>16386</v>
      </c>
      <c r="K4819">
        <v>0.164</v>
      </c>
      <c r="L4819">
        <v>7142</v>
      </c>
      <c r="N4819" t="s">
        <v>16393</v>
      </c>
      <c r="O4819" s="4">
        <v>64480</v>
      </c>
      <c r="P4819" s="4">
        <v>167577</v>
      </c>
      <c r="Q4819" s="4">
        <v>232057</v>
      </c>
      <c r="R4819" s="4">
        <v>696171</v>
      </c>
      <c r="S4819" t="s">
        <v>21110</v>
      </c>
      <c r="T4819" s="6">
        <v>42675</v>
      </c>
      <c r="U4819" s="4">
        <v>460731</v>
      </c>
      <c r="V4819" t="s">
        <v>16232</v>
      </c>
      <c r="W4819" t="s">
        <v>26394</v>
      </c>
      <c r="X4819" t="s">
        <v>3</v>
      </c>
      <c r="AA4819" s="5" t="str">
        <f>HYPERLINK("https://www.zillow.com/homes/2411-BALSAM-COVE-RD-NAPERVILLE-IL-60563_rb/","check listing")</f>
        <v>check listing</v>
      </c>
      <c r="AB4819" s="5" t="str">
        <f>HYPERLINK("https://propertylookup.dupagecounty.gov/Datalets/Datalet.aspx?UseSearch=no&amp;mode=sales&amp;pin=0709107019","sales record")</f>
        <v>sales record</v>
      </c>
      <c r="AC4819" t="s">
        <v>3</v>
      </c>
      <c r="AD4819">
        <v>41.797077</v>
      </c>
      <c r="AE4819">
        <v>-88.221754</v>
      </c>
      <c r="AF4819" s="5" t="str">
        <f>HYPERLINK("https://www.google.com/maps/search/?api=1&amp;query=41.797077,-88.221754","map")</f>
        <v>map</v>
      </c>
    </row>
    <row r="4820" spans="1:32">
      <c r="A4820" t="s">
        <v>4870</v>
      </c>
      <c r="B4820" t="s">
        <v>12403</v>
      </c>
      <c r="C4820" t="s">
        <v>15662</v>
      </c>
      <c r="D4820" t="s">
        <v>16206</v>
      </c>
      <c r="E4820" t="s">
        <v>16218</v>
      </c>
      <c r="F4820" t="s">
        <v>16221</v>
      </c>
      <c r="G4820" t="s">
        <v>16278</v>
      </c>
      <c r="H4820" t="s">
        <v>16277</v>
      </c>
      <c r="I4820" t="s">
        <v>16353</v>
      </c>
      <c r="J4820" t="s">
        <v>16386</v>
      </c>
      <c r="K4820">
        <v>0.164</v>
      </c>
      <c r="L4820">
        <v>7128</v>
      </c>
      <c r="N4820" t="s">
        <v>16393</v>
      </c>
      <c r="O4820" s="4">
        <v>56141</v>
      </c>
      <c r="P4820" s="4">
        <v>227938</v>
      </c>
      <c r="Q4820" s="4">
        <v>284079</v>
      </c>
      <c r="R4820" s="4">
        <v>852237</v>
      </c>
      <c r="S4820" t="s">
        <v>21111</v>
      </c>
      <c r="T4820" s="6">
        <v>45799</v>
      </c>
      <c r="U4820" s="4">
        <v>874805</v>
      </c>
      <c r="V4820" t="s">
        <v>16232</v>
      </c>
      <c r="W4820" t="s">
        <v>26395</v>
      </c>
      <c r="X4820" t="s">
        <v>3</v>
      </c>
      <c r="AA4820" s="5" t="str">
        <f>HYPERLINK("https://www.zillow.com/homes/2415-HATTIE-ST-NAPERVILLE-IL-605631594_rb/","check listing")</f>
        <v>check listing</v>
      </c>
      <c r="AB4820" s="5" t="str">
        <f>HYPERLINK("https://propertylookup.dupagecounty.gov/Datalets/Datalet.aspx?UseSearch=no&amp;mode=sales&amp;pin=0532303004","sales record")</f>
        <v>sales record</v>
      </c>
      <c r="AC4820" t="s">
        <v>3</v>
      </c>
      <c r="AD4820">
        <v>41.818128</v>
      </c>
      <c r="AE4820">
        <v>-88.121066</v>
      </c>
      <c r="AF4820" s="5" t="str">
        <f>HYPERLINK("https://www.google.com/maps/search/?api=1&amp;query=41.818128,-88.121066","map")</f>
        <v>map</v>
      </c>
    </row>
    <row r="4821" spans="1:32">
      <c r="A4821" t="s">
        <v>4871</v>
      </c>
      <c r="B4821" t="s">
        <v>12404</v>
      </c>
      <c r="C4821" t="s">
        <v>15475</v>
      </c>
      <c r="D4821" t="s">
        <v>16206</v>
      </c>
      <c r="E4821" t="s">
        <v>16218</v>
      </c>
      <c r="F4821" t="s">
        <v>16221</v>
      </c>
      <c r="G4821" t="s">
        <v>16277</v>
      </c>
      <c r="H4821" t="s">
        <v>16277</v>
      </c>
      <c r="I4821" t="s">
        <v>16353</v>
      </c>
      <c r="J4821" t="s">
        <v>16386</v>
      </c>
      <c r="K4821">
        <v>0.163</v>
      </c>
      <c r="L4821">
        <v>7120</v>
      </c>
      <c r="M4821">
        <v>1443</v>
      </c>
      <c r="N4821" t="s">
        <v>16393</v>
      </c>
      <c r="O4821" s="4">
        <v>107631</v>
      </c>
      <c r="P4821" s="4">
        <v>122508</v>
      </c>
      <c r="Q4821" s="4">
        <v>230139</v>
      </c>
      <c r="R4821" s="4">
        <v>690417</v>
      </c>
      <c r="S4821" t="s">
        <v>21112</v>
      </c>
      <c r="T4821" s="6">
        <v>45862</v>
      </c>
      <c r="U4821" s="4">
        <v>935000</v>
      </c>
      <c r="V4821" t="s">
        <v>23739</v>
      </c>
      <c r="W4821" t="s">
        <v>26396</v>
      </c>
      <c r="X4821" t="s">
        <v>3</v>
      </c>
      <c r="AA4821" s="5" t="str">
        <f>HYPERLINK("https://www.zillow.com/homes/47-S-JULIAN-ST-NAPERVILLE-IL-60540_rb/","check listing")</f>
        <v>check listing</v>
      </c>
      <c r="AB4821" s="5" t="str">
        <f>HYPERLINK("https://propertylookup.dupagecounty.gov/Datalets/Datalet.aspx?UseSearch=no&amp;mode=sales&amp;pin=0818410009","sales record")</f>
        <v>sales record</v>
      </c>
      <c r="AC4821" t="s">
        <v>3</v>
      </c>
      <c r="AD4821">
        <v>41.773351</v>
      </c>
      <c r="AE4821">
        <v>-88.13700900000001</v>
      </c>
      <c r="AF4821" s="5" t="str">
        <f>HYPERLINK("https://www.google.com/maps/search/?api=1&amp;query=41.773351,-88.137009","map")</f>
        <v>map</v>
      </c>
    </row>
    <row r="4822" spans="1:32">
      <c r="A4822" t="s">
        <v>4872</v>
      </c>
      <c r="B4822" t="s">
        <v>12405</v>
      </c>
      <c r="C4822" t="s">
        <v>15478</v>
      </c>
      <c r="D4822" t="s">
        <v>16206</v>
      </c>
      <c r="E4822" t="s">
        <v>16218</v>
      </c>
      <c r="F4822" t="s">
        <v>16221</v>
      </c>
      <c r="G4822" t="s">
        <v>16277</v>
      </c>
      <c r="H4822" t="s">
        <v>16277</v>
      </c>
      <c r="I4822" t="s">
        <v>16353</v>
      </c>
      <c r="J4822" t="s">
        <v>16386</v>
      </c>
      <c r="K4822">
        <v>0.163</v>
      </c>
      <c r="L4822">
        <v>7103</v>
      </c>
      <c r="M4822">
        <v>3062</v>
      </c>
      <c r="N4822" t="s">
        <v>16393</v>
      </c>
      <c r="O4822" s="4">
        <v>119856</v>
      </c>
      <c r="P4822" s="4">
        <v>172893</v>
      </c>
      <c r="Q4822" s="4">
        <v>292749</v>
      </c>
      <c r="R4822" s="4">
        <v>878247</v>
      </c>
      <c r="S4822" t="s">
        <v>21113</v>
      </c>
      <c r="T4822" s="6">
        <v>39173</v>
      </c>
      <c r="U4822" s="4">
        <v>696000</v>
      </c>
      <c r="V4822" t="s">
        <v>23740</v>
      </c>
      <c r="W4822" t="s">
        <v>26397</v>
      </c>
      <c r="X4822" t="s">
        <v>3</v>
      </c>
      <c r="AA4822" s="5" t="str">
        <f>HYPERLINK("https://www.zillow.com/homes/523-BRAINARD-ST-NAPERVILLE-IL-60563_rb/","check listing")</f>
        <v>check listing</v>
      </c>
      <c r="AB4822" s="5" t="str">
        <f>HYPERLINK("https://propertylookup.dupagecounty.gov/Datalets/Datalet.aspx?UseSearch=no&amp;mode=sales&amp;pin=0818113008","sales record")</f>
        <v>sales record</v>
      </c>
      <c r="AC4822" t="s">
        <v>3</v>
      </c>
      <c r="AD4822">
        <v>41.781607</v>
      </c>
      <c r="AE4822">
        <v>-88.14364500000001</v>
      </c>
      <c r="AF4822" s="5" t="str">
        <f>HYPERLINK("https://www.google.com/maps/search/?api=1&amp;query=41.781607,-88.143645","map")</f>
        <v>map</v>
      </c>
    </row>
    <row r="4823" spans="1:32">
      <c r="A4823" t="s">
        <v>4873</v>
      </c>
      <c r="B4823" t="s">
        <v>12406</v>
      </c>
      <c r="C4823" t="s">
        <v>15799</v>
      </c>
      <c r="D4823" t="s">
        <v>16206</v>
      </c>
      <c r="E4823" t="s">
        <v>16218</v>
      </c>
      <c r="F4823" t="s">
        <v>16221</v>
      </c>
      <c r="G4823" t="s">
        <v>16277</v>
      </c>
      <c r="H4823" t="s">
        <v>16277</v>
      </c>
      <c r="I4823" t="s">
        <v>16353</v>
      </c>
      <c r="J4823" t="s">
        <v>16386</v>
      </c>
      <c r="K4823">
        <v>0.163</v>
      </c>
      <c r="L4823">
        <v>7100</v>
      </c>
      <c r="M4823">
        <v>2874</v>
      </c>
      <c r="N4823" t="s">
        <v>16393</v>
      </c>
      <c r="O4823" s="4">
        <v>120723</v>
      </c>
      <c r="P4823" s="4">
        <v>203252</v>
      </c>
      <c r="Q4823" s="4">
        <v>323975</v>
      </c>
      <c r="R4823" s="4">
        <v>971925</v>
      </c>
      <c r="S4823" t="s">
        <v>21114</v>
      </c>
      <c r="T4823" s="6">
        <v>42795</v>
      </c>
      <c r="U4823" s="4">
        <v>750000</v>
      </c>
      <c r="V4823" t="s">
        <v>23739</v>
      </c>
      <c r="W4823" t="s">
        <v>26398</v>
      </c>
      <c r="X4823" t="s">
        <v>3</v>
      </c>
      <c r="AA4823" s="5" t="str">
        <f>HYPERLINK("https://www.zillow.com/homes/522-N-ELLSWORTH-ST-NAPERVILLE-IL-605633145_rb/","check listing")</f>
        <v>check listing</v>
      </c>
      <c r="AB4823" s="5" t="str">
        <f>HYPERLINK("https://propertylookup.dupagecounty.gov/Datalets/Datalet.aspx?UseSearch=no&amp;mode=sales&amp;pin=0818113002","sales record")</f>
        <v>sales record</v>
      </c>
      <c r="AC4823" t="s">
        <v>27873</v>
      </c>
      <c r="AD4823">
        <v>41.781635</v>
      </c>
      <c r="AE4823">
        <v>-88.14424200000001</v>
      </c>
      <c r="AF4823" s="5" t="str">
        <f>HYPERLINK("https://www.google.com/maps/search/?api=1&amp;query=41.781635,-88.144242","map")</f>
        <v>map</v>
      </c>
    </row>
    <row r="4824" spans="1:32">
      <c r="A4824" t="s">
        <v>4874</v>
      </c>
      <c r="B4824" t="s">
        <v>12407</v>
      </c>
      <c r="C4824" t="s">
        <v>15478</v>
      </c>
      <c r="D4824" t="s">
        <v>16206</v>
      </c>
      <c r="E4824" t="s">
        <v>16218</v>
      </c>
      <c r="F4824" t="s">
        <v>16221</v>
      </c>
      <c r="G4824" t="s">
        <v>16277</v>
      </c>
      <c r="H4824" t="s">
        <v>16277</v>
      </c>
      <c r="I4824" t="s">
        <v>16353</v>
      </c>
      <c r="J4824" t="s">
        <v>16386</v>
      </c>
      <c r="K4824">
        <v>0.163</v>
      </c>
      <c r="L4824">
        <v>7097</v>
      </c>
      <c r="M4824">
        <v>1879</v>
      </c>
      <c r="N4824" t="s">
        <v>16393</v>
      </c>
      <c r="O4824" s="4">
        <v>119844</v>
      </c>
      <c r="P4824" s="4">
        <v>35342</v>
      </c>
      <c r="Q4824" s="4">
        <v>155186</v>
      </c>
      <c r="R4824" s="4">
        <v>465558</v>
      </c>
      <c r="S4824" t="s">
        <v>21115</v>
      </c>
      <c r="T4824" s="6">
        <v>35490</v>
      </c>
      <c r="U4824" s="4">
        <v>164000</v>
      </c>
      <c r="X4824" t="s">
        <v>3</v>
      </c>
      <c r="AA4824" s="5" t="str">
        <f>HYPERLINK("https://www.zillow.com/homes/518-N-ELLSWORTH-ST-NAPERVILLE-IL-60563_rb/","check listing")</f>
        <v>check listing</v>
      </c>
      <c r="AB4824" s="5" t="str">
        <f>HYPERLINK("https://propertylookup.dupagecounty.gov/Datalets/Datalet.aspx?UseSearch=no&amp;mode=sales&amp;pin=0818113003","sales record")</f>
        <v>sales record</v>
      </c>
      <c r="AC4824" t="s">
        <v>3</v>
      </c>
      <c r="AD4824">
        <v>41.781502</v>
      </c>
      <c r="AE4824">
        <v>-88.14425</v>
      </c>
      <c r="AF4824" s="5" t="str">
        <f>HYPERLINK("https://www.google.com/maps/search/?api=1&amp;query=41.781502,-88.14425","map")</f>
        <v>map</v>
      </c>
    </row>
    <row r="4825" spans="1:32">
      <c r="A4825" t="s">
        <v>4875</v>
      </c>
      <c r="B4825" t="s">
        <v>12408</v>
      </c>
      <c r="C4825" t="s">
        <v>15478</v>
      </c>
      <c r="D4825" t="s">
        <v>16206</v>
      </c>
      <c r="E4825" t="s">
        <v>16218</v>
      </c>
      <c r="F4825" t="s">
        <v>16221</v>
      </c>
      <c r="G4825" t="s">
        <v>16277</v>
      </c>
      <c r="H4825" t="s">
        <v>16277</v>
      </c>
      <c r="I4825" t="s">
        <v>16353</v>
      </c>
      <c r="J4825" t="s">
        <v>16386</v>
      </c>
      <c r="K4825">
        <v>0.163</v>
      </c>
      <c r="L4825">
        <v>7096</v>
      </c>
      <c r="M4825">
        <v>2076</v>
      </c>
      <c r="N4825" t="s">
        <v>16393</v>
      </c>
      <c r="O4825" s="4">
        <v>119856</v>
      </c>
      <c r="P4825" s="4">
        <v>39492</v>
      </c>
      <c r="Q4825" s="4">
        <v>159348</v>
      </c>
      <c r="R4825" s="4">
        <v>478044</v>
      </c>
      <c r="S4825" t="s">
        <v>21116</v>
      </c>
      <c r="T4825" s="6">
        <v>31168</v>
      </c>
      <c r="U4825" s="4">
        <v>55000</v>
      </c>
      <c r="X4825" t="s">
        <v>3</v>
      </c>
      <c r="AA4825" s="5" t="str">
        <f>HYPERLINK("https://www.zillow.com/homes/519-N-BRAINARD-ST-NAPERVILLE-IL-60563_rb/","check listing")</f>
        <v>check listing</v>
      </c>
      <c r="AB4825" s="5" t="str">
        <f>HYPERLINK("https://propertylookup.dupagecounty.gov/Datalets/Datalet.aspx?UseSearch=no&amp;mode=sales&amp;pin=0818113009","sales record")</f>
        <v>sales record</v>
      </c>
      <c r="AC4825" t="s">
        <v>3</v>
      </c>
      <c r="AD4825">
        <v>41.781474</v>
      </c>
      <c r="AE4825">
        <v>-88.143654</v>
      </c>
      <c r="AF4825" s="5" t="str">
        <f>HYPERLINK("https://www.google.com/maps/search/?api=1&amp;query=41.781474,-88.143654","map")</f>
        <v>map</v>
      </c>
    </row>
    <row r="4826" spans="1:32">
      <c r="A4826" t="s">
        <v>4876</v>
      </c>
      <c r="B4826" t="s">
        <v>12409</v>
      </c>
      <c r="C4826" t="s">
        <v>15753</v>
      </c>
      <c r="D4826" t="s">
        <v>16206</v>
      </c>
      <c r="E4826" t="s">
        <v>16218</v>
      </c>
      <c r="F4826" t="s">
        <v>16221</v>
      </c>
      <c r="G4826" t="s">
        <v>16277</v>
      </c>
      <c r="H4826" t="s">
        <v>16277</v>
      </c>
      <c r="I4826" t="s">
        <v>16353</v>
      </c>
      <c r="J4826" t="s">
        <v>16386</v>
      </c>
      <c r="K4826">
        <v>0.163</v>
      </c>
      <c r="L4826">
        <v>7094</v>
      </c>
      <c r="M4826">
        <v>1819</v>
      </c>
      <c r="N4826" t="s">
        <v>16393</v>
      </c>
      <c r="O4826" s="4">
        <v>74905</v>
      </c>
      <c r="P4826" s="4">
        <v>33570</v>
      </c>
      <c r="Q4826" s="4">
        <v>108475</v>
      </c>
      <c r="R4826" s="4">
        <v>325425</v>
      </c>
      <c r="S4826" t="s">
        <v>21117</v>
      </c>
      <c r="T4826" s="6">
        <v>45021</v>
      </c>
      <c r="U4826" s="4">
        <v>285000</v>
      </c>
      <c r="V4826" t="s">
        <v>23739</v>
      </c>
      <c r="W4826" t="s">
        <v>26399</v>
      </c>
      <c r="X4826" t="s">
        <v>3</v>
      </c>
      <c r="AA4826" s="5" t="str">
        <f>HYPERLINK("https://www.zillow.com/homes/946-N-SLEIGHT-ST-NAPERVILLE-IL-605632840_rb/","check listing")</f>
        <v>check listing</v>
      </c>
      <c r="AB4826" s="5" t="str">
        <f>HYPERLINK("https://propertylookup.dupagecounty.gov/Datalets/Datalet.aspx?UseSearch=no&amp;mode=sales&amp;pin=0807312007","sales record")</f>
        <v>sales record</v>
      </c>
      <c r="AC4826" t="s">
        <v>3</v>
      </c>
      <c r="AD4826">
        <v>41.786897</v>
      </c>
      <c r="AE4826">
        <v>-88.139315</v>
      </c>
      <c r="AF4826" s="5" t="str">
        <f>HYPERLINK("https://www.google.com/maps/search/?api=1&amp;query=41.786897,-88.139315","map")</f>
        <v>map</v>
      </c>
    </row>
    <row r="4827" spans="1:32">
      <c r="A4827" t="s">
        <v>4877</v>
      </c>
      <c r="B4827" t="s">
        <v>12410</v>
      </c>
      <c r="C4827" t="s">
        <v>15475</v>
      </c>
      <c r="D4827" t="s">
        <v>16206</v>
      </c>
      <c r="E4827" t="s">
        <v>16218</v>
      </c>
      <c r="F4827" t="s">
        <v>16221</v>
      </c>
      <c r="G4827" t="s">
        <v>16277</v>
      </c>
      <c r="H4827" t="s">
        <v>16277</v>
      </c>
      <c r="I4827" t="s">
        <v>16353</v>
      </c>
      <c r="J4827" t="s">
        <v>16386</v>
      </c>
      <c r="K4827">
        <v>0.163</v>
      </c>
      <c r="L4827">
        <v>7089</v>
      </c>
      <c r="M4827">
        <v>1883</v>
      </c>
      <c r="N4827" t="s">
        <v>16393</v>
      </c>
      <c r="O4827" s="4">
        <v>120723</v>
      </c>
      <c r="P4827" s="4">
        <v>168635</v>
      </c>
      <c r="Q4827" s="4">
        <v>289358</v>
      </c>
      <c r="R4827" s="4">
        <v>868074</v>
      </c>
      <c r="S4827" t="s">
        <v>21118</v>
      </c>
      <c r="T4827" s="6">
        <v>44044</v>
      </c>
      <c r="U4827" s="4">
        <v>755000</v>
      </c>
      <c r="V4827" t="s">
        <v>23739</v>
      </c>
      <c r="W4827" t="s">
        <v>26400</v>
      </c>
      <c r="X4827" t="s">
        <v>3</v>
      </c>
      <c r="AA4827" s="5" t="str">
        <f>HYPERLINK("https://www.zillow.com/homes/514-N-ELLSWORTH-ST-NAPERVILLE-IL-60540_rb/","check listing")</f>
        <v>check listing</v>
      </c>
      <c r="AB4827" s="5" t="str">
        <f>HYPERLINK("https://propertylookup.dupagecounty.gov/Datalets/Datalet.aspx?UseSearch=no&amp;mode=sales&amp;pin=0818113004","sales record")</f>
        <v>sales record</v>
      </c>
      <c r="AC4827" t="s">
        <v>3</v>
      </c>
      <c r="AD4827">
        <v>41.781369</v>
      </c>
      <c r="AE4827">
        <v>-88.14425799999999</v>
      </c>
      <c r="AF4827" s="5" t="str">
        <f>HYPERLINK("https://www.google.com/maps/search/?api=1&amp;query=41.781369,-88.144258","map")</f>
        <v>map</v>
      </c>
    </row>
    <row r="4828" spans="1:32">
      <c r="A4828" t="s">
        <v>4878</v>
      </c>
      <c r="B4828" t="s">
        <v>12411</v>
      </c>
      <c r="C4828" t="s">
        <v>15478</v>
      </c>
      <c r="D4828" t="s">
        <v>16206</v>
      </c>
      <c r="E4828" t="s">
        <v>16218</v>
      </c>
      <c r="F4828" t="s">
        <v>16221</v>
      </c>
      <c r="G4828" t="s">
        <v>16277</v>
      </c>
      <c r="H4828" t="s">
        <v>16277</v>
      </c>
      <c r="I4828" t="s">
        <v>16353</v>
      </c>
      <c r="J4828" t="s">
        <v>16386</v>
      </c>
      <c r="K4828">
        <v>0.163</v>
      </c>
      <c r="L4828">
        <v>7088</v>
      </c>
      <c r="M4828">
        <v>3393</v>
      </c>
      <c r="N4828" t="s">
        <v>16393</v>
      </c>
      <c r="O4828" s="4">
        <v>119856</v>
      </c>
      <c r="P4828" s="4">
        <v>95097</v>
      </c>
      <c r="Q4828" s="4">
        <v>214953</v>
      </c>
      <c r="R4828" s="4">
        <v>644859</v>
      </c>
      <c r="S4828" t="s">
        <v>21119</v>
      </c>
      <c r="T4828" s="6">
        <v>34243</v>
      </c>
      <c r="U4828" s="4">
        <v>82000</v>
      </c>
      <c r="X4828" t="s">
        <v>3</v>
      </c>
      <c r="AA4828" s="5" t="str">
        <f>HYPERLINK("https://www.zillow.com/homes/513-N-BRAINARD-ST-NAPERVILLE-IL-60563_rb/","check listing")</f>
        <v>check listing</v>
      </c>
      <c r="AB4828" s="5" t="str">
        <f>HYPERLINK("https://propertylookup.dupagecounty.gov/Datalets/Datalet.aspx?UseSearch=no&amp;mode=sales&amp;pin=0818113010","sales record")</f>
        <v>sales record</v>
      </c>
      <c r="AC4828" t="s">
        <v>3</v>
      </c>
      <c r="AD4828">
        <v>41.781342</v>
      </c>
      <c r="AE4828">
        <v>-88.143663</v>
      </c>
      <c r="AF4828" s="5" t="str">
        <f>HYPERLINK("https://www.google.com/maps/search/?api=1&amp;query=41.781342,-88.143663","map")</f>
        <v>map</v>
      </c>
    </row>
    <row r="4829" spans="1:32">
      <c r="A4829" t="s">
        <v>4879</v>
      </c>
      <c r="B4829" t="s">
        <v>12412</v>
      </c>
      <c r="C4829" t="s">
        <v>15478</v>
      </c>
      <c r="D4829" t="s">
        <v>16206</v>
      </c>
      <c r="E4829" t="s">
        <v>16218</v>
      </c>
      <c r="F4829" t="s">
        <v>16221</v>
      </c>
      <c r="G4829" t="s">
        <v>16277</v>
      </c>
      <c r="H4829" t="s">
        <v>16277</v>
      </c>
      <c r="I4829" t="s">
        <v>16353</v>
      </c>
      <c r="J4829" t="s">
        <v>16386</v>
      </c>
      <c r="K4829">
        <v>0.163</v>
      </c>
      <c r="L4829">
        <v>7086</v>
      </c>
      <c r="M4829">
        <v>2285</v>
      </c>
      <c r="N4829" t="s">
        <v>16393</v>
      </c>
      <c r="O4829" s="4">
        <v>120723</v>
      </c>
      <c r="P4829" s="4">
        <v>331485</v>
      </c>
      <c r="Q4829" s="4">
        <v>452208</v>
      </c>
      <c r="R4829" s="4">
        <v>1356624</v>
      </c>
      <c r="S4829" t="s">
        <v>21120</v>
      </c>
      <c r="T4829" s="6">
        <v>45126</v>
      </c>
      <c r="U4829" s="4">
        <v>1250000</v>
      </c>
      <c r="V4829" t="s">
        <v>23741</v>
      </c>
      <c r="W4829" t="s">
        <v>26401</v>
      </c>
      <c r="X4829" t="s">
        <v>3</v>
      </c>
      <c r="AA4829" s="5" t="str">
        <f>HYPERLINK("https://www.zillow.com/homes/527-N-CENTER-ST-NAPERVILLE-IL-60563_rb/","check listing")</f>
        <v>check listing</v>
      </c>
      <c r="AB4829" s="5" t="str">
        <f>HYPERLINK("https://propertylookup.dupagecounty.gov/Datalets/Datalet.aspx?UseSearch=no&amp;mode=sales&amp;pin=0818103010","sales record")</f>
        <v>sales record</v>
      </c>
      <c r="AC4829" t="s">
        <v>3</v>
      </c>
      <c r="AD4829">
        <v>41.781873</v>
      </c>
      <c r="AE4829">
        <v>-88.14642600000001</v>
      </c>
      <c r="AF4829" s="5" t="str">
        <f>HYPERLINK("https://www.google.com/maps/search/?api=1&amp;query=41.781873,-88.146426","map")</f>
        <v>map</v>
      </c>
    </row>
    <row r="4830" spans="1:32">
      <c r="A4830" t="s">
        <v>4880</v>
      </c>
      <c r="B4830" t="s">
        <v>12413</v>
      </c>
      <c r="C4830" t="s">
        <v>15478</v>
      </c>
      <c r="D4830" t="s">
        <v>16206</v>
      </c>
      <c r="E4830" t="s">
        <v>16218</v>
      </c>
      <c r="F4830" t="s">
        <v>16221</v>
      </c>
      <c r="G4830" t="s">
        <v>16277</v>
      </c>
      <c r="H4830" t="s">
        <v>16277</v>
      </c>
      <c r="I4830" t="s">
        <v>16353</v>
      </c>
      <c r="J4830" t="s">
        <v>16386</v>
      </c>
      <c r="K4830">
        <v>0.163</v>
      </c>
      <c r="L4830">
        <v>7086</v>
      </c>
      <c r="M4830">
        <v>1780</v>
      </c>
      <c r="N4830" t="s">
        <v>16393</v>
      </c>
      <c r="O4830" s="4">
        <v>119856</v>
      </c>
      <c r="P4830" s="4">
        <v>19669</v>
      </c>
      <c r="Q4830" s="4">
        <v>139525</v>
      </c>
      <c r="R4830" s="4">
        <v>418575</v>
      </c>
      <c r="S4830" t="s">
        <v>21121</v>
      </c>
      <c r="T4830" s="6">
        <v>35612</v>
      </c>
      <c r="U4830" s="4">
        <v>150000</v>
      </c>
      <c r="X4830" t="s">
        <v>3</v>
      </c>
      <c r="AA4830" s="5" t="str">
        <f>HYPERLINK("https://www.zillow.com/homes/509-N-BRAINARD-ST-NAPERVILLE-IL-60563_rb/","check listing")</f>
        <v>check listing</v>
      </c>
      <c r="AB4830" s="5" t="str">
        <f>HYPERLINK("https://propertylookup.dupagecounty.gov/Datalets/Datalet.aspx?UseSearch=no&amp;mode=sales&amp;pin=0818113011","sales record")</f>
        <v>sales record</v>
      </c>
      <c r="AC4830" t="s">
        <v>3</v>
      </c>
      <c r="AD4830">
        <v>41.781209</v>
      </c>
      <c r="AE4830">
        <v>-88.143671</v>
      </c>
      <c r="AF4830" s="5" t="str">
        <f>HYPERLINK("https://www.google.com/maps/search/?api=1&amp;query=41.781209,-88.143671","map")</f>
        <v>map</v>
      </c>
    </row>
    <row r="4831" spans="1:32">
      <c r="A4831" t="s">
        <v>4881</v>
      </c>
      <c r="B4831" t="s">
        <v>12414</v>
      </c>
      <c r="C4831" t="s">
        <v>15478</v>
      </c>
      <c r="D4831" t="s">
        <v>16206</v>
      </c>
      <c r="E4831" t="s">
        <v>16218</v>
      </c>
      <c r="F4831" t="s">
        <v>16221</v>
      </c>
      <c r="G4831" t="s">
        <v>16277</v>
      </c>
      <c r="H4831" t="s">
        <v>16277</v>
      </c>
      <c r="I4831" t="s">
        <v>16353</v>
      </c>
      <c r="J4831" t="s">
        <v>16386</v>
      </c>
      <c r="K4831">
        <v>0.163</v>
      </c>
      <c r="L4831">
        <v>7085</v>
      </c>
      <c r="M4831">
        <v>2177</v>
      </c>
      <c r="N4831" t="s">
        <v>16393</v>
      </c>
      <c r="O4831" s="4">
        <v>119856</v>
      </c>
      <c r="P4831" s="4">
        <v>34545</v>
      </c>
      <c r="Q4831" s="4">
        <v>154401</v>
      </c>
      <c r="R4831" s="4">
        <v>463203</v>
      </c>
      <c r="S4831" t="s">
        <v>21122</v>
      </c>
      <c r="X4831" t="s">
        <v>3</v>
      </c>
      <c r="AA4831" s="5" t="str">
        <f>HYPERLINK("https://www.zillow.com/homes/510-N-ELLSWORTH-ST-NAPERVILLE-IL-60563_rb/","check listing")</f>
        <v>check listing</v>
      </c>
      <c r="AB4831" s="5" t="str">
        <f>HYPERLINK("https://propertylookup.dupagecounty.gov/Datalets/Datalet.aspx?UseSearch=no&amp;mode=sales&amp;pin=0818113005","sales record")</f>
        <v>sales record</v>
      </c>
      <c r="AC4831" t="s">
        <v>3</v>
      </c>
      <c r="AD4831">
        <v>41.781237</v>
      </c>
      <c r="AE4831">
        <v>-88.144266</v>
      </c>
      <c r="AF4831" s="5" t="str">
        <f>HYPERLINK("https://www.google.com/maps/search/?api=1&amp;query=41.781237,-88.144266","map")</f>
        <v>map</v>
      </c>
    </row>
    <row r="4832" spans="1:32">
      <c r="A4832" t="s">
        <v>4882</v>
      </c>
      <c r="B4832" t="s">
        <v>12415</v>
      </c>
      <c r="C4832" t="s">
        <v>15475</v>
      </c>
      <c r="D4832" t="s">
        <v>16206</v>
      </c>
      <c r="E4832" t="s">
        <v>16218</v>
      </c>
      <c r="F4832" t="s">
        <v>16221</v>
      </c>
      <c r="G4832" t="s">
        <v>16277</v>
      </c>
      <c r="H4832" t="s">
        <v>16277</v>
      </c>
      <c r="I4832" t="s">
        <v>16353</v>
      </c>
      <c r="J4832" t="s">
        <v>16386</v>
      </c>
      <c r="K4832">
        <v>0.162</v>
      </c>
      <c r="L4832">
        <v>7070</v>
      </c>
      <c r="M4832">
        <v>2307</v>
      </c>
      <c r="N4832" t="s">
        <v>16393</v>
      </c>
      <c r="O4832" s="4">
        <v>125005</v>
      </c>
      <c r="P4832" s="4">
        <v>93944</v>
      </c>
      <c r="Q4832" s="4">
        <v>218949</v>
      </c>
      <c r="R4832" s="4">
        <v>656847</v>
      </c>
      <c r="S4832" t="s">
        <v>21123</v>
      </c>
      <c r="T4832" s="6">
        <v>38292</v>
      </c>
      <c r="U4832" s="4">
        <v>487500</v>
      </c>
      <c r="V4832" t="s">
        <v>23739</v>
      </c>
      <c r="W4832" t="s">
        <v>26402</v>
      </c>
      <c r="X4832" t="s">
        <v>3</v>
      </c>
      <c r="AA4832" s="5" t="str">
        <f>HYPERLINK("https://www.zillow.com/homes/16-S-ELLSWORTH-ST-NAPERVILLE-IL-60540_rb/","check listing")</f>
        <v>check listing</v>
      </c>
      <c r="AB4832" s="5" t="str">
        <f>HYPERLINK("https://propertylookup.dupagecounty.gov/Datalets/Datalet.aspx?UseSearch=no&amp;mode=sales&amp;pin=0818314003","sales record")</f>
        <v>sales record</v>
      </c>
      <c r="AC4832" t="s">
        <v>3</v>
      </c>
      <c r="AD4832">
        <v>41.774561</v>
      </c>
      <c r="AE4832">
        <v>-88.144722</v>
      </c>
      <c r="AF4832" s="5" t="str">
        <f>HYPERLINK("https://www.google.com/maps/search/?api=1&amp;query=41.774561,-88.144722","map")</f>
        <v>map</v>
      </c>
    </row>
    <row r="4833" spans="1:32">
      <c r="A4833" t="s">
        <v>4883</v>
      </c>
      <c r="B4833" t="s">
        <v>12416</v>
      </c>
      <c r="C4833" t="s">
        <v>15475</v>
      </c>
      <c r="D4833" t="s">
        <v>16206</v>
      </c>
      <c r="E4833" t="s">
        <v>16218</v>
      </c>
      <c r="F4833" t="s">
        <v>16221</v>
      </c>
      <c r="G4833" t="s">
        <v>16277</v>
      </c>
      <c r="H4833" t="s">
        <v>16277</v>
      </c>
      <c r="I4833" t="s">
        <v>16353</v>
      </c>
      <c r="J4833" t="s">
        <v>16386</v>
      </c>
      <c r="K4833">
        <v>0.161</v>
      </c>
      <c r="L4833">
        <v>7029</v>
      </c>
      <c r="M4833">
        <v>1978</v>
      </c>
      <c r="N4833" t="s">
        <v>16393</v>
      </c>
      <c r="O4833" s="4">
        <v>119856</v>
      </c>
      <c r="P4833" s="4">
        <v>67485</v>
      </c>
      <c r="Q4833" s="4">
        <v>187341</v>
      </c>
      <c r="R4833" s="4">
        <v>562023</v>
      </c>
      <c r="S4833" t="s">
        <v>21124</v>
      </c>
      <c r="X4833" t="s">
        <v>3</v>
      </c>
      <c r="AA4833" s="5" t="str">
        <f>HYPERLINK("https://www.zillow.com/homes/504-E-FOURTH-ST-NAPERVILLE-IL-60540_rb/","check listing")</f>
        <v>check listing</v>
      </c>
      <c r="AB4833" s="5" t="str">
        <f>HYPERLINK("https://propertylookup.dupagecounty.gov/Datalets/Datalet.aspx?UseSearch=no&amp;mode=sales&amp;pin=0818139017","sales record")</f>
        <v>sales record</v>
      </c>
      <c r="AC4833" t="s">
        <v>3</v>
      </c>
      <c r="AD4833">
        <v>41.77929</v>
      </c>
      <c r="AE4833">
        <v>-88.13999099999999</v>
      </c>
      <c r="AF4833" s="5" t="str">
        <f>HYPERLINK("https://www.google.com/maps/search/?api=1&amp;query=41.77929,-88.139991","map")</f>
        <v>map</v>
      </c>
    </row>
    <row r="4834" spans="1:32">
      <c r="A4834" t="s">
        <v>4884</v>
      </c>
      <c r="B4834" t="s">
        <v>12417</v>
      </c>
      <c r="C4834" t="s">
        <v>15475</v>
      </c>
      <c r="D4834" t="s">
        <v>16206</v>
      </c>
      <c r="E4834" t="s">
        <v>16218</v>
      </c>
      <c r="F4834" t="s">
        <v>16221</v>
      </c>
      <c r="G4834" t="s">
        <v>16277</v>
      </c>
      <c r="H4834" t="s">
        <v>16277</v>
      </c>
      <c r="I4834" t="s">
        <v>16353</v>
      </c>
      <c r="J4834" t="s">
        <v>16386</v>
      </c>
      <c r="K4834">
        <v>0.161</v>
      </c>
      <c r="L4834">
        <v>7013</v>
      </c>
      <c r="M4834">
        <v>2193</v>
      </c>
      <c r="N4834" t="s">
        <v>16393</v>
      </c>
      <c r="O4834" s="4">
        <v>119844</v>
      </c>
      <c r="P4834" s="4">
        <v>73538</v>
      </c>
      <c r="Q4834" s="4">
        <v>193382</v>
      </c>
      <c r="R4834" s="4">
        <v>580146</v>
      </c>
      <c r="S4834" t="s">
        <v>21125</v>
      </c>
      <c r="T4834" s="6">
        <v>39083</v>
      </c>
      <c r="U4834" s="4">
        <v>503000</v>
      </c>
      <c r="V4834" t="s">
        <v>23739</v>
      </c>
      <c r="W4834" t="s">
        <v>26403</v>
      </c>
      <c r="X4834" t="s">
        <v>3</v>
      </c>
      <c r="AA4834" s="5" t="str">
        <f>HYPERLINK("https://www.zillow.com/homes/613-E-NORTH-ST-NAPERVILLE-IL-60540_rb/","check listing")</f>
        <v>check listing</v>
      </c>
      <c r="AB4834" s="5" t="str">
        <f>HYPERLINK("https://propertylookup.dupagecounty.gov/Datalets/Datalet.aspx?UseSearch=no&amp;mode=sales&amp;pin=0818142007","sales record")</f>
        <v>sales record</v>
      </c>
      <c r="AC4834" t="s">
        <v>3</v>
      </c>
      <c r="AD4834">
        <v>41.778472</v>
      </c>
      <c r="AE4834">
        <v>-88.13873700000001</v>
      </c>
      <c r="AF4834" s="5" t="str">
        <f>HYPERLINK("https://www.google.com/maps/search/?api=1&amp;query=41.778472,-88.138737","map")</f>
        <v>map</v>
      </c>
    </row>
    <row r="4835" spans="1:32">
      <c r="A4835" t="s">
        <v>4885</v>
      </c>
      <c r="B4835" t="s">
        <v>12418</v>
      </c>
      <c r="C4835" t="s">
        <v>15475</v>
      </c>
      <c r="D4835" t="s">
        <v>16206</v>
      </c>
      <c r="E4835" t="s">
        <v>16218</v>
      </c>
      <c r="F4835" t="s">
        <v>16221</v>
      </c>
      <c r="G4835" t="s">
        <v>16277</v>
      </c>
      <c r="H4835" t="s">
        <v>16277</v>
      </c>
      <c r="I4835" t="s">
        <v>16353</v>
      </c>
      <c r="J4835" t="s">
        <v>16386</v>
      </c>
      <c r="K4835">
        <v>0.161</v>
      </c>
      <c r="L4835">
        <v>7010</v>
      </c>
      <c r="M4835">
        <v>3299</v>
      </c>
      <c r="N4835" t="s">
        <v>16393</v>
      </c>
      <c r="O4835" s="4">
        <v>119856</v>
      </c>
      <c r="P4835" s="4">
        <v>67413</v>
      </c>
      <c r="Q4835" s="4">
        <v>187269</v>
      </c>
      <c r="R4835" s="4">
        <v>561807</v>
      </c>
      <c r="S4835" t="s">
        <v>21126</v>
      </c>
      <c r="X4835" t="s">
        <v>3</v>
      </c>
      <c r="AA4835" s="5" t="str">
        <f>HYPERLINK("https://www.zillow.com/homes/336-N-WRIGHT-ST-NAPERVILLE-IL-60540_rb/","check listing")</f>
        <v>check listing</v>
      </c>
      <c r="AB4835" s="5" t="str">
        <f>HYPERLINK("https://propertylookup.dupagecounty.gov/Datalets/Datalet.aspx?UseSearch=no&amp;mode=sales&amp;pin=0818204002","sales record")</f>
        <v>sales record</v>
      </c>
      <c r="AC4835" t="s">
        <v>3</v>
      </c>
      <c r="AD4835">
        <v>41.77923</v>
      </c>
      <c r="AE4835">
        <v>-88.138762</v>
      </c>
      <c r="AF4835" s="5" t="str">
        <f>HYPERLINK("https://www.google.com/maps/search/?api=1&amp;query=41.77923,-88.138762","map")</f>
        <v>map</v>
      </c>
    </row>
    <row r="4836" spans="1:32">
      <c r="A4836" t="s">
        <v>4886</v>
      </c>
      <c r="B4836" t="s">
        <v>12419</v>
      </c>
      <c r="C4836" t="s">
        <v>15747</v>
      </c>
      <c r="D4836" t="s">
        <v>16206</v>
      </c>
      <c r="E4836" t="s">
        <v>16218</v>
      </c>
      <c r="F4836" t="s">
        <v>16221</v>
      </c>
      <c r="G4836" t="s">
        <v>16278</v>
      </c>
      <c r="H4836" t="s">
        <v>16277</v>
      </c>
      <c r="I4836" t="s">
        <v>16353</v>
      </c>
      <c r="J4836" t="s">
        <v>16386</v>
      </c>
      <c r="K4836">
        <v>0.161</v>
      </c>
      <c r="L4836">
        <v>7009</v>
      </c>
      <c r="N4836" t="s">
        <v>16393</v>
      </c>
      <c r="O4836" s="4">
        <v>64480</v>
      </c>
      <c r="P4836" s="4">
        <v>167955</v>
      </c>
      <c r="Q4836" s="4">
        <v>232435</v>
      </c>
      <c r="R4836" s="4">
        <v>697305</v>
      </c>
      <c r="S4836" t="s">
        <v>21127</v>
      </c>
      <c r="T4836" s="6">
        <v>42917</v>
      </c>
      <c r="U4836" s="4">
        <v>479240</v>
      </c>
      <c r="V4836" t="s">
        <v>16232</v>
      </c>
      <c r="W4836" t="s">
        <v>26404</v>
      </c>
      <c r="X4836" t="s">
        <v>3</v>
      </c>
      <c r="AA4836" s="5" t="str">
        <f>HYPERLINK("https://www.zillow.com/homes/1648-LEYLAND-DR-NAPERVILLE-IL-605633587_rb/","check listing")</f>
        <v>check listing</v>
      </c>
      <c r="AB4836" s="5" t="str">
        <f>HYPERLINK("https://propertylookup.dupagecounty.gov/Datalets/Datalet.aspx?UseSearch=no&amp;mode=sales&amp;pin=0709107027","sales record")</f>
        <v>sales record</v>
      </c>
      <c r="AC4836" t="s">
        <v>3</v>
      </c>
      <c r="AD4836">
        <v>41.797472</v>
      </c>
      <c r="AE4836">
        <v>-88.222971</v>
      </c>
      <c r="AF4836" s="5" t="str">
        <f>HYPERLINK("https://www.google.com/maps/search/?api=1&amp;query=41.797472,-88.222971","map")</f>
        <v>map</v>
      </c>
    </row>
    <row r="4837" spans="1:32">
      <c r="A4837" t="s">
        <v>4887</v>
      </c>
      <c r="B4837" t="s">
        <v>12420</v>
      </c>
      <c r="C4837" t="s">
        <v>15475</v>
      </c>
      <c r="D4837" t="s">
        <v>16206</v>
      </c>
      <c r="E4837" t="s">
        <v>16218</v>
      </c>
      <c r="F4837" t="s">
        <v>16221</v>
      </c>
      <c r="G4837" t="s">
        <v>16277</v>
      </c>
      <c r="H4837" t="s">
        <v>16277</v>
      </c>
      <c r="I4837" t="s">
        <v>16353</v>
      </c>
      <c r="J4837" t="s">
        <v>16386</v>
      </c>
      <c r="K4837">
        <v>0.161</v>
      </c>
      <c r="L4837">
        <v>7009</v>
      </c>
      <c r="M4837">
        <v>1461</v>
      </c>
      <c r="N4837" t="s">
        <v>16393</v>
      </c>
      <c r="O4837" s="4">
        <v>119856</v>
      </c>
      <c r="P4837" s="4">
        <v>33938</v>
      </c>
      <c r="Q4837" s="4">
        <v>153794</v>
      </c>
      <c r="R4837" s="4">
        <v>461382</v>
      </c>
      <c r="S4837" t="s">
        <v>21128</v>
      </c>
      <c r="T4837" s="6">
        <v>34001</v>
      </c>
      <c r="U4837" s="4">
        <v>122250</v>
      </c>
      <c r="X4837" t="s">
        <v>3</v>
      </c>
      <c r="AA4837" s="5" t="str">
        <f>HYPERLINK("https://www.zillow.com/homes/326-N-WRIGHT-ST-NAPERVILLE-IL-60540_rb/","check listing")</f>
        <v>check listing</v>
      </c>
      <c r="AB4837" s="5" t="str">
        <f>HYPERLINK("https://propertylookup.dupagecounty.gov/Datalets/Datalet.aspx?UseSearch=no&amp;mode=sales&amp;pin=0818142002","sales record")</f>
        <v>sales record</v>
      </c>
      <c r="AC4837" t="s">
        <v>3</v>
      </c>
      <c r="AD4837">
        <v>41.778956</v>
      </c>
      <c r="AE4837">
        <v>-88.1388</v>
      </c>
      <c r="AF4837" s="5" t="str">
        <f>HYPERLINK("https://www.google.com/maps/search/?api=1&amp;query=41.778956,-88.1388","map")</f>
        <v>map</v>
      </c>
    </row>
    <row r="4838" spans="1:32">
      <c r="A4838" t="s">
        <v>4888</v>
      </c>
      <c r="B4838" t="s">
        <v>12421</v>
      </c>
      <c r="C4838" t="s">
        <v>15800</v>
      </c>
      <c r="D4838" t="s">
        <v>16206</v>
      </c>
      <c r="E4838" t="s">
        <v>16218</v>
      </c>
      <c r="F4838" t="s">
        <v>16221</v>
      </c>
      <c r="G4838" t="s">
        <v>16277</v>
      </c>
      <c r="H4838" t="s">
        <v>16277</v>
      </c>
      <c r="I4838" t="s">
        <v>16353</v>
      </c>
      <c r="J4838" t="s">
        <v>16386</v>
      </c>
      <c r="K4838">
        <v>0.161</v>
      </c>
      <c r="L4838">
        <v>7007</v>
      </c>
      <c r="M4838">
        <v>2275</v>
      </c>
      <c r="N4838" t="s">
        <v>16393</v>
      </c>
      <c r="O4838" s="4">
        <v>119856</v>
      </c>
      <c r="P4838" s="4">
        <v>100092</v>
      </c>
      <c r="Q4838" s="4">
        <v>219948</v>
      </c>
      <c r="R4838" s="4">
        <v>659844</v>
      </c>
      <c r="S4838" t="s">
        <v>21129</v>
      </c>
      <c r="T4838" s="6">
        <v>44440</v>
      </c>
      <c r="U4838" s="4">
        <v>615900</v>
      </c>
      <c r="V4838" t="s">
        <v>23739</v>
      </c>
      <c r="W4838" t="s">
        <v>26405</v>
      </c>
      <c r="X4838" t="s">
        <v>3</v>
      </c>
      <c r="AA4838" s="5" t="str">
        <f>HYPERLINK("https://www.zillow.com/homes/330-N-WRIGHT-ST-NAPERVILLE-IL-605404752_rb/","check listing")</f>
        <v>check listing</v>
      </c>
      <c r="AB4838" s="5" t="str">
        <f>HYPERLINK("https://propertylookup.dupagecounty.gov/Datalets/Datalet.aspx?UseSearch=no&amp;mode=sales&amp;pin=0818142001","sales record")</f>
        <v>sales record</v>
      </c>
      <c r="AC4838" t="s">
        <v>3</v>
      </c>
      <c r="AD4838">
        <v>41.779093</v>
      </c>
      <c r="AE4838">
        <v>-88.13878099999999</v>
      </c>
      <c r="AF4838" s="5" t="str">
        <f>HYPERLINK("https://www.google.com/maps/search/?api=1&amp;query=41.779093,-88.138781","map")</f>
        <v>map</v>
      </c>
    </row>
    <row r="4839" spans="1:32">
      <c r="A4839" t="s">
        <v>4889</v>
      </c>
      <c r="B4839" t="s">
        <v>12422</v>
      </c>
      <c r="C4839" t="s">
        <v>15475</v>
      </c>
      <c r="D4839" t="s">
        <v>16206</v>
      </c>
      <c r="E4839" t="s">
        <v>16218</v>
      </c>
      <c r="F4839" t="s">
        <v>16221</v>
      </c>
      <c r="G4839" t="s">
        <v>16277</v>
      </c>
      <c r="H4839" t="s">
        <v>16277</v>
      </c>
      <c r="I4839" t="s">
        <v>16353</v>
      </c>
      <c r="J4839" t="s">
        <v>16386</v>
      </c>
      <c r="K4839">
        <v>0.161</v>
      </c>
      <c r="L4839">
        <v>7006</v>
      </c>
      <c r="M4839">
        <v>2232</v>
      </c>
      <c r="N4839" t="s">
        <v>16393</v>
      </c>
      <c r="O4839" s="4">
        <v>119856</v>
      </c>
      <c r="P4839" s="4">
        <v>84835</v>
      </c>
      <c r="Q4839" s="4">
        <v>204691</v>
      </c>
      <c r="R4839" s="4">
        <v>614073</v>
      </c>
      <c r="S4839" t="s">
        <v>21130</v>
      </c>
      <c r="T4839" s="6">
        <v>36739</v>
      </c>
      <c r="U4839" s="4">
        <v>325000</v>
      </c>
      <c r="V4839" t="s">
        <v>23739</v>
      </c>
      <c r="W4839" t="s">
        <v>21130</v>
      </c>
      <c r="X4839" t="s">
        <v>3</v>
      </c>
      <c r="AA4839" s="5" t="str">
        <f>HYPERLINK("https://www.zillow.com/homes/316-N-WRIGHT-ST-NAPERVILLE-IL-60540_rb/","check listing")</f>
        <v>check listing</v>
      </c>
      <c r="AB4839" s="5" t="str">
        <f>HYPERLINK("https://propertylookup.dupagecounty.gov/Datalets/Datalet.aspx?UseSearch=no&amp;mode=sales&amp;pin=0818142005","sales record")</f>
        <v>sales record</v>
      </c>
      <c r="AC4839" t="s">
        <v>3</v>
      </c>
      <c r="AD4839">
        <v>41.778683</v>
      </c>
      <c r="AE4839">
        <v>-88.138837</v>
      </c>
      <c r="AF4839" s="5" t="str">
        <f>HYPERLINK("https://www.google.com/maps/search/?api=1&amp;query=41.778683,-88.138837","map")</f>
        <v>map</v>
      </c>
    </row>
    <row r="4840" spans="1:32">
      <c r="A4840" t="s">
        <v>4890</v>
      </c>
      <c r="B4840" t="s">
        <v>12423</v>
      </c>
      <c r="C4840" t="s">
        <v>15800</v>
      </c>
      <c r="D4840" t="s">
        <v>16206</v>
      </c>
      <c r="E4840" t="s">
        <v>16218</v>
      </c>
      <c r="F4840" t="s">
        <v>16221</v>
      </c>
      <c r="G4840" t="s">
        <v>16277</v>
      </c>
      <c r="H4840" t="s">
        <v>16277</v>
      </c>
      <c r="I4840" t="s">
        <v>16353</v>
      </c>
      <c r="J4840" t="s">
        <v>16386</v>
      </c>
      <c r="K4840">
        <v>0.161</v>
      </c>
      <c r="L4840">
        <v>7000</v>
      </c>
      <c r="M4840">
        <v>2309</v>
      </c>
      <c r="N4840" t="s">
        <v>16393</v>
      </c>
      <c r="O4840" s="4">
        <v>119856</v>
      </c>
      <c r="P4840" s="4">
        <v>74584</v>
      </c>
      <c r="Q4840" s="4">
        <v>194440</v>
      </c>
      <c r="R4840" s="4">
        <v>583320</v>
      </c>
      <c r="S4840" t="s">
        <v>21131</v>
      </c>
      <c r="T4840" s="6">
        <v>44804</v>
      </c>
      <c r="U4840" s="4">
        <v>600000</v>
      </c>
      <c r="V4840" t="s">
        <v>23739</v>
      </c>
      <c r="W4840" t="s">
        <v>26406</v>
      </c>
      <c r="X4840" t="s">
        <v>3</v>
      </c>
      <c r="AA4840" s="5" t="str">
        <f>HYPERLINK("https://www.zillow.com/homes/306-N-WRIGHT-ST-NAPERVILLE-IL-605404752_rb/","check listing")</f>
        <v>check listing</v>
      </c>
      <c r="AB4840" s="5" t="str">
        <f>HYPERLINK("https://propertylookup.dupagecounty.gov/Datalets/Datalet.aspx?UseSearch=no&amp;mode=sales&amp;pin=0818142006","sales record")</f>
        <v>sales record</v>
      </c>
      <c r="AC4840" t="s">
        <v>3</v>
      </c>
      <c r="AD4840">
        <v>41.778484</v>
      </c>
      <c r="AE4840">
        <v>-88.138993</v>
      </c>
      <c r="AF4840" s="5" t="str">
        <f>HYPERLINK("https://www.google.com/maps/search/?api=1&amp;query=41.778484,-88.138993","map")</f>
        <v>map</v>
      </c>
    </row>
    <row r="4841" spans="1:32">
      <c r="A4841" t="s">
        <v>4891</v>
      </c>
      <c r="B4841" t="s">
        <v>12424</v>
      </c>
      <c r="C4841" t="s">
        <v>15801</v>
      </c>
      <c r="D4841" t="s">
        <v>16206</v>
      </c>
      <c r="E4841" t="s">
        <v>16218</v>
      </c>
      <c r="F4841" t="s">
        <v>16221</v>
      </c>
      <c r="G4841" t="s">
        <v>16278</v>
      </c>
      <c r="H4841" t="s">
        <v>16277</v>
      </c>
      <c r="I4841" t="s">
        <v>16353</v>
      </c>
      <c r="J4841" t="s">
        <v>16386</v>
      </c>
      <c r="K4841">
        <v>0.16</v>
      </c>
      <c r="L4841">
        <v>6991</v>
      </c>
      <c r="N4841" t="s">
        <v>16393</v>
      </c>
      <c r="O4841" s="4">
        <v>59837</v>
      </c>
      <c r="P4841" s="4">
        <v>156255</v>
      </c>
      <c r="Q4841" s="4">
        <v>216092</v>
      </c>
      <c r="R4841" s="4">
        <v>648276</v>
      </c>
      <c r="S4841" t="s">
        <v>21132</v>
      </c>
      <c r="T4841" s="6">
        <v>44197</v>
      </c>
      <c r="U4841" s="4">
        <v>470000</v>
      </c>
      <c r="V4841" t="s">
        <v>23739</v>
      </c>
      <c r="W4841" t="s">
        <v>26407</v>
      </c>
      <c r="X4841" t="s">
        <v>3</v>
      </c>
      <c r="AA4841" s="5" t="str">
        <f>HYPERLINK("https://www.zillow.com/homes/1664-SILVERLEAF-ST-NAPERVILLE-IL-605633588_rb/","check listing")</f>
        <v>check listing</v>
      </c>
      <c r="AB4841" s="5" t="str">
        <f>HYPERLINK("https://propertylookup.dupagecounty.gov/Datalets/Datalet.aspx?UseSearch=no&amp;mode=sales&amp;pin=0709108004","sales record")</f>
        <v>sales record</v>
      </c>
      <c r="AC4841" t="s">
        <v>3</v>
      </c>
      <c r="AD4841">
        <v>41.797271</v>
      </c>
      <c r="AE4841">
        <v>-88.223755</v>
      </c>
      <c r="AF4841" s="5" t="str">
        <f>HYPERLINK("https://www.google.com/maps/search/?api=1&amp;query=41.797271,-88.223755","map")</f>
        <v>map</v>
      </c>
    </row>
    <row r="4842" spans="1:32">
      <c r="A4842" t="s">
        <v>4892</v>
      </c>
      <c r="B4842" t="s">
        <v>12425</v>
      </c>
      <c r="C4842" t="s">
        <v>15478</v>
      </c>
      <c r="D4842" t="s">
        <v>16206</v>
      </c>
      <c r="E4842" t="s">
        <v>16218</v>
      </c>
      <c r="F4842" t="s">
        <v>16221</v>
      </c>
      <c r="G4842" t="s">
        <v>16277</v>
      </c>
      <c r="H4842" t="s">
        <v>16277</v>
      </c>
      <c r="I4842" t="s">
        <v>16353</v>
      </c>
      <c r="J4842" t="s">
        <v>16386</v>
      </c>
      <c r="K4842">
        <v>0.16</v>
      </c>
      <c r="L4842">
        <v>6976</v>
      </c>
      <c r="M4842">
        <v>2295</v>
      </c>
      <c r="N4842" t="s">
        <v>16393</v>
      </c>
      <c r="O4842" s="4">
        <v>119856</v>
      </c>
      <c r="P4842" s="4">
        <v>47329</v>
      </c>
      <c r="Q4842" s="4">
        <v>167185</v>
      </c>
      <c r="R4842" s="4">
        <v>501555</v>
      </c>
      <c r="S4842" t="s">
        <v>21133</v>
      </c>
      <c r="T4842" s="6">
        <v>32325</v>
      </c>
      <c r="U4842" s="4">
        <v>132000</v>
      </c>
      <c r="X4842" t="s">
        <v>3</v>
      </c>
      <c r="AA4842" s="5" t="str">
        <f>HYPERLINK("https://www.zillow.com/homes/706-N-CENTER-ST-NAPERVILLE-IL-60563_rb/","check listing")</f>
        <v>check listing</v>
      </c>
      <c r="AB4842" s="5" t="str">
        <f>HYPERLINK("https://propertylookup.dupagecounty.gov/Datalets/Datalet.aspx?UseSearch=no&amp;mode=sales&amp;pin=0818106007","sales record")</f>
        <v>sales record</v>
      </c>
      <c r="AC4842" t="s">
        <v>3</v>
      </c>
      <c r="AD4842">
        <v>41.783236</v>
      </c>
      <c r="AE4842">
        <v>-88.14555</v>
      </c>
      <c r="AF4842" s="5" t="str">
        <f>HYPERLINK("https://www.google.com/maps/search/?api=1&amp;query=41.783236,-88.14555","map")</f>
        <v>map</v>
      </c>
    </row>
    <row r="4843" spans="1:32">
      <c r="A4843" t="s">
        <v>4893</v>
      </c>
      <c r="B4843" t="s">
        <v>12426</v>
      </c>
      <c r="C4843" t="s">
        <v>15698</v>
      </c>
      <c r="D4843" t="s">
        <v>16206</v>
      </c>
      <c r="E4843" t="s">
        <v>16218</v>
      </c>
      <c r="F4843" t="s">
        <v>16221</v>
      </c>
      <c r="G4843" t="s">
        <v>16278</v>
      </c>
      <c r="H4843" t="s">
        <v>16277</v>
      </c>
      <c r="I4843" t="s">
        <v>16353</v>
      </c>
      <c r="J4843" t="s">
        <v>16386</v>
      </c>
      <c r="K4843">
        <v>0.16</v>
      </c>
      <c r="L4843">
        <v>6970</v>
      </c>
      <c r="N4843" t="s">
        <v>16393</v>
      </c>
      <c r="O4843" s="4">
        <v>59829</v>
      </c>
      <c r="P4843" s="4">
        <v>177219</v>
      </c>
      <c r="Q4843" s="4">
        <v>237048</v>
      </c>
      <c r="R4843" s="4">
        <v>711144</v>
      </c>
      <c r="S4843" t="s">
        <v>21134</v>
      </c>
      <c r="T4843" s="6">
        <v>43009</v>
      </c>
      <c r="U4843" s="4">
        <v>485682</v>
      </c>
      <c r="V4843" t="s">
        <v>16232</v>
      </c>
      <c r="W4843" t="s">
        <v>26408</v>
      </c>
      <c r="X4843" t="s">
        <v>3</v>
      </c>
      <c r="AA4843" s="5" t="str">
        <f>HYPERLINK("https://www.zillow.com/homes/2535-BALSAM-COVE-RD-NAPERVILLE-IL-605633590_rb/","check listing")</f>
        <v>check listing</v>
      </c>
      <c r="AB4843" s="5" t="str">
        <f>HYPERLINK("https://propertylookup.dupagecounty.gov/Datalets/Datalet.aspx?UseSearch=no&amp;mode=sales&amp;pin=0709108008","sales record")</f>
        <v>sales record</v>
      </c>
      <c r="AC4843" t="s">
        <v>3</v>
      </c>
      <c r="AD4843">
        <v>41.796987</v>
      </c>
      <c r="AE4843">
        <v>-88.22376</v>
      </c>
      <c r="AF4843" s="5" t="str">
        <f>HYPERLINK("https://www.google.com/maps/search/?api=1&amp;query=41.796987,-88.22376","map")</f>
        <v>map</v>
      </c>
    </row>
    <row r="4844" spans="1:32">
      <c r="A4844" t="s">
        <v>4894</v>
      </c>
      <c r="B4844" t="s">
        <v>12427</v>
      </c>
      <c r="C4844" t="s">
        <v>15662</v>
      </c>
      <c r="D4844" t="s">
        <v>16206</v>
      </c>
      <c r="E4844" t="s">
        <v>16218</v>
      </c>
      <c r="F4844" t="s">
        <v>16221</v>
      </c>
      <c r="G4844" t="s">
        <v>16278</v>
      </c>
      <c r="H4844" t="s">
        <v>16277</v>
      </c>
      <c r="I4844" t="s">
        <v>16353</v>
      </c>
      <c r="J4844" t="s">
        <v>16386</v>
      </c>
      <c r="K4844">
        <v>0.16</v>
      </c>
      <c r="L4844">
        <v>6954</v>
      </c>
      <c r="N4844" t="s">
        <v>16393</v>
      </c>
      <c r="O4844" s="4">
        <v>56146</v>
      </c>
      <c r="P4844" s="4">
        <v>222449</v>
      </c>
      <c r="Q4844" s="4">
        <v>278595</v>
      </c>
      <c r="R4844" s="4">
        <v>835785</v>
      </c>
      <c r="S4844" t="s">
        <v>21135</v>
      </c>
      <c r="T4844" s="6">
        <v>45370</v>
      </c>
      <c r="U4844" s="4">
        <v>762677</v>
      </c>
      <c r="V4844" t="s">
        <v>16232</v>
      </c>
      <c r="W4844" t="s">
        <v>26409</v>
      </c>
      <c r="X4844" t="s">
        <v>3</v>
      </c>
      <c r="AA4844" s="5" t="str">
        <f>HYPERLINK("https://www.zillow.com/homes/1171-HIBBARD-RD-NAPERVILLE-IL-605631594_rb/","check listing")</f>
        <v>check listing</v>
      </c>
      <c r="AB4844" s="5" t="str">
        <f>HYPERLINK("https://propertylookup.dupagecounty.gov/Datalets/Datalet.aspx?UseSearch=no&amp;mode=sales&amp;pin=0532302013","sales record")</f>
        <v>sales record</v>
      </c>
      <c r="AC4844" t="s">
        <v>3</v>
      </c>
      <c r="AD4844">
        <v>41.818777</v>
      </c>
      <c r="AE4844">
        <v>-88.122874</v>
      </c>
      <c r="AF4844" s="5" t="str">
        <f>HYPERLINK("https://www.google.com/maps/search/?api=1&amp;query=41.818777,-88.122874","map")</f>
        <v>map</v>
      </c>
    </row>
    <row r="4845" spans="1:32">
      <c r="A4845" t="s">
        <v>4895</v>
      </c>
      <c r="B4845" t="s">
        <v>12428</v>
      </c>
      <c r="C4845" t="s">
        <v>15802</v>
      </c>
      <c r="D4845" t="s">
        <v>16206</v>
      </c>
      <c r="E4845" t="s">
        <v>16218</v>
      </c>
      <c r="F4845" t="s">
        <v>16221</v>
      </c>
      <c r="G4845" t="s">
        <v>16277</v>
      </c>
      <c r="H4845" t="s">
        <v>16277</v>
      </c>
      <c r="I4845" t="s">
        <v>16353</v>
      </c>
      <c r="J4845" t="s">
        <v>16386</v>
      </c>
      <c r="K4845">
        <v>0.159</v>
      </c>
      <c r="L4845">
        <v>6925</v>
      </c>
      <c r="N4845" t="s">
        <v>16393</v>
      </c>
      <c r="O4845" s="4">
        <v>115180</v>
      </c>
      <c r="P4845" s="4">
        <v>63577</v>
      </c>
      <c r="Q4845" s="4">
        <v>178757</v>
      </c>
      <c r="R4845" s="4">
        <v>536271</v>
      </c>
      <c r="S4845" t="s">
        <v>21136</v>
      </c>
      <c r="T4845" s="6">
        <v>45300</v>
      </c>
      <c r="U4845" s="4">
        <v>545000</v>
      </c>
      <c r="V4845" t="s">
        <v>23739</v>
      </c>
      <c r="W4845" t="s">
        <v>26410</v>
      </c>
      <c r="X4845" t="s">
        <v>3</v>
      </c>
      <c r="AA4845" s="5" t="str">
        <f>HYPERLINK("https://www.zillow.com/homes/116-S-WEST-ST-NAPERVILLE-IL-605404353_rb/","check listing")</f>
        <v>check listing</v>
      </c>
      <c r="AB4845" s="5" t="str">
        <f>HYPERLINK("https://propertylookup.dupagecounty.gov/Datalets/Datalet.aspx?UseSearch=no&amp;mode=sales&amp;pin=0713314002","sales record")</f>
        <v>sales record</v>
      </c>
      <c r="AC4845" t="s">
        <v>3</v>
      </c>
      <c r="AD4845">
        <v>41.773871</v>
      </c>
      <c r="AE4845">
        <v>-88.157715</v>
      </c>
      <c r="AF4845" s="5" t="str">
        <f>HYPERLINK("https://www.google.com/maps/search/?api=1&amp;query=41.773871,-88.157715","map")</f>
        <v>map</v>
      </c>
    </row>
    <row r="4846" spans="1:32">
      <c r="A4846" t="s">
        <v>4896</v>
      </c>
      <c r="B4846" t="s">
        <v>12429</v>
      </c>
      <c r="C4846" t="s">
        <v>15753</v>
      </c>
      <c r="D4846" t="s">
        <v>16206</v>
      </c>
      <c r="E4846" t="s">
        <v>16218</v>
      </c>
      <c r="F4846" t="s">
        <v>16221</v>
      </c>
      <c r="G4846" t="s">
        <v>16277</v>
      </c>
      <c r="H4846" t="s">
        <v>16277</v>
      </c>
      <c r="I4846" t="s">
        <v>16353</v>
      </c>
      <c r="J4846" t="s">
        <v>16386</v>
      </c>
      <c r="K4846">
        <v>0.158</v>
      </c>
      <c r="L4846">
        <v>6903</v>
      </c>
      <c r="M4846">
        <v>825</v>
      </c>
      <c r="N4846" t="s">
        <v>16393</v>
      </c>
      <c r="O4846" s="4">
        <v>74905</v>
      </c>
      <c r="P4846" s="4">
        <v>28826</v>
      </c>
      <c r="Q4846" s="4">
        <v>103731</v>
      </c>
      <c r="R4846" s="4">
        <v>311193</v>
      </c>
      <c r="S4846" t="s">
        <v>21137</v>
      </c>
      <c r="T4846" s="6">
        <v>43770</v>
      </c>
      <c r="U4846" s="4">
        <v>223000</v>
      </c>
      <c r="V4846" t="s">
        <v>23739</v>
      </c>
      <c r="W4846" t="s">
        <v>26411</v>
      </c>
      <c r="X4846" t="s">
        <v>3</v>
      </c>
      <c r="AA4846" s="5" t="str">
        <f>HYPERLINK("https://www.zillow.com/homes/948-N-SLEIGHT-ST-NAPERVILLE-IL-605632840_rb/","check listing")</f>
        <v>check listing</v>
      </c>
      <c r="AB4846" s="5" t="str">
        <f>HYPERLINK("https://propertylookup.dupagecounty.gov/Datalets/Datalet.aspx?UseSearch=no&amp;mode=sales&amp;pin=0807312006","sales record")</f>
        <v>sales record</v>
      </c>
      <c r="AC4846" t="s">
        <v>3</v>
      </c>
      <c r="AD4846">
        <v>41.787034</v>
      </c>
      <c r="AE4846">
        <v>-88.13931599999999</v>
      </c>
      <c r="AF4846" s="5" t="str">
        <f>HYPERLINK("https://www.google.com/maps/search/?api=1&amp;query=41.787034,-88.139316","map")</f>
        <v>map</v>
      </c>
    </row>
    <row r="4847" spans="1:32">
      <c r="A4847" t="s">
        <v>4897</v>
      </c>
      <c r="B4847" t="s">
        <v>12430</v>
      </c>
      <c r="C4847" t="s">
        <v>15803</v>
      </c>
      <c r="D4847" t="s">
        <v>16206</v>
      </c>
      <c r="E4847" t="s">
        <v>16218</v>
      </c>
      <c r="F4847" t="s">
        <v>16221</v>
      </c>
      <c r="G4847" t="s">
        <v>16277</v>
      </c>
      <c r="H4847" t="s">
        <v>16277</v>
      </c>
      <c r="I4847" t="s">
        <v>16353</v>
      </c>
      <c r="J4847" t="s">
        <v>16386</v>
      </c>
      <c r="K4847">
        <v>0.158</v>
      </c>
      <c r="L4847">
        <v>6902</v>
      </c>
      <c r="M4847">
        <v>2540</v>
      </c>
      <c r="N4847" t="s">
        <v>16393</v>
      </c>
      <c r="O4847" s="4">
        <v>118523</v>
      </c>
      <c r="P4847" s="4">
        <v>145458</v>
      </c>
      <c r="Q4847" s="4">
        <v>263981</v>
      </c>
      <c r="R4847" s="4">
        <v>791943</v>
      </c>
      <c r="S4847" t="s">
        <v>21138</v>
      </c>
      <c r="T4847" s="6">
        <v>45711</v>
      </c>
      <c r="U4847" s="4">
        <v>950000</v>
      </c>
      <c r="V4847" t="s">
        <v>23739</v>
      </c>
      <c r="W4847" t="s">
        <v>26412</v>
      </c>
      <c r="X4847" t="s">
        <v>3</v>
      </c>
      <c r="AA4847" s="5" t="str">
        <f>HYPERLINK("https://www.zillow.com/homes/219-N-ELLSWORTH-ST-NAPERVILLE-IL-605404622_rb/","check listing")</f>
        <v>check listing</v>
      </c>
      <c r="AB4847" s="5" t="str">
        <f>HYPERLINK("https://propertylookup.dupagecounty.gov/Datalets/Datalet.aspx?UseSearch=no&amp;mode=sales&amp;pin=0818129009","sales record")</f>
        <v>sales record</v>
      </c>
      <c r="AC4847" t="s">
        <v>3</v>
      </c>
      <c r="AD4847">
        <v>41.778098</v>
      </c>
      <c r="AE4847">
        <v>-88.145349</v>
      </c>
      <c r="AF4847" s="5" t="str">
        <f>HYPERLINK("https://www.google.com/maps/search/?api=1&amp;query=41.778098,-88.145349","map")</f>
        <v>map</v>
      </c>
    </row>
    <row r="4848" spans="1:32">
      <c r="A4848" t="s">
        <v>4898</v>
      </c>
      <c r="B4848" t="s">
        <v>12431</v>
      </c>
      <c r="C4848" t="s">
        <v>15804</v>
      </c>
      <c r="D4848" t="s">
        <v>16206</v>
      </c>
      <c r="E4848" t="s">
        <v>16218</v>
      </c>
      <c r="F4848" t="s">
        <v>16221</v>
      </c>
      <c r="G4848" t="s">
        <v>16277</v>
      </c>
      <c r="H4848" t="s">
        <v>16277</v>
      </c>
      <c r="I4848" t="s">
        <v>16353</v>
      </c>
      <c r="J4848" t="s">
        <v>16386</v>
      </c>
      <c r="K4848">
        <v>0.158</v>
      </c>
      <c r="L4848">
        <v>6884</v>
      </c>
      <c r="M4848">
        <v>1319</v>
      </c>
      <c r="N4848" t="s">
        <v>16393</v>
      </c>
      <c r="O4848" s="4">
        <v>110420</v>
      </c>
      <c r="P4848" s="4">
        <v>401319</v>
      </c>
      <c r="Q4848" s="4">
        <v>511739</v>
      </c>
      <c r="R4848" s="4">
        <v>1535217</v>
      </c>
      <c r="S4848" t="s">
        <v>21139</v>
      </c>
      <c r="T4848" s="6">
        <v>42644</v>
      </c>
      <c r="U4848" s="4">
        <v>330000</v>
      </c>
      <c r="V4848" t="s">
        <v>23739</v>
      </c>
      <c r="W4848" t="s">
        <v>26413</v>
      </c>
      <c r="X4848" t="s">
        <v>3</v>
      </c>
      <c r="AA4848" s="5" t="str">
        <f>HYPERLINK("https://www.zillow.com/homes/529-W-BENTON-AVE-NAPERVILLE-IL-605404407_rb/","check listing")</f>
        <v>check listing</v>
      </c>
      <c r="AB4848" s="5" t="str">
        <f>HYPERLINK("https://propertylookup.dupagecounty.gov/Datalets/Datalet.aspx?UseSearch=no&amp;mode=sales&amp;pin=0713306004","sales record")</f>
        <v>sales record</v>
      </c>
      <c r="AC4848" t="s">
        <v>3</v>
      </c>
      <c r="AD4848">
        <v>41.775644</v>
      </c>
      <c r="AE4848">
        <v>-88.15727</v>
      </c>
      <c r="AF4848" s="5" t="str">
        <f>HYPERLINK("https://www.google.com/maps/search/?api=1&amp;query=41.775644,-88.15727","map")</f>
        <v>map</v>
      </c>
    </row>
    <row r="4849" spans="1:32">
      <c r="A4849" t="s">
        <v>4899</v>
      </c>
      <c r="B4849" t="s">
        <v>12432</v>
      </c>
      <c r="C4849" t="s">
        <v>15478</v>
      </c>
      <c r="D4849" t="s">
        <v>16206</v>
      </c>
      <c r="E4849" t="s">
        <v>16218</v>
      </c>
      <c r="F4849" t="s">
        <v>16221</v>
      </c>
      <c r="G4849" t="s">
        <v>16277</v>
      </c>
      <c r="H4849" t="s">
        <v>16277</v>
      </c>
      <c r="I4849" t="s">
        <v>16353</v>
      </c>
      <c r="J4849" t="s">
        <v>16386</v>
      </c>
      <c r="K4849">
        <v>0.158</v>
      </c>
      <c r="L4849">
        <v>6877</v>
      </c>
      <c r="M4849">
        <v>1715</v>
      </c>
      <c r="N4849" t="s">
        <v>16393</v>
      </c>
      <c r="O4849" s="4">
        <v>107988</v>
      </c>
      <c r="P4849" s="4">
        <v>1617</v>
      </c>
      <c r="Q4849" s="4">
        <v>109605</v>
      </c>
      <c r="R4849" s="4">
        <v>328815</v>
      </c>
      <c r="S4849" t="s">
        <v>21140</v>
      </c>
      <c r="T4849" s="6">
        <v>41821</v>
      </c>
      <c r="U4849" s="4">
        <v>97500</v>
      </c>
      <c r="V4849" t="s">
        <v>23739</v>
      </c>
      <c r="W4849" t="s">
        <v>26414</v>
      </c>
      <c r="X4849" t="s">
        <v>3</v>
      </c>
      <c r="AA4849" s="5" t="str">
        <f>HYPERLINK("https://www.zillow.com/homes/319-E-6TH-AVE-NAPERVILLE-IL-60563_rb/","check listing")</f>
        <v>check listing</v>
      </c>
      <c r="AB4849" s="5" t="str">
        <f>HYPERLINK("https://propertylookup.dupagecounty.gov/Datalets/Datalet.aspx?UseSearch=no&amp;mode=sales&amp;pin=0818115014","sales record")</f>
        <v>sales record</v>
      </c>
      <c r="AC4849" t="s">
        <v>3</v>
      </c>
      <c r="AD4849">
        <v>41.782083</v>
      </c>
      <c r="AE4849">
        <v>-88.142673</v>
      </c>
      <c r="AF4849" s="5" t="str">
        <f>HYPERLINK("https://www.google.com/maps/search/?api=1&amp;query=41.782083,-88.142673","map")</f>
        <v>map</v>
      </c>
    </row>
    <row r="4850" spans="1:32">
      <c r="A4850" t="s">
        <v>4900</v>
      </c>
      <c r="B4850" t="s">
        <v>12433</v>
      </c>
      <c r="C4850" t="s">
        <v>15475</v>
      </c>
      <c r="D4850" t="s">
        <v>16206</v>
      </c>
      <c r="E4850" t="s">
        <v>16218</v>
      </c>
      <c r="F4850" t="s">
        <v>16221</v>
      </c>
      <c r="G4850" t="s">
        <v>16277</v>
      </c>
      <c r="H4850" t="s">
        <v>16277</v>
      </c>
      <c r="I4850" t="s">
        <v>16353</v>
      </c>
      <c r="J4850" t="s">
        <v>16386</v>
      </c>
      <c r="K4850">
        <v>0.158</v>
      </c>
      <c r="L4850">
        <v>6870</v>
      </c>
      <c r="M4850">
        <v>2972</v>
      </c>
      <c r="N4850" t="s">
        <v>16393</v>
      </c>
      <c r="O4850" s="4">
        <v>107808</v>
      </c>
      <c r="P4850" s="4">
        <v>173179</v>
      </c>
      <c r="Q4850" s="4">
        <v>280987</v>
      </c>
      <c r="R4850" s="4">
        <v>842961</v>
      </c>
      <c r="S4850" t="s">
        <v>21141</v>
      </c>
      <c r="T4850" s="6">
        <v>41487</v>
      </c>
      <c r="U4850" s="4">
        <v>580000</v>
      </c>
      <c r="V4850" t="s">
        <v>23740</v>
      </c>
      <c r="W4850" t="s">
        <v>26415</v>
      </c>
      <c r="X4850" t="s">
        <v>3</v>
      </c>
      <c r="AA4850" s="5" t="str">
        <f>HYPERLINK("https://www.zillow.com/homes/326-W-BENTON-AVE-NAPERVILLE-IL-60540_rb/","check listing")</f>
        <v>check listing</v>
      </c>
      <c r="AB4850" s="5" t="str">
        <f>HYPERLINK("https://propertylookup.dupagecounty.gov/Datalets/Datalet.aspx?UseSearch=no&amp;mode=sales&amp;pin=0713416010","sales record")</f>
        <v>sales record</v>
      </c>
      <c r="AC4850" t="s">
        <v>27873</v>
      </c>
      <c r="AD4850">
        <v>41.774917</v>
      </c>
      <c r="AE4850">
        <v>-88.153814</v>
      </c>
      <c r="AF4850" s="5" t="str">
        <f>HYPERLINK("https://www.google.com/maps/search/?api=1&amp;query=41.774917,-88.153814","map")</f>
        <v>map</v>
      </c>
    </row>
    <row r="4851" spans="1:32">
      <c r="A4851" t="s">
        <v>4901</v>
      </c>
      <c r="B4851" t="s">
        <v>12434</v>
      </c>
      <c r="C4851" t="s">
        <v>15475</v>
      </c>
      <c r="D4851" t="s">
        <v>16206</v>
      </c>
      <c r="E4851" t="s">
        <v>16218</v>
      </c>
      <c r="F4851" t="s">
        <v>16221</v>
      </c>
      <c r="G4851" t="s">
        <v>16277</v>
      </c>
      <c r="H4851" t="s">
        <v>16277</v>
      </c>
      <c r="I4851" t="s">
        <v>16353</v>
      </c>
      <c r="J4851" t="s">
        <v>16386</v>
      </c>
      <c r="K4851">
        <v>0.158</v>
      </c>
      <c r="L4851">
        <v>6865</v>
      </c>
      <c r="M4851">
        <v>2243</v>
      </c>
      <c r="N4851" t="s">
        <v>16393</v>
      </c>
      <c r="O4851" s="4">
        <v>109773</v>
      </c>
      <c r="P4851" s="4">
        <v>75916</v>
      </c>
      <c r="Q4851" s="4">
        <v>185689</v>
      </c>
      <c r="R4851" s="4">
        <v>557067</v>
      </c>
      <c r="S4851" t="s">
        <v>21142</v>
      </c>
      <c r="T4851" s="6">
        <v>39264</v>
      </c>
      <c r="U4851" s="4">
        <v>100000</v>
      </c>
      <c r="V4851" t="s">
        <v>23739</v>
      </c>
      <c r="W4851" t="s">
        <v>26416</v>
      </c>
      <c r="X4851" t="s">
        <v>3</v>
      </c>
      <c r="AA4851" s="5" t="str">
        <f>HYPERLINK("https://www.zillow.com/homes/215-N-MILL-ST-NAPERVILLE-IL-60540_rb/","check listing")</f>
        <v>check listing</v>
      </c>
      <c r="AB4851" s="5" t="str">
        <f>HYPERLINK("https://propertylookup.dupagecounty.gov/Datalets/Datalet.aspx?UseSearch=no&amp;mode=sales&amp;pin=0713222015","sales record")</f>
        <v>sales record</v>
      </c>
      <c r="AC4851" t="s">
        <v>3</v>
      </c>
      <c r="AD4851">
        <v>41.777667</v>
      </c>
      <c r="AE4851">
        <v>-88.154796</v>
      </c>
      <c r="AF4851" s="5" t="str">
        <f>HYPERLINK("https://www.google.com/maps/search/?api=1&amp;query=41.777667,-88.154796","map")</f>
        <v>map</v>
      </c>
    </row>
    <row r="4852" spans="1:32">
      <c r="A4852" t="s">
        <v>4902</v>
      </c>
      <c r="B4852" t="s">
        <v>12435</v>
      </c>
      <c r="C4852" t="s">
        <v>15478</v>
      </c>
      <c r="D4852" t="s">
        <v>16206</v>
      </c>
      <c r="E4852" t="s">
        <v>16218</v>
      </c>
      <c r="F4852" t="s">
        <v>16221</v>
      </c>
      <c r="G4852" t="s">
        <v>16277</v>
      </c>
      <c r="H4852" t="s">
        <v>16277</v>
      </c>
      <c r="I4852" t="s">
        <v>16353</v>
      </c>
      <c r="J4852" t="s">
        <v>16386</v>
      </c>
      <c r="K4852">
        <v>0.157</v>
      </c>
      <c r="L4852">
        <v>6848</v>
      </c>
      <c r="M4852">
        <v>1649</v>
      </c>
      <c r="N4852" t="s">
        <v>16393</v>
      </c>
      <c r="O4852" s="4">
        <v>69543</v>
      </c>
      <c r="P4852" s="4">
        <v>98023</v>
      </c>
      <c r="Q4852" s="4">
        <v>167566</v>
      </c>
      <c r="R4852" s="4">
        <v>502698</v>
      </c>
      <c r="S4852" t="s">
        <v>21143</v>
      </c>
      <c r="T4852" s="6">
        <v>39934</v>
      </c>
      <c r="U4852" s="4">
        <v>390000</v>
      </c>
      <c r="V4852" t="s">
        <v>23739</v>
      </c>
      <c r="W4852" t="s">
        <v>26417</v>
      </c>
      <c r="X4852" t="s">
        <v>3</v>
      </c>
      <c r="AA4852" s="5" t="str">
        <f>HYPERLINK("https://www.zillow.com/homes/95153-N-BRAINARD-ST-NAPERVILLE-IL-60563_rb/","check listing")</f>
        <v>check listing</v>
      </c>
      <c r="AB4852" s="5" t="str">
        <f>HYPERLINK("https://propertylookup.dupagecounty.gov/Datalets/Datalet.aspx?UseSearch=no&amp;mode=sales&amp;pin=0807309023","sales record")</f>
        <v>sales record</v>
      </c>
      <c r="AC4852" t="s">
        <v>3</v>
      </c>
      <c r="AD4852">
        <v>41.787199</v>
      </c>
      <c r="AE4852">
        <v>-88.14328</v>
      </c>
      <c r="AF4852" s="5" t="str">
        <f>HYPERLINK("https://www.google.com/maps/search/?api=1&amp;query=41.787199,-88.14328","map")</f>
        <v>map</v>
      </c>
    </row>
    <row r="4853" spans="1:32">
      <c r="A4853" t="s">
        <v>4903</v>
      </c>
      <c r="B4853" t="s">
        <v>12436</v>
      </c>
      <c r="C4853" t="s">
        <v>15478</v>
      </c>
      <c r="D4853" t="s">
        <v>16206</v>
      </c>
      <c r="E4853" t="s">
        <v>16218</v>
      </c>
      <c r="F4853" t="s">
        <v>16221</v>
      </c>
      <c r="G4853" t="s">
        <v>16278</v>
      </c>
      <c r="H4853" t="s">
        <v>16277</v>
      </c>
      <c r="I4853" t="s">
        <v>16353</v>
      </c>
      <c r="J4853" t="s">
        <v>16386</v>
      </c>
      <c r="K4853">
        <v>0.157</v>
      </c>
      <c r="L4853">
        <v>6838</v>
      </c>
      <c r="N4853" t="s">
        <v>16393</v>
      </c>
      <c r="O4853" s="4">
        <v>56146</v>
      </c>
      <c r="P4853" s="4">
        <v>222406</v>
      </c>
      <c r="Q4853" s="4">
        <v>278552</v>
      </c>
      <c r="R4853" s="4">
        <v>835656</v>
      </c>
      <c r="S4853" t="s">
        <v>21144</v>
      </c>
      <c r="T4853" s="6">
        <v>44846</v>
      </c>
      <c r="U4853" s="4">
        <v>691563</v>
      </c>
      <c r="V4853" t="s">
        <v>16232</v>
      </c>
      <c r="W4853" t="s">
        <v>26418</v>
      </c>
      <c r="X4853" t="s">
        <v>3</v>
      </c>
      <c r="AA4853" s="5" t="str">
        <f>HYPERLINK("https://www.zillow.com/homes/1231-WRENSON-AVE-NAPERVILLE-IL-60563_rb/","check listing")</f>
        <v>check listing</v>
      </c>
      <c r="AB4853" s="5" t="str">
        <f>HYPERLINK("https://propertylookup.dupagecounty.gov/Datalets/Datalet.aspx?UseSearch=no&amp;mode=sales&amp;pin=0532304007","sales record")</f>
        <v>sales record</v>
      </c>
      <c r="AC4853" t="s">
        <v>3</v>
      </c>
      <c r="AD4853">
        <v>41.817502</v>
      </c>
      <c r="AE4853">
        <v>-88.120414</v>
      </c>
      <c r="AF4853" s="5" t="str">
        <f>HYPERLINK("https://www.google.com/maps/search/?api=1&amp;query=41.817502,-88.120414","map")</f>
        <v>map</v>
      </c>
    </row>
    <row r="4854" spans="1:32">
      <c r="A4854" t="s">
        <v>4904</v>
      </c>
      <c r="B4854" t="s">
        <v>12437</v>
      </c>
      <c r="C4854" t="s">
        <v>15478</v>
      </c>
      <c r="D4854" t="s">
        <v>16206</v>
      </c>
      <c r="E4854" t="s">
        <v>16218</v>
      </c>
      <c r="F4854" t="s">
        <v>16221</v>
      </c>
      <c r="G4854" t="s">
        <v>16278</v>
      </c>
      <c r="H4854" t="s">
        <v>16277</v>
      </c>
      <c r="I4854" t="s">
        <v>16353</v>
      </c>
      <c r="J4854" t="s">
        <v>16386</v>
      </c>
      <c r="K4854">
        <v>0.157</v>
      </c>
      <c r="L4854">
        <v>6837</v>
      </c>
      <c r="N4854" t="s">
        <v>16393</v>
      </c>
      <c r="O4854" s="4">
        <v>56146</v>
      </c>
      <c r="P4854" s="4">
        <v>230301</v>
      </c>
      <c r="Q4854" s="4">
        <v>286447</v>
      </c>
      <c r="R4854" s="4">
        <v>859341</v>
      </c>
      <c r="S4854" t="s">
        <v>21145</v>
      </c>
      <c r="T4854" s="6">
        <v>44741</v>
      </c>
      <c r="U4854" s="4">
        <v>635111</v>
      </c>
      <c r="V4854" t="s">
        <v>16232</v>
      </c>
      <c r="W4854" t="s">
        <v>26419</v>
      </c>
      <c r="X4854" t="s">
        <v>3</v>
      </c>
      <c r="AA4854" s="5" t="str">
        <f>HYPERLINK("https://www.zillow.com/homes/1235-WRENSON-AVE-NAPERVILLE-IL-60563_rb/","check listing")</f>
        <v>check listing</v>
      </c>
      <c r="AB4854" s="5" t="str">
        <f>HYPERLINK("https://propertylookup.dupagecounty.gov/Datalets/Datalet.aspx?UseSearch=no&amp;mode=sales&amp;pin=0532304006","sales record")</f>
        <v>sales record</v>
      </c>
      <c r="AC4854" t="s">
        <v>3</v>
      </c>
      <c r="AD4854">
        <v>41.817485</v>
      </c>
      <c r="AE4854">
        <v>-88.120206</v>
      </c>
      <c r="AF4854" s="5" t="str">
        <f>HYPERLINK("https://www.google.com/maps/search/?api=1&amp;query=41.817485,-88.120206","map")</f>
        <v>map</v>
      </c>
    </row>
    <row r="4855" spans="1:32">
      <c r="A4855" t="s">
        <v>4905</v>
      </c>
      <c r="B4855" t="s">
        <v>12438</v>
      </c>
      <c r="C4855" t="s">
        <v>15662</v>
      </c>
      <c r="D4855" t="s">
        <v>16206</v>
      </c>
      <c r="E4855" t="s">
        <v>16218</v>
      </c>
      <c r="F4855" t="s">
        <v>16221</v>
      </c>
      <c r="G4855" t="s">
        <v>16278</v>
      </c>
      <c r="H4855" t="s">
        <v>16277</v>
      </c>
      <c r="I4855" t="s">
        <v>16353</v>
      </c>
      <c r="J4855" t="s">
        <v>16386</v>
      </c>
      <c r="K4855">
        <v>0.157</v>
      </c>
      <c r="L4855">
        <v>6827</v>
      </c>
      <c r="N4855" t="s">
        <v>16393</v>
      </c>
      <c r="O4855" s="4">
        <v>56146</v>
      </c>
      <c r="P4855" s="4">
        <v>179951</v>
      </c>
      <c r="Q4855" s="4">
        <v>236097</v>
      </c>
      <c r="R4855" s="4">
        <v>708291</v>
      </c>
      <c r="S4855" t="s">
        <v>21146</v>
      </c>
      <c r="T4855" s="6">
        <v>45120</v>
      </c>
      <c r="U4855" s="4">
        <v>654109</v>
      </c>
      <c r="V4855" t="s">
        <v>16232</v>
      </c>
      <c r="W4855" t="s">
        <v>26420</v>
      </c>
      <c r="X4855" t="s">
        <v>3</v>
      </c>
      <c r="AA4855" s="5" t="str">
        <f>HYPERLINK("https://www.zillow.com/homes/1183-HIBBARD-RD-NAPERVILLE-IL-605631594_rb/","check listing")</f>
        <v>check listing</v>
      </c>
      <c r="AB4855" s="5" t="str">
        <f>HYPERLINK("https://propertylookup.dupagecounty.gov/Datalets/Datalet.aspx?UseSearch=no&amp;mode=sales&amp;pin=0532302010","sales record")</f>
        <v>sales record</v>
      </c>
      <c r="AC4855" t="s">
        <v>3</v>
      </c>
      <c r="AD4855">
        <v>41.818452</v>
      </c>
      <c r="AE4855">
        <v>-88.122479</v>
      </c>
      <c r="AF4855" s="5" t="str">
        <f>HYPERLINK("https://www.google.com/maps/search/?api=1&amp;query=41.818452,-88.122479","map")</f>
        <v>map</v>
      </c>
    </row>
    <row r="4856" spans="1:32">
      <c r="A4856" t="s">
        <v>4906</v>
      </c>
      <c r="B4856" t="s">
        <v>12439</v>
      </c>
      <c r="C4856" t="s">
        <v>15662</v>
      </c>
      <c r="D4856" t="s">
        <v>16206</v>
      </c>
      <c r="E4856" t="s">
        <v>16218</v>
      </c>
      <c r="F4856" t="s">
        <v>16221</v>
      </c>
      <c r="G4856" t="s">
        <v>16278</v>
      </c>
      <c r="H4856" t="s">
        <v>16277</v>
      </c>
      <c r="I4856" t="s">
        <v>16353</v>
      </c>
      <c r="J4856" t="s">
        <v>16386</v>
      </c>
      <c r="K4856">
        <v>0.157</v>
      </c>
      <c r="L4856">
        <v>6820</v>
      </c>
      <c r="N4856" t="s">
        <v>16393</v>
      </c>
      <c r="O4856" s="4">
        <v>56146</v>
      </c>
      <c r="P4856" s="4">
        <v>192866</v>
      </c>
      <c r="Q4856" s="4">
        <v>249012</v>
      </c>
      <c r="R4856" s="4">
        <v>747036</v>
      </c>
      <c r="S4856" t="s">
        <v>21147</v>
      </c>
      <c r="T4856" s="6">
        <v>44924</v>
      </c>
      <c r="U4856" s="4">
        <v>796668</v>
      </c>
      <c r="V4856" t="s">
        <v>16232</v>
      </c>
      <c r="W4856" t="s">
        <v>26421</v>
      </c>
      <c r="X4856" t="s">
        <v>3</v>
      </c>
      <c r="AA4856" s="5" t="str">
        <f>HYPERLINK("https://www.zillow.com/homes/2335-LUCENT-LN-NAPERVILLE-IL-605631594_rb/","check listing")</f>
        <v>check listing</v>
      </c>
      <c r="AB4856" s="5" t="str">
        <f>HYPERLINK("https://propertylookup.dupagecounty.gov/Datalets/Datalet.aspx?UseSearch=no&amp;mode=sales&amp;pin=0532300026","sales record")</f>
        <v>sales record</v>
      </c>
      <c r="AC4856" t="s">
        <v>3</v>
      </c>
      <c r="AD4856">
        <v>41.817533</v>
      </c>
      <c r="AE4856">
        <v>-88.122702</v>
      </c>
      <c r="AF4856" s="5" t="str">
        <f>HYPERLINK("https://www.google.com/maps/search/?api=1&amp;query=41.817533,-88.122702","map")</f>
        <v>map</v>
      </c>
    </row>
    <row r="4857" spans="1:32">
      <c r="A4857" t="s">
        <v>4907</v>
      </c>
      <c r="B4857" t="s">
        <v>12440</v>
      </c>
      <c r="C4857" t="s">
        <v>15695</v>
      </c>
      <c r="D4857" t="s">
        <v>16206</v>
      </c>
      <c r="E4857" t="s">
        <v>16218</v>
      </c>
      <c r="F4857" t="s">
        <v>16221</v>
      </c>
      <c r="G4857" t="s">
        <v>16278</v>
      </c>
      <c r="H4857" t="s">
        <v>16277</v>
      </c>
      <c r="I4857" t="s">
        <v>16353</v>
      </c>
      <c r="J4857" t="s">
        <v>16386</v>
      </c>
      <c r="K4857">
        <v>0.155</v>
      </c>
      <c r="L4857">
        <v>6768</v>
      </c>
      <c r="N4857" t="s">
        <v>16393</v>
      </c>
      <c r="O4857" s="4">
        <v>59829</v>
      </c>
      <c r="P4857" s="4">
        <v>172129</v>
      </c>
      <c r="Q4857" s="4">
        <v>231958</v>
      </c>
      <c r="R4857" s="4">
        <v>695874</v>
      </c>
      <c r="S4857" t="s">
        <v>21148</v>
      </c>
      <c r="T4857" s="6">
        <v>43132</v>
      </c>
      <c r="U4857" s="4">
        <v>528498</v>
      </c>
      <c r="V4857" t="s">
        <v>16232</v>
      </c>
      <c r="W4857" t="s">
        <v>26422</v>
      </c>
      <c r="X4857" t="s">
        <v>3</v>
      </c>
      <c r="AA4857" s="5" t="str">
        <f>HYPERLINK("https://www.zillow.com/homes/1420-BAYOU-PATH-DR-NAPERVILLE-IL-605633498_rb/","check listing")</f>
        <v>check listing</v>
      </c>
      <c r="AB4857" s="5" t="str">
        <f>HYPERLINK("https://propertylookup.dupagecounty.gov/Datalets/Datalet.aspx?UseSearch=no&amp;mode=sales&amp;pin=0709305042","sales record")</f>
        <v>sales record</v>
      </c>
      <c r="AC4857" t="s">
        <v>3</v>
      </c>
      <c r="AD4857">
        <v>41.787874</v>
      </c>
      <c r="AE4857">
        <v>-88.21945100000001</v>
      </c>
      <c r="AF4857" s="5" t="str">
        <f>HYPERLINK("https://www.google.com/maps/search/?api=1&amp;query=41.787874,-88.219451","map")</f>
        <v>map</v>
      </c>
    </row>
    <row r="4858" spans="1:32">
      <c r="A4858" t="s">
        <v>4908</v>
      </c>
      <c r="B4858" t="s">
        <v>12441</v>
      </c>
      <c r="C4858" t="s">
        <v>15695</v>
      </c>
      <c r="D4858" t="s">
        <v>16206</v>
      </c>
      <c r="E4858" t="s">
        <v>16218</v>
      </c>
      <c r="F4858" t="s">
        <v>16221</v>
      </c>
      <c r="G4858" t="s">
        <v>16278</v>
      </c>
      <c r="H4858" t="s">
        <v>16277</v>
      </c>
      <c r="I4858" t="s">
        <v>16353</v>
      </c>
      <c r="J4858" t="s">
        <v>16386</v>
      </c>
      <c r="K4858">
        <v>0.155</v>
      </c>
      <c r="L4858">
        <v>6766</v>
      </c>
      <c r="N4858" t="s">
        <v>16393</v>
      </c>
      <c r="O4858" s="4">
        <v>59829</v>
      </c>
      <c r="P4858" s="4">
        <v>143069</v>
      </c>
      <c r="Q4858" s="4">
        <v>202898</v>
      </c>
      <c r="R4858" s="4">
        <v>608694</v>
      </c>
      <c r="S4858" t="s">
        <v>21149</v>
      </c>
      <c r="T4858" s="6">
        <v>43160</v>
      </c>
      <c r="U4858" s="4">
        <v>445415</v>
      </c>
      <c r="V4858" t="s">
        <v>16232</v>
      </c>
      <c r="W4858" t="s">
        <v>26423</v>
      </c>
      <c r="X4858" t="s">
        <v>3</v>
      </c>
      <c r="AA4858" s="5" t="str">
        <f>HYPERLINK("https://www.zillow.com/homes/1424-BAYOU-PATH-DR-NAPERVILLE-IL-605633498_rb/","check listing")</f>
        <v>check listing</v>
      </c>
      <c r="AB4858" s="5" t="str">
        <f>HYPERLINK("https://propertylookup.dupagecounty.gov/Datalets/Datalet.aspx?UseSearch=no&amp;mode=sales&amp;pin=0709305041","sales record")</f>
        <v>sales record</v>
      </c>
      <c r="AC4858" t="s">
        <v>3</v>
      </c>
      <c r="AD4858">
        <v>41.788028</v>
      </c>
      <c r="AE4858">
        <v>-88.219461</v>
      </c>
      <c r="AF4858" s="5" t="str">
        <f>HYPERLINK("https://www.google.com/maps/search/?api=1&amp;query=41.788028,-88.219461","map")</f>
        <v>map</v>
      </c>
    </row>
    <row r="4859" spans="1:32">
      <c r="A4859" t="s">
        <v>4909</v>
      </c>
      <c r="B4859" t="s">
        <v>12442</v>
      </c>
      <c r="C4859" t="s">
        <v>15805</v>
      </c>
      <c r="D4859" t="s">
        <v>16206</v>
      </c>
      <c r="E4859" t="s">
        <v>16218</v>
      </c>
      <c r="F4859" t="s">
        <v>16221</v>
      </c>
      <c r="G4859" t="s">
        <v>16278</v>
      </c>
      <c r="H4859" t="s">
        <v>16277</v>
      </c>
      <c r="I4859" t="s">
        <v>16353</v>
      </c>
      <c r="J4859" t="s">
        <v>16386</v>
      </c>
      <c r="K4859">
        <v>0.155</v>
      </c>
      <c r="L4859">
        <v>6765</v>
      </c>
      <c r="M4859">
        <v>3350</v>
      </c>
      <c r="N4859" t="s">
        <v>16393</v>
      </c>
      <c r="O4859" s="4">
        <v>62735</v>
      </c>
      <c r="P4859" s="4">
        <v>112910</v>
      </c>
      <c r="Q4859" s="4">
        <v>175645</v>
      </c>
      <c r="R4859" s="4">
        <v>526935</v>
      </c>
      <c r="S4859" t="s">
        <v>21150</v>
      </c>
      <c r="T4859" s="6">
        <v>39173</v>
      </c>
      <c r="U4859" s="4">
        <v>427000</v>
      </c>
      <c r="V4859" t="s">
        <v>23739</v>
      </c>
      <c r="W4859" t="s">
        <v>26424</v>
      </c>
      <c r="X4859" t="s">
        <v>3</v>
      </c>
      <c r="AA4859" s="5" t="str">
        <f>HYPERLINK("https://www.zillow.com/homes/1514-WEDGEFIELD-CIR-NAPERVILLE-IL-605631124_rb/","check listing")</f>
        <v>check listing</v>
      </c>
      <c r="AB4859" s="5" t="str">
        <f>HYPERLINK("https://propertylookup.dupagecounty.gov/Datalets/Datalet.aspx?UseSearch=no&amp;mode=sales&amp;pin=0712107001","sales record")</f>
        <v>sales record</v>
      </c>
      <c r="AC4859" t="s">
        <v>3</v>
      </c>
      <c r="AD4859">
        <v>41.795536</v>
      </c>
      <c r="AE4859">
        <v>-88.15862199999999</v>
      </c>
      <c r="AF4859" s="5" t="str">
        <f>HYPERLINK("https://www.google.com/maps/search/?api=1&amp;query=41.795536,-88.158622","map")</f>
        <v>map</v>
      </c>
    </row>
    <row r="4860" spans="1:32">
      <c r="A4860" t="s">
        <v>4910</v>
      </c>
      <c r="B4860" t="s">
        <v>12443</v>
      </c>
      <c r="C4860" t="s">
        <v>15478</v>
      </c>
      <c r="D4860" t="s">
        <v>16206</v>
      </c>
      <c r="E4860" t="s">
        <v>16218</v>
      </c>
      <c r="F4860" t="s">
        <v>16221</v>
      </c>
      <c r="G4860" t="s">
        <v>16278</v>
      </c>
      <c r="H4860" t="s">
        <v>16277</v>
      </c>
      <c r="I4860" t="s">
        <v>16353</v>
      </c>
      <c r="J4860" t="s">
        <v>16386</v>
      </c>
      <c r="K4860">
        <v>0.155</v>
      </c>
      <c r="L4860">
        <v>6761</v>
      </c>
      <c r="N4860" t="s">
        <v>16393</v>
      </c>
      <c r="O4860" s="4">
        <v>59829</v>
      </c>
      <c r="P4860" s="4">
        <v>175474</v>
      </c>
      <c r="Q4860" s="4">
        <v>235303</v>
      </c>
      <c r="R4860" s="4">
        <v>705909</v>
      </c>
      <c r="S4860" t="s">
        <v>21151</v>
      </c>
      <c r="T4860" s="6">
        <v>44781</v>
      </c>
      <c r="U4860" s="4">
        <v>654000</v>
      </c>
      <c r="V4860" t="s">
        <v>23739</v>
      </c>
      <c r="W4860" t="s">
        <v>26425</v>
      </c>
      <c r="X4860" t="s">
        <v>3</v>
      </c>
      <c r="AA4860" s="5" t="str">
        <f>HYPERLINK("https://www.zillow.com/homes/1428-BAYOU-PATH-DR-NAPERVILLE-IL-60563_rb/","check listing")</f>
        <v>check listing</v>
      </c>
      <c r="AB4860" s="5" t="str">
        <f>HYPERLINK("https://propertylookup.dupagecounty.gov/Datalets/Datalet.aspx?UseSearch=no&amp;mode=sales&amp;pin=0709305040","sales record")</f>
        <v>sales record</v>
      </c>
      <c r="AC4860" t="s">
        <v>3</v>
      </c>
      <c r="AD4860">
        <v>41.788181</v>
      </c>
      <c r="AE4860">
        <v>-88.219472</v>
      </c>
      <c r="AF4860" s="5" t="str">
        <f>HYPERLINK("https://www.google.com/maps/search/?api=1&amp;query=41.788181,-88.219472","map")</f>
        <v>map</v>
      </c>
    </row>
    <row r="4861" spans="1:32">
      <c r="A4861" t="s">
        <v>4911</v>
      </c>
      <c r="B4861" t="s">
        <v>12444</v>
      </c>
      <c r="C4861" t="s">
        <v>15475</v>
      </c>
      <c r="D4861" t="s">
        <v>16206</v>
      </c>
      <c r="E4861" t="s">
        <v>16218</v>
      </c>
      <c r="F4861" t="s">
        <v>16221</v>
      </c>
      <c r="G4861" t="s">
        <v>16278</v>
      </c>
      <c r="H4861" t="s">
        <v>16277</v>
      </c>
      <c r="I4861" t="s">
        <v>16353</v>
      </c>
      <c r="J4861" t="s">
        <v>16386</v>
      </c>
      <c r="K4861">
        <v>0.155</v>
      </c>
      <c r="L4861">
        <v>6759</v>
      </c>
      <c r="N4861" t="s">
        <v>16393</v>
      </c>
      <c r="O4861" s="4">
        <v>59829</v>
      </c>
      <c r="P4861" s="4">
        <v>179611</v>
      </c>
      <c r="Q4861" s="4">
        <v>239440</v>
      </c>
      <c r="R4861" s="4">
        <v>718320</v>
      </c>
      <c r="S4861" t="s">
        <v>21152</v>
      </c>
      <c r="T4861" s="6">
        <v>45593</v>
      </c>
      <c r="U4861" s="4">
        <v>770000</v>
      </c>
      <c r="V4861" t="s">
        <v>23739</v>
      </c>
      <c r="W4861" t="s">
        <v>26426</v>
      </c>
      <c r="X4861" t="s">
        <v>3</v>
      </c>
      <c r="AA4861" s="5" t="str">
        <f>HYPERLINK("https://www.zillow.com/homes/1432-BAYOU-PATH-DR-NAPERVILLE-IL-60540_rb/","check listing")</f>
        <v>check listing</v>
      </c>
      <c r="AB4861" s="5" t="str">
        <f>HYPERLINK("https://propertylookup.dupagecounty.gov/Datalets/Datalet.aspx?UseSearch=no&amp;mode=sales&amp;pin=0709305039","sales record")</f>
        <v>sales record</v>
      </c>
      <c r="AC4861" t="s">
        <v>3</v>
      </c>
      <c r="AD4861">
        <v>41.788335</v>
      </c>
      <c r="AE4861">
        <v>-88.219482</v>
      </c>
      <c r="AF4861" s="5" t="str">
        <f>HYPERLINK("https://www.google.com/maps/search/?api=1&amp;query=41.788335,-88.219482","map")</f>
        <v>map</v>
      </c>
    </row>
    <row r="4862" spans="1:32">
      <c r="A4862" t="s">
        <v>4912</v>
      </c>
      <c r="B4862" t="s">
        <v>12445</v>
      </c>
      <c r="C4862" t="s">
        <v>15806</v>
      </c>
      <c r="D4862" t="s">
        <v>16206</v>
      </c>
      <c r="E4862" t="s">
        <v>16218</v>
      </c>
      <c r="F4862" t="s">
        <v>16221</v>
      </c>
      <c r="G4862" t="s">
        <v>16278</v>
      </c>
      <c r="H4862" t="s">
        <v>16277</v>
      </c>
      <c r="I4862" t="s">
        <v>16353</v>
      </c>
      <c r="J4862" t="s">
        <v>16386</v>
      </c>
      <c r="K4862">
        <v>0.155</v>
      </c>
      <c r="L4862">
        <v>6758</v>
      </c>
      <c r="N4862" t="s">
        <v>16393</v>
      </c>
      <c r="O4862" s="4">
        <v>53861</v>
      </c>
      <c r="P4862" s="4">
        <v>175084</v>
      </c>
      <c r="Q4862" s="4">
        <v>228945</v>
      </c>
      <c r="R4862" s="4">
        <v>686835</v>
      </c>
      <c r="S4862" t="s">
        <v>21153</v>
      </c>
      <c r="T4862" s="6">
        <v>42917</v>
      </c>
      <c r="U4862" s="4">
        <v>496898</v>
      </c>
      <c r="V4862" t="s">
        <v>16232</v>
      </c>
      <c r="W4862" t="s">
        <v>26427</v>
      </c>
      <c r="X4862" t="s">
        <v>3</v>
      </c>
      <c r="AA4862" s="5" t="str">
        <f>HYPERLINK("https://www.zillow.com/homes/2556-BALSAM-COVE-RD-NAPERVILLE-IL-605633592_rb/","check listing")</f>
        <v>check listing</v>
      </c>
      <c r="AB4862" s="5" t="str">
        <f>HYPERLINK("https://propertylookup.dupagecounty.gov/Datalets/Datalet.aspx?UseSearch=no&amp;mode=sales&amp;pin=0709109002","sales record")</f>
        <v>sales record</v>
      </c>
      <c r="AC4862" t="s">
        <v>3</v>
      </c>
      <c r="AD4862">
        <v>41.796415</v>
      </c>
      <c r="AE4862">
        <v>-88.224892</v>
      </c>
      <c r="AF4862" s="5" t="str">
        <f>HYPERLINK("https://www.google.com/maps/search/?api=1&amp;query=41.796415,-88.224892","map")</f>
        <v>map</v>
      </c>
    </row>
    <row r="4863" spans="1:32">
      <c r="A4863" t="s">
        <v>4913</v>
      </c>
      <c r="B4863" t="s">
        <v>12446</v>
      </c>
      <c r="C4863" t="s">
        <v>15621</v>
      </c>
      <c r="D4863" t="s">
        <v>16206</v>
      </c>
      <c r="E4863" t="s">
        <v>16218</v>
      </c>
      <c r="F4863" t="s">
        <v>16221</v>
      </c>
      <c r="G4863" t="s">
        <v>16278</v>
      </c>
      <c r="H4863" t="s">
        <v>16277</v>
      </c>
      <c r="I4863" t="s">
        <v>16353</v>
      </c>
      <c r="J4863" t="s">
        <v>16386</v>
      </c>
      <c r="K4863">
        <v>0.155</v>
      </c>
      <c r="L4863">
        <v>6756</v>
      </c>
      <c r="N4863" t="s">
        <v>16393</v>
      </c>
      <c r="O4863" s="4">
        <v>62832</v>
      </c>
      <c r="P4863" s="4">
        <v>155969</v>
      </c>
      <c r="Q4863" s="4">
        <v>218801</v>
      </c>
      <c r="R4863" s="4">
        <v>656403</v>
      </c>
      <c r="S4863" t="s">
        <v>21154</v>
      </c>
      <c r="T4863" s="6">
        <v>43282</v>
      </c>
      <c r="U4863" s="4">
        <v>536086</v>
      </c>
      <c r="V4863" t="s">
        <v>16232</v>
      </c>
      <c r="W4863" t="s">
        <v>26428</v>
      </c>
      <c r="X4863" t="s">
        <v>3</v>
      </c>
      <c r="AA4863" s="5" t="str">
        <f>HYPERLINK("https://www.zillow.com/homes/2415-COASTAL-SAGE-CT-NAPERVILLE-IL-605633613_rb/","check listing")</f>
        <v>check listing</v>
      </c>
      <c r="AB4863" s="5" t="str">
        <f>HYPERLINK("https://propertylookup.dupagecounty.gov/Datalets/Datalet.aspx?UseSearch=no&amp;mode=sales&amp;pin=0709311061","sales record")</f>
        <v>sales record</v>
      </c>
      <c r="AC4863" t="s">
        <v>3</v>
      </c>
      <c r="AD4863">
        <v>41.786722</v>
      </c>
      <c r="AE4863">
        <v>-88.219936</v>
      </c>
      <c r="AF4863" s="5" t="str">
        <f>HYPERLINK("https://www.google.com/maps/search/?api=1&amp;query=41.786722,-88.219936","map")</f>
        <v>map</v>
      </c>
    </row>
    <row r="4864" spans="1:32">
      <c r="A4864" t="s">
        <v>4914</v>
      </c>
      <c r="B4864" t="s">
        <v>12447</v>
      </c>
      <c r="C4864" t="s">
        <v>15806</v>
      </c>
      <c r="D4864" t="s">
        <v>16206</v>
      </c>
      <c r="E4864" t="s">
        <v>16218</v>
      </c>
      <c r="F4864" t="s">
        <v>16221</v>
      </c>
      <c r="G4864" t="s">
        <v>16278</v>
      </c>
      <c r="H4864" t="s">
        <v>16277</v>
      </c>
      <c r="I4864" t="s">
        <v>16353</v>
      </c>
      <c r="J4864" t="s">
        <v>16386</v>
      </c>
      <c r="K4864">
        <v>0.155</v>
      </c>
      <c r="L4864">
        <v>6754</v>
      </c>
      <c r="N4864" t="s">
        <v>16393</v>
      </c>
      <c r="O4864" s="4">
        <v>59829</v>
      </c>
      <c r="P4864" s="4">
        <v>154701</v>
      </c>
      <c r="Q4864" s="4">
        <v>214530</v>
      </c>
      <c r="R4864" s="4">
        <v>643590</v>
      </c>
      <c r="S4864" t="s">
        <v>21155</v>
      </c>
      <c r="T4864" s="6">
        <v>45412</v>
      </c>
      <c r="U4864" s="4">
        <v>655000</v>
      </c>
      <c r="V4864" t="s">
        <v>23739</v>
      </c>
      <c r="W4864" t="s">
        <v>26429</v>
      </c>
      <c r="X4864" t="s">
        <v>3</v>
      </c>
      <c r="AA4864" s="5" t="str">
        <f>HYPERLINK("https://www.zillow.com/homes/2548-BALSAM-COVE-RD-NAPERVILLE-IL-605633592_rb/","check listing")</f>
        <v>check listing</v>
      </c>
      <c r="AB4864" s="5" t="str">
        <f>HYPERLINK("https://propertylookup.dupagecounty.gov/Datalets/Datalet.aspx?UseSearch=no&amp;mode=sales&amp;pin=0709109004","sales record")</f>
        <v>sales record</v>
      </c>
      <c r="AC4864" t="s">
        <v>3</v>
      </c>
      <c r="AD4864">
        <v>41.796414</v>
      </c>
      <c r="AE4864">
        <v>-88.22448199999999</v>
      </c>
      <c r="AF4864" s="5" t="str">
        <f>HYPERLINK("https://www.google.com/maps/search/?api=1&amp;query=41.796414,-88.224482","map")</f>
        <v>map</v>
      </c>
    </row>
    <row r="4865" spans="1:32">
      <c r="A4865" t="s">
        <v>4915</v>
      </c>
      <c r="B4865" t="s">
        <v>12448</v>
      </c>
      <c r="C4865" t="s">
        <v>15695</v>
      </c>
      <c r="D4865" t="s">
        <v>16206</v>
      </c>
      <c r="E4865" t="s">
        <v>16218</v>
      </c>
      <c r="F4865" t="s">
        <v>16221</v>
      </c>
      <c r="G4865" t="s">
        <v>16278</v>
      </c>
      <c r="H4865" t="s">
        <v>16277</v>
      </c>
      <c r="I4865" t="s">
        <v>16353</v>
      </c>
      <c r="J4865" t="s">
        <v>16386</v>
      </c>
      <c r="K4865">
        <v>0.155</v>
      </c>
      <c r="L4865">
        <v>6753</v>
      </c>
      <c r="N4865" t="s">
        <v>16393</v>
      </c>
      <c r="O4865" s="4">
        <v>59829</v>
      </c>
      <c r="P4865" s="4">
        <v>160657</v>
      </c>
      <c r="Q4865" s="4">
        <v>220486</v>
      </c>
      <c r="R4865" s="4">
        <v>661458</v>
      </c>
      <c r="S4865" t="s">
        <v>21156</v>
      </c>
      <c r="T4865" s="6">
        <v>43160</v>
      </c>
      <c r="U4865" s="4">
        <v>464291</v>
      </c>
      <c r="V4865" t="s">
        <v>16232</v>
      </c>
      <c r="W4865" t="s">
        <v>26430</v>
      </c>
      <c r="X4865" t="s">
        <v>3</v>
      </c>
      <c r="AA4865" s="5" t="str">
        <f>HYPERLINK("https://www.zillow.com/homes/1440-BAYOU-PATH-DR-NAPERVILLE-IL-605633498_rb/","check listing")</f>
        <v>check listing</v>
      </c>
      <c r="AB4865" s="5" t="str">
        <f>HYPERLINK("https://propertylookup.dupagecounty.gov/Datalets/Datalet.aspx?UseSearch=no&amp;mode=sales&amp;pin=0709305037","sales record")</f>
        <v>sales record</v>
      </c>
      <c r="AC4865" t="s">
        <v>3</v>
      </c>
      <c r="AD4865">
        <v>41.788642</v>
      </c>
      <c r="AE4865">
        <v>-88.219503</v>
      </c>
      <c r="AF4865" s="5" t="str">
        <f>HYPERLINK("https://www.google.com/maps/search/?api=1&amp;query=41.788642,-88.219503","map")</f>
        <v>map</v>
      </c>
    </row>
    <row r="4866" spans="1:32">
      <c r="A4866" t="s">
        <v>4916</v>
      </c>
      <c r="B4866" t="s">
        <v>12449</v>
      </c>
      <c r="C4866" t="s">
        <v>15695</v>
      </c>
      <c r="D4866" t="s">
        <v>16206</v>
      </c>
      <c r="E4866" t="s">
        <v>16218</v>
      </c>
      <c r="F4866" t="s">
        <v>16221</v>
      </c>
      <c r="G4866" t="s">
        <v>16278</v>
      </c>
      <c r="H4866" t="s">
        <v>16277</v>
      </c>
      <c r="I4866" t="s">
        <v>16353</v>
      </c>
      <c r="J4866" t="s">
        <v>16386</v>
      </c>
      <c r="K4866">
        <v>0.155</v>
      </c>
      <c r="L4866">
        <v>6753</v>
      </c>
      <c r="N4866" t="s">
        <v>16393</v>
      </c>
      <c r="O4866" s="4">
        <v>59829</v>
      </c>
      <c r="P4866" s="4">
        <v>179489</v>
      </c>
      <c r="Q4866" s="4">
        <v>239318</v>
      </c>
      <c r="R4866" s="4">
        <v>717954</v>
      </c>
      <c r="S4866" t="s">
        <v>21157</v>
      </c>
      <c r="T4866" s="6">
        <v>43160</v>
      </c>
      <c r="U4866" s="4">
        <v>524388</v>
      </c>
      <c r="V4866" t="s">
        <v>16232</v>
      </c>
      <c r="W4866" t="s">
        <v>26431</v>
      </c>
      <c r="X4866" t="s">
        <v>3</v>
      </c>
      <c r="AA4866" s="5" t="str">
        <f>HYPERLINK("https://www.zillow.com/homes/1436-BAYOU-PATH-DR-NAPERVILLE-IL-605633498_rb/","check listing")</f>
        <v>check listing</v>
      </c>
      <c r="AB4866" s="5" t="str">
        <f>HYPERLINK("https://propertylookup.dupagecounty.gov/Datalets/Datalet.aspx?UseSearch=no&amp;mode=sales&amp;pin=0709305038","sales record")</f>
        <v>sales record</v>
      </c>
      <c r="AC4866" t="s">
        <v>3</v>
      </c>
      <c r="AD4866">
        <v>41.788488</v>
      </c>
      <c r="AE4866">
        <v>-88.219492</v>
      </c>
      <c r="AF4866" s="5" t="str">
        <f>HYPERLINK("https://www.google.com/maps/search/?api=1&amp;query=41.788488,-88.219492","map")</f>
        <v>map</v>
      </c>
    </row>
    <row r="4867" spans="1:32">
      <c r="A4867" t="s">
        <v>4917</v>
      </c>
      <c r="B4867" t="s">
        <v>12450</v>
      </c>
      <c r="C4867" t="s">
        <v>15478</v>
      </c>
      <c r="D4867" t="s">
        <v>16206</v>
      </c>
      <c r="E4867" t="s">
        <v>16218</v>
      </c>
      <c r="F4867" t="s">
        <v>16221</v>
      </c>
      <c r="G4867" t="s">
        <v>16278</v>
      </c>
      <c r="H4867" t="s">
        <v>16277</v>
      </c>
      <c r="I4867" t="s">
        <v>16353</v>
      </c>
      <c r="J4867" t="s">
        <v>16386</v>
      </c>
      <c r="K4867">
        <v>0.155</v>
      </c>
      <c r="L4867">
        <v>6753</v>
      </c>
      <c r="N4867" t="s">
        <v>16393</v>
      </c>
      <c r="O4867" s="4">
        <v>59829</v>
      </c>
      <c r="P4867" s="4">
        <v>149684</v>
      </c>
      <c r="Q4867" s="4">
        <v>209513</v>
      </c>
      <c r="R4867" s="4">
        <v>628539</v>
      </c>
      <c r="S4867" t="s">
        <v>21158</v>
      </c>
      <c r="T4867" s="6">
        <v>42767</v>
      </c>
      <c r="U4867" s="4">
        <v>500451</v>
      </c>
      <c r="V4867" t="s">
        <v>16232</v>
      </c>
      <c r="W4867" t="s">
        <v>26432</v>
      </c>
      <c r="X4867" t="s">
        <v>3</v>
      </c>
      <c r="AA4867" s="5" t="str">
        <f>HYPERLINK("https://www.zillow.com/homes/2552-BALSAM-COVE-RD-NAPERVILLE-IL-60563_rb/","check listing")</f>
        <v>check listing</v>
      </c>
      <c r="AB4867" s="5" t="str">
        <f>HYPERLINK("https://propertylookup.dupagecounty.gov/Datalets/Datalet.aspx?UseSearch=no&amp;mode=sales&amp;pin=0709109003","sales record")</f>
        <v>sales record</v>
      </c>
      <c r="AC4867" t="s">
        <v>3</v>
      </c>
      <c r="AD4867">
        <v>41.796414</v>
      </c>
      <c r="AE4867">
        <v>-88.224687</v>
      </c>
      <c r="AF4867" s="5" t="str">
        <f>HYPERLINK("https://www.google.com/maps/search/?api=1&amp;query=41.796414,-88.224687","map")</f>
        <v>map</v>
      </c>
    </row>
    <row r="4868" spans="1:32">
      <c r="A4868" t="s">
        <v>4918</v>
      </c>
      <c r="B4868" t="s">
        <v>12451</v>
      </c>
      <c r="C4868" t="s">
        <v>15806</v>
      </c>
      <c r="D4868" t="s">
        <v>16206</v>
      </c>
      <c r="E4868" t="s">
        <v>16218</v>
      </c>
      <c r="F4868" t="s">
        <v>16221</v>
      </c>
      <c r="G4868" t="s">
        <v>16278</v>
      </c>
      <c r="H4868" t="s">
        <v>16277</v>
      </c>
      <c r="I4868" t="s">
        <v>16353</v>
      </c>
      <c r="J4868" t="s">
        <v>16386</v>
      </c>
      <c r="K4868">
        <v>0.155</v>
      </c>
      <c r="L4868">
        <v>6751</v>
      </c>
      <c r="N4868" t="s">
        <v>16393</v>
      </c>
      <c r="O4868" s="4">
        <v>59829</v>
      </c>
      <c r="P4868" s="4">
        <v>165331</v>
      </c>
      <c r="Q4868" s="4">
        <v>225160</v>
      </c>
      <c r="R4868" s="4">
        <v>675480</v>
      </c>
      <c r="S4868" t="s">
        <v>21159</v>
      </c>
      <c r="T4868" s="6">
        <v>42826</v>
      </c>
      <c r="U4868" s="4">
        <v>446269</v>
      </c>
      <c r="V4868" t="s">
        <v>16232</v>
      </c>
      <c r="W4868" t="s">
        <v>26433</v>
      </c>
      <c r="X4868" t="s">
        <v>3</v>
      </c>
      <c r="AA4868" s="5" t="str">
        <f>HYPERLINK("https://www.zillow.com/homes/2544-BALSAM-COVE-RD-NAPERVILLE-IL-605633592_rb/","check listing")</f>
        <v>check listing</v>
      </c>
      <c r="AB4868" s="5" t="str">
        <f>HYPERLINK("https://propertylookup.dupagecounty.gov/Datalets/Datalet.aspx?UseSearch=no&amp;mode=sales&amp;pin=0709109005","sales record")</f>
        <v>sales record</v>
      </c>
      <c r="AC4868" t="s">
        <v>3</v>
      </c>
      <c r="AD4868">
        <v>41.796413</v>
      </c>
      <c r="AE4868">
        <v>-88.224276</v>
      </c>
      <c r="AF4868" s="5" t="str">
        <f>HYPERLINK("https://www.google.com/maps/search/?api=1&amp;query=41.796413,-88.224276","map")</f>
        <v>map</v>
      </c>
    </row>
    <row r="4869" spans="1:32">
      <c r="A4869" t="s">
        <v>4919</v>
      </c>
      <c r="B4869" t="s">
        <v>12452</v>
      </c>
      <c r="C4869" t="s">
        <v>15695</v>
      </c>
      <c r="D4869" t="s">
        <v>16206</v>
      </c>
      <c r="E4869" t="s">
        <v>16218</v>
      </c>
      <c r="F4869" t="s">
        <v>16221</v>
      </c>
      <c r="G4869" t="s">
        <v>16278</v>
      </c>
      <c r="H4869" t="s">
        <v>16277</v>
      </c>
      <c r="I4869" t="s">
        <v>16353</v>
      </c>
      <c r="J4869" t="s">
        <v>16386</v>
      </c>
      <c r="K4869">
        <v>0.155</v>
      </c>
      <c r="L4869">
        <v>6750</v>
      </c>
      <c r="N4869" t="s">
        <v>16393</v>
      </c>
      <c r="O4869" s="4">
        <v>59829</v>
      </c>
      <c r="P4869" s="4">
        <v>155750</v>
      </c>
      <c r="Q4869" s="4">
        <v>215579</v>
      </c>
      <c r="R4869" s="4">
        <v>646737</v>
      </c>
      <c r="S4869" t="s">
        <v>21160</v>
      </c>
      <c r="T4869" s="6">
        <v>45975</v>
      </c>
      <c r="U4869" s="4">
        <v>700000</v>
      </c>
      <c r="V4869" t="s">
        <v>23739</v>
      </c>
      <c r="W4869" t="s">
        <v>26434</v>
      </c>
      <c r="X4869" t="s">
        <v>3</v>
      </c>
      <c r="AA4869" s="5" t="str">
        <f>HYPERLINK("https://www.zillow.com/homes/1444-BAYOU-PATH-DR-NAPERVILLE-IL-605633498_rb/","check listing")</f>
        <v>check listing</v>
      </c>
      <c r="AB4869" s="5" t="str">
        <f>HYPERLINK("https://propertylookup.dupagecounty.gov/Datalets/Datalet.aspx?UseSearch=no&amp;mode=sales&amp;pin=0709305036","sales record")</f>
        <v>sales record</v>
      </c>
      <c r="AC4869" t="s">
        <v>3</v>
      </c>
      <c r="AD4869">
        <v>41.788795</v>
      </c>
      <c r="AE4869">
        <v>-88.21951300000001</v>
      </c>
      <c r="AF4869" s="5" t="str">
        <f>HYPERLINK("https://www.google.com/maps/search/?api=1&amp;query=41.788795,-88.219513","map")</f>
        <v>map</v>
      </c>
    </row>
    <row r="4870" spans="1:32">
      <c r="A4870" t="s">
        <v>4920</v>
      </c>
      <c r="B4870" t="s">
        <v>12453</v>
      </c>
      <c r="C4870" t="s">
        <v>15806</v>
      </c>
      <c r="D4870" t="s">
        <v>16206</v>
      </c>
      <c r="E4870" t="s">
        <v>16218</v>
      </c>
      <c r="F4870" t="s">
        <v>16221</v>
      </c>
      <c r="G4870" t="s">
        <v>16278</v>
      </c>
      <c r="H4870" t="s">
        <v>16277</v>
      </c>
      <c r="I4870" t="s">
        <v>16353</v>
      </c>
      <c r="J4870" t="s">
        <v>16386</v>
      </c>
      <c r="K4870">
        <v>0.155</v>
      </c>
      <c r="L4870">
        <v>6747</v>
      </c>
      <c r="N4870" t="s">
        <v>16393</v>
      </c>
      <c r="O4870" s="4">
        <v>59829</v>
      </c>
      <c r="P4870" s="4">
        <v>168626</v>
      </c>
      <c r="Q4870" s="4">
        <v>228455</v>
      </c>
      <c r="R4870" s="4">
        <v>685365</v>
      </c>
      <c r="S4870" t="s">
        <v>21161</v>
      </c>
      <c r="T4870" s="6">
        <v>44378</v>
      </c>
      <c r="U4870" s="4">
        <v>616000</v>
      </c>
      <c r="V4870" t="s">
        <v>23740</v>
      </c>
      <c r="W4870" t="s">
        <v>26435</v>
      </c>
      <c r="X4870" t="s">
        <v>3</v>
      </c>
      <c r="AA4870" s="5" t="str">
        <f>HYPERLINK("https://www.zillow.com/homes/2540-BALSAM-COVE-RD-NAPERVILLE-IL-605633592_rb/","check listing")</f>
        <v>check listing</v>
      </c>
      <c r="AB4870" s="5" t="str">
        <f>HYPERLINK("https://propertylookup.dupagecounty.gov/Datalets/Datalet.aspx?UseSearch=no&amp;mode=sales&amp;pin=0709109006","sales record")</f>
        <v>sales record</v>
      </c>
      <c r="AC4870" t="s">
        <v>3</v>
      </c>
      <c r="AD4870">
        <v>41.796413</v>
      </c>
      <c r="AE4870">
        <v>-88.224071</v>
      </c>
      <c r="AF4870" s="5" t="str">
        <f>HYPERLINK("https://www.google.com/maps/search/?api=1&amp;query=41.796413,-88.224071","map")</f>
        <v>map</v>
      </c>
    </row>
    <row r="4871" spans="1:32">
      <c r="A4871" t="s">
        <v>4921</v>
      </c>
      <c r="B4871" t="s">
        <v>12454</v>
      </c>
      <c r="C4871" t="s">
        <v>15475</v>
      </c>
      <c r="D4871" t="s">
        <v>16206</v>
      </c>
      <c r="E4871" t="s">
        <v>16218</v>
      </c>
      <c r="F4871" t="s">
        <v>16221</v>
      </c>
      <c r="G4871" t="s">
        <v>16278</v>
      </c>
      <c r="H4871" t="s">
        <v>16277</v>
      </c>
      <c r="I4871" t="s">
        <v>16353</v>
      </c>
      <c r="J4871" t="s">
        <v>16386</v>
      </c>
      <c r="K4871">
        <v>0.155</v>
      </c>
      <c r="L4871">
        <v>6746</v>
      </c>
      <c r="N4871" t="s">
        <v>16393</v>
      </c>
      <c r="O4871" s="4">
        <v>56852</v>
      </c>
      <c r="P4871" s="4">
        <v>141872</v>
      </c>
      <c r="Q4871" s="4">
        <v>198724</v>
      </c>
      <c r="R4871" s="4">
        <v>596172</v>
      </c>
      <c r="S4871" t="s">
        <v>21162</v>
      </c>
      <c r="T4871" s="6">
        <v>42826</v>
      </c>
      <c r="U4871" s="4">
        <v>455854</v>
      </c>
      <c r="V4871" t="s">
        <v>16232</v>
      </c>
      <c r="W4871" t="s">
        <v>26436</v>
      </c>
      <c r="X4871" t="s">
        <v>3</v>
      </c>
      <c r="AA4871" s="5" t="str">
        <f>HYPERLINK("https://www.zillow.com/homes/1639-SILVERLEAF-ST-NAPERVILLE-IL-60540_rb/","check listing")</f>
        <v>check listing</v>
      </c>
      <c r="AB4871" s="5" t="str">
        <f>HYPERLINK("https://propertylookup.dupagecounty.gov/Datalets/Datalet.aspx?UseSearch=no&amp;mode=sales&amp;pin=0709107003","sales record")</f>
        <v>sales record</v>
      </c>
      <c r="AC4871" t="s">
        <v>3</v>
      </c>
      <c r="AD4871">
        <v>41.796991</v>
      </c>
      <c r="AE4871">
        <v>-88.224771</v>
      </c>
      <c r="AF4871" s="5" t="str">
        <f>HYPERLINK("https://www.google.com/maps/search/?api=1&amp;query=41.796991,-88.224771","map")</f>
        <v>map</v>
      </c>
    </row>
    <row r="4872" spans="1:32">
      <c r="A4872" t="s">
        <v>4922</v>
      </c>
      <c r="B4872" t="s">
        <v>12455</v>
      </c>
      <c r="C4872" t="s">
        <v>15695</v>
      </c>
      <c r="D4872" t="s">
        <v>16206</v>
      </c>
      <c r="E4872" t="s">
        <v>16218</v>
      </c>
      <c r="F4872" t="s">
        <v>16221</v>
      </c>
      <c r="G4872" t="s">
        <v>16278</v>
      </c>
      <c r="H4872" t="s">
        <v>16277</v>
      </c>
      <c r="I4872" t="s">
        <v>16353</v>
      </c>
      <c r="J4872" t="s">
        <v>16386</v>
      </c>
      <c r="K4872">
        <v>0.155</v>
      </c>
      <c r="L4872">
        <v>6745</v>
      </c>
      <c r="N4872" t="s">
        <v>16393</v>
      </c>
      <c r="O4872" s="4">
        <v>59829</v>
      </c>
      <c r="P4872" s="4">
        <v>175010</v>
      </c>
      <c r="Q4872" s="4">
        <v>234839</v>
      </c>
      <c r="R4872" s="4">
        <v>704517</v>
      </c>
      <c r="S4872" t="s">
        <v>21163</v>
      </c>
      <c r="T4872" s="6">
        <v>43132</v>
      </c>
      <c r="U4872" s="4">
        <v>486691</v>
      </c>
      <c r="V4872" t="s">
        <v>16232</v>
      </c>
      <c r="W4872" t="s">
        <v>26437</v>
      </c>
      <c r="X4872" t="s">
        <v>3</v>
      </c>
      <c r="AA4872" s="5" t="str">
        <f>HYPERLINK("https://www.zillow.com/homes/1448-BAYOU-PATH-DR-NAPERVILLE-IL-605633498_rb/","check listing")</f>
        <v>check listing</v>
      </c>
      <c r="AB4872" s="5" t="str">
        <f>HYPERLINK("https://propertylookup.dupagecounty.gov/Datalets/Datalet.aspx?UseSearch=no&amp;mode=sales&amp;pin=0709305035","sales record")</f>
        <v>sales record</v>
      </c>
      <c r="AC4872" t="s">
        <v>3</v>
      </c>
      <c r="AD4872">
        <v>41.788949</v>
      </c>
      <c r="AE4872">
        <v>-88.219523</v>
      </c>
      <c r="AF4872" s="5" t="str">
        <f>HYPERLINK("https://www.google.com/maps/search/?api=1&amp;query=41.788949,-88.219523","map")</f>
        <v>map</v>
      </c>
    </row>
    <row r="4873" spans="1:32">
      <c r="A4873" t="s">
        <v>4923</v>
      </c>
      <c r="B4873" t="s">
        <v>12456</v>
      </c>
      <c r="C4873" t="s">
        <v>15478</v>
      </c>
      <c r="D4873" t="s">
        <v>16206</v>
      </c>
      <c r="E4873" t="s">
        <v>16218</v>
      </c>
      <c r="F4873" t="s">
        <v>16221</v>
      </c>
      <c r="G4873" t="s">
        <v>16278</v>
      </c>
      <c r="H4873" t="s">
        <v>16277</v>
      </c>
      <c r="I4873" t="s">
        <v>16353</v>
      </c>
      <c r="J4873" t="s">
        <v>16386</v>
      </c>
      <c r="K4873">
        <v>0.155</v>
      </c>
      <c r="L4873">
        <v>6745</v>
      </c>
      <c r="N4873" t="s">
        <v>16393</v>
      </c>
      <c r="O4873" s="4">
        <v>59829</v>
      </c>
      <c r="P4873" s="4">
        <v>148427</v>
      </c>
      <c r="Q4873" s="4">
        <v>208256</v>
      </c>
      <c r="R4873" s="4">
        <v>624768</v>
      </c>
      <c r="S4873" t="s">
        <v>21164</v>
      </c>
      <c r="T4873" s="6">
        <v>42767</v>
      </c>
      <c r="U4873" s="4">
        <v>433917</v>
      </c>
      <c r="V4873" t="s">
        <v>16232</v>
      </c>
      <c r="W4873" t="s">
        <v>21164</v>
      </c>
      <c r="X4873" t="s">
        <v>3</v>
      </c>
      <c r="AA4873" s="5" t="str">
        <f>HYPERLINK("https://www.zillow.com/homes/2536-BALSAM-COVE-RD-NAPERVILLE-IL-60563_rb/","check listing")</f>
        <v>check listing</v>
      </c>
      <c r="AB4873" s="5" t="str">
        <f>HYPERLINK("https://propertylookup.dupagecounty.gov/Datalets/Datalet.aspx?UseSearch=no&amp;mode=sales&amp;pin=0709109007","sales record")</f>
        <v>sales record</v>
      </c>
      <c r="AC4873" t="s">
        <v>3</v>
      </c>
      <c r="AD4873">
        <v>41.796412</v>
      </c>
      <c r="AE4873">
        <v>-88.223866</v>
      </c>
      <c r="AF4873" s="5" t="str">
        <f>HYPERLINK("https://www.google.com/maps/search/?api=1&amp;query=41.796412,-88.223866","map")</f>
        <v>map</v>
      </c>
    </row>
    <row r="4874" spans="1:32">
      <c r="A4874" t="s">
        <v>4924</v>
      </c>
      <c r="B4874" t="s">
        <v>12457</v>
      </c>
      <c r="C4874" t="s">
        <v>15695</v>
      </c>
      <c r="D4874" t="s">
        <v>16206</v>
      </c>
      <c r="E4874" t="s">
        <v>16218</v>
      </c>
      <c r="F4874" t="s">
        <v>16221</v>
      </c>
      <c r="G4874" t="s">
        <v>16278</v>
      </c>
      <c r="H4874" t="s">
        <v>16277</v>
      </c>
      <c r="I4874" t="s">
        <v>16353</v>
      </c>
      <c r="J4874" t="s">
        <v>16386</v>
      </c>
      <c r="K4874">
        <v>0.155</v>
      </c>
      <c r="L4874">
        <v>6744</v>
      </c>
      <c r="N4874" t="s">
        <v>16393</v>
      </c>
      <c r="O4874" s="4">
        <v>59829</v>
      </c>
      <c r="P4874" s="4">
        <v>154249</v>
      </c>
      <c r="Q4874" s="4">
        <v>214078</v>
      </c>
      <c r="R4874" s="4">
        <v>642234</v>
      </c>
      <c r="S4874" t="s">
        <v>21165</v>
      </c>
      <c r="T4874" s="6">
        <v>43132</v>
      </c>
      <c r="U4874" s="4">
        <v>436115</v>
      </c>
      <c r="V4874" t="s">
        <v>16232</v>
      </c>
      <c r="W4874" t="s">
        <v>26438</v>
      </c>
      <c r="X4874" t="s">
        <v>3</v>
      </c>
      <c r="AA4874" s="5" t="str">
        <f>HYPERLINK("https://www.zillow.com/homes/1452-BAYOU-PATH-DR-NAPERVILLE-IL-605633498_rb/","check listing")</f>
        <v>check listing</v>
      </c>
      <c r="AB4874" s="5" t="str">
        <f>HYPERLINK("https://propertylookup.dupagecounty.gov/Datalets/Datalet.aspx?UseSearch=no&amp;mode=sales&amp;pin=0709305034","sales record")</f>
        <v>sales record</v>
      </c>
      <c r="AC4874" t="s">
        <v>3</v>
      </c>
      <c r="AD4874">
        <v>41.789102</v>
      </c>
      <c r="AE4874">
        <v>-88.219533</v>
      </c>
      <c r="AF4874" s="5" t="str">
        <f>HYPERLINK("https://www.google.com/maps/search/?api=1&amp;query=41.789102,-88.219533","map")</f>
        <v>map</v>
      </c>
    </row>
    <row r="4875" spans="1:32">
      <c r="A4875" t="s">
        <v>4925</v>
      </c>
      <c r="B4875" t="s">
        <v>12458</v>
      </c>
      <c r="C4875" t="s">
        <v>15806</v>
      </c>
      <c r="D4875" t="s">
        <v>16206</v>
      </c>
      <c r="E4875" t="s">
        <v>16218</v>
      </c>
      <c r="F4875" t="s">
        <v>16221</v>
      </c>
      <c r="G4875" t="s">
        <v>16278</v>
      </c>
      <c r="H4875" t="s">
        <v>16277</v>
      </c>
      <c r="I4875" t="s">
        <v>16353</v>
      </c>
      <c r="J4875" t="s">
        <v>16386</v>
      </c>
      <c r="K4875">
        <v>0.155</v>
      </c>
      <c r="L4875">
        <v>6744</v>
      </c>
      <c r="N4875" t="s">
        <v>16393</v>
      </c>
      <c r="O4875" s="4">
        <v>59841</v>
      </c>
      <c r="P4875" s="4">
        <v>145596</v>
      </c>
      <c r="Q4875" s="4">
        <v>205437</v>
      </c>
      <c r="R4875" s="4">
        <v>616311</v>
      </c>
      <c r="S4875" t="s">
        <v>21166</v>
      </c>
      <c r="T4875" s="6">
        <v>42736</v>
      </c>
      <c r="U4875" s="4">
        <v>443116</v>
      </c>
      <c r="V4875" t="s">
        <v>16232</v>
      </c>
      <c r="W4875" t="s">
        <v>26439</v>
      </c>
      <c r="X4875" t="s">
        <v>3</v>
      </c>
      <c r="AA4875" s="5" t="str">
        <f>HYPERLINK("https://www.zillow.com/homes/2532-BALSAM-COVE-RD-NAPERVILLE-IL-605633592_rb/","check listing")</f>
        <v>check listing</v>
      </c>
      <c r="AB4875" s="5" t="str">
        <f>HYPERLINK("https://propertylookup.dupagecounty.gov/Datalets/Datalet.aspx?UseSearch=no&amp;mode=sales&amp;pin=0709109008","sales record")</f>
        <v>sales record</v>
      </c>
      <c r="AC4875" t="s">
        <v>3</v>
      </c>
      <c r="AD4875">
        <v>41.796412</v>
      </c>
      <c r="AE4875">
        <v>-88.22366</v>
      </c>
      <c r="AF4875" s="5" t="str">
        <f>HYPERLINK("https://www.google.com/maps/search/?api=1&amp;query=41.796412,-88.22366","map")</f>
        <v>map</v>
      </c>
    </row>
    <row r="4876" spans="1:32">
      <c r="A4876" t="s">
        <v>4926</v>
      </c>
      <c r="B4876" t="s">
        <v>12459</v>
      </c>
      <c r="C4876" t="s">
        <v>15621</v>
      </c>
      <c r="D4876" t="s">
        <v>16206</v>
      </c>
      <c r="E4876" t="s">
        <v>16218</v>
      </c>
      <c r="F4876" t="s">
        <v>16221</v>
      </c>
      <c r="G4876" t="s">
        <v>16278</v>
      </c>
      <c r="H4876" t="s">
        <v>16277</v>
      </c>
      <c r="I4876" t="s">
        <v>16353</v>
      </c>
      <c r="J4876" t="s">
        <v>16386</v>
      </c>
      <c r="K4876">
        <v>0.155</v>
      </c>
      <c r="L4876">
        <v>6742</v>
      </c>
      <c r="N4876" t="s">
        <v>16393</v>
      </c>
      <c r="O4876" s="4">
        <v>62832</v>
      </c>
      <c r="P4876" s="4">
        <v>149623</v>
      </c>
      <c r="Q4876" s="4">
        <v>212455</v>
      </c>
      <c r="R4876" s="4">
        <v>637365</v>
      </c>
      <c r="S4876" t="s">
        <v>21167</v>
      </c>
      <c r="T4876" s="6">
        <v>43191</v>
      </c>
      <c r="U4876" s="4">
        <v>494504</v>
      </c>
      <c r="V4876" t="s">
        <v>16232</v>
      </c>
      <c r="W4876" t="s">
        <v>26440</v>
      </c>
      <c r="X4876" t="s">
        <v>3</v>
      </c>
      <c r="AA4876" s="5" t="str">
        <f>HYPERLINK("https://www.zillow.com/homes/2411-COASTAL-SAGE-CT-NAPERVILLE-IL-605633613_rb/","check listing")</f>
        <v>check listing</v>
      </c>
      <c r="AB4876" s="5" t="str">
        <f>HYPERLINK("https://propertylookup.dupagecounty.gov/Datalets/Datalet.aspx?UseSearch=no&amp;mode=sales&amp;pin=0709311060","sales record")</f>
        <v>sales record</v>
      </c>
      <c r="AC4876" t="s">
        <v>3</v>
      </c>
      <c r="AD4876">
        <v>41.786843</v>
      </c>
      <c r="AE4876">
        <v>-88.21981</v>
      </c>
      <c r="AF4876" s="5" t="str">
        <f>HYPERLINK("https://www.google.com/maps/search/?api=1&amp;query=41.786843,-88.21981","map")</f>
        <v>map</v>
      </c>
    </row>
    <row r="4877" spans="1:32">
      <c r="A4877" t="s">
        <v>4927</v>
      </c>
      <c r="B4877" t="s">
        <v>12460</v>
      </c>
      <c r="C4877" t="s">
        <v>15475</v>
      </c>
      <c r="D4877" t="s">
        <v>16206</v>
      </c>
      <c r="E4877" t="s">
        <v>16218</v>
      </c>
      <c r="F4877" t="s">
        <v>16221</v>
      </c>
      <c r="G4877" t="s">
        <v>16278</v>
      </c>
      <c r="H4877" t="s">
        <v>16277</v>
      </c>
      <c r="I4877" t="s">
        <v>16353</v>
      </c>
      <c r="J4877" t="s">
        <v>16386</v>
      </c>
      <c r="K4877">
        <v>0.155</v>
      </c>
      <c r="L4877">
        <v>6741</v>
      </c>
      <c r="N4877" t="s">
        <v>16393</v>
      </c>
      <c r="O4877" s="4">
        <v>59829</v>
      </c>
      <c r="P4877" s="4">
        <v>174961</v>
      </c>
      <c r="Q4877" s="4">
        <v>234790</v>
      </c>
      <c r="R4877" s="4">
        <v>704370</v>
      </c>
      <c r="S4877" t="s">
        <v>21168</v>
      </c>
      <c r="T4877" s="6">
        <v>43221</v>
      </c>
      <c r="U4877" s="4">
        <v>514930</v>
      </c>
      <c r="V4877" t="s">
        <v>16232</v>
      </c>
      <c r="W4877" t="s">
        <v>26441</v>
      </c>
      <c r="X4877" t="s">
        <v>3</v>
      </c>
      <c r="AA4877" s="5" t="str">
        <f>HYPERLINK("https://www.zillow.com/homes/1456-BAYOU-PATH-DR-NAPERVILLE-IL-60540_rb/","check listing")</f>
        <v>check listing</v>
      </c>
      <c r="AB4877" s="5" t="str">
        <f>HYPERLINK("https://propertylookup.dupagecounty.gov/Datalets/Datalet.aspx?UseSearch=no&amp;mode=sales&amp;pin=0709305033","sales record")</f>
        <v>sales record</v>
      </c>
      <c r="AC4877" t="s">
        <v>3</v>
      </c>
      <c r="AD4877">
        <v>41.789256</v>
      </c>
      <c r="AE4877">
        <v>-88.219544</v>
      </c>
      <c r="AF4877" s="5" t="str">
        <f>HYPERLINK("https://www.google.com/maps/search/?api=1&amp;query=41.789256,-88.219544","map")</f>
        <v>map</v>
      </c>
    </row>
    <row r="4878" spans="1:32">
      <c r="A4878" t="s">
        <v>4928</v>
      </c>
      <c r="B4878" t="s">
        <v>12461</v>
      </c>
      <c r="C4878" t="s">
        <v>15478</v>
      </c>
      <c r="D4878" t="s">
        <v>16206</v>
      </c>
      <c r="E4878" t="s">
        <v>16218</v>
      </c>
      <c r="F4878" t="s">
        <v>16221</v>
      </c>
      <c r="G4878" t="s">
        <v>16278</v>
      </c>
      <c r="H4878" t="s">
        <v>16277</v>
      </c>
      <c r="I4878" t="s">
        <v>16353</v>
      </c>
      <c r="J4878" t="s">
        <v>16386</v>
      </c>
      <c r="K4878">
        <v>0.155</v>
      </c>
      <c r="L4878">
        <v>6739</v>
      </c>
      <c r="N4878" t="s">
        <v>16393</v>
      </c>
      <c r="O4878" s="4">
        <v>59829</v>
      </c>
      <c r="P4878" s="4">
        <v>165197</v>
      </c>
      <c r="Q4878" s="4">
        <v>225026</v>
      </c>
      <c r="R4878" s="4">
        <v>675078</v>
      </c>
      <c r="S4878" t="s">
        <v>21169</v>
      </c>
      <c r="T4878" s="6">
        <v>42705</v>
      </c>
      <c r="U4878" s="4">
        <v>455627</v>
      </c>
      <c r="V4878" t="s">
        <v>16232</v>
      </c>
      <c r="W4878" t="s">
        <v>26442</v>
      </c>
      <c r="X4878" t="s">
        <v>3</v>
      </c>
      <c r="AA4878" s="5" t="str">
        <f>HYPERLINK("https://www.zillow.com/homes/2528-BALSAM-COVE-RD-NAPERVILLE-IL-60563_rb/","check listing")</f>
        <v>check listing</v>
      </c>
      <c r="AB4878" s="5" t="str">
        <f>HYPERLINK("https://propertylookup.dupagecounty.gov/Datalets/Datalet.aspx?UseSearch=no&amp;mode=sales&amp;pin=0709109009","sales record")</f>
        <v>sales record</v>
      </c>
      <c r="AC4878" t="s">
        <v>3</v>
      </c>
      <c r="AD4878">
        <v>41.796411</v>
      </c>
      <c r="AE4878">
        <v>-88.223455</v>
      </c>
      <c r="AF4878" s="5" t="str">
        <f>HYPERLINK("https://www.google.com/maps/search/?api=1&amp;query=41.796411,-88.223455","map")</f>
        <v>map</v>
      </c>
    </row>
    <row r="4879" spans="1:32">
      <c r="A4879" t="s">
        <v>4929</v>
      </c>
      <c r="B4879" t="s">
        <v>12462</v>
      </c>
      <c r="C4879" t="s">
        <v>15695</v>
      </c>
      <c r="D4879" t="s">
        <v>16206</v>
      </c>
      <c r="E4879" t="s">
        <v>16218</v>
      </c>
      <c r="F4879" t="s">
        <v>16221</v>
      </c>
      <c r="G4879" t="s">
        <v>16278</v>
      </c>
      <c r="H4879" t="s">
        <v>16277</v>
      </c>
      <c r="I4879" t="s">
        <v>16353</v>
      </c>
      <c r="J4879" t="s">
        <v>16386</v>
      </c>
      <c r="K4879">
        <v>0.155</v>
      </c>
      <c r="L4879">
        <v>6738</v>
      </c>
      <c r="N4879" t="s">
        <v>16393</v>
      </c>
      <c r="O4879" s="4">
        <v>59841</v>
      </c>
      <c r="P4879" s="4">
        <v>187337</v>
      </c>
      <c r="Q4879" s="4">
        <v>247178</v>
      </c>
      <c r="R4879" s="4">
        <v>741534</v>
      </c>
      <c r="S4879" t="s">
        <v>21170</v>
      </c>
      <c r="T4879" s="6">
        <v>43252</v>
      </c>
      <c r="U4879" s="4">
        <v>500538</v>
      </c>
      <c r="V4879" t="s">
        <v>16232</v>
      </c>
      <c r="W4879" t="s">
        <v>26443</v>
      </c>
      <c r="X4879" t="s">
        <v>3</v>
      </c>
      <c r="AA4879" s="5" t="str">
        <f>HYPERLINK("https://www.zillow.com/homes/1460-BAYOU-PATH-DR-NAPERVILLE-IL-605633498_rb/","check listing")</f>
        <v>check listing</v>
      </c>
      <c r="AB4879" s="5" t="str">
        <f>HYPERLINK("https://propertylookup.dupagecounty.gov/Datalets/Datalet.aspx?UseSearch=no&amp;mode=sales&amp;pin=0709305032","sales record")</f>
        <v>sales record</v>
      </c>
      <c r="AC4879" t="s">
        <v>3</v>
      </c>
      <c r="AD4879">
        <v>41.789409</v>
      </c>
      <c r="AE4879">
        <v>-88.219554</v>
      </c>
      <c r="AF4879" s="5" t="str">
        <f>HYPERLINK("https://www.google.com/maps/search/?api=1&amp;query=41.789409,-88.219554","map")</f>
        <v>map</v>
      </c>
    </row>
    <row r="4880" spans="1:32">
      <c r="A4880" t="s">
        <v>4930</v>
      </c>
      <c r="B4880" t="s">
        <v>12463</v>
      </c>
      <c r="C4880" t="s">
        <v>15629</v>
      </c>
      <c r="D4880" t="s">
        <v>16206</v>
      </c>
      <c r="E4880" t="s">
        <v>16218</v>
      </c>
      <c r="F4880" t="s">
        <v>16221</v>
      </c>
      <c r="G4880" t="s">
        <v>16278</v>
      </c>
      <c r="H4880" t="s">
        <v>16277</v>
      </c>
      <c r="I4880" t="s">
        <v>16353</v>
      </c>
      <c r="J4880" t="s">
        <v>16386</v>
      </c>
      <c r="K4880">
        <v>0.155</v>
      </c>
      <c r="L4880">
        <v>6737</v>
      </c>
      <c r="N4880" t="s">
        <v>16393</v>
      </c>
      <c r="O4880" s="4">
        <v>59829</v>
      </c>
      <c r="P4880" s="4">
        <v>166356</v>
      </c>
      <c r="Q4880" s="4">
        <v>226185</v>
      </c>
      <c r="R4880" s="4">
        <v>678555</v>
      </c>
      <c r="S4880" t="s">
        <v>21171</v>
      </c>
      <c r="T4880" s="6">
        <v>43556</v>
      </c>
      <c r="U4880" s="4">
        <v>485792</v>
      </c>
      <c r="V4880" t="s">
        <v>16232</v>
      </c>
      <c r="W4880" t="s">
        <v>26444</v>
      </c>
      <c r="X4880" t="s">
        <v>3</v>
      </c>
      <c r="AA4880" s="5" t="str">
        <f>HYPERLINK("https://www.zillow.com/homes/1335-BAYOU-PATH-CT-NAPERVILLE-IL-605633609_rb/","check listing")</f>
        <v>check listing</v>
      </c>
      <c r="AB4880" s="5" t="str">
        <f>HYPERLINK("https://propertylookup.dupagecounty.gov/Datalets/Datalet.aspx?UseSearch=no&amp;mode=sales&amp;pin=0709311077","sales record")</f>
        <v>sales record</v>
      </c>
      <c r="AC4880" t="s">
        <v>3</v>
      </c>
      <c r="AD4880">
        <v>41.785586</v>
      </c>
      <c r="AE4880">
        <v>-88.218417</v>
      </c>
      <c r="AF4880" s="5" t="str">
        <f>HYPERLINK("https://www.google.com/maps/search/?api=1&amp;query=41.785586,-88.218417","map")</f>
        <v>map</v>
      </c>
    </row>
    <row r="4881" spans="1:32">
      <c r="A4881" t="s">
        <v>4931</v>
      </c>
      <c r="B4881" t="s">
        <v>12464</v>
      </c>
      <c r="C4881" t="s">
        <v>15475</v>
      </c>
      <c r="D4881" t="s">
        <v>16206</v>
      </c>
      <c r="E4881" t="s">
        <v>16218</v>
      </c>
      <c r="F4881" t="s">
        <v>16221</v>
      </c>
      <c r="G4881" t="s">
        <v>16278</v>
      </c>
      <c r="H4881" t="s">
        <v>16277</v>
      </c>
      <c r="I4881" t="s">
        <v>16353</v>
      </c>
      <c r="J4881" t="s">
        <v>16386</v>
      </c>
      <c r="K4881">
        <v>0.155</v>
      </c>
      <c r="L4881">
        <v>6736</v>
      </c>
      <c r="N4881" t="s">
        <v>16393</v>
      </c>
      <c r="O4881" s="4">
        <v>59829</v>
      </c>
      <c r="P4881" s="4">
        <v>180160</v>
      </c>
      <c r="Q4881" s="4">
        <v>239989</v>
      </c>
      <c r="R4881" s="4">
        <v>719967</v>
      </c>
      <c r="S4881" t="s">
        <v>21172</v>
      </c>
      <c r="T4881" s="6">
        <v>42795</v>
      </c>
      <c r="U4881" s="4">
        <v>495435</v>
      </c>
      <c r="V4881" t="s">
        <v>16232</v>
      </c>
      <c r="W4881" t="s">
        <v>26445</v>
      </c>
      <c r="X4881" t="s">
        <v>3</v>
      </c>
      <c r="AA4881" s="5" t="str">
        <f>HYPERLINK("https://www.zillow.com/homes/2520-BALSAM-COVE-RD-NAPERVILLE-IL-60540_rb/","check listing")</f>
        <v>check listing</v>
      </c>
      <c r="AB4881" s="5" t="str">
        <f>HYPERLINK("https://propertylookup.dupagecounty.gov/Datalets/Datalet.aspx?UseSearch=no&amp;mode=sales&amp;pin=0709109011","sales record")</f>
        <v>sales record</v>
      </c>
      <c r="AC4881" t="s">
        <v>3</v>
      </c>
      <c r="AD4881">
        <v>41.79641</v>
      </c>
      <c r="AE4881">
        <v>-88.223044</v>
      </c>
      <c r="AF4881" s="5" t="str">
        <f>HYPERLINK("https://www.google.com/maps/search/?api=1&amp;query=41.79641,-88.223044","map")</f>
        <v>map</v>
      </c>
    </row>
    <row r="4882" spans="1:32">
      <c r="A4882" t="s">
        <v>4932</v>
      </c>
      <c r="B4882" t="s">
        <v>12465</v>
      </c>
      <c r="C4882" t="s">
        <v>15475</v>
      </c>
      <c r="D4882" t="s">
        <v>16206</v>
      </c>
      <c r="E4882" t="s">
        <v>16218</v>
      </c>
      <c r="F4882" t="s">
        <v>16221</v>
      </c>
      <c r="G4882" t="s">
        <v>16278</v>
      </c>
      <c r="H4882" t="s">
        <v>16277</v>
      </c>
      <c r="I4882" t="s">
        <v>16353</v>
      </c>
      <c r="J4882" t="s">
        <v>16386</v>
      </c>
      <c r="K4882">
        <v>0.155</v>
      </c>
      <c r="L4882">
        <v>6736</v>
      </c>
      <c r="N4882" t="s">
        <v>16393</v>
      </c>
      <c r="O4882" s="4">
        <v>59829</v>
      </c>
      <c r="P4882" s="4">
        <v>153846</v>
      </c>
      <c r="Q4882" s="4">
        <v>213675</v>
      </c>
      <c r="R4882" s="4">
        <v>641025</v>
      </c>
      <c r="S4882" t="s">
        <v>21173</v>
      </c>
      <c r="T4882" s="6">
        <v>42767</v>
      </c>
      <c r="U4882" s="4">
        <v>450735</v>
      </c>
      <c r="V4882" t="s">
        <v>16232</v>
      </c>
      <c r="W4882" t="s">
        <v>26446</v>
      </c>
      <c r="X4882" t="s">
        <v>3</v>
      </c>
      <c r="AA4882" s="5" t="str">
        <f>HYPERLINK("https://www.zillow.com/homes/2524-BALSAM-COVE-RD-NAPERVILLE-IL-60540_rb/","check listing")</f>
        <v>check listing</v>
      </c>
      <c r="AB4882" s="5" t="str">
        <f>HYPERLINK("https://propertylookup.dupagecounty.gov/Datalets/Datalet.aspx?UseSearch=no&amp;mode=sales&amp;pin=0709109010","sales record")</f>
        <v>sales record</v>
      </c>
      <c r="AC4882" t="s">
        <v>3</v>
      </c>
      <c r="AD4882">
        <v>41.796411</v>
      </c>
      <c r="AE4882">
        <v>-88.22324999999999</v>
      </c>
      <c r="AF4882" s="5" t="str">
        <f>HYPERLINK("https://www.google.com/maps/search/?api=1&amp;query=41.796411,-88.22325","map")</f>
        <v>map</v>
      </c>
    </row>
    <row r="4883" spans="1:32">
      <c r="A4883" t="s">
        <v>4933</v>
      </c>
      <c r="B4883" t="s">
        <v>12466</v>
      </c>
      <c r="C4883" t="s">
        <v>15629</v>
      </c>
      <c r="D4883" t="s">
        <v>16206</v>
      </c>
      <c r="E4883" t="s">
        <v>16218</v>
      </c>
      <c r="F4883" t="s">
        <v>16221</v>
      </c>
      <c r="G4883" t="s">
        <v>16278</v>
      </c>
      <c r="H4883" t="s">
        <v>16277</v>
      </c>
      <c r="I4883" t="s">
        <v>16353</v>
      </c>
      <c r="J4883" t="s">
        <v>16386</v>
      </c>
      <c r="K4883">
        <v>0.155</v>
      </c>
      <c r="L4883">
        <v>6733</v>
      </c>
      <c r="N4883" t="s">
        <v>16393</v>
      </c>
      <c r="O4883" s="4">
        <v>59829</v>
      </c>
      <c r="P4883" s="4">
        <v>178440</v>
      </c>
      <c r="Q4883" s="4">
        <v>238269</v>
      </c>
      <c r="R4883" s="4">
        <v>714807</v>
      </c>
      <c r="S4883" t="s">
        <v>21174</v>
      </c>
      <c r="T4883" s="6">
        <v>43435</v>
      </c>
      <c r="U4883" s="4">
        <v>521858</v>
      </c>
      <c r="V4883" t="s">
        <v>16232</v>
      </c>
      <c r="W4883" t="s">
        <v>26447</v>
      </c>
      <c r="X4883" t="s">
        <v>3</v>
      </c>
      <c r="AA4883" s="5" t="str">
        <f>HYPERLINK("https://www.zillow.com/homes/1331-BAYOU-PATH-CT-NAPERVILLE-IL-605633609_rb/","check listing")</f>
        <v>check listing</v>
      </c>
      <c r="AB4883" s="5" t="str">
        <f>HYPERLINK("https://propertylookup.dupagecounty.gov/Datalets/Datalet.aspx?UseSearch=no&amp;mode=sales&amp;pin=0709311078","sales record")</f>
        <v>sales record</v>
      </c>
      <c r="AC4883" t="s">
        <v>3</v>
      </c>
      <c r="AD4883">
        <v>41.785466</v>
      </c>
      <c r="AE4883">
        <v>-88.218289</v>
      </c>
      <c r="AF4883" s="5" t="str">
        <f>HYPERLINK("https://www.google.com/maps/search/?api=1&amp;query=41.785466,-88.218289","map")</f>
        <v>map</v>
      </c>
    </row>
    <row r="4884" spans="1:32">
      <c r="A4884" t="s">
        <v>4934</v>
      </c>
      <c r="B4884" t="s">
        <v>12467</v>
      </c>
      <c r="C4884" t="s">
        <v>15662</v>
      </c>
      <c r="D4884" t="s">
        <v>16206</v>
      </c>
      <c r="E4884" t="s">
        <v>16218</v>
      </c>
      <c r="F4884" t="s">
        <v>16221</v>
      </c>
      <c r="G4884" t="s">
        <v>16278</v>
      </c>
      <c r="H4884" t="s">
        <v>16277</v>
      </c>
      <c r="I4884" t="s">
        <v>16353</v>
      </c>
      <c r="J4884" t="s">
        <v>16386</v>
      </c>
      <c r="K4884">
        <v>0.155</v>
      </c>
      <c r="L4884">
        <v>6733</v>
      </c>
      <c r="N4884" t="s">
        <v>16393</v>
      </c>
      <c r="O4884" s="4">
        <v>56146</v>
      </c>
      <c r="P4884" s="4">
        <v>185761</v>
      </c>
      <c r="Q4884" s="4">
        <v>241907</v>
      </c>
      <c r="R4884" s="4">
        <v>725721</v>
      </c>
      <c r="S4884" t="s">
        <v>21175</v>
      </c>
      <c r="T4884" s="6">
        <v>45217</v>
      </c>
      <c r="U4884" s="4">
        <v>655242</v>
      </c>
      <c r="V4884" t="s">
        <v>16232</v>
      </c>
      <c r="W4884" t="s">
        <v>26448</v>
      </c>
      <c r="X4884" t="s">
        <v>3</v>
      </c>
      <c r="AA4884" s="5" t="str">
        <f>HYPERLINK("https://www.zillow.com/homes/2524-WEATHERBEE-LN-NAPERVILLE-IL-605631594_rb/","check listing")</f>
        <v>check listing</v>
      </c>
      <c r="AB4884" s="5" t="str">
        <f>HYPERLINK("https://propertylookup.dupagecounty.gov/Datalets/Datalet.aspx?UseSearch=no&amp;mode=sales&amp;pin=0532300078","sales record")</f>
        <v>sales record</v>
      </c>
      <c r="AC4884" t="s">
        <v>3</v>
      </c>
      <c r="AD4884">
        <v>41.8195</v>
      </c>
      <c r="AE4884">
        <v>-88.12229600000001</v>
      </c>
      <c r="AF4884" s="5" t="str">
        <f>HYPERLINK("https://www.google.com/maps/search/?api=1&amp;query=41.8195,-88.122296","map")</f>
        <v>map</v>
      </c>
    </row>
    <row r="4885" spans="1:32">
      <c r="A4885" t="s">
        <v>4935</v>
      </c>
      <c r="B4885" t="s">
        <v>12468</v>
      </c>
      <c r="C4885" t="s">
        <v>15691</v>
      </c>
      <c r="D4885" t="s">
        <v>16206</v>
      </c>
      <c r="E4885" t="s">
        <v>16218</v>
      </c>
      <c r="F4885" t="s">
        <v>16221</v>
      </c>
      <c r="G4885" t="s">
        <v>16278</v>
      </c>
      <c r="H4885" t="s">
        <v>16277</v>
      </c>
      <c r="I4885" t="s">
        <v>16353</v>
      </c>
      <c r="J4885" t="s">
        <v>16386</v>
      </c>
      <c r="K4885">
        <v>0.155</v>
      </c>
      <c r="L4885">
        <v>6733</v>
      </c>
      <c r="N4885" t="s">
        <v>16393</v>
      </c>
      <c r="O4885" s="4">
        <v>59829</v>
      </c>
      <c r="P4885" s="4">
        <v>144449</v>
      </c>
      <c r="Q4885" s="4">
        <v>204278</v>
      </c>
      <c r="R4885" s="4">
        <v>612834</v>
      </c>
      <c r="S4885" t="s">
        <v>21176</v>
      </c>
      <c r="T4885" s="6">
        <v>43191</v>
      </c>
      <c r="U4885" s="4">
        <v>452189</v>
      </c>
      <c r="V4885" t="s">
        <v>16232</v>
      </c>
      <c r="W4885" t="s">
        <v>26449</v>
      </c>
      <c r="X4885" t="s">
        <v>3</v>
      </c>
      <c r="AA4885" s="5" t="str">
        <f>HYPERLINK("https://www.zillow.com/homes/1667-SILVERLEAF-ST-NAPERVILLE-IL-605633585_rb/","check listing")</f>
        <v>check listing</v>
      </c>
      <c r="AB4885" s="5" t="str">
        <f>HYPERLINK("https://propertylookup.dupagecounty.gov/Datalets/Datalet.aspx?UseSearch=no&amp;mode=sales&amp;pin=0709107010","sales record")</f>
        <v>sales record</v>
      </c>
      <c r="AC4885" t="s">
        <v>3</v>
      </c>
      <c r="AD4885">
        <v>41.797805</v>
      </c>
      <c r="AE4885">
        <v>-88.22385300000001</v>
      </c>
      <c r="AF4885" s="5" t="str">
        <f>HYPERLINK("https://www.google.com/maps/search/?api=1&amp;query=41.797805,-88.223853","map")</f>
        <v>map</v>
      </c>
    </row>
    <row r="4886" spans="1:32">
      <c r="A4886" t="s">
        <v>4936</v>
      </c>
      <c r="B4886" t="s">
        <v>12469</v>
      </c>
      <c r="C4886" t="s">
        <v>15807</v>
      </c>
      <c r="D4886" t="s">
        <v>16206</v>
      </c>
      <c r="E4886" t="s">
        <v>16218</v>
      </c>
      <c r="F4886" t="s">
        <v>16221</v>
      </c>
      <c r="G4886" t="s">
        <v>16278</v>
      </c>
      <c r="H4886" t="s">
        <v>16277</v>
      </c>
      <c r="I4886" t="s">
        <v>16353</v>
      </c>
      <c r="J4886" t="s">
        <v>16386</v>
      </c>
      <c r="K4886">
        <v>0.155</v>
      </c>
      <c r="L4886">
        <v>6733</v>
      </c>
      <c r="N4886" t="s">
        <v>16393</v>
      </c>
      <c r="O4886" s="4">
        <v>62832</v>
      </c>
      <c r="P4886" s="4">
        <v>180722</v>
      </c>
      <c r="Q4886" s="4">
        <v>243554</v>
      </c>
      <c r="R4886" s="4">
        <v>730662</v>
      </c>
      <c r="S4886" t="s">
        <v>21177</v>
      </c>
      <c r="T4886" s="6">
        <v>44771</v>
      </c>
      <c r="U4886" s="4">
        <v>665000</v>
      </c>
      <c r="V4886" t="s">
        <v>23739</v>
      </c>
      <c r="W4886" t="s">
        <v>26450</v>
      </c>
      <c r="X4886" t="s">
        <v>3</v>
      </c>
      <c r="AA4886" s="5" t="str">
        <f>HYPERLINK("https://www.zillow.com/homes/1683-SILVERLEAF-CT-NAPERVILLE-IL-605633586_rb/","check listing")</f>
        <v>check listing</v>
      </c>
      <c r="AB4886" s="5" t="str">
        <f>HYPERLINK("https://propertylookup.dupagecounty.gov/Datalets/Datalet.aspx?UseSearch=no&amp;mode=sales&amp;pin=0709107014","sales record")</f>
        <v>sales record</v>
      </c>
      <c r="AC4886" t="s">
        <v>3</v>
      </c>
      <c r="AD4886">
        <v>41.798071</v>
      </c>
      <c r="AE4886">
        <v>-88.22310899999999</v>
      </c>
      <c r="AF4886" s="5" t="str">
        <f>HYPERLINK("https://www.google.com/maps/search/?api=1&amp;query=41.798071,-88.223109","map")</f>
        <v>map</v>
      </c>
    </row>
    <row r="4887" spans="1:32">
      <c r="A4887" t="s">
        <v>4937</v>
      </c>
      <c r="B4887" t="s">
        <v>12470</v>
      </c>
      <c r="C4887" t="s">
        <v>15691</v>
      </c>
      <c r="D4887" t="s">
        <v>16206</v>
      </c>
      <c r="E4887" t="s">
        <v>16218</v>
      </c>
      <c r="F4887" t="s">
        <v>16221</v>
      </c>
      <c r="G4887" t="s">
        <v>16278</v>
      </c>
      <c r="H4887" t="s">
        <v>16277</v>
      </c>
      <c r="I4887" t="s">
        <v>16353</v>
      </c>
      <c r="J4887" t="s">
        <v>16386</v>
      </c>
      <c r="K4887">
        <v>0.155</v>
      </c>
      <c r="L4887">
        <v>6733</v>
      </c>
      <c r="N4887" t="s">
        <v>16393</v>
      </c>
      <c r="O4887" s="4">
        <v>59829</v>
      </c>
      <c r="P4887" s="4">
        <v>196369</v>
      </c>
      <c r="Q4887" s="4">
        <v>256198</v>
      </c>
      <c r="R4887" s="4">
        <v>768594</v>
      </c>
      <c r="S4887" t="s">
        <v>21178</v>
      </c>
      <c r="T4887" s="6">
        <v>43800</v>
      </c>
      <c r="U4887" s="4">
        <v>548194</v>
      </c>
      <c r="V4887" t="s">
        <v>16232</v>
      </c>
      <c r="W4887" t="s">
        <v>26451</v>
      </c>
      <c r="X4887" t="s">
        <v>3</v>
      </c>
      <c r="AA4887" s="5" t="str">
        <f>HYPERLINK("https://www.zillow.com/homes/1663-SILVERLEAF-ST-NAPERVILLE-IL-605633585_rb/","check listing")</f>
        <v>check listing</v>
      </c>
      <c r="AB4887" s="5" t="str">
        <f>HYPERLINK("https://propertylookup.dupagecounty.gov/Datalets/Datalet.aspx?UseSearch=no&amp;mode=sales&amp;pin=0709107009","sales record")</f>
        <v>sales record</v>
      </c>
      <c r="AC4887" t="s">
        <v>3</v>
      </c>
      <c r="AD4887">
        <v>41.797736</v>
      </c>
      <c r="AE4887">
        <v>-88.224037</v>
      </c>
      <c r="AF4887" s="5" t="str">
        <f>HYPERLINK("https://www.google.com/maps/search/?api=1&amp;query=41.797736,-88.224037","map")</f>
        <v>map</v>
      </c>
    </row>
    <row r="4888" spans="1:32">
      <c r="A4888" t="s">
        <v>4938</v>
      </c>
      <c r="B4888" t="s">
        <v>12471</v>
      </c>
      <c r="C4888" t="s">
        <v>15807</v>
      </c>
      <c r="D4888" t="s">
        <v>16206</v>
      </c>
      <c r="E4888" t="s">
        <v>16218</v>
      </c>
      <c r="F4888" t="s">
        <v>16221</v>
      </c>
      <c r="G4888" t="s">
        <v>16278</v>
      </c>
      <c r="H4888" t="s">
        <v>16277</v>
      </c>
      <c r="I4888" t="s">
        <v>16353</v>
      </c>
      <c r="J4888" t="s">
        <v>16386</v>
      </c>
      <c r="K4888">
        <v>0.155</v>
      </c>
      <c r="L4888">
        <v>6733</v>
      </c>
      <c r="N4888" t="s">
        <v>16393</v>
      </c>
      <c r="O4888" s="4">
        <v>59841</v>
      </c>
      <c r="P4888" s="4">
        <v>150319</v>
      </c>
      <c r="Q4888" s="4">
        <v>210160</v>
      </c>
      <c r="R4888" s="4">
        <v>630480</v>
      </c>
      <c r="S4888" t="s">
        <v>21179</v>
      </c>
      <c r="T4888" s="6">
        <v>44348</v>
      </c>
      <c r="U4888" s="4">
        <v>520000</v>
      </c>
      <c r="V4888" t="s">
        <v>23739</v>
      </c>
      <c r="W4888" t="s">
        <v>26452</v>
      </c>
      <c r="X4888" t="s">
        <v>3</v>
      </c>
      <c r="AA4888" s="5" t="str">
        <f>HYPERLINK("https://www.zillow.com/homes/1675-SILVERLEAF-CT-NAPERVILLE-IL-605633586_rb/","check listing")</f>
        <v>check listing</v>
      </c>
      <c r="AB4888" s="5" t="str">
        <f>HYPERLINK("https://propertylookup.dupagecounty.gov/Datalets/Datalet.aspx?UseSearch=no&amp;mode=sales&amp;pin=0709107012","sales record")</f>
        <v>sales record</v>
      </c>
      <c r="AC4888" t="s">
        <v>3</v>
      </c>
      <c r="AD4888">
        <v>41.797943</v>
      </c>
      <c r="AE4888">
        <v>-88.223485</v>
      </c>
      <c r="AF4888" s="5" t="str">
        <f>HYPERLINK("https://www.google.com/maps/search/?api=1&amp;query=41.797943,-88.223485","map")</f>
        <v>map</v>
      </c>
    </row>
    <row r="4889" spans="1:32">
      <c r="A4889" t="s">
        <v>4939</v>
      </c>
      <c r="B4889" t="s">
        <v>12472</v>
      </c>
      <c r="C4889" t="s">
        <v>15807</v>
      </c>
      <c r="D4889" t="s">
        <v>16206</v>
      </c>
      <c r="E4889" t="s">
        <v>16218</v>
      </c>
      <c r="F4889" t="s">
        <v>16221</v>
      </c>
      <c r="G4889" t="s">
        <v>16278</v>
      </c>
      <c r="H4889" t="s">
        <v>16277</v>
      </c>
      <c r="I4889" t="s">
        <v>16353</v>
      </c>
      <c r="J4889" t="s">
        <v>16386</v>
      </c>
      <c r="K4889">
        <v>0.155</v>
      </c>
      <c r="L4889">
        <v>6733</v>
      </c>
      <c r="N4889" t="s">
        <v>16393</v>
      </c>
      <c r="O4889" s="4">
        <v>62832</v>
      </c>
      <c r="P4889" s="4">
        <v>166942</v>
      </c>
      <c r="Q4889" s="4">
        <v>229774</v>
      </c>
      <c r="R4889" s="4">
        <v>689322</v>
      </c>
      <c r="S4889" t="s">
        <v>21180</v>
      </c>
      <c r="T4889" s="6">
        <v>44501</v>
      </c>
      <c r="U4889" s="4">
        <v>581000</v>
      </c>
      <c r="V4889" t="s">
        <v>23739</v>
      </c>
      <c r="W4889" t="s">
        <v>21180</v>
      </c>
      <c r="X4889" t="s">
        <v>3</v>
      </c>
      <c r="AA4889" s="5" t="str">
        <f>HYPERLINK("https://www.zillow.com/homes/1679-SILVERLEAF-CT-NAPERVILLE-IL-605633586_rb/","check listing")</f>
        <v>check listing</v>
      </c>
      <c r="AB4889" s="5" t="str">
        <f>HYPERLINK("https://propertylookup.dupagecounty.gov/Datalets/Datalet.aspx?UseSearch=no&amp;mode=sales&amp;pin=0709107013","sales record")</f>
        <v>sales record</v>
      </c>
      <c r="AC4889" t="s">
        <v>3</v>
      </c>
      <c r="AD4889">
        <v>41.798012</v>
      </c>
      <c r="AE4889">
        <v>-88.22329999999999</v>
      </c>
      <c r="AF4889" s="5" t="str">
        <f>HYPERLINK("https://www.google.com/maps/search/?api=1&amp;query=41.798012,-88.2233","map")</f>
        <v>map</v>
      </c>
    </row>
    <row r="4890" spans="1:32">
      <c r="A4890" t="s">
        <v>4940</v>
      </c>
      <c r="B4890" t="s">
        <v>12473</v>
      </c>
      <c r="C4890" t="s">
        <v>15478</v>
      </c>
      <c r="D4890" t="s">
        <v>16206</v>
      </c>
      <c r="E4890" t="s">
        <v>16218</v>
      </c>
      <c r="F4890" t="s">
        <v>16221</v>
      </c>
      <c r="G4890" t="s">
        <v>16278</v>
      </c>
      <c r="H4890" t="s">
        <v>16277</v>
      </c>
      <c r="I4890" t="s">
        <v>16353</v>
      </c>
      <c r="J4890" t="s">
        <v>16386</v>
      </c>
      <c r="K4890">
        <v>0.155</v>
      </c>
      <c r="L4890">
        <v>6732</v>
      </c>
      <c r="N4890" t="s">
        <v>16393</v>
      </c>
      <c r="O4890" s="4">
        <v>59829</v>
      </c>
      <c r="P4890" s="4">
        <v>182907</v>
      </c>
      <c r="Q4890" s="4">
        <v>242736</v>
      </c>
      <c r="R4890" s="4">
        <v>728208</v>
      </c>
      <c r="S4890" t="s">
        <v>21181</v>
      </c>
      <c r="T4890" s="6">
        <v>43040</v>
      </c>
      <c r="U4890" s="4">
        <v>483391</v>
      </c>
      <c r="V4890" t="s">
        <v>16232</v>
      </c>
      <c r="W4890" t="s">
        <v>26453</v>
      </c>
      <c r="X4890" t="s">
        <v>3</v>
      </c>
      <c r="AA4890" s="5" t="str">
        <f>HYPERLINK("https://www.zillow.com/homes/1464-BAYOU-PATH-DR-NAPERVILLE-IL-60563_rb/","check listing")</f>
        <v>check listing</v>
      </c>
      <c r="AB4890" s="5" t="str">
        <f>HYPERLINK("https://propertylookup.dupagecounty.gov/Datalets/Datalet.aspx?UseSearch=no&amp;mode=sales&amp;pin=0709305031","sales record")</f>
        <v>sales record</v>
      </c>
      <c r="AC4890" t="s">
        <v>3</v>
      </c>
      <c r="AD4890">
        <v>41.789563</v>
      </c>
      <c r="AE4890">
        <v>-88.21956400000001</v>
      </c>
      <c r="AF4890" s="5" t="str">
        <f>HYPERLINK("https://www.google.com/maps/search/?api=1&amp;query=41.789563,-88.219564","map")</f>
        <v>map</v>
      </c>
    </row>
    <row r="4891" spans="1:32">
      <c r="A4891" t="s">
        <v>4941</v>
      </c>
      <c r="B4891" t="s">
        <v>12474</v>
      </c>
      <c r="C4891" t="s">
        <v>15691</v>
      </c>
      <c r="D4891" t="s">
        <v>16206</v>
      </c>
      <c r="E4891" t="s">
        <v>16218</v>
      </c>
      <c r="F4891" t="s">
        <v>16221</v>
      </c>
      <c r="G4891" t="s">
        <v>16278</v>
      </c>
      <c r="H4891" t="s">
        <v>16277</v>
      </c>
      <c r="I4891" t="s">
        <v>16353</v>
      </c>
      <c r="J4891" t="s">
        <v>16386</v>
      </c>
      <c r="K4891">
        <v>0.155</v>
      </c>
      <c r="L4891">
        <v>6732</v>
      </c>
      <c r="N4891" t="s">
        <v>16393</v>
      </c>
      <c r="O4891" s="4">
        <v>59829</v>
      </c>
      <c r="P4891" s="4">
        <v>181747</v>
      </c>
      <c r="Q4891" s="4">
        <v>241576</v>
      </c>
      <c r="R4891" s="4">
        <v>724728</v>
      </c>
      <c r="S4891" t="s">
        <v>21182</v>
      </c>
      <c r="T4891" s="6">
        <v>43617</v>
      </c>
      <c r="U4891" s="4">
        <v>511666</v>
      </c>
      <c r="V4891" t="s">
        <v>16232</v>
      </c>
      <c r="W4891" t="s">
        <v>26454</v>
      </c>
      <c r="X4891" t="s">
        <v>3</v>
      </c>
      <c r="AA4891" s="5" t="str">
        <f>HYPERLINK("https://www.zillow.com/homes/1659-SILVERLEAF-ST-NAPERVILLE-IL-605633585_rb/","check listing")</f>
        <v>check listing</v>
      </c>
      <c r="AB4891" s="5" t="str">
        <f>HYPERLINK("https://propertylookup.dupagecounty.gov/Datalets/Datalet.aspx?UseSearch=no&amp;mode=sales&amp;pin=0709107008","sales record")</f>
        <v>sales record</v>
      </c>
      <c r="AC4891" t="s">
        <v>3</v>
      </c>
      <c r="AD4891">
        <v>41.797668</v>
      </c>
      <c r="AE4891">
        <v>-88.224221</v>
      </c>
      <c r="AF4891" s="5" t="str">
        <f>HYPERLINK("https://www.google.com/maps/search/?api=1&amp;query=41.797668,-88.224221","map")</f>
        <v>map</v>
      </c>
    </row>
    <row r="4892" spans="1:32">
      <c r="A4892" t="s">
        <v>4942</v>
      </c>
      <c r="B4892" t="s">
        <v>12475</v>
      </c>
      <c r="C4892" t="s">
        <v>15478</v>
      </c>
      <c r="D4892" t="s">
        <v>16206</v>
      </c>
      <c r="E4892" t="s">
        <v>16218</v>
      </c>
      <c r="F4892" t="s">
        <v>16221</v>
      </c>
      <c r="G4892" t="s">
        <v>16278</v>
      </c>
      <c r="H4892" t="s">
        <v>16277</v>
      </c>
      <c r="I4892" t="s">
        <v>16353</v>
      </c>
      <c r="J4892" t="s">
        <v>16386</v>
      </c>
      <c r="K4892">
        <v>0.155</v>
      </c>
      <c r="L4892">
        <v>6732</v>
      </c>
      <c r="N4892" t="s">
        <v>16393</v>
      </c>
      <c r="O4892" s="4">
        <v>59829</v>
      </c>
      <c r="P4892" s="4">
        <v>147988</v>
      </c>
      <c r="Q4892" s="4">
        <v>207817</v>
      </c>
      <c r="R4892" s="4">
        <v>623451</v>
      </c>
      <c r="S4892" t="s">
        <v>21183</v>
      </c>
      <c r="T4892" s="6">
        <v>42736</v>
      </c>
      <c r="U4892" s="4">
        <v>447759</v>
      </c>
      <c r="V4892" t="s">
        <v>16232</v>
      </c>
      <c r="W4892" t="s">
        <v>26455</v>
      </c>
      <c r="X4892" t="s">
        <v>3</v>
      </c>
      <c r="AA4892" s="5" t="str">
        <f>HYPERLINK("https://www.zillow.com/homes/2516-BALSAM-COVE-RD-NAPERVILLE-IL-60563_rb/","check listing")</f>
        <v>check listing</v>
      </c>
      <c r="AB4892" s="5" t="str">
        <f>HYPERLINK("https://propertylookup.dupagecounty.gov/Datalets/Datalet.aspx?UseSearch=no&amp;mode=sales&amp;pin=0709109012","sales record")</f>
        <v>sales record</v>
      </c>
      <c r="AC4892" t="s">
        <v>3</v>
      </c>
      <c r="AD4892">
        <v>41.79641</v>
      </c>
      <c r="AE4892">
        <v>-88.22283899999999</v>
      </c>
      <c r="AF4892" s="5" t="str">
        <f>HYPERLINK("https://www.google.com/maps/search/?api=1&amp;query=41.79641,-88.222839","map")</f>
        <v>map</v>
      </c>
    </row>
    <row r="4893" spans="1:32">
      <c r="A4893" t="s">
        <v>4943</v>
      </c>
      <c r="B4893" t="s">
        <v>12476</v>
      </c>
      <c r="C4893" t="s">
        <v>15475</v>
      </c>
      <c r="D4893" t="s">
        <v>16206</v>
      </c>
      <c r="E4893" t="s">
        <v>16218</v>
      </c>
      <c r="F4893" t="s">
        <v>16221</v>
      </c>
      <c r="G4893" t="s">
        <v>16277</v>
      </c>
      <c r="H4893" t="s">
        <v>16277</v>
      </c>
      <c r="I4893" t="s">
        <v>16353</v>
      </c>
      <c r="J4893" t="s">
        <v>16386</v>
      </c>
      <c r="K4893">
        <v>0.155</v>
      </c>
      <c r="L4893">
        <v>6731</v>
      </c>
      <c r="M4893">
        <v>3331</v>
      </c>
      <c r="N4893" t="s">
        <v>16393</v>
      </c>
      <c r="O4893" s="4">
        <v>105270</v>
      </c>
      <c r="P4893" s="4">
        <v>137796</v>
      </c>
      <c r="Q4893" s="4">
        <v>243066</v>
      </c>
      <c r="R4893" s="4">
        <v>729198</v>
      </c>
      <c r="S4893" t="s">
        <v>21184</v>
      </c>
      <c r="T4893" s="6">
        <v>41244</v>
      </c>
      <c r="U4893" s="4">
        <v>500000</v>
      </c>
      <c r="V4893" t="s">
        <v>23739</v>
      </c>
      <c r="W4893" t="s">
        <v>26456</v>
      </c>
      <c r="X4893" t="s">
        <v>3</v>
      </c>
      <c r="AA4893" s="5" t="str">
        <f>HYPERLINK("https://www.zillow.com/homes/215-W-SPRING-AVE-NAPERVILLE-IL-60540_rb/","check listing")</f>
        <v>check listing</v>
      </c>
      <c r="AB4893" s="5" t="str">
        <f>HYPERLINK("https://propertylookup.dupagecounty.gov/Datalets/Datalet.aspx?UseSearch=no&amp;mode=sales&amp;pin=0713217027","sales record")</f>
        <v>sales record</v>
      </c>
      <c r="AC4893" t="s">
        <v>3</v>
      </c>
      <c r="AD4893">
        <v>41.778683</v>
      </c>
      <c r="AE4893">
        <v>-88.151549</v>
      </c>
      <c r="AF4893" s="5" t="str">
        <f>HYPERLINK("https://www.google.com/maps/search/?api=1&amp;query=41.778683,-88.151549","map")</f>
        <v>map</v>
      </c>
    </row>
    <row r="4894" spans="1:32">
      <c r="A4894" t="s">
        <v>4944</v>
      </c>
      <c r="B4894" t="s">
        <v>12477</v>
      </c>
      <c r="C4894" t="s">
        <v>15691</v>
      </c>
      <c r="D4894" t="s">
        <v>16206</v>
      </c>
      <c r="E4894" t="s">
        <v>16218</v>
      </c>
      <c r="F4894" t="s">
        <v>16221</v>
      </c>
      <c r="G4894" t="s">
        <v>16278</v>
      </c>
      <c r="H4894" t="s">
        <v>16277</v>
      </c>
      <c r="I4894" t="s">
        <v>16353</v>
      </c>
      <c r="J4894" t="s">
        <v>16386</v>
      </c>
      <c r="K4894">
        <v>0.155</v>
      </c>
      <c r="L4894">
        <v>6731</v>
      </c>
      <c r="N4894" t="s">
        <v>16393</v>
      </c>
      <c r="O4894" s="4">
        <v>59829</v>
      </c>
      <c r="P4894" s="4">
        <v>153297</v>
      </c>
      <c r="Q4894" s="4">
        <v>213126</v>
      </c>
      <c r="R4894" s="4">
        <v>639378</v>
      </c>
      <c r="S4894" t="s">
        <v>21185</v>
      </c>
      <c r="T4894" s="6">
        <v>44136</v>
      </c>
      <c r="U4894" s="4">
        <v>469000</v>
      </c>
      <c r="V4894" t="s">
        <v>23739</v>
      </c>
      <c r="W4894" t="s">
        <v>21185</v>
      </c>
      <c r="X4894" t="s">
        <v>3</v>
      </c>
      <c r="AA4894" s="5" t="str">
        <f>HYPERLINK("https://www.zillow.com/homes/1671-SILVERLEAF-ST-NAPERVILLE-IL-605633585_rb/","check listing")</f>
        <v>check listing</v>
      </c>
      <c r="AB4894" s="5" t="str">
        <f>HYPERLINK("https://propertylookup.dupagecounty.gov/Datalets/Datalet.aspx?UseSearch=no&amp;mode=sales&amp;pin=0709107011","sales record")</f>
        <v>sales record</v>
      </c>
      <c r="AC4894" t="s">
        <v>3</v>
      </c>
      <c r="AD4894">
        <v>41.797874</v>
      </c>
      <c r="AE4894">
        <v>-88.223669</v>
      </c>
      <c r="AF4894" s="5" t="str">
        <f>HYPERLINK("https://www.google.com/maps/search/?api=1&amp;query=41.797874,-88.223669","map")</f>
        <v>map</v>
      </c>
    </row>
    <row r="4895" spans="1:32">
      <c r="A4895" t="s">
        <v>4945</v>
      </c>
      <c r="B4895" t="s">
        <v>12478</v>
      </c>
      <c r="C4895" t="s">
        <v>15478</v>
      </c>
      <c r="D4895" t="s">
        <v>16206</v>
      </c>
      <c r="E4895" t="s">
        <v>16218</v>
      </c>
      <c r="F4895" t="s">
        <v>16221</v>
      </c>
      <c r="G4895" t="s">
        <v>16278</v>
      </c>
      <c r="H4895" t="s">
        <v>16277</v>
      </c>
      <c r="I4895" t="s">
        <v>16353</v>
      </c>
      <c r="J4895" t="s">
        <v>16386</v>
      </c>
      <c r="K4895">
        <v>0.155</v>
      </c>
      <c r="L4895">
        <v>6731</v>
      </c>
      <c r="N4895" t="s">
        <v>16393</v>
      </c>
      <c r="O4895" s="4">
        <v>59829</v>
      </c>
      <c r="P4895" s="4">
        <v>183028</v>
      </c>
      <c r="Q4895" s="4">
        <v>242857</v>
      </c>
      <c r="R4895" s="4">
        <v>728571</v>
      </c>
      <c r="S4895" t="s">
        <v>21186</v>
      </c>
      <c r="T4895" s="6">
        <v>43040</v>
      </c>
      <c r="U4895" s="4">
        <v>482321</v>
      </c>
      <c r="V4895" t="s">
        <v>16232</v>
      </c>
      <c r="W4895" t="s">
        <v>26457</v>
      </c>
      <c r="X4895" t="s">
        <v>3</v>
      </c>
      <c r="AA4895" s="5" t="str">
        <f>HYPERLINK("https://www.zillow.com/homes/1468-BAYOU-PATH-DR-NAPERVILLE-IL-60563_rb/","check listing")</f>
        <v>check listing</v>
      </c>
      <c r="AB4895" s="5" t="str">
        <f>HYPERLINK("https://propertylookup.dupagecounty.gov/Datalets/Datalet.aspx?UseSearch=no&amp;mode=sales&amp;pin=0709305030","sales record")</f>
        <v>sales record</v>
      </c>
      <c r="AC4895" t="s">
        <v>3</v>
      </c>
      <c r="AD4895">
        <v>41.789716</v>
      </c>
      <c r="AE4895">
        <v>-88.21957500000001</v>
      </c>
      <c r="AF4895" s="5" t="str">
        <f>HYPERLINK("https://www.google.com/maps/search/?api=1&amp;query=41.789716,-88.219575","map")</f>
        <v>map</v>
      </c>
    </row>
    <row r="4896" spans="1:32">
      <c r="A4896" t="s">
        <v>4946</v>
      </c>
      <c r="B4896" t="s">
        <v>12479</v>
      </c>
      <c r="C4896" t="s">
        <v>15806</v>
      </c>
      <c r="D4896" t="s">
        <v>16206</v>
      </c>
      <c r="E4896" t="s">
        <v>16218</v>
      </c>
      <c r="F4896" t="s">
        <v>16221</v>
      </c>
      <c r="G4896" t="s">
        <v>16278</v>
      </c>
      <c r="H4896" t="s">
        <v>16277</v>
      </c>
      <c r="I4896" t="s">
        <v>16353</v>
      </c>
      <c r="J4896" t="s">
        <v>16386</v>
      </c>
      <c r="K4896">
        <v>0.154</v>
      </c>
      <c r="L4896">
        <v>6730</v>
      </c>
      <c r="N4896" t="s">
        <v>16393</v>
      </c>
      <c r="O4896" s="4">
        <v>59829</v>
      </c>
      <c r="P4896" s="4">
        <v>173826</v>
      </c>
      <c r="Q4896" s="4">
        <v>233655</v>
      </c>
      <c r="R4896" s="4">
        <v>700965</v>
      </c>
      <c r="S4896" t="s">
        <v>21187</v>
      </c>
      <c r="T4896" s="6">
        <v>42705</v>
      </c>
      <c r="U4896" s="4">
        <v>466913</v>
      </c>
      <c r="V4896" t="s">
        <v>16232</v>
      </c>
      <c r="W4896" t="s">
        <v>26458</v>
      </c>
      <c r="X4896" t="s">
        <v>3</v>
      </c>
      <c r="AA4896" s="5" t="str">
        <f>HYPERLINK("https://www.zillow.com/homes/2512-BALSAM-COVE-RD-NAPERVILLE-IL-605633592_rb/","check listing")</f>
        <v>check listing</v>
      </c>
      <c r="AB4896" s="5" t="str">
        <f>HYPERLINK("https://propertylookup.dupagecounty.gov/Datalets/Datalet.aspx?UseSearch=no&amp;mode=sales&amp;pin=0709109013","sales record")</f>
        <v>sales record</v>
      </c>
      <c r="AC4896" t="s">
        <v>3</v>
      </c>
      <c r="AD4896">
        <v>41.796409</v>
      </c>
      <c r="AE4896">
        <v>-88.222633</v>
      </c>
      <c r="AF4896" s="5" t="str">
        <f>HYPERLINK("https://www.google.com/maps/search/?api=1&amp;query=41.796409,-88.222633","map")</f>
        <v>map</v>
      </c>
    </row>
    <row r="4897" spans="1:32">
      <c r="A4897" t="s">
        <v>4947</v>
      </c>
      <c r="B4897" t="s">
        <v>12480</v>
      </c>
      <c r="C4897" t="s">
        <v>15808</v>
      </c>
      <c r="D4897" t="s">
        <v>16206</v>
      </c>
      <c r="E4897" t="s">
        <v>16218</v>
      </c>
      <c r="F4897" t="s">
        <v>16221</v>
      </c>
      <c r="G4897" t="s">
        <v>16277</v>
      </c>
      <c r="H4897" t="s">
        <v>16277</v>
      </c>
      <c r="I4897" t="s">
        <v>16353</v>
      </c>
      <c r="J4897" t="s">
        <v>16386</v>
      </c>
      <c r="K4897">
        <v>0.154</v>
      </c>
      <c r="L4897">
        <v>6729</v>
      </c>
      <c r="M4897">
        <v>1249</v>
      </c>
      <c r="N4897" t="s">
        <v>16393</v>
      </c>
      <c r="O4897" s="4">
        <v>104269</v>
      </c>
      <c r="P4897" s="4">
        <v>34565</v>
      </c>
      <c r="Q4897" s="4">
        <v>138834</v>
      </c>
      <c r="R4897" s="4">
        <v>416502</v>
      </c>
      <c r="S4897" t="s">
        <v>21188</v>
      </c>
      <c r="T4897" s="6">
        <v>44531</v>
      </c>
      <c r="U4897" s="4">
        <v>520000</v>
      </c>
      <c r="V4897" t="s">
        <v>23739</v>
      </c>
      <c r="W4897" t="s">
        <v>26459</v>
      </c>
      <c r="X4897" t="s">
        <v>3</v>
      </c>
      <c r="AA4897" s="5" t="str">
        <f>HYPERLINK("https://www.zillow.com/homes/21-W-FRANKLIN-AVE-NAPERVILLE-IL-605404524_rb/","check listing")</f>
        <v>check listing</v>
      </c>
      <c r="AB4897" s="5" t="str">
        <f>HYPERLINK("https://propertylookup.dupagecounty.gov/Datalets/Datalet.aspx?UseSearch=no&amp;mode=sales&amp;pin=0713404020","sales record")</f>
        <v>sales record</v>
      </c>
      <c r="AC4897" t="s">
        <v>3</v>
      </c>
      <c r="AD4897">
        <v>41.776318</v>
      </c>
      <c r="AE4897">
        <v>-88.14845800000001</v>
      </c>
      <c r="AF4897" s="5" t="str">
        <f>HYPERLINK("https://www.google.com/maps/search/?api=1&amp;query=41.776318,-88.148458","map")</f>
        <v>map</v>
      </c>
    </row>
    <row r="4898" spans="1:32">
      <c r="A4898" t="s">
        <v>4948</v>
      </c>
      <c r="B4898" t="s">
        <v>12481</v>
      </c>
      <c r="C4898" t="s">
        <v>15478</v>
      </c>
      <c r="D4898" t="s">
        <v>16206</v>
      </c>
      <c r="E4898" t="s">
        <v>16218</v>
      </c>
      <c r="F4898" t="s">
        <v>16221</v>
      </c>
      <c r="G4898" t="s">
        <v>16278</v>
      </c>
      <c r="H4898" t="s">
        <v>16277</v>
      </c>
      <c r="I4898" t="s">
        <v>16353</v>
      </c>
      <c r="J4898" t="s">
        <v>16386</v>
      </c>
      <c r="K4898">
        <v>0.154</v>
      </c>
      <c r="L4898">
        <v>6729</v>
      </c>
      <c r="N4898" t="s">
        <v>16393</v>
      </c>
      <c r="O4898" s="4">
        <v>59829</v>
      </c>
      <c r="P4898" s="4">
        <v>171886</v>
      </c>
      <c r="Q4898" s="4">
        <v>231715</v>
      </c>
      <c r="R4898" s="4">
        <v>695145</v>
      </c>
      <c r="S4898" t="s">
        <v>21189</v>
      </c>
      <c r="T4898" s="6">
        <v>42705</v>
      </c>
      <c r="U4898" s="4">
        <v>464015</v>
      </c>
      <c r="V4898" t="s">
        <v>16232</v>
      </c>
      <c r="W4898" t="s">
        <v>26460</v>
      </c>
      <c r="X4898" t="s">
        <v>3</v>
      </c>
      <c r="AA4898" s="5" t="str">
        <f>HYPERLINK("https://www.zillow.com/homes/2508-BALSAM-COVE-RD-NAPERVILLE-IL-60563_rb/","check listing")</f>
        <v>check listing</v>
      </c>
      <c r="AB4898" s="5" t="str">
        <f>HYPERLINK("https://propertylookup.dupagecounty.gov/Datalets/Datalet.aspx?UseSearch=no&amp;mode=sales&amp;pin=0709109014","sales record")</f>
        <v>sales record</v>
      </c>
      <c r="AC4898" t="s">
        <v>3</v>
      </c>
      <c r="AD4898">
        <v>41.796409</v>
      </c>
      <c r="AE4898">
        <v>-88.22242799999999</v>
      </c>
      <c r="AF4898" s="5" t="str">
        <f>HYPERLINK("https://www.google.com/maps/search/?api=1&amp;query=41.796409,-88.222428","map")</f>
        <v>map</v>
      </c>
    </row>
    <row r="4899" spans="1:32">
      <c r="A4899" t="s">
        <v>4949</v>
      </c>
      <c r="B4899" t="s">
        <v>12482</v>
      </c>
      <c r="C4899" t="s">
        <v>15478</v>
      </c>
      <c r="D4899" t="s">
        <v>16206</v>
      </c>
      <c r="E4899" t="s">
        <v>16218</v>
      </c>
      <c r="F4899" t="s">
        <v>16221</v>
      </c>
      <c r="G4899" t="s">
        <v>16278</v>
      </c>
      <c r="H4899" t="s">
        <v>16277</v>
      </c>
      <c r="I4899" t="s">
        <v>16353</v>
      </c>
      <c r="J4899" t="s">
        <v>16386</v>
      </c>
      <c r="K4899">
        <v>0.154</v>
      </c>
      <c r="L4899">
        <v>6728</v>
      </c>
      <c r="N4899" t="s">
        <v>16393</v>
      </c>
      <c r="O4899" s="4">
        <v>59829</v>
      </c>
      <c r="P4899" s="4">
        <v>142043</v>
      </c>
      <c r="Q4899" s="4">
        <v>201872</v>
      </c>
      <c r="R4899" s="4">
        <v>605616</v>
      </c>
      <c r="S4899" t="s">
        <v>21190</v>
      </c>
      <c r="T4899" s="6">
        <v>43070</v>
      </c>
      <c r="U4899" s="4">
        <v>443930</v>
      </c>
      <c r="V4899" t="s">
        <v>16232</v>
      </c>
      <c r="W4899" t="s">
        <v>26461</v>
      </c>
      <c r="X4899" t="s">
        <v>3</v>
      </c>
      <c r="AA4899" s="5" t="str">
        <f>HYPERLINK("https://www.zillow.com/homes/1472-BAYOU-PATH-DR-NAPERVILLE-IL-60563_rb/","check listing")</f>
        <v>check listing</v>
      </c>
      <c r="AB4899" s="5" t="str">
        <f>HYPERLINK("https://propertylookup.dupagecounty.gov/Datalets/Datalet.aspx?UseSearch=no&amp;mode=sales&amp;pin=0709305029","sales record")</f>
        <v>sales record</v>
      </c>
      <c r="AC4899" t="s">
        <v>3</v>
      </c>
      <c r="AD4899">
        <v>41.78987</v>
      </c>
      <c r="AE4899">
        <v>-88.219585</v>
      </c>
      <c r="AF4899" s="5" t="str">
        <f>HYPERLINK("https://www.google.com/maps/search/?api=1&amp;query=41.78987,-88.219585","map")</f>
        <v>map</v>
      </c>
    </row>
    <row r="4900" spans="1:32">
      <c r="A4900" t="s">
        <v>4950</v>
      </c>
      <c r="B4900" t="s">
        <v>12483</v>
      </c>
      <c r="C4900" t="s">
        <v>15621</v>
      </c>
      <c r="D4900" t="s">
        <v>16206</v>
      </c>
      <c r="E4900" t="s">
        <v>16218</v>
      </c>
      <c r="F4900" t="s">
        <v>16221</v>
      </c>
      <c r="G4900" t="s">
        <v>16278</v>
      </c>
      <c r="H4900" t="s">
        <v>16277</v>
      </c>
      <c r="I4900" t="s">
        <v>16353</v>
      </c>
      <c r="J4900" t="s">
        <v>16386</v>
      </c>
      <c r="K4900">
        <v>0.154</v>
      </c>
      <c r="L4900">
        <v>6727</v>
      </c>
      <c r="N4900" t="s">
        <v>16393</v>
      </c>
      <c r="O4900" s="4">
        <v>62832</v>
      </c>
      <c r="P4900" s="4">
        <v>147475</v>
      </c>
      <c r="Q4900" s="4">
        <v>210307</v>
      </c>
      <c r="R4900" s="4">
        <v>630921</v>
      </c>
      <c r="S4900" t="s">
        <v>21191</v>
      </c>
      <c r="T4900" s="6">
        <v>43252</v>
      </c>
      <c r="U4900" s="4">
        <v>504932</v>
      </c>
      <c r="V4900" t="s">
        <v>16232</v>
      </c>
      <c r="W4900" t="s">
        <v>26462</v>
      </c>
      <c r="X4900" t="s">
        <v>3</v>
      </c>
      <c r="AA4900" s="5" t="str">
        <f>HYPERLINK("https://www.zillow.com/homes/2408-COASTAL-SAGE-CT-NAPERVILLE-IL-605633613_rb/","check listing")</f>
        <v>check listing</v>
      </c>
      <c r="AB4900" s="5" t="str">
        <f>HYPERLINK("https://propertylookup.dupagecounty.gov/Datalets/Datalet.aspx?UseSearch=no&amp;mode=sales&amp;pin=0709311069","sales record")</f>
        <v>sales record</v>
      </c>
      <c r="AC4900" t="s">
        <v>3</v>
      </c>
      <c r="AD4900">
        <v>41.786684</v>
      </c>
      <c r="AE4900">
        <v>-88.219114</v>
      </c>
      <c r="AF4900" s="5" t="str">
        <f>HYPERLINK("https://www.google.com/maps/search/?api=1&amp;query=41.786684,-88.219114","map")</f>
        <v>map</v>
      </c>
    </row>
    <row r="4901" spans="1:32">
      <c r="A4901" t="s">
        <v>4951</v>
      </c>
      <c r="B4901" t="s">
        <v>12484</v>
      </c>
      <c r="C4901" t="s">
        <v>15629</v>
      </c>
      <c r="D4901" t="s">
        <v>16206</v>
      </c>
      <c r="E4901" t="s">
        <v>16218</v>
      </c>
      <c r="F4901" t="s">
        <v>16221</v>
      </c>
      <c r="G4901" t="s">
        <v>16278</v>
      </c>
      <c r="H4901" t="s">
        <v>16277</v>
      </c>
      <c r="I4901" t="s">
        <v>16353</v>
      </c>
      <c r="J4901" t="s">
        <v>16386</v>
      </c>
      <c r="K4901">
        <v>0.154</v>
      </c>
      <c r="L4901">
        <v>6727</v>
      </c>
      <c r="N4901" t="s">
        <v>16393</v>
      </c>
      <c r="O4901" s="4">
        <v>59829</v>
      </c>
      <c r="P4901" s="4">
        <v>147548</v>
      </c>
      <c r="Q4901" s="4">
        <v>207377</v>
      </c>
      <c r="R4901" s="4">
        <v>622131</v>
      </c>
      <c r="S4901" t="s">
        <v>21192</v>
      </c>
      <c r="T4901" s="6">
        <v>43435</v>
      </c>
      <c r="U4901" s="4">
        <v>480216</v>
      </c>
      <c r="V4901" t="s">
        <v>16232</v>
      </c>
      <c r="W4901" t="s">
        <v>26463</v>
      </c>
      <c r="X4901" t="s">
        <v>3</v>
      </c>
      <c r="AA4901" s="5" t="str">
        <f>HYPERLINK("https://www.zillow.com/homes/1327-BAYOU-PATH-CT-NAPERVILLE-IL-605633609_rb/","check listing")</f>
        <v>check listing</v>
      </c>
      <c r="AB4901" s="5" t="str">
        <f>HYPERLINK("https://propertylookup.dupagecounty.gov/Datalets/Datalet.aspx?UseSearch=no&amp;mode=sales&amp;pin=0709311079","sales record")</f>
        <v>sales record</v>
      </c>
      <c r="AC4901" t="s">
        <v>3</v>
      </c>
      <c r="AD4901">
        <v>41.785346</v>
      </c>
      <c r="AE4901">
        <v>-88.21816200000001</v>
      </c>
      <c r="AF4901" s="5" t="str">
        <f>HYPERLINK("https://www.google.com/maps/search/?api=1&amp;query=41.785346,-88.218162","map")</f>
        <v>map</v>
      </c>
    </row>
    <row r="4902" spans="1:32">
      <c r="A4902" t="s">
        <v>4952</v>
      </c>
      <c r="B4902" t="s">
        <v>12485</v>
      </c>
      <c r="C4902" t="s">
        <v>15629</v>
      </c>
      <c r="D4902" t="s">
        <v>16206</v>
      </c>
      <c r="E4902" t="s">
        <v>16218</v>
      </c>
      <c r="F4902" t="s">
        <v>16221</v>
      </c>
      <c r="G4902" t="s">
        <v>16278</v>
      </c>
      <c r="H4902" t="s">
        <v>16277</v>
      </c>
      <c r="I4902" t="s">
        <v>16353</v>
      </c>
      <c r="J4902" t="s">
        <v>16386</v>
      </c>
      <c r="K4902">
        <v>0.154</v>
      </c>
      <c r="L4902">
        <v>6726</v>
      </c>
      <c r="N4902" t="s">
        <v>16393</v>
      </c>
      <c r="O4902" s="4">
        <v>59829</v>
      </c>
      <c r="P4902" s="4">
        <v>152821</v>
      </c>
      <c r="Q4902" s="4">
        <v>212650</v>
      </c>
      <c r="R4902" s="4">
        <v>637950</v>
      </c>
      <c r="S4902" t="s">
        <v>21193</v>
      </c>
      <c r="T4902" s="6">
        <v>44105</v>
      </c>
      <c r="U4902" s="4">
        <v>475000</v>
      </c>
      <c r="V4902" t="s">
        <v>23739</v>
      </c>
      <c r="W4902" t="s">
        <v>21193</v>
      </c>
      <c r="X4902" t="s">
        <v>3</v>
      </c>
      <c r="AA4902" s="5" t="str">
        <f>HYPERLINK("https://www.zillow.com/homes/1323-BAYOU-PATH-CT-NAPERVILLE-IL-605633609_rb/","check listing")</f>
        <v>check listing</v>
      </c>
      <c r="AB4902" s="5" t="str">
        <f>HYPERLINK("https://propertylookup.dupagecounty.gov/Datalets/Datalet.aspx?UseSearch=no&amp;mode=sales&amp;pin=0709311080","sales record")</f>
        <v>sales record</v>
      </c>
      <c r="AC4902" t="s">
        <v>3</v>
      </c>
      <c r="AD4902">
        <v>41.785226</v>
      </c>
      <c r="AE4902">
        <v>-88.218034</v>
      </c>
      <c r="AF4902" s="5" t="str">
        <f>HYPERLINK("https://www.google.com/maps/search/?api=1&amp;query=41.785226,-88.218034","map")</f>
        <v>map</v>
      </c>
    </row>
    <row r="4903" spans="1:32">
      <c r="A4903" t="s">
        <v>4953</v>
      </c>
      <c r="B4903" t="s">
        <v>12486</v>
      </c>
      <c r="C4903" t="s">
        <v>15695</v>
      </c>
      <c r="D4903" t="s">
        <v>16206</v>
      </c>
      <c r="E4903" t="s">
        <v>16218</v>
      </c>
      <c r="F4903" t="s">
        <v>16221</v>
      </c>
      <c r="G4903" t="s">
        <v>16278</v>
      </c>
      <c r="H4903" t="s">
        <v>16277</v>
      </c>
      <c r="I4903" t="s">
        <v>16353</v>
      </c>
      <c r="J4903" t="s">
        <v>16386</v>
      </c>
      <c r="K4903">
        <v>0.154</v>
      </c>
      <c r="L4903">
        <v>6725</v>
      </c>
      <c r="N4903" t="s">
        <v>16393</v>
      </c>
      <c r="O4903" s="4">
        <v>59829</v>
      </c>
      <c r="P4903" s="4">
        <v>150929</v>
      </c>
      <c r="Q4903" s="4">
        <v>210758</v>
      </c>
      <c r="R4903" s="4">
        <v>632274</v>
      </c>
      <c r="S4903" t="s">
        <v>21194</v>
      </c>
      <c r="T4903" s="6">
        <v>44593</v>
      </c>
      <c r="U4903" s="4">
        <v>632000</v>
      </c>
      <c r="V4903" t="s">
        <v>23739</v>
      </c>
      <c r="W4903" t="s">
        <v>26464</v>
      </c>
      <c r="X4903" t="s">
        <v>3</v>
      </c>
      <c r="AA4903" s="5" t="str">
        <f>HYPERLINK("https://www.zillow.com/homes/1476-BAYOU-PATH-DR-NAPERVILLE-IL-605633498_rb/","check listing")</f>
        <v>check listing</v>
      </c>
      <c r="AB4903" s="5" t="str">
        <f>HYPERLINK("https://propertylookup.dupagecounty.gov/Datalets/Datalet.aspx?UseSearch=no&amp;mode=sales&amp;pin=0709305028","sales record")</f>
        <v>sales record</v>
      </c>
      <c r="AC4903" t="s">
        <v>3</v>
      </c>
      <c r="AD4903">
        <v>41.790023</v>
      </c>
      <c r="AE4903">
        <v>-88.219595</v>
      </c>
      <c r="AF4903" s="5" t="str">
        <f>HYPERLINK("https://www.google.com/maps/search/?api=1&amp;query=41.790023,-88.219595","map")</f>
        <v>map</v>
      </c>
    </row>
    <row r="4904" spans="1:32">
      <c r="A4904" t="s">
        <v>4954</v>
      </c>
      <c r="B4904" t="s">
        <v>12487</v>
      </c>
      <c r="C4904" t="s">
        <v>15662</v>
      </c>
      <c r="D4904" t="s">
        <v>16206</v>
      </c>
      <c r="E4904" t="s">
        <v>16218</v>
      </c>
      <c r="F4904" t="s">
        <v>16221</v>
      </c>
      <c r="G4904" t="s">
        <v>16278</v>
      </c>
      <c r="H4904" t="s">
        <v>16277</v>
      </c>
      <c r="I4904" t="s">
        <v>16353</v>
      </c>
      <c r="J4904" t="s">
        <v>16386</v>
      </c>
      <c r="K4904">
        <v>0.154</v>
      </c>
      <c r="L4904">
        <v>6722</v>
      </c>
      <c r="N4904" t="s">
        <v>16393</v>
      </c>
      <c r="O4904" s="4">
        <v>56146</v>
      </c>
      <c r="P4904" s="4">
        <v>225498</v>
      </c>
      <c r="Q4904" s="4">
        <v>281644</v>
      </c>
      <c r="R4904" s="4">
        <v>844932</v>
      </c>
      <c r="S4904" t="s">
        <v>21195</v>
      </c>
      <c r="T4904" s="6">
        <v>45421</v>
      </c>
      <c r="U4904" s="4">
        <v>815717</v>
      </c>
      <c r="V4904" t="s">
        <v>16232</v>
      </c>
      <c r="W4904" t="s">
        <v>26465</v>
      </c>
      <c r="X4904" t="s">
        <v>3</v>
      </c>
      <c r="AA4904" s="5" t="str">
        <f>HYPERLINK("https://www.zillow.com/homes/2423-WEATHERBEE-LN-NAPERVILLE-IL-605631594_rb/","check listing")</f>
        <v>check listing</v>
      </c>
      <c r="AB4904" s="5" t="str">
        <f>HYPERLINK("https://propertylookup.dupagecounty.gov/Datalets/Datalet.aspx?UseSearch=no&amp;mode=sales&amp;pin=0532305002","sales record")</f>
        <v>sales record</v>
      </c>
      <c r="AC4904" t="s">
        <v>3</v>
      </c>
      <c r="AD4904">
        <v>41.817731</v>
      </c>
      <c r="AE4904">
        <v>-88.119212</v>
      </c>
      <c r="AF4904" s="5" t="str">
        <f>HYPERLINK("https://www.google.com/maps/search/?api=1&amp;query=41.817731,-88.119212","map")</f>
        <v>map</v>
      </c>
    </row>
    <row r="4905" spans="1:32">
      <c r="A4905" t="s">
        <v>4955</v>
      </c>
      <c r="B4905" t="s">
        <v>12488</v>
      </c>
      <c r="C4905" t="s">
        <v>15629</v>
      </c>
      <c r="D4905" t="s">
        <v>16206</v>
      </c>
      <c r="E4905" t="s">
        <v>16218</v>
      </c>
      <c r="F4905" t="s">
        <v>16221</v>
      </c>
      <c r="G4905" t="s">
        <v>16278</v>
      </c>
      <c r="H4905" t="s">
        <v>16277</v>
      </c>
      <c r="I4905" t="s">
        <v>16353</v>
      </c>
      <c r="J4905" t="s">
        <v>16386</v>
      </c>
      <c r="K4905">
        <v>0.154</v>
      </c>
      <c r="L4905">
        <v>6722</v>
      </c>
      <c r="N4905" t="s">
        <v>16393</v>
      </c>
      <c r="O4905" s="4">
        <v>59829</v>
      </c>
      <c r="P4905" s="4">
        <v>169761</v>
      </c>
      <c r="Q4905" s="4">
        <v>229590</v>
      </c>
      <c r="R4905" s="4">
        <v>688770</v>
      </c>
      <c r="S4905" t="s">
        <v>21196</v>
      </c>
      <c r="T4905" s="6">
        <v>43525</v>
      </c>
      <c r="U4905" s="4">
        <v>501516</v>
      </c>
      <c r="V4905" t="s">
        <v>16232</v>
      </c>
      <c r="W4905" t="s">
        <v>21196</v>
      </c>
      <c r="X4905" t="s">
        <v>3</v>
      </c>
      <c r="AA4905" s="5" t="str">
        <f>HYPERLINK("https://www.zillow.com/homes/1319-BAYOU-PATH-CT-NAPERVILLE-IL-605633609_rb/","check listing")</f>
        <v>check listing</v>
      </c>
      <c r="AB4905" s="5" t="str">
        <f>HYPERLINK("https://propertylookup.dupagecounty.gov/Datalets/Datalet.aspx?UseSearch=no&amp;mode=sales&amp;pin=0709311081","sales record")</f>
        <v>sales record</v>
      </c>
      <c r="AC4905" t="s">
        <v>3</v>
      </c>
      <c r="AD4905">
        <v>41.785106</v>
      </c>
      <c r="AE4905">
        <v>-88.217906</v>
      </c>
      <c r="AF4905" s="5" t="str">
        <f>HYPERLINK("https://www.google.com/maps/search/?api=1&amp;query=41.785106,-88.217906","map")</f>
        <v>map</v>
      </c>
    </row>
    <row r="4906" spans="1:32">
      <c r="A4906" t="s">
        <v>4956</v>
      </c>
      <c r="B4906" t="s">
        <v>12489</v>
      </c>
      <c r="C4906" t="s">
        <v>15695</v>
      </c>
      <c r="D4906" t="s">
        <v>16206</v>
      </c>
      <c r="E4906" t="s">
        <v>16218</v>
      </c>
      <c r="F4906" t="s">
        <v>16221</v>
      </c>
      <c r="G4906" t="s">
        <v>16278</v>
      </c>
      <c r="H4906" t="s">
        <v>16277</v>
      </c>
      <c r="I4906" t="s">
        <v>16353</v>
      </c>
      <c r="J4906" t="s">
        <v>16386</v>
      </c>
      <c r="K4906">
        <v>0.154</v>
      </c>
      <c r="L4906">
        <v>6721</v>
      </c>
      <c r="N4906" t="s">
        <v>16393</v>
      </c>
      <c r="O4906" s="4">
        <v>59829</v>
      </c>
      <c r="P4906" s="4">
        <v>150405</v>
      </c>
      <c r="Q4906" s="4">
        <v>210234</v>
      </c>
      <c r="R4906" s="4">
        <v>630702</v>
      </c>
      <c r="S4906" t="s">
        <v>21197</v>
      </c>
      <c r="T4906" s="6">
        <v>44621</v>
      </c>
      <c r="U4906" s="4">
        <v>587500</v>
      </c>
      <c r="V4906" t="s">
        <v>23739</v>
      </c>
      <c r="W4906" t="s">
        <v>26466</v>
      </c>
      <c r="X4906" t="s">
        <v>3</v>
      </c>
      <c r="AA4906" s="5" t="str">
        <f>HYPERLINK("https://www.zillow.com/homes/1408-BAYOU-PATH-DR-NAPERVILLE-IL-605633498_rb/","check listing")</f>
        <v>check listing</v>
      </c>
      <c r="AB4906" s="5" t="str">
        <f>HYPERLINK("https://propertylookup.dupagecounty.gov/Datalets/Datalet.aspx?UseSearch=no&amp;mode=sales&amp;pin=0709305044","sales record")</f>
        <v>sales record</v>
      </c>
      <c r="AC4906" t="s">
        <v>3</v>
      </c>
      <c r="AD4906">
        <v>41.787558</v>
      </c>
      <c r="AE4906">
        <v>-88.21924799999999</v>
      </c>
      <c r="AF4906" s="5" t="str">
        <f>HYPERLINK("https://www.google.com/maps/search/?api=1&amp;query=41.787558,-88.219248","map")</f>
        <v>map</v>
      </c>
    </row>
    <row r="4907" spans="1:32">
      <c r="A4907" t="s">
        <v>4957</v>
      </c>
      <c r="B4907" t="s">
        <v>12490</v>
      </c>
      <c r="C4907" t="s">
        <v>15629</v>
      </c>
      <c r="D4907" t="s">
        <v>16206</v>
      </c>
      <c r="E4907" t="s">
        <v>16218</v>
      </c>
      <c r="F4907" t="s">
        <v>16221</v>
      </c>
      <c r="G4907" t="s">
        <v>16278</v>
      </c>
      <c r="H4907" t="s">
        <v>16277</v>
      </c>
      <c r="I4907" t="s">
        <v>16353</v>
      </c>
      <c r="J4907" t="s">
        <v>16386</v>
      </c>
      <c r="K4907">
        <v>0.154</v>
      </c>
      <c r="L4907">
        <v>6719</v>
      </c>
      <c r="N4907" t="s">
        <v>16393</v>
      </c>
      <c r="O4907" s="4">
        <v>59829</v>
      </c>
      <c r="P4907" s="4">
        <v>181003</v>
      </c>
      <c r="Q4907" s="4">
        <v>240832</v>
      </c>
      <c r="R4907" s="4">
        <v>722496</v>
      </c>
      <c r="S4907" t="s">
        <v>21198</v>
      </c>
      <c r="T4907" s="6">
        <v>43525</v>
      </c>
      <c r="U4907" s="4">
        <v>546060</v>
      </c>
      <c r="V4907" t="s">
        <v>16232</v>
      </c>
      <c r="W4907" t="s">
        <v>26467</v>
      </c>
      <c r="X4907" t="s">
        <v>3</v>
      </c>
      <c r="AA4907" s="5" t="str">
        <f>HYPERLINK("https://www.zillow.com/homes/1315-BAYOU-PATH-CT-NAPERVILLE-IL-605633609_rb/","check listing")</f>
        <v>check listing</v>
      </c>
      <c r="AB4907" s="5" t="str">
        <f>HYPERLINK("https://propertylookup.dupagecounty.gov/Datalets/Datalet.aspx?UseSearch=no&amp;mode=sales&amp;pin=0709311082","sales record")</f>
        <v>sales record</v>
      </c>
      <c r="AC4907" t="s">
        <v>3</v>
      </c>
      <c r="AD4907">
        <v>41.784986</v>
      </c>
      <c r="AE4907">
        <v>-88.21777899999999</v>
      </c>
      <c r="AF4907" s="5" t="str">
        <f>HYPERLINK("https://www.google.com/maps/search/?api=1&amp;query=41.784986,-88.217779","map")</f>
        <v>map</v>
      </c>
    </row>
    <row r="4908" spans="1:32">
      <c r="A4908" t="s">
        <v>4958</v>
      </c>
      <c r="B4908" t="s">
        <v>12491</v>
      </c>
      <c r="C4908" t="s">
        <v>15478</v>
      </c>
      <c r="D4908" t="s">
        <v>16206</v>
      </c>
      <c r="E4908" t="s">
        <v>16218</v>
      </c>
      <c r="F4908" t="s">
        <v>16221</v>
      </c>
      <c r="G4908" t="s">
        <v>16277</v>
      </c>
      <c r="H4908" t="s">
        <v>16277</v>
      </c>
      <c r="I4908" t="s">
        <v>16353</v>
      </c>
      <c r="J4908" t="s">
        <v>16386</v>
      </c>
      <c r="K4908">
        <v>0.154</v>
      </c>
      <c r="L4908">
        <v>6717</v>
      </c>
      <c r="M4908">
        <v>2242</v>
      </c>
      <c r="N4908" t="s">
        <v>16393</v>
      </c>
      <c r="O4908" s="4">
        <v>89735</v>
      </c>
      <c r="P4908" s="4">
        <v>40705</v>
      </c>
      <c r="Q4908" s="4">
        <v>130440</v>
      </c>
      <c r="R4908" s="4">
        <v>391320</v>
      </c>
      <c r="S4908" t="s">
        <v>21199</v>
      </c>
      <c r="T4908" s="6">
        <v>45713</v>
      </c>
      <c r="U4908" s="4">
        <v>335000</v>
      </c>
      <c r="V4908" t="s">
        <v>23739</v>
      </c>
      <c r="W4908" t="s">
        <v>26468</v>
      </c>
      <c r="X4908" t="s">
        <v>3</v>
      </c>
      <c r="AA4908" s="5" t="str">
        <f>HYPERLINK("https://www.zillow.com/homes/950-N-SLEIGHT-ST-NAPERVILLE-IL-60563_rb/","check listing")</f>
        <v>check listing</v>
      </c>
      <c r="AB4908" s="5" t="str">
        <f>HYPERLINK("https://propertylookup.dupagecounty.gov/Datalets/Datalet.aspx?UseSearch=no&amp;mode=sales&amp;pin=0807312005","sales record")</f>
        <v>sales record</v>
      </c>
      <c r="AC4908" t="s">
        <v>3</v>
      </c>
      <c r="AD4908">
        <v>41.787172</v>
      </c>
      <c r="AE4908">
        <v>-88.13931599999999</v>
      </c>
      <c r="AF4908" s="5" t="str">
        <f>HYPERLINK("https://www.google.com/maps/search/?api=1&amp;query=41.787172,-88.139316","map")</f>
        <v>map</v>
      </c>
    </row>
    <row r="4909" spans="1:32">
      <c r="A4909" t="s">
        <v>4959</v>
      </c>
      <c r="B4909" t="s">
        <v>12492</v>
      </c>
      <c r="C4909" t="s">
        <v>15629</v>
      </c>
      <c r="D4909" t="s">
        <v>16206</v>
      </c>
      <c r="E4909" t="s">
        <v>16218</v>
      </c>
      <c r="F4909" t="s">
        <v>16221</v>
      </c>
      <c r="G4909" t="s">
        <v>16278</v>
      </c>
      <c r="H4909" t="s">
        <v>16277</v>
      </c>
      <c r="I4909" t="s">
        <v>16353</v>
      </c>
      <c r="J4909" t="s">
        <v>16386</v>
      </c>
      <c r="K4909">
        <v>0.154</v>
      </c>
      <c r="L4909">
        <v>6715</v>
      </c>
      <c r="N4909" t="s">
        <v>16393</v>
      </c>
      <c r="O4909" s="4">
        <v>59829</v>
      </c>
      <c r="P4909" s="4">
        <v>150612</v>
      </c>
      <c r="Q4909" s="4">
        <v>210441</v>
      </c>
      <c r="R4909" s="4">
        <v>631323</v>
      </c>
      <c r="S4909" t="s">
        <v>21200</v>
      </c>
      <c r="T4909" s="6">
        <v>43497</v>
      </c>
      <c r="U4909" s="4">
        <v>514526</v>
      </c>
      <c r="V4909" t="s">
        <v>16232</v>
      </c>
      <c r="W4909" t="s">
        <v>21200</v>
      </c>
      <c r="X4909" t="s">
        <v>3</v>
      </c>
      <c r="AA4909" s="5" t="str">
        <f>HYPERLINK("https://www.zillow.com/homes/1359-BAYOU-PATH-CT-NAPERVILLE-IL-605633609_rb/","check listing")</f>
        <v>check listing</v>
      </c>
      <c r="AB4909" s="5" t="str">
        <f>HYPERLINK("https://propertylookup.dupagecounty.gov/Datalets/Datalet.aspx?UseSearch=no&amp;mode=sales&amp;pin=0709311072","sales record")</f>
        <v>sales record</v>
      </c>
      <c r="AC4909" t="s">
        <v>3</v>
      </c>
      <c r="AD4909">
        <v>41.786355</v>
      </c>
      <c r="AE4909">
        <v>-88.218779</v>
      </c>
      <c r="AF4909" s="5" t="str">
        <f>HYPERLINK("https://www.google.com/maps/search/?api=1&amp;query=41.786355,-88.218779","map")</f>
        <v>map</v>
      </c>
    </row>
    <row r="4910" spans="1:32">
      <c r="A4910" t="s">
        <v>4960</v>
      </c>
      <c r="B4910" t="s">
        <v>12493</v>
      </c>
      <c r="C4910" t="s">
        <v>15662</v>
      </c>
      <c r="D4910" t="s">
        <v>16206</v>
      </c>
      <c r="E4910" t="s">
        <v>16218</v>
      </c>
      <c r="F4910" t="s">
        <v>16221</v>
      </c>
      <c r="G4910" t="s">
        <v>16278</v>
      </c>
      <c r="H4910" t="s">
        <v>16277</v>
      </c>
      <c r="I4910" t="s">
        <v>16353</v>
      </c>
      <c r="J4910" t="s">
        <v>16386</v>
      </c>
      <c r="K4910">
        <v>0.154</v>
      </c>
      <c r="L4910">
        <v>6706</v>
      </c>
      <c r="N4910" t="s">
        <v>16393</v>
      </c>
      <c r="O4910" s="4">
        <v>56146</v>
      </c>
      <c r="P4910" s="4">
        <v>241343</v>
      </c>
      <c r="Q4910" s="4">
        <v>297489</v>
      </c>
      <c r="R4910" s="4">
        <v>892467</v>
      </c>
      <c r="S4910" t="s">
        <v>21201</v>
      </c>
      <c r="T4910" s="6">
        <v>45447</v>
      </c>
      <c r="U4910" s="4">
        <v>857342</v>
      </c>
      <c r="V4910" t="s">
        <v>16232</v>
      </c>
      <c r="W4910" t="s">
        <v>26469</v>
      </c>
      <c r="X4910" t="s">
        <v>3</v>
      </c>
      <c r="AA4910" s="5" t="str">
        <f>HYPERLINK("https://www.zillow.com/homes/2424-LUCENT-LN-NAPERVILLE-IL-605631594_rb/","check listing")</f>
        <v>check listing</v>
      </c>
      <c r="AB4910" s="5" t="str">
        <f>HYPERLINK("https://propertylookup.dupagecounty.gov/Datalets/Datalet.aspx?UseSearch=no&amp;mode=sales&amp;pin=0532303016","sales record")</f>
        <v>sales record</v>
      </c>
      <c r="AC4910" t="s">
        <v>3</v>
      </c>
      <c r="AD4910">
        <v>41.818415</v>
      </c>
      <c r="AE4910">
        <v>-88.12137300000001</v>
      </c>
      <c r="AF4910" s="5" t="str">
        <f>HYPERLINK("https://www.google.com/maps/search/?api=1&amp;query=41.818415,-88.121373","map")</f>
        <v>map</v>
      </c>
    </row>
    <row r="4911" spans="1:32">
      <c r="A4911" t="s">
        <v>4961</v>
      </c>
      <c r="B4911" t="s">
        <v>12494</v>
      </c>
      <c r="C4911" t="s">
        <v>15474</v>
      </c>
      <c r="D4911" t="s">
        <v>16206</v>
      </c>
      <c r="E4911" t="s">
        <v>16218</v>
      </c>
      <c r="F4911" t="s">
        <v>16221</v>
      </c>
      <c r="G4911" t="s">
        <v>16277</v>
      </c>
      <c r="H4911" t="s">
        <v>16277</v>
      </c>
      <c r="I4911" t="s">
        <v>16353</v>
      </c>
      <c r="J4911" t="s">
        <v>16386</v>
      </c>
      <c r="K4911">
        <v>0.154</v>
      </c>
      <c r="L4911">
        <v>6701</v>
      </c>
      <c r="M4911">
        <v>2078</v>
      </c>
      <c r="N4911" t="s">
        <v>16393</v>
      </c>
      <c r="O4911" s="4">
        <v>109480</v>
      </c>
      <c r="P4911" s="4">
        <v>205242</v>
      </c>
      <c r="Q4911" s="4">
        <v>314722</v>
      </c>
      <c r="R4911" s="4">
        <v>944166</v>
      </c>
      <c r="S4911" t="s">
        <v>21202</v>
      </c>
      <c r="T4911" s="6">
        <v>44378</v>
      </c>
      <c r="U4911" s="4">
        <v>1100000</v>
      </c>
      <c r="V4911" t="s">
        <v>23740</v>
      </c>
      <c r="W4911" t="s">
        <v>26470</v>
      </c>
      <c r="X4911" t="s">
        <v>3</v>
      </c>
      <c r="AA4911" s="5" t="str">
        <f>HYPERLINK("https://www.zillow.com/homes/242-W-VAN-BUREN-AVE-NAPERVILLE-IL-605405329_rb/","check listing")</f>
        <v>check listing</v>
      </c>
      <c r="AB4911" s="5" t="str">
        <f>HYPERLINK("https://propertylookup.dupagecounty.gov/Datalets/Datalet.aspx?UseSearch=no&amp;mode=sales&amp;pin=0713421001","sales record")</f>
        <v>sales record</v>
      </c>
      <c r="AC4911" t="s">
        <v>3</v>
      </c>
      <c r="AD4911">
        <v>41.773935</v>
      </c>
      <c r="AE4911">
        <v>-88.152676</v>
      </c>
      <c r="AF4911" s="5" t="str">
        <f>HYPERLINK("https://www.google.com/maps/search/?api=1&amp;query=41.773935,-88.152676","map")</f>
        <v>map</v>
      </c>
    </row>
    <row r="4912" spans="1:32">
      <c r="A4912" t="s">
        <v>4962</v>
      </c>
      <c r="B4912" t="s">
        <v>12495</v>
      </c>
      <c r="C4912" t="s">
        <v>15475</v>
      </c>
      <c r="D4912" t="s">
        <v>16206</v>
      </c>
      <c r="E4912" t="s">
        <v>16218</v>
      </c>
      <c r="F4912" t="s">
        <v>16221</v>
      </c>
      <c r="G4912" t="s">
        <v>16277</v>
      </c>
      <c r="H4912" t="s">
        <v>16277</v>
      </c>
      <c r="I4912" t="s">
        <v>16353</v>
      </c>
      <c r="J4912" t="s">
        <v>16386</v>
      </c>
      <c r="K4912">
        <v>0.154</v>
      </c>
      <c r="L4912">
        <v>6697</v>
      </c>
      <c r="M4912">
        <v>1715</v>
      </c>
      <c r="N4912" t="s">
        <v>16393</v>
      </c>
      <c r="O4912" s="4">
        <v>109480</v>
      </c>
      <c r="P4912" s="4">
        <v>300211</v>
      </c>
      <c r="Q4912" s="4">
        <v>409691</v>
      </c>
      <c r="R4912" s="4">
        <v>1229073</v>
      </c>
      <c r="S4912" t="s">
        <v>21203</v>
      </c>
      <c r="X4912" t="s">
        <v>3</v>
      </c>
      <c r="AA4912" s="5" t="str">
        <f>HYPERLINK("https://www.zillow.com/homes/234-W-VAN-BUREN-AVE-NAPERVILLE-IL-60540_rb/","check listing")</f>
        <v>check listing</v>
      </c>
      <c r="AB4912" s="5" t="str">
        <f>HYPERLINK("https://propertylookup.dupagecounty.gov/Datalets/Datalet.aspx?UseSearch=no&amp;mode=sales&amp;pin=0713421021","sales record")</f>
        <v>sales record</v>
      </c>
      <c r="AC4912" t="s">
        <v>3</v>
      </c>
      <c r="AD4912">
        <v>41.773927</v>
      </c>
      <c r="AE4912">
        <v>-88.152433</v>
      </c>
      <c r="AF4912" s="5" t="str">
        <f>HYPERLINK("https://www.google.com/maps/search/?api=1&amp;query=41.773927,-88.152433","map")</f>
        <v>map</v>
      </c>
    </row>
    <row r="4913" spans="1:32">
      <c r="A4913" t="s">
        <v>4963</v>
      </c>
      <c r="B4913" t="s">
        <v>12496</v>
      </c>
      <c r="C4913" t="s">
        <v>15662</v>
      </c>
      <c r="D4913" t="s">
        <v>16206</v>
      </c>
      <c r="E4913" t="s">
        <v>16218</v>
      </c>
      <c r="F4913" t="s">
        <v>16221</v>
      </c>
      <c r="G4913" t="s">
        <v>16278</v>
      </c>
      <c r="H4913" t="s">
        <v>16277</v>
      </c>
      <c r="I4913" t="s">
        <v>16353</v>
      </c>
      <c r="J4913" t="s">
        <v>16386</v>
      </c>
      <c r="K4913">
        <v>0.154</v>
      </c>
      <c r="L4913">
        <v>6695</v>
      </c>
      <c r="N4913" t="s">
        <v>16393</v>
      </c>
      <c r="O4913" s="4">
        <v>56146</v>
      </c>
      <c r="P4913" s="4">
        <v>225984</v>
      </c>
      <c r="Q4913" s="4">
        <v>282130</v>
      </c>
      <c r="R4913" s="4">
        <v>846390</v>
      </c>
      <c r="S4913" t="s">
        <v>21204</v>
      </c>
      <c r="T4913" s="6">
        <v>45380</v>
      </c>
      <c r="U4913" s="4">
        <v>823615</v>
      </c>
      <c r="V4913" t="s">
        <v>23743</v>
      </c>
      <c r="W4913" t="s">
        <v>26471</v>
      </c>
      <c r="X4913" t="s">
        <v>3</v>
      </c>
      <c r="AA4913" s="5" t="str">
        <f>HYPERLINK("https://www.zillow.com/homes/2420-LUCENT-LN-NAPERVILLE-IL-605631594_rb/","check listing")</f>
        <v>check listing</v>
      </c>
      <c r="AB4913" s="5" t="str">
        <f>HYPERLINK("https://propertylookup.dupagecounty.gov/Datalets/Datalet.aspx?UseSearch=no&amp;mode=sales&amp;pin=0532303015","sales record")</f>
        <v>sales record</v>
      </c>
      <c r="AC4913" t="s">
        <v>3</v>
      </c>
      <c r="AD4913">
        <v>41.818277</v>
      </c>
      <c r="AE4913">
        <v>-88.121459</v>
      </c>
      <c r="AF4913" s="5" t="str">
        <f>HYPERLINK("https://www.google.com/maps/search/?api=1&amp;query=41.818277,-88.121459","map")</f>
        <v>map</v>
      </c>
    </row>
    <row r="4914" spans="1:32">
      <c r="A4914" t="s">
        <v>4964</v>
      </c>
      <c r="B4914" t="s">
        <v>12497</v>
      </c>
      <c r="C4914" t="s">
        <v>15662</v>
      </c>
      <c r="D4914" t="s">
        <v>16206</v>
      </c>
      <c r="E4914" t="s">
        <v>16218</v>
      </c>
      <c r="F4914" t="s">
        <v>16221</v>
      </c>
      <c r="G4914" t="s">
        <v>16278</v>
      </c>
      <c r="H4914" t="s">
        <v>16277</v>
      </c>
      <c r="I4914" t="s">
        <v>16353</v>
      </c>
      <c r="J4914" t="s">
        <v>16386</v>
      </c>
      <c r="K4914">
        <v>0.154</v>
      </c>
      <c r="L4914">
        <v>6691</v>
      </c>
      <c r="N4914" t="s">
        <v>16393</v>
      </c>
      <c r="O4914" s="4">
        <v>56146</v>
      </c>
      <c r="P4914" s="4">
        <v>222917</v>
      </c>
      <c r="Q4914" s="4">
        <v>279063</v>
      </c>
      <c r="R4914" s="4">
        <v>837189</v>
      </c>
      <c r="S4914" t="s">
        <v>21205</v>
      </c>
      <c r="T4914" s="6">
        <v>45463</v>
      </c>
      <c r="U4914" s="4">
        <v>851176</v>
      </c>
      <c r="V4914" t="s">
        <v>16232</v>
      </c>
      <c r="W4914" t="s">
        <v>26472</v>
      </c>
      <c r="X4914" t="s">
        <v>3</v>
      </c>
      <c r="AA4914" s="5" t="str">
        <f>HYPERLINK("https://www.zillow.com/homes/2416-LUCENT-LN-NAPERVILLE-IL-605631594_rb/","check listing")</f>
        <v>check listing</v>
      </c>
      <c r="AB4914" s="5" t="str">
        <f>HYPERLINK("https://propertylookup.dupagecounty.gov/Datalets/Datalet.aspx?UseSearch=no&amp;mode=sales&amp;pin=0532303014","sales record")</f>
        <v>sales record</v>
      </c>
      <c r="AC4914" t="s">
        <v>3</v>
      </c>
      <c r="AD4914">
        <v>41.818139</v>
      </c>
      <c r="AE4914">
        <v>-88.121546</v>
      </c>
      <c r="AF4914" s="5" t="str">
        <f>HYPERLINK("https://www.google.com/maps/search/?api=1&amp;query=41.818139,-88.121546","map")</f>
        <v>map</v>
      </c>
    </row>
    <row r="4915" spans="1:32">
      <c r="A4915" t="s">
        <v>4965</v>
      </c>
      <c r="B4915" t="s">
        <v>12498</v>
      </c>
      <c r="C4915" t="s">
        <v>15475</v>
      </c>
      <c r="D4915" t="s">
        <v>16206</v>
      </c>
      <c r="E4915" t="s">
        <v>16218</v>
      </c>
      <c r="F4915" t="s">
        <v>16221</v>
      </c>
      <c r="G4915" t="s">
        <v>16277</v>
      </c>
      <c r="H4915" t="s">
        <v>16277</v>
      </c>
      <c r="I4915" t="s">
        <v>16353</v>
      </c>
      <c r="J4915" t="s">
        <v>16386</v>
      </c>
      <c r="K4915">
        <v>0.154</v>
      </c>
      <c r="L4915">
        <v>6688</v>
      </c>
      <c r="M4915">
        <v>2238</v>
      </c>
      <c r="N4915" t="s">
        <v>16393</v>
      </c>
      <c r="O4915" s="4">
        <v>114521</v>
      </c>
      <c r="P4915" s="4">
        <v>51872</v>
      </c>
      <c r="Q4915" s="4">
        <v>166393</v>
      </c>
      <c r="R4915" s="4">
        <v>499179</v>
      </c>
      <c r="S4915" t="s">
        <v>21206</v>
      </c>
      <c r="T4915" s="6">
        <v>42522</v>
      </c>
      <c r="U4915" s="4">
        <v>315000</v>
      </c>
      <c r="V4915" t="s">
        <v>23739</v>
      </c>
      <c r="W4915" t="s">
        <v>21206</v>
      </c>
      <c r="X4915" t="s">
        <v>3</v>
      </c>
      <c r="AA4915" s="5" t="str">
        <f>HYPERLINK("https://www.zillow.com/homes/126-W-FRANKLIN-AVE-NAPERVILLE-IL-60540_rb/","check listing")</f>
        <v>check listing</v>
      </c>
      <c r="AB4915" s="5" t="str">
        <f>HYPERLINK("https://propertylookup.dupagecounty.gov/Datalets/Datalet.aspx?UseSearch=no&amp;mode=sales&amp;pin=0713410004","sales record")</f>
        <v>sales record</v>
      </c>
      <c r="AC4915" t="s">
        <v>27873</v>
      </c>
      <c r="AD4915">
        <v>41.775821</v>
      </c>
      <c r="AE4915">
        <v>-88.150362</v>
      </c>
      <c r="AF4915" s="5" t="str">
        <f>HYPERLINK("https://www.google.com/maps/search/?api=1&amp;query=41.775821,-88.150362","map")</f>
        <v>map</v>
      </c>
    </row>
    <row r="4916" spans="1:32">
      <c r="A4916" t="s">
        <v>4966</v>
      </c>
      <c r="B4916" t="s">
        <v>12499</v>
      </c>
      <c r="C4916" t="s">
        <v>15475</v>
      </c>
      <c r="D4916" t="s">
        <v>16206</v>
      </c>
      <c r="E4916" t="s">
        <v>16218</v>
      </c>
      <c r="F4916" t="s">
        <v>16221</v>
      </c>
      <c r="G4916" t="s">
        <v>16277</v>
      </c>
      <c r="H4916" t="s">
        <v>16277</v>
      </c>
      <c r="I4916" t="s">
        <v>16353</v>
      </c>
      <c r="J4916" t="s">
        <v>16386</v>
      </c>
      <c r="K4916">
        <v>0.153</v>
      </c>
      <c r="L4916">
        <v>6685</v>
      </c>
      <c r="M4916">
        <v>1686</v>
      </c>
      <c r="N4916" t="s">
        <v>16393</v>
      </c>
      <c r="O4916" s="4">
        <v>114521</v>
      </c>
      <c r="P4916" s="4">
        <v>44219</v>
      </c>
      <c r="Q4916" s="4">
        <v>158740</v>
      </c>
      <c r="R4916" s="4">
        <v>476220</v>
      </c>
      <c r="S4916" t="s">
        <v>21207</v>
      </c>
      <c r="T4916" s="6">
        <v>30468</v>
      </c>
      <c r="U4916" s="4">
        <v>55000</v>
      </c>
      <c r="X4916" t="s">
        <v>3</v>
      </c>
      <c r="AA4916" s="5" t="str">
        <f>HYPERLINK("https://www.zillow.com/homes/110-W-FRANKLIN-AVE-NAPERVILLE-IL-60540_rb/","check listing")</f>
        <v>check listing</v>
      </c>
      <c r="AB4916" s="5" t="str">
        <f>HYPERLINK("https://propertylookup.dupagecounty.gov/Datalets/Datalet.aspx?UseSearch=no&amp;mode=sales&amp;pin=0713410006","sales record")</f>
        <v>sales record</v>
      </c>
      <c r="AC4916" t="s">
        <v>27873</v>
      </c>
      <c r="AD4916">
        <v>41.775878</v>
      </c>
      <c r="AE4916">
        <v>-88.14999400000001</v>
      </c>
      <c r="AF4916" s="5" t="str">
        <f>HYPERLINK("https://www.google.com/maps/search/?api=1&amp;query=41.775878,-88.149994","map")</f>
        <v>map</v>
      </c>
    </row>
    <row r="4917" spans="1:32">
      <c r="A4917" t="s">
        <v>4967</v>
      </c>
      <c r="B4917" t="s">
        <v>12500</v>
      </c>
      <c r="C4917" t="s">
        <v>15662</v>
      </c>
      <c r="D4917" t="s">
        <v>16206</v>
      </c>
      <c r="E4917" t="s">
        <v>16218</v>
      </c>
      <c r="F4917" t="s">
        <v>16221</v>
      </c>
      <c r="G4917" t="s">
        <v>16278</v>
      </c>
      <c r="H4917" t="s">
        <v>16277</v>
      </c>
      <c r="I4917" t="s">
        <v>16353</v>
      </c>
      <c r="J4917" t="s">
        <v>16386</v>
      </c>
      <c r="K4917">
        <v>0.153</v>
      </c>
      <c r="L4917">
        <v>6683</v>
      </c>
      <c r="N4917" t="s">
        <v>16393</v>
      </c>
      <c r="O4917" s="4">
        <v>56141</v>
      </c>
      <c r="P4917" s="4">
        <v>233607</v>
      </c>
      <c r="Q4917" s="4">
        <v>289748</v>
      </c>
      <c r="R4917" s="4">
        <v>869244</v>
      </c>
      <c r="S4917" t="s">
        <v>21208</v>
      </c>
      <c r="T4917" s="6">
        <v>45961</v>
      </c>
      <c r="U4917" s="4">
        <v>873000</v>
      </c>
      <c r="V4917" t="s">
        <v>23739</v>
      </c>
      <c r="W4917" t="s">
        <v>26473</v>
      </c>
      <c r="X4917" t="s">
        <v>3</v>
      </c>
      <c r="AA4917" s="5" t="str">
        <f>HYPERLINK("https://www.zillow.com/homes/2412-LUCENT-LN-NAPERVILLE-IL-605631594_rb/","check listing")</f>
        <v>check listing</v>
      </c>
      <c r="AB4917" s="5" t="str">
        <f>HYPERLINK("https://propertylookup.dupagecounty.gov/Datalets/Datalet.aspx?UseSearch=no&amp;mode=sales&amp;pin=0532303013","sales record")</f>
        <v>sales record</v>
      </c>
      <c r="AC4917" t="s">
        <v>3</v>
      </c>
      <c r="AD4917">
        <v>41.818001</v>
      </c>
      <c r="AE4917">
        <v>-88.12163200000001</v>
      </c>
      <c r="AF4917" s="5" t="str">
        <f>HYPERLINK("https://www.google.com/maps/search/?api=1&amp;query=41.818001,-88.121632","map")</f>
        <v>map</v>
      </c>
    </row>
    <row r="4918" spans="1:32">
      <c r="A4918" t="s">
        <v>4968</v>
      </c>
      <c r="B4918" t="s">
        <v>12501</v>
      </c>
      <c r="C4918" t="s">
        <v>15662</v>
      </c>
      <c r="D4918" t="s">
        <v>16206</v>
      </c>
      <c r="E4918" t="s">
        <v>16218</v>
      </c>
      <c r="F4918" t="s">
        <v>16221</v>
      </c>
      <c r="G4918" t="s">
        <v>16278</v>
      </c>
      <c r="H4918" t="s">
        <v>16277</v>
      </c>
      <c r="I4918" t="s">
        <v>16353</v>
      </c>
      <c r="J4918" t="s">
        <v>16386</v>
      </c>
      <c r="K4918">
        <v>0.153</v>
      </c>
      <c r="L4918">
        <v>6682</v>
      </c>
      <c r="N4918" t="s">
        <v>16393</v>
      </c>
      <c r="O4918" s="4">
        <v>56146</v>
      </c>
      <c r="P4918" s="4">
        <v>224705</v>
      </c>
      <c r="Q4918" s="4">
        <v>280851</v>
      </c>
      <c r="R4918" s="4">
        <v>842553</v>
      </c>
      <c r="S4918" t="s">
        <v>21209</v>
      </c>
      <c r="T4918" s="6">
        <v>45022</v>
      </c>
      <c r="U4918" s="4">
        <v>736740</v>
      </c>
      <c r="V4918" t="s">
        <v>16232</v>
      </c>
      <c r="W4918" t="s">
        <v>26474</v>
      </c>
      <c r="X4918" t="s">
        <v>3</v>
      </c>
      <c r="AA4918" s="5" t="str">
        <f>HYPERLINK("https://www.zillow.com/homes/1188-HIBBARD-RD-NAPERVILLE-IL-605631594_rb/","check listing")</f>
        <v>check listing</v>
      </c>
      <c r="AB4918" s="5" t="str">
        <f>HYPERLINK("https://propertylookup.dupagecounty.gov/Datalets/Datalet.aspx?UseSearch=no&amp;mode=sales&amp;pin=0532300029","sales record")</f>
        <v>sales record</v>
      </c>
      <c r="AC4918" t="s">
        <v>3</v>
      </c>
      <c r="AD4918">
        <v>41.817979</v>
      </c>
      <c r="AE4918">
        <v>-88.122761</v>
      </c>
      <c r="AF4918" s="5" t="str">
        <f>HYPERLINK("https://www.google.com/maps/search/?api=1&amp;query=41.817979,-88.122761","map")</f>
        <v>map</v>
      </c>
    </row>
    <row r="4919" spans="1:32">
      <c r="A4919" t="s">
        <v>4969</v>
      </c>
      <c r="B4919" t="s">
        <v>12502</v>
      </c>
      <c r="C4919" t="s">
        <v>15662</v>
      </c>
      <c r="D4919" t="s">
        <v>16206</v>
      </c>
      <c r="E4919" t="s">
        <v>16218</v>
      </c>
      <c r="F4919" t="s">
        <v>16221</v>
      </c>
      <c r="G4919" t="s">
        <v>16278</v>
      </c>
      <c r="H4919" t="s">
        <v>16277</v>
      </c>
      <c r="I4919" t="s">
        <v>16353</v>
      </c>
      <c r="J4919" t="s">
        <v>16386</v>
      </c>
      <c r="K4919">
        <v>0.153</v>
      </c>
      <c r="L4919">
        <v>6679</v>
      </c>
      <c r="N4919" t="s">
        <v>16393</v>
      </c>
      <c r="O4919" s="4">
        <v>56146</v>
      </c>
      <c r="P4919" s="4">
        <v>252289</v>
      </c>
      <c r="Q4919" s="4">
        <v>308435</v>
      </c>
      <c r="R4919" s="4">
        <v>925305</v>
      </c>
      <c r="S4919" t="s">
        <v>21210</v>
      </c>
      <c r="T4919" s="6">
        <v>45323</v>
      </c>
      <c r="U4919" s="4">
        <v>830939</v>
      </c>
      <c r="V4919" t="s">
        <v>16232</v>
      </c>
      <c r="W4919" t="s">
        <v>26475</v>
      </c>
      <c r="X4919" t="s">
        <v>3</v>
      </c>
      <c r="AA4919" s="5" t="str">
        <f>HYPERLINK("https://www.zillow.com/homes/2516-WEATHERBEE-LN-NAPERVILLE-IL-605631594_rb/","check listing")</f>
        <v>check listing</v>
      </c>
      <c r="AB4919" s="5" t="str">
        <f>HYPERLINK("https://propertylookup.dupagecounty.gov/Datalets/Datalet.aspx?UseSearch=no&amp;mode=sales&amp;pin=0532300080","sales record")</f>
        <v>sales record</v>
      </c>
      <c r="AC4919" t="s">
        <v>3</v>
      </c>
      <c r="AD4919">
        <v>41.819333</v>
      </c>
      <c r="AE4919">
        <v>-88.121994</v>
      </c>
      <c r="AF4919" s="5" t="str">
        <f>HYPERLINK("https://www.google.com/maps/search/?api=1&amp;query=41.819333,-88.121994","map")</f>
        <v>map</v>
      </c>
    </row>
    <row r="4920" spans="1:32">
      <c r="A4920" t="s">
        <v>4970</v>
      </c>
      <c r="B4920" t="s">
        <v>12503</v>
      </c>
      <c r="C4920" t="s">
        <v>15475</v>
      </c>
      <c r="D4920" t="s">
        <v>16206</v>
      </c>
      <c r="E4920" t="s">
        <v>16218</v>
      </c>
      <c r="F4920" t="s">
        <v>16221</v>
      </c>
      <c r="G4920" t="s">
        <v>16277</v>
      </c>
      <c r="H4920" t="s">
        <v>16277</v>
      </c>
      <c r="I4920" t="s">
        <v>16353</v>
      </c>
      <c r="J4920" t="s">
        <v>16386</v>
      </c>
      <c r="K4920">
        <v>0.153</v>
      </c>
      <c r="L4920">
        <v>6658</v>
      </c>
      <c r="M4920">
        <v>1699</v>
      </c>
      <c r="N4920" t="s">
        <v>16393</v>
      </c>
      <c r="O4920" s="4">
        <v>103548</v>
      </c>
      <c r="P4920" s="4">
        <v>79883</v>
      </c>
      <c r="Q4920" s="4">
        <v>183431</v>
      </c>
      <c r="R4920" s="4">
        <v>550293</v>
      </c>
      <c r="S4920" t="s">
        <v>21211</v>
      </c>
      <c r="T4920" s="6">
        <v>43891</v>
      </c>
      <c r="U4920" s="4">
        <v>386000</v>
      </c>
      <c r="V4920" t="s">
        <v>23739</v>
      </c>
      <c r="W4920" t="s">
        <v>26476</v>
      </c>
      <c r="X4920" t="s">
        <v>3</v>
      </c>
      <c r="AA4920" s="5" t="str">
        <f>HYPERLINK("https://www.zillow.com/homes/109-N-MILL-ST-NAPERVILLE-IL-60540_rb/","check listing")</f>
        <v>check listing</v>
      </c>
      <c r="AB4920" s="5" t="str">
        <f>HYPERLINK("https://propertylookup.dupagecounty.gov/Datalets/Datalet.aspx?UseSearch=no&amp;mode=sales&amp;pin=0713401008","sales record")</f>
        <v>sales record</v>
      </c>
      <c r="AC4920" t="s">
        <v>3</v>
      </c>
      <c r="AD4920">
        <v>41.776541</v>
      </c>
      <c r="AE4920">
        <v>-88.154848</v>
      </c>
      <c r="AF4920" s="5" t="str">
        <f>HYPERLINK("https://www.google.com/maps/search/?api=1&amp;query=41.776541,-88.154848","map")</f>
        <v>map</v>
      </c>
    </row>
    <row r="4921" spans="1:32">
      <c r="A4921" t="s">
        <v>4971</v>
      </c>
      <c r="B4921" t="s">
        <v>12504</v>
      </c>
      <c r="C4921" t="s">
        <v>15478</v>
      </c>
      <c r="D4921" t="s">
        <v>16206</v>
      </c>
      <c r="E4921" t="s">
        <v>16218</v>
      </c>
      <c r="F4921" t="s">
        <v>16221</v>
      </c>
      <c r="G4921" t="s">
        <v>16277</v>
      </c>
      <c r="H4921" t="s">
        <v>16277</v>
      </c>
      <c r="I4921" t="s">
        <v>16353</v>
      </c>
      <c r="J4921" t="s">
        <v>16386</v>
      </c>
      <c r="K4921">
        <v>0.153</v>
      </c>
      <c r="L4921">
        <v>6645</v>
      </c>
      <c r="M4921">
        <v>1648</v>
      </c>
      <c r="N4921" t="s">
        <v>16393</v>
      </c>
      <c r="O4921" s="4">
        <v>74905</v>
      </c>
      <c r="P4921" s="4">
        <v>33475</v>
      </c>
      <c r="Q4921" s="4">
        <v>108380</v>
      </c>
      <c r="R4921" s="4">
        <v>325140</v>
      </c>
      <c r="S4921" t="s">
        <v>21212</v>
      </c>
      <c r="T4921" s="6">
        <v>40878</v>
      </c>
      <c r="U4921" s="4">
        <v>143000</v>
      </c>
      <c r="V4921" t="s">
        <v>23740</v>
      </c>
      <c r="W4921" t="s">
        <v>21212</v>
      </c>
      <c r="X4921" t="s">
        <v>3</v>
      </c>
      <c r="AA4921" s="5" t="str">
        <f>HYPERLINK("https://www.zillow.com/homes/960-N-SLEIGHT-ST-NAPERVILLE-IL-60563_rb/","check listing")</f>
        <v>check listing</v>
      </c>
      <c r="AB4921" s="5" t="str">
        <f>HYPERLINK("https://propertylookup.dupagecounty.gov/Datalets/Datalet.aspx?UseSearch=no&amp;mode=sales&amp;pin=0807312003","sales record")</f>
        <v>sales record</v>
      </c>
      <c r="AC4921" t="s">
        <v>3</v>
      </c>
      <c r="AD4921">
        <v>41.787451</v>
      </c>
      <c r="AE4921">
        <v>-88.13931700000001</v>
      </c>
      <c r="AF4921" s="5" t="str">
        <f>HYPERLINK("https://www.google.com/maps/search/?api=1&amp;query=41.787451,-88.139317","map")</f>
        <v>map</v>
      </c>
    </row>
    <row r="4922" spans="1:32">
      <c r="A4922" t="s">
        <v>4972</v>
      </c>
      <c r="B4922" t="s">
        <v>12505</v>
      </c>
      <c r="C4922" t="s">
        <v>15662</v>
      </c>
      <c r="D4922" t="s">
        <v>16206</v>
      </c>
      <c r="E4922" t="s">
        <v>16218</v>
      </c>
      <c r="F4922" t="s">
        <v>16221</v>
      </c>
      <c r="G4922" t="s">
        <v>16278</v>
      </c>
      <c r="H4922" t="s">
        <v>16277</v>
      </c>
      <c r="I4922" t="s">
        <v>16353</v>
      </c>
      <c r="J4922" t="s">
        <v>16386</v>
      </c>
      <c r="K4922">
        <v>0.152</v>
      </c>
      <c r="L4922">
        <v>6632</v>
      </c>
      <c r="N4922" t="s">
        <v>16393</v>
      </c>
      <c r="O4922" s="4">
        <v>56146</v>
      </c>
      <c r="P4922" s="4">
        <v>191761</v>
      </c>
      <c r="Q4922" s="4">
        <v>247907</v>
      </c>
      <c r="R4922" s="4">
        <v>743721</v>
      </c>
      <c r="S4922" t="s">
        <v>21213</v>
      </c>
      <c r="T4922" s="6">
        <v>45471</v>
      </c>
      <c r="U4922" s="4">
        <v>750712</v>
      </c>
      <c r="V4922" t="s">
        <v>16232</v>
      </c>
      <c r="W4922" t="s">
        <v>26477</v>
      </c>
      <c r="X4922" t="s">
        <v>3</v>
      </c>
      <c r="AA4922" s="5" t="str">
        <f>HYPERLINK("https://www.zillow.com/homes/2411-BRIGHT-HAWK-ST-NAPERVILLE-IL-605631594_rb/","check listing")</f>
        <v>check listing</v>
      </c>
      <c r="AB4922" s="5" t="str">
        <f>HYPERLINK("https://propertylookup.dupagecounty.gov/Datalets/Datalet.aspx?UseSearch=no&amp;mode=sales&amp;pin=0532304003","sales record")</f>
        <v>sales record</v>
      </c>
      <c r="AC4922" t="s">
        <v>3</v>
      </c>
      <c r="AD4922">
        <v>41.817992</v>
      </c>
      <c r="AE4922">
        <v>-88.120036</v>
      </c>
      <c r="AF4922" s="5" t="str">
        <f>HYPERLINK("https://www.google.com/maps/search/?api=1&amp;query=41.817992,-88.120036","map")</f>
        <v>map</v>
      </c>
    </row>
    <row r="4923" spans="1:32">
      <c r="A4923" t="s">
        <v>4973</v>
      </c>
      <c r="B4923" t="s">
        <v>12506</v>
      </c>
      <c r="C4923" t="s">
        <v>15662</v>
      </c>
      <c r="D4923" t="s">
        <v>16206</v>
      </c>
      <c r="E4923" t="s">
        <v>16218</v>
      </c>
      <c r="F4923" t="s">
        <v>16221</v>
      </c>
      <c r="G4923" t="s">
        <v>16278</v>
      </c>
      <c r="H4923" t="s">
        <v>16277</v>
      </c>
      <c r="I4923" t="s">
        <v>16353</v>
      </c>
      <c r="J4923" t="s">
        <v>16386</v>
      </c>
      <c r="K4923">
        <v>0.152</v>
      </c>
      <c r="L4923">
        <v>6631</v>
      </c>
      <c r="N4923" t="s">
        <v>16393</v>
      </c>
      <c r="O4923" s="4">
        <v>56141</v>
      </c>
      <c r="P4923" s="4">
        <v>174727</v>
      </c>
      <c r="Q4923" s="4">
        <v>230868</v>
      </c>
      <c r="R4923" s="4">
        <v>692604</v>
      </c>
      <c r="S4923" t="s">
        <v>21214</v>
      </c>
      <c r="T4923" s="6">
        <v>45740</v>
      </c>
      <c r="U4923" s="4">
        <v>873092</v>
      </c>
      <c r="V4923" t="s">
        <v>16232</v>
      </c>
      <c r="W4923" t="s">
        <v>26478</v>
      </c>
      <c r="X4923" t="s">
        <v>3</v>
      </c>
      <c r="AA4923" s="5" t="str">
        <f>HYPERLINK("https://www.zillow.com/homes/2419-HATTIE-ST-NAPERVILLE-IL-605631594_rb/","check listing")</f>
        <v>check listing</v>
      </c>
      <c r="AB4923" s="5" t="str">
        <f>HYPERLINK("https://propertylookup.dupagecounty.gov/Datalets/Datalet.aspx?UseSearch=no&amp;mode=sales&amp;pin=0532303003","sales record")</f>
        <v>sales record</v>
      </c>
      <c r="AC4923" t="s">
        <v>3</v>
      </c>
      <c r="AD4923">
        <v>41.818307</v>
      </c>
      <c r="AE4923">
        <v>-88.121009</v>
      </c>
      <c r="AF4923" s="5" t="str">
        <f>HYPERLINK("https://www.google.com/maps/search/?api=1&amp;query=41.818307,-88.121009","map")</f>
        <v>map</v>
      </c>
    </row>
    <row r="4924" spans="1:32">
      <c r="A4924" t="s">
        <v>4974</v>
      </c>
      <c r="B4924" t="s">
        <v>12507</v>
      </c>
      <c r="C4924" t="s">
        <v>15475</v>
      </c>
      <c r="D4924" t="s">
        <v>16206</v>
      </c>
      <c r="E4924" t="s">
        <v>16218</v>
      </c>
      <c r="F4924" t="s">
        <v>16221</v>
      </c>
      <c r="G4924" t="s">
        <v>16277</v>
      </c>
      <c r="H4924" t="s">
        <v>16277</v>
      </c>
      <c r="I4924" t="s">
        <v>16353</v>
      </c>
      <c r="J4924" t="s">
        <v>16386</v>
      </c>
      <c r="K4924">
        <v>0.152</v>
      </c>
      <c r="L4924">
        <v>6602</v>
      </c>
      <c r="M4924">
        <v>2744</v>
      </c>
      <c r="N4924" t="s">
        <v>16393</v>
      </c>
      <c r="O4924" s="4">
        <v>126075</v>
      </c>
      <c r="P4924" s="4">
        <v>238951</v>
      </c>
      <c r="Q4924" s="4">
        <v>365026</v>
      </c>
      <c r="R4924" s="4">
        <v>1095078</v>
      </c>
      <c r="S4924" t="s">
        <v>21215</v>
      </c>
      <c r="T4924" s="6">
        <v>45531</v>
      </c>
      <c r="U4924" s="4">
        <v>1005000</v>
      </c>
      <c r="V4924" t="s">
        <v>23739</v>
      </c>
      <c r="W4924" t="s">
        <v>26479</v>
      </c>
      <c r="X4924" t="s">
        <v>3</v>
      </c>
      <c r="AA4924" s="5" t="str">
        <f>HYPERLINK("https://www.zillow.com/homes/5-N-COLUMBIA-ST-NAPERVILLE-IL-60540_rb/","check listing")</f>
        <v>check listing</v>
      </c>
      <c r="AB4924" s="5" t="str">
        <f>HYPERLINK("https://propertylookup.dupagecounty.gov/Datalets/Datalet.aspx?UseSearch=no&amp;mode=sales&amp;pin=0818403009","sales record")</f>
        <v>sales record</v>
      </c>
      <c r="AC4924" t="s">
        <v>27873</v>
      </c>
      <c r="AD4924">
        <v>41.775003</v>
      </c>
      <c r="AE4924">
        <v>-88.13833200000001</v>
      </c>
      <c r="AF4924" s="5" t="str">
        <f>HYPERLINK("https://www.google.com/maps/search/?api=1&amp;query=41.775003,-88.138332","map")</f>
        <v>map</v>
      </c>
    </row>
    <row r="4925" spans="1:32">
      <c r="A4925" t="s">
        <v>4975</v>
      </c>
      <c r="B4925" t="s">
        <v>12508</v>
      </c>
      <c r="C4925" t="s">
        <v>15478</v>
      </c>
      <c r="D4925" t="s">
        <v>16206</v>
      </c>
      <c r="E4925" t="s">
        <v>16218</v>
      </c>
      <c r="F4925" t="s">
        <v>16221</v>
      </c>
      <c r="G4925" t="s">
        <v>16278</v>
      </c>
      <c r="H4925" t="s">
        <v>16277</v>
      </c>
      <c r="I4925" t="s">
        <v>16353</v>
      </c>
      <c r="J4925" t="s">
        <v>16386</v>
      </c>
      <c r="K4925">
        <v>0.152</v>
      </c>
      <c r="L4925">
        <v>6601</v>
      </c>
      <c r="N4925" t="s">
        <v>16393</v>
      </c>
      <c r="O4925" s="4">
        <v>56146</v>
      </c>
      <c r="P4925" s="4">
        <v>251299</v>
      </c>
      <c r="Q4925" s="4">
        <v>307445</v>
      </c>
      <c r="R4925" s="4">
        <v>922335</v>
      </c>
      <c r="S4925" t="s">
        <v>21216</v>
      </c>
      <c r="T4925" s="6">
        <v>44917</v>
      </c>
      <c r="U4925" s="4">
        <v>726933</v>
      </c>
      <c r="V4925" t="s">
        <v>16232</v>
      </c>
      <c r="W4925" t="s">
        <v>26480</v>
      </c>
      <c r="X4925" t="s">
        <v>3</v>
      </c>
      <c r="AA4925" s="5" t="str">
        <f>HYPERLINK("https://www.zillow.com/homes/1211-WRENSON-AVE-NAPERVILLE-IL-60563_rb/","check listing")</f>
        <v>check listing</v>
      </c>
      <c r="AB4925" s="5" t="str">
        <f>HYPERLINK("https://propertylookup.dupagecounty.gov/Datalets/Datalet.aspx?UseSearch=no&amp;mode=sales&amp;pin=0532303009","sales record")</f>
        <v>sales record</v>
      </c>
      <c r="AC4925" t="s">
        <v>3</v>
      </c>
      <c r="AD4925">
        <v>41.817593</v>
      </c>
      <c r="AE4925">
        <v>-88.121526</v>
      </c>
      <c r="AF4925" s="5" t="str">
        <f>HYPERLINK("https://www.google.com/maps/search/?api=1&amp;query=41.817593,-88.121526","map")</f>
        <v>map</v>
      </c>
    </row>
    <row r="4926" spans="1:32">
      <c r="A4926" t="s">
        <v>4976</v>
      </c>
      <c r="B4926" t="s">
        <v>12509</v>
      </c>
      <c r="C4926" t="s">
        <v>15809</v>
      </c>
      <c r="D4926" t="s">
        <v>16206</v>
      </c>
      <c r="E4926" t="s">
        <v>16218</v>
      </c>
      <c r="F4926" t="s">
        <v>16221</v>
      </c>
      <c r="G4926" t="s">
        <v>16277</v>
      </c>
      <c r="H4926" t="s">
        <v>16277</v>
      </c>
      <c r="I4926" t="s">
        <v>16353</v>
      </c>
      <c r="J4926" t="s">
        <v>16386</v>
      </c>
      <c r="K4926">
        <v>0.152</v>
      </c>
      <c r="L4926">
        <v>6601</v>
      </c>
      <c r="M4926">
        <v>1267</v>
      </c>
      <c r="N4926" t="s">
        <v>16393</v>
      </c>
      <c r="O4926" s="4">
        <v>109187</v>
      </c>
      <c r="P4926" s="4">
        <v>52959</v>
      </c>
      <c r="Q4926" s="4">
        <v>162146</v>
      </c>
      <c r="R4926" s="4">
        <v>486438</v>
      </c>
      <c r="S4926" t="s">
        <v>21217</v>
      </c>
      <c r="T4926" s="6">
        <v>38808</v>
      </c>
      <c r="U4926" s="4">
        <v>400000</v>
      </c>
      <c r="V4926" t="s">
        <v>23740</v>
      </c>
      <c r="W4926" t="s">
        <v>21217</v>
      </c>
      <c r="X4926" t="s">
        <v>3</v>
      </c>
      <c r="AA4926" s="5" t="str">
        <f>HYPERLINK("https://www.zillow.com/homes/232-W-BENTON-AVE-NAPERVILLE-IL-605404480_rb/","check listing")</f>
        <v>check listing</v>
      </c>
      <c r="AB4926" s="5" t="str">
        <f>HYPERLINK("https://propertylookup.dupagecounty.gov/Datalets/Datalet.aspx?UseSearch=no&amp;mode=sales&amp;pin=0713417002","sales record")</f>
        <v>sales record</v>
      </c>
      <c r="AC4926" t="s">
        <v>27873</v>
      </c>
      <c r="AD4926">
        <v>41.775011</v>
      </c>
      <c r="AE4926">
        <v>-88.152379</v>
      </c>
      <c r="AF4926" s="5" t="str">
        <f>HYPERLINK("https://www.google.com/maps/search/?api=1&amp;query=41.775011,-88.152379","map")</f>
        <v>map</v>
      </c>
    </row>
    <row r="4927" spans="1:32">
      <c r="A4927" t="s">
        <v>4977</v>
      </c>
      <c r="B4927" t="s">
        <v>12510</v>
      </c>
      <c r="C4927" t="s">
        <v>15662</v>
      </c>
      <c r="D4927" t="s">
        <v>16206</v>
      </c>
      <c r="E4927" t="s">
        <v>16218</v>
      </c>
      <c r="F4927" t="s">
        <v>16221</v>
      </c>
      <c r="G4927" t="s">
        <v>16278</v>
      </c>
      <c r="H4927" t="s">
        <v>16277</v>
      </c>
      <c r="I4927" t="s">
        <v>16353</v>
      </c>
      <c r="J4927" t="s">
        <v>16386</v>
      </c>
      <c r="K4927">
        <v>0.151</v>
      </c>
      <c r="L4927">
        <v>6597</v>
      </c>
      <c r="N4927" t="s">
        <v>16393</v>
      </c>
      <c r="O4927" s="4">
        <v>56146</v>
      </c>
      <c r="P4927" s="4">
        <v>222818</v>
      </c>
      <c r="Q4927" s="4">
        <v>278964</v>
      </c>
      <c r="R4927" s="4">
        <v>836892</v>
      </c>
      <c r="S4927" t="s">
        <v>21218</v>
      </c>
      <c r="T4927" s="6">
        <v>44957</v>
      </c>
      <c r="U4927" s="4">
        <v>745682</v>
      </c>
      <c r="V4927" t="s">
        <v>16232</v>
      </c>
      <c r="W4927" t="s">
        <v>26481</v>
      </c>
      <c r="X4927" t="s">
        <v>3</v>
      </c>
      <c r="AA4927" s="5" t="str">
        <f>HYPERLINK("https://www.zillow.com/homes/1207-WRENSON-AVE-NAPERVILLE-IL-605631594_rb/","check listing")</f>
        <v>check listing</v>
      </c>
      <c r="AB4927" s="5" t="str">
        <f>HYPERLINK("https://propertylookup.dupagecounty.gov/Datalets/Datalet.aspx?UseSearch=no&amp;mode=sales&amp;pin=0532303010","sales record")</f>
        <v>sales record</v>
      </c>
      <c r="AC4927" t="s">
        <v>3</v>
      </c>
      <c r="AD4927">
        <v>41.81761</v>
      </c>
      <c r="AE4927">
        <v>-88.121726</v>
      </c>
      <c r="AF4927" s="5" t="str">
        <f>HYPERLINK("https://www.google.com/maps/search/?api=1&amp;query=41.81761,-88.121726","map")</f>
        <v>map</v>
      </c>
    </row>
    <row r="4928" spans="1:32">
      <c r="A4928" t="s">
        <v>4978</v>
      </c>
      <c r="B4928" t="s">
        <v>12511</v>
      </c>
      <c r="C4928" t="s">
        <v>15478</v>
      </c>
      <c r="D4928" t="s">
        <v>16206</v>
      </c>
      <c r="E4928" t="s">
        <v>16218</v>
      </c>
      <c r="F4928" t="s">
        <v>16221</v>
      </c>
      <c r="G4928" t="s">
        <v>16278</v>
      </c>
      <c r="H4928" t="s">
        <v>16277</v>
      </c>
      <c r="I4928" t="s">
        <v>16353</v>
      </c>
      <c r="J4928" t="s">
        <v>16386</v>
      </c>
      <c r="K4928">
        <v>0.151</v>
      </c>
      <c r="L4928">
        <v>6597</v>
      </c>
      <c r="N4928" t="s">
        <v>16393</v>
      </c>
      <c r="O4928" s="4">
        <v>56146</v>
      </c>
      <c r="P4928" s="4">
        <v>217799</v>
      </c>
      <c r="Q4928" s="4">
        <v>273945</v>
      </c>
      <c r="R4928" s="4">
        <v>821835</v>
      </c>
      <c r="S4928" t="s">
        <v>21219</v>
      </c>
      <c r="T4928" s="6">
        <v>44894</v>
      </c>
      <c r="U4928" s="4">
        <v>699248</v>
      </c>
      <c r="V4928" t="s">
        <v>16232</v>
      </c>
      <c r="W4928" t="s">
        <v>26482</v>
      </c>
      <c r="X4928" t="s">
        <v>3</v>
      </c>
      <c r="AA4928" s="5" t="str">
        <f>HYPERLINK("https://www.zillow.com/homes/1215-WRENSON-AVE-NAPERVILLE-IL-60563_rb/","check listing")</f>
        <v>check listing</v>
      </c>
      <c r="AB4928" s="5" t="str">
        <f>HYPERLINK("https://propertylookup.dupagecounty.gov/Datalets/Datalet.aspx?UseSearch=no&amp;mode=sales&amp;pin=0532303008","sales record")</f>
        <v>sales record</v>
      </c>
      <c r="AC4928" t="s">
        <v>3</v>
      </c>
      <c r="AD4928">
        <v>41.817577</v>
      </c>
      <c r="AE4928">
        <v>-88.121325</v>
      </c>
      <c r="AF4928" s="5" t="str">
        <f>HYPERLINK("https://www.google.com/maps/search/?api=1&amp;query=41.817577,-88.121325","map")</f>
        <v>map</v>
      </c>
    </row>
    <row r="4929" spans="1:32">
      <c r="A4929" t="s">
        <v>4979</v>
      </c>
      <c r="B4929" t="s">
        <v>12512</v>
      </c>
      <c r="C4929" t="s">
        <v>15673</v>
      </c>
      <c r="D4929" t="s">
        <v>16206</v>
      </c>
      <c r="E4929" t="s">
        <v>16218</v>
      </c>
      <c r="F4929" t="s">
        <v>16221</v>
      </c>
      <c r="G4929" t="s">
        <v>16277</v>
      </c>
      <c r="H4929" t="s">
        <v>16277</v>
      </c>
      <c r="I4929" t="s">
        <v>16353</v>
      </c>
      <c r="J4929" t="s">
        <v>16386</v>
      </c>
      <c r="K4929">
        <v>0.151</v>
      </c>
      <c r="L4929">
        <v>6592</v>
      </c>
      <c r="M4929">
        <v>2666</v>
      </c>
      <c r="N4929" t="s">
        <v>16393</v>
      </c>
      <c r="O4929" s="4">
        <v>103988</v>
      </c>
      <c r="P4929" s="4">
        <v>446465</v>
      </c>
      <c r="Q4929" s="4">
        <v>550453</v>
      </c>
      <c r="R4929" s="4">
        <v>1651359</v>
      </c>
      <c r="S4929" t="s">
        <v>21220</v>
      </c>
      <c r="T4929" s="6">
        <v>43739</v>
      </c>
      <c r="U4929" s="4">
        <v>1040000</v>
      </c>
      <c r="V4929" t="s">
        <v>23740</v>
      </c>
      <c r="W4929" t="s">
        <v>26483</v>
      </c>
      <c r="X4929" t="s">
        <v>3</v>
      </c>
      <c r="AA4929" s="5" t="str">
        <f>HYPERLINK("https://www.zillow.com/homes/240-W-BENTON-AVE-NAPERVILLE-IL-605404402_rb/","check listing")</f>
        <v>check listing</v>
      </c>
      <c r="AB4929" s="5" t="str">
        <f>HYPERLINK("https://propertylookup.dupagecounty.gov/Datalets/Datalet.aspx?UseSearch=no&amp;mode=sales&amp;pin=0713417018","sales record")</f>
        <v>sales record</v>
      </c>
      <c r="AC4929" t="s">
        <v>27873</v>
      </c>
      <c r="AD4929">
        <v>41.775018</v>
      </c>
      <c r="AE4929">
        <v>-88.15262199999999</v>
      </c>
      <c r="AF4929" s="5" t="str">
        <f>HYPERLINK("https://www.google.com/maps/search/?api=1&amp;query=41.775018,-88.152622","map")</f>
        <v>map</v>
      </c>
    </row>
    <row r="4930" spans="1:32">
      <c r="A4930" t="s">
        <v>4980</v>
      </c>
      <c r="B4930" t="s">
        <v>12513</v>
      </c>
      <c r="C4930" t="s">
        <v>15475</v>
      </c>
      <c r="D4930" t="s">
        <v>16206</v>
      </c>
      <c r="E4930" t="s">
        <v>16218</v>
      </c>
      <c r="F4930" t="s">
        <v>16221</v>
      </c>
      <c r="G4930" t="s">
        <v>16277</v>
      </c>
      <c r="H4930" t="s">
        <v>16277</v>
      </c>
      <c r="I4930" t="s">
        <v>16353</v>
      </c>
      <c r="J4930" t="s">
        <v>16386</v>
      </c>
      <c r="K4930">
        <v>0.151</v>
      </c>
      <c r="L4930">
        <v>6586</v>
      </c>
      <c r="M4930">
        <v>2151</v>
      </c>
      <c r="N4930" t="s">
        <v>16393</v>
      </c>
      <c r="O4930" s="4">
        <v>114521</v>
      </c>
      <c r="P4930" s="4">
        <v>82641</v>
      </c>
      <c r="Q4930" s="4">
        <v>197162</v>
      </c>
      <c r="R4930" s="4">
        <v>591486</v>
      </c>
      <c r="S4930" t="s">
        <v>21221</v>
      </c>
      <c r="T4930" s="6">
        <v>37500</v>
      </c>
      <c r="U4930" s="4">
        <v>385000</v>
      </c>
      <c r="V4930" t="s">
        <v>23739</v>
      </c>
      <c r="W4930" t="s">
        <v>26484</v>
      </c>
      <c r="X4930" t="s">
        <v>3</v>
      </c>
      <c r="AA4930" s="5" t="str">
        <f>HYPERLINK("https://www.zillow.com/homes/130-W-FRANKLIN-AVE-NAPERVILLE-IL-60540_rb/","check listing")</f>
        <v>check listing</v>
      </c>
      <c r="AB4930" s="5" t="str">
        <f>HYPERLINK("https://propertylookup.dupagecounty.gov/Datalets/Datalet.aspx?UseSearch=no&amp;mode=sales&amp;pin=0713410003","sales record")</f>
        <v>sales record</v>
      </c>
      <c r="AC4930" t="s">
        <v>3</v>
      </c>
      <c r="AD4930">
        <v>41.775826</v>
      </c>
      <c r="AE4930">
        <v>-88.15054499999999</v>
      </c>
      <c r="AF4930" s="5" t="str">
        <f>HYPERLINK("https://www.google.com/maps/search/?api=1&amp;query=41.775826,-88.150545","map")</f>
        <v>map</v>
      </c>
    </row>
    <row r="4931" spans="1:32">
      <c r="A4931" t="s">
        <v>4981</v>
      </c>
      <c r="B4931" t="s">
        <v>12514</v>
      </c>
      <c r="C4931" t="s">
        <v>15810</v>
      </c>
      <c r="D4931" t="s">
        <v>16206</v>
      </c>
      <c r="E4931" t="s">
        <v>16218</v>
      </c>
      <c r="F4931" t="s">
        <v>16221</v>
      </c>
      <c r="G4931" t="s">
        <v>16277</v>
      </c>
      <c r="H4931" t="s">
        <v>16277</v>
      </c>
      <c r="I4931" t="s">
        <v>16353</v>
      </c>
      <c r="J4931" t="s">
        <v>16386</v>
      </c>
      <c r="K4931">
        <v>0.151</v>
      </c>
      <c r="L4931">
        <v>6580</v>
      </c>
      <c r="M4931">
        <v>1918</v>
      </c>
      <c r="N4931" t="s">
        <v>16393</v>
      </c>
      <c r="O4931" s="4">
        <v>107631</v>
      </c>
      <c r="P4931" s="4">
        <v>34438</v>
      </c>
      <c r="Q4931" s="4">
        <v>142069</v>
      </c>
      <c r="R4931" s="4">
        <v>426207</v>
      </c>
      <c r="S4931" t="s">
        <v>21222</v>
      </c>
      <c r="T4931" s="6">
        <v>35947</v>
      </c>
      <c r="U4931" s="4">
        <v>162500</v>
      </c>
      <c r="X4931" t="s">
        <v>3</v>
      </c>
      <c r="AA4931" s="5" t="str">
        <f>HYPERLINK("https://www.zillow.com/homes/240-E-4TH-AVE-NAPERVILLE-IL-605404701_rb/","check listing")</f>
        <v>check listing</v>
      </c>
      <c r="AB4931" s="5" t="str">
        <f>HYPERLINK("https://propertylookup.dupagecounty.gov/Datalets/Datalet.aspx?UseSearch=no&amp;mode=sales&amp;pin=0818131011","sales record")</f>
        <v>sales record</v>
      </c>
      <c r="AC4931" t="s">
        <v>3</v>
      </c>
      <c r="AD4931">
        <v>41.779353</v>
      </c>
      <c r="AE4931">
        <v>-88.143434</v>
      </c>
      <c r="AF4931" s="5" t="str">
        <f>HYPERLINK("https://www.google.com/maps/search/?api=1&amp;query=41.779353,-88.143434","map")</f>
        <v>map</v>
      </c>
    </row>
    <row r="4932" spans="1:32">
      <c r="A4932" t="s">
        <v>4982</v>
      </c>
      <c r="B4932" t="s">
        <v>12515</v>
      </c>
      <c r="C4932" t="s">
        <v>15475</v>
      </c>
      <c r="D4932" t="s">
        <v>16206</v>
      </c>
      <c r="E4932" t="s">
        <v>16218</v>
      </c>
      <c r="F4932" t="s">
        <v>16221</v>
      </c>
      <c r="G4932" t="s">
        <v>16277</v>
      </c>
      <c r="H4932" t="s">
        <v>16277</v>
      </c>
      <c r="I4932" t="s">
        <v>16353</v>
      </c>
      <c r="J4932" t="s">
        <v>16386</v>
      </c>
      <c r="K4932">
        <v>0.15</v>
      </c>
      <c r="L4932">
        <v>6554</v>
      </c>
      <c r="M4932">
        <v>1319</v>
      </c>
      <c r="N4932" t="s">
        <v>16393</v>
      </c>
      <c r="O4932" s="4">
        <v>114521</v>
      </c>
      <c r="P4932" s="4">
        <v>39667</v>
      </c>
      <c r="Q4932" s="4">
        <v>154188</v>
      </c>
      <c r="R4932" s="4">
        <v>462564</v>
      </c>
      <c r="S4932" t="s">
        <v>21223</v>
      </c>
      <c r="T4932" s="6">
        <v>40756</v>
      </c>
      <c r="U4932" s="4">
        <v>175000</v>
      </c>
      <c r="V4932" t="s">
        <v>23739</v>
      </c>
      <c r="W4932" t="s">
        <v>26485</v>
      </c>
      <c r="X4932" t="s">
        <v>3</v>
      </c>
      <c r="AA4932" s="5" t="str">
        <f>HYPERLINK("https://www.zillow.com/homes/120-W-FRANKLIN-AVE-NAPERVILLE-IL-60540_rb/","check listing")</f>
        <v>check listing</v>
      </c>
      <c r="AB4932" s="5" t="str">
        <f>HYPERLINK("https://propertylookup.dupagecounty.gov/Datalets/Datalet.aspx?UseSearch=no&amp;mode=sales&amp;pin=0713410005","sales record")</f>
        <v>sales record</v>
      </c>
      <c r="AC4932" t="s">
        <v>27873</v>
      </c>
      <c r="AD4932">
        <v>41.775816</v>
      </c>
      <c r="AE4932">
        <v>-88.15018000000001</v>
      </c>
      <c r="AF4932" s="5" t="str">
        <f>HYPERLINK("https://www.google.com/maps/search/?api=1&amp;query=41.775816,-88.15018","map")</f>
        <v>map</v>
      </c>
    </row>
    <row r="4933" spans="1:32">
      <c r="A4933" t="s">
        <v>4983</v>
      </c>
      <c r="B4933" t="s">
        <v>12516</v>
      </c>
      <c r="C4933" t="s">
        <v>15701</v>
      </c>
      <c r="D4933" t="s">
        <v>16206</v>
      </c>
      <c r="E4933" t="s">
        <v>16218</v>
      </c>
      <c r="F4933" t="s">
        <v>16221</v>
      </c>
      <c r="G4933" t="s">
        <v>16277</v>
      </c>
      <c r="H4933" t="s">
        <v>16277</v>
      </c>
      <c r="I4933" t="s">
        <v>16353</v>
      </c>
      <c r="J4933" t="s">
        <v>16386</v>
      </c>
      <c r="K4933">
        <v>0.15</v>
      </c>
      <c r="L4933">
        <v>6532</v>
      </c>
      <c r="M4933">
        <v>2770</v>
      </c>
      <c r="N4933" t="s">
        <v>16393</v>
      </c>
      <c r="O4933" s="4">
        <v>104693</v>
      </c>
      <c r="P4933" s="4">
        <v>202990</v>
      </c>
      <c r="Q4933" s="4">
        <v>307683</v>
      </c>
      <c r="R4933" s="4">
        <v>923049</v>
      </c>
      <c r="S4933" t="s">
        <v>21224</v>
      </c>
      <c r="T4933" s="6">
        <v>43556</v>
      </c>
      <c r="U4933" s="4">
        <v>805000</v>
      </c>
      <c r="V4933" t="s">
        <v>23739</v>
      </c>
      <c r="W4933" t="s">
        <v>26486</v>
      </c>
      <c r="X4933" t="s">
        <v>3</v>
      </c>
      <c r="AA4933" s="5" t="str">
        <f>HYPERLINK("https://www.zillow.com/homes/507-E-8TH-AVE-NAPERVILLE-IL-605633207_rb/","check listing")</f>
        <v>check listing</v>
      </c>
      <c r="AB4933" s="5" t="str">
        <f>HYPERLINK("https://propertylookup.dupagecounty.gov/Datalets/Datalet.aspx?UseSearch=no&amp;mode=sales&amp;pin=0818122009","sales record")</f>
        <v>sales record</v>
      </c>
      <c r="AC4933" t="s">
        <v>3</v>
      </c>
      <c r="AD4933">
        <v>41.784075</v>
      </c>
      <c r="AE4933">
        <v>-88.139751</v>
      </c>
      <c r="AF4933" s="5" t="str">
        <f>HYPERLINK("https://www.google.com/maps/search/?api=1&amp;query=41.784075,-88.139751","map")</f>
        <v>map</v>
      </c>
    </row>
    <row r="4934" spans="1:32">
      <c r="A4934" t="s">
        <v>4984</v>
      </c>
      <c r="B4934" t="s">
        <v>12517</v>
      </c>
      <c r="C4934" t="s">
        <v>15478</v>
      </c>
      <c r="D4934" t="s">
        <v>16206</v>
      </c>
      <c r="E4934" t="s">
        <v>16218</v>
      </c>
      <c r="F4934" t="s">
        <v>16221</v>
      </c>
      <c r="G4934" t="s">
        <v>16277</v>
      </c>
      <c r="H4934" t="s">
        <v>16277</v>
      </c>
      <c r="I4934" t="s">
        <v>16353</v>
      </c>
      <c r="J4934" t="s">
        <v>16386</v>
      </c>
      <c r="K4934">
        <v>0.15</v>
      </c>
      <c r="L4934">
        <v>6526</v>
      </c>
      <c r="M4934">
        <v>1967</v>
      </c>
      <c r="N4934" t="s">
        <v>16393</v>
      </c>
      <c r="O4934" s="4">
        <v>74905</v>
      </c>
      <c r="P4934" s="4">
        <v>39338</v>
      </c>
      <c r="Q4934" s="4">
        <v>114243</v>
      </c>
      <c r="R4934" s="4">
        <v>342729</v>
      </c>
      <c r="S4934" t="s">
        <v>21225</v>
      </c>
      <c r="T4934" s="6">
        <v>39387</v>
      </c>
      <c r="U4934" s="4">
        <v>211100</v>
      </c>
      <c r="V4934" t="s">
        <v>23740</v>
      </c>
      <c r="W4934" t="s">
        <v>26487</v>
      </c>
      <c r="X4934" t="s">
        <v>3</v>
      </c>
      <c r="AA4934" s="5" t="str">
        <f>HYPERLINK("https://www.zillow.com/homes/958-SLEIGHT-ST-NAPERVILLE-IL-60563_rb/","check listing")</f>
        <v>check listing</v>
      </c>
      <c r="AB4934" s="5" t="str">
        <f>HYPERLINK("https://propertylookup.dupagecounty.gov/Datalets/Datalet.aspx?UseSearch=no&amp;mode=sales&amp;pin=0807312004","sales record")</f>
        <v>sales record</v>
      </c>
      <c r="AC4934" t="s">
        <v>3</v>
      </c>
      <c r="AD4934">
        <v>41.787309</v>
      </c>
      <c r="AE4934">
        <v>-88.13931700000001</v>
      </c>
      <c r="AF4934" s="5" t="str">
        <f>HYPERLINK("https://www.google.com/maps/search/?api=1&amp;query=41.787309,-88.139317","map")</f>
        <v>map</v>
      </c>
    </row>
    <row r="4935" spans="1:32">
      <c r="A4935" t="s">
        <v>4985</v>
      </c>
      <c r="B4935" t="s">
        <v>12518</v>
      </c>
      <c r="C4935" t="s">
        <v>15662</v>
      </c>
      <c r="D4935" t="s">
        <v>16206</v>
      </c>
      <c r="E4935" t="s">
        <v>16218</v>
      </c>
      <c r="F4935" t="s">
        <v>16221</v>
      </c>
      <c r="G4935" t="s">
        <v>16278</v>
      </c>
      <c r="H4935" t="s">
        <v>16277</v>
      </c>
      <c r="I4935" t="s">
        <v>16353</v>
      </c>
      <c r="J4935" t="s">
        <v>16386</v>
      </c>
      <c r="K4935">
        <v>0.149</v>
      </c>
      <c r="L4935">
        <v>6478</v>
      </c>
      <c r="N4935" t="s">
        <v>16393</v>
      </c>
      <c r="O4935" s="4">
        <v>56146</v>
      </c>
      <c r="P4935" s="4">
        <v>252204</v>
      </c>
      <c r="Q4935" s="4">
        <v>308350</v>
      </c>
      <c r="R4935" s="4">
        <v>925050</v>
      </c>
      <c r="S4935" t="s">
        <v>21226</v>
      </c>
      <c r="T4935" s="6">
        <v>45349</v>
      </c>
      <c r="U4935" s="4">
        <v>792591</v>
      </c>
      <c r="V4935" t="s">
        <v>16232</v>
      </c>
      <c r="W4935" t="s">
        <v>26488</v>
      </c>
      <c r="X4935" t="s">
        <v>3</v>
      </c>
      <c r="AA4935" s="5" t="str">
        <f>HYPERLINK("https://www.zillow.com/homes/1168-HIBBARD-RD-NAPERVILLE-IL-605631594_rb/","check listing")</f>
        <v>check listing</v>
      </c>
      <c r="AB4935" s="5" t="str">
        <f>HYPERLINK("https://propertylookup.dupagecounty.gov/Datalets/Datalet.aspx?UseSearch=no&amp;mode=sales&amp;pin=0532300034","sales record")</f>
        <v>sales record</v>
      </c>
      <c r="AC4935" t="s">
        <v>3</v>
      </c>
      <c r="AD4935">
        <v>41.818465</v>
      </c>
      <c r="AE4935">
        <v>-88.123445</v>
      </c>
      <c r="AF4935" s="5" t="str">
        <f>HYPERLINK("https://www.google.com/maps/search/?api=1&amp;query=41.818465,-88.123445","map")</f>
        <v>map</v>
      </c>
    </row>
    <row r="4936" spans="1:32">
      <c r="A4936" t="s">
        <v>4986</v>
      </c>
      <c r="B4936" t="s">
        <v>12519</v>
      </c>
      <c r="C4936" t="s">
        <v>15475</v>
      </c>
      <c r="D4936" t="s">
        <v>16206</v>
      </c>
      <c r="E4936" t="s">
        <v>16218</v>
      </c>
      <c r="F4936" t="s">
        <v>16221</v>
      </c>
      <c r="G4936" t="s">
        <v>16277</v>
      </c>
      <c r="H4936" t="s">
        <v>16277</v>
      </c>
      <c r="I4936" t="s">
        <v>16353</v>
      </c>
      <c r="J4936" t="s">
        <v>16386</v>
      </c>
      <c r="K4936">
        <v>0.148</v>
      </c>
      <c r="L4936">
        <v>6468</v>
      </c>
      <c r="M4936">
        <v>603</v>
      </c>
      <c r="N4936" t="s">
        <v>16393</v>
      </c>
      <c r="O4936" s="4">
        <v>107988</v>
      </c>
      <c r="P4936" s="4">
        <v>62645</v>
      </c>
      <c r="Q4936" s="4">
        <v>170633</v>
      </c>
      <c r="R4936" s="4">
        <v>511899</v>
      </c>
      <c r="S4936" t="s">
        <v>21227</v>
      </c>
      <c r="T4936" s="6">
        <v>45036</v>
      </c>
      <c r="U4936" s="4">
        <v>425000</v>
      </c>
      <c r="V4936" t="s">
        <v>23741</v>
      </c>
      <c r="W4936" t="s">
        <v>26489</v>
      </c>
      <c r="X4936" t="s">
        <v>3</v>
      </c>
      <c r="AA4936" s="5" t="str">
        <f>HYPERLINK("https://www.zillow.com/homes/236-E-4TH-AVE-NAPERVILLE-IL-60540_rb/","check listing")</f>
        <v>check listing</v>
      </c>
      <c r="AB4936" s="5" t="str">
        <f>HYPERLINK("https://propertylookup.dupagecounty.gov/Datalets/Datalet.aspx?UseSearch=no&amp;mode=sales&amp;pin=0818131010","sales record")</f>
        <v>sales record</v>
      </c>
      <c r="AC4936" t="s">
        <v>3</v>
      </c>
      <c r="AD4936">
        <v>41.779355</v>
      </c>
      <c r="AE4936">
        <v>-88.14357800000001</v>
      </c>
      <c r="AF4936" s="5" t="str">
        <f>HYPERLINK("https://www.google.com/maps/search/?api=1&amp;query=41.779355,-88.143578","map")</f>
        <v>map</v>
      </c>
    </row>
    <row r="4937" spans="1:32">
      <c r="A4937" t="s">
        <v>4987</v>
      </c>
      <c r="B4937" t="s">
        <v>12520</v>
      </c>
      <c r="C4937" t="s">
        <v>15478</v>
      </c>
      <c r="D4937" t="s">
        <v>16206</v>
      </c>
      <c r="E4937" t="s">
        <v>16218</v>
      </c>
      <c r="F4937" t="s">
        <v>16221</v>
      </c>
      <c r="G4937" t="s">
        <v>16278</v>
      </c>
      <c r="H4937" t="s">
        <v>16277</v>
      </c>
      <c r="I4937" t="s">
        <v>16353</v>
      </c>
      <c r="J4937" t="s">
        <v>16386</v>
      </c>
      <c r="K4937">
        <v>0.148</v>
      </c>
      <c r="L4937">
        <v>6452</v>
      </c>
      <c r="M4937">
        <v>2939</v>
      </c>
      <c r="N4937" t="s">
        <v>16393</v>
      </c>
      <c r="O4937" s="4">
        <v>57963</v>
      </c>
      <c r="P4937" s="4">
        <v>128215</v>
      </c>
      <c r="Q4937" s="4">
        <v>186178</v>
      </c>
      <c r="R4937" s="4">
        <v>558534</v>
      </c>
      <c r="S4937" t="s">
        <v>21228</v>
      </c>
      <c r="T4937" s="6">
        <v>41730</v>
      </c>
      <c r="U4937" s="4">
        <v>312000</v>
      </c>
      <c r="V4937" t="s">
        <v>23739</v>
      </c>
      <c r="W4937" t="s">
        <v>26490</v>
      </c>
      <c r="X4937" t="s">
        <v>3</v>
      </c>
      <c r="AA4937" s="5" t="str">
        <f>HYPERLINK("https://www.zillow.com/homes/1556-WEDGEFIELD-CIR-NAPERVILLE-IL-60563_rb/","check listing")</f>
        <v>check listing</v>
      </c>
      <c r="AB4937" s="5" t="str">
        <f>HYPERLINK("https://propertylookup.dupagecounty.gov/Datalets/Datalet.aspx?UseSearch=no&amp;mode=sales&amp;pin=0712107008","sales record")</f>
        <v>sales record</v>
      </c>
      <c r="AC4937" t="s">
        <v>3</v>
      </c>
      <c r="AD4937">
        <v>41.795024</v>
      </c>
      <c r="AE4937">
        <v>-88.15827400000001</v>
      </c>
      <c r="AF4937" s="5" t="str">
        <f>HYPERLINK("https://www.google.com/maps/search/?api=1&amp;query=41.795024,-88.158274","map")</f>
        <v>map</v>
      </c>
    </row>
    <row r="4938" spans="1:32">
      <c r="A4938" t="s">
        <v>4988</v>
      </c>
      <c r="B4938" t="s">
        <v>12521</v>
      </c>
      <c r="C4938" t="s">
        <v>15475</v>
      </c>
      <c r="D4938" t="s">
        <v>16206</v>
      </c>
      <c r="E4938" t="s">
        <v>16218</v>
      </c>
      <c r="F4938" t="s">
        <v>16221</v>
      </c>
      <c r="G4938" t="s">
        <v>16277</v>
      </c>
      <c r="H4938" t="s">
        <v>16277</v>
      </c>
      <c r="I4938" t="s">
        <v>16353</v>
      </c>
      <c r="J4938" t="s">
        <v>16386</v>
      </c>
      <c r="K4938">
        <v>0.147</v>
      </c>
      <c r="L4938">
        <v>6416</v>
      </c>
      <c r="M4938">
        <v>2004</v>
      </c>
      <c r="N4938" t="s">
        <v>16393</v>
      </c>
      <c r="O4938" s="4">
        <v>87657</v>
      </c>
      <c r="P4938" s="4">
        <v>237000</v>
      </c>
      <c r="Q4938" s="4">
        <v>324657</v>
      </c>
      <c r="R4938" s="4">
        <v>973971</v>
      </c>
      <c r="S4938" t="s">
        <v>21229</v>
      </c>
      <c r="T4938" s="6">
        <v>45229</v>
      </c>
      <c r="U4938" s="4">
        <v>1195000</v>
      </c>
      <c r="V4938" t="s">
        <v>23739</v>
      </c>
      <c r="W4938" t="s">
        <v>26491</v>
      </c>
      <c r="X4938" t="s">
        <v>3</v>
      </c>
      <c r="AA4938" s="5" t="str">
        <f>HYPERLINK("https://www.zillow.com/homes/606-S-MAIN-ST-NAPERVILLE-IL-60540_rb/","check listing")</f>
        <v>check listing</v>
      </c>
      <c r="AB4938" s="5" t="str">
        <f>HYPERLINK("https://propertylookup.dupagecounty.gov/Datalets/Datalet.aspx?UseSearch=no&amp;mode=sales&amp;pin=0724205001","sales record")</f>
        <v>sales record</v>
      </c>
      <c r="AC4938" t="s">
        <v>27873</v>
      </c>
      <c r="AD4938">
        <v>41.767752</v>
      </c>
      <c r="AE4938">
        <v>-88.149457</v>
      </c>
      <c r="AF4938" s="5" t="str">
        <f>HYPERLINK("https://www.google.com/maps/search/?api=1&amp;query=41.767752,-88.149457","map")</f>
        <v>map</v>
      </c>
    </row>
    <row r="4939" spans="1:32">
      <c r="A4939" t="s">
        <v>4989</v>
      </c>
      <c r="B4939" t="s">
        <v>12522</v>
      </c>
      <c r="C4939" t="s">
        <v>15673</v>
      </c>
      <c r="D4939" t="s">
        <v>16206</v>
      </c>
      <c r="E4939" t="s">
        <v>16218</v>
      </c>
      <c r="F4939" t="s">
        <v>16221</v>
      </c>
      <c r="G4939" t="s">
        <v>16277</v>
      </c>
      <c r="H4939" t="s">
        <v>16277</v>
      </c>
      <c r="I4939" t="s">
        <v>16353</v>
      </c>
      <c r="J4939" t="s">
        <v>16386</v>
      </c>
      <c r="K4939">
        <v>0.147</v>
      </c>
      <c r="L4939">
        <v>6404</v>
      </c>
      <c r="M4939">
        <v>3165</v>
      </c>
      <c r="N4939" t="s">
        <v>16393</v>
      </c>
      <c r="O4939" s="4">
        <v>99790</v>
      </c>
      <c r="P4939" s="4">
        <v>373784</v>
      </c>
      <c r="Q4939" s="4">
        <v>473574</v>
      </c>
      <c r="R4939" s="4">
        <v>1420722</v>
      </c>
      <c r="S4939" t="s">
        <v>21230</v>
      </c>
      <c r="T4939" s="6">
        <v>45813</v>
      </c>
      <c r="U4939" s="4">
        <v>1525000</v>
      </c>
      <c r="V4939" t="s">
        <v>23741</v>
      </c>
      <c r="W4939" t="s">
        <v>26492</v>
      </c>
      <c r="X4939" t="s">
        <v>3</v>
      </c>
      <c r="AA4939" s="5" t="str">
        <f>HYPERLINK("https://www.zillow.com/homes/208-W-BENTON-AVE-NAPERVILLE-IL-605404402_rb/","check listing")</f>
        <v>check listing</v>
      </c>
      <c r="AB4939" s="5" t="str">
        <f>HYPERLINK("https://propertylookup.dupagecounty.gov/Datalets/Datalet.aspx?UseSearch=no&amp;mode=sales&amp;pin=0713417006","sales record")</f>
        <v>sales record</v>
      </c>
      <c r="AC4939" t="s">
        <v>3</v>
      </c>
      <c r="AD4939">
        <v>41.774991</v>
      </c>
      <c r="AE4939">
        <v>-88.151408</v>
      </c>
      <c r="AF4939" s="5" t="str">
        <f>HYPERLINK("https://www.google.com/maps/search/?api=1&amp;query=41.774991,-88.151408","map")</f>
        <v>map</v>
      </c>
    </row>
    <row r="4940" spans="1:32">
      <c r="A4940" t="s">
        <v>4990</v>
      </c>
      <c r="B4940" t="s">
        <v>12523</v>
      </c>
      <c r="C4940" t="s">
        <v>15811</v>
      </c>
      <c r="D4940" t="s">
        <v>16206</v>
      </c>
      <c r="E4940" t="s">
        <v>16218</v>
      </c>
      <c r="F4940" t="s">
        <v>16221</v>
      </c>
      <c r="G4940" t="s">
        <v>16277</v>
      </c>
      <c r="H4940" t="s">
        <v>16277</v>
      </c>
      <c r="I4940" t="s">
        <v>16353</v>
      </c>
      <c r="J4940" t="s">
        <v>16386</v>
      </c>
      <c r="K4940">
        <v>0.147</v>
      </c>
      <c r="L4940">
        <v>6396</v>
      </c>
      <c r="M4940">
        <v>791</v>
      </c>
      <c r="N4940" t="s">
        <v>16393</v>
      </c>
      <c r="O4940" s="4">
        <v>95421</v>
      </c>
      <c r="P4940" s="4">
        <v>43609</v>
      </c>
      <c r="Q4940" s="4">
        <v>139030</v>
      </c>
      <c r="R4940" s="4">
        <v>417090</v>
      </c>
      <c r="S4940" t="s">
        <v>21231</v>
      </c>
      <c r="T4940" s="6">
        <v>42583</v>
      </c>
      <c r="U4940" s="4">
        <v>405000</v>
      </c>
      <c r="V4940" t="s">
        <v>23739</v>
      </c>
      <c r="W4940" t="s">
        <v>26493</v>
      </c>
      <c r="X4940" t="s">
        <v>3</v>
      </c>
      <c r="AA4940" s="5" t="str">
        <f>HYPERLINK("https://www.zillow.com/homes/230-S-WEST-ST-NAPERVILLE-IL-605405231_rb/","check listing")</f>
        <v>check listing</v>
      </c>
      <c r="AB4940" s="5" t="str">
        <f>HYPERLINK("https://propertylookup.dupagecounty.gov/Datalets/Datalet.aspx?UseSearch=no&amp;mode=sales&amp;pin=0713316008","sales record")</f>
        <v>sales record</v>
      </c>
      <c r="AC4940" t="s">
        <v>3</v>
      </c>
      <c r="AD4940">
        <v>41.772539</v>
      </c>
      <c r="AE4940">
        <v>-88.157848</v>
      </c>
      <c r="AF4940" s="5" t="str">
        <f>HYPERLINK("https://www.google.com/maps/search/?api=1&amp;query=41.772539,-88.157848","map")</f>
        <v>map</v>
      </c>
    </row>
    <row r="4941" spans="1:32">
      <c r="A4941" t="s">
        <v>4991</v>
      </c>
      <c r="B4941" t="s">
        <v>12524</v>
      </c>
      <c r="C4941" t="s">
        <v>15812</v>
      </c>
      <c r="D4941" t="s">
        <v>16206</v>
      </c>
      <c r="E4941" t="s">
        <v>16218</v>
      </c>
      <c r="F4941" t="s">
        <v>16221</v>
      </c>
      <c r="G4941" t="s">
        <v>16277</v>
      </c>
      <c r="H4941" t="s">
        <v>16277</v>
      </c>
      <c r="I4941" t="s">
        <v>16353</v>
      </c>
      <c r="J4941" t="s">
        <v>16386</v>
      </c>
      <c r="K4941">
        <v>0.146</v>
      </c>
      <c r="L4941">
        <v>6376</v>
      </c>
      <c r="M4941">
        <v>1320</v>
      </c>
      <c r="N4941" t="s">
        <v>16393</v>
      </c>
      <c r="O4941" s="4">
        <v>114521</v>
      </c>
      <c r="P4941" s="4">
        <v>50200</v>
      </c>
      <c r="Q4941" s="4">
        <v>164721</v>
      </c>
      <c r="R4941" s="4">
        <v>494163</v>
      </c>
      <c r="S4941" t="s">
        <v>21232</v>
      </c>
      <c r="T4941" s="6">
        <v>45812</v>
      </c>
      <c r="U4941" s="4">
        <v>840000</v>
      </c>
      <c r="V4941" t="s">
        <v>23739</v>
      </c>
      <c r="W4941" t="s">
        <v>26494</v>
      </c>
      <c r="X4941" t="s">
        <v>3</v>
      </c>
      <c r="AA4941" s="5" t="str">
        <f>HYPERLINK("https://www.zillow.com/homes/506-W-FRANKLIN-AVE-NAPERVILLE-IL-605404457_rb/","check listing")</f>
        <v>check listing</v>
      </c>
      <c r="AB4941" s="5" t="str">
        <f>HYPERLINK("https://propertylookup.dupagecounty.gov/Datalets/Datalet.aspx?UseSearch=no&amp;mode=sales&amp;pin=0713406014","sales record")</f>
        <v>sales record</v>
      </c>
      <c r="AC4941" t="s">
        <v>3</v>
      </c>
      <c r="AD4941">
        <v>41.775985</v>
      </c>
      <c r="AE4941">
        <v>-88.15642099999999</v>
      </c>
      <c r="AF4941" s="5" t="str">
        <f>HYPERLINK("https://www.google.com/maps/search/?api=1&amp;query=41.775985,-88.156421","map")</f>
        <v>map</v>
      </c>
    </row>
    <row r="4942" spans="1:32">
      <c r="A4942" t="s">
        <v>4992</v>
      </c>
      <c r="B4942" t="s">
        <v>12525</v>
      </c>
      <c r="C4942" t="s">
        <v>15475</v>
      </c>
      <c r="D4942" t="s">
        <v>16206</v>
      </c>
      <c r="E4942" t="s">
        <v>16218</v>
      </c>
      <c r="F4942" t="s">
        <v>16221</v>
      </c>
      <c r="G4942" t="s">
        <v>16277</v>
      </c>
      <c r="H4942" t="s">
        <v>16277</v>
      </c>
      <c r="I4942" t="s">
        <v>16353</v>
      </c>
      <c r="J4942" t="s">
        <v>16386</v>
      </c>
      <c r="K4942">
        <v>0.146</v>
      </c>
      <c r="L4942">
        <v>6371</v>
      </c>
      <c r="M4942">
        <v>2077</v>
      </c>
      <c r="N4942" t="s">
        <v>16393</v>
      </c>
      <c r="O4942" s="4">
        <v>119856</v>
      </c>
      <c r="P4942" s="4">
        <v>26161</v>
      </c>
      <c r="Q4942" s="4">
        <v>146017</v>
      </c>
      <c r="R4942" s="4">
        <v>438051</v>
      </c>
      <c r="S4942" t="s">
        <v>21233</v>
      </c>
      <c r="T4942" s="6">
        <v>41122</v>
      </c>
      <c r="U4942" s="4">
        <v>294000</v>
      </c>
      <c r="V4942" t="s">
        <v>23739</v>
      </c>
      <c r="W4942" t="s">
        <v>26495</v>
      </c>
      <c r="X4942" t="s">
        <v>3</v>
      </c>
      <c r="AA4942" s="5" t="str">
        <f>HYPERLINK("https://www.zillow.com/homes/340-N-WRIGHT-ST-NAPERVILLE-IL-60540_rb/","check listing")</f>
        <v>check listing</v>
      </c>
      <c r="AB4942" s="5" t="str">
        <f>HYPERLINK("https://propertylookup.dupagecounty.gov/Datalets/Datalet.aspx?UseSearch=no&amp;mode=sales&amp;pin=0818204001","sales record")</f>
        <v>sales record</v>
      </c>
      <c r="AC4942" t="s">
        <v>3</v>
      </c>
      <c r="AD4942">
        <v>41.77936</v>
      </c>
      <c r="AE4942">
        <v>-88.138744</v>
      </c>
      <c r="AF4942" s="5" t="str">
        <f>HYPERLINK("https://www.google.com/maps/search/?api=1&amp;query=41.77936,-88.138744","map")</f>
        <v>map</v>
      </c>
    </row>
    <row r="4943" spans="1:32">
      <c r="A4943" t="s">
        <v>4993</v>
      </c>
      <c r="B4943" t="s">
        <v>12526</v>
      </c>
      <c r="C4943" t="s">
        <v>15475</v>
      </c>
      <c r="D4943" t="s">
        <v>16206</v>
      </c>
      <c r="E4943" t="s">
        <v>16218</v>
      </c>
      <c r="F4943" t="s">
        <v>16221</v>
      </c>
      <c r="G4943" t="s">
        <v>16277</v>
      </c>
      <c r="H4943" t="s">
        <v>16277</v>
      </c>
      <c r="I4943" t="s">
        <v>16353</v>
      </c>
      <c r="J4943" t="s">
        <v>16386</v>
      </c>
      <c r="K4943">
        <v>0.146</v>
      </c>
      <c r="L4943">
        <v>6370</v>
      </c>
      <c r="M4943">
        <v>1847</v>
      </c>
      <c r="N4943" t="s">
        <v>16393</v>
      </c>
      <c r="O4943" s="4">
        <v>108919</v>
      </c>
      <c r="P4943" s="4">
        <v>50810</v>
      </c>
      <c r="Q4943" s="4">
        <v>159729</v>
      </c>
      <c r="R4943" s="4">
        <v>479187</v>
      </c>
      <c r="S4943" t="s">
        <v>21234</v>
      </c>
      <c r="T4943" s="6">
        <v>40422</v>
      </c>
      <c r="U4943" s="4">
        <v>265000</v>
      </c>
      <c r="V4943" t="s">
        <v>23739</v>
      </c>
      <c r="W4943" t="s">
        <v>26496</v>
      </c>
      <c r="X4943" t="s">
        <v>3</v>
      </c>
      <c r="AA4943" s="5" t="str">
        <f>HYPERLINK("https://www.zillow.com/homes/610-S-MAIN-ST-NAPERVILLE-IL-60540_rb/","check listing")</f>
        <v>check listing</v>
      </c>
      <c r="AB4943" s="5" t="str">
        <f>HYPERLINK("https://propertylookup.dupagecounty.gov/Datalets/Datalet.aspx?UseSearch=no&amp;mode=sales&amp;pin=0724205002","sales record")</f>
        <v>sales record</v>
      </c>
      <c r="AC4943" t="s">
        <v>27873</v>
      </c>
      <c r="AD4943">
        <v>41.767645</v>
      </c>
      <c r="AE4943">
        <v>-88.149463</v>
      </c>
      <c r="AF4943" s="5" t="str">
        <f>HYPERLINK("https://www.google.com/maps/search/?api=1&amp;query=41.767645,-88.149463","map")</f>
        <v>map</v>
      </c>
    </row>
    <row r="4944" spans="1:32">
      <c r="A4944" t="s">
        <v>4994</v>
      </c>
      <c r="B4944" t="s">
        <v>12527</v>
      </c>
      <c r="C4944" t="s">
        <v>15662</v>
      </c>
      <c r="D4944" t="s">
        <v>16206</v>
      </c>
      <c r="E4944" t="s">
        <v>16218</v>
      </c>
      <c r="F4944" t="s">
        <v>16221</v>
      </c>
      <c r="G4944" t="s">
        <v>16278</v>
      </c>
      <c r="H4944" t="s">
        <v>16277</v>
      </c>
      <c r="I4944" t="s">
        <v>16353</v>
      </c>
      <c r="J4944" t="s">
        <v>16386</v>
      </c>
      <c r="K4944">
        <v>0.146</v>
      </c>
      <c r="L4944">
        <v>6368</v>
      </c>
      <c r="N4944" t="s">
        <v>16393</v>
      </c>
      <c r="O4944" s="4">
        <v>56146</v>
      </c>
      <c r="P4944" s="4">
        <v>232581</v>
      </c>
      <c r="Q4944" s="4">
        <v>288727</v>
      </c>
      <c r="R4944" s="4">
        <v>866181</v>
      </c>
      <c r="S4944" t="s">
        <v>21235</v>
      </c>
      <c r="T4944" s="6">
        <v>45502</v>
      </c>
      <c r="U4944" s="4">
        <v>836781</v>
      </c>
      <c r="V4944" t="s">
        <v>16232</v>
      </c>
      <c r="W4944" t="s">
        <v>26497</v>
      </c>
      <c r="X4944" t="s">
        <v>3</v>
      </c>
      <c r="AA4944" s="5" t="str">
        <f>HYPERLINK("https://www.zillow.com/homes/2408-HATTIE-ST-NAPERVILLE-IL-605631594_rb/","check listing")</f>
        <v>check listing</v>
      </c>
      <c r="AB4944" s="5" t="str">
        <f>HYPERLINK("https://propertylookup.dupagecounty.gov/Datalets/Datalet.aspx?UseSearch=no&amp;mode=sales&amp;pin=0532304009","sales record")</f>
        <v>sales record</v>
      </c>
      <c r="AC4944" t="s">
        <v>3</v>
      </c>
      <c r="AD4944">
        <v>41.817749</v>
      </c>
      <c r="AE4944">
        <v>-88.12049399999999</v>
      </c>
      <c r="AF4944" s="5" t="str">
        <f>HYPERLINK("https://www.google.com/maps/search/?api=1&amp;query=41.817749,-88.120494","map")</f>
        <v>map</v>
      </c>
    </row>
    <row r="4945" spans="1:32">
      <c r="A4945" t="s">
        <v>4995</v>
      </c>
      <c r="B4945" t="s">
        <v>12528</v>
      </c>
      <c r="C4945" t="s">
        <v>15662</v>
      </c>
      <c r="D4945" t="s">
        <v>16206</v>
      </c>
      <c r="E4945" t="s">
        <v>16218</v>
      </c>
      <c r="F4945" t="s">
        <v>16221</v>
      </c>
      <c r="G4945" t="s">
        <v>16278</v>
      </c>
      <c r="H4945" t="s">
        <v>16277</v>
      </c>
      <c r="I4945" t="s">
        <v>16353</v>
      </c>
      <c r="J4945" t="s">
        <v>16386</v>
      </c>
      <c r="K4945">
        <v>0.146</v>
      </c>
      <c r="L4945">
        <v>6360</v>
      </c>
      <c r="N4945" t="s">
        <v>16393</v>
      </c>
      <c r="O4945" s="4">
        <v>56146</v>
      </c>
      <c r="P4945" s="4">
        <v>228792</v>
      </c>
      <c r="Q4945" s="4">
        <v>284938</v>
      </c>
      <c r="R4945" s="4">
        <v>854814</v>
      </c>
      <c r="S4945" t="s">
        <v>21236</v>
      </c>
      <c r="T4945" s="6">
        <v>45265</v>
      </c>
      <c r="U4945" s="4">
        <v>788211</v>
      </c>
      <c r="V4945" t="s">
        <v>16232</v>
      </c>
      <c r="W4945" t="s">
        <v>26498</v>
      </c>
      <c r="X4945" t="s">
        <v>3</v>
      </c>
      <c r="AA4945" s="5" t="str">
        <f>HYPERLINK("https://www.zillow.com/homes/2423-LUCENT-LN-NAPERVILLE-IL-605631594_rb/","check listing")</f>
        <v>check listing</v>
      </c>
      <c r="AB4945" s="5" t="str">
        <f>HYPERLINK("https://propertylookup.dupagecounty.gov/Datalets/Datalet.aspx?UseSearch=no&amp;mode=sales&amp;pin=0532302006","sales record")</f>
        <v>sales record</v>
      </c>
      <c r="AC4945" t="s">
        <v>3</v>
      </c>
      <c r="AD4945">
        <v>41.818637</v>
      </c>
      <c r="AE4945">
        <v>-88.12199</v>
      </c>
      <c r="AF4945" s="5" t="str">
        <f>HYPERLINK("https://www.google.com/maps/search/?api=1&amp;query=41.818637,-88.12199","map")</f>
        <v>map</v>
      </c>
    </row>
    <row r="4946" spans="1:32">
      <c r="A4946" t="s">
        <v>4996</v>
      </c>
      <c r="B4946" t="s">
        <v>12529</v>
      </c>
      <c r="C4946" t="s">
        <v>15662</v>
      </c>
      <c r="D4946" t="s">
        <v>16206</v>
      </c>
      <c r="E4946" t="s">
        <v>16218</v>
      </c>
      <c r="F4946" t="s">
        <v>16221</v>
      </c>
      <c r="G4946" t="s">
        <v>16278</v>
      </c>
      <c r="H4946" t="s">
        <v>16277</v>
      </c>
      <c r="I4946" t="s">
        <v>16353</v>
      </c>
      <c r="J4946" t="s">
        <v>16386</v>
      </c>
      <c r="K4946">
        <v>0.146</v>
      </c>
      <c r="L4946">
        <v>6359</v>
      </c>
      <c r="N4946" t="s">
        <v>16393</v>
      </c>
      <c r="O4946" s="4">
        <v>56146</v>
      </c>
      <c r="P4946" s="4">
        <v>191534</v>
      </c>
      <c r="Q4946" s="4">
        <v>247680</v>
      </c>
      <c r="R4946" s="4">
        <v>743040</v>
      </c>
      <c r="S4946" t="s">
        <v>21237</v>
      </c>
      <c r="T4946" s="6">
        <v>45279</v>
      </c>
      <c r="U4946" s="4">
        <v>689127</v>
      </c>
      <c r="V4946" t="s">
        <v>16232</v>
      </c>
      <c r="W4946" t="s">
        <v>26499</v>
      </c>
      <c r="X4946" t="s">
        <v>3</v>
      </c>
      <c r="AA4946" s="5" t="str">
        <f>HYPERLINK("https://www.zillow.com/homes/2415-LUCENT-LN-NAPERVILLE-IL-605631594_rb/","check listing")</f>
        <v>check listing</v>
      </c>
      <c r="AB4946" s="5" t="str">
        <f>HYPERLINK("https://propertylookup.dupagecounty.gov/Datalets/Datalet.aspx?UseSearch=no&amp;mode=sales&amp;pin=0532302008","sales record")</f>
        <v>sales record</v>
      </c>
      <c r="AC4946" t="s">
        <v>3</v>
      </c>
      <c r="AD4946">
        <v>41.818374</v>
      </c>
      <c r="AE4946">
        <v>-88.122156</v>
      </c>
      <c r="AF4946" s="5" t="str">
        <f>HYPERLINK("https://www.google.com/maps/search/?api=1&amp;query=41.818374,-88.122156","map")</f>
        <v>map</v>
      </c>
    </row>
    <row r="4947" spans="1:32">
      <c r="A4947" t="s">
        <v>4997</v>
      </c>
      <c r="B4947" t="s">
        <v>12530</v>
      </c>
      <c r="C4947" t="s">
        <v>15662</v>
      </c>
      <c r="D4947" t="s">
        <v>16206</v>
      </c>
      <c r="E4947" t="s">
        <v>16218</v>
      </c>
      <c r="F4947" t="s">
        <v>16221</v>
      </c>
      <c r="G4947" t="s">
        <v>16278</v>
      </c>
      <c r="H4947" t="s">
        <v>16277</v>
      </c>
      <c r="I4947" t="s">
        <v>16353</v>
      </c>
      <c r="J4947" t="s">
        <v>16386</v>
      </c>
      <c r="K4947">
        <v>0.146</v>
      </c>
      <c r="L4947">
        <v>6357</v>
      </c>
      <c r="N4947" t="s">
        <v>16393</v>
      </c>
      <c r="O4947" s="4">
        <v>56146</v>
      </c>
      <c r="P4947" s="4">
        <v>216868</v>
      </c>
      <c r="Q4947" s="4">
        <v>273014</v>
      </c>
      <c r="R4947" s="4">
        <v>819042</v>
      </c>
      <c r="S4947" t="s">
        <v>21238</v>
      </c>
      <c r="T4947" s="6">
        <v>45212</v>
      </c>
      <c r="U4947" s="4">
        <v>680798</v>
      </c>
      <c r="V4947" t="s">
        <v>16232</v>
      </c>
      <c r="W4947" t="s">
        <v>26500</v>
      </c>
      <c r="X4947" t="s">
        <v>3</v>
      </c>
      <c r="AA4947" s="5" t="str">
        <f>HYPERLINK("https://www.zillow.com/homes/2419-LUCENT-LN-NAPERVILLE-IL-605631594_rb/","check listing")</f>
        <v>check listing</v>
      </c>
      <c r="AB4947" s="5" t="str">
        <f>HYPERLINK("https://propertylookup.dupagecounty.gov/Datalets/Datalet.aspx?UseSearch=no&amp;mode=sales&amp;pin=0532302007","sales record")</f>
        <v>sales record</v>
      </c>
      <c r="AC4947" t="s">
        <v>3</v>
      </c>
      <c r="AD4947">
        <v>41.818505</v>
      </c>
      <c r="AE4947">
        <v>-88.122073</v>
      </c>
      <c r="AF4947" s="5" t="str">
        <f>HYPERLINK("https://www.google.com/maps/search/?api=1&amp;query=41.818505,-88.122073","map")</f>
        <v>map</v>
      </c>
    </row>
    <row r="4948" spans="1:32">
      <c r="A4948" t="s">
        <v>4998</v>
      </c>
      <c r="B4948" t="s">
        <v>12531</v>
      </c>
      <c r="C4948" t="s">
        <v>15662</v>
      </c>
      <c r="D4948" t="s">
        <v>16206</v>
      </c>
      <c r="E4948" t="s">
        <v>16218</v>
      </c>
      <c r="F4948" t="s">
        <v>16221</v>
      </c>
      <c r="G4948" t="s">
        <v>16278</v>
      </c>
      <c r="H4948" t="s">
        <v>16277</v>
      </c>
      <c r="I4948" t="s">
        <v>16353</v>
      </c>
      <c r="J4948" t="s">
        <v>16386</v>
      </c>
      <c r="K4948">
        <v>0.146</v>
      </c>
      <c r="L4948">
        <v>6350</v>
      </c>
      <c r="N4948" t="s">
        <v>16393</v>
      </c>
      <c r="O4948" s="4">
        <v>56146</v>
      </c>
      <c r="P4948" s="4">
        <v>215041</v>
      </c>
      <c r="Q4948" s="4">
        <v>271187</v>
      </c>
      <c r="R4948" s="4">
        <v>813561</v>
      </c>
      <c r="S4948" t="s">
        <v>21239</v>
      </c>
      <c r="T4948" s="6">
        <v>45191</v>
      </c>
      <c r="U4948" s="4">
        <v>739302</v>
      </c>
      <c r="V4948" t="s">
        <v>16232</v>
      </c>
      <c r="W4948" t="s">
        <v>26501</v>
      </c>
      <c r="X4948" t="s">
        <v>3</v>
      </c>
      <c r="AA4948" s="5" t="str">
        <f>HYPERLINK("https://www.zillow.com/homes/1156-HIBBARD-RD-NAPERVILLE-IL-605631594_rb/","check listing")</f>
        <v>check listing</v>
      </c>
      <c r="AB4948" s="5" t="str">
        <f>HYPERLINK("https://propertylookup.dupagecounty.gov/Datalets/Datalet.aspx?UseSearch=no&amp;mode=sales&amp;pin=0532300037","sales record")</f>
        <v>sales record</v>
      </c>
      <c r="AC4948" t="s">
        <v>3</v>
      </c>
      <c r="AD4948">
        <v>41.81891</v>
      </c>
      <c r="AE4948">
        <v>-88.12366900000001</v>
      </c>
      <c r="AF4948" s="5" t="str">
        <f>HYPERLINK("https://www.google.com/maps/search/?api=1&amp;query=41.81891,-88.123669","map")</f>
        <v>map</v>
      </c>
    </row>
    <row r="4949" spans="1:32">
      <c r="A4949" t="s">
        <v>4999</v>
      </c>
      <c r="B4949" t="s">
        <v>12532</v>
      </c>
      <c r="C4949" t="s">
        <v>15475</v>
      </c>
      <c r="D4949" t="s">
        <v>16206</v>
      </c>
      <c r="E4949" t="s">
        <v>16218</v>
      </c>
      <c r="F4949" t="s">
        <v>16221</v>
      </c>
      <c r="G4949" t="s">
        <v>16277</v>
      </c>
      <c r="H4949" t="s">
        <v>16277</v>
      </c>
      <c r="I4949" t="s">
        <v>16353</v>
      </c>
      <c r="J4949" t="s">
        <v>16386</v>
      </c>
      <c r="K4949">
        <v>0.145</v>
      </c>
      <c r="L4949">
        <v>6319</v>
      </c>
      <c r="M4949">
        <v>1979</v>
      </c>
      <c r="N4949" t="s">
        <v>16393</v>
      </c>
      <c r="O4949" s="4">
        <v>108919</v>
      </c>
      <c r="P4949" s="4">
        <v>49370</v>
      </c>
      <c r="Q4949" s="4">
        <v>158289</v>
      </c>
      <c r="R4949" s="4">
        <v>474867</v>
      </c>
      <c r="S4949" t="s">
        <v>21240</v>
      </c>
      <c r="T4949" s="6">
        <v>34851</v>
      </c>
      <c r="U4949" s="4">
        <v>101250</v>
      </c>
      <c r="X4949" t="s">
        <v>3</v>
      </c>
      <c r="AA4949" s="5" t="str">
        <f>HYPERLINK("https://www.zillow.com/homes/616-MAIN-ST-NAPERVILLE-IL-60540_rb/","check listing")</f>
        <v>check listing</v>
      </c>
      <c r="AB4949" s="5" t="str">
        <f>HYPERLINK("https://propertylookup.dupagecounty.gov/Datalets/Datalet.aspx?UseSearch=no&amp;mode=sales&amp;pin=0724205003","sales record")</f>
        <v>sales record</v>
      </c>
      <c r="AC4949" t="s">
        <v>3</v>
      </c>
      <c r="AD4949">
        <v>41.767481</v>
      </c>
      <c r="AE4949">
        <v>-88.149473</v>
      </c>
      <c r="AF4949" s="5" t="str">
        <f>HYPERLINK("https://www.google.com/maps/search/?api=1&amp;query=41.767481,-88.149473","map")</f>
        <v>map</v>
      </c>
    </row>
    <row r="4950" spans="1:32">
      <c r="A4950" t="s">
        <v>5000</v>
      </c>
      <c r="B4950" t="s">
        <v>12533</v>
      </c>
      <c r="C4950" t="s">
        <v>15478</v>
      </c>
      <c r="D4950" t="s">
        <v>16206</v>
      </c>
      <c r="E4950" t="s">
        <v>16218</v>
      </c>
      <c r="F4950" t="s">
        <v>16221</v>
      </c>
      <c r="G4950" t="s">
        <v>16278</v>
      </c>
      <c r="H4950" t="s">
        <v>16277</v>
      </c>
      <c r="I4950" t="s">
        <v>16353</v>
      </c>
      <c r="J4950" t="s">
        <v>16386</v>
      </c>
      <c r="K4950">
        <v>0.145</v>
      </c>
      <c r="L4950">
        <v>6317</v>
      </c>
      <c r="N4950" t="s">
        <v>16393</v>
      </c>
      <c r="O4950" s="4">
        <v>67675</v>
      </c>
      <c r="P4950" s="4">
        <v>258406</v>
      </c>
      <c r="Q4950" s="4">
        <v>326081</v>
      </c>
      <c r="R4950" s="4">
        <v>978243</v>
      </c>
      <c r="S4950" t="s">
        <v>21241</v>
      </c>
      <c r="T4950" s="6">
        <v>43374</v>
      </c>
      <c r="U4950" s="4">
        <v>709500</v>
      </c>
      <c r="V4950" t="s">
        <v>23739</v>
      </c>
      <c r="W4950" t="s">
        <v>26502</v>
      </c>
      <c r="X4950" t="s">
        <v>3</v>
      </c>
      <c r="AA4950" s="5" t="str">
        <f>HYPERLINK("https://www.zillow.com/homes/828-LEONA-MAE-CT-NAPERVILLE-IL-60563_rb/","check listing")</f>
        <v>check listing</v>
      </c>
      <c r="AB4950" s="5" t="str">
        <f>HYPERLINK("https://propertylookup.dupagecounty.gov/Datalets/Datalet.aspx?UseSearch=no&amp;mode=sales&amp;pin=0807416029","sales record")</f>
        <v>sales record</v>
      </c>
      <c r="AC4950" t="s">
        <v>3</v>
      </c>
      <c r="AD4950">
        <v>41.785578</v>
      </c>
      <c r="AE4950">
        <v>-88.129682</v>
      </c>
      <c r="AF4950" s="5" t="str">
        <f>HYPERLINK("https://www.google.com/maps/search/?api=1&amp;query=41.785578,-88.129682","map")</f>
        <v>map</v>
      </c>
    </row>
    <row r="4951" spans="1:32">
      <c r="A4951" t="s">
        <v>5001</v>
      </c>
      <c r="B4951" t="s">
        <v>12534</v>
      </c>
      <c r="C4951" t="s">
        <v>15478</v>
      </c>
      <c r="D4951" t="s">
        <v>16206</v>
      </c>
      <c r="E4951" t="s">
        <v>16218</v>
      </c>
      <c r="F4951" t="s">
        <v>16221</v>
      </c>
      <c r="G4951" t="s">
        <v>16277</v>
      </c>
      <c r="H4951" t="s">
        <v>16277</v>
      </c>
      <c r="I4951" t="s">
        <v>16353</v>
      </c>
      <c r="J4951" t="s">
        <v>16386</v>
      </c>
      <c r="K4951">
        <v>0.144</v>
      </c>
      <c r="L4951">
        <v>6294</v>
      </c>
      <c r="M4951">
        <v>2883</v>
      </c>
      <c r="N4951" t="s">
        <v>16393</v>
      </c>
      <c r="O4951" s="4">
        <v>101234</v>
      </c>
      <c r="P4951" s="4">
        <v>36888</v>
      </c>
      <c r="Q4951" s="4">
        <v>138122</v>
      </c>
      <c r="R4951" s="4">
        <v>414366</v>
      </c>
      <c r="S4951" t="s">
        <v>21242</v>
      </c>
      <c r="X4951" t="s">
        <v>3</v>
      </c>
      <c r="AA4951" s="5" t="str">
        <f>HYPERLINK("https://www.zillow.com/homes/813-N-SLEIGHT-ST-NAPERVILLE-IL-60563_rb/","check listing")</f>
        <v>check listing</v>
      </c>
      <c r="AB4951" s="5" t="str">
        <f>HYPERLINK("https://propertylookup.dupagecounty.gov/Datalets/Datalet.aspx?UseSearch=no&amp;mode=sales&amp;pin=0807317015","sales record")</f>
        <v>sales record</v>
      </c>
      <c r="AC4951" t="s">
        <v>3</v>
      </c>
      <c r="AD4951">
        <v>41.784533</v>
      </c>
      <c r="AE4951">
        <v>-88.140351</v>
      </c>
      <c r="AF4951" s="5" t="str">
        <f>HYPERLINK("https://www.google.com/maps/search/?api=1&amp;query=41.784533,-88.140351","map")</f>
        <v>map</v>
      </c>
    </row>
    <row r="4952" spans="1:32">
      <c r="A4952" t="s">
        <v>5002</v>
      </c>
      <c r="B4952" t="s">
        <v>12535</v>
      </c>
      <c r="C4952" t="s">
        <v>15803</v>
      </c>
      <c r="D4952" t="s">
        <v>16206</v>
      </c>
      <c r="E4952" t="s">
        <v>16218</v>
      </c>
      <c r="F4952" t="s">
        <v>16221</v>
      </c>
      <c r="G4952" t="s">
        <v>16277</v>
      </c>
      <c r="H4952" t="s">
        <v>16277</v>
      </c>
      <c r="I4952" t="s">
        <v>16353</v>
      </c>
      <c r="J4952" t="s">
        <v>16386</v>
      </c>
      <c r="K4952">
        <v>0.144</v>
      </c>
      <c r="L4952">
        <v>6279</v>
      </c>
      <c r="M4952">
        <v>2803</v>
      </c>
      <c r="N4952" t="s">
        <v>16393</v>
      </c>
      <c r="O4952" s="4">
        <v>118726</v>
      </c>
      <c r="P4952" s="4">
        <v>143045</v>
      </c>
      <c r="Q4952" s="4">
        <v>261771</v>
      </c>
      <c r="R4952" s="4">
        <v>785313</v>
      </c>
      <c r="S4952" t="s">
        <v>20695</v>
      </c>
      <c r="T4952" s="6">
        <v>44621</v>
      </c>
      <c r="U4952" s="4">
        <v>720000</v>
      </c>
      <c r="V4952" t="s">
        <v>23739</v>
      </c>
      <c r="W4952" t="s">
        <v>26503</v>
      </c>
      <c r="X4952" t="s">
        <v>3</v>
      </c>
      <c r="AA4952" s="5" t="str">
        <f>HYPERLINK("https://www.zillow.com/homes/223-N-ELLSWORTH-ST-NAPERVILLE-IL-605404622_rb/","check listing")</f>
        <v>check listing</v>
      </c>
      <c r="AB4952" s="5" t="str">
        <f>HYPERLINK("https://propertylookup.dupagecounty.gov/Datalets/Datalet.aspx?UseSearch=no&amp;mode=sales&amp;pin=0818129008","sales record")</f>
        <v>sales record</v>
      </c>
      <c r="AC4952" t="s">
        <v>3</v>
      </c>
      <c r="AD4952">
        <v>41.778243</v>
      </c>
      <c r="AE4952">
        <v>-88.145342</v>
      </c>
      <c r="AF4952" s="5" t="str">
        <f>HYPERLINK("https://www.google.com/maps/search/?api=1&amp;query=41.778243,-88.145342","map")</f>
        <v>map</v>
      </c>
    </row>
    <row r="4953" spans="1:32">
      <c r="A4953" t="s">
        <v>5003</v>
      </c>
      <c r="B4953" t="s">
        <v>12536</v>
      </c>
      <c r="C4953" t="s">
        <v>15475</v>
      </c>
      <c r="D4953" t="s">
        <v>16206</v>
      </c>
      <c r="E4953" t="s">
        <v>16218</v>
      </c>
      <c r="F4953" t="s">
        <v>16221</v>
      </c>
      <c r="G4953" t="s">
        <v>16277</v>
      </c>
      <c r="H4953" t="s">
        <v>16277</v>
      </c>
      <c r="I4953" t="s">
        <v>16353</v>
      </c>
      <c r="J4953" t="s">
        <v>16386</v>
      </c>
      <c r="K4953">
        <v>0.144</v>
      </c>
      <c r="L4953">
        <v>6274</v>
      </c>
      <c r="M4953">
        <v>1952</v>
      </c>
      <c r="N4953" t="s">
        <v>16393</v>
      </c>
      <c r="O4953" s="4">
        <v>95716</v>
      </c>
      <c r="P4953" s="4">
        <v>43678</v>
      </c>
      <c r="Q4953" s="4">
        <v>139394</v>
      </c>
      <c r="R4953" s="4">
        <v>418182</v>
      </c>
      <c r="S4953" t="s">
        <v>21243</v>
      </c>
      <c r="X4953" t="s">
        <v>3</v>
      </c>
      <c r="AA4953" s="5" t="str">
        <f>HYPERLINK("https://www.zillow.com/homes/426-E-4TH-AVE-NAPERVILLE-IL-60540_rb/","check listing")</f>
        <v>check listing</v>
      </c>
      <c r="AB4953" s="5" t="str">
        <f>HYPERLINK("https://propertylookup.dupagecounty.gov/Datalets/Datalet.aspx?UseSearch=no&amp;mode=sales&amp;pin=0818136015","sales record")</f>
        <v>sales record</v>
      </c>
      <c r="AC4953" t="s">
        <v>27873</v>
      </c>
      <c r="AD4953">
        <v>41.779435</v>
      </c>
      <c r="AE4953">
        <v>-88.14125799999999</v>
      </c>
      <c r="AF4953" s="5" t="str">
        <f>HYPERLINK("https://www.google.com/maps/search/?api=1&amp;query=41.779435,-88.141258","map")</f>
        <v>map</v>
      </c>
    </row>
    <row r="4954" spans="1:32">
      <c r="A4954" t="s">
        <v>5004</v>
      </c>
      <c r="B4954" t="s">
        <v>12537</v>
      </c>
      <c r="C4954" t="s">
        <v>15475</v>
      </c>
      <c r="D4954" t="s">
        <v>16206</v>
      </c>
      <c r="E4954" t="s">
        <v>16218</v>
      </c>
      <c r="F4954" t="s">
        <v>16221</v>
      </c>
      <c r="G4954" t="s">
        <v>16277</v>
      </c>
      <c r="H4954" t="s">
        <v>16277</v>
      </c>
      <c r="I4954" t="s">
        <v>16353</v>
      </c>
      <c r="J4954" t="s">
        <v>16386</v>
      </c>
      <c r="K4954">
        <v>0.144</v>
      </c>
      <c r="L4954">
        <v>6271</v>
      </c>
      <c r="M4954">
        <v>2636</v>
      </c>
      <c r="N4954" t="s">
        <v>16393</v>
      </c>
      <c r="O4954" s="4">
        <v>118523</v>
      </c>
      <c r="P4954" s="4">
        <v>73348</v>
      </c>
      <c r="Q4954" s="4">
        <v>191871</v>
      </c>
      <c r="R4954" s="4">
        <v>575613</v>
      </c>
      <c r="S4954" t="s">
        <v>21244</v>
      </c>
      <c r="T4954" s="6">
        <v>31382</v>
      </c>
      <c r="U4954" s="4">
        <v>99000</v>
      </c>
      <c r="X4954" t="s">
        <v>3</v>
      </c>
      <c r="AA4954" s="5" t="str">
        <f>HYPERLINK("https://www.zillow.com/homes/215-N-ELLSWORTH-ST-NAPERVILLE-IL-60540_rb/","check listing")</f>
        <v>check listing</v>
      </c>
      <c r="AB4954" s="5" t="str">
        <f>HYPERLINK("https://propertylookup.dupagecounty.gov/Datalets/Datalet.aspx?UseSearch=no&amp;mode=sales&amp;pin=0818129010","sales record")</f>
        <v>sales record</v>
      </c>
      <c r="AC4954" t="s">
        <v>3</v>
      </c>
      <c r="AD4954">
        <v>41.777961</v>
      </c>
      <c r="AE4954">
        <v>-88.145355</v>
      </c>
      <c r="AF4954" s="5" t="str">
        <f>HYPERLINK("https://www.google.com/maps/search/?api=1&amp;query=41.777961,-88.145355","map")</f>
        <v>map</v>
      </c>
    </row>
    <row r="4955" spans="1:32">
      <c r="A4955" t="s">
        <v>5005</v>
      </c>
      <c r="B4955" t="s">
        <v>12538</v>
      </c>
      <c r="C4955" t="s">
        <v>15663</v>
      </c>
      <c r="D4955" t="s">
        <v>16206</v>
      </c>
      <c r="E4955" t="s">
        <v>16218</v>
      </c>
      <c r="F4955" t="s">
        <v>16221</v>
      </c>
      <c r="G4955" t="s">
        <v>16277</v>
      </c>
      <c r="H4955" t="s">
        <v>16277</v>
      </c>
      <c r="I4955" t="s">
        <v>16353</v>
      </c>
      <c r="J4955" t="s">
        <v>16386</v>
      </c>
      <c r="K4955">
        <v>0.143</v>
      </c>
      <c r="L4955">
        <v>6243</v>
      </c>
      <c r="M4955">
        <v>1599</v>
      </c>
      <c r="N4955" t="s">
        <v>16393</v>
      </c>
      <c r="O4955" s="4">
        <v>131890</v>
      </c>
      <c r="P4955" s="4">
        <v>129548</v>
      </c>
      <c r="Q4955" s="4">
        <v>261438</v>
      </c>
      <c r="R4955" s="4">
        <v>784314</v>
      </c>
      <c r="S4955" t="s">
        <v>21245</v>
      </c>
      <c r="T4955" s="6">
        <v>44317</v>
      </c>
      <c r="U4955" s="4">
        <v>455000</v>
      </c>
      <c r="V4955" t="s">
        <v>23739</v>
      </c>
      <c r="W4955" t="s">
        <v>26504</v>
      </c>
      <c r="X4955" t="s">
        <v>3</v>
      </c>
      <c r="AA4955" s="5" t="str">
        <f>HYPERLINK("https://www.zillow.com/homes/113-N-ELLSWORTH-ST-NAPERVILLE-IL-605404620_rb/","check listing")</f>
        <v>check listing</v>
      </c>
      <c r="AB4955" s="5" t="str">
        <f>HYPERLINK("https://propertylookup.dupagecounty.gov/Datalets/Datalet.aspx?UseSearch=no&amp;mode=sales&amp;pin=0818301014","sales record")</f>
        <v>sales record</v>
      </c>
      <c r="AC4955" t="s">
        <v>3</v>
      </c>
      <c r="AD4955">
        <v>41.776299</v>
      </c>
      <c r="AE4955">
        <v>-88.14542899999999</v>
      </c>
      <c r="AF4955" s="5" t="str">
        <f>HYPERLINK("https://www.google.com/maps/search/?api=1&amp;query=41.776299,-88.145429","map")</f>
        <v>map</v>
      </c>
    </row>
    <row r="4956" spans="1:32">
      <c r="A4956" t="s">
        <v>5006</v>
      </c>
      <c r="B4956" t="s">
        <v>12539</v>
      </c>
      <c r="C4956" t="s">
        <v>15662</v>
      </c>
      <c r="D4956" t="s">
        <v>16206</v>
      </c>
      <c r="E4956" t="s">
        <v>16218</v>
      </c>
      <c r="F4956" t="s">
        <v>16221</v>
      </c>
      <c r="G4956" t="s">
        <v>16278</v>
      </c>
      <c r="H4956" t="s">
        <v>16277</v>
      </c>
      <c r="I4956" t="s">
        <v>16353</v>
      </c>
      <c r="J4956" t="s">
        <v>16386</v>
      </c>
      <c r="K4956">
        <v>0.143</v>
      </c>
      <c r="L4956">
        <v>6235</v>
      </c>
      <c r="N4956" t="s">
        <v>16393</v>
      </c>
      <c r="O4956" s="4">
        <v>56141</v>
      </c>
      <c r="P4956" s="4">
        <v>224040</v>
      </c>
      <c r="Q4956" s="4">
        <v>280181</v>
      </c>
      <c r="R4956" s="4">
        <v>840543</v>
      </c>
      <c r="S4956" t="s">
        <v>21246</v>
      </c>
      <c r="T4956" s="6">
        <v>45537</v>
      </c>
      <c r="U4956" s="4">
        <v>862181</v>
      </c>
      <c r="V4956" t="s">
        <v>16232</v>
      </c>
      <c r="W4956" t="s">
        <v>26505</v>
      </c>
      <c r="X4956" t="s">
        <v>3</v>
      </c>
      <c r="AA4956" s="5" t="str">
        <f>HYPERLINK("https://www.zillow.com/homes/1251-WRENSON-AVE-NAPERVILLE-IL-605631594_rb/","check listing")</f>
        <v>check listing</v>
      </c>
      <c r="AB4956" s="5" t="str">
        <f>HYPERLINK("https://propertylookup.dupagecounty.gov/Datalets/Datalet.aspx?UseSearch=no&amp;mode=sales&amp;pin=0532305006","sales record")</f>
        <v>sales record</v>
      </c>
      <c r="AC4956" t="s">
        <v>3</v>
      </c>
      <c r="AD4956">
        <v>41.817411</v>
      </c>
      <c r="AE4956">
        <v>-88.11930099999999</v>
      </c>
      <c r="AF4956" s="5" t="str">
        <f>HYPERLINK("https://www.google.com/maps/search/?api=1&amp;query=41.817411,-88.119301","map")</f>
        <v>map</v>
      </c>
    </row>
    <row r="4957" spans="1:32">
      <c r="A4957" t="s">
        <v>5007</v>
      </c>
      <c r="B4957" t="s">
        <v>12540</v>
      </c>
      <c r="C4957" t="s">
        <v>15662</v>
      </c>
      <c r="D4957" t="s">
        <v>16206</v>
      </c>
      <c r="E4957" t="s">
        <v>16218</v>
      </c>
      <c r="F4957" t="s">
        <v>16221</v>
      </c>
      <c r="G4957" t="s">
        <v>16278</v>
      </c>
      <c r="H4957" t="s">
        <v>16277</v>
      </c>
      <c r="I4957" t="s">
        <v>16353</v>
      </c>
      <c r="J4957" t="s">
        <v>16386</v>
      </c>
      <c r="K4957">
        <v>0.143</v>
      </c>
      <c r="L4957">
        <v>6235</v>
      </c>
      <c r="N4957" t="s">
        <v>16393</v>
      </c>
      <c r="O4957" s="4">
        <v>56141</v>
      </c>
      <c r="P4957" s="4">
        <v>240765</v>
      </c>
      <c r="Q4957" s="4">
        <v>296906</v>
      </c>
      <c r="R4957" s="4">
        <v>890718</v>
      </c>
      <c r="S4957" t="s">
        <v>21247</v>
      </c>
      <c r="T4957" s="6">
        <v>45622</v>
      </c>
      <c r="U4957" s="4">
        <v>868372</v>
      </c>
      <c r="V4957" t="s">
        <v>16232</v>
      </c>
      <c r="W4957" t="s">
        <v>26506</v>
      </c>
      <c r="X4957" t="s">
        <v>3</v>
      </c>
      <c r="AA4957" s="5" t="str">
        <f>HYPERLINK("https://www.zillow.com/homes/1255-WRENSON-AVE-NAPERVILLE-IL-605631594_rb/","check listing")</f>
        <v>check listing</v>
      </c>
      <c r="AB4957" s="5" t="str">
        <f>HYPERLINK("https://propertylookup.dupagecounty.gov/Datalets/Datalet.aspx?UseSearch=no&amp;mode=sales&amp;pin=0532305005","sales record")</f>
        <v>sales record</v>
      </c>
      <c r="AC4957" t="s">
        <v>3</v>
      </c>
      <c r="AD4957">
        <v>41.817395</v>
      </c>
      <c r="AE4957">
        <v>-88.119112</v>
      </c>
      <c r="AF4957" s="5" t="str">
        <f>HYPERLINK("https://www.google.com/maps/search/?api=1&amp;query=41.817395,-88.119112","map")</f>
        <v>map</v>
      </c>
    </row>
    <row r="4958" spans="1:32">
      <c r="A4958" t="s">
        <v>5008</v>
      </c>
      <c r="B4958" t="s">
        <v>12541</v>
      </c>
      <c r="C4958" t="s">
        <v>15662</v>
      </c>
      <c r="D4958" t="s">
        <v>16206</v>
      </c>
      <c r="E4958" t="s">
        <v>16218</v>
      </c>
      <c r="F4958" t="s">
        <v>16221</v>
      </c>
      <c r="G4958" t="s">
        <v>16278</v>
      </c>
      <c r="H4958" t="s">
        <v>16277</v>
      </c>
      <c r="I4958" t="s">
        <v>16353</v>
      </c>
      <c r="J4958" t="s">
        <v>16386</v>
      </c>
      <c r="K4958">
        <v>0.142</v>
      </c>
      <c r="L4958">
        <v>6197</v>
      </c>
      <c r="N4958" t="s">
        <v>16393</v>
      </c>
      <c r="O4958" s="4">
        <v>56141</v>
      </c>
      <c r="P4958" s="4">
        <v>217516</v>
      </c>
      <c r="Q4958" s="4">
        <v>273657</v>
      </c>
      <c r="R4958" s="4">
        <v>820971</v>
      </c>
      <c r="S4958" t="s">
        <v>21248</v>
      </c>
      <c r="T4958" s="6">
        <v>45700</v>
      </c>
      <c r="U4958" s="4">
        <v>864233</v>
      </c>
      <c r="V4958" t="s">
        <v>16232</v>
      </c>
      <c r="W4958" t="s">
        <v>26507</v>
      </c>
      <c r="X4958" t="s">
        <v>3</v>
      </c>
      <c r="AA4958" s="5" t="str">
        <f>HYPERLINK("https://www.zillow.com/homes/2432-WEATHERBEE-LN-NAPERVILLE-IL-605631594_rb/","check listing")</f>
        <v>check listing</v>
      </c>
      <c r="AB4958" s="5" t="str">
        <f>HYPERLINK("https://propertylookup.dupagecounty.gov/Datalets/Datalet.aspx?UseSearch=no&amp;mode=sales&amp;pin=0532300096","sales record")</f>
        <v>sales record</v>
      </c>
      <c r="AC4958" t="s">
        <v>3</v>
      </c>
      <c r="AD4958">
        <v>41.818355</v>
      </c>
      <c r="AE4958">
        <v>-88.119291</v>
      </c>
      <c r="AF4958" s="5" t="str">
        <f>HYPERLINK("https://www.google.com/maps/search/?api=1&amp;query=41.818355,-88.119291","map")</f>
        <v>map</v>
      </c>
    </row>
    <row r="4959" spans="1:32">
      <c r="A4959" t="s">
        <v>5009</v>
      </c>
      <c r="B4959" t="s">
        <v>12542</v>
      </c>
      <c r="C4959" t="s">
        <v>15662</v>
      </c>
      <c r="D4959" t="s">
        <v>16206</v>
      </c>
      <c r="E4959" t="s">
        <v>16218</v>
      </c>
      <c r="F4959" t="s">
        <v>16221</v>
      </c>
      <c r="G4959" t="s">
        <v>16278</v>
      </c>
      <c r="H4959" t="s">
        <v>16277</v>
      </c>
      <c r="I4959" t="s">
        <v>16353</v>
      </c>
      <c r="J4959" t="s">
        <v>16386</v>
      </c>
      <c r="K4959">
        <v>0.142</v>
      </c>
      <c r="L4959">
        <v>6197</v>
      </c>
      <c r="N4959" t="s">
        <v>16393</v>
      </c>
      <c r="O4959" s="4">
        <v>56141</v>
      </c>
      <c r="P4959" s="4">
        <v>188663</v>
      </c>
      <c r="Q4959" s="4">
        <v>244804</v>
      </c>
      <c r="R4959" s="4">
        <v>734412</v>
      </c>
      <c r="S4959" t="s">
        <v>21249</v>
      </c>
      <c r="T4959" s="6">
        <v>45747</v>
      </c>
      <c r="U4959" s="4">
        <v>934035</v>
      </c>
      <c r="V4959" t="s">
        <v>16232</v>
      </c>
      <c r="W4959" t="s">
        <v>26508</v>
      </c>
      <c r="X4959" t="s">
        <v>3</v>
      </c>
      <c r="AA4959" s="5" t="str">
        <f>HYPERLINK("https://www.zillow.com/homes/2428-WEATHERBEE-LN-NAPERVILLE-IL-605631594_rb/","check listing")</f>
        <v>check listing</v>
      </c>
      <c r="AB4959" s="5" t="str">
        <f>HYPERLINK("https://propertylookup.dupagecounty.gov/Datalets/Datalet.aspx?UseSearch=no&amp;mode=sales&amp;pin=0532300097","sales record")</f>
        <v>sales record</v>
      </c>
      <c r="AC4959" t="s">
        <v>3</v>
      </c>
      <c r="AD4959">
        <v>41.818296</v>
      </c>
      <c r="AE4959">
        <v>-88.119122</v>
      </c>
      <c r="AF4959" s="5" t="str">
        <f>HYPERLINK("https://www.google.com/maps/search/?api=1&amp;query=41.818296,-88.119122","map")</f>
        <v>map</v>
      </c>
    </row>
    <row r="4960" spans="1:32">
      <c r="A4960" t="s">
        <v>5010</v>
      </c>
      <c r="B4960" t="s">
        <v>12543</v>
      </c>
      <c r="C4960" t="s">
        <v>15662</v>
      </c>
      <c r="D4960" t="s">
        <v>16206</v>
      </c>
      <c r="E4960" t="s">
        <v>16218</v>
      </c>
      <c r="F4960" t="s">
        <v>16221</v>
      </c>
      <c r="G4960" t="s">
        <v>16278</v>
      </c>
      <c r="H4960" t="s">
        <v>16277</v>
      </c>
      <c r="I4960" t="s">
        <v>16353</v>
      </c>
      <c r="J4960" t="s">
        <v>16386</v>
      </c>
      <c r="K4960">
        <v>0.142</v>
      </c>
      <c r="L4960">
        <v>6193</v>
      </c>
      <c r="N4960" t="s">
        <v>16393</v>
      </c>
      <c r="O4960" s="4">
        <v>56141</v>
      </c>
      <c r="P4960" s="4">
        <v>198079</v>
      </c>
      <c r="Q4960" s="4">
        <v>254220</v>
      </c>
      <c r="R4960" s="4">
        <v>762660</v>
      </c>
      <c r="S4960" t="s">
        <v>21250</v>
      </c>
      <c r="T4960" s="6">
        <v>45723</v>
      </c>
      <c r="U4960" s="4">
        <v>838976</v>
      </c>
      <c r="V4960" t="s">
        <v>16232</v>
      </c>
      <c r="W4960" t="s">
        <v>26509</v>
      </c>
      <c r="X4960" t="s">
        <v>3</v>
      </c>
      <c r="AA4960" s="5" t="str">
        <f>HYPERLINK("https://www.zillow.com/homes/2436-WEATHERBEE-LN-NAPERVILLE-IL-605631594_rb/","check listing")</f>
        <v>check listing</v>
      </c>
      <c r="AB4960" s="5" t="str">
        <f>HYPERLINK("https://propertylookup.dupagecounty.gov/Datalets/Datalet.aspx?UseSearch=no&amp;mode=sales&amp;pin=0532300095","sales record")</f>
        <v>sales record</v>
      </c>
      <c r="AC4960" t="s">
        <v>3</v>
      </c>
      <c r="AD4960">
        <v>41.818415</v>
      </c>
      <c r="AE4960">
        <v>-88.11946</v>
      </c>
      <c r="AF4960" s="5" t="str">
        <f>HYPERLINK("https://www.google.com/maps/search/?api=1&amp;query=41.818415,-88.11946","map")</f>
        <v>map</v>
      </c>
    </row>
    <row r="4961" spans="1:32">
      <c r="A4961" t="s">
        <v>5011</v>
      </c>
      <c r="B4961" t="s">
        <v>12544</v>
      </c>
      <c r="C4961" t="s">
        <v>15662</v>
      </c>
      <c r="D4961" t="s">
        <v>16206</v>
      </c>
      <c r="E4961" t="s">
        <v>16218</v>
      </c>
      <c r="F4961" t="s">
        <v>16221</v>
      </c>
      <c r="G4961" t="s">
        <v>16278</v>
      </c>
      <c r="H4961" t="s">
        <v>16277</v>
      </c>
      <c r="I4961" t="s">
        <v>16353</v>
      </c>
      <c r="J4961" t="s">
        <v>16386</v>
      </c>
      <c r="K4961">
        <v>0.142</v>
      </c>
      <c r="L4961">
        <v>6193</v>
      </c>
      <c r="N4961" t="s">
        <v>16393</v>
      </c>
      <c r="O4961" s="4">
        <v>56141</v>
      </c>
      <c r="P4961" s="4">
        <v>201982</v>
      </c>
      <c r="Q4961" s="4">
        <v>258123</v>
      </c>
      <c r="R4961" s="4">
        <v>774369</v>
      </c>
      <c r="S4961" t="s">
        <v>21251</v>
      </c>
      <c r="T4961" s="6">
        <v>45706</v>
      </c>
      <c r="U4961" s="4">
        <v>944136</v>
      </c>
      <c r="V4961" t="s">
        <v>16232</v>
      </c>
      <c r="W4961" t="s">
        <v>26510</v>
      </c>
      <c r="X4961" t="s">
        <v>3</v>
      </c>
      <c r="AA4961" s="5" t="str">
        <f>HYPERLINK("https://www.zillow.com/homes/2440-WEATHERBEE-LN-NAPERVILLE-IL-605631594_rb/","check listing")</f>
        <v>check listing</v>
      </c>
      <c r="AB4961" s="5" t="str">
        <f>HYPERLINK("https://propertylookup.dupagecounty.gov/Datalets/Datalet.aspx?UseSearch=no&amp;mode=sales&amp;pin=0532300094","sales record")</f>
        <v>sales record</v>
      </c>
      <c r="AC4961" t="s">
        <v>3</v>
      </c>
      <c r="AD4961">
        <v>41.818474</v>
      </c>
      <c r="AE4961">
        <v>-88.11963</v>
      </c>
      <c r="AF4961" s="5" t="str">
        <f>HYPERLINK("https://www.google.com/maps/search/?api=1&amp;query=41.818474,-88.11963","map")</f>
        <v>map</v>
      </c>
    </row>
    <row r="4962" spans="1:32">
      <c r="A4962" t="s">
        <v>5012</v>
      </c>
      <c r="B4962" t="s">
        <v>12545</v>
      </c>
      <c r="C4962" t="s">
        <v>15662</v>
      </c>
      <c r="D4962" t="s">
        <v>16206</v>
      </c>
      <c r="E4962" t="s">
        <v>16218</v>
      </c>
      <c r="F4962" t="s">
        <v>16221</v>
      </c>
      <c r="G4962" t="s">
        <v>16278</v>
      </c>
      <c r="H4962" t="s">
        <v>16277</v>
      </c>
      <c r="I4962" t="s">
        <v>16353</v>
      </c>
      <c r="J4962" t="s">
        <v>16386</v>
      </c>
      <c r="K4962">
        <v>0.142</v>
      </c>
      <c r="L4962">
        <v>6190</v>
      </c>
      <c r="N4962" t="s">
        <v>16393</v>
      </c>
      <c r="O4962" s="4">
        <v>56141</v>
      </c>
      <c r="P4962" s="4">
        <v>215072</v>
      </c>
      <c r="Q4962" s="4">
        <v>271213</v>
      </c>
      <c r="R4962" s="4">
        <v>813639</v>
      </c>
      <c r="S4962" t="s">
        <v>21252</v>
      </c>
      <c r="T4962" s="6">
        <v>45602</v>
      </c>
      <c r="U4962" s="4">
        <v>813555</v>
      </c>
      <c r="V4962" t="s">
        <v>16232</v>
      </c>
      <c r="W4962" t="s">
        <v>26511</v>
      </c>
      <c r="X4962" t="s">
        <v>3</v>
      </c>
      <c r="AA4962" s="5" t="str">
        <f>HYPERLINK("https://www.zillow.com/homes/2444-WEATHERBEE-LN-NAPERVILLE-IL-605631594_rb/","check listing")</f>
        <v>check listing</v>
      </c>
      <c r="AB4962" s="5" t="str">
        <f>HYPERLINK("https://propertylookup.dupagecounty.gov/Datalets/Datalet.aspx?UseSearch=no&amp;mode=sales&amp;pin=0532300093","sales record")</f>
        <v>sales record</v>
      </c>
      <c r="AC4962" t="s">
        <v>3</v>
      </c>
      <c r="AD4962">
        <v>41.818533</v>
      </c>
      <c r="AE4962">
        <v>-88.119799</v>
      </c>
      <c r="AF4962" s="5" t="str">
        <f>HYPERLINK("https://www.google.com/maps/search/?api=1&amp;query=41.818533,-88.119799","map")</f>
        <v>map</v>
      </c>
    </row>
    <row r="4963" spans="1:32">
      <c r="A4963" t="s">
        <v>5013</v>
      </c>
      <c r="B4963" t="s">
        <v>12546</v>
      </c>
      <c r="C4963" t="s">
        <v>15662</v>
      </c>
      <c r="D4963" t="s">
        <v>16206</v>
      </c>
      <c r="E4963" t="s">
        <v>16218</v>
      </c>
      <c r="F4963" t="s">
        <v>16221</v>
      </c>
      <c r="G4963" t="s">
        <v>16278</v>
      </c>
      <c r="H4963" t="s">
        <v>16277</v>
      </c>
      <c r="I4963" t="s">
        <v>16353</v>
      </c>
      <c r="J4963" t="s">
        <v>16386</v>
      </c>
      <c r="K4963">
        <v>0.142</v>
      </c>
      <c r="L4963">
        <v>6187</v>
      </c>
      <c r="N4963" t="s">
        <v>16393</v>
      </c>
      <c r="O4963" s="4">
        <v>56141</v>
      </c>
      <c r="P4963" s="4">
        <v>240070</v>
      </c>
      <c r="Q4963" s="4">
        <v>296211</v>
      </c>
      <c r="R4963" s="4">
        <v>888633</v>
      </c>
      <c r="S4963" t="s">
        <v>21253</v>
      </c>
      <c r="T4963" s="6">
        <v>45600</v>
      </c>
      <c r="U4963" s="4">
        <v>895148</v>
      </c>
      <c r="V4963" t="s">
        <v>16232</v>
      </c>
      <c r="W4963" t="s">
        <v>26512</v>
      </c>
      <c r="X4963" t="s">
        <v>3</v>
      </c>
      <c r="AA4963" s="5" t="str">
        <f>HYPERLINK("https://www.zillow.com/homes/2448-WEATHERBEE-LN-NAPERVILLE-IL-605631594_rb/","check listing")</f>
        <v>check listing</v>
      </c>
      <c r="AB4963" s="5" t="str">
        <f>HYPERLINK("https://propertylookup.dupagecounty.gov/Datalets/Datalet.aspx?UseSearch=no&amp;mode=sales&amp;pin=0532300092","sales record")</f>
        <v>sales record</v>
      </c>
      <c r="AC4963" t="s">
        <v>3</v>
      </c>
      <c r="AD4963">
        <v>41.818593</v>
      </c>
      <c r="AE4963">
        <v>-88.119968</v>
      </c>
      <c r="AF4963" s="5" t="str">
        <f>HYPERLINK("https://www.google.com/maps/search/?api=1&amp;query=41.818593,-88.119968","map")</f>
        <v>map</v>
      </c>
    </row>
    <row r="4964" spans="1:32">
      <c r="A4964" t="s">
        <v>5014</v>
      </c>
      <c r="B4964" t="s">
        <v>12547</v>
      </c>
      <c r="C4964" t="s">
        <v>15662</v>
      </c>
      <c r="D4964" t="s">
        <v>16206</v>
      </c>
      <c r="E4964" t="s">
        <v>16218</v>
      </c>
      <c r="F4964" t="s">
        <v>16221</v>
      </c>
      <c r="G4964" t="s">
        <v>16278</v>
      </c>
      <c r="H4964" t="s">
        <v>16277</v>
      </c>
      <c r="I4964" t="s">
        <v>16353</v>
      </c>
      <c r="J4964" t="s">
        <v>16386</v>
      </c>
      <c r="K4964">
        <v>0.142</v>
      </c>
      <c r="L4964">
        <v>6184</v>
      </c>
      <c r="N4964" t="s">
        <v>16393</v>
      </c>
      <c r="O4964" s="4">
        <v>56141</v>
      </c>
      <c r="P4964" s="4">
        <v>233607</v>
      </c>
      <c r="Q4964" s="4">
        <v>289748</v>
      </c>
      <c r="R4964" s="4">
        <v>869244</v>
      </c>
      <c r="S4964" t="s">
        <v>21254</v>
      </c>
      <c r="T4964" s="6">
        <v>45589</v>
      </c>
      <c r="U4964" s="4">
        <v>846845</v>
      </c>
      <c r="V4964" t="s">
        <v>16232</v>
      </c>
      <c r="W4964" t="s">
        <v>26513</v>
      </c>
      <c r="X4964" t="s">
        <v>3</v>
      </c>
      <c r="AA4964" s="5" t="str">
        <f>HYPERLINK("https://www.zillow.com/homes/2452-WEATHERBEE-LN-NAPERVILLE-IL-605631594_rb/","check listing")</f>
        <v>check listing</v>
      </c>
      <c r="AB4964" s="5" t="str">
        <f>HYPERLINK("https://propertylookup.dupagecounty.gov/Datalets/Datalet.aspx?UseSearch=no&amp;mode=sales&amp;pin=0532300091","sales record")</f>
        <v>sales record</v>
      </c>
      <c r="AC4964" t="s">
        <v>3</v>
      </c>
      <c r="AD4964">
        <v>41.818652</v>
      </c>
      <c r="AE4964">
        <v>-88.120137</v>
      </c>
      <c r="AF4964" s="5" t="str">
        <f>HYPERLINK("https://www.google.com/maps/search/?api=1&amp;query=41.818652,-88.120137","map")</f>
        <v>map</v>
      </c>
    </row>
    <row r="4965" spans="1:32">
      <c r="A4965" t="s">
        <v>5015</v>
      </c>
      <c r="B4965" t="s">
        <v>12548</v>
      </c>
      <c r="C4965" t="s">
        <v>15662</v>
      </c>
      <c r="D4965" t="s">
        <v>16206</v>
      </c>
      <c r="E4965" t="s">
        <v>16218</v>
      </c>
      <c r="F4965" t="s">
        <v>16221</v>
      </c>
      <c r="G4965" t="s">
        <v>16278</v>
      </c>
      <c r="H4965" t="s">
        <v>16277</v>
      </c>
      <c r="I4965" t="s">
        <v>16353</v>
      </c>
      <c r="J4965" t="s">
        <v>16386</v>
      </c>
      <c r="K4965">
        <v>0.142</v>
      </c>
      <c r="L4965">
        <v>6184</v>
      </c>
      <c r="N4965" t="s">
        <v>16393</v>
      </c>
      <c r="O4965" s="4">
        <v>56141</v>
      </c>
      <c r="P4965" s="4">
        <v>233607</v>
      </c>
      <c r="Q4965" s="4">
        <v>289748</v>
      </c>
      <c r="R4965" s="4">
        <v>869244</v>
      </c>
      <c r="S4965" t="s">
        <v>21255</v>
      </c>
      <c r="T4965" s="6">
        <v>45562</v>
      </c>
      <c r="U4965" s="4">
        <v>843847</v>
      </c>
      <c r="V4965" t="s">
        <v>16232</v>
      </c>
      <c r="W4965" t="s">
        <v>26514</v>
      </c>
      <c r="X4965" t="s">
        <v>3</v>
      </c>
      <c r="AA4965" s="5" t="str">
        <f>HYPERLINK("https://www.zillow.com/homes/2456-WEATHERBEE-LN-NAPERVILLE-IL-605631594_rb/","check listing")</f>
        <v>check listing</v>
      </c>
      <c r="AB4965" s="5" t="str">
        <f>HYPERLINK("https://propertylookup.dupagecounty.gov/Datalets/Datalet.aspx?UseSearch=no&amp;mode=sales&amp;pin=0532300090","sales record")</f>
        <v>sales record</v>
      </c>
      <c r="AC4965" t="s">
        <v>3</v>
      </c>
      <c r="AD4965">
        <v>41.818711</v>
      </c>
      <c r="AE4965">
        <v>-88.120306</v>
      </c>
      <c r="AF4965" s="5" t="str">
        <f>HYPERLINK("https://www.google.com/maps/search/?api=1&amp;query=41.818711,-88.120306","map")</f>
        <v>map</v>
      </c>
    </row>
    <row r="4966" spans="1:32">
      <c r="A4966" t="s">
        <v>5016</v>
      </c>
      <c r="B4966" t="s">
        <v>12549</v>
      </c>
      <c r="C4966" t="s">
        <v>15662</v>
      </c>
      <c r="D4966" t="s">
        <v>16206</v>
      </c>
      <c r="E4966" t="s">
        <v>16218</v>
      </c>
      <c r="F4966" t="s">
        <v>16221</v>
      </c>
      <c r="G4966" t="s">
        <v>16278</v>
      </c>
      <c r="H4966" t="s">
        <v>16277</v>
      </c>
      <c r="I4966" t="s">
        <v>16353</v>
      </c>
      <c r="J4966" t="s">
        <v>16386</v>
      </c>
      <c r="K4966">
        <v>0.142</v>
      </c>
      <c r="L4966">
        <v>6181</v>
      </c>
      <c r="N4966" t="s">
        <v>16393</v>
      </c>
      <c r="O4966" s="4">
        <v>56141</v>
      </c>
      <c r="P4966" s="4">
        <v>233607</v>
      </c>
      <c r="Q4966" s="4">
        <v>289748</v>
      </c>
      <c r="R4966" s="4">
        <v>869244</v>
      </c>
      <c r="S4966" t="s">
        <v>21256</v>
      </c>
      <c r="T4966" s="6">
        <v>45581</v>
      </c>
      <c r="U4966" s="4">
        <v>902704</v>
      </c>
      <c r="V4966" t="s">
        <v>16232</v>
      </c>
      <c r="W4966" t="s">
        <v>26515</v>
      </c>
      <c r="X4966" t="s">
        <v>3</v>
      </c>
      <c r="AA4966" s="5" t="str">
        <f>HYPERLINK("https://www.zillow.com/homes/2460-WEATHERBEE-LN-NAPERVILLE-IL-605631594_rb/","check listing")</f>
        <v>check listing</v>
      </c>
      <c r="AB4966" s="5" t="str">
        <f>HYPERLINK("https://propertylookup.dupagecounty.gov/Datalets/Datalet.aspx?UseSearch=no&amp;mode=sales&amp;pin=0532300089","sales record")</f>
        <v>sales record</v>
      </c>
      <c r="AC4966" t="s">
        <v>3</v>
      </c>
      <c r="AD4966">
        <v>41.81877</v>
      </c>
      <c r="AE4966">
        <v>-88.120475</v>
      </c>
      <c r="AF4966" s="5" t="str">
        <f>HYPERLINK("https://www.google.com/maps/search/?api=1&amp;query=41.81877,-88.120475","map")</f>
        <v>map</v>
      </c>
    </row>
    <row r="4967" spans="1:32">
      <c r="A4967" t="s">
        <v>5017</v>
      </c>
      <c r="B4967" t="s">
        <v>12550</v>
      </c>
      <c r="C4967" t="s">
        <v>15662</v>
      </c>
      <c r="D4967" t="s">
        <v>16206</v>
      </c>
      <c r="E4967" t="s">
        <v>16218</v>
      </c>
      <c r="F4967" t="s">
        <v>16221</v>
      </c>
      <c r="G4967" t="s">
        <v>16278</v>
      </c>
      <c r="H4967" t="s">
        <v>16277</v>
      </c>
      <c r="I4967" t="s">
        <v>16353</v>
      </c>
      <c r="J4967" t="s">
        <v>16386</v>
      </c>
      <c r="K4967">
        <v>0.142</v>
      </c>
      <c r="L4967">
        <v>6177</v>
      </c>
      <c r="N4967" t="s">
        <v>16393</v>
      </c>
      <c r="O4967" s="4">
        <v>56146</v>
      </c>
      <c r="P4967" s="4">
        <v>244732</v>
      </c>
      <c r="Q4967" s="4">
        <v>300878</v>
      </c>
      <c r="R4967" s="4">
        <v>902634</v>
      </c>
      <c r="S4967" t="s">
        <v>21257</v>
      </c>
      <c r="T4967" s="6">
        <v>45509</v>
      </c>
      <c r="U4967" s="4">
        <v>836053</v>
      </c>
      <c r="V4967" t="s">
        <v>16232</v>
      </c>
      <c r="W4967" t="s">
        <v>26516</v>
      </c>
      <c r="X4967" t="s">
        <v>3</v>
      </c>
      <c r="AA4967" s="5" t="str">
        <f>HYPERLINK("https://www.zillow.com/homes/2468-WEATHERBEE-LN-NAPERVILLE-IL-605631594_rb/","check listing")</f>
        <v>check listing</v>
      </c>
      <c r="AB4967" s="5" t="str">
        <f>HYPERLINK("https://propertylookup.dupagecounty.gov/Datalets/Datalet.aspx?UseSearch=no&amp;mode=sales&amp;pin=0532300087","sales record")</f>
        <v>sales record</v>
      </c>
      <c r="AC4967" t="s">
        <v>3</v>
      </c>
      <c r="AD4967">
        <v>41.818947</v>
      </c>
      <c r="AE4967">
        <v>-88.120777</v>
      </c>
      <c r="AF4967" s="5" t="str">
        <f>HYPERLINK("https://www.google.com/maps/search/?api=1&amp;query=41.818947,-88.120777","map")</f>
        <v>map</v>
      </c>
    </row>
    <row r="4968" spans="1:32">
      <c r="A4968" t="s">
        <v>5018</v>
      </c>
      <c r="B4968" t="s">
        <v>12551</v>
      </c>
      <c r="C4968" t="s">
        <v>15662</v>
      </c>
      <c r="D4968" t="s">
        <v>16206</v>
      </c>
      <c r="E4968" t="s">
        <v>16218</v>
      </c>
      <c r="F4968" t="s">
        <v>16221</v>
      </c>
      <c r="G4968" t="s">
        <v>16278</v>
      </c>
      <c r="H4968" t="s">
        <v>16277</v>
      </c>
      <c r="I4968" t="s">
        <v>16353</v>
      </c>
      <c r="J4968" t="s">
        <v>16386</v>
      </c>
      <c r="K4968">
        <v>0.142</v>
      </c>
      <c r="L4968">
        <v>6176</v>
      </c>
      <c r="N4968" t="s">
        <v>16393</v>
      </c>
      <c r="O4968" s="4">
        <v>56141</v>
      </c>
      <c r="P4968" s="4">
        <v>219537</v>
      </c>
      <c r="Q4968" s="4">
        <v>275678</v>
      </c>
      <c r="R4968" s="4">
        <v>827034</v>
      </c>
      <c r="S4968" t="s">
        <v>21258</v>
      </c>
      <c r="T4968" s="6">
        <v>45547</v>
      </c>
      <c r="U4968" s="4">
        <v>776698</v>
      </c>
      <c r="V4968" t="s">
        <v>16232</v>
      </c>
      <c r="W4968" t="s">
        <v>26517</v>
      </c>
      <c r="X4968" t="s">
        <v>3</v>
      </c>
      <c r="AA4968" s="5" t="str">
        <f>HYPERLINK("https://www.zillow.com/homes/2464-WEATHERBEE-LN-NAPERVILLE-IL-605631594_rb/","check listing")</f>
        <v>check listing</v>
      </c>
      <c r="AB4968" s="5" t="str">
        <f>HYPERLINK("https://propertylookup.dupagecounty.gov/Datalets/Datalet.aspx?UseSearch=no&amp;mode=sales&amp;pin=0532300088","sales record")</f>
        <v>sales record</v>
      </c>
      <c r="AC4968" t="s">
        <v>3</v>
      </c>
      <c r="AD4968">
        <v>41.81883</v>
      </c>
      <c r="AE4968">
        <v>-88.120645</v>
      </c>
      <c r="AF4968" s="5" t="str">
        <f>HYPERLINK("https://www.google.com/maps/search/?api=1&amp;query=41.81883,-88.120645","map")</f>
        <v>map</v>
      </c>
    </row>
    <row r="4969" spans="1:32">
      <c r="A4969" t="s">
        <v>5019</v>
      </c>
      <c r="B4969" t="s">
        <v>12552</v>
      </c>
      <c r="C4969" t="s">
        <v>15662</v>
      </c>
      <c r="D4969" t="s">
        <v>16206</v>
      </c>
      <c r="E4969" t="s">
        <v>16218</v>
      </c>
      <c r="F4969" t="s">
        <v>16221</v>
      </c>
      <c r="G4969" t="s">
        <v>16278</v>
      </c>
      <c r="H4969" t="s">
        <v>16277</v>
      </c>
      <c r="I4969" t="s">
        <v>16353</v>
      </c>
      <c r="J4969" t="s">
        <v>16386</v>
      </c>
      <c r="K4969">
        <v>0.142</v>
      </c>
      <c r="L4969">
        <v>6173</v>
      </c>
      <c r="N4969" t="s">
        <v>16393</v>
      </c>
      <c r="O4969" s="4">
        <v>56146</v>
      </c>
      <c r="P4969" s="4">
        <v>232581</v>
      </c>
      <c r="Q4969" s="4">
        <v>288727</v>
      </c>
      <c r="R4969" s="4">
        <v>866181</v>
      </c>
      <c r="S4969" t="s">
        <v>21259</v>
      </c>
      <c r="T4969" s="6">
        <v>45489</v>
      </c>
      <c r="U4969" s="4">
        <v>872966</v>
      </c>
      <c r="V4969" t="s">
        <v>16232</v>
      </c>
      <c r="W4969" t="s">
        <v>26518</v>
      </c>
      <c r="X4969" t="s">
        <v>3</v>
      </c>
      <c r="AA4969" s="5" t="str">
        <f>HYPERLINK("https://www.zillow.com/homes/2472-WEATHERBEE-LN-NAPERVILLE-IL-605631594_rb/","check listing")</f>
        <v>check listing</v>
      </c>
      <c r="AB4969" s="5" t="str">
        <f>HYPERLINK("https://propertylookup.dupagecounty.gov/Datalets/Datalet.aspx?UseSearch=no&amp;mode=sales&amp;pin=0532300086","sales record")</f>
        <v>sales record</v>
      </c>
      <c r="AC4969" t="s">
        <v>3</v>
      </c>
      <c r="AD4969">
        <v>41.818977</v>
      </c>
      <c r="AE4969">
        <v>-88.120965</v>
      </c>
      <c r="AF4969" s="5" t="str">
        <f>HYPERLINK("https://www.google.com/maps/search/?api=1&amp;query=41.818977,-88.120965","map")</f>
        <v>map</v>
      </c>
    </row>
    <row r="4970" spans="1:32">
      <c r="A4970" t="s">
        <v>5020</v>
      </c>
      <c r="B4970" t="s">
        <v>12553</v>
      </c>
      <c r="C4970" t="s">
        <v>15662</v>
      </c>
      <c r="D4970" t="s">
        <v>16206</v>
      </c>
      <c r="E4970" t="s">
        <v>16218</v>
      </c>
      <c r="F4970" t="s">
        <v>16221</v>
      </c>
      <c r="G4970" t="s">
        <v>16278</v>
      </c>
      <c r="H4970" t="s">
        <v>16277</v>
      </c>
      <c r="I4970" t="s">
        <v>16353</v>
      </c>
      <c r="J4970" t="s">
        <v>16386</v>
      </c>
      <c r="K4970">
        <v>0.141</v>
      </c>
      <c r="L4970">
        <v>6163</v>
      </c>
      <c r="N4970" t="s">
        <v>16393</v>
      </c>
      <c r="O4970" s="4">
        <v>56146</v>
      </c>
      <c r="P4970" s="4">
        <v>225267</v>
      </c>
      <c r="Q4970" s="4">
        <v>281413</v>
      </c>
      <c r="R4970" s="4">
        <v>844239</v>
      </c>
      <c r="S4970" t="s">
        <v>21260</v>
      </c>
      <c r="T4970" s="6">
        <v>45468</v>
      </c>
      <c r="U4970" s="4">
        <v>926998</v>
      </c>
      <c r="V4970" t="s">
        <v>16232</v>
      </c>
      <c r="W4970" t="s">
        <v>26519</v>
      </c>
      <c r="X4970" t="s">
        <v>3</v>
      </c>
      <c r="AA4970" s="5" t="str">
        <f>HYPERLINK("https://www.zillow.com/homes/2476-WEATHERBEE-LN-NAPERVILLE-IL-605631594_rb/","check listing")</f>
        <v>check listing</v>
      </c>
      <c r="AB4970" s="5" t="str">
        <f>HYPERLINK("https://propertylookup.dupagecounty.gov/Datalets/Datalet.aspx?UseSearch=no&amp;mode=sales&amp;pin=0532300085","sales record")</f>
        <v>sales record</v>
      </c>
      <c r="AC4970" t="s">
        <v>3</v>
      </c>
      <c r="AD4970">
        <v>41.819008</v>
      </c>
      <c r="AE4970">
        <v>-88.121152</v>
      </c>
      <c r="AF4970" s="5" t="str">
        <f>HYPERLINK("https://www.google.com/maps/search/?api=1&amp;query=41.819008,-88.121152","map")</f>
        <v>map</v>
      </c>
    </row>
    <row r="4971" spans="1:32">
      <c r="A4971" t="s">
        <v>5021</v>
      </c>
      <c r="B4971" t="s">
        <v>12554</v>
      </c>
      <c r="C4971" t="s">
        <v>15662</v>
      </c>
      <c r="D4971" t="s">
        <v>16206</v>
      </c>
      <c r="E4971" t="s">
        <v>16218</v>
      </c>
      <c r="F4971" t="s">
        <v>16221</v>
      </c>
      <c r="G4971" t="s">
        <v>16278</v>
      </c>
      <c r="H4971" t="s">
        <v>16277</v>
      </c>
      <c r="I4971" t="s">
        <v>16353</v>
      </c>
      <c r="J4971" t="s">
        <v>16386</v>
      </c>
      <c r="K4971">
        <v>0.141</v>
      </c>
      <c r="L4971">
        <v>6160</v>
      </c>
      <c r="N4971" t="s">
        <v>16393</v>
      </c>
      <c r="O4971" s="4">
        <v>56146</v>
      </c>
      <c r="P4971" s="4">
        <v>238916</v>
      </c>
      <c r="Q4971" s="4">
        <v>295062</v>
      </c>
      <c r="R4971" s="4">
        <v>885186</v>
      </c>
      <c r="S4971" t="s">
        <v>21261</v>
      </c>
      <c r="T4971" s="6">
        <v>45432</v>
      </c>
      <c r="U4971" s="4">
        <v>867021</v>
      </c>
      <c r="V4971" t="s">
        <v>16232</v>
      </c>
      <c r="W4971" t="s">
        <v>26520</v>
      </c>
      <c r="X4971" t="s">
        <v>3</v>
      </c>
      <c r="AA4971" s="5" t="str">
        <f>HYPERLINK("https://www.zillow.com/homes/2480-WEATHERBEE-LN-NAPERVILLE-IL-605631594_rb/","check listing")</f>
        <v>check listing</v>
      </c>
      <c r="AB4971" s="5" t="str">
        <f>HYPERLINK("https://propertylookup.dupagecounty.gov/Datalets/Datalet.aspx?UseSearch=no&amp;mode=sales&amp;pin=0532300084","sales record")</f>
        <v>sales record</v>
      </c>
      <c r="AC4971" t="s">
        <v>3</v>
      </c>
      <c r="AD4971">
        <v>41.819067</v>
      </c>
      <c r="AE4971">
        <v>-88.12132099999999</v>
      </c>
      <c r="AF4971" s="5" t="str">
        <f>HYPERLINK("https://www.google.com/maps/search/?api=1&amp;query=41.819067,-88.121321","map")</f>
        <v>map</v>
      </c>
    </row>
    <row r="4972" spans="1:32">
      <c r="A4972" t="s">
        <v>5022</v>
      </c>
      <c r="B4972" t="s">
        <v>12555</v>
      </c>
      <c r="C4972" t="s">
        <v>15662</v>
      </c>
      <c r="D4972" t="s">
        <v>16206</v>
      </c>
      <c r="E4972" t="s">
        <v>16218</v>
      </c>
      <c r="F4972" t="s">
        <v>16221</v>
      </c>
      <c r="G4972" t="s">
        <v>16278</v>
      </c>
      <c r="H4972" t="s">
        <v>16277</v>
      </c>
      <c r="I4972" t="s">
        <v>16353</v>
      </c>
      <c r="J4972" t="s">
        <v>16386</v>
      </c>
      <c r="K4972">
        <v>0.141</v>
      </c>
      <c r="L4972">
        <v>6154</v>
      </c>
      <c r="N4972" t="s">
        <v>16393</v>
      </c>
      <c r="O4972" s="4">
        <v>56146</v>
      </c>
      <c r="P4972" s="4">
        <v>244704</v>
      </c>
      <c r="Q4972" s="4">
        <v>300850</v>
      </c>
      <c r="R4972" s="4">
        <v>902550</v>
      </c>
      <c r="S4972" t="s">
        <v>21262</v>
      </c>
      <c r="T4972" s="6">
        <v>45320</v>
      </c>
      <c r="U4972" s="4">
        <v>939366</v>
      </c>
      <c r="V4972" t="s">
        <v>16232</v>
      </c>
      <c r="W4972" t="s">
        <v>26521</v>
      </c>
      <c r="X4972" t="s">
        <v>3</v>
      </c>
      <c r="AA4972" s="5" t="str">
        <f>HYPERLINK("https://www.zillow.com/homes/2504-WEATHERBEE-LN-NAPERVILLE-IL-605631594_rb/","check listing")</f>
        <v>check listing</v>
      </c>
      <c r="AB4972" s="5" t="str">
        <f>HYPERLINK("https://propertylookup.dupagecounty.gov/Datalets/Datalet.aspx?UseSearch=no&amp;mode=sales&amp;pin=0532300083","sales record")</f>
        <v>sales record</v>
      </c>
      <c r="AC4972" t="s">
        <v>3</v>
      </c>
      <c r="AD4972">
        <v>41.819127</v>
      </c>
      <c r="AE4972">
        <v>-88.12148999999999</v>
      </c>
      <c r="AF4972" s="5" t="str">
        <f>HYPERLINK("https://www.google.com/maps/search/?api=1&amp;query=41.819127,-88.12149","map")</f>
        <v>map</v>
      </c>
    </row>
    <row r="4973" spans="1:32">
      <c r="A4973" t="s">
        <v>5023</v>
      </c>
      <c r="B4973" t="s">
        <v>12556</v>
      </c>
      <c r="C4973" t="s">
        <v>15662</v>
      </c>
      <c r="D4973" t="s">
        <v>16206</v>
      </c>
      <c r="E4973" t="s">
        <v>16218</v>
      </c>
      <c r="F4973" t="s">
        <v>16221</v>
      </c>
      <c r="G4973" t="s">
        <v>16278</v>
      </c>
      <c r="H4973" t="s">
        <v>16277</v>
      </c>
      <c r="I4973" t="s">
        <v>16353</v>
      </c>
      <c r="J4973" t="s">
        <v>16386</v>
      </c>
      <c r="K4973">
        <v>0.141</v>
      </c>
      <c r="L4973">
        <v>6147</v>
      </c>
      <c r="N4973" t="s">
        <v>16393</v>
      </c>
      <c r="O4973" s="4">
        <v>56146</v>
      </c>
      <c r="P4973" s="4">
        <v>197008</v>
      </c>
      <c r="Q4973" s="4">
        <v>253154</v>
      </c>
      <c r="R4973" s="4">
        <v>759462</v>
      </c>
      <c r="S4973" t="s">
        <v>21263</v>
      </c>
      <c r="T4973" s="6">
        <v>45824</v>
      </c>
      <c r="U4973" s="4">
        <v>757000</v>
      </c>
      <c r="V4973" t="s">
        <v>23739</v>
      </c>
      <c r="W4973" t="s">
        <v>26522</v>
      </c>
      <c r="X4973" t="s">
        <v>3</v>
      </c>
      <c r="AA4973" s="5" t="str">
        <f>HYPERLINK("https://www.zillow.com/homes/2508-WEATHERBEE-LN-NAPERVILLE-IL-605631594_rb/","check listing")</f>
        <v>check listing</v>
      </c>
      <c r="AB4973" s="5" t="str">
        <f>HYPERLINK("https://propertylookup.dupagecounty.gov/Datalets/Datalet.aspx?UseSearch=no&amp;mode=sales&amp;pin=0532300082","sales record")</f>
        <v>sales record</v>
      </c>
      <c r="AC4973" t="s">
        <v>3</v>
      </c>
      <c r="AD4973">
        <v>41.819186</v>
      </c>
      <c r="AE4973">
        <v>-88.12165899999999</v>
      </c>
      <c r="AF4973" s="5" t="str">
        <f>HYPERLINK("https://www.google.com/maps/search/?api=1&amp;query=41.819186,-88.121659","map")</f>
        <v>map</v>
      </c>
    </row>
    <row r="4974" spans="1:32">
      <c r="A4974" t="s">
        <v>5024</v>
      </c>
      <c r="B4974" t="s">
        <v>12557</v>
      </c>
      <c r="C4974" t="s">
        <v>15662</v>
      </c>
      <c r="D4974" t="s">
        <v>16206</v>
      </c>
      <c r="E4974" t="s">
        <v>16218</v>
      </c>
      <c r="F4974" t="s">
        <v>16221</v>
      </c>
      <c r="G4974" t="s">
        <v>16278</v>
      </c>
      <c r="H4974" t="s">
        <v>16277</v>
      </c>
      <c r="I4974" t="s">
        <v>16353</v>
      </c>
      <c r="J4974" t="s">
        <v>16386</v>
      </c>
      <c r="K4974">
        <v>0.141</v>
      </c>
      <c r="L4974">
        <v>6140</v>
      </c>
      <c r="N4974" t="s">
        <v>16393</v>
      </c>
      <c r="O4974" s="4">
        <v>56146</v>
      </c>
      <c r="P4974" s="4">
        <v>204249</v>
      </c>
      <c r="Q4974" s="4">
        <v>260395</v>
      </c>
      <c r="R4974" s="4">
        <v>781185</v>
      </c>
      <c r="S4974" t="s">
        <v>21264</v>
      </c>
      <c r="T4974" s="6">
        <v>45243</v>
      </c>
      <c r="U4974" s="4">
        <v>865189</v>
      </c>
      <c r="V4974" t="s">
        <v>16232</v>
      </c>
      <c r="W4974" t="s">
        <v>26523</v>
      </c>
      <c r="X4974" t="s">
        <v>3</v>
      </c>
      <c r="AA4974" s="5" t="str">
        <f>HYPERLINK("https://www.zillow.com/homes/2512-WEATHERBEE-LN-NAPERVILLE-IL-605631594_rb/","check listing")</f>
        <v>check listing</v>
      </c>
      <c r="AB4974" s="5" t="str">
        <f>HYPERLINK("https://propertylookup.dupagecounty.gov/Datalets/Datalet.aspx?UseSearch=no&amp;mode=sales&amp;pin=0532300081","sales record")</f>
        <v>sales record</v>
      </c>
      <c r="AC4974" t="s">
        <v>3</v>
      </c>
      <c r="AD4974">
        <v>41.819245</v>
      </c>
      <c r="AE4974">
        <v>-88.12182799999999</v>
      </c>
      <c r="AF4974" s="5" t="str">
        <f>HYPERLINK("https://www.google.com/maps/search/?api=1&amp;query=41.819245,-88.121828","map")</f>
        <v>map</v>
      </c>
    </row>
    <row r="4975" spans="1:32">
      <c r="A4975" t="s">
        <v>5025</v>
      </c>
      <c r="B4975" t="s">
        <v>12558</v>
      </c>
      <c r="C4975" t="s">
        <v>15662</v>
      </c>
      <c r="D4975" t="s">
        <v>16206</v>
      </c>
      <c r="E4975" t="s">
        <v>16218</v>
      </c>
      <c r="F4975" t="s">
        <v>16221</v>
      </c>
      <c r="G4975" t="s">
        <v>16278</v>
      </c>
      <c r="H4975" t="s">
        <v>16277</v>
      </c>
      <c r="I4975" t="s">
        <v>16353</v>
      </c>
      <c r="J4975" t="s">
        <v>16386</v>
      </c>
      <c r="K4975">
        <v>0.141</v>
      </c>
      <c r="L4975">
        <v>6136</v>
      </c>
      <c r="N4975" t="s">
        <v>16393</v>
      </c>
      <c r="O4975" s="4">
        <v>56146</v>
      </c>
      <c r="P4975" s="4">
        <v>220179</v>
      </c>
      <c r="Q4975" s="4">
        <v>276325</v>
      </c>
      <c r="R4975" s="4">
        <v>828975</v>
      </c>
      <c r="S4975" t="s">
        <v>21265</v>
      </c>
      <c r="T4975" s="6">
        <v>45211</v>
      </c>
      <c r="U4975" s="4">
        <v>823368</v>
      </c>
      <c r="V4975" t="s">
        <v>16232</v>
      </c>
      <c r="W4975" t="s">
        <v>26524</v>
      </c>
      <c r="X4975" t="s">
        <v>3</v>
      </c>
      <c r="AA4975" s="5" t="str">
        <f>HYPERLINK("https://www.zillow.com/homes/2520-WEATHERBEE-LN-NAPERVILLE-IL-605631594_rb/","check listing")</f>
        <v>check listing</v>
      </c>
      <c r="AB4975" s="5" t="str">
        <f>HYPERLINK("https://propertylookup.dupagecounty.gov/Datalets/Datalet.aspx?UseSearch=no&amp;mode=sales&amp;pin=0532300079","sales record")</f>
        <v>sales record</v>
      </c>
      <c r="AC4975" t="s">
        <v>3</v>
      </c>
      <c r="AD4975">
        <v>41.819413</v>
      </c>
      <c r="AE4975">
        <v>-88.12214400000001</v>
      </c>
      <c r="AF4975" s="5" t="str">
        <f>HYPERLINK("https://www.google.com/maps/search/?api=1&amp;query=41.819413,-88.122144","map")</f>
        <v>map</v>
      </c>
    </row>
    <row r="4976" spans="1:32">
      <c r="A4976" t="s">
        <v>5026</v>
      </c>
      <c r="B4976" t="s">
        <v>12559</v>
      </c>
      <c r="C4976" t="s">
        <v>15475</v>
      </c>
      <c r="D4976" t="s">
        <v>16206</v>
      </c>
      <c r="E4976" t="s">
        <v>16218</v>
      </c>
      <c r="F4976" t="s">
        <v>16221</v>
      </c>
      <c r="G4976" t="s">
        <v>16277</v>
      </c>
      <c r="H4976" t="s">
        <v>16277</v>
      </c>
      <c r="I4976" t="s">
        <v>16353</v>
      </c>
      <c r="J4976" t="s">
        <v>16386</v>
      </c>
      <c r="K4976">
        <v>0.141</v>
      </c>
      <c r="L4976">
        <v>6126</v>
      </c>
      <c r="N4976" t="s">
        <v>16393</v>
      </c>
      <c r="O4976" s="4">
        <v>72290</v>
      </c>
      <c r="P4976" s="4">
        <v>191265</v>
      </c>
      <c r="Q4976" s="4">
        <v>263555</v>
      </c>
      <c r="R4976" s="4">
        <v>790665</v>
      </c>
      <c r="S4976" t="s">
        <v>21266</v>
      </c>
      <c r="X4976" t="s">
        <v>3</v>
      </c>
      <c r="AA4976" s="5" t="str">
        <f>HYPERLINK("https://www.zillow.com/homes/204-N-HUFFMAN-ST-NAPERVILLE-IL-60540_rb/","check listing")</f>
        <v>check listing</v>
      </c>
      <c r="AB4976" s="5" t="str">
        <f>HYPERLINK("https://propertylookup.dupagecounty.gov/Datalets/Datalet.aspx?UseSearch=no&amp;mode=sales&amp;pin=0818211020","sales record")</f>
        <v>sales record</v>
      </c>
      <c r="AC4976" t="s">
        <v>3</v>
      </c>
      <c r="AD4976">
        <v>41.777376</v>
      </c>
      <c r="AE4976">
        <v>-88.13493</v>
      </c>
      <c r="AF4976" s="5" t="str">
        <f>HYPERLINK("https://www.google.com/maps/search/?api=1&amp;query=41.777376,-88.13493","map")</f>
        <v>map</v>
      </c>
    </row>
    <row r="4977" spans="1:32">
      <c r="A4977" t="s">
        <v>5027</v>
      </c>
      <c r="B4977" t="s">
        <v>12560</v>
      </c>
      <c r="C4977" t="s">
        <v>15662</v>
      </c>
      <c r="D4977" t="s">
        <v>16206</v>
      </c>
      <c r="E4977" t="s">
        <v>16218</v>
      </c>
      <c r="F4977" t="s">
        <v>16221</v>
      </c>
      <c r="G4977" t="s">
        <v>16278</v>
      </c>
      <c r="H4977" t="s">
        <v>16277</v>
      </c>
      <c r="I4977" t="s">
        <v>16353</v>
      </c>
      <c r="J4977" t="s">
        <v>16386</v>
      </c>
      <c r="K4977">
        <v>0.141</v>
      </c>
      <c r="L4977">
        <v>6122</v>
      </c>
      <c r="N4977" t="s">
        <v>16393</v>
      </c>
      <c r="O4977" s="4">
        <v>56141</v>
      </c>
      <c r="P4977" s="4">
        <v>168554</v>
      </c>
      <c r="Q4977" s="4">
        <v>224695</v>
      </c>
      <c r="R4977" s="4">
        <v>674085</v>
      </c>
      <c r="S4977" t="s">
        <v>21267</v>
      </c>
      <c r="T4977" s="6">
        <v>45688</v>
      </c>
      <c r="U4977" s="4">
        <v>772498</v>
      </c>
      <c r="V4977" t="s">
        <v>16232</v>
      </c>
      <c r="W4977" t="s">
        <v>26525</v>
      </c>
      <c r="X4977" t="s">
        <v>3</v>
      </c>
      <c r="AA4977" s="5" t="str">
        <f>HYPERLINK("https://www.zillow.com/homes/2316-WEATHERBEE-LN-NAPERVILLE-IL-605631594_rb/","check listing")</f>
        <v>check listing</v>
      </c>
      <c r="AB4977" s="5" t="str">
        <f>HYPERLINK("https://propertylookup.dupagecounty.gov/Datalets/Datalet.aspx?UseSearch=no&amp;mode=sales&amp;pin=0532300106","sales record")</f>
        <v>sales record</v>
      </c>
      <c r="AC4977" t="s">
        <v>3</v>
      </c>
      <c r="AD4977">
        <v>41.816735</v>
      </c>
      <c r="AE4977">
        <v>-88.118414</v>
      </c>
      <c r="AF4977" s="5" t="str">
        <f>HYPERLINK("https://www.google.com/maps/search/?api=1&amp;query=41.816735,-88.118414","map")</f>
        <v>map</v>
      </c>
    </row>
    <row r="4978" spans="1:32">
      <c r="A4978" t="s">
        <v>5028</v>
      </c>
      <c r="B4978" t="s">
        <v>12561</v>
      </c>
      <c r="C4978" t="s">
        <v>15662</v>
      </c>
      <c r="D4978" t="s">
        <v>16206</v>
      </c>
      <c r="E4978" t="s">
        <v>16218</v>
      </c>
      <c r="F4978" t="s">
        <v>16221</v>
      </c>
      <c r="G4978" t="s">
        <v>16278</v>
      </c>
      <c r="H4978" t="s">
        <v>16277</v>
      </c>
      <c r="I4978" t="s">
        <v>16353</v>
      </c>
      <c r="J4978" t="s">
        <v>16386</v>
      </c>
      <c r="K4978">
        <v>0.141</v>
      </c>
      <c r="L4978">
        <v>6121</v>
      </c>
      <c r="N4978" t="s">
        <v>16393</v>
      </c>
      <c r="O4978" s="4">
        <v>56146</v>
      </c>
      <c r="P4978" s="4">
        <v>240493</v>
      </c>
      <c r="Q4978" s="4">
        <v>296639</v>
      </c>
      <c r="R4978" s="4">
        <v>889917</v>
      </c>
      <c r="S4978" t="s">
        <v>21268</v>
      </c>
      <c r="T4978" s="6">
        <v>44945</v>
      </c>
      <c r="U4978" s="4">
        <v>792920</v>
      </c>
      <c r="V4978" t="s">
        <v>16232</v>
      </c>
      <c r="W4978" t="s">
        <v>26526</v>
      </c>
      <c r="X4978" t="s">
        <v>3</v>
      </c>
      <c r="AA4978" s="5" t="str">
        <f>HYPERLINK("https://www.zillow.com/homes/1232-SNAPPER-RD-NAPERVILLE-IL-605631594_rb/","check listing")</f>
        <v>check listing</v>
      </c>
      <c r="AB4978" s="5" t="str">
        <f>HYPERLINK("https://propertylookup.dupagecounty.gov/Datalets/Datalet.aspx?UseSearch=no&amp;mode=sales&amp;pin=0532307008","sales record")</f>
        <v>sales record</v>
      </c>
      <c r="AC4978" t="s">
        <v>3</v>
      </c>
      <c r="AD4978">
        <v>41.816723</v>
      </c>
      <c r="AE4978">
        <v>-88.121011</v>
      </c>
      <c r="AF4978" s="5" t="str">
        <f>HYPERLINK("https://www.google.com/maps/search/?api=1&amp;query=41.816723,-88.121011","map")</f>
        <v>map</v>
      </c>
    </row>
    <row r="4979" spans="1:32">
      <c r="A4979" t="s">
        <v>5029</v>
      </c>
      <c r="B4979" t="s">
        <v>12562</v>
      </c>
      <c r="C4979" t="s">
        <v>15662</v>
      </c>
      <c r="D4979" t="s">
        <v>16206</v>
      </c>
      <c r="E4979" t="s">
        <v>16218</v>
      </c>
      <c r="F4979" t="s">
        <v>16221</v>
      </c>
      <c r="G4979" t="s">
        <v>16278</v>
      </c>
      <c r="H4979" t="s">
        <v>16277</v>
      </c>
      <c r="I4979" t="s">
        <v>16353</v>
      </c>
      <c r="J4979" t="s">
        <v>16386</v>
      </c>
      <c r="K4979">
        <v>0.141</v>
      </c>
      <c r="L4979">
        <v>6121</v>
      </c>
      <c r="N4979" t="s">
        <v>16393</v>
      </c>
      <c r="O4979" s="4">
        <v>56146</v>
      </c>
      <c r="P4979" s="4">
        <v>241931</v>
      </c>
      <c r="Q4979" s="4">
        <v>298077</v>
      </c>
      <c r="R4979" s="4">
        <v>894231</v>
      </c>
      <c r="S4979" t="s">
        <v>21269</v>
      </c>
      <c r="T4979" s="6">
        <v>44992</v>
      </c>
      <c r="U4979" s="4">
        <v>796759</v>
      </c>
      <c r="V4979" t="s">
        <v>16232</v>
      </c>
      <c r="W4979" t="s">
        <v>26527</v>
      </c>
      <c r="X4979" t="s">
        <v>3</v>
      </c>
      <c r="AA4979" s="5" t="str">
        <f>HYPERLINK("https://www.zillow.com/homes/1224-SNAPPER-RD-NAPERVILLE-IL-605631594_rb/","check listing")</f>
        <v>check listing</v>
      </c>
      <c r="AB4979" s="5" t="str">
        <f>HYPERLINK("https://propertylookup.dupagecounty.gov/Datalets/Datalet.aspx?UseSearch=no&amp;mode=sales&amp;pin=0532307006","sales record")</f>
        <v>sales record</v>
      </c>
      <c r="AC4979" t="s">
        <v>3</v>
      </c>
      <c r="AD4979">
        <v>41.816769</v>
      </c>
      <c r="AE4979">
        <v>-88.121381</v>
      </c>
      <c r="AF4979" s="5" t="str">
        <f>HYPERLINK("https://www.google.com/maps/search/?api=1&amp;query=41.816769,-88.121381","map")</f>
        <v>map</v>
      </c>
    </row>
    <row r="4980" spans="1:32">
      <c r="A4980" t="s">
        <v>5030</v>
      </c>
      <c r="B4980" t="s">
        <v>12563</v>
      </c>
      <c r="C4980" t="s">
        <v>15662</v>
      </c>
      <c r="D4980" t="s">
        <v>16206</v>
      </c>
      <c r="E4980" t="s">
        <v>16218</v>
      </c>
      <c r="F4980" t="s">
        <v>16221</v>
      </c>
      <c r="G4980" t="s">
        <v>16278</v>
      </c>
      <c r="H4980" t="s">
        <v>16277</v>
      </c>
      <c r="I4980" t="s">
        <v>16353</v>
      </c>
      <c r="J4980" t="s">
        <v>16386</v>
      </c>
      <c r="K4980">
        <v>0.141</v>
      </c>
      <c r="L4980">
        <v>6121</v>
      </c>
      <c r="N4980" t="s">
        <v>16393</v>
      </c>
      <c r="O4980" s="4">
        <v>56146</v>
      </c>
      <c r="P4980" s="4">
        <v>244640</v>
      </c>
      <c r="Q4980" s="4">
        <v>300786</v>
      </c>
      <c r="R4980" s="4">
        <v>902358</v>
      </c>
      <c r="S4980" t="s">
        <v>21270</v>
      </c>
      <c r="T4980" s="6">
        <v>44915</v>
      </c>
      <c r="U4980" s="4">
        <v>742185</v>
      </c>
      <c r="V4980" t="s">
        <v>16232</v>
      </c>
      <c r="W4980" t="s">
        <v>26528</v>
      </c>
      <c r="X4980" t="s">
        <v>3</v>
      </c>
      <c r="AA4980" s="5" t="str">
        <f>HYPERLINK("https://www.zillow.com/homes/1240-SNAPPER-RD-NAPERVILLE-IL-605631594_rb/","check listing")</f>
        <v>check listing</v>
      </c>
      <c r="AB4980" s="5" t="str">
        <f>HYPERLINK("https://propertylookup.dupagecounty.gov/Datalets/Datalet.aspx?UseSearch=no&amp;mode=sales&amp;pin=0532307010","sales record")</f>
        <v>sales record</v>
      </c>
      <c r="AC4980" t="s">
        <v>3</v>
      </c>
      <c r="AD4980">
        <v>41.816708</v>
      </c>
      <c r="AE4980">
        <v>-88.120637</v>
      </c>
      <c r="AF4980" s="5" t="str">
        <f>HYPERLINK("https://www.google.com/maps/search/?api=1&amp;query=41.816708,-88.120637","map")</f>
        <v>map</v>
      </c>
    </row>
    <row r="4981" spans="1:32">
      <c r="A4981" t="s">
        <v>5031</v>
      </c>
      <c r="B4981" t="s">
        <v>12564</v>
      </c>
      <c r="C4981" t="s">
        <v>15662</v>
      </c>
      <c r="D4981" t="s">
        <v>16206</v>
      </c>
      <c r="E4981" t="s">
        <v>16218</v>
      </c>
      <c r="F4981" t="s">
        <v>16221</v>
      </c>
      <c r="G4981" t="s">
        <v>16278</v>
      </c>
      <c r="H4981" t="s">
        <v>16277</v>
      </c>
      <c r="I4981" t="s">
        <v>16353</v>
      </c>
      <c r="J4981" t="s">
        <v>16386</v>
      </c>
      <c r="K4981">
        <v>0.141</v>
      </c>
      <c r="L4981">
        <v>6121</v>
      </c>
      <c r="N4981" t="s">
        <v>16393</v>
      </c>
      <c r="O4981" s="4">
        <v>56146</v>
      </c>
      <c r="P4981" s="4">
        <v>193243</v>
      </c>
      <c r="Q4981" s="4">
        <v>249389</v>
      </c>
      <c r="R4981" s="4">
        <v>748167</v>
      </c>
      <c r="S4981" t="s">
        <v>21271</v>
      </c>
      <c r="T4981" s="6">
        <v>45107</v>
      </c>
      <c r="U4981" s="4">
        <v>700661</v>
      </c>
      <c r="V4981" t="s">
        <v>16232</v>
      </c>
      <c r="W4981" t="s">
        <v>26529</v>
      </c>
      <c r="X4981" t="s">
        <v>3</v>
      </c>
      <c r="AA4981" s="5" t="str">
        <f>HYPERLINK("https://www.zillow.com/homes/1208-SNAPPER-RD-NAPERVILLE-IL-605631594_rb/","check listing")</f>
        <v>check listing</v>
      </c>
      <c r="AB4981" s="5" t="str">
        <f>HYPERLINK("https://propertylookup.dupagecounty.gov/Datalets/Datalet.aspx?UseSearch=no&amp;mode=sales&amp;pin=0532307002","sales record")</f>
        <v>sales record</v>
      </c>
      <c r="AC4981" t="s">
        <v>3</v>
      </c>
      <c r="AD4981">
        <v>41.81683</v>
      </c>
      <c r="AE4981">
        <v>-88.122125</v>
      </c>
      <c r="AF4981" s="5" t="str">
        <f>HYPERLINK("https://www.google.com/maps/search/?api=1&amp;query=41.81683,-88.122125","map")</f>
        <v>map</v>
      </c>
    </row>
    <row r="4982" spans="1:32">
      <c r="A4982" t="s">
        <v>5032</v>
      </c>
      <c r="B4982" t="s">
        <v>12565</v>
      </c>
      <c r="C4982" t="s">
        <v>15662</v>
      </c>
      <c r="D4982" t="s">
        <v>16206</v>
      </c>
      <c r="E4982" t="s">
        <v>16218</v>
      </c>
      <c r="F4982" t="s">
        <v>16221</v>
      </c>
      <c r="G4982" t="s">
        <v>16278</v>
      </c>
      <c r="H4982" t="s">
        <v>16277</v>
      </c>
      <c r="I4982" t="s">
        <v>16353</v>
      </c>
      <c r="J4982" t="s">
        <v>16386</v>
      </c>
      <c r="K4982">
        <v>0.141</v>
      </c>
      <c r="L4982">
        <v>6121</v>
      </c>
      <c r="N4982" t="s">
        <v>16393</v>
      </c>
      <c r="O4982" s="4">
        <v>56146</v>
      </c>
      <c r="P4982" s="4">
        <v>219594</v>
      </c>
      <c r="Q4982" s="4">
        <v>275740</v>
      </c>
      <c r="R4982" s="4">
        <v>827220</v>
      </c>
      <c r="S4982" t="s">
        <v>21272</v>
      </c>
      <c r="T4982" s="6">
        <v>45303</v>
      </c>
      <c r="U4982" s="4">
        <v>767628</v>
      </c>
      <c r="V4982" t="s">
        <v>16232</v>
      </c>
      <c r="W4982" t="s">
        <v>26530</v>
      </c>
      <c r="X4982" t="s">
        <v>3</v>
      </c>
      <c r="AA4982" s="5" t="str">
        <f>HYPERLINK("https://www.zillow.com/homes/1151-HIBBARD-RD-NAPERVILLE-IL-605631594_rb/","check listing")</f>
        <v>check listing</v>
      </c>
      <c r="AB4982" s="5" t="str">
        <f>HYPERLINK("https://propertylookup.dupagecounty.gov/Datalets/Datalet.aspx?UseSearch=no&amp;mode=sales&amp;pin=0532302015","sales record")</f>
        <v>sales record</v>
      </c>
      <c r="AC4982" t="s">
        <v>3</v>
      </c>
      <c r="AD4982">
        <v>41.819057</v>
      </c>
      <c r="AE4982">
        <v>-88.122961</v>
      </c>
      <c r="AF4982" s="5" t="str">
        <f>HYPERLINK("https://www.google.com/maps/search/?api=1&amp;query=41.819057,-88.122961","map")</f>
        <v>map</v>
      </c>
    </row>
    <row r="4983" spans="1:32">
      <c r="A4983" t="s">
        <v>5033</v>
      </c>
      <c r="B4983" t="s">
        <v>12566</v>
      </c>
      <c r="C4983" t="s">
        <v>15662</v>
      </c>
      <c r="D4983" t="s">
        <v>16206</v>
      </c>
      <c r="E4983" t="s">
        <v>16218</v>
      </c>
      <c r="F4983" t="s">
        <v>16221</v>
      </c>
      <c r="G4983" t="s">
        <v>16278</v>
      </c>
      <c r="H4983" t="s">
        <v>16277</v>
      </c>
      <c r="I4983" t="s">
        <v>16353</v>
      </c>
      <c r="J4983" t="s">
        <v>16386</v>
      </c>
      <c r="K4983">
        <v>0.141</v>
      </c>
      <c r="L4983">
        <v>6121</v>
      </c>
      <c r="N4983" t="s">
        <v>16393</v>
      </c>
      <c r="O4983" s="4">
        <v>56146</v>
      </c>
      <c r="P4983" s="4">
        <v>230301</v>
      </c>
      <c r="Q4983" s="4">
        <v>286447</v>
      </c>
      <c r="R4983" s="4">
        <v>859341</v>
      </c>
      <c r="S4983" t="s">
        <v>21273</v>
      </c>
      <c r="T4983" s="6">
        <v>44834</v>
      </c>
      <c r="U4983" s="4">
        <v>740799</v>
      </c>
      <c r="V4983" t="s">
        <v>16232</v>
      </c>
      <c r="W4983" t="s">
        <v>26531</v>
      </c>
      <c r="X4983" t="s">
        <v>3</v>
      </c>
      <c r="AA4983" s="5" t="str">
        <f>HYPERLINK("https://www.zillow.com/homes/1260-SNAPPER-RD-NAPERVILLE-IL-605631594_rb/","check listing")</f>
        <v>check listing</v>
      </c>
      <c r="AB4983" s="5" t="str">
        <f>HYPERLINK("https://propertylookup.dupagecounty.gov/Datalets/Datalet.aspx?UseSearch=no&amp;mode=sales&amp;pin=0532307014","sales record")</f>
        <v>sales record</v>
      </c>
      <c r="AC4983" t="s">
        <v>3</v>
      </c>
      <c r="AD4983">
        <v>41.816638</v>
      </c>
      <c r="AE4983">
        <v>-88.119775</v>
      </c>
      <c r="AF4983" s="5" t="str">
        <f>HYPERLINK("https://www.google.com/maps/search/?api=1&amp;query=41.816638,-88.119775","map")</f>
        <v>map</v>
      </c>
    </row>
    <row r="4984" spans="1:32">
      <c r="A4984" t="s">
        <v>5034</v>
      </c>
      <c r="B4984" t="s">
        <v>12567</v>
      </c>
      <c r="C4984" t="s">
        <v>15662</v>
      </c>
      <c r="D4984" t="s">
        <v>16206</v>
      </c>
      <c r="E4984" t="s">
        <v>16218</v>
      </c>
      <c r="F4984" t="s">
        <v>16221</v>
      </c>
      <c r="G4984" t="s">
        <v>16278</v>
      </c>
      <c r="H4984" t="s">
        <v>16277</v>
      </c>
      <c r="I4984" t="s">
        <v>16353</v>
      </c>
      <c r="J4984" t="s">
        <v>16386</v>
      </c>
      <c r="K4984">
        <v>0.141</v>
      </c>
      <c r="L4984">
        <v>6121</v>
      </c>
      <c r="N4984" t="s">
        <v>16393</v>
      </c>
      <c r="O4984" s="4">
        <v>56141</v>
      </c>
      <c r="P4984" s="4">
        <v>234761</v>
      </c>
      <c r="Q4984" s="4">
        <v>290902</v>
      </c>
      <c r="R4984" s="4">
        <v>872706</v>
      </c>
      <c r="S4984" t="s">
        <v>21274</v>
      </c>
      <c r="T4984" s="6">
        <v>45607</v>
      </c>
      <c r="U4984" s="4">
        <v>887620</v>
      </c>
      <c r="V4984" t="s">
        <v>16232</v>
      </c>
      <c r="W4984" t="s">
        <v>26532</v>
      </c>
      <c r="X4984" t="s">
        <v>3</v>
      </c>
      <c r="AA4984" s="5" t="str">
        <f>HYPERLINK("https://www.zillow.com/homes/2408-WEATHERBEE-LN-NAPERVILLE-IL-605631594_rb/","check listing")</f>
        <v>check listing</v>
      </c>
      <c r="AB4984" s="5" t="str">
        <f>HYPERLINK("https://propertylookup.dupagecounty.gov/Datalets/Datalet.aspx?UseSearch=no&amp;mode=sales&amp;pin=0532300101","sales record")</f>
        <v>sales record</v>
      </c>
      <c r="AC4984" t="s">
        <v>3</v>
      </c>
      <c r="AD4984">
        <v>41.817431</v>
      </c>
      <c r="AE4984">
        <v>-88.118313</v>
      </c>
      <c r="AF4984" s="5" t="str">
        <f>HYPERLINK("https://www.google.com/maps/search/?api=1&amp;query=41.817431,-88.118313","map")</f>
        <v>map</v>
      </c>
    </row>
    <row r="4985" spans="1:32">
      <c r="A4985" t="s">
        <v>5035</v>
      </c>
      <c r="B4985" t="s">
        <v>12568</v>
      </c>
      <c r="C4985" t="s">
        <v>15662</v>
      </c>
      <c r="D4985" t="s">
        <v>16206</v>
      </c>
      <c r="E4985" t="s">
        <v>16218</v>
      </c>
      <c r="F4985" t="s">
        <v>16221</v>
      </c>
      <c r="G4985" t="s">
        <v>16278</v>
      </c>
      <c r="H4985" t="s">
        <v>16277</v>
      </c>
      <c r="I4985" t="s">
        <v>16353</v>
      </c>
      <c r="J4985" t="s">
        <v>16386</v>
      </c>
      <c r="K4985">
        <v>0.141</v>
      </c>
      <c r="L4985">
        <v>6121</v>
      </c>
      <c r="N4985" t="s">
        <v>16393</v>
      </c>
      <c r="O4985" s="4">
        <v>56141</v>
      </c>
      <c r="P4985" s="4">
        <v>196999</v>
      </c>
      <c r="Q4985" s="4">
        <v>253140</v>
      </c>
      <c r="R4985" s="4">
        <v>759420</v>
      </c>
      <c r="S4985" t="s">
        <v>21275</v>
      </c>
      <c r="T4985" s="6">
        <v>45639</v>
      </c>
      <c r="U4985" s="4">
        <v>814647</v>
      </c>
      <c r="V4985" t="s">
        <v>16232</v>
      </c>
      <c r="W4985" t="s">
        <v>26533</v>
      </c>
      <c r="X4985" t="s">
        <v>3</v>
      </c>
      <c r="AA4985" s="5" t="str">
        <f>HYPERLINK("https://www.zillow.com/homes/2412-WEATHERBEE-LN-NAPERVILLE-IL-605631594_rb/","check listing")</f>
        <v>check listing</v>
      </c>
      <c r="AB4985" s="5" t="str">
        <f>HYPERLINK("https://propertylookup.dupagecounty.gov/Datalets/Datalet.aspx?UseSearch=no&amp;mode=sales&amp;pin=0532300100","sales record")</f>
        <v>sales record</v>
      </c>
      <c r="AC4985" t="s">
        <v>3</v>
      </c>
      <c r="AD4985">
        <v>41.81757</v>
      </c>
      <c r="AE4985">
        <v>-88.11829299999999</v>
      </c>
      <c r="AF4985" s="5" t="str">
        <f>HYPERLINK("https://www.google.com/maps/search/?api=1&amp;query=41.81757,-88.118293","map")</f>
        <v>map</v>
      </c>
    </row>
    <row r="4986" spans="1:32">
      <c r="A4986" t="s">
        <v>5036</v>
      </c>
      <c r="B4986" t="s">
        <v>12569</v>
      </c>
      <c r="C4986" t="s">
        <v>15662</v>
      </c>
      <c r="D4986" t="s">
        <v>16206</v>
      </c>
      <c r="E4986" t="s">
        <v>16218</v>
      </c>
      <c r="F4986" t="s">
        <v>16221</v>
      </c>
      <c r="G4986" t="s">
        <v>16278</v>
      </c>
      <c r="H4986" t="s">
        <v>16277</v>
      </c>
      <c r="I4986" t="s">
        <v>16353</v>
      </c>
      <c r="J4986" t="s">
        <v>16386</v>
      </c>
      <c r="K4986">
        <v>0.141</v>
      </c>
      <c r="L4986">
        <v>6121</v>
      </c>
      <c r="N4986" t="s">
        <v>16393</v>
      </c>
      <c r="O4986" s="4">
        <v>56146</v>
      </c>
      <c r="P4986" s="4">
        <v>244640</v>
      </c>
      <c r="Q4986" s="4">
        <v>300786</v>
      </c>
      <c r="R4986" s="4">
        <v>902358</v>
      </c>
      <c r="S4986" t="s">
        <v>21276</v>
      </c>
      <c r="T4986" s="6">
        <v>44924</v>
      </c>
      <c r="U4986" s="4">
        <v>740370</v>
      </c>
      <c r="V4986" t="s">
        <v>16232</v>
      </c>
      <c r="W4986" t="s">
        <v>26534</v>
      </c>
      <c r="X4986" t="s">
        <v>3</v>
      </c>
      <c r="AA4986" s="5" t="str">
        <f>HYPERLINK("https://www.zillow.com/homes/2328-WEATHERBEE-LN-NAPERVILLE-IL-605631594_rb/","check listing")</f>
        <v>check listing</v>
      </c>
      <c r="AB4986" s="5" t="str">
        <f>HYPERLINK("https://propertylookup.dupagecounty.gov/Datalets/Datalet.aspx?UseSearch=no&amp;mode=sales&amp;pin=0532300103","sales record")</f>
        <v>sales record</v>
      </c>
      <c r="AC4986" t="s">
        <v>3</v>
      </c>
      <c r="AD4986">
        <v>41.817153</v>
      </c>
      <c r="AE4986">
        <v>-88.118354</v>
      </c>
      <c r="AF4986" s="5" t="str">
        <f>HYPERLINK("https://www.google.com/maps/search/?api=1&amp;query=41.817153,-88.118354","map")</f>
        <v>map</v>
      </c>
    </row>
    <row r="4987" spans="1:32">
      <c r="A4987" t="s">
        <v>5037</v>
      </c>
      <c r="B4987" t="s">
        <v>12570</v>
      </c>
      <c r="C4987" t="s">
        <v>15662</v>
      </c>
      <c r="D4987" t="s">
        <v>16206</v>
      </c>
      <c r="E4987" t="s">
        <v>16218</v>
      </c>
      <c r="F4987" t="s">
        <v>16221</v>
      </c>
      <c r="G4987" t="s">
        <v>16278</v>
      </c>
      <c r="H4987" t="s">
        <v>16277</v>
      </c>
      <c r="I4987" t="s">
        <v>16353</v>
      </c>
      <c r="J4987" t="s">
        <v>16386</v>
      </c>
      <c r="K4987">
        <v>0.141</v>
      </c>
      <c r="L4987">
        <v>6121</v>
      </c>
      <c r="N4987" t="s">
        <v>16393</v>
      </c>
      <c r="O4987" s="4">
        <v>56146</v>
      </c>
      <c r="P4987" s="4">
        <v>235863</v>
      </c>
      <c r="Q4987" s="4">
        <v>292009</v>
      </c>
      <c r="R4987" s="4">
        <v>876027</v>
      </c>
      <c r="S4987" t="s">
        <v>21277</v>
      </c>
      <c r="X4987" t="s">
        <v>3</v>
      </c>
      <c r="AA4987" s="5" t="str">
        <f>HYPERLINK("https://www.zillow.com/homes/1216-SNAPPER-RD-NAPERVILLE-IL-605631594_rb/","check listing")</f>
        <v>check listing</v>
      </c>
      <c r="AB4987" s="5" t="str">
        <f>HYPERLINK("https://propertylookup.dupagecounty.gov/Datalets/Datalet.aspx?UseSearch=no&amp;mode=sales&amp;pin=0532307004","sales record")</f>
        <v>sales record</v>
      </c>
      <c r="AC4987" t="s">
        <v>3</v>
      </c>
      <c r="AD4987">
        <v>41.816799</v>
      </c>
      <c r="AE4987">
        <v>-88.121753</v>
      </c>
      <c r="AF4987" s="5" t="str">
        <f>HYPERLINK("https://www.google.com/maps/search/?api=1&amp;query=41.816799,-88.121753","map")</f>
        <v>map</v>
      </c>
    </row>
    <row r="4988" spans="1:32">
      <c r="A4988" t="s">
        <v>5038</v>
      </c>
      <c r="B4988" t="s">
        <v>12571</v>
      </c>
      <c r="C4988" t="s">
        <v>15478</v>
      </c>
      <c r="D4988" t="s">
        <v>16206</v>
      </c>
      <c r="E4988" t="s">
        <v>16218</v>
      </c>
      <c r="F4988" t="s">
        <v>16221</v>
      </c>
      <c r="G4988" t="s">
        <v>16278</v>
      </c>
      <c r="H4988" t="s">
        <v>16277</v>
      </c>
      <c r="I4988" t="s">
        <v>16353</v>
      </c>
      <c r="J4988" t="s">
        <v>16386</v>
      </c>
      <c r="K4988">
        <v>0.141</v>
      </c>
      <c r="L4988">
        <v>6121</v>
      </c>
      <c r="N4988" t="s">
        <v>16393</v>
      </c>
      <c r="O4988" s="4">
        <v>56146</v>
      </c>
      <c r="P4988" s="4">
        <v>218564</v>
      </c>
      <c r="Q4988" s="4">
        <v>274710</v>
      </c>
      <c r="R4988" s="4">
        <v>824130</v>
      </c>
      <c r="S4988" t="s">
        <v>21278</v>
      </c>
      <c r="T4988" s="6">
        <v>44859</v>
      </c>
      <c r="U4988" s="4">
        <v>709629</v>
      </c>
      <c r="V4988" t="s">
        <v>16232</v>
      </c>
      <c r="W4988" t="s">
        <v>26535</v>
      </c>
      <c r="X4988" t="s">
        <v>3</v>
      </c>
      <c r="AA4988" s="5" t="str">
        <f>HYPERLINK("https://www.zillow.com/homes/2324-WEATHERBEE-LN-NAPERVILLE-IL-60563_rb/","check listing")</f>
        <v>check listing</v>
      </c>
      <c r="AB4988" s="5" t="str">
        <f>HYPERLINK("https://propertylookup.dupagecounty.gov/Datalets/Datalet.aspx?UseSearch=no&amp;mode=sales&amp;pin=0532300104","sales record")</f>
        <v>sales record</v>
      </c>
      <c r="AC4988" t="s">
        <v>3</v>
      </c>
      <c r="AD4988">
        <v>41.817014</v>
      </c>
      <c r="AE4988">
        <v>-88.118374</v>
      </c>
      <c r="AF4988" s="5" t="str">
        <f>HYPERLINK("https://www.google.com/maps/search/?api=1&amp;query=41.817014,-88.118374","map")</f>
        <v>map</v>
      </c>
    </row>
    <row r="4989" spans="1:32">
      <c r="A4989" t="s">
        <v>5039</v>
      </c>
      <c r="B4989" t="s">
        <v>12572</v>
      </c>
      <c r="C4989" t="s">
        <v>15662</v>
      </c>
      <c r="D4989" t="s">
        <v>16206</v>
      </c>
      <c r="E4989" t="s">
        <v>16218</v>
      </c>
      <c r="F4989" t="s">
        <v>16221</v>
      </c>
      <c r="G4989" t="s">
        <v>16278</v>
      </c>
      <c r="H4989" t="s">
        <v>16277</v>
      </c>
      <c r="I4989" t="s">
        <v>16353</v>
      </c>
      <c r="J4989" t="s">
        <v>16386</v>
      </c>
      <c r="K4989">
        <v>0.14</v>
      </c>
      <c r="L4989">
        <v>6120</v>
      </c>
      <c r="N4989" t="s">
        <v>16393</v>
      </c>
      <c r="O4989" s="4">
        <v>56146</v>
      </c>
      <c r="P4989" s="4">
        <v>190721</v>
      </c>
      <c r="Q4989" s="4">
        <v>246867</v>
      </c>
      <c r="R4989" s="4">
        <v>740601</v>
      </c>
      <c r="S4989" t="s">
        <v>21279</v>
      </c>
      <c r="T4989" s="6">
        <v>44984</v>
      </c>
      <c r="U4989" s="4">
        <v>660696</v>
      </c>
      <c r="V4989" t="s">
        <v>16232</v>
      </c>
      <c r="W4989" t="s">
        <v>26536</v>
      </c>
      <c r="X4989" t="s">
        <v>3</v>
      </c>
      <c r="AA4989" s="5" t="str">
        <f>HYPERLINK("https://www.zillow.com/homes/1236-SNAPPER-RD-NAPERVILLE-IL-605631594_rb/","check listing")</f>
        <v>check listing</v>
      </c>
      <c r="AB4989" s="5" t="str">
        <f>HYPERLINK("https://propertylookup.dupagecounty.gov/Datalets/Datalet.aspx?UseSearch=no&amp;mode=sales&amp;pin=0532307009","sales record")</f>
        <v>sales record</v>
      </c>
      <c r="AC4989" t="s">
        <v>3</v>
      </c>
      <c r="AD4989">
        <v>41.816715</v>
      </c>
      <c r="AE4989">
        <v>-88.120824</v>
      </c>
      <c r="AF4989" s="5" t="str">
        <f>HYPERLINK("https://www.google.com/maps/search/?api=1&amp;query=41.816715,-88.120824","map")</f>
        <v>map</v>
      </c>
    </row>
    <row r="4990" spans="1:32">
      <c r="A4990" t="s">
        <v>5040</v>
      </c>
      <c r="B4990" t="s">
        <v>12573</v>
      </c>
      <c r="C4990" t="s">
        <v>15478</v>
      </c>
      <c r="D4990" t="s">
        <v>16206</v>
      </c>
      <c r="E4990" t="s">
        <v>16218</v>
      </c>
      <c r="F4990" t="s">
        <v>16221</v>
      </c>
      <c r="G4990" t="s">
        <v>16278</v>
      </c>
      <c r="H4990" t="s">
        <v>16277</v>
      </c>
      <c r="I4990" t="s">
        <v>16353</v>
      </c>
      <c r="J4990" t="s">
        <v>16386</v>
      </c>
      <c r="K4990">
        <v>0.14</v>
      </c>
      <c r="L4990">
        <v>6120</v>
      </c>
      <c r="N4990" t="s">
        <v>16393</v>
      </c>
      <c r="O4990" s="4">
        <v>56146</v>
      </c>
      <c r="P4990" s="4">
        <v>236558</v>
      </c>
      <c r="Q4990" s="4">
        <v>292704</v>
      </c>
      <c r="R4990" s="4">
        <v>878112</v>
      </c>
      <c r="S4990" t="s">
        <v>21280</v>
      </c>
      <c r="T4990" s="6">
        <v>44872</v>
      </c>
      <c r="U4990" s="4">
        <v>718553</v>
      </c>
      <c r="V4990" t="s">
        <v>16232</v>
      </c>
      <c r="W4990" t="s">
        <v>26537</v>
      </c>
      <c r="X4990" t="s">
        <v>3</v>
      </c>
      <c r="AA4990" s="5" t="str">
        <f>HYPERLINK("https://www.zillow.com/homes/1264-SNAPPER-RD-NAPERVILLE-IL-60563_rb/","check listing")</f>
        <v>check listing</v>
      </c>
      <c r="AB4990" s="5" t="str">
        <f>HYPERLINK("https://propertylookup.dupagecounty.gov/Datalets/Datalet.aspx?UseSearch=no&amp;mode=sales&amp;pin=0532307015","sales record")</f>
        <v>sales record</v>
      </c>
      <c r="AC4990" t="s">
        <v>3</v>
      </c>
      <c r="AD4990">
        <v>41.816623</v>
      </c>
      <c r="AE4990">
        <v>-88.119589</v>
      </c>
      <c r="AF4990" s="5" t="str">
        <f>HYPERLINK("https://www.google.com/maps/search/?api=1&amp;query=41.816623,-88.119589","map")</f>
        <v>map</v>
      </c>
    </row>
    <row r="4991" spans="1:32">
      <c r="A4991" t="s">
        <v>5041</v>
      </c>
      <c r="B4991" t="s">
        <v>12574</v>
      </c>
      <c r="C4991" t="s">
        <v>15662</v>
      </c>
      <c r="D4991" t="s">
        <v>16206</v>
      </c>
      <c r="E4991" t="s">
        <v>16218</v>
      </c>
      <c r="F4991" t="s">
        <v>16221</v>
      </c>
      <c r="G4991" t="s">
        <v>16278</v>
      </c>
      <c r="H4991" t="s">
        <v>16277</v>
      </c>
      <c r="I4991" t="s">
        <v>16353</v>
      </c>
      <c r="J4991" t="s">
        <v>16386</v>
      </c>
      <c r="K4991">
        <v>0.14</v>
      </c>
      <c r="L4991">
        <v>6120</v>
      </c>
      <c r="N4991" t="s">
        <v>16393</v>
      </c>
      <c r="O4991" s="4">
        <v>56146</v>
      </c>
      <c r="P4991" s="4">
        <v>221841</v>
      </c>
      <c r="Q4991" s="4">
        <v>277987</v>
      </c>
      <c r="R4991" s="4">
        <v>833961</v>
      </c>
      <c r="S4991" t="s">
        <v>21281</v>
      </c>
      <c r="T4991" s="6">
        <v>45922</v>
      </c>
      <c r="U4991" s="4">
        <v>820000</v>
      </c>
      <c r="V4991" t="s">
        <v>23739</v>
      </c>
      <c r="W4991" t="s">
        <v>26538</v>
      </c>
      <c r="X4991" t="s">
        <v>3</v>
      </c>
      <c r="AA4991" s="5" t="str">
        <f>HYPERLINK("https://www.zillow.com/homes/1248-SNAPPER-RD-NAPERVILLE-IL-605631594_rb/","check listing")</f>
        <v>check listing</v>
      </c>
      <c r="AB4991" s="5" t="str">
        <f>HYPERLINK("https://propertylookup.dupagecounty.gov/Datalets/Datalet.aspx?UseSearch=no&amp;mode=sales&amp;pin=0532307011","sales record")</f>
        <v>sales record</v>
      </c>
      <c r="AC4991" t="s">
        <v>3</v>
      </c>
      <c r="AD4991">
        <v>41.816684</v>
      </c>
      <c r="AE4991">
        <v>-88.120332</v>
      </c>
      <c r="AF4991" s="5" t="str">
        <f>HYPERLINK("https://www.google.com/maps/search/?api=1&amp;query=41.816684,-88.120332","map")</f>
        <v>map</v>
      </c>
    </row>
    <row r="4992" spans="1:32">
      <c r="A4992" t="s">
        <v>5042</v>
      </c>
      <c r="B4992" t="s">
        <v>12575</v>
      </c>
      <c r="C4992" t="s">
        <v>15662</v>
      </c>
      <c r="D4992" t="s">
        <v>16206</v>
      </c>
      <c r="E4992" t="s">
        <v>16218</v>
      </c>
      <c r="F4992" t="s">
        <v>16221</v>
      </c>
      <c r="G4992" t="s">
        <v>16278</v>
      </c>
      <c r="H4992" t="s">
        <v>16277</v>
      </c>
      <c r="I4992" t="s">
        <v>16353</v>
      </c>
      <c r="J4992" t="s">
        <v>16386</v>
      </c>
      <c r="K4992">
        <v>0.14</v>
      </c>
      <c r="L4992">
        <v>6120</v>
      </c>
      <c r="N4992" t="s">
        <v>16393</v>
      </c>
      <c r="O4992" s="4">
        <v>56146</v>
      </c>
      <c r="P4992" s="4">
        <v>251299</v>
      </c>
      <c r="Q4992" s="4">
        <v>307445</v>
      </c>
      <c r="R4992" s="4">
        <v>922335</v>
      </c>
      <c r="S4992" t="s">
        <v>21282</v>
      </c>
      <c r="T4992" s="6">
        <v>45076</v>
      </c>
      <c r="U4992" s="4">
        <v>771756</v>
      </c>
      <c r="V4992" t="s">
        <v>16232</v>
      </c>
      <c r="W4992" t="s">
        <v>26539</v>
      </c>
      <c r="X4992" t="s">
        <v>3</v>
      </c>
      <c r="AA4992" s="5" t="str">
        <f>HYPERLINK("https://www.zillow.com/homes/1212-SNAPPER-RD-NAPERVILLE-IL-605631594_rb/","check listing")</f>
        <v>check listing</v>
      </c>
      <c r="AB4992" s="5" t="str">
        <f>HYPERLINK("https://propertylookup.dupagecounty.gov/Datalets/Datalet.aspx?UseSearch=no&amp;mode=sales&amp;pin=0532307003","sales record")</f>
        <v>sales record</v>
      </c>
      <c r="AC4992" t="s">
        <v>3</v>
      </c>
      <c r="AD4992">
        <v>41.816814</v>
      </c>
      <c r="AE4992">
        <v>-88.121939</v>
      </c>
      <c r="AF4992" s="5" t="str">
        <f>HYPERLINK("https://www.google.com/maps/search/?api=1&amp;query=41.816814,-88.121939","map")</f>
        <v>map</v>
      </c>
    </row>
    <row r="4993" spans="1:32">
      <c r="A4993" t="s">
        <v>5043</v>
      </c>
      <c r="B4993" t="s">
        <v>12576</v>
      </c>
      <c r="C4993" t="s">
        <v>15662</v>
      </c>
      <c r="D4993" t="s">
        <v>16206</v>
      </c>
      <c r="E4993" t="s">
        <v>16218</v>
      </c>
      <c r="F4993" t="s">
        <v>16221</v>
      </c>
      <c r="G4993" t="s">
        <v>16278</v>
      </c>
      <c r="H4993" t="s">
        <v>16277</v>
      </c>
      <c r="I4993" t="s">
        <v>16353</v>
      </c>
      <c r="J4993" t="s">
        <v>16386</v>
      </c>
      <c r="K4993">
        <v>0.14</v>
      </c>
      <c r="L4993">
        <v>6120</v>
      </c>
      <c r="N4993" t="s">
        <v>16393</v>
      </c>
      <c r="O4993" s="4">
        <v>56146</v>
      </c>
      <c r="P4993" s="4">
        <v>251299</v>
      </c>
      <c r="Q4993" s="4">
        <v>307445</v>
      </c>
      <c r="R4993" s="4">
        <v>922335</v>
      </c>
      <c r="S4993" t="s">
        <v>21283</v>
      </c>
      <c r="T4993" s="6">
        <v>44652</v>
      </c>
      <c r="U4993" s="4">
        <v>734702</v>
      </c>
      <c r="V4993" t="s">
        <v>16232</v>
      </c>
      <c r="W4993" t="s">
        <v>26540</v>
      </c>
      <c r="X4993" t="s">
        <v>3</v>
      </c>
      <c r="AA4993" s="5" t="str">
        <f>HYPERLINK("https://www.zillow.com/homes/1272-SNAPPER-RD-NAPERVILLE-IL-605631594_rb/","check listing")</f>
        <v>check listing</v>
      </c>
      <c r="AB4993" s="5" t="str">
        <f>HYPERLINK("https://propertylookup.dupagecounty.gov/Datalets/Datalet.aspx?UseSearch=no&amp;mode=sales&amp;pin=0532307017","sales record")</f>
        <v>sales record</v>
      </c>
      <c r="AC4993" t="s">
        <v>3</v>
      </c>
      <c r="AD4993">
        <v>41.816593</v>
      </c>
      <c r="AE4993">
        <v>-88.11921700000001</v>
      </c>
      <c r="AF4993" s="5" t="str">
        <f>HYPERLINK("https://www.google.com/maps/search/?api=1&amp;query=41.816593,-88.119217","map")</f>
        <v>map</v>
      </c>
    </row>
    <row r="4994" spans="1:32">
      <c r="A4994" t="s">
        <v>5044</v>
      </c>
      <c r="B4994" t="s">
        <v>12577</v>
      </c>
      <c r="C4994" t="s">
        <v>15662</v>
      </c>
      <c r="D4994" t="s">
        <v>16206</v>
      </c>
      <c r="E4994" t="s">
        <v>16218</v>
      </c>
      <c r="F4994" t="s">
        <v>16221</v>
      </c>
      <c r="G4994" t="s">
        <v>16278</v>
      </c>
      <c r="H4994" t="s">
        <v>16277</v>
      </c>
      <c r="I4994" t="s">
        <v>16353</v>
      </c>
      <c r="J4994" t="s">
        <v>16386</v>
      </c>
      <c r="K4994">
        <v>0.14</v>
      </c>
      <c r="L4994">
        <v>6120</v>
      </c>
      <c r="N4994" t="s">
        <v>16393</v>
      </c>
      <c r="O4994" s="4">
        <v>56146</v>
      </c>
      <c r="P4994" s="4">
        <v>223242</v>
      </c>
      <c r="Q4994" s="4">
        <v>279388</v>
      </c>
      <c r="R4994" s="4">
        <v>838164</v>
      </c>
      <c r="S4994" t="s">
        <v>21284</v>
      </c>
      <c r="T4994" s="6">
        <v>44802</v>
      </c>
      <c r="U4994" s="4">
        <v>783290</v>
      </c>
      <c r="V4994" t="s">
        <v>16232</v>
      </c>
      <c r="W4994" t="s">
        <v>26541</v>
      </c>
      <c r="X4994" t="s">
        <v>3</v>
      </c>
      <c r="AA4994" s="5" t="str">
        <f>HYPERLINK("https://www.zillow.com/homes/1256-SNAPPER-RD-NAPERVILLE-IL-605631594_rb/","check listing")</f>
        <v>check listing</v>
      </c>
      <c r="AB4994" s="5" t="str">
        <f>HYPERLINK("https://propertylookup.dupagecounty.gov/Datalets/Datalet.aspx?UseSearch=no&amp;mode=sales&amp;pin=0532307013","sales record")</f>
        <v>sales record</v>
      </c>
      <c r="AC4994" t="s">
        <v>3</v>
      </c>
      <c r="AD4994">
        <v>41.816653</v>
      </c>
      <c r="AE4994">
        <v>-88.11996000000001</v>
      </c>
      <c r="AF4994" s="5" t="str">
        <f>HYPERLINK("https://www.google.com/maps/search/?api=1&amp;query=41.816653,-88.11996","map")</f>
        <v>map</v>
      </c>
    </row>
    <row r="4995" spans="1:32">
      <c r="A4995" t="s">
        <v>5045</v>
      </c>
      <c r="B4995" t="s">
        <v>12578</v>
      </c>
      <c r="C4995" t="s">
        <v>15662</v>
      </c>
      <c r="D4995" t="s">
        <v>16206</v>
      </c>
      <c r="E4995" t="s">
        <v>16218</v>
      </c>
      <c r="F4995" t="s">
        <v>16221</v>
      </c>
      <c r="G4995" t="s">
        <v>16278</v>
      </c>
      <c r="H4995" t="s">
        <v>16277</v>
      </c>
      <c r="I4995" t="s">
        <v>16353</v>
      </c>
      <c r="J4995" t="s">
        <v>16386</v>
      </c>
      <c r="K4995">
        <v>0.14</v>
      </c>
      <c r="L4995">
        <v>6120</v>
      </c>
      <c r="N4995" t="s">
        <v>16393</v>
      </c>
      <c r="O4995" s="4">
        <v>56146</v>
      </c>
      <c r="P4995" s="4">
        <v>209727</v>
      </c>
      <c r="Q4995" s="4">
        <v>265873</v>
      </c>
      <c r="R4995" s="4">
        <v>797619</v>
      </c>
      <c r="S4995" t="s">
        <v>21285</v>
      </c>
      <c r="T4995" s="6">
        <v>45034</v>
      </c>
      <c r="U4995" s="4">
        <v>710680</v>
      </c>
      <c r="V4995" t="s">
        <v>16232</v>
      </c>
      <c r="W4995" t="s">
        <v>26542</v>
      </c>
      <c r="X4995" t="s">
        <v>3</v>
      </c>
      <c r="AA4995" s="5" t="str">
        <f>HYPERLINK("https://www.zillow.com/homes/1220-SNAPPER-RD-NAPERVILLE-IL-605631594_rb/","check listing")</f>
        <v>check listing</v>
      </c>
      <c r="AB4995" s="5" t="str">
        <f>HYPERLINK("https://propertylookup.dupagecounty.gov/Datalets/Datalet.aspx?UseSearch=no&amp;mode=sales&amp;pin=0532307005","sales record")</f>
        <v>sales record</v>
      </c>
      <c r="AC4995" t="s">
        <v>3</v>
      </c>
      <c r="AD4995">
        <v>41.816784</v>
      </c>
      <c r="AE4995">
        <v>-88.121567</v>
      </c>
      <c r="AF4995" s="5" t="str">
        <f>HYPERLINK("https://www.google.com/maps/search/?api=1&amp;query=41.816784,-88.121567","map")</f>
        <v>map</v>
      </c>
    </row>
    <row r="4996" spans="1:32">
      <c r="A4996" t="s">
        <v>5046</v>
      </c>
      <c r="B4996" t="s">
        <v>12579</v>
      </c>
      <c r="C4996" t="s">
        <v>15662</v>
      </c>
      <c r="D4996" t="s">
        <v>16206</v>
      </c>
      <c r="E4996" t="s">
        <v>16218</v>
      </c>
      <c r="F4996" t="s">
        <v>16221</v>
      </c>
      <c r="G4996" t="s">
        <v>16278</v>
      </c>
      <c r="H4996" t="s">
        <v>16277</v>
      </c>
      <c r="I4996" t="s">
        <v>16353</v>
      </c>
      <c r="J4996" t="s">
        <v>16386</v>
      </c>
      <c r="K4996">
        <v>0.14</v>
      </c>
      <c r="L4996">
        <v>6119</v>
      </c>
      <c r="N4996" t="s">
        <v>16393</v>
      </c>
      <c r="O4996" s="4">
        <v>56146</v>
      </c>
      <c r="P4996" s="4">
        <v>242414</v>
      </c>
      <c r="Q4996" s="4">
        <v>298560</v>
      </c>
      <c r="R4996" s="4">
        <v>895680</v>
      </c>
      <c r="S4996" t="s">
        <v>21286</v>
      </c>
      <c r="T4996" s="6">
        <v>45007</v>
      </c>
      <c r="U4996" s="4">
        <v>798059</v>
      </c>
      <c r="V4996" t="s">
        <v>16232</v>
      </c>
      <c r="W4996" t="s">
        <v>26543</v>
      </c>
      <c r="X4996" t="s">
        <v>3</v>
      </c>
      <c r="AA4996" s="5" t="str">
        <f>HYPERLINK("https://www.zillow.com/homes/1228-SNAPPER-RD-NAPERVILLE-IL-605631594_rb/","check listing")</f>
        <v>check listing</v>
      </c>
      <c r="AB4996" s="5" t="str">
        <f>HYPERLINK("https://propertylookup.dupagecounty.gov/Datalets/Datalet.aspx?UseSearch=no&amp;mode=sales&amp;pin=0532307007","sales record")</f>
        <v>sales record</v>
      </c>
      <c r="AC4996" t="s">
        <v>3</v>
      </c>
      <c r="AD4996">
        <v>41.816754</v>
      </c>
      <c r="AE4996">
        <v>-88.121195</v>
      </c>
      <c r="AF4996" s="5" t="str">
        <f>HYPERLINK("https://www.google.com/maps/search/?api=1&amp;query=41.816754,-88.121195","map")</f>
        <v>map</v>
      </c>
    </row>
    <row r="4997" spans="1:32">
      <c r="A4997" t="s">
        <v>5047</v>
      </c>
      <c r="B4997" t="s">
        <v>12580</v>
      </c>
      <c r="C4997" t="s">
        <v>15478</v>
      </c>
      <c r="D4997" t="s">
        <v>16206</v>
      </c>
      <c r="E4997" t="s">
        <v>16218</v>
      </c>
      <c r="F4997" t="s">
        <v>16221</v>
      </c>
      <c r="G4997" t="s">
        <v>16278</v>
      </c>
      <c r="H4997" t="s">
        <v>16277</v>
      </c>
      <c r="I4997" t="s">
        <v>16353</v>
      </c>
      <c r="J4997" t="s">
        <v>16386</v>
      </c>
      <c r="K4997">
        <v>0.14</v>
      </c>
      <c r="L4997">
        <v>6119</v>
      </c>
      <c r="N4997" t="s">
        <v>16393</v>
      </c>
      <c r="O4997" s="4">
        <v>56146</v>
      </c>
      <c r="P4997" s="4">
        <v>190686</v>
      </c>
      <c r="Q4997" s="4">
        <v>246832</v>
      </c>
      <c r="R4997" s="4">
        <v>740496</v>
      </c>
      <c r="S4997" t="s">
        <v>21287</v>
      </c>
      <c r="T4997" s="6">
        <v>44874</v>
      </c>
      <c r="U4997" s="4">
        <v>625785</v>
      </c>
      <c r="V4997" t="s">
        <v>16232</v>
      </c>
      <c r="W4997" t="s">
        <v>26544</v>
      </c>
      <c r="X4997" t="s">
        <v>3</v>
      </c>
      <c r="AA4997" s="5" t="str">
        <f>HYPERLINK("https://www.zillow.com/homes/1268-SNAPPER-RD-NAPERVILLE-IL-60563_rb/","check listing")</f>
        <v>check listing</v>
      </c>
      <c r="AB4997" s="5" t="str">
        <f>HYPERLINK("https://propertylookup.dupagecounty.gov/Datalets/Datalet.aspx?UseSearch=no&amp;mode=sales&amp;pin=0532307016","sales record")</f>
        <v>sales record</v>
      </c>
      <c r="AC4997" t="s">
        <v>3</v>
      </c>
      <c r="AD4997">
        <v>41.816608</v>
      </c>
      <c r="AE4997">
        <v>-88.11940300000001</v>
      </c>
      <c r="AF4997" s="5" t="str">
        <f>HYPERLINK("https://www.google.com/maps/search/?api=1&amp;query=41.816608,-88.119403","map")</f>
        <v>map</v>
      </c>
    </row>
    <row r="4998" spans="1:32">
      <c r="A4998" t="s">
        <v>5048</v>
      </c>
      <c r="B4998" t="s">
        <v>12581</v>
      </c>
      <c r="C4998" t="s">
        <v>15662</v>
      </c>
      <c r="D4998" t="s">
        <v>16206</v>
      </c>
      <c r="E4998" t="s">
        <v>16218</v>
      </c>
      <c r="F4998" t="s">
        <v>16221</v>
      </c>
      <c r="G4998" t="s">
        <v>16278</v>
      </c>
      <c r="H4998" t="s">
        <v>16277</v>
      </c>
      <c r="I4998" t="s">
        <v>16353</v>
      </c>
      <c r="J4998" t="s">
        <v>16386</v>
      </c>
      <c r="K4998">
        <v>0.14</v>
      </c>
      <c r="L4998">
        <v>6118</v>
      </c>
      <c r="N4998" t="s">
        <v>16393</v>
      </c>
      <c r="O4998" s="4">
        <v>56146</v>
      </c>
      <c r="P4998" s="4">
        <v>191192</v>
      </c>
      <c r="Q4998" s="4">
        <v>247338</v>
      </c>
      <c r="R4998" s="4">
        <v>742014</v>
      </c>
      <c r="S4998" t="s">
        <v>21288</v>
      </c>
      <c r="T4998" s="6">
        <v>44803</v>
      </c>
      <c r="U4998" s="4">
        <v>671352</v>
      </c>
      <c r="V4998" t="s">
        <v>16232</v>
      </c>
      <c r="W4998" t="s">
        <v>26545</v>
      </c>
      <c r="X4998" t="s">
        <v>3</v>
      </c>
      <c r="AA4998" s="5" t="str">
        <f>HYPERLINK("https://www.zillow.com/homes/2404-WEATHERBEE-LN-NAPERVILLE-IL-605631594_rb/","check listing")</f>
        <v>check listing</v>
      </c>
      <c r="AB4998" s="5" t="str">
        <f>HYPERLINK("https://propertylookup.dupagecounty.gov/Datalets/Datalet.aspx?UseSearch=no&amp;mode=sales&amp;pin=0532300102","sales record")</f>
        <v>sales record</v>
      </c>
      <c r="AC4998" t="s">
        <v>3</v>
      </c>
      <c r="AD4998">
        <v>41.817292</v>
      </c>
      <c r="AE4998">
        <v>-88.11833300000001</v>
      </c>
      <c r="AF4998" s="5" t="str">
        <f>HYPERLINK("https://www.google.com/maps/search/?api=1&amp;query=41.817292,-88.118333","map")</f>
        <v>map</v>
      </c>
    </row>
    <row r="4999" spans="1:32">
      <c r="A4999" t="s">
        <v>5049</v>
      </c>
      <c r="B4999" t="s">
        <v>12582</v>
      </c>
      <c r="C4999" t="s">
        <v>15478</v>
      </c>
      <c r="D4999" t="s">
        <v>16206</v>
      </c>
      <c r="E4999" t="s">
        <v>16218</v>
      </c>
      <c r="F4999" t="s">
        <v>16221</v>
      </c>
      <c r="G4999" t="s">
        <v>16278</v>
      </c>
      <c r="H4999" t="s">
        <v>16277</v>
      </c>
      <c r="I4999" t="s">
        <v>16353</v>
      </c>
      <c r="J4999" t="s">
        <v>16386</v>
      </c>
      <c r="K4999">
        <v>0.14</v>
      </c>
      <c r="L4999">
        <v>6118</v>
      </c>
      <c r="N4999" t="s">
        <v>16393</v>
      </c>
      <c r="O4999" s="4">
        <v>56146</v>
      </c>
      <c r="P4999" s="4">
        <v>238389</v>
      </c>
      <c r="Q4999" s="4">
        <v>294535</v>
      </c>
      <c r="R4999" s="4">
        <v>883605</v>
      </c>
      <c r="S4999" t="s">
        <v>21289</v>
      </c>
      <c r="T4999" s="6">
        <v>44797</v>
      </c>
      <c r="U4999" s="4">
        <v>749894</v>
      </c>
      <c r="V4999" t="s">
        <v>16232</v>
      </c>
      <c r="W4999" t="s">
        <v>26546</v>
      </c>
      <c r="X4999" t="s">
        <v>3</v>
      </c>
      <c r="AA4999" s="5" t="str">
        <f>HYPERLINK("https://www.zillow.com/homes/1252-SNAPPER-RD-NAPERVILLE-IL-60563_rb/","check listing")</f>
        <v>check listing</v>
      </c>
      <c r="AB4999" s="5" t="str">
        <f>HYPERLINK("https://propertylookup.dupagecounty.gov/Datalets/Datalet.aspx?UseSearch=no&amp;mode=sales&amp;pin=0532307012","sales record")</f>
        <v>sales record</v>
      </c>
      <c r="AC4999" t="s">
        <v>3</v>
      </c>
      <c r="AD4999">
        <v>41.816668</v>
      </c>
      <c r="AE4999">
        <v>-88.12014600000001</v>
      </c>
      <c r="AF4999" s="5" t="str">
        <f>HYPERLINK("https://www.google.com/maps/search/?api=1&amp;query=41.816668,-88.120146","map")</f>
        <v>map</v>
      </c>
    </row>
    <row r="5000" spans="1:32">
      <c r="A5000" t="s">
        <v>5050</v>
      </c>
      <c r="B5000" t="s">
        <v>12583</v>
      </c>
      <c r="C5000" t="s">
        <v>15662</v>
      </c>
      <c r="D5000" t="s">
        <v>16206</v>
      </c>
      <c r="E5000" t="s">
        <v>16218</v>
      </c>
      <c r="F5000" t="s">
        <v>16221</v>
      </c>
      <c r="G5000" t="s">
        <v>16278</v>
      </c>
      <c r="H5000" t="s">
        <v>16277</v>
      </c>
      <c r="I5000" t="s">
        <v>16353</v>
      </c>
      <c r="J5000" t="s">
        <v>16386</v>
      </c>
      <c r="K5000">
        <v>0.14</v>
      </c>
      <c r="L5000">
        <v>6118</v>
      </c>
      <c r="N5000" t="s">
        <v>16393</v>
      </c>
      <c r="O5000" s="4">
        <v>56141</v>
      </c>
      <c r="P5000" s="4">
        <v>212631</v>
      </c>
      <c r="Q5000" s="4">
        <v>268772</v>
      </c>
      <c r="R5000" s="4">
        <v>806316</v>
      </c>
      <c r="S5000" t="s">
        <v>21290</v>
      </c>
      <c r="T5000" s="6">
        <v>45686</v>
      </c>
      <c r="U5000" s="4">
        <v>822224</v>
      </c>
      <c r="V5000" t="s">
        <v>16232</v>
      </c>
      <c r="W5000" t="s">
        <v>26547</v>
      </c>
      <c r="X5000" t="s">
        <v>3</v>
      </c>
      <c r="AA5000" s="5" t="str">
        <f>HYPERLINK("https://www.zillow.com/homes/2320-WEATHERBEE-LN-NAPERVILLE-IL-605631594_rb/","check listing")</f>
        <v>check listing</v>
      </c>
      <c r="AB5000" s="5" t="str">
        <f>HYPERLINK("https://propertylookup.dupagecounty.gov/Datalets/Datalet.aspx?UseSearch=no&amp;mode=sales&amp;pin=0532300105","sales record")</f>
        <v>sales record</v>
      </c>
      <c r="AC5000" t="s">
        <v>3</v>
      </c>
      <c r="AD5000">
        <v>41.816875</v>
      </c>
      <c r="AE5000">
        <v>-88.118394</v>
      </c>
      <c r="AF5000" s="5" t="str">
        <f>HYPERLINK("https://www.google.com/maps/search/?api=1&amp;query=41.816875,-88.118394","map")</f>
        <v>map</v>
      </c>
    </row>
    <row r="5001" spans="1:32">
      <c r="A5001" t="s">
        <v>5051</v>
      </c>
      <c r="B5001" t="s">
        <v>12584</v>
      </c>
      <c r="C5001" t="s">
        <v>15813</v>
      </c>
      <c r="D5001" t="s">
        <v>16206</v>
      </c>
      <c r="E5001" t="s">
        <v>16218</v>
      </c>
      <c r="F5001" t="s">
        <v>16221</v>
      </c>
      <c r="G5001" t="s">
        <v>16277</v>
      </c>
      <c r="H5001" t="s">
        <v>16277</v>
      </c>
      <c r="I5001" t="s">
        <v>16353</v>
      </c>
      <c r="J5001" t="s">
        <v>16386</v>
      </c>
      <c r="K5001">
        <v>0.14</v>
      </c>
      <c r="L5001">
        <v>6118</v>
      </c>
      <c r="M5001">
        <v>1583</v>
      </c>
      <c r="N5001" t="s">
        <v>16393</v>
      </c>
      <c r="O5001" s="4">
        <v>131890</v>
      </c>
      <c r="P5001" s="4">
        <v>104813</v>
      </c>
      <c r="Q5001" s="4">
        <v>236703</v>
      </c>
      <c r="R5001" s="4">
        <v>710109</v>
      </c>
      <c r="S5001" t="s">
        <v>21291</v>
      </c>
      <c r="T5001" s="6">
        <v>43040</v>
      </c>
      <c r="U5001" s="4">
        <v>550000</v>
      </c>
      <c r="V5001" t="s">
        <v>23739</v>
      </c>
      <c r="W5001" t="s">
        <v>21291</v>
      </c>
      <c r="X5001" t="s">
        <v>3</v>
      </c>
      <c r="AA5001" s="5" t="str">
        <f>HYPERLINK("https://www.zillow.com/homes/220-N-ELLSWORTH-ST-NAPERVILLE-IL-605404623_rb/","check listing")</f>
        <v>check listing</v>
      </c>
      <c r="AB5001" s="5" t="str">
        <f>HYPERLINK("https://propertylookup.dupagecounty.gov/Datalets/Datalet.aspx?UseSearch=no&amp;mode=sales&amp;pin=0818132004","sales record")</f>
        <v>sales record</v>
      </c>
      <c r="AC5001" t="s">
        <v>3</v>
      </c>
      <c r="AD5001">
        <v>41.778093</v>
      </c>
      <c r="AE5001">
        <v>-88.14455</v>
      </c>
      <c r="AF5001" s="5" t="str">
        <f>HYPERLINK("https://www.google.com/maps/search/?api=1&amp;query=41.778093,-88.14455","map")</f>
        <v>map</v>
      </c>
    </row>
    <row r="5002" spans="1:32">
      <c r="A5002" t="s">
        <v>5052</v>
      </c>
      <c r="B5002" t="s">
        <v>12585</v>
      </c>
      <c r="C5002" t="s">
        <v>15814</v>
      </c>
      <c r="D5002" t="s">
        <v>16206</v>
      </c>
      <c r="E5002" t="s">
        <v>16218</v>
      </c>
      <c r="F5002" t="s">
        <v>16221</v>
      </c>
      <c r="G5002" t="s">
        <v>16278</v>
      </c>
      <c r="H5002" t="s">
        <v>16277</v>
      </c>
      <c r="I5002" t="s">
        <v>16353</v>
      </c>
      <c r="J5002" t="s">
        <v>16386</v>
      </c>
      <c r="K5002">
        <v>0.14</v>
      </c>
      <c r="L5002">
        <v>6110</v>
      </c>
      <c r="N5002" t="s">
        <v>16393</v>
      </c>
      <c r="O5002" s="4">
        <v>56146</v>
      </c>
      <c r="P5002" s="4">
        <v>175274</v>
      </c>
      <c r="Q5002" s="4">
        <v>231420</v>
      </c>
      <c r="R5002" s="4">
        <v>694260</v>
      </c>
      <c r="S5002" t="s">
        <v>21292</v>
      </c>
      <c r="T5002" s="6">
        <v>45107</v>
      </c>
      <c r="U5002" s="4">
        <v>640100</v>
      </c>
      <c r="V5002" t="s">
        <v>16232</v>
      </c>
      <c r="W5002" t="s">
        <v>26548</v>
      </c>
      <c r="X5002" t="s">
        <v>3</v>
      </c>
      <c r="AA5002" s="5" t="str">
        <f>HYPERLINK("https://www.zillow.com/homes/1175-HIBBARD-RD-NAPERVILLE-IL-605631481_rb/","check listing")</f>
        <v>check listing</v>
      </c>
      <c r="AB5002" s="5" t="str">
        <f>HYPERLINK("https://propertylookup.dupagecounty.gov/Datalets/Datalet.aspx?UseSearch=no&amp;mode=sales&amp;pin=0532302012","sales record")</f>
        <v>sales record</v>
      </c>
      <c r="AC5002" t="s">
        <v>3</v>
      </c>
      <c r="AD5002">
        <v>41.818659</v>
      </c>
      <c r="AE5002">
        <v>-88.122732</v>
      </c>
      <c r="AF5002" s="5" t="str">
        <f>HYPERLINK("https://www.google.com/maps/search/?api=1&amp;query=41.818659,-88.122732","map")</f>
        <v>map</v>
      </c>
    </row>
    <row r="5003" spans="1:32">
      <c r="A5003" t="s">
        <v>5053</v>
      </c>
      <c r="B5003" t="s">
        <v>12586</v>
      </c>
      <c r="C5003" t="s">
        <v>15662</v>
      </c>
      <c r="D5003" t="s">
        <v>16206</v>
      </c>
      <c r="E5003" t="s">
        <v>16218</v>
      </c>
      <c r="F5003" t="s">
        <v>16221</v>
      </c>
      <c r="G5003" t="s">
        <v>16278</v>
      </c>
      <c r="H5003" t="s">
        <v>16277</v>
      </c>
      <c r="I5003" t="s">
        <v>16353</v>
      </c>
      <c r="J5003" t="s">
        <v>16386</v>
      </c>
      <c r="K5003">
        <v>0.14</v>
      </c>
      <c r="L5003">
        <v>6109</v>
      </c>
      <c r="N5003" t="s">
        <v>16393</v>
      </c>
      <c r="O5003" s="4">
        <v>56146</v>
      </c>
      <c r="P5003" s="4">
        <v>212343</v>
      </c>
      <c r="Q5003" s="4">
        <v>268489</v>
      </c>
      <c r="R5003" s="4">
        <v>805467</v>
      </c>
      <c r="S5003" t="s">
        <v>21293</v>
      </c>
      <c r="T5003" s="6">
        <v>45065</v>
      </c>
      <c r="U5003" s="4">
        <v>717673</v>
      </c>
      <c r="V5003" t="s">
        <v>16232</v>
      </c>
      <c r="W5003" t="s">
        <v>26549</v>
      </c>
      <c r="X5003" t="s">
        <v>3</v>
      </c>
      <c r="AA5003" s="5" t="str">
        <f>HYPERLINK("https://www.zillow.com/homes/1179-HIBBARD-RD-NAPERVILLE-IL-605631594_rb/","check listing")</f>
        <v>check listing</v>
      </c>
      <c r="AB5003" s="5" t="str">
        <f>HYPERLINK("https://propertylookup.dupagecounty.gov/Datalets/Datalet.aspx?UseSearch=no&amp;mode=sales&amp;pin=0532302011","sales record")</f>
        <v>sales record</v>
      </c>
      <c r="AC5003" t="s">
        <v>3</v>
      </c>
      <c r="AD5003">
        <v>41.818562</v>
      </c>
      <c r="AE5003">
        <v>-88.122597</v>
      </c>
      <c r="AF5003" s="5" t="str">
        <f>HYPERLINK("https://www.google.com/maps/search/?api=1&amp;query=41.818562,-88.122597","map")</f>
        <v>map</v>
      </c>
    </row>
    <row r="5004" spans="1:32">
      <c r="A5004" t="s">
        <v>5054</v>
      </c>
      <c r="B5004" t="s">
        <v>12587</v>
      </c>
      <c r="C5004" t="s">
        <v>15475</v>
      </c>
      <c r="D5004" t="s">
        <v>16206</v>
      </c>
      <c r="E5004" t="s">
        <v>16218</v>
      </c>
      <c r="F5004" t="s">
        <v>16221</v>
      </c>
      <c r="G5004" t="s">
        <v>16277</v>
      </c>
      <c r="H5004" t="s">
        <v>16277</v>
      </c>
      <c r="I5004" t="s">
        <v>16353</v>
      </c>
      <c r="J5004" t="s">
        <v>16386</v>
      </c>
      <c r="K5004">
        <v>0.14</v>
      </c>
      <c r="L5004">
        <v>6099</v>
      </c>
      <c r="M5004">
        <v>2110</v>
      </c>
      <c r="N5004" t="s">
        <v>16393</v>
      </c>
      <c r="O5004" s="4">
        <v>112127</v>
      </c>
      <c r="P5004" s="4">
        <v>75714</v>
      </c>
      <c r="Q5004" s="4">
        <v>187841</v>
      </c>
      <c r="R5004" s="4">
        <v>563523</v>
      </c>
      <c r="S5004" t="s">
        <v>21294</v>
      </c>
      <c r="T5004" s="6">
        <v>33635</v>
      </c>
      <c r="U5004" s="4">
        <v>161500</v>
      </c>
      <c r="X5004" t="s">
        <v>3</v>
      </c>
      <c r="AA5004" s="5" t="str">
        <f>HYPERLINK("https://www.zillow.com/homes/5-S-BRAINARD-ST-NAPERVILLE-IL-60540_rb/","check listing")</f>
        <v>check listing</v>
      </c>
      <c r="AB5004" s="5" t="str">
        <f>HYPERLINK("https://propertylookup.dupagecounty.gov/Datalets/Datalet.aspx?UseSearch=no&amp;mode=sales&amp;pin=0818314008","sales record")</f>
        <v>sales record</v>
      </c>
      <c r="AC5004" t="s">
        <v>3</v>
      </c>
      <c r="AD5004">
        <v>41.774844</v>
      </c>
      <c r="AE5004">
        <v>-88.144006</v>
      </c>
      <c r="AF5004" s="5" t="str">
        <f>HYPERLINK("https://www.google.com/maps/search/?api=1&amp;query=41.774844,-88.144006","map")</f>
        <v>map</v>
      </c>
    </row>
    <row r="5005" spans="1:32">
      <c r="A5005" t="s">
        <v>5055</v>
      </c>
      <c r="B5005" t="s">
        <v>12588</v>
      </c>
      <c r="C5005" t="s">
        <v>15662</v>
      </c>
      <c r="D5005" t="s">
        <v>16206</v>
      </c>
      <c r="E5005" t="s">
        <v>16218</v>
      </c>
      <c r="F5005" t="s">
        <v>16221</v>
      </c>
      <c r="G5005" t="s">
        <v>16278</v>
      </c>
      <c r="H5005" t="s">
        <v>16277</v>
      </c>
      <c r="I5005" t="s">
        <v>16353</v>
      </c>
      <c r="J5005" t="s">
        <v>16386</v>
      </c>
      <c r="K5005">
        <v>0.14</v>
      </c>
      <c r="L5005">
        <v>6096</v>
      </c>
      <c r="N5005" t="s">
        <v>16393</v>
      </c>
      <c r="O5005" s="4">
        <v>56146</v>
      </c>
      <c r="P5005" s="4">
        <v>188553</v>
      </c>
      <c r="Q5005" s="4">
        <v>244699</v>
      </c>
      <c r="R5005" s="4">
        <v>734097</v>
      </c>
      <c r="S5005" t="s">
        <v>21295</v>
      </c>
      <c r="T5005" s="6">
        <v>45030</v>
      </c>
      <c r="U5005" s="4">
        <v>700781</v>
      </c>
      <c r="V5005" t="s">
        <v>16232</v>
      </c>
      <c r="W5005" t="s">
        <v>26550</v>
      </c>
      <c r="X5005" t="s">
        <v>3</v>
      </c>
      <c r="AA5005" s="5" t="str">
        <f>HYPERLINK("https://www.zillow.com/homes/1184-HIBBARD-RD-NAPERVILLE-IL-605631594_rb/","check listing")</f>
        <v>check listing</v>
      </c>
      <c r="AB5005" s="5" t="str">
        <f>HYPERLINK("https://propertylookup.dupagecounty.gov/Datalets/Datalet.aspx?UseSearch=no&amp;mode=sales&amp;pin=0532300030","sales record")</f>
        <v>sales record</v>
      </c>
      <c r="AC5005" t="s">
        <v>3</v>
      </c>
      <c r="AD5005">
        <v>41.818073</v>
      </c>
      <c r="AE5005">
        <v>-88.12290299999999</v>
      </c>
      <c r="AF5005" s="5" t="str">
        <f>HYPERLINK("https://www.google.com/maps/search/?api=1&amp;query=41.818073,-88.122903","map")</f>
        <v>map</v>
      </c>
    </row>
    <row r="5006" spans="1:32">
      <c r="A5006" t="s">
        <v>5056</v>
      </c>
      <c r="B5006" t="s">
        <v>12589</v>
      </c>
      <c r="C5006" t="s">
        <v>15662</v>
      </c>
      <c r="D5006" t="s">
        <v>16206</v>
      </c>
      <c r="E5006" t="s">
        <v>16218</v>
      </c>
      <c r="F5006" t="s">
        <v>16221</v>
      </c>
      <c r="G5006" t="s">
        <v>16278</v>
      </c>
      <c r="H5006" t="s">
        <v>16277</v>
      </c>
      <c r="I5006" t="s">
        <v>16353</v>
      </c>
      <c r="J5006" t="s">
        <v>16386</v>
      </c>
      <c r="K5006">
        <v>0.14</v>
      </c>
      <c r="L5006">
        <v>6091</v>
      </c>
      <c r="N5006" t="s">
        <v>16393</v>
      </c>
      <c r="O5006" s="4">
        <v>56146</v>
      </c>
      <c r="P5006" s="4">
        <v>188930</v>
      </c>
      <c r="Q5006" s="4">
        <v>245076</v>
      </c>
      <c r="R5006" s="4">
        <v>735228</v>
      </c>
      <c r="S5006" t="s">
        <v>21296</v>
      </c>
      <c r="T5006" s="6">
        <v>45188</v>
      </c>
      <c r="U5006" s="4">
        <v>685494</v>
      </c>
      <c r="V5006" t="s">
        <v>16232</v>
      </c>
      <c r="W5006" t="s">
        <v>26551</v>
      </c>
      <c r="X5006" t="s">
        <v>3</v>
      </c>
      <c r="AA5006" s="5" t="str">
        <f>HYPERLINK("https://www.zillow.com/homes/1180-HIBBARD-RD-NAPERVILLE-IL-605631594_rb/","check listing")</f>
        <v>check listing</v>
      </c>
      <c r="AB5006" s="5" t="str">
        <f>HYPERLINK("https://propertylookup.dupagecounty.gov/Datalets/Datalet.aspx?UseSearch=no&amp;mode=sales&amp;pin=0532300031","sales record")</f>
        <v>sales record</v>
      </c>
      <c r="AC5006" t="s">
        <v>3</v>
      </c>
      <c r="AD5006">
        <v>41.818171</v>
      </c>
      <c r="AE5006">
        <v>-88.12303799999999</v>
      </c>
      <c r="AF5006" s="5" t="str">
        <f>HYPERLINK("https://www.google.com/maps/search/?api=1&amp;query=41.818171,-88.123038","map")</f>
        <v>map</v>
      </c>
    </row>
    <row r="5007" spans="1:32">
      <c r="A5007" t="s">
        <v>5057</v>
      </c>
      <c r="B5007" t="s">
        <v>12590</v>
      </c>
      <c r="C5007" t="s">
        <v>15662</v>
      </c>
      <c r="D5007" t="s">
        <v>16206</v>
      </c>
      <c r="E5007" t="s">
        <v>16218</v>
      </c>
      <c r="F5007" t="s">
        <v>16221</v>
      </c>
      <c r="G5007" t="s">
        <v>16278</v>
      </c>
      <c r="H5007" t="s">
        <v>16277</v>
      </c>
      <c r="I5007" t="s">
        <v>16353</v>
      </c>
      <c r="J5007" t="s">
        <v>16386</v>
      </c>
      <c r="K5007">
        <v>0.14</v>
      </c>
      <c r="L5007">
        <v>6086</v>
      </c>
      <c r="N5007" t="s">
        <v>16393</v>
      </c>
      <c r="O5007" s="4">
        <v>56146</v>
      </c>
      <c r="P5007" s="4">
        <v>226129</v>
      </c>
      <c r="Q5007" s="4">
        <v>282275</v>
      </c>
      <c r="R5007" s="4">
        <v>846825</v>
      </c>
      <c r="S5007" t="s">
        <v>21297</v>
      </c>
      <c r="T5007" s="6">
        <v>45062</v>
      </c>
      <c r="U5007" s="4">
        <v>754525</v>
      </c>
      <c r="V5007" t="s">
        <v>16232</v>
      </c>
      <c r="W5007" t="s">
        <v>26552</v>
      </c>
      <c r="X5007" t="s">
        <v>3</v>
      </c>
      <c r="AA5007" s="5" t="str">
        <f>HYPERLINK("https://www.zillow.com/homes/1176-HIBBARD-RD-NAPERVILLE-IL-605631594_rb/","check listing")</f>
        <v>check listing</v>
      </c>
      <c r="AB5007" s="5" t="str">
        <f>HYPERLINK("https://propertylookup.dupagecounty.gov/Datalets/Datalet.aspx?UseSearch=no&amp;mode=sales&amp;pin=0532300032","sales record")</f>
        <v>sales record</v>
      </c>
      <c r="AC5007" t="s">
        <v>3</v>
      </c>
      <c r="AD5007">
        <v>41.818268</v>
      </c>
      <c r="AE5007">
        <v>-88.123172</v>
      </c>
      <c r="AF5007" s="5" t="str">
        <f>HYPERLINK("https://www.google.com/maps/search/?api=1&amp;query=41.818268,-88.123172","map")</f>
        <v>map</v>
      </c>
    </row>
    <row r="5008" spans="1:32">
      <c r="A5008" t="s">
        <v>5058</v>
      </c>
      <c r="B5008" t="s">
        <v>12591</v>
      </c>
      <c r="C5008" t="s">
        <v>15662</v>
      </c>
      <c r="D5008" t="s">
        <v>16206</v>
      </c>
      <c r="E5008" t="s">
        <v>16218</v>
      </c>
      <c r="F5008" t="s">
        <v>16221</v>
      </c>
      <c r="G5008" t="s">
        <v>16278</v>
      </c>
      <c r="H5008" t="s">
        <v>16277</v>
      </c>
      <c r="I5008" t="s">
        <v>16353</v>
      </c>
      <c r="J5008" t="s">
        <v>16386</v>
      </c>
      <c r="K5008">
        <v>0.14</v>
      </c>
      <c r="L5008">
        <v>6079</v>
      </c>
      <c r="N5008" t="s">
        <v>16393</v>
      </c>
      <c r="O5008" s="4">
        <v>56146</v>
      </c>
      <c r="P5008" s="4">
        <v>181543</v>
      </c>
      <c r="Q5008" s="4">
        <v>237689</v>
      </c>
      <c r="R5008" s="4">
        <v>713067</v>
      </c>
      <c r="S5008" t="s">
        <v>21298</v>
      </c>
      <c r="T5008" s="6">
        <v>45091</v>
      </c>
      <c r="U5008" s="4">
        <v>657885</v>
      </c>
      <c r="V5008" t="s">
        <v>16232</v>
      </c>
      <c r="W5008" t="s">
        <v>26553</v>
      </c>
      <c r="X5008" t="s">
        <v>3</v>
      </c>
      <c r="AA5008" s="5" t="str">
        <f>HYPERLINK("https://www.zillow.com/homes/1172-HIBBARD-RD-NAPERVILLE-IL-605631594_rb/","check listing")</f>
        <v>check listing</v>
      </c>
      <c r="AB5008" s="5" t="str">
        <f>HYPERLINK("https://propertylookup.dupagecounty.gov/Datalets/Datalet.aspx?UseSearch=no&amp;mode=sales&amp;pin=0532300033","sales record")</f>
        <v>sales record</v>
      </c>
      <c r="AC5008" t="s">
        <v>3</v>
      </c>
      <c r="AD5008">
        <v>41.818366</v>
      </c>
      <c r="AE5008">
        <v>-88.123306</v>
      </c>
      <c r="AF5008" s="5" t="str">
        <f>HYPERLINK("https://www.google.com/maps/search/?api=1&amp;query=41.818366,-88.123306","map")</f>
        <v>map</v>
      </c>
    </row>
    <row r="5009" spans="1:32">
      <c r="A5009" t="s">
        <v>5059</v>
      </c>
      <c r="B5009" t="s">
        <v>12592</v>
      </c>
      <c r="C5009" t="s">
        <v>15475</v>
      </c>
      <c r="D5009" t="s">
        <v>16206</v>
      </c>
      <c r="E5009" t="s">
        <v>16218</v>
      </c>
      <c r="F5009" t="s">
        <v>16221</v>
      </c>
      <c r="G5009" t="s">
        <v>16277</v>
      </c>
      <c r="H5009" t="s">
        <v>16277</v>
      </c>
      <c r="I5009" t="s">
        <v>16353</v>
      </c>
      <c r="J5009" t="s">
        <v>16386</v>
      </c>
      <c r="K5009">
        <v>0.14</v>
      </c>
      <c r="L5009">
        <v>6078</v>
      </c>
      <c r="M5009">
        <v>1220</v>
      </c>
      <c r="N5009" t="s">
        <v>16393</v>
      </c>
      <c r="O5009" s="4">
        <v>108919</v>
      </c>
      <c r="P5009" s="4">
        <v>50273</v>
      </c>
      <c r="Q5009" s="4">
        <v>159192</v>
      </c>
      <c r="R5009" s="4">
        <v>477576</v>
      </c>
      <c r="S5009" t="s">
        <v>21299</v>
      </c>
      <c r="T5009" s="6">
        <v>35247</v>
      </c>
      <c r="U5009" s="4">
        <v>125000</v>
      </c>
      <c r="X5009" t="s">
        <v>3</v>
      </c>
      <c r="AA5009" s="5" t="str">
        <f>HYPERLINK("https://www.zillow.com/homes/640-S-MAIN-ST-NAPERVILLE-IL-60540_rb/","check listing")</f>
        <v>check listing</v>
      </c>
      <c r="AB5009" s="5" t="str">
        <f>HYPERLINK("https://propertylookup.dupagecounty.gov/Datalets/Datalet.aspx?UseSearch=no&amp;mode=sales&amp;pin=0724205008","sales record")</f>
        <v>sales record</v>
      </c>
      <c r="AC5009" t="s">
        <v>27873</v>
      </c>
      <c r="AD5009">
        <v>41.766802</v>
      </c>
      <c r="AE5009">
        <v>-88.149512</v>
      </c>
      <c r="AF5009" s="5" t="str">
        <f>HYPERLINK("https://www.google.com/maps/search/?api=1&amp;query=41.766802,-88.149512","map")</f>
        <v>map</v>
      </c>
    </row>
    <row r="5010" spans="1:32">
      <c r="A5010" t="s">
        <v>5060</v>
      </c>
      <c r="B5010" t="s">
        <v>12593</v>
      </c>
      <c r="C5010" t="s">
        <v>15478</v>
      </c>
      <c r="D5010" t="s">
        <v>16206</v>
      </c>
      <c r="E5010" t="s">
        <v>16218</v>
      </c>
      <c r="F5010" t="s">
        <v>16221</v>
      </c>
      <c r="G5010" t="s">
        <v>16278</v>
      </c>
      <c r="H5010" t="s">
        <v>16277</v>
      </c>
      <c r="I5010" t="s">
        <v>16353</v>
      </c>
      <c r="J5010" t="s">
        <v>16386</v>
      </c>
      <c r="K5010">
        <v>0.139</v>
      </c>
      <c r="L5010">
        <v>6062</v>
      </c>
      <c r="N5010" t="s">
        <v>16393</v>
      </c>
      <c r="O5010" s="4">
        <v>56146</v>
      </c>
      <c r="P5010" s="4">
        <v>242496</v>
      </c>
      <c r="Q5010" s="4">
        <v>298642</v>
      </c>
      <c r="R5010" s="4">
        <v>895926</v>
      </c>
      <c r="S5010" t="s">
        <v>21300</v>
      </c>
      <c r="T5010" s="6">
        <v>44861</v>
      </c>
      <c r="U5010" s="4">
        <v>712061</v>
      </c>
      <c r="V5010" t="s">
        <v>16232</v>
      </c>
      <c r="W5010" t="s">
        <v>26554</v>
      </c>
      <c r="X5010" t="s">
        <v>3</v>
      </c>
      <c r="AA5010" s="5" t="str">
        <f>HYPERLINK("https://www.zillow.com/homes/2327-LUCENT-LN-NAPERVILLE-IL-60563_rb/","check listing")</f>
        <v>check listing</v>
      </c>
      <c r="AB5010" s="5" t="str">
        <f>HYPERLINK("https://propertylookup.dupagecounty.gov/Datalets/Datalet.aspx?UseSearch=no&amp;mode=sales&amp;pin=0532300024","sales record")</f>
        <v>sales record</v>
      </c>
      <c r="AC5010" t="s">
        <v>3</v>
      </c>
      <c r="AD5010">
        <v>41.817246</v>
      </c>
      <c r="AE5010">
        <v>-88.122822</v>
      </c>
      <c r="AF5010" s="5" t="str">
        <f>HYPERLINK("https://www.google.com/maps/search/?api=1&amp;query=41.817246,-88.122822","map")</f>
        <v>map</v>
      </c>
    </row>
    <row r="5011" spans="1:32">
      <c r="A5011" t="s">
        <v>5061</v>
      </c>
      <c r="B5011" t="s">
        <v>12594</v>
      </c>
      <c r="C5011" t="s">
        <v>15623</v>
      </c>
      <c r="D5011" t="s">
        <v>16206</v>
      </c>
      <c r="E5011" t="s">
        <v>16218</v>
      </c>
      <c r="F5011" t="s">
        <v>16221</v>
      </c>
      <c r="G5011" t="s">
        <v>16277</v>
      </c>
      <c r="H5011" t="s">
        <v>16277</v>
      </c>
      <c r="I5011" t="s">
        <v>16353</v>
      </c>
      <c r="J5011" t="s">
        <v>16386</v>
      </c>
      <c r="K5011">
        <v>0.139</v>
      </c>
      <c r="L5011">
        <v>6062</v>
      </c>
      <c r="M5011">
        <v>2011</v>
      </c>
      <c r="N5011" t="s">
        <v>16393</v>
      </c>
      <c r="O5011" s="4">
        <v>108565</v>
      </c>
      <c r="P5011" s="4">
        <v>76770</v>
      </c>
      <c r="Q5011" s="4">
        <v>185335</v>
      </c>
      <c r="R5011" s="4">
        <v>556005</v>
      </c>
      <c r="S5011" t="s">
        <v>21301</v>
      </c>
      <c r="T5011" s="6">
        <v>42736</v>
      </c>
      <c r="U5011" s="4">
        <v>535500</v>
      </c>
      <c r="V5011" t="s">
        <v>23739</v>
      </c>
      <c r="W5011" t="s">
        <v>21301</v>
      </c>
      <c r="X5011" t="s">
        <v>3</v>
      </c>
      <c r="AA5011" s="5" t="str">
        <f>HYPERLINK("https://www.zillow.com/homes/306-SPRING-AVE-NAPERVILLE-IL-605404448_rb/","check listing")</f>
        <v>check listing</v>
      </c>
      <c r="AB5011" s="5" t="str">
        <f>HYPERLINK("https://propertylookup.dupagecounty.gov/Datalets/Datalet.aspx?UseSearch=no&amp;mode=sales&amp;pin=0713224008","sales record")</f>
        <v>sales record</v>
      </c>
      <c r="AC5011" t="s">
        <v>27873</v>
      </c>
      <c r="AD5011">
        <v>41.778179</v>
      </c>
      <c r="AE5011">
        <v>-88.15291999999999</v>
      </c>
      <c r="AF5011" s="5" t="str">
        <f>HYPERLINK("https://www.google.com/maps/search/?api=1&amp;query=41.778179,-88.15292","map")</f>
        <v>map</v>
      </c>
    </row>
    <row r="5012" spans="1:32">
      <c r="A5012" t="s">
        <v>5062</v>
      </c>
      <c r="B5012" t="s">
        <v>12595</v>
      </c>
      <c r="C5012" t="s">
        <v>15478</v>
      </c>
      <c r="D5012" t="s">
        <v>16206</v>
      </c>
      <c r="E5012" t="s">
        <v>16218</v>
      </c>
      <c r="F5012" t="s">
        <v>16221</v>
      </c>
      <c r="G5012" t="s">
        <v>16278</v>
      </c>
      <c r="H5012" t="s">
        <v>16277</v>
      </c>
      <c r="I5012" t="s">
        <v>16353</v>
      </c>
      <c r="J5012" t="s">
        <v>16386</v>
      </c>
      <c r="K5012">
        <v>0.139</v>
      </c>
      <c r="L5012">
        <v>6058</v>
      </c>
      <c r="N5012" t="s">
        <v>16393</v>
      </c>
      <c r="O5012" s="4">
        <v>56146</v>
      </c>
      <c r="P5012" s="4">
        <v>234424</v>
      </c>
      <c r="Q5012" s="4">
        <v>290570</v>
      </c>
      <c r="R5012" s="4">
        <v>871710</v>
      </c>
      <c r="S5012" t="s">
        <v>21302</v>
      </c>
      <c r="T5012" s="6">
        <v>44861</v>
      </c>
      <c r="U5012" s="4">
        <v>771448</v>
      </c>
      <c r="V5012" t="s">
        <v>16232</v>
      </c>
      <c r="W5012" t="s">
        <v>26555</v>
      </c>
      <c r="X5012" t="s">
        <v>3</v>
      </c>
      <c r="AA5012" s="5" t="str">
        <f>HYPERLINK("https://www.zillow.com/homes/2323-LUCENT-LN-NAPERVILLE-IL-60563_rb/","check listing")</f>
        <v>check listing</v>
      </c>
      <c r="AB5012" s="5" t="str">
        <f>HYPERLINK("https://propertylookup.dupagecounty.gov/Datalets/Datalet.aspx?UseSearch=no&amp;mode=sales&amp;pin=0532300023","sales record")</f>
        <v>sales record</v>
      </c>
      <c r="AC5012" t="s">
        <v>3</v>
      </c>
      <c r="AD5012">
        <v>41.817109</v>
      </c>
      <c r="AE5012">
        <v>-88.12286400000001</v>
      </c>
      <c r="AF5012" s="5" t="str">
        <f>HYPERLINK("https://www.google.com/maps/search/?api=1&amp;query=41.817109,-88.122864","map")</f>
        <v>map</v>
      </c>
    </row>
    <row r="5013" spans="1:32">
      <c r="A5013" t="s">
        <v>5063</v>
      </c>
      <c r="B5013" t="s">
        <v>12596</v>
      </c>
      <c r="C5013" t="s">
        <v>15662</v>
      </c>
      <c r="D5013" t="s">
        <v>16206</v>
      </c>
      <c r="E5013" t="s">
        <v>16218</v>
      </c>
      <c r="F5013" t="s">
        <v>16221</v>
      </c>
      <c r="G5013" t="s">
        <v>16278</v>
      </c>
      <c r="H5013" t="s">
        <v>16277</v>
      </c>
      <c r="I5013" t="s">
        <v>16353</v>
      </c>
      <c r="J5013" t="s">
        <v>16386</v>
      </c>
      <c r="K5013">
        <v>0.139</v>
      </c>
      <c r="L5013">
        <v>6057</v>
      </c>
      <c r="N5013" t="s">
        <v>16393</v>
      </c>
      <c r="O5013" s="4">
        <v>56146</v>
      </c>
      <c r="P5013" s="4">
        <v>190686</v>
      </c>
      <c r="Q5013" s="4">
        <v>246832</v>
      </c>
      <c r="R5013" s="4">
        <v>740496</v>
      </c>
      <c r="S5013" t="s">
        <v>21303</v>
      </c>
      <c r="T5013" s="6">
        <v>44789</v>
      </c>
      <c r="U5013" s="4">
        <v>647951</v>
      </c>
      <c r="V5013" t="s">
        <v>16232</v>
      </c>
      <c r="W5013" t="s">
        <v>26556</v>
      </c>
      <c r="X5013" t="s">
        <v>3</v>
      </c>
      <c r="AA5013" s="5" t="str">
        <f>HYPERLINK("https://www.zillow.com/homes/2319-LUCENT-LN-NAPERVILLE-IL-605631594_rb/","check listing")</f>
        <v>check listing</v>
      </c>
      <c r="AB5013" s="5" t="str">
        <f>HYPERLINK("https://propertylookup.dupagecounty.gov/Datalets/Datalet.aspx?UseSearch=no&amp;mode=sales&amp;pin=0532300022","sales record")</f>
        <v>sales record</v>
      </c>
      <c r="AC5013" t="s">
        <v>3</v>
      </c>
      <c r="AD5013">
        <v>41.816973</v>
      </c>
      <c r="AE5013">
        <v>-88.122906</v>
      </c>
      <c r="AF5013" s="5" t="str">
        <f>HYPERLINK("https://www.google.com/maps/search/?api=1&amp;query=41.816973,-88.122906","map")</f>
        <v>map</v>
      </c>
    </row>
    <row r="5014" spans="1:32">
      <c r="A5014" t="s">
        <v>5064</v>
      </c>
      <c r="B5014" t="s">
        <v>12597</v>
      </c>
      <c r="C5014" t="s">
        <v>15478</v>
      </c>
      <c r="D5014" t="s">
        <v>16206</v>
      </c>
      <c r="E5014" t="s">
        <v>16218</v>
      </c>
      <c r="F5014" t="s">
        <v>16221</v>
      </c>
      <c r="G5014" t="s">
        <v>16278</v>
      </c>
      <c r="H5014" t="s">
        <v>16277</v>
      </c>
      <c r="I5014" t="s">
        <v>16353</v>
      </c>
      <c r="J5014" t="s">
        <v>16386</v>
      </c>
      <c r="K5014">
        <v>0.139</v>
      </c>
      <c r="L5014">
        <v>6055</v>
      </c>
      <c r="N5014" t="s">
        <v>16393</v>
      </c>
      <c r="O5014" s="4">
        <v>56146</v>
      </c>
      <c r="P5014" s="4">
        <v>188553</v>
      </c>
      <c r="Q5014" s="4">
        <v>244699</v>
      </c>
      <c r="R5014" s="4">
        <v>734097</v>
      </c>
      <c r="S5014" t="s">
        <v>21304</v>
      </c>
      <c r="T5014" s="6">
        <v>44756</v>
      </c>
      <c r="U5014" s="4">
        <v>602399</v>
      </c>
      <c r="V5014" t="s">
        <v>16232</v>
      </c>
      <c r="W5014" t="s">
        <v>26557</v>
      </c>
      <c r="X5014" t="s">
        <v>3</v>
      </c>
      <c r="AA5014" s="5" t="str">
        <f>HYPERLINK("https://www.zillow.com/homes/2315-LUCENT-LN-NAPERVILLE-IL-60563_rb/","check listing")</f>
        <v>check listing</v>
      </c>
      <c r="AB5014" s="5" t="str">
        <f>HYPERLINK("https://propertylookup.dupagecounty.gov/Datalets/Datalet.aspx?UseSearch=no&amp;mode=sales&amp;pin=0532300021","sales record")</f>
        <v>sales record</v>
      </c>
      <c r="AC5014" t="s">
        <v>3</v>
      </c>
      <c r="AD5014">
        <v>41.816837</v>
      </c>
      <c r="AE5014">
        <v>-88.122947</v>
      </c>
      <c r="AF5014" s="5" t="str">
        <f>HYPERLINK("https://www.google.com/maps/search/?api=1&amp;query=41.816837,-88.122947","map")</f>
        <v>map</v>
      </c>
    </row>
    <row r="5015" spans="1:32">
      <c r="A5015" t="s">
        <v>5065</v>
      </c>
      <c r="B5015" t="s">
        <v>12598</v>
      </c>
      <c r="C5015" t="s">
        <v>15662</v>
      </c>
      <c r="D5015" t="s">
        <v>16206</v>
      </c>
      <c r="E5015" t="s">
        <v>16218</v>
      </c>
      <c r="F5015" t="s">
        <v>16221</v>
      </c>
      <c r="G5015" t="s">
        <v>16278</v>
      </c>
      <c r="H5015" t="s">
        <v>16277</v>
      </c>
      <c r="I5015" t="s">
        <v>16353</v>
      </c>
      <c r="J5015" t="s">
        <v>16386</v>
      </c>
      <c r="K5015">
        <v>0.139</v>
      </c>
      <c r="L5015">
        <v>6054</v>
      </c>
      <c r="N5015" t="s">
        <v>16393</v>
      </c>
      <c r="O5015" s="4">
        <v>56146</v>
      </c>
      <c r="P5015" s="4">
        <v>222983</v>
      </c>
      <c r="Q5015" s="4">
        <v>279129</v>
      </c>
      <c r="R5015" s="4">
        <v>837387</v>
      </c>
      <c r="S5015" t="s">
        <v>21305</v>
      </c>
      <c r="T5015" s="6">
        <v>45472</v>
      </c>
      <c r="U5015" s="4">
        <v>835000</v>
      </c>
      <c r="V5015" t="s">
        <v>23739</v>
      </c>
      <c r="W5015" t="s">
        <v>26558</v>
      </c>
      <c r="X5015" t="s">
        <v>3</v>
      </c>
      <c r="AA5015" s="5" t="str">
        <f>HYPERLINK("https://www.zillow.com/homes/2311-LUCENT-LN-NAPERVILLE-IL-605631594_rb/","check listing")</f>
        <v>check listing</v>
      </c>
      <c r="AB5015" s="5" t="str">
        <f>HYPERLINK("https://propertylookup.dupagecounty.gov/Datalets/Datalet.aspx?UseSearch=no&amp;mode=sales&amp;pin=0532300020","sales record")</f>
        <v>sales record</v>
      </c>
      <c r="AC5015" t="s">
        <v>3</v>
      </c>
      <c r="AD5015">
        <v>41.8167</v>
      </c>
      <c r="AE5015">
        <v>-88.122989</v>
      </c>
      <c r="AF5015" s="5" t="str">
        <f>HYPERLINK("https://www.google.com/maps/search/?api=1&amp;query=41.8167,-88.122989","map")</f>
        <v>map</v>
      </c>
    </row>
    <row r="5016" spans="1:32">
      <c r="A5016" t="s">
        <v>5066</v>
      </c>
      <c r="B5016" t="s">
        <v>12599</v>
      </c>
      <c r="C5016" t="s">
        <v>15478</v>
      </c>
      <c r="D5016" t="s">
        <v>16206</v>
      </c>
      <c r="E5016" t="s">
        <v>16218</v>
      </c>
      <c r="F5016" t="s">
        <v>16221</v>
      </c>
      <c r="G5016" t="s">
        <v>16278</v>
      </c>
      <c r="H5016" t="s">
        <v>16277</v>
      </c>
      <c r="I5016" t="s">
        <v>16353</v>
      </c>
      <c r="J5016" t="s">
        <v>16386</v>
      </c>
      <c r="K5016">
        <v>0.139</v>
      </c>
      <c r="L5016">
        <v>6047</v>
      </c>
      <c r="M5016">
        <v>1940</v>
      </c>
      <c r="N5016" t="s">
        <v>16393</v>
      </c>
      <c r="O5016" s="4">
        <v>62735</v>
      </c>
      <c r="P5016" s="4">
        <v>121771</v>
      </c>
      <c r="Q5016" s="4">
        <v>184506</v>
      </c>
      <c r="R5016" s="4">
        <v>553518</v>
      </c>
      <c r="S5016" t="s">
        <v>21306</v>
      </c>
      <c r="T5016" s="6">
        <v>35247</v>
      </c>
      <c r="U5016" s="4">
        <v>170000</v>
      </c>
      <c r="X5016" t="s">
        <v>3</v>
      </c>
      <c r="AA5016" s="5" t="str">
        <f>HYPERLINK("https://www.zillow.com/homes/1550-WEDGEFIELD-CIR-NAPERVILLE-IL-60563_rb/","check listing")</f>
        <v>check listing</v>
      </c>
      <c r="AB5016" s="5" t="str">
        <f>HYPERLINK("https://propertylookup.dupagecounty.gov/Datalets/Datalet.aspx?UseSearch=no&amp;mode=sales&amp;pin=0712107007","sales record")</f>
        <v>sales record</v>
      </c>
      <c r="AC5016" t="s">
        <v>3</v>
      </c>
      <c r="AD5016">
        <v>41.795188</v>
      </c>
      <c r="AE5016">
        <v>-88.15827299999999</v>
      </c>
      <c r="AF5016" s="5" t="str">
        <f>HYPERLINK("https://www.google.com/maps/search/?api=1&amp;query=41.795188,-88.158273","map")</f>
        <v>map</v>
      </c>
    </row>
    <row r="5017" spans="1:32">
      <c r="A5017" t="s">
        <v>5067</v>
      </c>
      <c r="B5017" t="s">
        <v>12600</v>
      </c>
      <c r="C5017" t="s">
        <v>15475</v>
      </c>
      <c r="D5017" t="s">
        <v>16206</v>
      </c>
      <c r="E5017" t="s">
        <v>16218</v>
      </c>
      <c r="F5017" t="s">
        <v>16221</v>
      </c>
      <c r="G5017" t="s">
        <v>16277</v>
      </c>
      <c r="H5017" t="s">
        <v>16277</v>
      </c>
      <c r="I5017" t="s">
        <v>16353</v>
      </c>
      <c r="J5017" t="s">
        <v>16386</v>
      </c>
      <c r="K5017">
        <v>0.139</v>
      </c>
      <c r="L5017">
        <v>6046</v>
      </c>
      <c r="M5017">
        <v>1423</v>
      </c>
      <c r="N5017" t="s">
        <v>16393</v>
      </c>
      <c r="O5017" s="4">
        <v>98776</v>
      </c>
      <c r="P5017" s="4">
        <v>74573</v>
      </c>
      <c r="Q5017" s="4">
        <v>173349</v>
      </c>
      <c r="R5017" s="4">
        <v>520047</v>
      </c>
      <c r="S5017" t="s">
        <v>21307</v>
      </c>
      <c r="T5017" s="6">
        <v>45512</v>
      </c>
      <c r="U5017" s="4">
        <v>680000</v>
      </c>
      <c r="V5017" t="s">
        <v>23739</v>
      </c>
      <c r="W5017" t="s">
        <v>26559</v>
      </c>
      <c r="X5017" t="s">
        <v>3</v>
      </c>
      <c r="AA5017" s="5" t="str">
        <f>HYPERLINK("https://www.zillow.com/homes/15-W-FRANKLIN-AVE-NAPERVILLE-IL-60540_rb/","check listing")</f>
        <v>check listing</v>
      </c>
      <c r="AB5017" s="5" t="str">
        <f>HYPERLINK("https://propertylookup.dupagecounty.gov/Datalets/Datalet.aspx?UseSearch=no&amp;mode=sales&amp;pin=0713404021","sales record")</f>
        <v>sales record</v>
      </c>
      <c r="AC5017" t="s">
        <v>3</v>
      </c>
      <c r="AD5017">
        <v>41.776313</v>
      </c>
      <c r="AE5017">
        <v>-88.148291</v>
      </c>
      <c r="AF5017" s="5" t="str">
        <f>HYPERLINK("https://www.google.com/maps/search/?api=1&amp;query=41.776313,-88.148291","map")</f>
        <v>map</v>
      </c>
    </row>
    <row r="5018" spans="1:32">
      <c r="A5018" t="s">
        <v>5068</v>
      </c>
      <c r="B5018" t="s">
        <v>12601</v>
      </c>
      <c r="C5018" t="s">
        <v>15475</v>
      </c>
      <c r="D5018" t="s">
        <v>16206</v>
      </c>
      <c r="E5018" t="s">
        <v>16218</v>
      </c>
      <c r="F5018" t="s">
        <v>16221</v>
      </c>
      <c r="G5018" t="s">
        <v>16277</v>
      </c>
      <c r="H5018" t="s">
        <v>16277</v>
      </c>
      <c r="I5018" t="s">
        <v>16353</v>
      </c>
      <c r="J5018" t="s">
        <v>16386</v>
      </c>
      <c r="K5018">
        <v>0.139</v>
      </c>
      <c r="L5018">
        <v>6046</v>
      </c>
      <c r="M5018">
        <v>2737</v>
      </c>
      <c r="N5018" t="s">
        <v>16393</v>
      </c>
      <c r="O5018" s="4">
        <v>108565</v>
      </c>
      <c r="P5018" s="4">
        <v>99105</v>
      </c>
      <c r="Q5018" s="4">
        <v>207670</v>
      </c>
      <c r="R5018" s="4">
        <v>623010</v>
      </c>
      <c r="S5018" t="s">
        <v>21308</v>
      </c>
      <c r="T5018" s="6">
        <v>36281</v>
      </c>
      <c r="U5018" s="4">
        <v>268500</v>
      </c>
      <c r="X5018" t="s">
        <v>3</v>
      </c>
      <c r="AA5018" s="5" t="str">
        <f>HYPERLINK("https://www.zillow.com/homes/337-W-DOUGLAS-AVE-NAPERVILLE-IL-60540_rb/","check listing")</f>
        <v>check listing</v>
      </c>
      <c r="AB5018" s="5" t="str">
        <f>HYPERLINK("https://propertylookup.dupagecounty.gov/Datalets/Datalet.aspx?UseSearch=no&amp;mode=sales&amp;pin=0713224013","sales record")</f>
        <v>sales record</v>
      </c>
      <c r="AC5018" t="s">
        <v>3</v>
      </c>
      <c r="AD5018">
        <v>41.777544</v>
      </c>
      <c r="AE5018">
        <v>-88.154051</v>
      </c>
      <c r="AF5018" s="5" t="str">
        <f>HYPERLINK("https://www.google.com/maps/search/?api=1&amp;query=41.777544,-88.154051","map")</f>
        <v>map</v>
      </c>
    </row>
    <row r="5019" spans="1:32">
      <c r="A5019" t="s">
        <v>5069</v>
      </c>
      <c r="B5019" t="s">
        <v>12602</v>
      </c>
      <c r="C5019" t="s">
        <v>15478</v>
      </c>
      <c r="D5019" t="s">
        <v>16206</v>
      </c>
      <c r="E5019" t="s">
        <v>16218</v>
      </c>
      <c r="F5019" t="s">
        <v>16221</v>
      </c>
      <c r="G5019" t="s">
        <v>16277</v>
      </c>
      <c r="H5019" t="s">
        <v>16277</v>
      </c>
      <c r="I5019" t="s">
        <v>16353</v>
      </c>
      <c r="J5019" t="s">
        <v>16386</v>
      </c>
      <c r="K5019">
        <v>0.139</v>
      </c>
      <c r="L5019">
        <v>6044</v>
      </c>
      <c r="M5019">
        <v>1963</v>
      </c>
      <c r="N5019" t="s">
        <v>16393</v>
      </c>
      <c r="O5019" s="4">
        <v>36234</v>
      </c>
      <c r="P5019" s="4">
        <v>107358</v>
      </c>
      <c r="Q5019" s="4">
        <v>143592</v>
      </c>
      <c r="R5019" s="4">
        <v>430776</v>
      </c>
      <c r="S5019" t="s">
        <v>21309</v>
      </c>
      <c r="T5019" s="6">
        <v>45975</v>
      </c>
      <c r="U5019" s="4">
        <v>525000</v>
      </c>
      <c r="V5019" t="s">
        <v>23739</v>
      </c>
      <c r="W5019" t="s">
        <v>26560</v>
      </c>
      <c r="X5019" t="s">
        <v>3</v>
      </c>
      <c r="AA5019" s="5" t="str">
        <f>HYPERLINK("https://www.zillow.com/homes/959-N-BRAINARD-ST-NAPERVILLE-IL-60563_rb/","check listing")</f>
        <v>check listing</v>
      </c>
      <c r="AB5019" s="5" t="str">
        <f>HYPERLINK("https://propertylookup.dupagecounty.gov/Datalets/Datalet.aspx?UseSearch=no&amp;mode=sales&amp;pin=0807309009","sales record")</f>
        <v>sales record</v>
      </c>
      <c r="AC5019" t="s">
        <v>3</v>
      </c>
      <c r="AD5019">
        <v>41.787472</v>
      </c>
      <c r="AE5019">
        <v>-88.143259</v>
      </c>
      <c r="AF5019" s="5" t="str">
        <f>HYPERLINK("https://www.google.com/maps/search/?api=1&amp;query=41.787472,-88.143259","map")</f>
        <v>map</v>
      </c>
    </row>
    <row r="5020" spans="1:32">
      <c r="A5020" t="s">
        <v>5070</v>
      </c>
      <c r="B5020" t="s">
        <v>12603</v>
      </c>
      <c r="C5020" t="s">
        <v>15475</v>
      </c>
      <c r="D5020" t="s">
        <v>16206</v>
      </c>
      <c r="E5020" t="s">
        <v>16218</v>
      </c>
      <c r="F5020" t="s">
        <v>16221</v>
      </c>
      <c r="G5020" t="s">
        <v>16277</v>
      </c>
      <c r="H5020" t="s">
        <v>16277</v>
      </c>
      <c r="I5020" t="s">
        <v>16353</v>
      </c>
      <c r="J5020" t="s">
        <v>16386</v>
      </c>
      <c r="K5020">
        <v>0.138</v>
      </c>
      <c r="L5020">
        <v>6028</v>
      </c>
      <c r="M5020">
        <v>2077</v>
      </c>
      <c r="N5020" t="s">
        <v>16393</v>
      </c>
      <c r="O5020" s="4">
        <v>98617</v>
      </c>
      <c r="P5020" s="4">
        <v>205267</v>
      </c>
      <c r="Q5020" s="4">
        <v>303884</v>
      </c>
      <c r="R5020" s="4">
        <v>911652</v>
      </c>
      <c r="S5020" t="s">
        <v>21310</v>
      </c>
      <c r="T5020" s="6">
        <v>41821</v>
      </c>
      <c r="U5020" s="4">
        <v>675000</v>
      </c>
      <c r="V5020" t="s">
        <v>23739</v>
      </c>
      <c r="W5020" t="s">
        <v>26561</v>
      </c>
      <c r="X5020" t="s">
        <v>3</v>
      </c>
      <c r="AA5020" s="5" t="str">
        <f>HYPERLINK("https://www.zillow.com/homes/130-S-EAGLE-ST-NAPERVILLE-IL-60540_rb/","check listing")</f>
        <v>check listing</v>
      </c>
      <c r="AB5020" s="5" t="str">
        <f>HYPERLINK("https://propertylookup.dupagecounty.gov/Datalets/Datalet.aspx?UseSearch=no&amp;mode=sales&amp;pin=0713421008","sales record")</f>
        <v>sales record</v>
      </c>
      <c r="AC5020" t="s">
        <v>3</v>
      </c>
      <c r="AD5020">
        <v>41.77355</v>
      </c>
      <c r="AE5020">
        <v>-88.152573</v>
      </c>
      <c r="AF5020" s="5" t="str">
        <f>HYPERLINK("https://www.google.com/maps/search/?api=1&amp;query=41.77355,-88.152573","map")</f>
        <v>map</v>
      </c>
    </row>
    <row r="5021" spans="1:32">
      <c r="A5021" t="s">
        <v>5071</v>
      </c>
      <c r="B5021" t="s">
        <v>12604</v>
      </c>
      <c r="C5021" t="s">
        <v>15815</v>
      </c>
      <c r="D5021" t="s">
        <v>16206</v>
      </c>
      <c r="E5021" t="s">
        <v>16218</v>
      </c>
      <c r="F5021" t="s">
        <v>16221</v>
      </c>
      <c r="G5021" t="s">
        <v>16277</v>
      </c>
      <c r="H5021" t="s">
        <v>16277</v>
      </c>
      <c r="I5021" t="s">
        <v>16353</v>
      </c>
      <c r="J5021" t="s">
        <v>16386</v>
      </c>
      <c r="K5021">
        <v>0.138</v>
      </c>
      <c r="L5021">
        <v>6027</v>
      </c>
      <c r="M5021">
        <v>1726</v>
      </c>
      <c r="N5021" t="s">
        <v>16393</v>
      </c>
      <c r="O5021" s="4">
        <v>108919</v>
      </c>
      <c r="P5021" s="4">
        <v>42803</v>
      </c>
      <c r="Q5021" s="4">
        <v>151722</v>
      </c>
      <c r="R5021" s="4">
        <v>455166</v>
      </c>
      <c r="S5021" t="s">
        <v>21311</v>
      </c>
      <c r="T5021" s="6">
        <v>36586</v>
      </c>
      <c r="U5021" s="4">
        <v>177000</v>
      </c>
      <c r="V5021" t="s">
        <v>23739</v>
      </c>
      <c r="W5021" t="s">
        <v>26562</v>
      </c>
      <c r="X5021" t="s">
        <v>3</v>
      </c>
      <c r="AA5021" s="5" t="str">
        <f>HYPERLINK("https://www.zillow.com/homes/646-S-MAIN-ST-NAPERVILLE-IL-605406513_rb/","check listing")</f>
        <v>check listing</v>
      </c>
      <c r="AB5021" s="5" t="str">
        <f>HYPERLINK("https://propertylookup.dupagecounty.gov/Datalets/Datalet.aspx?UseSearch=no&amp;mode=sales&amp;pin=0724205009","sales record")</f>
        <v>sales record</v>
      </c>
      <c r="AC5021" t="s">
        <v>27873</v>
      </c>
      <c r="AD5021">
        <v>41.766666</v>
      </c>
      <c r="AE5021">
        <v>-88.14952</v>
      </c>
      <c r="AF5021" s="5" t="str">
        <f>HYPERLINK("https://www.google.com/maps/search/?api=1&amp;query=41.766666,-88.14952","map")</f>
        <v>map</v>
      </c>
    </row>
    <row r="5022" spans="1:32">
      <c r="A5022" t="s">
        <v>5072</v>
      </c>
      <c r="B5022" t="s">
        <v>12605</v>
      </c>
      <c r="C5022" t="s">
        <v>15805</v>
      </c>
      <c r="D5022" t="s">
        <v>16206</v>
      </c>
      <c r="E5022" t="s">
        <v>16218</v>
      </c>
      <c r="F5022" t="s">
        <v>16221</v>
      </c>
      <c r="G5022" t="s">
        <v>16278</v>
      </c>
      <c r="H5022" t="s">
        <v>16277</v>
      </c>
      <c r="I5022" t="s">
        <v>16353</v>
      </c>
      <c r="J5022" t="s">
        <v>16386</v>
      </c>
      <c r="K5022">
        <v>0.138</v>
      </c>
      <c r="L5022">
        <v>6015</v>
      </c>
      <c r="M5022">
        <v>3132</v>
      </c>
      <c r="N5022" t="s">
        <v>16393</v>
      </c>
      <c r="O5022" s="4">
        <v>57963</v>
      </c>
      <c r="P5022" s="4">
        <v>117975</v>
      </c>
      <c r="Q5022" s="4">
        <v>175938</v>
      </c>
      <c r="R5022" s="4">
        <v>527814</v>
      </c>
      <c r="S5022" t="s">
        <v>21312</v>
      </c>
      <c r="T5022" s="6">
        <v>43678</v>
      </c>
      <c r="U5022" s="4">
        <v>365000</v>
      </c>
      <c r="V5022" t="s">
        <v>23740</v>
      </c>
      <c r="W5022" t="s">
        <v>26563</v>
      </c>
      <c r="X5022" t="s">
        <v>3</v>
      </c>
      <c r="AA5022" s="5" t="str">
        <f>HYPERLINK("https://www.zillow.com/homes/1502-WEDGEFIELD-CIR-NAPERVILLE-IL-605631124_rb/","check listing")</f>
        <v>check listing</v>
      </c>
      <c r="AB5022" s="5" t="str">
        <f>HYPERLINK("https://propertylookup.dupagecounty.gov/Datalets/Datalet.aspx?UseSearch=no&amp;mode=sales&amp;pin=0712107004","sales record")</f>
        <v>sales record</v>
      </c>
      <c r="AC5022" t="s">
        <v>3</v>
      </c>
      <c r="AD5022">
        <v>41.795026</v>
      </c>
      <c r="AE5022">
        <v>-88.158626</v>
      </c>
      <c r="AF5022" s="5" t="str">
        <f>HYPERLINK("https://www.google.com/maps/search/?api=1&amp;query=41.795026,-88.158626","map")</f>
        <v>map</v>
      </c>
    </row>
    <row r="5023" spans="1:32">
      <c r="A5023" t="s">
        <v>5073</v>
      </c>
      <c r="B5023" t="s">
        <v>12606</v>
      </c>
      <c r="C5023" t="s">
        <v>15478</v>
      </c>
      <c r="D5023" t="s">
        <v>16206</v>
      </c>
      <c r="E5023" t="s">
        <v>16218</v>
      </c>
      <c r="F5023" t="s">
        <v>16221</v>
      </c>
      <c r="G5023" t="s">
        <v>16278</v>
      </c>
      <c r="H5023" t="s">
        <v>16277</v>
      </c>
      <c r="I5023" t="s">
        <v>16353</v>
      </c>
      <c r="J5023" t="s">
        <v>16386</v>
      </c>
      <c r="K5023">
        <v>0.138</v>
      </c>
      <c r="L5023">
        <v>6002</v>
      </c>
      <c r="M5023">
        <v>2172</v>
      </c>
      <c r="N5023" t="s">
        <v>16393</v>
      </c>
      <c r="O5023" s="4">
        <v>62735</v>
      </c>
      <c r="P5023" s="4">
        <v>125433</v>
      </c>
      <c r="Q5023" s="4">
        <v>188168</v>
      </c>
      <c r="R5023" s="4">
        <v>564504</v>
      </c>
      <c r="S5023" t="s">
        <v>21313</v>
      </c>
      <c r="T5023" s="6">
        <v>34182</v>
      </c>
      <c r="U5023" s="4">
        <v>190000</v>
      </c>
      <c r="X5023" t="s">
        <v>3</v>
      </c>
      <c r="AA5023" s="5" t="str">
        <f>HYPERLINK("https://www.zillow.com/homes/1504-WEDGEFIELD-CIR-NAPERVILLE-IL-60563_rb/","check listing")</f>
        <v>check listing</v>
      </c>
      <c r="AB5023" s="5" t="str">
        <f>HYPERLINK("https://propertylookup.dupagecounty.gov/Datalets/Datalet.aspx?UseSearch=no&amp;mode=sales&amp;pin=0712107003","sales record")</f>
        <v>sales record</v>
      </c>
      <c r="AC5023" t="s">
        <v>3</v>
      </c>
      <c r="AD5023">
        <v>41.795204</v>
      </c>
      <c r="AE5023">
        <v>-88.158625</v>
      </c>
      <c r="AF5023" s="5" t="str">
        <f>HYPERLINK("https://www.google.com/maps/search/?api=1&amp;query=41.795204,-88.158625","map")</f>
        <v>map</v>
      </c>
    </row>
    <row r="5024" spans="1:32">
      <c r="A5024" t="s">
        <v>5074</v>
      </c>
      <c r="B5024" t="s">
        <v>12607</v>
      </c>
      <c r="C5024" t="s">
        <v>15478</v>
      </c>
      <c r="D5024" t="s">
        <v>16206</v>
      </c>
      <c r="E5024" t="s">
        <v>16218</v>
      </c>
      <c r="F5024" t="s">
        <v>16221</v>
      </c>
      <c r="G5024" t="s">
        <v>16278</v>
      </c>
      <c r="H5024" t="s">
        <v>16277</v>
      </c>
      <c r="I5024" t="s">
        <v>16353</v>
      </c>
      <c r="J5024" t="s">
        <v>16386</v>
      </c>
      <c r="K5024">
        <v>0.138</v>
      </c>
      <c r="L5024">
        <v>6002</v>
      </c>
      <c r="M5024">
        <v>2309</v>
      </c>
      <c r="N5024" t="s">
        <v>16393</v>
      </c>
      <c r="O5024" s="4">
        <v>62735</v>
      </c>
      <c r="P5024" s="4">
        <v>124163</v>
      </c>
      <c r="Q5024" s="4">
        <v>186898</v>
      </c>
      <c r="R5024" s="4">
        <v>560694</v>
      </c>
      <c r="S5024" t="s">
        <v>21314</v>
      </c>
      <c r="T5024" s="6">
        <v>37865</v>
      </c>
      <c r="U5024" s="4">
        <v>201000</v>
      </c>
      <c r="V5024" t="s">
        <v>23739</v>
      </c>
      <c r="W5024" t="s">
        <v>26564</v>
      </c>
      <c r="X5024" t="s">
        <v>3</v>
      </c>
      <c r="AA5024" s="5" t="str">
        <f>HYPERLINK("https://www.zillow.com/homes/1506-WEDGEFIELD-CIR-NAPERVILLE-IL-60563_rb/","check listing")</f>
        <v>check listing</v>
      </c>
      <c r="AB5024" s="5" t="str">
        <f>HYPERLINK("https://propertylookup.dupagecounty.gov/Datalets/Datalet.aspx?UseSearch=no&amp;mode=sales&amp;pin=0712107002","sales record")</f>
        <v>sales record</v>
      </c>
      <c r="AC5024" t="s">
        <v>3</v>
      </c>
      <c r="AD5024">
        <v>41.795375</v>
      </c>
      <c r="AE5024">
        <v>-88.158624</v>
      </c>
      <c r="AF5024" s="5" t="str">
        <f>HYPERLINK("https://www.google.com/maps/search/?api=1&amp;query=41.795375,-88.158624","map")</f>
        <v>map</v>
      </c>
    </row>
    <row r="5025" spans="1:32">
      <c r="A5025" t="s">
        <v>5075</v>
      </c>
      <c r="B5025" t="s">
        <v>12608</v>
      </c>
      <c r="C5025" t="s">
        <v>15751</v>
      </c>
      <c r="D5025" t="s">
        <v>16206</v>
      </c>
      <c r="E5025" t="s">
        <v>16218</v>
      </c>
      <c r="F5025" t="s">
        <v>16221</v>
      </c>
      <c r="G5025" t="s">
        <v>16278</v>
      </c>
      <c r="H5025" t="s">
        <v>16277</v>
      </c>
      <c r="I5025" t="s">
        <v>16353</v>
      </c>
      <c r="J5025" t="s">
        <v>16386</v>
      </c>
      <c r="K5025">
        <v>0.138</v>
      </c>
      <c r="L5025">
        <v>5996</v>
      </c>
      <c r="N5025" t="s">
        <v>16393</v>
      </c>
      <c r="O5025" s="4">
        <v>67675</v>
      </c>
      <c r="P5025" s="4">
        <v>265612</v>
      </c>
      <c r="Q5025" s="4">
        <v>333287</v>
      </c>
      <c r="R5025" s="4">
        <v>999861</v>
      </c>
      <c r="S5025" t="s">
        <v>21315</v>
      </c>
      <c r="T5025" s="6">
        <v>44378</v>
      </c>
      <c r="U5025" s="4">
        <v>939000</v>
      </c>
      <c r="V5025" t="s">
        <v>23739</v>
      </c>
      <c r="W5025" t="s">
        <v>26565</v>
      </c>
      <c r="X5025" t="s">
        <v>3</v>
      </c>
      <c r="AA5025" s="5" t="str">
        <f>HYPERLINK("https://www.zillow.com/homes/822-LEONA-MAE-CT-NAPERVILLE-IL-605633488_rb/","check listing")</f>
        <v>check listing</v>
      </c>
      <c r="AB5025" s="5" t="str">
        <f>HYPERLINK("https://propertylookup.dupagecounty.gov/Datalets/Datalet.aspx?UseSearch=no&amp;mode=sales&amp;pin=0807416031","sales record")</f>
        <v>sales record</v>
      </c>
      <c r="AC5025" t="s">
        <v>3</v>
      </c>
      <c r="AD5025">
        <v>41.785423</v>
      </c>
      <c r="AE5025">
        <v>-88.12942200000001</v>
      </c>
      <c r="AF5025" s="5" t="str">
        <f>HYPERLINK("https://www.google.com/maps/search/?api=1&amp;query=41.785423,-88.129422","map")</f>
        <v>map</v>
      </c>
    </row>
    <row r="5026" spans="1:32">
      <c r="A5026" t="s">
        <v>5076</v>
      </c>
      <c r="B5026" t="s">
        <v>12609</v>
      </c>
      <c r="C5026" t="s">
        <v>15475</v>
      </c>
      <c r="D5026" t="s">
        <v>16206</v>
      </c>
      <c r="E5026" t="s">
        <v>16218</v>
      </c>
      <c r="F5026" t="s">
        <v>16221</v>
      </c>
      <c r="G5026" t="s">
        <v>16277</v>
      </c>
      <c r="H5026" t="s">
        <v>16277</v>
      </c>
      <c r="I5026" t="s">
        <v>16353</v>
      </c>
      <c r="J5026" t="s">
        <v>16386</v>
      </c>
      <c r="K5026">
        <v>0.137</v>
      </c>
      <c r="L5026">
        <v>5984</v>
      </c>
      <c r="M5026">
        <v>2196</v>
      </c>
      <c r="N5026" t="s">
        <v>16393</v>
      </c>
      <c r="O5026" s="4">
        <v>118869</v>
      </c>
      <c r="P5026" s="4">
        <v>86108</v>
      </c>
      <c r="Q5026" s="4">
        <v>204977</v>
      </c>
      <c r="R5026" s="4">
        <v>614931</v>
      </c>
      <c r="S5026" t="s">
        <v>21316</v>
      </c>
      <c r="T5026" s="6">
        <v>33664</v>
      </c>
      <c r="U5026" s="4">
        <v>150000</v>
      </c>
      <c r="X5026" t="s">
        <v>3</v>
      </c>
      <c r="AA5026" s="5" t="str">
        <f>HYPERLINK("https://www.zillow.com/homes/12-N-SLEIGHT-ST-NAPERVILLE-IL-60540_rb/","check listing")</f>
        <v>check listing</v>
      </c>
      <c r="AB5026" s="5" t="str">
        <f>HYPERLINK("https://propertylookup.dupagecounty.gov/Datalets/Datalet.aspx?UseSearch=no&amp;mode=sales&amp;pin=0818311009","sales record")</f>
        <v>sales record</v>
      </c>
      <c r="AC5026" t="s">
        <v>27873</v>
      </c>
      <c r="AD5026">
        <v>41.775204</v>
      </c>
      <c r="AE5026">
        <v>-88.140443</v>
      </c>
      <c r="AF5026" s="5" t="str">
        <f>HYPERLINK("https://www.google.com/maps/search/?api=1&amp;query=41.775204,-88.140443","map")</f>
        <v>map</v>
      </c>
    </row>
    <row r="5027" spans="1:32">
      <c r="A5027" t="s">
        <v>5077</v>
      </c>
      <c r="B5027" t="s">
        <v>12610</v>
      </c>
      <c r="C5027" t="s">
        <v>15475</v>
      </c>
      <c r="D5027" t="s">
        <v>16206</v>
      </c>
      <c r="E5027" t="s">
        <v>16218</v>
      </c>
      <c r="F5027" t="s">
        <v>16221</v>
      </c>
      <c r="G5027" t="s">
        <v>16277</v>
      </c>
      <c r="H5027" t="s">
        <v>16277</v>
      </c>
      <c r="I5027" t="s">
        <v>16353</v>
      </c>
      <c r="J5027" t="s">
        <v>16386</v>
      </c>
      <c r="K5027">
        <v>0.137</v>
      </c>
      <c r="L5027">
        <v>5978</v>
      </c>
      <c r="M5027">
        <v>2241</v>
      </c>
      <c r="N5027" t="s">
        <v>16393</v>
      </c>
      <c r="O5027" s="4">
        <v>108919</v>
      </c>
      <c r="P5027" s="4">
        <v>77332</v>
      </c>
      <c r="Q5027" s="4">
        <v>186251</v>
      </c>
      <c r="R5027" s="4">
        <v>558753</v>
      </c>
      <c r="S5027" t="s">
        <v>21317</v>
      </c>
      <c r="T5027" s="6">
        <v>45919</v>
      </c>
      <c r="U5027" s="4">
        <v>583000</v>
      </c>
      <c r="V5027" t="s">
        <v>23739</v>
      </c>
      <c r="W5027" t="s">
        <v>26566</v>
      </c>
      <c r="X5027" t="s">
        <v>3</v>
      </c>
      <c r="AA5027" s="5" t="str">
        <f>HYPERLINK("https://www.zillow.com/homes/648-S-MAIN-ST-NAPERVILLE-IL-60540_rb/","check listing")</f>
        <v>check listing</v>
      </c>
      <c r="AB5027" s="5" t="str">
        <f>HYPERLINK("https://propertylookup.dupagecounty.gov/Datalets/Datalet.aspx?UseSearch=no&amp;mode=sales&amp;pin=0724205026","sales record")</f>
        <v>sales record</v>
      </c>
      <c r="AC5027" t="s">
        <v>27873</v>
      </c>
      <c r="AD5027">
        <v>41.76653</v>
      </c>
      <c r="AE5027">
        <v>-88.149528</v>
      </c>
      <c r="AF5027" s="5" t="str">
        <f>HYPERLINK("https://www.google.com/maps/search/?api=1&amp;query=41.76653,-88.149528","map")</f>
        <v>map</v>
      </c>
    </row>
    <row r="5028" spans="1:32">
      <c r="A5028" t="s">
        <v>5078</v>
      </c>
      <c r="B5028" t="s">
        <v>12611</v>
      </c>
      <c r="C5028" t="s">
        <v>15478</v>
      </c>
      <c r="D5028" t="s">
        <v>16206</v>
      </c>
      <c r="E5028" t="s">
        <v>16218</v>
      </c>
      <c r="F5028" t="s">
        <v>16221</v>
      </c>
      <c r="G5028" t="s">
        <v>16277</v>
      </c>
      <c r="H5028" t="s">
        <v>16277</v>
      </c>
      <c r="I5028" t="s">
        <v>16353</v>
      </c>
      <c r="J5028" t="s">
        <v>16386</v>
      </c>
      <c r="K5028">
        <v>0.136</v>
      </c>
      <c r="L5028">
        <v>5912</v>
      </c>
      <c r="M5028">
        <v>2610</v>
      </c>
      <c r="N5028" t="s">
        <v>16393</v>
      </c>
      <c r="O5028" s="4">
        <v>119856</v>
      </c>
      <c r="P5028" s="4">
        <v>33309</v>
      </c>
      <c r="Q5028" s="4">
        <v>153165</v>
      </c>
      <c r="R5028" s="4">
        <v>459495</v>
      </c>
      <c r="S5028" t="s">
        <v>21318</v>
      </c>
      <c r="T5028" s="6">
        <v>29068</v>
      </c>
      <c r="U5028" s="4">
        <v>88000</v>
      </c>
      <c r="X5028" t="s">
        <v>3</v>
      </c>
      <c r="AA5028" s="5" t="str">
        <f>HYPERLINK("https://www.zillow.com/homes/633-N-ELLSWORTH-AVE-NAPERVILLE-IL-60563_rb/","check listing")</f>
        <v>check listing</v>
      </c>
      <c r="AB5028" s="5" t="str">
        <f>HYPERLINK("https://propertylookup.dupagecounty.gov/Datalets/Datalet.aspx?UseSearch=no&amp;mode=sales&amp;pin=0818107012","sales record")</f>
        <v>sales record</v>
      </c>
      <c r="AC5028" t="s">
        <v>27873</v>
      </c>
      <c r="AD5028">
        <v>41.782902</v>
      </c>
      <c r="AE5028">
        <v>-88.14496</v>
      </c>
      <c r="AF5028" s="5" t="str">
        <f>HYPERLINK("https://www.google.com/maps/search/?api=1&amp;query=41.782902,-88.14496","map")</f>
        <v>map</v>
      </c>
    </row>
    <row r="5029" spans="1:32">
      <c r="A5029" t="s">
        <v>5079</v>
      </c>
      <c r="B5029" t="s">
        <v>12612</v>
      </c>
      <c r="C5029" t="s">
        <v>15478</v>
      </c>
      <c r="D5029" t="s">
        <v>16206</v>
      </c>
      <c r="E5029" t="s">
        <v>16218</v>
      </c>
      <c r="F5029" t="s">
        <v>16221</v>
      </c>
      <c r="G5029" t="s">
        <v>16278</v>
      </c>
      <c r="H5029" t="s">
        <v>16277</v>
      </c>
      <c r="I5029" t="s">
        <v>16353</v>
      </c>
      <c r="J5029" t="s">
        <v>16386</v>
      </c>
      <c r="K5029">
        <v>0.135</v>
      </c>
      <c r="L5029">
        <v>5887</v>
      </c>
      <c r="N5029" t="s">
        <v>16393</v>
      </c>
      <c r="O5029" s="4">
        <v>67675</v>
      </c>
      <c r="P5029" s="4">
        <v>264684</v>
      </c>
      <c r="Q5029" s="4">
        <v>332359</v>
      </c>
      <c r="R5029" s="4">
        <v>997077</v>
      </c>
      <c r="S5029" t="s">
        <v>21319</v>
      </c>
      <c r="T5029" s="6">
        <v>43831</v>
      </c>
      <c r="U5029" s="4">
        <v>785000</v>
      </c>
      <c r="V5029" t="s">
        <v>23739</v>
      </c>
      <c r="W5029" t="s">
        <v>26567</v>
      </c>
      <c r="X5029" t="s">
        <v>3</v>
      </c>
      <c r="AA5029" s="5" t="str">
        <f>HYPERLINK("https://www.zillow.com/homes/814-LEONA-MAE-CT-NAPERVILLE-IL-60563_rb/","check listing")</f>
        <v>check listing</v>
      </c>
      <c r="AB5029" s="5" t="str">
        <f>HYPERLINK("https://propertylookup.dupagecounty.gov/Datalets/Datalet.aspx?UseSearch=no&amp;mode=sales&amp;pin=0807416034","sales record")</f>
        <v>sales record</v>
      </c>
      <c r="AC5029" t="s">
        <v>3</v>
      </c>
      <c r="AD5029">
        <v>41.785025</v>
      </c>
      <c r="AE5029">
        <v>-88.12953</v>
      </c>
      <c r="AF5029" s="5" t="str">
        <f>HYPERLINK("https://www.google.com/maps/search/?api=1&amp;query=41.785025,-88.12953","map")</f>
        <v>map</v>
      </c>
    </row>
    <row r="5030" spans="1:32">
      <c r="A5030" t="s">
        <v>5080</v>
      </c>
      <c r="B5030" t="s">
        <v>12613</v>
      </c>
      <c r="C5030" t="s">
        <v>15736</v>
      </c>
      <c r="D5030" t="s">
        <v>16206</v>
      </c>
      <c r="E5030" t="s">
        <v>16218</v>
      </c>
      <c r="F5030" t="s">
        <v>16221</v>
      </c>
      <c r="G5030" t="s">
        <v>16277</v>
      </c>
      <c r="H5030" t="s">
        <v>16277</v>
      </c>
      <c r="I5030" t="s">
        <v>16353</v>
      </c>
      <c r="J5030" t="s">
        <v>16386</v>
      </c>
      <c r="K5030">
        <v>0.132</v>
      </c>
      <c r="L5030">
        <v>5771</v>
      </c>
      <c r="M5030">
        <v>2369</v>
      </c>
      <c r="N5030" t="s">
        <v>16393</v>
      </c>
      <c r="O5030" s="4">
        <v>76343</v>
      </c>
      <c r="P5030" s="4">
        <v>214396</v>
      </c>
      <c r="Q5030" s="4">
        <v>290739</v>
      </c>
      <c r="R5030" s="4">
        <v>872217</v>
      </c>
      <c r="S5030" t="s">
        <v>21320</v>
      </c>
      <c r="T5030" s="6">
        <v>44075</v>
      </c>
      <c r="U5030" s="4">
        <v>610000</v>
      </c>
      <c r="V5030" t="s">
        <v>23739</v>
      </c>
      <c r="W5030" t="s">
        <v>26568</v>
      </c>
      <c r="X5030" t="s">
        <v>3</v>
      </c>
      <c r="AA5030" s="5" t="str">
        <f>HYPERLINK("https://www.zillow.com/homes/237-N-MILL-ST-NAPERVILLE-IL-605404437_rb/","check listing")</f>
        <v>check listing</v>
      </c>
      <c r="AB5030" s="5" t="str">
        <f>HYPERLINK("https://propertylookup.dupagecounty.gov/Datalets/Datalet.aspx?UseSearch=no&amp;mode=sales&amp;pin=0713222010","sales record")</f>
        <v>sales record</v>
      </c>
      <c r="AC5030" t="s">
        <v>3</v>
      </c>
      <c r="AD5030">
        <v>41.778354</v>
      </c>
      <c r="AE5030">
        <v>-88.15476099999999</v>
      </c>
      <c r="AF5030" s="5" t="str">
        <f>HYPERLINK("https://www.google.com/maps/search/?api=1&amp;query=41.778354,-88.154761","map")</f>
        <v>map</v>
      </c>
    </row>
    <row r="5031" spans="1:32">
      <c r="A5031" t="s">
        <v>5081</v>
      </c>
      <c r="B5031" t="s">
        <v>12614</v>
      </c>
      <c r="C5031" t="s">
        <v>15475</v>
      </c>
      <c r="D5031" t="s">
        <v>16206</v>
      </c>
      <c r="E5031" t="s">
        <v>16218</v>
      </c>
      <c r="F5031" t="s">
        <v>16221</v>
      </c>
      <c r="G5031" t="s">
        <v>16277</v>
      </c>
      <c r="H5031" t="s">
        <v>16277</v>
      </c>
      <c r="I5031" t="s">
        <v>16353</v>
      </c>
      <c r="J5031" t="s">
        <v>16386</v>
      </c>
      <c r="K5031">
        <v>0.131</v>
      </c>
      <c r="L5031">
        <v>5727</v>
      </c>
      <c r="M5031">
        <v>3595</v>
      </c>
      <c r="N5031" t="s">
        <v>16393</v>
      </c>
      <c r="O5031" s="4">
        <v>108642</v>
      </c>
      <c r="P5031" s="4">
        <v>280048</v>
      </c>
      <c r="Q5031" s="4">
        <v>388690</v>
      </c>
      <c r="R5031" s="4">
        <v>1166070</v>
      </c>
      <c r="S5031" t="s">
        <v>21321</v>
      </c>
      <c r="T5031" s="6">
        <v>40940</v>
      </c>
      <c r="U5031" s="4">
        <v>675000</v>
      </c>
      <c r="V5031" t="s">
        <v>23739</v>
      </c>
      <c r="W5031" t="s">
        <v>21321</v>
      </c>
      <c r="X5031" t="s">
        <v>3</v>
      </c>
      <c r="AA5031" s="5" t="str">
        <f>HYPERLINK("https://www.zillow.com/homes/129-N-ELLSWORTH-ST-NAPERVILLE-IL-60540_rb/","check listing")</f>
        <v>check listing</v>
      </c>
      <c r="AB5031" s="5" t="str">
        <f>HYPERLINK("https://propertylookup.dupagecounty.gov/Datalets/Datalet.aspx?UseSearch=no&amp;mode=sales&amp;pin=0818301010","sales record")</f>
        <v>sales record</v>
      </c>
      <c r="AC5031" t="s">
        <v>3</v>
      </c>
      <c r="AD5031">
        <v>41.776802</v>
      </c>
      <c r="AE5031">
        <v>-88.14540599999999</v>
      </c>
      <c r="AF5031" s="5" t="str">
        <f>HYPERLINK("https://www.google.com/maps/search/?api=1&amp;query=41.776802,-88.145406","map")</f>
        <v>map</v>
      </c>
    </row>
    <row r="5032" spans="1:32">
      <c r="A5032" t="s">
        <v>5082</v>
      </c>
      <c r="B5032" t="s">
        <v>12615</v>
      </c>
      <c r="C5032" t="s">
        <v>15475</v>
      </c>
      <c r="D5032" t="s">
        <v>16206</v>
      </c>
      <c r="E5032" t="s">
        <v>16218</v>
      </c>
      <c r="F5032" t="s">
        <v>16221</v>
      </c>
      <c r="G5032" t="s">
        <v>16277</v>
      </c>
      <c r="H5032" t="s">
        <v>16277</v>
      </c>
      <c r="I5032" t="s">
        <v>16353</v>
      </c>
      <c r="J5032" t="s">
        <v>16386</v>
      </c>
      <c r="K5032">
        <v>0.13</v>
      </c>
      <c r="L5032">
        <v>5672</v>
      </c>
      <c r="M5032">
        <v>2071</v>
      </c>
      <c r="N5032" t="s">
        <v>16393</v>
      </c>
      <c r="O5032" s="4">
        <v>95846</v>
      </c>
      <c r="P5032" s="4">
        <v>60398</v>
      </c>
      <c r="Q5032" s="4">
        <v>156244</v>
      </c>
      <c r="R5032" s="4">
        <v>468732</v>
      </c>
      <c r="S5032" t="s">
        <v>21322</v>
      </c>
      <c r="T5032" s="6">
        <v>41395</v>
      </c>
      <c r="U5032" s="4">
        <v>291000</v>
      </c>
      <c r="V5032" t="s">
        <v>23739</v>
      </c>
      <c r="W5032" t="s">
        <v>26569</v>
      </c>
      <c r="X5032" t="s">
        <v>3</v>
      </c>
      <c r="AA5032" s="5" t="str">
        <f>HYPERLINK("https://www.zillow.com/homes/222-E-4TH-AVE-NAPERVILLE-IL-60540_rb/","check listing")</f>
        <v>check listing</v>
      </c>
      <c r="AB5032" s="5" t="str">
        <f>HYPERLINK("https://propertylookup.dupagecounty.gov/Datalets/Datalet.aspx?UseSearch=no&amp;mode=sales&amp;pin=0818131006","sales record")</f>
        <v>sales record</v>
      </c>
      <c r="AC5032" t="s">
        <v>3</v>
      </c>
      <c r="AD5032">
        <v>41.779353</v>
      </c>
      <c r="AE5032">
        <v>-88.144166</v>
      </c>
      <c r="AF5032" s="5" t="str">
        <f>HYPERLINK("https://www.google.com/maps/search/?api=1&amp;query=41.779353,-88.144166","map")</f>
        <v>map</v>
      </c>
    </row>
    <row r="5033" spans="1:32">
      <c r="A5033" t="s">
        <v>5083</v>
      </c>
      <c r="B5033" t="s">
        <v>12616</v>
      </c>
      <c r="C5033" t="s">
        <v>15478</v>
      </c>
      <c r="D5033" t="s">
        <v>16206</v>
      </c>
      <c r="E5033" t="s">
        <v>16218</v>
      </c>
      <c r="F5033" t="s">
        <v>16221</v>
      </c>
      <c r="G5033" t="s">
        <v>16277</v>
      </c>
      <c r="H5033" t="s">
        <v>16277</v>
      </c>
      <c r="I5033" t="s">
        <v>16353</v>
      </c>
      <c r="J5033" t="s">
        <v>16386</v>
      </c>
      <c r="K5033">
        <v>0.128</v>
      </c>
      <c r="L5033">
        <v>5575</v>
      </c>
      <c r="N5033" t="s">
        <v>16393</v>
      </c>
      <c r="O5033" s="4">
        <v>75714</v>
      </c>
      <c r="P5033" s="4">
        <v>241210</v>
      </c>
      <c r="Q5033" s="4">
        <v>316924</v>
      </c>
      <c r="R5033" s="4">
        <v>950772</v>
      </c>
      <c r="S5033" t="s">
        <v>21323</v>
      </c>
      <c r="X5033" t="s">
        <v>3</v>
      </c>
      <c r="AA5033" s="5" t="str">
        <f>HYPERLINK("https://www.zillow.com/homes/308-E-6TH-AVE-NAPERVILLE-IL-60563_rb/","check listing")</f>
        <v>check listing</v>
      </c>
      <c r="AB5033" s="5" t="str">
        <f>HYPERLINK("https://propertylookup.dupagecounty.gov/Datalets/Datalet.aspx?UseSearch=no&amp;mode=sales&amp;pin=0818116020","sales record")</f>
        <v>sales record</v>
      </c>
      <c r="AC5033" t="s">
        <v>3</v>
      </c>
      <c r="AD5033">
        <v>41.781711</v>
      </c>
      <c r="AE5033">
        <v>-88.14273799999999</v>
      </c>
      <c r="AF5033" s="5" t="str">
        <f>HYPERLINK("https://www.google.com/maps/search/?api=1&amp;query=41.781711,-88.142738","map")</f>
        <v>map</v>
      </c>
    </row>
    <row r="5034" spans="1:32">
      <c r="A5034" t="s">
        <v>5084</v>
      </c>
      <c r="B5034" t="s">
        <v>12617</v>
      </c>
      <c r="C5034" t="s">
        <v>15475</v>
      </c>
      <c r="D5034" t="s">
        <v>16206</v>
      </c>
      <c r="E5034" t="s">
        <v>16218</v>
      </c>
      <c r="F5034" t="s">
        <v>16221</v>
      </c>
      <c r="G5034" t="s">
        <v>16277</v>
      </c>
      <c r="H5034" t="s">
        <v>16277</v>
      </c>
      <c r="I5034" t="s">
        <v>16353</v>
      </c>
      <c r="J5034" t="s">
        <v>16386</v>
      </c>
      <c r="K5034">
        <v>0.128</v>
      </c>
      <c r="L5034">
        <v>5572</v>
      </c>
      <c r="M5034">
        <v>2078</v>
      </c>
      <c r="N5034" t="s">
        <v>16393</v>
      </c>
      <c r="O5034" s="4">
        <v>89696</v>
      </c>
      <c r="P5034" s="4">
        <v>54484</v>
      </c>
      <c r="Q5034" s="4">
        <v>144180</v>
      </c>
      <c r="R5034" s="4">
        <v>432540</v>
      </c>
      <c r="S5034" t="s">
        <v>21324</v>
      </c>
      <c r="T5034" s="6">
        <v>37043</v>
      </c>
      <c r="U5034" s="4">
        <v>220000</v>
      </c>
      <c r="V5034" t="s">
        <v>23739</v>
      </c>
      <c r="W5034" t="s">
        <v>26570</v>
      </c>
      <c r="X5034" t="s">
        <v>3</v>
      </c>
      <c r="AA5034" s="5" t="str">
        <f>HYPERLINK("https://www.zillow.com/homes/339-W-DOUGLAS-AVE-NAPERVILLE-IL-60540_rb/","check listing")</f>
        <v>check listing</v>
      </c>
      <c r="AB5034" s="5" t="str">
        <f>HYPERLINK("https://propertylookup.dupagecounty.gov/Datalets/Datalet.aspx?UseSearch=no&amp;mode=sales&amp;pin=0713224012","sales record")</f>
        <v>sales record</v>
      </c>
      <c r="AC5034" t="s">
        <v>3</v>
      </c>
      <c r="AD5034">
        <v>41.777549</v>
      </c>
      <c r="AE5034">
        <v>-88.15422700000001</v>
      </c>
      <c r="AF5034" s="5" t="str">
        <f>HYPERLINK("https://www.google.com/maps/search/?api=1&amp;query=41.777549,-88.154227","map")</f>
        <v>map</v>
      </c>
    </row>
    <row r="5035" spans="1:32">
      <c r="A5035" t="s">
        <v>5085</v>
      </c>
      <c r="B5035" t="s">
        <v>12618</v>
      </c>
      <c r="C5035" t="s">
        <v>15475</v>
      </c>
      <c r="D5035" t="s">
        <v>16206</v>
      </c>
      <c r="E5035" t="s">
        <v>16218</v>
      </c>
      <c r="F5035" t="s">
        <v>16221</v>
      </c>
      <c r="G5035" t="s">
        <v>16277</v>
      </c>
      <c r="H5035" t="s">
        <v>16277</v>
      </c>
      <c r="I5035" t="s">
        <v>16353</v>
      </c>
      <c r="J5035" t="s">
        <v>16386</v>
      </c>
      <c r="K5035">
        <v>0.127</v>
      </c>
      <c r="L5035">
        <v>5550</v>
      </c>
      <c r="M5035">
        <v>792</v>
      </c>
      <c r="N5035" t="s">
        <v>16393</v>
      </c>
      <c r="O5035" s="4">
        <v>78485</v>
      </c>
      <c r="P5035" s="4">
        <v>179522</v>
      </c>
      <c r="Q5035" s="4">
        <v>258007</v>
      </c>
      <c r="R5035" s="4">
        <v>774021</v>
      </c>
      <c r="S5035" t="s">
        <v>18290</v>
      </c>
      <c r="X5035" t="s">
        <v>3</v>
      </c>
      <c r="AA5035" s="5" t="str">
        <f>HYPERLINK("https://www.zillow.com/homes/82731-N-ELLSWORTH-ST-NAPERVILLE-IL-60540_rb/","check listing")</f>
        <v>check listing</v>
      </c>
      <c r="AB5035" s="5" t="str">
        <f>HYPERLINK("https://propertylookup.dupagecounty.gov/Datalets/Datalet.aspx?UseSearch=no&amp;mode=sales&amp;pin=0807314021","sales record")</f>
        <v>sales record</v>
      </c>
      <c r="AC5035" t="s">
        <v>3</v>
      </c>
      <c r="AD5035">
        <v>41.784942</v>
      </c>
      <c r="AE5035">
        <v>-88.14482099999999</v>
      </c>
      <c r="AF5035" s="5" t="str">
        <f>HYPERLINK("https://www.google.com/maps/search/?api=1&amp;query=41.784942,-88.144821","map")</f>
        <v>map</v>
      </c>
    </row>
    <row r="5036" spans="1:32">
      <c r="A5036" t="s">
        <v>5086</v>
      </c>
      <c r="B5036" t="s">
        <v>12619</v>
      </c>
      <c r="C5036" t="s">
        <v>15751</v>
      </c>
      <c r="D5036" t="s">
        <v>16206</v>
      </c>
      <c r="E5036" t="s">
        <v>16218</v>
      </c>
      <c r="F5036" t="s">
        <v>16221</v>
      </c>
      <c r="G5036" t="s">
        <v>16278</v>
      </c>
      <c r="H5036" t="s">
        <v>16277</v>
      </c>
      <c r="I5036" t="s">
        <v>16353</v>
      </c>
      <c r="J5036" t="s">
        <v>16386</v>
      </c>
      <c r="K5036">
        <v>0.127</v>
      </c>
      <c r="L5036">
        <v>5520</v>
      </c>
      <c r="N5036" t="s">
        <v>16393</v>
      </c>
      <c r="O5036" s="4">
        <v>67675</v>
      </c>
      <c r="P5036" s="4">
        <v>262258</v>
      </c>
      <c r="Q5036" s="4">
        <v>329933</v>
      </c>
      <c r="R5036" s="4">
        <v>989799</v>
      </c>
      <c r="S5036" t="s">
        <v>21325</v>
      </c>
      <c r="T5036" s="6">
        <v>44593</v>
      </c>
      <c r="U5036" s="4">
        <v>847500</v>
      </c>
      <c r="V5036" t="s">
        <v>23739</v>
      </c>
      <c r="W5036" t="s">
        <v>21325</v>
      </c>
      <c r="X5036" t="s">
        <v>3</v>
      </c>
      <c r="AA5036" s="5" t="str">
        <f>HYPERLINK("https://www.zillow.com/homes/810-LEONA-MAE-CT-NAPERVILLE-IL-605633488_rb/","check listing")</f>
        <v>check listing</v>
      </c>
      <c r="AB5036" s="5" t="str">
        <f>HYPERLINK("https://propertylookup.dupagecounty.gov/Datalets/Datalet.aspx?UseSearch=no&amp;mode=sales&amp;pin=0807416035","sales record")</f>
        <v>sales record</v>
      </c>
      <c r="AC5036" t="s">
        <v>3</v>
      </c>
      <c r="AD5036">
        <v>41.784904</v>
      </c>
      <c r="AE5036">
        <v>-88.129516</v>
      </c>
      <c r="AF5036" s="5" t="str">
        <f>HYPERLINK("https://www.google.com/maps/search/?api=1&amp;query=41.784904,-88.129516","map")</f>
        <v>map</v>
      </c>
    </row>
    <row r="5037" spans="1:32">
      <c r="A5037" t="s">
        <v>5087</v>
      </c>
      <c r="B5037" t="s">
        <v>12620</v>
      </c>
      <c r="C5037" t="s">
        <v>15816</v>
      </c>
      <c r="D5037" t="s">
        <v>16206</v>
      </c>
      <c r="E5037" t="s">
        <v>16218</v>
      </c>
      <c r="F5037" t="s">
        <v>16221</v>
      </c>
      <c r="G5037" t="s">
        <v>16277</v>
      </c>
      <c r="H5037" t="s">
        <v>16277</v>
      </c>
      <c r="I5037" t="s">
        <v>16353</v>
      </c>
      <c r="J5037" t="s">
        <v>16386</v>
      </c>
      <c r="K5037">
        <v>0.126</v>
      </c>
      <c r="L5037">
        <v>5471</v>
      </c>
      <c r="M5037">
        <v>1188</v>
      </c>
      <c r="N5037" t="s">
        <v>16393</v>
      </c>
      <c r="O5037" s="4">
        <v>101721</v>
      </c>
      <c r="P5037" s="4">
        <v>56342</v>
      </c>
      <c r="Q5037" s="4">
        <v>158063</v>
      </c>
      <c r="R5037" s="4">
        <v>474189</v>
      </c>
      <c r="S5037" t="s">
        <v>21326</v>
      </c>
      <c r="T5037" s="6">
        <v>41944</v>
      </c>
      <c r="U5037" s="4">
        <v>395000</v>
      </c>
      <c r="V5037" t="s">
        <v>23740</v>
      </c>
      <c r="W5037" t="s">
        <v>26571</v>
      </c>
      <c r="X5037" t="s">
        <v>3</v>
      </c>
      <c r="AA5037" s="5" t="str">
        <f>HYPERLINK("https://www.zillow.com/homes/6-S-JULIAN-ST-NAPERVILLE-IL-605404935_rb/","check listing")</f>
        <v>check listing</v>
      </c>
      <c r="AB5037" s="5" t="str">
        <f>HYPERLINK("https://propertylookup.dupagecounty.gov/Datalets/Datalet.aspx?UseSearch=no&amp;mode=sales&amp;pin=0818411001","sales record")</f>
        <v>sales record</v>
      </c>
      <c r="AC5037" t="s">
        <v>3</v>
      </c>
      <c r="AD5037">
        <v>41.774643</v>
      </c>
      <c r="AE5037">
        <v>-88.136437</v>
      </c>
      <c r="AF5037" s="5" t="str">
        <f>HYPERLINK("https://www.google.com/maps/search/?api=1&amp;query=41.774643,-88.136437","map")</f>
        <v>map</v>
      </c>
    </row>
    <row r="5038" spans="1:32">
      <c r="A5038" t="s">
        <v>5088</v>
      </c>
      <c r="B5038" t="s">
        <v>12621</v>
      </c>
      <c r="C5038" t="s">
        <v>15478</v>
      </c>
      <c r="D5038" t="s">
        <v>16206</v>
      </c>
      <c r="E5038" t="s">
        <v>16218</v>
      </c>
      <c r="F5038" t="s">
        <v>16221</v>
      </c>
      <c r="G5038" t="s">
        <v>16278</v>
      </c>
      <c r="H5038" t="s">
        <v>16277</v>
      </c>
      <c r="I5038" t="s">
        <v>16353</v>
      </c>
      <c r="J5038" t="s">
        <v>16386</v>
      </c>
      <c r="K5038">
        <v>0.125</v>
      </c>
      <c r="L5038">
        <v>5442</v>
      </c>
      <c r="N5038" t="s">
        <v>16393</v>
      </c>
      <c r="O5038" s="4">
        <v>67675</v>
      </c>
      <c r="P5038" s="4">
        <v>259999</v>
      </c>
      <c r="Q5038" s="4">
        <v>327674</v>
      </c>
      <c r="R5038" s="4">
        <v>983022</v>
      </c>
      <c r="S5038" t="s">
        <v>21327</v>
      </c>
      <c r="T5038" s="6">
        <v>43891</v>
      </c>
      <c r="U5038" s="4">
        <v>825000</v>
      </c>
      <c r="V5038" t="s">
        <v>23739</v>
      </c>
      <c r="W5038" t="s">
        <v>26572</v>
      </c>
      <c r="X5038" t="s">
        <v>3</v>
      </c>
      <c r="AA5038" s="5" t="str">
        <f>HYPERLINK("https://www.zillow.com/homes/816-LEONA-MAE-CT-NAPERVILLE-IL-60563_rb/","check listing")</f>
        <v>check listing</v>
      </c>
      <c r="AB5038" s="5" t="str">
        <f>HYPERLINK("https://propertylookup.dupagecounty.gov/Datalets/Datalet.aspx?UseSearch=no&amp;mode=sales&amp;pin=0807416033","sales record")</f>
        <v>sales record</v>
      </c>
      <c r="AC5038" t="s">
        <v>3</v>
      </c>
      <c r="AD5038">
        <v>41.785118</v>
      </c>
      <c r="AE5038">
        <v>-88.129515</v>
      </c>
      <c r="AF5038" s="5" t="str">
        <f>HYPERLINK("https://www.google.com/maps/search/?api=1&amp;query=41.785118,-88.129515","map")</f>
        <v>map</v>
      </c>
    </row>
    <row r="5039" spans="1:32">
      <c r="A5039" t="s">
        <v>5089</v>
      </c>
      <c r="B5039" t="s">
        <v>12622</v>
      </c>
      <c r="C5039" t="s">
        <v>15475</v>
      </c>
      <c r="D5039" t="s">
        <v>16206</v>
      </c>
      <c r="E5039" t="s">
        <v>16218</v>
      </c>
      <c r="F5039" t="s">
        <v>16221</v>
      </c>
      <c r="G5039" t="s">
        <v>16277</v>
      </c>
      <c r="H5039" t="s">
        <v>16277</v>
      </c>
      <c r="I5039" t="s">
        <v>16353</v>
      </c>
      <c r="J5039" t="s">
        <v>16386</v>
      </c>
      <c r="K5039">
        <v>0.125</v>
      </c>
      <c r="L5039">
        <v>5441</v>
      </c>
      <c r="M5039">
        <v>2037</v>
      </c>
      <c r="N5039" t="s">
        <v>16393</v>
      </c>
      <c r="O5039" s="4">
        <v>98630</v>
      </c>
      <c r="P5039" s="4">
        <v>69973</v>
      </c>
      <c r="Q5039" s="4">
        <v>168603</v>
      </c>
      <c r="R5039" s="4">
        <v>505809</v>
      </c>
      <c r="S5039" t="s">
        <v>21328</v>
      </c>
      <c r="T5039" s="6">
        <v>31898</v>
      </c>
      <c r="U5039" s="4">
        <v>105000</v>
      </c>
      <c r="X5039" t="s">
        <v>3</v>
      </c>
      <c r="AA5039" s="5" t="str">
        <f>HYPERLINK("https://www.zillow.com/homes/206-W-FRANKLIN-ST-NAPERVILLE-IL-60540_rb/","check listing")</f>
        <v>check listing</v>
      </c>
      <c r="AB5039" s="5" t="str">
        <f>HYPERLINK("https://propertylookup.dupagecounty.gov/Datalets/Datalet.aspx?UseSearch=no&amp;mode=sales&amp;pin=0713409006","sales record")</f>
        <v>sales record</v>
      </c>
      <c r="AC5039" t="s">
        <v>3</v>
      </c>
      <c r="AD5039">
        <v>41.775918</v>
      </c>
      <c r="AE5039">
        <v>-88.15136</v>
      </c>
      <c r="AF5039" s="5" t="str">
        <f>HYPERLINK("https://www.google.com/maps/search/?api=1&amp;query=41.775918,-88.15136","map")</f>
        <v>map</v>
      </c>
    </row>
    <row r="5040" spans="1:32">
      <c r="A5040" t="s">
        <v>5090</v>
      </c>
      <c r="B5040" t="s">
        <v>12623</v>
      </c>
      <c r="C5040" t="s">
        <v>15478</v>
      </c>
      <c r="D5040" t="s">
        <v>16206</v>
      </c>
      <c r="E5040" t="s">
        <v>16218</v>
      </c>
      <c r="F5040" t="s">
        <v>16221</v>
      </c>
      <c r="G5040" t="s">
        <v>16278</v>
      </c>
      <c r="H5040" t="s">
        <v>16277</v>
      </c>
      <c r="I5040" t="s">
        <v>16353</v>
      </c>
      <c r="J5040" t="s">
        <v>16386</v>
      </c>
      <c r="K5040">
        <v>0.122</v>
      </c>
      <c r="L5040">
        <v>5328</v>
      </c>
      <c r="N5040" t="s">
        <v>16393</v>
      </c>
      <c r="O5040" s="4">
        <v>67675</v>
      </c>
      <c r="P5040" s="4">
        <v>260414</v>
      </c>
      <c r="Q5040" s="4">
        <v>328089</v>
      </c>
      <c r="R5040" s="4">
        <v>984267</v>
      </c>
      <c r="S5040" t="s">
        <v>21329</v>
      </c>
      <c r="T5040" s="6">
        <v>43405</v>
      </c>
      <c r="U5040" s="4">
        <v>699900</v>
      </c>
      <c r="V5040" t="s">
        <v>23739</v>
      </c>
      <c r="W5040" t="s">
        <v>21329</v>
      </c>
      <c r="X5040" t="s">
        <v>3</v>
      </c>
      <c r="AA5040" s="5" t="str">
        <f>HYPERLINK("https://www.zillow.com/homes/834-LEONA-MAE-CT-NAPERVILLE-IL-60563_rb/","check listing")</f>
        <v>check listing</v>
      </c>
      <c r="AB5040" s="5" t="str">
        <f>HYPERLINK("https://propertylookup.dupagecounty.gov/Datalets/Datalet.aspx?UseSearch=no&amp;mode=sales&amp;pin=0807416027","sales record")</f>
        <v>sales record</v>
      </c>
      <c r="AC5040" t="s">
        <v>3</v>
      </c>
      <c r="AD5040">
        <v>41.785545</v>
      </c>
      <c r="AE5040">
        <v>-88.130042</v>
      </c>
      <c r="AF5040" s="5" t="str">
        <f>HYPERLINK("https://www.google.com/maps/search/?api=1&amp;query=41.785545,-88.130042","map")</f>
        <v>map</v>
      </c>
    </row>
    <row r="5041" spans="1:32">
      <c r="A5041" t="s">
        <v>5091</v>
      </c>
      <c r="B5041" t="s">
        <v>12624</v>
      </c>
      <c r="C5041" t="s">
        <v>15475</v>
      </c>
      <c r="D5041" t="s">
        <v>16206</v>
      </c>
      <c r="E5041" t="s">
        <v>16218</v>
      </c>
      <c r="F5041" t="s">
        <v>16221</v>
      </c>
      <c r="G5041" t="s">
        <v>16277</v>
      </c>
      <c r="H5041" t="s">
        <v>16277</v>
      </c>
      <c r="I5041" t="s">
        <v>16353</v>
      </c>
      <c r="J5041" t="s">
        <v>16386</v>
      </c>
      <c r="K5041">
        <v>0.122</v>
      </c>
      <c r="L5041">
        <v>5299</v>
      </c>
      <c r="M5041">
        <v>919</v>
      </c>
      <c r="N5041" t="s">
        <v>16393</v>
      </c>
      <c r="O5041" s="4">
        <v>76142</v>
      </c>
      <c r="P5041" s="4">
        <v>15281</v>
      </c>
      <c r="Q5041" s="4">
        <v>91423</v>
      </c>
      <c r="R5041" s="4">
        <v>274269</v>
      </c>
      <c r="S5041" t="s">
        <v>21330</v>
      </c>
      <c r="T5041" s="6">
        <v>44317</v>
      </c>
      <c r="U5041" s="4">
        <v>300000</v>
      </c>
      <c r="V5041" t="s">
        <v>23739</v>
      </c>
      <c r="W5041" t="s">
        <v>26573</v>
      </c>
      <c r="X5041" t="s">
        <v>3</v>
      </c>
      <c r="AA5041" s="5" t="str">
        <f>HYPERLINK("https://www.zillow.com/homes/817-E-BENTON-AVE-NAPERVILLE-IL-60540_rb/","check listing")</f>
        <v>check listing</v>
      </c>
      <c r="AB5041" s="5" t="str">
        <f>HYPERLINK("https://propertylookup.dupagecounty.gov/Datalets/Datalet.aspx?UseSearch=no&amp;mode=sales&amp;pin=0818405009","sales record")</f>
        <v>sales record</v>
      </c>
      <c r="AC5041" t="s">
        <v>3</v>
      </c>
      <c r="AD5041">
        <v>41.774956</v>
      </c>
      <c r="AE5041">
        <v>-88.13596200000001</v>
      </c>
      <c r="AF5041" s="5" t="str">
        <f>HYPERLINK("https://www.google.com/maps/search/?api=1&amp;query=41.774956,-88.135962","map")</f>
        <v>map</v>
      </c>
    </row>
    <row r="5042" spans="1:32">
      <c r="A5042" t="s">
        <v>5092</v>
      </c>
      <c r="B5042" t="s">
        <v>12625</v>
      </c>
      <c r="C5042" t="s">
        <v>15768</v>
      </c>
      <c r="D5042" t="s">
        <v>16206</v>
      </c>
      <c r="E5042" t="s">
        <v>16218</v>
      </c>
      <c r="F5042" t="s">
        <v>16221</v>
      </c>
      <c r="G5042" t="s">
        <v>16277</v>
      </c>
      <c r="H5042" t="s">
        <v>16277</v>
      </c>
      <c r="I5042" t="s">
        <v>16353</v>
      </c>
      <c r="J5042" t="s">
        <v>16386</v>
      </c>
      <c r="K5042">
        <v>0.122</v>
      </c>
      <c r="L5042">
        <v>5297</v>
      </c>
      <c r="M5042">
        <v>1417</v>
      </c>
      <c r="N5042" t="s">
        <v>16393</v>
      </c>
      <c r="O5042" s="4">
        <v>131890</v>
      </c>
      <c r="P5042" s="4">
        <v>123673</v>
      </c>
      <c r="Q5042" s="4">
        <v>255563</v>
      </c>
      <c r="R5042" s="4">
        <v>766689</v>
      </c>
      <c r="S5042" t="s">
        <v>21331</v>
      </c>
      <c r="T5042" s="6">
        <v>46043</v>
      </c>
      <c r="U5042" s="4">
        <v>770000</v>
      </c>
      <c r="V5042" t="s">
        <v>23739</v>
      </c>
      <c r="W5042" t="s">
        <v>26574</v>
      </c>
      <c r="X5042" t="s">
        <v>3</v>
      </c>
      <c r="AA5042" s="5" t="str">
        <f>HYPERLINK("https://www.zillow.com/homes/105-S-WRIGHT-ST-NAPERVILLE-IL-605404959_rb/","check listing")</f>
        <v>check listing</v>
      </c>
      <c r="AB5042" s="5" t="str">
        <f>HYPERLINK("https://propertylookup.dupagecounty.gov/Datalets/Datalet.aspx?UseSearch=no&amp;mode=sales&amp;pin=0818322008","sales record")</f>
        <v>sales record</v>
      </c>
      <c r="AC5042" t="s">
        <v>27873</v>
      </c>
      <c r="AD5042">
        <v>41.773742</v>
      </c>
      <c r="AE5042">
        <v>-88.139915</v>
      </c>
      <c r="AF5042" s="5" t="str">
        <f>HYPERLINK("https://www.google.com/maps/search/?api=1&amp;query=41.773742,-88.139915","map")</f>
        <v>map</v>
      </c>
    </row>
    <row r="5043" spans="1:32">
      <c r="A5043" t="s">
        <v>5093</v>
      </c>
      <c r="B5043" t="s">
        <v>12626</v>
      </c>
      <c r="C5043" t="s">
        <v>15817</v>
      </c>
      <c r="D5043" t="s">
        <v>16206</v>
      </c>
      <c r="E5043" t="s">
        <v>16218</v>
      </c>
      <c r="F5043" t="s">
        <v>16221</v>
      </c>
      <c r="G5043" t="s">
        <v>16277</v>
      </c>
      <c r="H5043" t="s">
        <v>16277</v>
      </c>
      <c r="I5043" t="s">
        <v>16353</v>
      </c>
      <c r="J5043" t="s">
        <v>16386</v>
      </c>
      <c r="K5043">
        <v>0.121</v>
      </c>
      <c r="L5043">
        <v>5264</v>
      </c>
      <c r="M5043">
        <v>1319</v>
      </c>
      <c r="N5043" t="s">
        <v>16393</v>
      </c>
      <c r="O5043" s="4">
        <v>111971</v>
      </c>
      <c r="P5043" s="4">
        <v>60113</v>
      </c>
      <c r="Q5043" s="4">
        <v>172084</v>
      </c>
      <c r="R5043" s="4">
        <v>516252</v>
      </c>
      <c r="S5043" t="s">
        <v>21332</v>
      </c>
      <c r="T5043" s="6">
        <v>45707</v>
      </c>
      <c r="U5043" s="4">
        <v>590000</v>
      </c>
      <c r="V5043" t="s">
        <v>16232</v>
      </c>
      <c r="W5043" t="s">
        <v>26575</v>
      </c>
      <c r="X5043" t="s">
        <v>3</v>
      </c>
      <c r="AA5043" s="5" t="str">
        <f>HYPERLINK("https://www.zillow.com/homes/5-S-COLUMBIA-ST-NAPERVILLE-IL-605404884_rb/","check listing")</f>
        <v>check listing</v>
      </c>
      <c r="AB5043" s="5" t="str">
        <f>HYPERLINK("https://propertylookup.dupagecounty.gov/Datalets/Datalet.aspx?UseSearch=no&amp;mode=sales&amp;pin=0818407002","sales record")</f>
        <v>sales record</v>
      </c>
      <c r="AC5043" t="s">
        <v>27873</v>
      </c>
      <c r="AD5043">
        <v>41.774672</v>
      </c>
      <c r="AE5043">
        <v>-88.138355</v>
      </c>
      <c r="AF5043" s="5" t="str">
        <f>HYPERLINK("https://www.google.com/maps/search/?api=1&amp;query=41.774672,-88.138355","map")</f>
        <v>map</v>
      </c>
    </row>
    <row r="5044" spans="1:32">
      <c r="A5044" t="s">
        <v>5094</v>
      </c>
      <c r="B5044" t="s">
        <v>12627</v>
      </c>
      <c r="C5044" t="s">
        <v>15475</v>
      </c>
      <c r="D5044" t="s">
        <v>16206</v>
      </c>
      <c r="E5044" t="s">
        <v>16218</v>
      </c>
      <c r="F5044" t="s">
        <v>16221</v>
      </c>
      <c r="G5044" t="s">
        <v>16277</v>
      </c>
      <c r="H5044" t="s">
        <v>16277</v>
      </c>
      <c r="I5044" t="s">
        <v>16353</v>
      </c>
      <c r="J5044" t="s">
        <v>16386</v>
      </c>
      <c r="K5044">
        <v>0.12</v>
      </c>
      <c r="L5044">
        <v>5223</v>
      </c>
      <c r="M5044">
        <v>1480</v>
      </c>
      <c r="N5044" t="s">
        <v>16393</v>
      </c>
      <c r="O5044" s="4">
        <v>113660</v>
      </c>
      <c r="P5044" s="4">
        <v>40206</v>
      </c>
      <c r="Q5044" s="4">
        <v>153866</v>
      </c>
      <c r="R5044" s="4">
        <v>461598</v>
      </c>
      <c r="S5044" t="s">
        <v>21333</v>
      </c>
      <c r="T5044" s="6">
        <v>38443</v>
      </c>
      <c r="U5044" s="4">
        <v>333000</v>
      </c>
      <c r="V5044" t="s">
        <v>23739</v>
      </c>
      <c r="W5044" t="s">
        <v>26576</v>
      </c>
      <c r="X5044" t="s">
        <v>3</v>
      </c>
      <c r="AA5044" s="5" t="str">
        <f>HYPERLINK("https://www.zillow.com/homes/814-E-BENTON-AVE-NAPERVILLE-IL-60540_rb/","check listing")</f>
        <v>check listing</v>
      </c>
      <c r="AB5044" s="5" t="str">
        <f>HYPERLINK("https://propertylookup.dupagecounty.gov/Datalets/Datalet.aspx?UseSearch=no&amp;mode=sales&amp;pin=0818411011","sales record")</f>
        <v>sales record</v>
      </c>
      <c r="AC5044" t="s">
        <v>3</v>
      </c>
      <c r="AD5044">
        <v>41.774632</v>
      </c>
      <c r="AE5044">
        <v>-88.13616399999999</v>
      </c>
      <c r="AF5044" s="5" t="str">
        <f>HYPERLINK("https://www.google.com/maps/search/?api=1&amp;query=41.774632,-88.136164","map")</f>
        <v>map</v>
      </c>
    </row>
    <row r="5045" spans="1:32">
      <c r="A5045" t="s">
        <v>5095</v>
      </c>
      <c r="B5045" t="s">
        <v>12628</v>
      </c>
      <c r="C5045" t="s">
        <v>15751</v>
      </c>
      <c r="D5045" t="s">
        <v>16206</v>
      </c>
      <c r="E5045" t="s">
        <v>16218</v>
      </c>
      <c r="F5045" t="s">
        <v>16221</v>
      </c>
      <c r="G5045" t="s">
        <v>16278</v>
      </c>
      <c r="H5045" t="s">
        <v>16277</v>
      </c>
      <c r="I5045" t="s">
        <v>16353</v>
      </c>
      <c r="J5045" t="s">
        <v>16386</v>
      </c>
      <c r="K5045">
        <v>0.119</v>
      </c>
      <c r="L5045">
        <v>5164</v>
      </c>
      <c r="N5045" t="s">
        <v>16393</v>
      </c>
      <c r="O5045" s="4">
        <v>67675</v>
      </c>
      <c r="P5045" s="4">
        <v>256062</v>
      </c>
      <c r="Q5045" s="4">
        <v>323737</v>
      </c>
      <c r="R5045" s="4">
        <v>971211</v>
      </c>
      <c r="S5045" t="s">
        <v>21334</v>
      </c>
      <c r="X5045" t="s">
        <v>3</v>
      </c>
      <c r="AA5045" s="5" t="str">
        <f>HYPERLINK("https://www.zillow.com/homes/832-LEONA-MAE-CT-NAPERVILLE-IL-605633488_rb/","check listing")</f>
        <v>check listing</v>
      </c>
      <c r="AB5045" s="5" t="str">
        <f>HYPERLINK("https://propertylookup.dupagecounty.gov/Datalets/Datalet.aspx?UseSearch=no&amp;mode=sales&amp;pin=0807416028","sales record")</f>
        <v>sales record</v>
      </c>
      <c r="AC5045" t="s">
        <v>3</v>
      </c>
      <c r="AD5045">
        <v>41.785578</v>
      </c>
      <c r="AE5045">
        <v>-88.129876</v>
      </c>
      <c r="AF5045" s="5" t="str">
        <f>HYPERLINK("https://www.google.com/maps/search/?api=1&amp;query=41.785578,-88.129876","map")</f>
        <v>map</v>
      </c>
    </row>
    <row r="5046" spans="1:32">
      <c r="A5046" t="s">
        <v>5096</v>
      </c>
      <c r="B5046" t="s">
        <v>12629</v>
      </c>
      <c r="C5046" t="s">
        <v>15478</v>
      </c>
      <c r="D5046" t="s">
        <v>16206</v>
      </c>
      <c r="E5046" t="s">
        <v>16218</v>
      </c>
      <c r="F5046" t="s">
        <v>16221</v>
      </c>
      <c r="G5046" t="s">
        <v>16278</v>
      </c>
      <c r="H5046" t="s">
        <v>16277</v>
      </c>
      <c r="I5046" t="s">
        <v>16353</v>
      </c>
      <c r="J5046" t="s">
        <v>16386</v>
      </c>
      <c r="K5046">
        <v>0.117</v>
      </c>
      <c r="L5046">
        <v>5097</v>
      </c>
      <c r="N5046" t="s">
        <v>16393</v>
      </c>
      <c r="O5046" s="4">
        <v>67675</v>
      </c>
      <c r="P5046" s="4">
        <v>262424</v>
      </c>
      <c r="Q5046" s="4">
        <v>330099</v>
      </c>
      <c r="R5046" s="4">
        <v>990297</v>
      </c>
      <c r="S5046" t="s">
        <v>21335</v>
      </c>
      <c r="T5046" s="6">
        <v>43374</v>
      </c>
      <c r="U5046" s="4">
        <v>775000</v>
      </c>
      <c r="V5046" t="s">
        <v>23739</v>
      </c>
      <c r="W5046" t="s">
        <v>21335</v>
      </c>
      <c r="X5046" t="s">
        <v>3</v>
      </c>
      <c r="AA5046" s="5" t="str">
        <f>HYPERLINK("https://www.zillow.com/homes/820-LEONA-MAE-CT-NAPERVILLE-IL-60563_rb/","check listing")</f>
        <v>check listing</v>
      </c>
      <c r="AB5046" s="5" t="str">
        <f>HYPERLINK("https://propertylookup.dupagecounty.gov/Datalets/Datalet.aspx?UseSearch=no&amp;mode=sales&amp;pin=0807416032","sales record")</f>
        <v>sales record</v>
      </c>
      <c r="AC5046" t="s">
        <v>3</v>
      </c>
      <c r="AD5046">
        <v>41.78524</v>
      </c>
      <c r="AE5046">
        <v>-88.129508</v>
      </c>
      <c r="AF5046" s="5" t="str">
        <f>HYPERLINK("https://www.google.com/maps/search/?api=1&amp;query=41.78524,-88.129508","map")</f>
        <v>map</v>
      </c>
    </row>
    <row r="5047" spans="1:32">
      <c r="A5047" t="s">
        <v>5097</v>
      </c>
      <c r="B5047" t="s">
        <v>12630</v>
      </c>
      <c r="C5047" t="s">
        <v>15475</v>
      </c>
      <c r="D5047" t="s">
        <v>16206</v>
      </c>
      <c r="E5047" t="s">
        <v>16218</v>
      </c>
      <c r="F5047" t="s">
        <v>16221</v>
      </c>
      <c r="G5047" t="s">
        <v>16277</v>
      </c>
      <c r="H5047" t="s">
        <v>16277</v>
      </c>
      <c r="I5047" t="s">
        <v>16353</v>
      </c>
      <c r="J5047" t="s">
        <v>16386</v>
      </c>
      <c r="K5047">
        <v>0.117</v>
      </c>
      <c r="L5047">
        <v>5089</v>
      </c>
      <c r="M5047">
        <v>1385</v>
      </c>
      <c r="N5047" t="s">
        <v>16393</v>
      </c>
      <c r="O5047" s="4">
        <v>90795</v>
      </c>
      <c r="P5047" s="4">
        <v>253367</v>
      </c>
      <c r="Q5047" s="4">
        <v>344162</v>
      </c>
      <c r="R5047" s="4">
        <v>1032486</v>
      </c>
      <c r="S5047" t="s">
        <v>21336</v>
      </c>
      <c r="T5047" s="6">
        <v>45538</v>
      </c>
      <c r="U5047" s="4">
        <v>1350000</v>
      </c>
      <c r="V5047" t="s">
        <v>23739</v>
      </c>
      <c r="W5047" t="s">
        <v>26577</v>
      </c>
      <c r="X5047" t="s">
        <v>3</v>
      </c>
      <c r="AA5047" s="5" t="str">
        <f>HYPERLINK("https://www.zillow.com/homes/215-N-EAGLE-ST-NAPERVILLE-IL-60540_rb/","check listing")</f>
        <v>check listing</v>
      </c>
      <c r="AB5047" s="5" t="str">
        <f>HYPERLINK("https://propertylookup.dupagecounty.gov/Datalets/Datalet.aspx?UseSearch=no&amp;mode=sales&amp;pin=0713224022","sales record")</f>
        <v>sales record</v>
      </c>
      <c r="AC5047" t="s">
        <v>3</v>
      </c>
      <c r="AD5047">
        <v>41.777753</v>
      </c>
      <c r="AE5047">
        <v>-88.15303299999999</v>
      </c>
      <c r="AF5047" s="5" t="str">
        <f>HYPERLINK("https://www.google.com/maps/search/?api=1&amp;query=41.777753,-88.153033","map")</f>
        <v>map</v>
      </c>
    </row>
    <row r="5048" spans="1:32">
      <c r="A5048" t="s">
        <v>5098</v>
      </c>
      <c r="B5048" t="s">
        <v>12631</v>
      </c>
      <c r="C5048" t="s">
        <v>15475</v>
      </c>
      <c r="D5048" t="s">
        <v>16206</v>
      </c>
      <c r="E5048" t="s">
        <v>16218</v>
      </c>
      <c r="F5048" t="s">
        <v>16221</v>
      </c>
      <c r="G5048" t="s">
        <v>16277</v>
      </c>
      <c r="H5048" t="s">
        <v>16277</v>
      </c>
      <c r="I5048" t="s">
        <v>16353</v>
      </c>
      <c r="J5048" t="s">
        <v>16386</v>
      </c>
      <c r="K5048">
        <v>0.116</v>
      </c>
      <c r="L5048">
        <v>5033</v>
      </c>
      <c r="M5048">
        <v>1583</v>
      </c>
      <c r="N5048" t="s">
        <v>16393</v>
      </c>
      <c r="O5048" s="4">
        <v>86071</v>
      </c>
      <c r="P5048" s="4">
        <v>52055</v>
      </c>
      <c r="Q5048" s="4">
        <v>138126</v>
      </c>
      <c r="R5048" s="4">
        <v>414378</v>
      </c>
      <c r="S5048" t="s">
        <v>21337</v>
      </c>
      <c r="T5048" s="6">
        <v>41091</v>
      </c>
      <c r="U5048" s="4">
        <v>163000</v>
      </c>
      <c r="V5048" t="s">
        <v>23739</v>
      </c>
      <c r="W5048" t="s">
        <v>21337</v>
      </c>
      <c r="X5048" t="s">
        <v>3</v>
      </c>
      <c r="AA5048" s="5" t="str">
        <f>HYPERLINK("https://www.zillow.com/homes/220-N-MILL-ST-NAPERVILLE-IL-60540_rb/","check listing")</f>
        <v>check listing</v>
      </c>
      <c r="AB5048" s="5" t="str">
        <f>HYPERLINK("https://propertylookup.dupagecounty.gov/Datalets/Datalet.aspx?UseSearch=no&amp;mode=sales&amp;pin=0713224011","sales record")</f>
        <v>sales record</v>
      </c>
      <c r="AC5048" t="s">
        <v>3</v>
      </c>
      <c r="AD5048">
        <v>41.777785</v>
      </c>
      <c r="AE5048">
        <v>-88.154124</v>
      </c>
      <c r="AF5048" s="5" t="str">
        <f>HYPERLINK("https://www.google.com/maps/search/?api=1&amp;query=41.777785,-88.154124","map")</f>
        <v>map</v>
      </c>
    </row>
    <row r="5049" spans="1:32">
      <c r="A5049" t="s">
        <v>5099</v>
      </c>
      <c r="B5049" t="s">
        <v>12632</v>
      </c>
      <c r="C5049" t="s">
        <v>15818</v>
      </c>
      <c r="D5049" t="s">
        <v>16206</v>
      </c>
      <c r="E5049" t="s">
        <v>16218</v>
      </c>
      <c r="F5049" t="s">
        <v>16221</v>
      </c>
      <c r="G5049" t="s">
        <v>16277</v>
      </c>
      <c r="H5049" t="s">
        <v>16277</v>
      </c>
      <c r="I5049" t="s">
        <v>16353</v>
      </c>
      <c r="J5049" t="s">
        <v>16386</v>
      </c>
      <c r="K5049">
        <v>0.115</v>
      </c>
      <c r="L5049">
        <v>5017</v>
      </c>
      <c r="M5049">
        <v>2306</v>
      </c>
      <c r="N5049" t="s">
        <v>16393</v>
      </c>
      <c r="O5049" s="4">
        <v>86350</v>
      </c>
      <c r="P5049" s="4">
        <v>153112</v>
      </c>
      <c r="Q5049" s="4">
        <v>239462</v>
      </c>
      <c r="R5049" s="4">
        <v>718386</v>
      </c>
      <c r="S5049" t="s">
        <v>21338</v>
      </c>
      <c r="X5049" t="s">
        <v>3</v>
      </c>
      <c r="AA5049" s="5" t="str">
        <f>HYPERLINK("https://www.zillow.com/homes/19-N-MAIN-ST-NAPERVILLE-IL-605404507_rb/","check listing")</f>
        <v>check listing</v>
      </c>
      <c r="AB5049" s="5" t="str">
        <f>HYPERLINK("https://propertylookup.dupagecounty.gov/Datalets/Datalet.aspx?UseSearch=no&amp;mode=sales&amp;pin=0713410017","sales record")</f>
        <v>sales record</v>
      </c>
      <c r="AC5049" t="s">
        <v>3</v>
      </c>
      <c r="AD5049">
        <v>41.775691</v>
      </c>
      <c r="AE5049">
        <v>-88.149728</v>
      </c>
      <c r="AF5049" s="5" t="str">
        <f>HYPERLINK("https://www.google.com/maps/search/?api=1&amp;query=41.775691,-88.149728","map")</f>
        <v>map</v>
      </c>
    </row>
    <row r="5050" spans="1:32">
      <c r="A5050" t="s">
        <v>5100</v>
      </c>
      <c r="B5050" t="s">
        <v>12633</v>
      </c>
      <c r="C5050" t="s">
        <v>15475</v>
      </c>
      <c r="D5050" t="s">
        <v>16206</v>
      </c>
      <c r="E5050" t="s">
        <v>16218</v>
      </c>
      <c r="F5050" t="s">
        <v>16221</v>
      </c>
      <c r="G5050" t="s">
        <v>16277</v>
      </c>
      <c r="H5050" t="s">
        <v>16277</v>
      </c>
      <c r="I5050" t="s">
        <v>16353</v>
      </c>
      <c r="J5050" t="s">
        <v>16386</v>
      </c>
      <c r="K5050">
        <v>0.115</v>
      </c>
      <c r="L5050">
        <v>5017</v>
      </c>
      <c r="M5050">
        <v>1583</v>
      </c>
      <c r="N5050" t="s">
        <v>16393</v>
      </c>
      <c r="O5050" s="4">
        <v>95335</v>
      </c>
      <c r="P5050" s="4">
        <v>52238</v>
      </c>
      <c r="Q5050" s="4">
        <v>147573</v>
      </c>
      <c r="R5050" s="4">
        <v>442719</v>
      </c>
      <c r="S5050" t="s">
        <v>21339</v>
      </c>
      <c r="T5050" s="6">
        <v>34578</v>
      </c>
      <c r="U5050" s="4">
        <v>134500</v>
      </c>
      <c r="X5050" t="s">
        <v>3</v>
      </c>
      <c r="AA5050" s="5" t="str">
        <f>HYPERLINK("https://www.zillow.com/homes/223-N-EAGLE-ST-NAPERVILLE-IL-60540_rb/","check listing")</f>
        <v>check listing</v>
      </c>
      <c r="AB5050" s="5" t="str">
        <f>HYPERLINK("https://propertylookup.dupagecounty.gov/Datalets/Datalet.aspx?UseSearch=no&amp;mode=sales&amp;pin=0713224009","sales record")</f>
        <v>sales record</v>
      </c>
      <c r="AC5050" t="s">
        <v>27873</v>
      </c>
      <c r="AD5050">
        <v>41.777946</v>
      </c>
      <c r="AE5050">
        <v>-88.153023</v>
      </c>
      <c r="AF5050" s="5" t="str">
        <f>HYPERLINK("https://www.google.com/maps/search/?api=1&amp;query=41.777946,-88.153023","map")</f>
        <v>map</v>
      </c>
    </row>
    <row r="5051" spans="1:32">
      <c r="A5051" t="s">
        <v>5101</v>
      </c>
      <c r="B5051" t="s">
        <v>12634</v>
      </c>
      <c r="C5051" t="s">
        <v>15478</v>
      </c>
      <c r="D5051" t="s">
        <v>16206</v>
      </c>
      <c r="E5051" t="s">
        <v>16218</v>
      </c>
      <c r="F5051" t="s">
        <v>16221</v>
      </c>
      <c r="G5051" t="s">
        <v>16278</v>
      </c>
      <c r="H5051" t="s">
        <v>16277</v>
      </c>
      <c r="I5051" t="s">
        <v>16353</v>
      </c>
      <c r="J5051" t="s">
        <v>16386</v>
      </c>
      <c r="K5051">
        <v>0.115</v>
      </c>
      <c r="L5051">
        <v>4995</v>
      </c>
      <c r="N5051" t="s">
        <v>16393</v>
      </c>
      <c r="O5051" s="4">
        <v>67675</v>
      </c>
      <c r="P5051" s="4">
        <v>264518</v>
      </c>
      <c r="Q5051" s="4">
        <v>332193</v>
      </c>
      <c r="R5051" s="4">
        <v>996579</v>
      </c>
      <c r="S5051" t="s">
        <v>21340</v>
      </c>
      <c r="X5051" t="s">
        <v>3</v>
      </c>
      <c r="AA5051" s="5" t="str">
        <f>HYPERLINK("https://www.zillow.com/homes/808-LEONA-MAE-CT-NAPERVILLE-IL-60563_rb/","check listing")</f>
        <v>check listing</v>
      </c>
      <c r="AB5051" s="5" t="str">
        <f>HYPERLINK("https://propertylookup.dupagecounty.gov/Datalets/Datalet.aspx?UseSearch=no&amp;mode=sales&amp;pin=0807416036","sales record")</f>
        <v>sales record</v>
      </c>
      <c r="AC5051" t="s">
        <v>3</v>
      </c>
      <c r="AD5051">
        <v>41.784755</v>
      </c>
      <c r="AE5051">
        <v>-88.129474</v>
      </c>
      <c r="AF5051" s="5" t="str">
        <f>HYPERLINK("https://www.google.com/maps/search/?api=1&amp;query=41.784755,-88.129474","map")</f>
        <v>map</v>
      </c>
    </row>
    <row r="5052" spans="1:32">
      <c r="A5052" t="s">
        <v>5102</v>
      </c>
      <c r="B5052" t="s">
        <v>12635</v>
      </c>
      <c r="C5052" t="s">
        <v>15663</v>
      </c>
      <c r="D5052" t="s">
        <v>16206</v>
      </c>
      <c r="E5052" t="s">
        <v>16218</v>
      </c>
      <c r="F5052" t="s">
        <v>16221</v>
      </c>
      <c r="G5052" t="s">
        <v>16277</v>
      </c>
      <c r="H5052" t="s">
        <v>16277</v>
      </c>
      <c r="I5052" t="s">
        <v>16353</v>
      </c>
      <c r="J5052" t="s">
        <v>16386</v>
      </c>
      <c r="K5052">
        <v>0.114</v>
      </c>
      <c r="L5052">
        <v>4986</v>
      </c>
      <c r="M5052">
        <v>2919</v>
      </c>
      <c r="N5052" t="s">
        <v>16393</v>
      </c>
      <c r="O5052" s="4">
        <v>105503</v>
      </c>
      <c r="P5052" s="4">
        <v>199910</v>
      </c>
      <c r="Q5052" s="4">
        <v>305413</v>
      </c>
      <c r="R5052" s="4">
        <v>916239</v>
      </c>
      <c r="S5052" t="s">
        <v>21341</v>
      </c>
      <c r="T5052" s="6">
        <v>43617</v>
      </c>
      <c r="U5052" s="4">
        <v>652800</v>
      </c>
      <c r="V5052" t="s">
        <v>23739</v>
      </c>
      <c r="W5052" t="s">
        <v>26578</v>
      </c>
      <c r="X5052" t="s">
        <v>3</v>
      </c>
      <c r="AA5052" s="5" t="str">
        <f>HYPERLINK("https://www.zillow.com/homes/119-N-ELLSWORTH-ST-NAPERVILLE-IL-605404620_rb/","check listing")</f>
        <v>check listing</v>
      </c>
      <c r="AB5052" s="5" t="str">
        <f>HYPERLINK("https://propertylookup.dupagecounty.gov/Datalets/Datalet.aspx?UseSearch=no&amp;mode=sales&amp;pin=0818301016","sales record")</f>
        <v>sales record</v>
      </c>
      <c r="AC5052" t="s">
        <v>3</v>
      </c>
      <c r="AD5052">
        <v>41.776522</v>
      </c>
      <c r="AE5052">
        <v>-88.145419</v>
      </c>
      <c r="AF5052" s="5" t="str">
        <f>HYPERLINK("https://www.google.com/maps/search/?api=1&amp;query=41.776522,-88.145419","map")</f>
        <v>map</v>
      </c>
    </row>
    <row r="5053" spans="1:32">
      <c r="A5053" t="s">
        <v>5103</v>
      </c>
      <c r="B5053" t="s">
        <v>12636</v>
      </c>
      <c r="C5053" t="s">
        <v>15816</v>
      </c>
      <c r="D5053" t="s">
        <v>16206</v>
      </c>
      <c r="E5053" t="s">
        <v>16218</v>
      </c>
      <c r="F5053" t="s">
        <v>16221</v>
      </c>
      <c r="G5053" t="s">
        <v>16277</v>
      </c>
      <c r="H5053" t="s">
        <v>16277</v>
      </c>
      <c r="I5053" t="s">
        <v>16353</v>
      </c>
      <c r="J5053" t="s">
        <v>16386</v>
      </c>
      <c r="K5053">
        <v>0.114</v>
      </c>
      <c r="L5053">
        <v>4978</v>
      </c>
      <c r="M5053">
        <v>2035</v>
      </c>
      <c r="N5053" t="s">
        <v>16393</v>
      </c>
      <c r="O5053" s="4">
        <v>101721</v>
      </c>
      <c r="P5053" s="4">
        <v>90328</v>
      </c>
      <c r="Q5053" s="4">
        <v>192049</v>
      </c>
      <c r="R5053" s="4">
        <v>576147</v>
      </c>
      <c r="S5053" t="s">
        <v>21342</v>
      </c>
      <c r="T5053" s="6">
        <v>43891</v>
      </c>
      <c r="U5053" s="4">
        <v>409000</v>
      </c>
      <c r="V5053" t="s">
        <v>23739</v>
      </c>
      <c r="W5053" t="s">
        <v>26579</v>
      </c>
      <c r="X5053" t="s">
        <v>3</v>
      </c>
      <c r="AA5053" s="5" t="str">
        <f>HYPERLINK("https://www.zillow.com/homes/10-S-JULIAN-ST-NAPERVILLE-IL-605404935_rb/","check listing")</f>
        <v>check listing</v>
      </c>
      <c r="AB5053" s="5" t="str">
        <f>HYPERLINK("https://propertylookup.dupagecounty.gov/Datalets/Datalet.aspx?UseSearch=no&amp;mode=sales&amp;pin=0818411002","sales record")</f>
        <v>sales record</v>
      </c>
      <c r="AC5053" t="s">
        <v>3</v>
      </c>
      <c r="AD5053">
        <v>41.774499</v>
      </c>
      <c r="AE5053">
        <v>-88.13644499999999</v>
      </c>
      <c r="AF5053" s="5" t="str">
        <f>HYPERLINK("https://www.google.com/maps/search/?api=1&amp;query=41.774499,-88.136445","map")</f>
        <v>map</v>
      </c>
    </row>
    <row r="5054" spans="1:32">
      <c r="A5054" t="s">
        <v>5104</v>
      </c>
      <c r="B5054" t="s">
        <v>12637</v>
      </c>
      <c r="C5054" t="s">
        <v>15475</v>
      </c>
      <c r="D5054" t="s">
        <v>16206</v>
      </c>
      <c r="E5054" t="s">
        <v>16218</v>
      </c>
      <c r="F5054" t="s">
        <v>16221</v>
      </c>
      <c r="G5054" t="s">
        <v>16277</v>
      </c>
      <c r="H5054" t="s">
        <v>16277</v>
      </c>
      <c r="I5054" t="s">
        <v>16353</v>
      </c>
      <c r="J5054" t="s">
        <v>16386</v>
      </c>
      <c r="K5054">
        <v>0.111</v>
      </c>
      <c r="L5054">
        <v>4856</v>
      </c>
      <c r="M5054">
        <v>1319</v>
      </c>
      <c r="N5054" t="s">
        <v>16393</v>
      </c>
      <c r="O5054" s="4">
        <v>85643</v>
      </c>
      <c r="P5054" s="4">
        <v>65962</v>
      </c>
      <c r="Q5054" s="4">
        <v>151605</v>
      </c>
      <c r="R5054" s="4">
        <v>454815</v>
      </c>
      <c r="S5054" t="s">
        <v>21343</v>
      </c>
      <c r="T5054" s="6">
        <v>37073</v>
      </c>
      <c r="U5054" s="4">
        <v>220000</v>
      </c>
      <c r="V5054" t="s">
        <v>23740</v>
      </c>
      <c r="W5054" t="s">
        <v>21343</v>
      </c>
      <c r="X5054" t="s">
        <v>3</v>
      </c>
      <c r="AA5054" s="5" t="str">
        <f>HYPERLINK("https://www.zillow.com/homes/115-E-FRANKLIN-AVE-NAPERVILLE-IL-60540_rb/","check listing")</f>
        <v>check listing</v>
      </c>
      <c r="AB5054" s="5" t="str">
        <f>HYPERLINK("https://propertylookup.dupagecounty.gov/Datalets/Datalet.aspx?UseSearch=no&amp;mode=sales&amp;pin=0818301007","sales record")</f>
        <v>sales record</v>
      </c>
      <c r="AC5054" t="s">
        <v>3</v>
      </c>
      <c r="AD5054">
        <v>41.776132</v>
      </c>
      <c r="AE5054">
        <v>-88.14578</v>
      </c>
      <c r="AF5054" s="5" t="str">
        <f>HYPERLINK("https://www.google.com/maps/search/?api=1&amp;query=41.776132,-88.14578","map")</f>
        <v>map</v>
      </c>
    </row>
    <row r="5055" spans="1:32">
      <c r="A5055" t="s">
        <v>5105</v>
      </c>
      <c r="B5055" t="s">
        <v>12638</v>
      </c>
      <c r="C5055" t="s">
        <v>15475</v>
      </c>
      <c r="D5055" t="s">
        <v>16206</v>
      </c>
      <c r="E5055" t="s">
        <v>16218</v>
      </c>
      <c r="F5055" t="s">
        <v>16221</v>
      </c>
      <c r="G5055" t="s">
        <v>16277</v>
      </c>
      <c r="H5055" t="s">
        <v>16277</v>
      </c>
      <c r="I5055" t="s">
        <v>16353</v>
      </c>
      <c r="J5055" t="s">
        <v>16386</v>
      </c>
      <c r="K5055">
        <v>0.11</v>
      </c>
      <c r="L5055">
        <v>4788</v>
      </c>
      <c r="M5055">
        <v>1384</v>
      </c>
      <c r="N5055" t="s">
        <v>16393</v>
      </c>
      <c r="O5055" s="4">
        <v>86181</v>
      </c>
      <c r="P5055" s="4">
        <v>88341</v>
      </c>
      <c r="Q5055" s="4">
        <v>174522</v>
      </c>
      <c r="R5055" s="4">
        <v>523566</v>
      </c>
      <c r="S5055" t="s">
        <v>21344</v>
      </c>
      <c r="T5055" s="6">
        <v>37438</v>
      </c>
      <c r="U5055" s="4">
        <v>220000</v>
      </c>
      <c r="V5055" t="s">
        <v>23739</v>
      </c>
      <c r="W5055" t="s">
        <v>26580</v>
      </c>
      <c r="X5055" t="s">
        <v>3</v>
      </c>
      <c r="AA5055" s="5" t="str">
        <f>HYPERLINK("https://www.zillow.com/homes/234-S-WEST-ST-NAPERVILLE-IL-60540_rb/","check listing")</f>
        <v>check listing</v>
      </c>
      <c r="AB5055" s="5" t="str">
        <f>HYPERLINK("https://propertylookup.dupagecounty.gov/Datalets/Datalet.aspx?UseSearch=no&amp;mode=sales&amp;pin=0713316009","sales record")</f>
        <v>sales record</v>
      </c>
      <c r="AC5055" t="s">
        <v>3</v>
      </c>
      <c r="AD5055">
        <v>41.772308</v>
      </c>
      <c r="AE5055">
        <v>-88.157858</v>
      </c>
      <c r="AF5055" s="5" t="str">
        <f>HYPERLINK("https://www.google.com/maps/search/?api=1&amp;query=41.772308,-88.157858","map")</f>
        <v>map</v>
      </c>
    </row>
    <row r="5056" spans="1:32">
      <c r="A5056" t="s">
        <v>5106</v>
      </c>
      <c r="B5056" t="s">
        <v>12639</v>
      </c>
      <c r="C5056" t="s">
        <v>15792</v>
      </c>
      <c r="D5056" t="s">
        <v>16206</v>
      </c>
      <c r="E5056" t="s">
        <v>16218</v>
      </c>
      <c r="F5056" t="s">
        <v>16221</v>
      </c>
      <c r="G5056" t="s">
        <v>16277</v>
      </c>
      <c r="H5056" t="s">
        <v>16277</v>
      </c>
      <c r="I5056" t="s">
        <v>16353</v>
      </c>
      <c r="J5056" t="s">
        <v>16386</v>
      </c>
      <c r="K5056">
        <v>0.11</v>
      </c>
      <c r="L5056">
        <v>4776</v>
      </c>
      <c r="N5056" t="s">
        <v>16393</v>
      </c>
      <c r="O5056" s="4">
        <v>72290</v>
      </c>
      <c r="P5056" s="4">
        <v>195712</v>
      </c>
      <c r="Q5056" s="4">
        <v>268002</v>
      </c>
      <c r="R5056" s="4">
        <v>804006</v>
      </c>
      <c r="S5056" t="s">
        <v>21345</v>
      </c>
      <c r="X5056" t="s">
        <v>3</v>
      </c>
      <c r="AA5056" s="5" t="str">
        <f>HYPERLINK("https://www.zillow.com/homes/206-N-HUFFMAN-ST-NAPERVILLE-IL-605404819_rb/","check listing")</f>
        <v>check listing</v>
      </c>
      <c r="AB5056" s="5" t="str">
        <f>HYPERLINK("https://propertylookup.dupagecounty.gov/Datalets/Datalet.aspx?UseSearch=no&amp;mode=sales&amp;pin=0818211019","sales record")</f>
        <v>sales record</v>
      </c>
      <c r="AC5056" t="s">
        <v>3</v>
      </c>
      <c r="AD5056">
        <v>41.777477</v>
      </c>
      <c r="AE5056">
        <v>-88.134925</v>
      </c>
      <c r="AF5056" s="5" t="str">
        <f>HYPERLINK("https://www.google.com/maps/search/?api=1&amp;query=41.777477,-88.134925","map")</f>
        <v>map</v>
      </c>
    </row>
    <row r="5057" spans="1:32">
      <c r="A5057" t="s">
        <v>5107</v>
      </c>
      <c r="B5057" t="s">
        <v>12640</v>
      </c>
      <c r="C5057" t="s">
        <v>15819</v>
      </c>
      <c r="D5057" t="s">
        <v>16206</v>
      </c>
      <c r="E5057" t="s">
        <v>16218</v>
      </c>
      <c r="F5057" t="s">
        <v>16221</v>
      </c>
      <c r="G5057" t="s">
        <v>16277</v>
      </c>
      <c r="H5057" t="s">
        <v>16277</v>
      </c>
      <c r="I5057" t="s">
        <v>16353</v>
      </c>
      <c r="J5057" t="s">
        <v>16386</v>
      </c>
      <c r="K5057">
        <v>0.11</v>
      </c>
      <c r="L5057">
        <v>4773</v>
      </c>
      <c r="M5057">
        <v>1055</v>
      </c>
      <c r="N5057" t="s">
        <v>16393</v>
      </c>
      <c r="O5057" s="4">
        <v>80980</v>
      </c>
      <c r="P5057" s="4">
        <v>65165</v>
      </c>
      <c r="Q5057" s="4">
        <v>146145</v>
      </c>
      <c r="R5057" s="4">
        <v>438435</v>
      </c>
      <c r="S5057" t="s">
        <v>21346</v>
      </c>
      <c r="T5057" s="6">
        <v>43770</v>
      </c>
      <c r="U5057" s="4">
        <v>420000</v>
      </c>
      <c r="V5057" t="s">
        <v>23739</v>
      </c>
      <c r="W5057" t="s">
        <v>26581</v>
      </c>
      <c r="X5057" t="s">
        <v>3</v>
      </c>
      <c r="AA5057" s="5" t="str">
        <f>HYPERLINK("https://www.zillow.com/homes/115-N-WEBSTER-ST-NAPERVILLE-IL-605404517_rb/","check listing")</f>
        <v>check listing</v>
      </c>
      <c r="AB5057" s="5" t="str">
        <f>HYPERLINK("https://propertylookup.dupagecounty.gov/Datalets/Datalet.aspx?UseSearch=no&amp;mode=sales&amp;pin=0713403016","sales record")</f>
        <v>sales record</v>
      </c>
      <c r="AC5057" t="s">
        <v>3</v>
      </c>
      <c r="AD5057">
        <v>41.776569</v>
      </c>
      <c r="AE5057">
        <v>-88.15132800000001</v>
      </c>
      <c r="AF5057" s="5" t="str">
        <f>HYPERLINK("https://www.google.com/maps/search/?api=1&amp;query=41.776569,-88.151328","map")</f>
        <v>map</v>
      </c>
    </row>
    <row r="5058" spans="1:32">
      <c r="A5058" t="s">
        <v>5108</v>
      </c>
      <c r="B5058" t="s">
        <v>12641</v>
      </c>
      <c r="C5058" t="s">
        <v>15820</v>
      </c>
      <c r="D5058" t="s">
        <v>16206</v>
      </c>
      <c r="E5058" t="s">
        <v>16218</v>
      </c>
      <c r="F5058" t="s">
        <v>16221</v>
      </c>
      <c r="G5058" t="s">
        <v>16277</v>
      </c>
      <c r="H5058" t="s">
        <v>16277</v>
      </c>
      <c r="I5058" t="s">
        <v>16353</v>
      </c>
      <c r="J5058" t="s">
        <v>16386</v>
      </c>
      <c r="K5058">
        <v>0.109</v>
      </c>
      <c r="L5058">
        <v>4767</v>
      </c>
      <c r="M5058">
        <v>1649</v>
      </c>
      <c r="N5058" t="s">
        <v>16393</v>
      </c>
      <c r="O5058" s="4">
        <v>86412</v>
      </c>
      <c r="P5058" s="4">
        <v>43975</v>
      </c>
      <c r="Q5058" s="4">
        <v>130387</v>
      </c>
      <c r="R5058" s="4">
        <v>391161</v>
      </c>
      <c r="S5058" t="s">
        <v>18991</v>
      </c>
      <c r="T5058" s="6">
        <v>43101</v>
      </c>
      <c r="U5058" s="4">
        <v>280000</v>
      </c>
      <c r="V5058" t="s">
        <v>23739</v>
      </c>
      <c r="W5058" t="s">
        <v>26582</v>
      </c>
      <c r="X5058" t="s">
        <v>3</v>
      </c>
      <c r="AA5058" s="5" t="str">
        <f>HYPERLINK("https://www.zillow.com/homes/26-N-MAIN-ST-NAPERVILLE-IL-605404508_rb/","check listing")</f>
        <v>check listing</v>
      </c>
      <c r="AB5058" s="5" t="str">
        <f>HYPERLINK("https://propertylookup.dupagecounty.gov/Datalets/Datalet.aspx?UseSearch=no&amp;mode=sales&amp;pin=0713411001","sales record")</f>
        <v>sales record</v>
      </c>
      <c r="AC5058" t="s">
        <v>3</v>
      </c>
      <c r="AD5058">
        <v>41.775872</v>
      </c>
      <c r="AE5058">
        <v>-88.149173</v>
      </c>
      <c r="AF5058" s="5" t="str">
        <f>HYPERLINK("https://www.google.com/maps/search/?api=1&amp;query=41.775872,-88.149173","map")</f>
        <v>map</v>
      </c>
    </row>
    <row r="5059" spans="1:32">
      <c r="A5059" t="s">
        <v>5109</v>
      </c>
      <c r="B5059" t="s">
        <v>12642</v>
      </c>
      <c r="C5059" t="s">
        <v>15821</v>
      </c>
      <c r="D5059" t="s">
        <v>16206</v>
      </c>
      <c r="E5059" t="s">
        <v>16218</v>
      </c>
      <c r="F5059" t="s">
        <v>16221</v>
      </c>
      <c r="G5059" t="s">
        <v>16277</v>
      </c>
      <c r="H5059" t="s">
        <v>16277</v>
      </c>
      <c r="I5059" t="s">
        <v>16353</v>
      </c>
      <c r="J5059" t="s">
        <v>16386</v>
      </c>
      <c r="K5059">
        <v>0.108</v>
      </c>
      <c r="L5059">
        <v>4718</v>
      </c>
      <c r="M5059">
        <v>1118</v>
      </c>
      <c r="N5059" t="s">
        <v>16393</v>
      </c>
      <c r="O5059" s="4">
        <v>79370</v>
      </c>
      <c r="P5059" s="4">
        <v>50383</v>
      </c>
      <c r="Q5059" s="4">
        <v>129753</v>
      </c>
      <c r="R5059" s="4">
        <v>389259</v>
      </c>
      <c r="S5059" t="s">
        <v>21347</v>
      </c>
      <c r="T5059" s="6">
        <v>44378</v>
      </c>
      <c r="U5059" s="4">
        <v>412000</v>
      </c>
      <c r="V5059" t="s">
        <v>23739</v>
      </c>
      <c r="W5059" t="s">
        <v>26583</v>
      </c>
      <c r="X5059" t="s">
        <v>3</v>
      </c>
      <c r="AA5059" s="5" t="str">
        <f>HYPERLINK("https://www.zillow.com/homes/15-S-WEBSTER-ST-NAPERVILLE-IL-605405342_rb/","check listing")</f>
        <v>check listing</v>
      </c>
      <c r="AB5059" s="5" t="str">
        <f>HYPERLINK("https://propertylookup.dupagecounty.gov/Datalets/Datalet.aspx?UseSearch=no&amp;mode=sales&amp;pin=0713417008","sales record")</f>
        <v>sales record</v>
      </c>
      <c r="AC5059" t="s">
        <v>3</v>
      </c>
      <c r="AD5059">
        <v>41.774764</v>
      </c>
      <c r="AE5059">
        <v>-88.15142</v>
      </c>
      <c r="AF5059" s="5" t="str">
        <f>HYPERLINK("https://www.google.com/maps/search/?api=1&amp;query=41.774764,-88.15142","map")</f>
        <v>map</v>
      </c>
    </row>
    <row r="5060" spans="1:32">
      <c r="A5060" t="s">
        <v>5110</v>
      </c>
      <c r="B5060" t="s">
        <v>12643</v>
      </c>
      <c r="C5060" t="s">
        <v>15789</v>
      </c>
      <c r="D5060" t="s">
        <v>16206</v>
      </c>
      <c r="E5060" t="s">
        <v>16218</v>
      </c>
      <c r="F5060" t="s">
        <v>16221</v>
      </c>
      <c r="G5060" t="s">
        <v>16277</v>
      </c>
      <c r="H5060" t="s">
        <v>16277</v>
      </c>
      <c r="I5060" t="s">
        <v>16353</v>
      </c>
      <c r="J5060" t="s">
        <v>16386</v>
      </c>
      <c r="K5060">
        <v>0.108</v>
      </c>
      <c r="L5060">
        <v>4694</v>
      </c>
      <c r="M5060">
        <v>896</v>
      </c>
      <c r="N5060" t="s">
        <v>16393</v>
      </c>
      <c r="O5060" s="4">
        <v>78485</v>
      </c>
      <c r="P5060" s="4">
        <v>216166</v>
      </c>
      <c r="Q5060" s="4">
        <v>294651</v>
      </c>
      <c r="R5060" s="4">
        <v>883953</v>
      </c>
      <c r="S5060" t="s">
        <v>21348</v>
      </c>
      <c r="T5060" s="6">
        <v>44166</v>
      </c>
      <c r="U5060" s="4">
        <v>730000</v>
      </c>
      <c r="V5060" t="s">
        <v>23739</v>
      </c>
      <c r="W5060" t="s">
        <v>26584</v>
      </c>
      <c r="X5060" t="s">
        <v>3</v>
      </c>
      <c r="AA5060" s="5" t="str">
        <f>HYPERLINK("https://www.zillow.com/homes/817-N-CENTER-ST-NAPERVILLE-IL-605633142_rb/","check listing")</f>
        <v>check listing</v>
      </c>
      <c r="AB5060" s="5" t="str">
        <f>HYPERLINK("https://propertylookup.dupagecounty.gov/Datalets/Datalet.aspx?UseSearch=no&amp;mode=sales&amp;pin=0807313020","sales record")</f>
        <v>sales record</v>
      </c>
      <c r="AC5060" t="s">
        <v>27873</v>
      </c>
      <c r="AD5060">
        <v>41.784689</v>
      </c>
      <c r="AE5060">
        <v>-88.146246</v>
      </c>
      <c r="AF5060" s="5" t="str">
        <f>HYPERLINK("https://www.google.com/maps/search/?api=1&amp;query=41.784689,-88.146246","map")</f>
        <v>map</v>
      </c>
    </row>
    <row r="5061" spans="1:32">
      <c r="A5061" t="s">
        <v>5111</v>
      </c>
      <c r="B5061" t="s">
        <v>12644</v>
      </c>
      <c r="C5061" t="s">
        <v>15478</v>
      </c>
      <c r="D5061" t="s">
        <v>16206</v>
      </c>
      <c r="E5061" t="s">
        <v>16218</v>
      </c>
      <c r="F5061" t="s">
        <v>16221</v>
      </c>
      <c r="G5061" t="s">
        <v>16277</v>
      </c>
      <c r="H5061" t="s">
        <v>16277</v>
      </c>
      <c r="I5061" t="s">
        <v>16353</v>
      </c>
      <c r="J5061" t="s">
        <v>16386</v>
      </c>
      <c r="K5061">
        <v>0.108</v>
      </c>
      <c r="L5061">
        <v>4688</v>
      </c>
      <c r="N5061" t="s">
        <v>16393</v>
      </c>
      <c r="O5061" s="4">
        <v>78485</v>
      </c>
      <c r="P5061" s="4">
        <v>216166</v>
      </c>
      <c r="Q5061" s="4">
        <v>294651</v>
      </c>
      <c r="R5061" s="4">
        <v>883953</v>
      </c>
      <c r="S5061" t="s">
        <v>21349</v>
      </c>
      <c r="T5061" s="6">
        <v>44013</v>
      </c>
      <c r="U5061" s="4">
        <v>767000</v>
      </c>
      <c r="V5061" t="s">
        <v>23739</v>
      </c>
      <c r="W5061" t="s">
        <v>21349</v>
      </c>
      <c r="X5061" t="s">
        <v>3</v>
      </c>
      <c r="AA5061" s="5" t="str">
        <f>HYPERLINK("https://www.zillow.com/homes/809-N-CENTER-ST-NAPERVILLE-IL-60563_rb/","check listing")</f>
        <v>check listing</v>
      </c>
      <c r="AB5061" s="5" t="str">
        <f>HYPERLINK("https://propertylookup.dupagecounty.gov/Datalets/Datalet.aspx?UseSearch=no&amp;mode=sales&amp;pin=0807313018","sales record")</f>
        <v>sales record</v>
      </c>
      <c r="AC5061" t="s">
        <v>3</v>
      </c>
      <c r="AD5061">
        <v>41.784521</v>
      </c>
      <c r="AE5061">
        <v>-88.146258</v>
      </c>
      <c r="AF5061" s="5" t="str">
        <f>HYPERLINK("https://www.google.com/maps/search/?api=1&amp;query=41.784521,-88.146258","map")</f>
        <v>map</v>
      </c>
    </row>
    <row r="5062" spans="1:32">
      <c r="A5062" t="s">
        <v>5112</v>
      </c>
      <c r="B5062" t="s">
        <v>12645</v>
      </c>
      <c r="C5062" t="s">
        <v>15478</v>
      </c>
      <c r="D5062" t="s">
        <v>16206</v>
      </c>
      <c r="E5062" t="s">
        <v>16218</v>
      </c>
      <c r="F5062" t="s">
        <v>16221</v>
      </c>
      <c r="G5062" t="s">
        <v>16277</v>
      </c>
      <c r="H5062" t="s">
        <v>16277</v>
      </c>
      <c r="I5062" t="s">
        <v>16353</v>
      </c>
      <c r="J5062" t="s">
        <v>16386</v>
      </c>
      <c r="K5062">
        <v>0.107</v>
      </c>
      <c r="L5062">
        <v>4655</v>
      </c>
      <c r="M5062">
        <v>1501</v>
      </c>
      <c r="N5062" t="s">
        <v>16393</v>
      </c>
      <c r="O5062" s="4">
        <v>63133</v>
      </c>
      <c r="P5062" s="4">
        <v>209043</v>
      </c>
      <c r="Q5062" s="4">
        <v>272176</v>
      </c>
      <c r="R5062" s="4">
        <v>816528</v>
      </c>
      <c r="S5062" t="s">
        <v>21323</v>
      </c>
      <c r="X5062" t="s">
        <v>3</v>
      </c>
      <c r="AA5062" s="5" t="str">
        <f>HYPERLINK("https://www.zillow.com/homes/310-E-6TH-AVE-NAPERVILLE-IL-60563_rb/","check listing")</f>
        <v>check listing</v>
      </c>
      <c r="AB5062" s="5" t="str">
        <f>HYPERLINK("https://propertylookup.dupagecounty.gov/Datalets/Datalet.aspx?UseSearch=no&amp;mode=sales&amp;pin=0818116019","sales record")</f>
        <v>sales record</v>
      </c>
      <c r="AC5062" t="s">
        <v>3</v>
      </c>
      <c r="AD5062">
        <v>41.781717</v>
      </c>
      <c r="AE5062">
        <v>-88.142994</v>
      </c>
      <c r="AF5062" s="5" t="str">
        <f>HYPERLINK("https://www.google.com/maps/search/?api=1&amp;query=41.781717,-88.142994","map")</f>
        <v>map</v>
      </c>
    </row>
    <row r="5063" spans="1:32">
      <c r="A5063" t="s">
        <v>5113</v>
      </c>
      <c r="B5063" t="s">
        <v>12646</v>
      </c>
      <c r="C5063" t="s">
        <v>15478</v>
      </c>
      <c r="D5063" t="s">
        <v>16206</v>
      </c>
      <c r="E5063" t="s">
        <v>16218</v>
      </c>
      <c r="F5063" t="s">
        <v>16221</v>
      </c>
      <c r="G5063" t="s">
        <v>16277</v>
      </c>
      <c r="H5063" t="s">
        <v>16277</v>
      </c>
      <c r="I5063" t="s">
        <v>16353</v>
      </c>
      <c r="J5063" t="s">
        <v>16386</v>
      </c>
      <c r="K5063">
        <v>0.104</v>
      </c>
      <c r="L5063">
        <v>4535</v>
      </c>
      <c r="M5063">
        <v>552</v>
      </c>
      <c r="N5063" t="s">
        <v>16393</v>
      </c>
      <c r="O5063" s="4">
        <v>78485</v>
      </c>
      <c r="P5063" s="4">
        <v>216166</v>
      </c>
      <c r="Q5063" s="4">
        <v>294651</v>
      </c>
      <c r="R5063" s="4">
        <v>883953</v>
      </c>
      <c r="S5063" t="s">
        <v>21350</v>
      </c>
      <c r="T5063" s="6">
        <v>45748</v>
      </c>
      <c r="U5063" s="4">
        <v>825000</v>
      </c>
      <c r="V5063" t="s">
        <v>23739</v>
      </c>
      <c r="W5063" t="s">
        <v>26585</v>
      </c>
      <c r="X5063" t="s">
        <v>3</v>
      </c>
      <c r="AA5063" s="5" t="str">
        <f>HYPERLINK("https://www.zillow.com/homes/819-N-CENTER-ST-NAPERVILLE-IL-60563_rb/","check listing")</f>
        <v>check listing</v>
      </c>
      <c r="AB5063" s="5" t="str">
        <f>HYPERLINK("https://propertylookup.dupagecounty.gov/Datalets/Datalet.aspx?UseSearch=no&amp;mode=sales&amp;pin=0807313019","sales record")</f>
        <v>sales record</v>
      </c>
      <c r="AC5063" t="s">
        <v>27873</v>
      </c>
      <c r="AD5063">
        <v>41.784773</v>
      </c>
      <c r="AE5063">
        <v>-88.14624000000001</v>
      </c>
      <c r="AF5063" s="5" t="str">
        <f>HYPERLINK("https://www.google.com/maps/search/?api=1&amp;query=41.784773,-88.14624","map")</f>
        <v>map</v>
      </c>
    </row>
    <row r="5064" spans="1:32">
      <c r="A5064" t="s">
        <v>5114</v>
      </c>
      <c r="B5064" t="s">
        <v>12647</v>
      </c>
      <c r="C5064" t="s">
        <v>15789</v>
      </c>
      <c r="D5064" t="s">
        <v>16206</v>
      </c>
      <c r="E5064" t="s">
        <v>16218</v>
      </c>
      <c r="F5064" t="s">
        <v>16221</v>
      </c>
      <c r="G5064" t="s">
        <v>16277</v>
      </c>
      <c r="H5064" t="s">
        <v>16277</v>
      </c>
      <c r="I5064" t="s">
        <v>16353</v>
      </c>
      <c r="J5064" t="s">
        <v>16386</v>
      </c>
      <c r="K5064">
        <v>0.104</v>
      </c>
      <c r="L5064">
        <v>4516</v>
      </c>
      <c r="N5064" t="s">
        <v>16393</v>
      </c>
      <c r="O5064" s="4">
        <v>78485</v>
      </c>
      <c r="P5064" s="4">
        <v>216974</v>
      </c>
      <c r="Q5064" s="4">
        <v>295459</v>
      </c>
      <c r="R5064" s="4">
        <v>886377</v>
      </c>
      <c r="S5064" t="s">
        <v>21351</v>
      </c>
      <c r="T5064" s="6">
        <v>43800</v>
      </c>
      <c r="U5064" s="4">
        <v>825000</v>
      </c>
      <c r="V5064" t="s">
        <v>23739</v>
      </c>
      <c r="W5064" t="s">
        <v>26586</v>
      </c>
      <c r="X5064" t="s">
        <v>3</v>
      </c>
      <c r="AA5064" s="5" t="str">
        <f>HYPERLINK("https://www.zillow.com/homes/811-N-CENTER-ST-NAPERVILLE-IL-605633142_rb/","check listing")</f>
        <v>check listing</v>
      </c>
      <c r="AB5064" s="5" t="str">
        <f>HYPERLINK("https://propertylookup.dupagecounty.gov/Datalets/Datalet.aspx?UseSearch=no&amp;mode=sales&amp;pin=0807313017","sales record")</f>
        <v>sales record</v>
      </c>
      <c r="AC5064" t="s">
        <v>3</v>
      </c>
      <c r="AD5064">
        <v>41.784604</v>
      </c>
      <c r="AE5064">
        <v>-88.146252</v>
      </c>
      <c r="AF5064" s="5" t="str">
        <f>HYPERLINK("https://www.google.com/maps/search/?api=1&amp;query=41.784604,-88.146252","map")</f>
        <v>map</v>
      </c>
    </row>
    <row r="5065" spans="1:32">
      <c r="A5065" t="s">
        <v>5115</v>
      </c>
      <c r="B5065" t="s">
        <v>12648</v>
      </c>
      <c r="C5065" t="s">
        <v>15475</v>
      </c>
      <c r="D5065" t="s">
        <v>16206</v>
      </c>
      <c r="E5065" t="s">
        <v>16218</v>
      </c>
      <c r="F5065" t="s">
        <v>16221</v>
      </c>
      <c r="G5065" t="s">
        <v>16277</v>
      </c>
      <c r="H5065" t="s">
        <v>16277</v>
      </c>
      <c r="I5065" t="s">
        <v>16353</v>
      </c>
      <c r="J5065" t="s">
        <v>16386</v>
      </c>
      <c r="K5065">
        <v>0.103</v>
      </c>
      <c r="L5065">
        <v>4475</v>
      </c>
      <c r="M5065">
        <v>989</v>
      </c>
      <c r="N5065" t="s">
        <v>16393</v>
      </c>
      <c r="O5065" s="4">
        <v>89853</v>
      </c>
      <c r="P5065" s="4">
        <v>53739</v>
      </c>
      <c r="Q5065" s="4">
        <v>143592</v>
      </c>
      <c r="R5065" s="4">
        <v>430776</v>
      </c>
      <c r="S5065" t="s">
        <v>21037</v>
      </c>
      <c r="T5065" s="6">
        <v>38930</v>
      </c>
      <c r="U5065" s="4">
        <v>385000</v>
      </c>
      <c r="V5065" t="s">
        <v>23739</v>
      </c>
      <c r="W5065" t="s">
        <v>26587</v>
      </c>
      <c r="X5065" t="s">
        <v>3</v>
      </c>
      <c r="AA5065" s="5" t="str">
        <f>HYPERLINK("https://www.zillow.com/homes/45-S-JULIAN-ST-NAPERVILLE-IL-60540_rb/","check listing")</f>
        <v>check listing</v>
      </c>
      <c r="AB5065" s="5" t="str">
        <f>HYPERLINK("https://propertylookup.dupagecounty.gov/Datalets/Datalet.aspx?UseSearch=no&amp;mode=sales&amp;pin=0818410007","sales record")</f>
        <v>sales record</v>
      </c>
      <c r="AC5065" t="s">
        <v>3</v>
      </c>
      <c r="AD5065">
        <v>41.773553</v>
      </c>
      <c r="AE5065">
        <v>-88.13699800000001</v>
      </c>
      <c r="AF5065" s="5" t="str">
        <f>HYPERLINK("https://www.google.com/maps/search/?api=1&amp;query=41.773553,-88.136998","map")</f>
        <v>map</v>
      </c>
    </row>
    <row r="5066" spans="1:32">
      <c r="A5066" t="s">
        <v>5116</v>
      </c>
      <c r="B5066" t="s">
        <v>12649</v>
      </c>
      <c r="C5066" t="s">
        <v>15475</v>
      </c>
      <c r="D5066" t="s">
        <v>16206</v>
      </c>
      <c r="E5066" t="s">
        <v>16218</v>
      </c>
      <c r="F5066" t="s">
        <v>16221</v>
      </c>
      <c r="G5066" t="s">
        <v>16277</v>
      </c>
      <c r="H5066" t="s">
        <v>16277</v>
      </c>
      <c r="I5066" t="s">
        <v>16353</v>
      </c>
      <c r="J5066" t="s">
        <v>16386</v>
      </c>
      <c r="K5066">
        <v>0.101</v>
      </c>
      <c r="L5066">
        <v>4417</v>
      </c>
      <c r="M5066">
        <v>1314</v>
      </c>
      <c r="N5066" t="s">
        <v>16393</v>
      </c>
      <c r="O5066" s="4">
        <v>81884</v>
      </c>
      <c r="P5066" s="4">
        <v>58780</v>
      </c>
      <c r="Q5066" s="4">
        <v>140664</v>
      </c>
      <c r="R5066" s="4">
        <v>421992</v>
      </c>
      <c r="S5066" t="s">
        <v>21352</v>
      </c>
      <c r="T5066" s="6">
        <v>37438</v>
      </c>
      <c r="U5066" s="4">
        <v>197000</v>
      </c>
      <c r="V5066" t="s">
        <v>23739</v>
      </c>
      <c r="W5066" t="s">
        <v>26588</v>
      </c>
      <c r="X5066" t="s">
        <v>3</v>
      </c>
      <c r="AA5066" s="5" t="str">
        <f>HYPERLINK("https://www.zillow.com/homes/19-N-WEBSTER-ST-NAPERVILLE-IL-60540_rb/","check listing")</f>
        <v>check listing</v>
      </c>
      <c r="AB5066" s="5" t="str">
        <f>HYPERLINK("https://propertylookup.dupagecounty.gov/Datalets/Datalet.aspx?UseSearch=no&amp;mode=sales&amp;pin=0713409007","sales record")</f>
        <v>sales record</v>
      </c>
      <c r="AC5066" t="s">
        <v>3</v>
      </c>
      <c r="AD5066">
        <v>41.775736</v>
      </c>
      <c r="AE5066">
        <v>-88.151369</v>
      </c>
      <c r="AF5066" s="5" t="str">
        <f>HYPERLINK("https://www.google.com/maps/search/?api=1&amp;query=41.775736,-88.151369","map")</f>
        <v>map</v>
      </c>
    </row>
    <row r="5067" spans="1:32">
      <c r="A5067" t="s">
        <v>5117</v>
      </c>
      <c r="B5067" t="s">
        <v>12650</v>
      </c>
      <c r="C5067" t="s">
        <v>15475</v>
      </c>
      <c r="D5067" t="s">
        <v>16206</v>
      </c>
      <c r="E5067" t="s">
        <v>16218</v>
      </c>
      <c r="F5067" t="s">
        <v>16221</v>
      </c>
      <c r="G5067" t="s">
        <v>16277</v>
      </c>
      <c r="H5067" t="s">
        <v>16277</v>
      </c>
      <c r="I5067" t="s">
        <v>16353</v>
      </c>
      <c r="J5067" t="s">
        <v>16386</v>
      </c>
      <c r="K5067">
        <v>0.101</v>
      </c>
      <c r="L5067">
        <v>4395</v>
      </c>
      <c r="M5067">
        <v>693</v>
      </c>
      <c r="N5067" t="s">
        <v>16393</v>
      </c>
      <c r="O5067" s="4">
        <v>92993</v>
      </c>
      <c r="P5067" s="4">
        <v>102649</v>
      </c>
      <c r="Q5067" s="4">
        <v>195642</v>
      </c>
      <c r="R5067" s="4">
        <v>586926</v>
      </c>
      <c r="S5067" t="s">
        <v>21353</v>
      </c>
      <c r="T5067" s="6">
        <v>45271</v>
      </c>
      <c r="U5067" s="4">
        <v>465000</v>
      </c>
      <c r="V5067" t="s">
        <v>23739</v>
      </c>
      <c r="W5067" t="s">
        <v>26589</v>
      </c>
      <c r="X5067" t="s">
        <v>3</v>
      </c>
      <c r="AA5067" s="5" t="str">
        <f>HYPERLINK("https://www.zillow.com/homes/621-E-BENTON-AVE-NAPERVILLE-IL-60540_rb/","check listing")</f>
        <v>check listing</v>
      </c>
      <c r="AB5067" s="5" t="str">
        <f>HYPERLINK("https://propertylookup.dupagecounty.gov/Datalets/Datalet.aspx?UseSearch=no&amp;mode=sales&amp;pin=0818403006","sales record")</f>
        <v>sales record</v>
      </c>
      <c r="AC5067" t="s">
        <v>27873</v>
      </c>
      <c r="AD5067">
        <v>41.775005</v>
      </c>
      <c r="AE5067">
        <v>-88.138604</v>
      </c>
      <c r="AF5067" s="5" t="str">
        <f>HYPERLINK("https://www.google.com/maps/search/?api=1&amp;query=41.775005,-88.138604","map")</f>
        <v>map</v>
      </c>
    </row>
    <row r="5068" spans="1:32">
      <c r="A5068" t="s">
        <v>5118</v>
      </c>
      <c r="B5068" t="s">
        <v>12651</v>
      </c>
      <c r="C5068" t="s">
        <v>15732</v>
      </c>
      <c r="D5068" t="s">
        <v>16206</v>
      </c>
      <c r="E5068" t="s">
        <v>16218</v>
      </c>
      <c r="F5068" t="s">
        <v>16221</v>
      </c>
      <c r="G5068" t="s">
        <v>16277</v>
      </c>
      <c r="H5068" t="s">
        <v>16277</v>
      </c>
      <c r="I5068" t="s">
        <v>16353</v>
      </c>
      <c r="J5068" t="s">
        <v>16386</v>
      </c>
      <c r="K5068">
        <v>0.096</v>
      </c>
      <c r="L5068">
        <v>4194</v>
      </c>
      <c r="N5068" t="s">
        <v>16393</v>
      </c>
      <c r="O5068" s="4">
        <v>37530</v>
      </c>
      <c r="P5068" s="4">
        <v>221898</v>
      </c>
      <c r="Q5068" s="4">
        <v>259428</v>
      </c>
      <c r="R5068" s="4">
        <v>778284</v>
      </c>
      <c r="S5068" t="s">
        <v>21354</v>
      </c>
      <c r="T5068" s="6">
        <v>43617</v>
      </c>
      <c r="U5068" s="4">
        <v>585000</v>
      </c>
      <c r="V5068" t="s">
        <v>23740</v>
      </c>
      <c r="W5068" t="s">
        <v>26590</v>
      </c>
      <c r="X5068" t="s">
        <v>3</v>
      </c>
      <c r="AA5068" s="5" t="str">
        <f>HYPERLINK("https://www.zillow.com/homes/940-N-LOOMIS-ST-NAPERVILLE-IL-605632742_rb/","check listing")</f>
        <v>check listing</v>
      </c>
      <c r="AB5068" s="5" t="str">
        <f>HYPERLINK("https://propertylookup.dupagecounty.gov/Datalets/Datalet.aspx?UseSearch=no&amp;mode=sales&amp;pin=0807311035","sales record")</f>
        <v>sales record</v>
      </c>
      <c r="AC5068" t="s">
        <v>3</v>
      </c>
      <c r="AD5068">
        <v>41.786868</v>
      </c>
      <c r="AE5068">
        <v>-88.140792</v>
      </c>
      <c r="AF5068" s="5" t="str">
        <f>HYPERLINK("https://www.google.com/maps/search/?api=1&amp;query=41.786868,-88.140792","map")</f>
        <v>map</v>
      </c>
    </row>
    <row r="5069" spans="1:32">
      <c r="A5069" t="s">
        <v>5119</v>
      </c>
      <c r="B5069" t="s">
        <v>12652</v>
      </c>
      <c r="C5069" t="s">
        <v>15732</v>
      </c>
      <c r="D5069" t="s">
        <v>16206</v>
      </c>
      <c r="E5069" t="s">
        <v>16218</v>
      </c>
      <c r="F5069" t="s">
        <v>16221</v>
      </c>
      <c r="G5069" t="s">
        <v>16277</v>
      </c>
      <c r="H5069" t="s">
        <v>16277</v>
      </c>
      <c r="I5069" t="s">
        <v>16353</v>
      </c>
      <c r="J5069" t="s">
        <v>16386</v>
      </c>
      <c r="K5069">
        <v>0.096</v>
      </c>
      <c r="L5069">
        <v>4186</v>
      </c>
      <c r="N5069" t="s">
        <v>16393</v>
      </c>
      <c r="O5069" s="4">
        <v>37530</v>
      </c>
      <c r="P5069" s="4">
        <v>221874</v>
      </c>
      <c r="Q5069" s="4">
        <v>259404</v>
      </c>
      <c r="R5069" s="4">
        <v>778212</v>
      </c>
      <c r="S5069" t="s">
        <v>21355</v>
      </c>
      <c r="T5069" s="6">
        <v>44348</v>
      </c>
      <c r="U5069" s="4">
        <v>570000</v>
      </c>
      <c r="V5069" t="s">
        <v>23740</v>
      </c>
      <c r="W5069" t="s">
        <v>21355</v>
      </c>
      <c r="X5069" t="s">
        <v>3</v>
      </c>
      <c r="AA5069" s="5" t="str">
        <f>HYPERLINK("https://www.zillow.com/homes/942-N-LOOMIS-ST-NAPERVILLE-IL-605632742_rb/","check listing")</f>
        <v>check listing</v>
      </c>
      <c r="AB5069" s="5" t="str">
        <f>HYPERLINK("https://propertylookup.dupagecounty.gov/Datalets/Datalet.aspx?UseSearch=no&amp;mode=sales&amp;pin=0807311034","sales record")</f>
        <v>sales record</v>
      </c>
      <c r="AC5069" t="s">
        <v>3</v>
      </c>
      <c r="AD5069">
        <v>41.786936</v>
      </c>
      <c r="AE5069">
        <v>-88.140788</v>
      </c>
      <c r="AF5069" s="5" t="str">
        <f>HYPERLINK("https://www.google.com/maps/search/?api=1&amp;query=41.786936,-88.140788","map")</f>
        <v>map</v>
      </c>
    </row>
    <row r="5070" spans="1:32">
      <c r="A5070" t="s">
        <v>5120</v>
      </c>
      <c r="B5070" t="s">
        <v>12653</v>
      </c>
      <c r="C5070" t="s">
        <v>15822</v>
      </c>
      <c r="D5070" t="s">
        <v>16206</v>
      </c>
      <c r="E5070" t="s">
        <v>16218</v>
      </c>
      <c r="F5070" t="s">
        <v>16221</v>
      </c>
      <c r="G5070" t="s">
        <v>16277</v>
      </c>
      <c r="H5070" t="s">
        <v>16277</v>
      </c>
      <c r="I5070" t="s">
        <v>16353</v>
      </c>
      <c r="J5070" t="s">
        <v>16386</v>
      </c>
      <c r="K5070">
        <v>0.096</v>
      </c>
      <c r="L5070">
        <v>4179</v>
      </c>
      <c r="M5070">
        <v>1899</v>
      </c>
      <c r="N5070" t="s">
        <v>16393</v>
      </c>
      <c r="O5070" s="4">
        <v>92303</v>
      </c>
      <c r="P5070" s="4">
        <v>191146</v>
      </c>
      <c r="Q5070" s="4">
        <v>283449</v>
      </c>
      <c r="R5070" s="4">
        <v>850347</v>
      </c>
      <c r="S5070" t="s">
        <v>21356</v>
      </c>
      <c r="T5070" s="6">
        <v>44348</v>
      </c>
      <c r="U5070" s="4">
        <v>855000</v>
      </c>
      <c r="V5070" t="s">
        <v>23739</v>
      </c>
      <c r="W5070" t="s">
        <v>26591</v>
      </c>
      <c r="X5070" t="s">
        <v>3</v>
      </c>
      <c r="AA5070" s="5" t="str">
        <f>HYPERLINK("https://www.zillow.com/homes/415-E-FRANKLIN-AVE-NAPERVILLE-IL-605404719_rb/","check listing")</f>
        <v>check listing</v>
      </c>
      <c r="AB5070" s="5" t="str">
        <f>HYPERLINK("https://propertylookup.dupagecounty.gov/Datalets/Datalet.aspx?UseSearch=no&amp;mode=sales&amp;pin=0818307010","sales record")</f>
        <v>sales record</v>
      </c>
      <c r="AC5070" t="s">
        <v>27873</v>
      </c>
      <c r="AD5070">
        <v>41.775994</v>
      </c>
      <c r="AE5070">
        <v>-88.14164</v>
      </c>
      <c r="AF5070" s="5" t="str">
        <f>HYPERLINK("https://www.google.com/maps/search/?api=1&amp;query=41.775994,-88.14164","map")</f>
        <v>map</v>
      </c>
    </row>
    <row r="5071" spans="1:32">
      <c r="A5071" t="s">
        <v>5121</v>
      </c>
      <c r="B5071" t="s">
        <v>12654</v>
      </c>
      <c r="C5071" t="s">
        <v>15823</v>
      </c>
      <c r="D5071" t="s">
        <v>16206</v>
      </c>
      <c r="E5071" t="s">
        <v>16218</v>
      </c>
      <c r="F5071" t="s">
        <v>16221</v>
      </c>
      <c r="G5071" t="s">
        <v>16277</v>
      </c>
      <c r="H5071" t="s">
        <v>16277</v>
      </c>
      <c r="I5071" t="s">
        <v>16353</v>
      </c>
      <c r="J5071" t="s">
        <v>16386</v>
      </c>
      <c r="K5071">
        <v>0.093</v>
      </c>
      <c r="L5071">
        <v>4050</v>
      </c>
      <c r="M5071">
        <v>914</v>
      </c>
      <c r="N5071" t="s">
        <v>16393</v>
      </c>
      <c r="O5071" s="4">
        <v>72290</v>
      </c>
      <c r="P5071" s="4">
        <v>239113</v>
      </c>
      <c r="Q5071" s="4">
        <v>311403</v>
      </c>
      <c r="R5071" s="4">
        <v>934209</v>
      </c>
      <c r="S5071" t="s">
        <v>21357</v>
      </c>
      <c r="T5071" s="6">
        <v>45602</v>
      </c>
      <c r="U5071" s="4">
        <v>1290000</v>
      </c>
      <c r="V5071" t="s">
        <v>16232</v>
      </c>
      <c r="W5071" t="s">
        <v>26592</v>
      </c>
      <c r="X5071" t="s">
        <v>3</v>
      </c>
      <c r="AA5071" s="5" t="str">
        <f>HYPERLINK("https://www.zillow.com/homes/820-E-FRANKLIN-AVE-NAPERVILLE-IL-605404813_rb/","check listing")</f>
        <v>check listing</v>
      </c>
      <c r="AB5071" s="5" t="str">
        <f>HYPERLINK("https://propertylookup.dupagecounty.gov/Datalets/Datalet.aspx?UseSearch=no&amp;mode=sales&amp;pin=0818405016","sales record")</f>
        <v>sales record</v>
      </c>
      <c r="AC5071" t="s">
        <v>3</v>
      </c>
      <c r="AD5071">
        <v>41.775521</v>
      </c>
      <c r="AE5071">
        <v>-88.135954</v>
      </c>
      <c r="AF5071" s="5" t="str">
        <f>HYPERLINK("https://www.google.com/maps/search/?api=1&amp;query=41.775521,-88.135954","map")</f>
        <v>map</v>
      </c>
    </row>
    <row r="5072" spans="1:32">
      <c r="A5072" t="s">
        <v>5122</v>
      </c>
      <c r="B5072" t="s">
        <v>12655</v>
      </c>
      <c r="C5072" t="s">
        <v>15820</v>
      </c>
      <c r="D5072" t="s">
        <v>16206</v>
      </c>
      <c r="E5072" t="s">
        <v>16218</v>
      </c>
      <c r="F5072" t="s">
        <v>16221</v>
      </c>
      <c r="G5072" t="s">
        <v>16277</v>
      </c>
      <c r="H5072" t="s">
        <v>16277</v>
      </c>
      <c r="I5072" t="s">
        <v>16353</v>
      </c>
      <c r="J5072" t="s">
        <v>16386</v>
      </c>
      <c r="K5072">
        <v>0.091</v>
      </c>
      <c r="L5072">
        <v>3972</v>
      </c>
      <c r="M5072">
        <v>1901</v>
      </c>
      <c r="N5072" t="s">
        <v>16393</v>
      </c>
      <c r="O5072" s="4">
        <v>79223</v>
      </c>
      <c r="P5072" s="4">
        <v>70961</v>
      </c>
      <c r="Q5072" s="4">
        <v>150184</v>
      </c>
      <c r="R5072" s="4">
        <v>450552</v>
      </c>
      <c r="S5072" t="s">
        <v>21358</v>
      </c>
      <c r="T5072" s="6">
        <v>43374</v>
      </c>
      <c r="U5072" s="4">
        <v>567500</v>
      </c>
      <c r="V5072" t="s">
        <v>23739</v>
      </c>
      <c r="W5072" t="s">
        <v>26593</v>
      </c>
      <c r="X5072" t="s">
        <v>3</v>
      </c>
      <c r="AA5072" s="5" t="str">
        <f>HYPERLINK("https://www.zillow.com/homes/18-N-MAIN-ST-NAPERVILLE-IL-605404508_rb/","check listing")</f>
        <v>check listing</v>
      </c>
      <c r="AB5072" s="5" t="str">
        <f>HYPERLINK("https://propertylookup.dupagecounty.gov/Datalets/Datalet.aspx?UseSearch=no&amp;mode=sales&amp;pin=0713411002","sales record")</f>
        <v>sales record</v>
      </c>
      <c r="AC5072" t="s">
        <v>3</v>
      </c>
      <c r="AD5072">
        <v>41.77569</v>
      </c>
      <c r="AE5072">
        <v>-88.149182</v>
      </c>
      <c r="AF5072" s="5" t="str">
        <f>HYPERLINK("https://www.google.com/maps/search/?api=1&amp;query=41.77569,-88.149182","map")</f>
        <v>map</v>
      </c>
    </row>
    <row r="5073" spans="1:32">
      <c r="A5073" t="s">
        <v>5123</v>
      </c>
      <c r="B5073" t="s">
        <v>12656</v>
      </c>
      <c r="C5073" t="s">
        <v>15824</v>
      </c>
      <c r="D5073" t="s">
        <v>16206</v>
      </c>
      <c r="E5073" t="s">
        <v>16218</v>
      </c>
      <c r="F5073" t="s">
        <v>16221</v>
      </c>
      <c r="G5073" t="s">
        <v>16277</v>
      </c>
      <c r="H5073" t="s">
        <v>16277</v>
      </c>
      <c r="I5073" t="s">
        <v>16353</v>
      </c>
      <c r="J5073" t="s">
        <v>16386</v>
      </c>
      <c r="K5073">
        <v>0.08799999999999999</v>
      </c>
      <c r="L5073">
        <v>3826</v>
      </c>
      <c r="M5073">
        <v>1230</v>
      </c>
      <c r="N5073" t="s">
        <v>16393</v>
      </c>
      <c r="O5073" s="4">
        <v>79043</v>
      </c>
      <c r="P5073" s="4">
        <v>76903</v>
      </c>
      <c r="Q5073" s="4">
        <v>155946</v>
      </c>
      <c r="R5073" s="4">
        <v>467838</v>
      </c>
      <c r="S5073" t="s">
        <v>21359</v>
      </c>
      <c r="T5073" s="6">
        <v>44409</v>
      </c>
      <c r="U5073" s="4">
        <v>389000</v>
      </c>
      <c r="V5073" t="s">
        <v>23739</v>
      </c>
      <c r="W5073" t="s">
        <v>26594</v>
      </c>
      <c r="X5073" t="s">
        <v>3</v>
      </c>
      <c r="AA5073" s="5" t="str">
        <f>HYPERLINK("https://www.zillow.com/homes/421-E-SCHOOL-ST-NAPERVILLE-IL-605404733_rb/","check listing")</f>
        <v>check listing</v>
      </c>
      <c r="AB5073" s="5" t="str">
        <f>HYPERLINK("https://propertylookup.dupagecounty.gov/Datalets/Datalet.aspx?UseSearch=no&amp;mode=sales&amp;pin=0818137008","sales record")</f>
        <v>sales record</v>
      </c>
      <c r="AC5073" t="s">
        <v>27873</v>
      </c>
      <c r="AD5073">
        <v>41.777555</v>
      </c>
      <c r="AE5073">
        <v>-88.14134</v>
      </c>
      <c r="AF5073" s="5" t="str">
        <f>HYPERLINK("https://www.google.com/maps/search/?api=1&amp;query=41.777555,-88.14134","map")</f>
        <v>map</v>
      </c>
    </row>
    <row r="5074" spans="1:32">
      <c r="A5074" t="s">
        <v>5124</v>
      </c>
      <c r="B5074" t="s">
        <v>12657</v>
      </c>
      <c r="C5074" t="s">
        <v>15825</v>
      </c>
      <c r="D5074" t="s">
        <v>16206</v>
      </c>
      <c r="E5074" t="s">
        <v>16218</v>
      </c>
      <c r="F5074" t="s">
        <v>16221</v>
      </c>
      <c r="G5074" t="s">
        <v>16278</v>
      </c>
      <c r="H5074" t="s">
        <v>16277</v>
      </c>
      <c r="I5074" t="s">
        <v>16353</v>
      </c>
      <c r="J5074" t="s">
        <v>16386</v>
      </c>
      <c r="K5074">
        <v>0.08799999999999999</v>
      </c>
      <c r="L5074">
        <v>3812</v>
      </c>
      <c r="N5074" t="s">
        <v>16393</v>
      </c>
      <c r="O5074" s="4">
        <v>39026</v>
      </c>
      <c r="P5074" s="4">
        <v>190589</v>
      </c>
      <c r="Q5074" s="4">
        <v>229615</v>
      </c>
      <c r="R5074" s="4">
        <v>688845</v>
      </c>
      <c r="S5074" t="s">
        <v>21360</v>
      </c>
      <c r="T5074" s="6">
        <v>45393</v>
      </c>
      <c r="U5074" s="4">
        <v>643140</v>
      </c>
      <c r="V5074" t="s">
        <v>23743</v>
      </c>
      <c r="W5074" t="s">
        <v>21360</v>
      </c>
      <c r="X5074" t="s">
        <v>3</v>
      </c>
      <c r="AA5074" s="5" t="str">
        <f>HYPERLINK("https://www.zillow.com/homes/1203-JOSIAH-RD-NAPERVILLE-IL-605633709_rb/","check listing")</f>
        <v>check listing</v>
      </c>
      <c r="AB5074" s="5" t="str">
        <f>HYPERLINK("https://propertylookup.dupagecounty.gov/Datalets/Datalet.aspx?UseSearch=no&amp;mode=sales&amp;pin=0532307049","sales record")</f>
        <v>sales record</v>
      </c>
      <c r="AC5074" t="s">
        <v>3</v>
      </c>
      <c r="AD5074">
        <v>41.816178</v>
      </c>
      <c r="AE5074">
        <v>-88.12229499999999</v>
      </c>
      <c r="AF5074" s="5" t="str">
        <f>HYPERLINK("https://www.google.com/maps/search/?api=1&amp;query=41.816178,-88.122295","map")</f>
        <v>map</v>
      </c>
    </row>
    <row r="5075" spans="1:32">
      <c r="A5075" t="s">
        <v>5125</v>
      </c>
      <c r="B5075" t="s">
        <v>12658</v>
      </c>
      <c r="C5075" t="s">
        <v>15475</v>
      </c>
      <c r="D5075" t="s">
        <v>16206</v>
      </c>
      <c r="E5075" t="s">
        <v>16218</v>
      </c>
      <c r="F5075" t="s">
        <v>16221</v>
      </c>
      <c r="G5075" t="s">
        <v>16277</v>
      </c>
      <c r="H5075" t="s">
        <v>16277</v>
      </c>
      <c r="I5075" t="s">
        <v>16353</v>
      </c>
      <c r="J5075" t="s">
        <v>16386</v>
      </c>
      <c r="K5075">
        <v>0.08599999999999999</v>
      </c>
      <c r="L5075">
        <v>3744</v>
      </c>
      <c r="M5075">
        <v>1650</v>
      </c>
      <c r="N5075" t="s">
        <v>16393</v>
      </c>
      <c r="O5075" s="4">
        <v>79043</v>
      </c>
      <c r="P5075" s="4">
        <v>69435</v>
      </c>
      <c r="Q5075" s="4">
        <v>148478</v>
      </c>
      <c r="R5075" s="4">
        <v>445434</v>
      </c>
      <c r="S5075" t="s">
        <v>21361</v>
      </c>
      <c r="T5075" s="6">
        <v>36312</v>
      </c>
      <c r="U5075" s="4">
        <v>232000</v>
      </c>
      <c r="X5075" t="s">
        <v>3</v>
      </c>
      <c r="AA5075" s="5" t="str">
        <f>HYPERLINK("https://www.zillow.com/homes/117-N-ELLSWORTH-ST-NAPERVILLE-IL-60540_rb/","check listing")</f>
        <v>check listing</v>
      </c>
      <c r="AB5075" s="5" t="str">
        <f>HYPERLINK("https://propertylookup.dupagecounty.gov/Datalets/Datalet.aspx?UseSearch=no&amp;mode=sales&amp;pin=0818301013","sales record")</f>
        <v>sales record</v>
      </c>
      <c r="AC5075" t="s">
        <v>3</v>
      </c>
      <c r="AD5075">
        <v>41.776434</v>
      </c>
      <c r="AE5075">
        <v>-88.14542299999999</v>
      </c>
      <c r="AF5075" s="5" t="str">
        <f>HYPERLINK("https://www.google.com/maps/search/?api=1&amp;query=41.776434,-88.145423","map")</f>
        <v>map</v>
      </c>
    </row>
    <row r="5076" spans="1:32">
      <c r="A5076" t="s">
        <v>5126</v>
      </c>
      <c r="B5076" t="s">
        <v>12659</v>
      </c>
      <c r="C5076" t="s">
        <v>15826</v>
      </c>
      <c r="D5076" t="s">
        <v>16206</v>
      </c>
      <c r="E5076" t="s">
        <v>16218</v>
      </c>
      <c r="F5076" t="s">
        <v>16221</v>
      </c>
      <c r="G5076" t="s">
        <v>16277</v>
      </c>
      <c r="H5076" t="s">
        <v>16277</v>
      </c>
      <c r="I5076" t="s">
        <v>16353</v>
      </c>
      <c r="J5076" t="s">
        <v>16386</v>
      </c>
      <c r="K5076">
        <v>0.08500000000000001</v>
      </c>
      <c r="L5076">
        <v>3724</v>
      </c>
      <c r="M5076">
        <v>1385</v>
      </c>
      <c r="N5076" t="s">
        <v>16393</v>
      </c>
      <c r="O5076" s="4">
        <v>92303</v>
      </c>
      <c r="P5076" s="4">
        <v>78520</v>
      </c>
      <c r="Q5076" s="4">
        <v>170823</v>
      </c>
      <c r="R5076" s="4">
        <v>512469</v>
      </c>
      <c r="S5076" t="s">
        <v>18275</v>
      </c>
      <c r="T5076" s="6">
        <v>44836</v>
      </c>
      <c r="U5076" s="4">
        <v>431000</v>
      </c>
      <c r="V5076" t="s">
        <v>23738</v>
      </c>
      <c r="W5076" t="s">
        <v>26595</v>
      </c>
      <c r="X5076" t="s">
        <v>3</v>
      </c>
      <c r="AA5076" s="5" t="str">
        <f>HYPERLINK("https://www.zillow.com/homes/230-N-ELLSWORTH-ST-NAPERVILLE-IL-605405550_rb/","check listing")</f>
        <v>check listing</v>
      </c>
      <c r="AB5076" s="5" t="str">
        <f>HYPERLINK("https://propertylookup.dupagecounty.gov/Datalets/Datalet.aspx?UseSearch=no&amp;mode=sales&amp;pin=0818132001","sales record")</f>
        <v>sales record</v>
      </c>
      <c r="AC5076" t="s">
        <v>3</v>
      </c>
      <c r="AD5076">
        <v>41.778361</v>
      </c>
      <c r="AE5076">
        <v>-88.144685</v>
      </c>
      <c r="AF5076" s="5" t="str">
        <f>HYPERLINK("https://www.google.com/maps/search/?api=1&amp;query=41.778361,-88.144685","map")</f>
        <v>map</v>
      </c>
    </row>
    <row r="5077" spans="1:32">
      <c r="A5077" t="s">
        <v>5127</v>
      </c>
      <c r="B5077" t="s">
        <v>12660</v>
      </c>
      <c r="C5077" t="s">
        <v>15475</v>
      </c>
      <c r="D5077" t="s">
        <v>16206</v>
      </c>
      <c r="E5077" t="s">
        <v>16218</v>
      </c>
      <c r="F5077" t="s">
        <v>16221</v>
      </c>
      <c r="G5077" t="s">
        <v>16277</v>
      </c>
      <c r="H5077" t="s">
        <v>16277</v>
      </c>
      <c r="I5077" t="s">
        <v>16353</v>
      </c>
      <c r="J5077" t="s">
        <v>16386</v>
      </c>
      <c r="K5077">
        <v>0.08400000000000001</v>
      </c>
      <c r="L5077">
        <v>3664</v>
      </c>
      <c r="N5077" t="s">
        <v>16393</v>
      </c>
      <c r="O5077" s="4">
        <v>66094</v>
      </c>
      <c r="P5077" s="4">
        <v>107797</v>
      </c>
      <c r="Q5077" s="4">
        <v>173891</v>
      </c>
      <c r="R5077" s="4">
        <v>521673</v>
      </c>
      <c r="S5077" t="s">
        <v>21362</v>
      </c>
      <c r="T5077" s="6">
        <v>45492</v>
      </c>
      <c r="U5077" s="4">
        <v>770000</v>
      </c>
      <c r="V5077" t="s">
        <v>23739</v>
      </c>
      <c r="W5077" t="s">
        <v>26596</v>
      </c>
      <c r="X5077" t="s">
        <v>3</v>
      </c>
      <c r="AA5077" s="5" t="str">
        <f>HYPERLINK("https://www.zillow.com/homes/11-N-COLUMBIA-ST-NAPERVILLE-IL-60540_rb/","check listing")</f>
        <v>check listing</v>
      </c>
      <c r="AB5077" s="5" t="str">
        <f>HYPERLINK("https://propertylookup.dupagecounty.gov/Datalets/Datalet.aspx?UseSearch=no&amp;mode=sales&amp;pin=0818403005","sales record")</f>
        <v>sales record</v>
      </c>
      <c r="AC5077" t="s">
        <v>3</v>
      </c>
      <c r="AD5077">
        <v>41.775172</v>
      </c>
      <c r="AE5077">
        <v>-88.138431</v>
      </c>
      <c r="AF5077" s="5" t="str">
        <f>HYPERLINK("https://www.google.com/maps/search/?api=1&amp;query=41.775172,-88.138431","map")</f>
        <v>map</v>
      </c>
    </row>
    <row r="5078" spans="1:32">
      <c r="A5078" t="s">
        <v>5128</v>
      </c>
      <c r="B5078" t="s">
        <v>12661</v>
      </c>
      <c r="C5078" t="s">
        <v>15825</v>
      </c>
      <c r="D5078" t="s">
        <v>16206</v>
      </c>
      <c r="E5078" t="s">
        <v>16218</v>
      </c>
      <c r="F5078" t="s">
        <v>16221</v>
      </c>
      <c r="G5078" t="s">
        <v>16278</v>
      </c>
      <c r="H5078" t="s">
        <v>16277</v>
      </c>
      <c r="I5078" t="s">
        <v>16353</v>
      </c>
      <c r="J5078" t="s">
        <v>16386</v>
      </c>
      <c r="K5078">
        <v>0.083</v>
      </c>
      <c r="L5078">
        <v>3630</v>
      </c>
      <c r="N5078" t="s">
        <v>16393</v>
      </c>
      <c r="O5078" s="4">
        <v>39026</v>
      </c>
      <c r="P5078" s="4">
        <v>192690</v>
      </c>
      <c r="Q5078" s="4">
        <v>231716</v>
      </c>
      <c r="R5078" s="4">
        <v>695148</v>
      </c>
      <c r="S5078" t="s">
        <v>21363</v>
      </c>
      <c r="T5078" s="6">
        <v>45408</v>
      </c>
      <c r="U5078" s="4">
        <v>694193</v>
      </c>
      <c r="V5078" t="s">
        <v>16232</v>
      </c>
      <c r="W5078" t="s">
        <v>26597</v>
      </c>
      <c r="X5078" t="s">
        <v>3</v>
      </c>
      <c r="AA5078" s="5" t="str">
        <f>HYPERLINK("https://www.zillow.com/homes/1275-JOSIAH-RD-NAPERVILLE-IL-605633709_rb/","check listing")</f>
        <v>check listing</v>
      </c>
      <c r="AB5078" s="5" t="str">
        <f>HYPERLINK("https://propertylookup.dupagecounty.gov/Datalets/Datalet.aspx?UseSearch=no&amp;mode=sales&amp;pin=0532307031","sales record")</f>
        <v>sales record</v>
      </c>
      <c r="AC5078" t="s">
        <v>3</v>
      </c>
      <c r="AD5078">
        <v>41.81596</v>
      </c>
      <c r="AE5078">
        <v>-88.11879999999999</v>
      </c>
      <c r="AF5078" s="5" t="str">
        <f>HYPERLINK("https://www.google.com/maps/search/?api=1&amp;query=41.81596,-88.1188","map")</f>
        <v>map</v>
      </c>
    </row>
    <row r="5079" spans="1:32">
      <c r="A5079" t="s">
        <v>5129</v>
      </c>
      <c r="B5079" t="s">
        <v>12662</v>
      </c>
      <c r="C5079" t="s">
        <v>15478</v>
      </c>
      <c r="D5079" t="s">
        <v>16206</v>
      </c>
      <c r="E5079" t="s">
        <v>16218</v>
      </c>
      <c r="F5079" t="s">
        <v>16221</v>
      </c>
      <c r="G5079" t="s">
        <v>16278</v>
      </c>
      <c r="H5079" t="s">
        <v>16277</v>
      </c>
      <c r="I5079" t="s">
        <v>16353</v>
      </c>
      <c r="J5079" t="s">
        <v>16386</v>
      </c>
      <c r="K5079">
        <v>0.083</v>
      </c>
      <c r="L5079">
        <v>3627</v>
      </c>
      <c r="N5079" t="s">
        <v>16393</v>
      </c>
      <c r="O5079" s="4">
        <v>39026</v>
      </c>
      <c r="P5079" s="4">
        <v>189578</v>
      </c>
      <c r="Q5079" s="4">
        <v>228604</v>
      </c>
      <c r="R5079" s="4">
        <v>685812</v>
      </c>
      <c r="S5079" t="s">
        <v>21364</v>
      </c>
      <c r="T5079" s="6">
        <v>44847</v>
      </c>
      <c r="U5079" s="4">
        <v>620534</v>
      </c>
      <c r="V5079" t="s">
        <v>16232</v>
      </c>
      <c r="W5079" t="s">
        <v>26598</v>
      </c>
      <c r="X5079" t="s">
        <v>3</v>
      </c>
      <c r="AA5079" s="5" t="str">
        <f>HYPERLINK("https://www.zillow.com/homes/1241-JOSIAH-RD-NAPERVILLE-IL-60563_rb/","check listing")</f>
        <v>check listing</v>
      </c>
      <c r="AB5079" s="5" t="str">
        <f>HYPERLINK("https://propertylookup.dupagecounty.gov/Datalets/Datalet.aspx?UseSearch=no&amp;mode=sales&amp;pin=0532307032","sales record")</f>
        <v>sales record</v>
      </c>
      <c r="AC5079" t="s">
        <v>3</v>
      </c>
      <c r="AD5079">
        <v>41.816001</v>
      </c>
      <c r="AE5079">
        <v>-88.120474</v>
      </c>
      <c r="AF5079" s="5" t="str">
        <f>HYPERLINK("https://www.google.com/maps/search/?api=1&amp;query=41.816001,-88.120474","map")</f>
        <v>map</v>
      </c>
    </row>
    <row r="5080" spans="1:32">
      <c r="A5080" t="s">
        <v>5130</v>
      </c>
      <c r="B5080" t="s">
        <v>12663</v>
      </c>
      <c r="C5080" t="s">
        <v>15823</v>
      </c>
      <c r="D5080" t="s">
        <v>16206</v>
      </c>
      <c r="E5080" t="s">
        <v>16218</v>
      </c>
      <c r="F5080" t="s">
        <v>16221</v>
      </c>
      <c r="G5080" t="s">
        <v>16277</v>
      </c>
      <c r="H5080" t="s">
        <v>16277</v>
      </c>
      <c r="I5080" t="s">
        <v>16353</v>
      </c>
      <c r="J5080" t="s">
        <v>16386</v>
      </c>
      <c r="K5080">
        <v>0.083</v>
      </c>
      <c r="L5080">
        <v>3623</v>
      </c>
      <c r="N5080" t="s">
        <v>16393</v>
      </c>
      <c r="O5080" s="4">
        <v>72290</v>
      </c>
      <c r="P5080" s="4">
        <v>212909</v>
      </c>
      <c r="Q5080" s="4">
        <v>285199</v>
      </c>
      <c r="R5080" s="4">
        <v>855597</v>
      </c>
      <c r="S5080" t="s">
        <v>21365</v>
      </c>
      <c r="T5080" s="6">
        <v>45686</v>
      </c>
      <c r="U5080" s="4">
        <v>1330000</v>
      </c>
      <c r="V5080" t="s">
        <v>16232</v>
      </c>
      <c r="W5080" t="s">
        <v>26599</v>
      </c>
      <c r="X5080" t="s">
        <v>3</v>
      </c>
      <c r="AA5080" s="5" t="str">
        <f>HYPERLINK("https://www.zillow.com/homes/824-E-FRANKLIN-AVE-NAPERVILLE-IL-605404813_rb/","check listing")</f>
        <v>check listing</v>
      </c>
      <c r="AB5080" s="5" t="str">
        <f>HYPERLINK("https://propertylookup.dupagecounty.gov/Datalets/Datalet.aspx?UseSearch=no&amp;mode=sales&amp;pin=0818405017","sales record")</f>
        <v>sales record</v>
      </c>
      <c r="AC5080" t="s">
        <v>3</v>
      </c>
      <c r="AD5080">
        <v>41.775516</v>
      </c>
      <c r="AE5080">
        <v>-88.135822</v>
      </c>
      <c r="AF5080" s="5" t="str">
        <f>HYPERLINK("https://www.google.com/maps/search/?api=1&amp;query=41.775516,-88.135822","map")</f>
        <v>map</v>
      </c>
    </row>
    <row r="5081" spans="1:32">
      <c r="A5081" t="s">
        <v>5131</v>
      </c>
      <c r="B5081" t="s">
        <v>12664</v>
      </c>
      <c r="C5081" t="s">
        <v>15478</v>
      </c>
      <c r="D5081" t="s">
        <v>16206</v>
      </c>
      <c r="E5081" t="s">
        <v>16218</v>
      </c>
      <c r="F5081" t="s">
        <v>16221</v>
      </c>
      <c r="G5081" t="s">
        <v>16278</v>
      </c>
      <c r="H5081" t="s">
        <v>16277</v>
      </c>
      <c r="I5081" t="s">
        <v>16353</v>
      </c>
      <c r="J5081" t="s">
        <v>16386</v>
      </c>
      <c r="K5081">
        <v>0.08</v>
      </c>
      <c r="L5081">
        <v>3506</v>
      </c>
      <c r="N5081" t="s">
        <v>16393</v>
      </c>
      <c r="O5081" s="4">
        <v>39026</v>
      </c>
      <c r="P5081" s="4">
        <v>189578</v>
      </c>
      <c r="Q5081" s="4">
        <v>228604</v>
      </c>
      <c r="R5081" s="4">
        <v>685812</v>
      </c>
      <c r="S5081" t="s">
        <v>21366</v>
      </c>
      <c r="T5081" s="6">
        <v>44652</v>
      </c>
      <c r="U5081" s="4">
        <v>564390</v>
      </c>
      <c r="V5081" t="s">
        <v>16232</v>
      </c>
      <c r="W5081" t="s">
        <v>21366</v>
      </c>
      <c r="X5081" t="s">
        <v>3</v>
      </c>
      <c r="AA5081" s="5" t="str">
        <f>HYPERLINK("https://www.zillow.com/homes/1267-JOSIAH-RD-NAPERVILLE-IL-60563_rb/","check listing")</f>
        <v>check listing</v>
      </c>
      <c r="AB5081" s="5" t="str">
        <f>HYPERLINK("https://propertylookup.dupagecounty.gov/Datalets/Datalet.aspx?UseSearch=no&amp;mode=sales&amp;pin=0532307027","sales record")</f>
        <v>sales record</v>
      </c>
      <c r="AC5081" t="s">
        <v>3</v>
      </c>
      <c r="AD5081">
        <v>41.815874</v>
      </c>
      <c r="AE5081">
        <v>-88.119209</v>
      </c>
      <c r="AF5081" s="5" t="str">
        <f>HYPERLINK("https://www.google.com/maps/search/?api=1&amp;query=41.815874,-88.119209","map")</f>
        <v>map</v>
      </c>
    </row>
    <row r="5082" spans="1:32">
      <c r="A5082" t="s">
        <v>5132</v>
      </c>
      <c r="B5082" t="s">
        <v>12665</v>
      </c>
      <c r="C5082" t="s">
        <v>15475</v>
      </c>
      <c r="D5082" t="s">
        <v>16206</v>
      </c>
      <c r="E5082" t="s">
        <v>16218</v>
      </c>
      <c r="F5082" t="s">
        <v>16221</v>
      </c>
      <c r="G5082" t="s">
        <v>16277</v>
      </c>
      <c r="H5082" t="s">
        <v>16277</v>
      </c>
      <c r="I5082" t="s">
        <v>16353</v>
      </c>
      <c r="J5082" t="s">
        <v>16386</v>
      </c>
      <c r="K5082">
        <v>0.079</v>
      </c>
      <c r="L5082">
        <v>3451</v>
      </c>
      <c r="M5082">
        <v>737</v>
      </c>
      <c r="N5082" t="s">
        <v>16393</v>
      </c>
      <c r="O5082" s="4">
        <v>85643</v>
      </c>
      <c r="P5082" s="4">
        <v>47912</v>
      </c>
      <c r="Q5082" s="4">
        <v>133555</v>
      </c>
      <c r="R5082" s="4">
        <v>400665</v>
      </c>
      <c r="S5082" t="s">
        <v>21367</v>
      </c>
      <c r="X5082" t="s">
        <v>3</v>
      </c>
      <c r="AA5082" s="5" t="str">
        <f>HYPERLINK("https://www.zillow.com/homes/422-E-FRANKLIN-AVE-NAPERVILLE-IL-60540_rb/","check listing")</f>
        <v>check listing</v>
      </c>
      <c r="AB5082" s="5" t="str">
        <f>HYPERLINK("https://propertylookup.dupagecounty.gov/Datalets/Datalet.aspx?UseSearch=no&amp;mode=sales&amp;pin=0818310011","sales record")</f>
        <v>sales record</v>
      </c>
      <c r="AC5082" t="s">
        <v>27873</v>
      </c>
      <c r="AD5082">
        <v>41.775639</v>
      </c>
      <c r="AE5082">
        <v>-88.141392</v>
      </c>
      <c r="AF5082" s="5" t="str">
        <f>HYPERLINK("https://www.google.com/maps/search/?api=1&amp;query=41.775639,-88.141392","map")</f>
        <v>map</v>
      </c>
    </row>
    <row r="5083" spans="1:32">
      <c r="A5083" t="s">
        <v>5133</v>
      </c>
      <c r="B5083" t="s">
        <v>12666</v>
      </c>
      <c r="C5083" t="s">
        <v>15662</v>
      </c>
      <c r="D5083" t="s">
        <v>16206</v>
      </c>
      <c r="E5083" t="s">
        <v>16218</v>
      </c>
      <c r="F5083" t="s">
        <v>16221</v>
      </c>
      <c r="G5083" t="s">
        <v>16278</v>
      </c>
      <c r="H5083" t="s">
        <v>16277</v>
      </c>
      <c r="I5083" t="s">
        <v>16353</v>
      </c>
      <c r="J5083" t="s">
        <v>16386</v>
      </c>
      <c r="K5083">
        <v>0.079</v>
      </c>
      <c r="L5083">
        <v>3437</v>
      </c>
      <c r="N5083" t="s">
        <v>16393</v>
      </c>
      <c r="O5083" s="4">
        <v>39026</v>
      </c>
      <c r="P5083" s="4">
        <v>189578</v>
      </c>
      <c r="Q5083" s="4">
        <v>228604</v>
      </c>
      <c r="R5083" s="4">
        <v>685812</v>
      </c>
      <c r="S5083" t="s">
        <v>21368</v>
      </c>
      <c r="T5083" s="6">
        <v>44762</v>
      </c>
      <c r="U5083" s="4">
        <v>539803</v>
      </c>
      <c r="V5083" t="s">
        <v>16232</v>
      </c>
      <c r="W5083" t="s">
        <v>26600</v>
      </c>
      <c r="X5083" t="s">
        <v>3</v>
      </c>
      <c r="AA5083" s="5" t="str">
        <f>HYPERLINK("https://www.zillow.com/homes/1263-JOSIAH-RD-NAPERVILLE-IL-605631594_rb/","check listing")</f>
        <v>check listing</v>
      </c>
      <c r="AB5083" s="5" t="str">
        <f>HYPERLINK("https://propertylookup.dupagecounty.gov/Datalets/Datalet.aspx?UseSearch=no&amp;mode=sales&amp;pin=0532307042","sales record")</f>
        <v>sales record</v>
      </c>
      <c r="AC5083" t="s">
        <v>3</v>
      </c>
      <c r="AD5083">
        <v>41.815868</v>
      </c>
      <c r="AE5083">
        <v>-88.11939700000001</v>
      </c>
      <c r="AF5083" s="5" t="str">
        <f>HYPERLINK("https://www.google.com/maps/search/?api=1&amp;query=41.815868,-88.119397","map")</f>
        <v>map</v>
      </c>
    </row>
    <row r="5084" spans="1:32">
      <c r="A5084" t="s">
        <v>5134</v>
      </c>
      <c r="B5084" t="s">
        <v>12667</v>
      </c>
      <c r="C5084" t="s">
        <v>15662</v>
      </c>
      <c r="D5084" t="s">
        <v>16206</v>
      </c>
      <c r="E5084" t="s">
        <v>16218</v>
      </c>
      <c r="F5084" t="s">
        <v>16221</v>
      </c>
      <c r="G5084" t="s">
        <v>16278</v>
      </c>
      <c r="H5084" t="s">
        <v>16277</v>
      </c>
      <c r="I5084" t="s">
        <v>16353</v>
      </c>
      <c r="J5084" t="s">
        <v>16386</v>
      </c>
      <c r="K5084">
        <v>0.079</v>
      </c>
      <c r="L5084">
        <v>3429</v>
      </c>
      <c r="N5084" t="s">
        <v>16393</v>
      </c>
      <c r="O5084" s="4">
        <v>39026</v>
      </c>
      <c r="P5084" s="4">
        <v>189578</v>
      </c>
      <c r="Q5084" s="4">
        <v>228604</v>
      </c>
      <c r="R5084" s="4">
        <v>685812</v>
      </c>
      <c r="S5084" t="s">
        <v>21369</v>
      </c>
      <c r="T5084" s="6">
        <v>44742</v>
      </c>
      <c r="U5084" s="4">
        <v>593258</v>
      </c>
      <c r="V5084" t="s">
        <v>16232</v>
      </c>
      <c r="W5084" t="s">
        <v>26601</v>
      </c>
      <c r="X5084" t="s">
        <v>3</v>
      </c>
      <c r="AA5084" s="5" t="str">
        <f>HYPERLINK("https://www.zillow.com/homes/1253-JOSIAH-RD-NAPERVILLE-IL-605631594_rb/","check listing")</f>
        <v>check listing</v>
      </c>
      <c r="AB5084" s="5" t="str">
        <f>HYPERLINK("https://propertylookup.dupagecounty.gov/Datalets/Datalet.aspx?UseSearch=no&amp;mode=sales&amp;pin=0532307037","sales record")</f>
        <v>sales record</v>
      </c>
      <c r="AC5084" t="s">
        <v>3</v>
      </c>
      <c r="AD5084">
        <v>41.815944</v>
      </c>
      <c r="AE5084">
        <v>-88.119894</v>
      </c>
      <c r="AF5084" s="5" t="str">
        <f>HYPERLINK("https://www.google.com/maps/search/?api=1&amp;query=41.815944,-88.119894","map")</f>
        <v>map</v>
      </c>
    </row>
    <row r="5085" spans="1:32">
      <c r="A5085" t="s">
        <v>5135</v>
      </c>
      <c r="B5085" t="s">
        <v>12668</v>
      </c>
      <c r="C5085" t="s">
        <v>15478</v>
      </c>
      <c r="D5085" t="s">
        <v>16206</v>
      </c>
      <c r="E5085" t="s">
        <v>16218</v>
      </c>
      <c r="F5085" t="s">
        <v>16221</v>
      </c>
      <c r="G5085" t="s">
        <v>16278</v>
      </c>
      <c r="H5085" t="s">
        <v>16277</v>
      </c>
      <c r="I5085" t="s">
        <v>16353</v>
      </c>
      <c r="J5085" t="s">
        <v>16386</v>
      </c>
      <c r="K5085">
        <v>0.079</v>
      </c>
      <c r="L5085">
        <v>3429</v>
      </c>
      <c r="N5085" t="s">
        <v>16393</v>
      </c>
      <c r="O5085" s="4">
        <v>39026</v>
      </c>
      <c r="P5085" s="4">
        <v>200972</v>
      </c>
      <c r="Q5085" s="4">
        <v>239998</v>
      </c>
      <c r="R5085" s="4">
        <v>719994</v>
      </c>
      <c r="S5085" t="s">
        <v>21370</v>
      </c>
      <c r="T5085" s="6">
        <v>44840</v>
      </c>
      <c r="U5085" s="4">
        <v>625097</v>
      </c>
      <c r="V5085" t="s">
        <v>16232</v>
      </c>
      <c r="W5085" t="s">
        <v>26602</v>
      </c>
      <c r="X5085" t="s">
        <v>3</v>
      </c>
      <c r="AA5085" s="5" t="str">
        <f>HYPERLINK("https://www.zillow.com/homes/1249-JOSIAH-RD-NAPERVILLE-IL-60563_rb/","check listing")</f>
        <v>check listing</v>
      </c>
      <c r="AB5085" s="5" t="str">
        <f>HYPERLINK("https://propertylookup.dupagecounty.gov/Datalets/Datalet.aspx?UseSearch=no&amp;mode=sales&amp;pin=0532307036","sales record")</f>
        <v>sales record</v>
      </c>
      <c r="AC5085" t="s">
        <v>3</v>
      </c>
      <c r="AD5085">
        <v>41.81596</v>
      </c>
      <c r="AE5085">
        <v>-88.120057</v>
      </c>
      <c r="AF5085" s="5" t="str">
        <f>HYPERLINK("https://www.google.com/maps/search/?api=1&amp;query=41.81596,-88.120057","map")</f>
        <v>map</v>
      </c>
    </row>
    <row r="5086" spans="1:32">
      <c r="A5086" t="s">
        <v>5136</v>
      </c>
      <c r="B5086" t="s">
        <v>12669</v>
      </c>
      <c r="C5086" t="s">
        <v>15478</v>
      </c>
      <c r="D5086" t="s">
        <v>16206</v>
      </c>
      <c r="E5086" t="s">
        <v>16218</v>
      </c>
      <c r="F5086" t="s">
        <v>16221</v>
      </c>
      <c r="G5086" t="s">
        <v>16278</v>
      </c>
      <c r="H5086" t="s">
        <v>16277</v>
      </c>
      <c r="I5086" t="s">
        <v>16353</v>
      </c>
      <c r="J5086" t="s">
        <v>16386</v>
      </c>
      <c r="K5086">
        <v>0.079</v>
      </c>
      <c r="L5086">
        <v>3424</v>
      </c>
      <c r="N5086" t="s">
        <v>16393</v>
      </c>
      <c r="O5086" s="4">
        <v>39026</v>
      </c>
      <c r="P5086" s="4">
        <v>197355</v>
      </c>
      <c r="Q5086" s="4">
        <v>236381</v>
      </c>
      <c r="R5086" s="4">
        <v>709143</v>
      </c>
      <c r="S5086" t="s">
        <v>21371</v>
      </c>
      <c r="T5086" s="6">
        <v>45126</v>
      </c>
      <c r="U5086" s="4">
        <v>601768</v>
      </c>
      <c r="V5086" t="s">
        <v>16232</v>
      </c>
      <c r="W5086" t="s">
        <v>26603</v>
      </c>
      <c r="X5086" t="s">
        <v>3</v>
      </c>
      <c r="AA5086" s="5" t="str">
        <f>HYPERLINK("https://www.zillow.com/homes/1227-JOSIAH-RD-NAPERVILLE-IL-60563_rb/","check listing")</f>
        <v>check listing</v>
      </c>
      <c r="AB5086" s="5" t="str">
        <f>HYPERLINK("https://propertylookup.dupagecounty.gov/Datalets/Datalet.aspx?UseSearch=no&amp;mode=sales&amp;pin=0532307043","sales record")</f>
        <v>sales record</v>
      </c>
      <c r="AC5086" t="s">
        <v>3</v>
      </c>
      <c r="AD5086">
        <v>41.816068</v>
      </c>
      <c r="AE5086">
        <v>-88.121168</v>
      </c>
      <c r="AF5086" s="5" t="str">
        <f>HYPERLINK("https://www.google.com/maps/search/?api=1&amp;query=41.816068,-88.121168","map")</f>
        <v>map</v>
      </c>
    </row>
    <row r="5087" spans="1:32">
      <c r="A5087" t="s">
        <v>5137</v>
      </c>
      <c r="B5087" t="s">
        <v>12670</v>
      </c>
      <c r="C5087" t="s">
        <v>15478</v>
      </c>
      <c r="D5087" t="s">
        <v>16206</v>
      </c>
      <c r="E5087" t="s">
        <v>16218</v>
      </c>
      <c r="F5087" t="s">
        <v>16221</v>
      </c>
      <c r="G5087" t="s">
        <v>16278</v>
      </c>
      <c r="H5087" t="s">
        <v>16277</v>
      </c>
      <c r="I5087" t="s">
        <v>16353</v>
      </c>
      <c r="J5087" t="s">
        <v>16386</v>
      </c>
      <c r="K5087">
        <v>0.079</v>
      </c>
      <c r="L5087">
        <v>3424</v>
      </c>
      <c r="N5087" t="s">
        <v>16393</v>
      </c>
      <c r="O5087" s="4">
        <v>39026</v>
      </c>
      <c r="P5087" s="4">
        <v>197355</v>
      </c>
      <c r="Q5087" s="4">
        <v>236381</v>
      </c>
      <c r="R5087" s="4">
        <v>709143</v>
      </c>
      <c r="S5087" t="s">
        <v>21372</v>
      </c>
      <c r="T5087" s="6">
        <v>45159</v>
      </c>
      <c r="U5087" s="4">
        <v>652069</v>
      </c>
      <c r="V5087" t="s">
        <v>16232</v>
      </c>
      <c r="W5087" t="s">
        <v>26604</v>
      </c>
      <c r="X5087" t="s">
        <v>3</v>
      </c>
      <c r="AA5087" s="5" t="str">
        <f>HYPERLINK("https://www.zillow.com/homes/1237-JOSIAH-RD-NAPERVILLE-IL-60563_rb/","check listing")</f>
        <v>check listing</v>
      </c>
      <c r="AB5087" s="5" t="str">
        <f>HYPERLINK("https://propertylookup.dupagecounty.gov/Datalets/Datalet.aspx?UseSearch=no&amp;mode=sales&amp;pin=0532307048","sales record")</f>
        <v>sales record</v>
      </c>
      <c r="AC5087" t="s">
        <v>3</v>
      </c>
      <c r="AD5087">
        <v>41.81602</v>
      </c>
      <c r="AE5087">
        <v>-88.12066799999999</v>
      </c>
      <c r="AF5087" s="5" t="str">
        <f>HYPERLINK("https://www.google.com/maps/search/?api=1&amp;query=41.81602,-88.120668","map")</f>
        <v>map</v>
      </c>
    </row>
    <row r="5088" spans="1:32">
      <c r="A5088" t="s">
        <v>5138</v>
      </c>
      <c r="B5088" t="s">
        <v>12671</v>
      </c>
      <c r="C5088" t="s">
        <v>15827</v>
      </c>
      <c r="D5088" t="s">
        <v>16206</v>
      </c>
      <c r="E5088" t="s">
        <v>16218</v>
      </c>
      <c r="F5088" t="s">
        <v>16221</v>
      </c>
      <c r="G5088" t="s">
        <v>16277</v>
      </c>
      <c r="H5088" t="s">
        <v>16277</v>
      </c>
      <c r="I5088" t="s">
        <v>16353</v>
      </c>
      <c r="J5088" t="s">
        <v>16386</v>
      </c>
      <c r="K5088">
        <v>0.076</v>
      </c>
      <c r="L5088">
        <v>3322</v>
      </c>
      <c r="M5088">
        <v>1583</v>
      </c>
      <c r="N5088" t="s">
        <v>16393</v>
      </c>
      <c r="O5088" s="4">
        <v>68032</v>
      </c>
      <c r="P5088" s="4">
        <v>30183</v>
      </c>
      <c r="Q5088" s="4">
        <v>98215</v>
      </c>
      <c r="R5088" s="4">
        <v>294645</v>
      </c>
      <c r="S5088" t="s">
        <v>20581</v>
      </c>
      <c r="T5088" s="6">
        <v>37073</v>
      </c>
      <c r="U5088" s="4">
        <v>171000</v>
      </c>
      <c r="V5088" t="s">
        <v>23739</v>
      </c>
      <c r="W5088" t="s">
        <v>26605</v>
      </c>
      <c r="X5088" t="s">
        <v>3</v>
      </c>
      <c r="AA5088" s="5" t="str">
        <f>HYPERLINK("https://www.zillow.com/homes/124-N-MILL-ST-NAPERVILLE-IL-605404436_rb/","check listing")</f>
        <v>check listing</v>
      </c>
      <c r="AB5088" s="5" t="str">
        <f>HYPERLINK("https://propertylookup.dupagecounty.gov/Datalets/Datalet.aspx?UseSearch=no&amp;mode=sales&amp;pin=0713402002","sales record")</f>
        <v>sales record</v>
      </c>
      <c r="AC5088" t="s">
        <v>3</v>
      </c>
      <c r="AD5088">
        <v>41.776815</v>
      </c>
      <c r="AE5088">
        <v>-88.154228</v>
      </c>
      <c r="AF5088" s="5" t="str">
        <f>HYPERLINK("https://www.google.com/maps/search/?api=1&amp;query=41.776815,-88.154228","map")</f>
        <v>map</v>
      </c>
    </row>
    <row r="5089" spans="1:32">
      <c r="A5089" t="s">
        <v>5139</v>
      </c>
      <c r="B5089" t="s">
        <v>12672</v>
      </c>
      <c r="C5089" t="s">
        <v>15662</v>
      </c>
      <c r="D5089" t="s">
        <v>16206</v>
      </c>
      <c r="E5089" t="s">
        <v>16218</v>
      </c>
      <c r="F5089" t="s">
        <v>16221</v>
      </c>
      <c r="G5089" t="s">
        <v>16278</v>
      </c>
      <c r="H5089" t="s">
        <v>16277</v>
      </c>
      <c r="I5089" t="s">
        <v>16353</v>
      </c>
      <c r="J5089" t="s">
        <v>16386</v>
      </c>
      <c r="K5089">
        <v>0.074</v>
      </c>
      <c r="L5089">
        <v>3230</v>
      </c>
      <c r="N5089" t="s">
        <v>16393</v>
      </c>
      <c r="O5089" s="4">
        <v>39026</v>
      </c>
      <c r="P5089" s="4">
        <v>189582</v>
      </c>
      <c r="Q5089" s="4">
        <v>228608</v>
      </c>
      <c r="R5089" s="4">
        <v>685824</v>
      </c>
      <c r="S5089" t="s">
        <v>21373</v>
      </c>
      <c r="T5089" s="6">
        <v>45366</v>
      </c>
      <c r="U5089" s="4">
        <v>633261</v>
      </c>
      <c r="V5089" t="s">
        <v>16232</v>
      </c>
      <c r="W5089" t="s">
        <v>26606</v>
      </c>
      <c r="X5089" t="s">
        <v>3</v>
      </c>
      <c r="AA5089" s="5" t="str">
        <f>HYPERLINK("https://www.zillow.com/homes/1213-JOSIAH-RD-NAPERVILLE-IL-605631594_rb/","check listing")</f>
        <v>check listing</v>
      </c>
      <c r="AB5089" s="5" t="str">
        <f>HYPERLINK("https://propertylookup.dupagecounty.gov/Datalets/Datalet.aspx?UseSearch=no&amp;mode=sales&amp;pin=0532307053","sales record")</f>
        <v>sales record</v>
      </c>
      <c r="AC5089" t="s">
        <v>3</v>
      </c>
      <c r="AD5089">
        <v>41.816132</v>
      </c>
      <c r="AE5089">
        <v>-88.121824</v>
      </c>
      <c r="AF5089" s="5" t="str">
        <f>HYPERLINK("https://www.google.com/maps/search/?api=1&amp;query=41.816132,-88.121824","map")</f>
        <v>map</v>
      </c>
    </row>
    <row r="5090" spans="1:32">
      <c r="A5090" t="s">
        <v>5140</v>
      </c>
      <c r="B5090" t="s">
        <v>12673</v>
      </c>
      <c r="C5090" t="s">
        <v>15810</v>
      </c>
      <c r="D5090" t="s">
        <v>16206</v>
      </c>
      <c r="E5090" t="s">
        <v>16217</v>
      </c>
      <c r="F5090" t="s">
        <v>16221</v>
      </c>
      <c r="G5090" t="s">
        <v>16277</v>
      </c>
      <c r="H5090" t="s">
        <v>16277</v>
      </c>
      <c r="I5090" t="s">
        <v>16353</v>
      </c>
      <c r="J5090" t="s">
        <v>16386</v>
      </c>
      <c r="K5090">
        <v>0.6820000000000001</v>
      </c>
      <c r="L5090">
        <v>29700</v>
      </c>
      <c r="M5090">
        <v>6024</v>
      </c>
      <c r="N5090" t="s">
        <v>16393</v>
      </c>
      <c r="O5090" s="4">
        <v>486618</v>
      </c>
      <c r="P5090" s="4">
        <v>0</v>
      </c>
      <c r="Q5090" s="4">
        <v>486618</v>
      </c>
      <c r="R5090" s="4">
        <v>1459854</v>
      </c>
      <c r="S5090" t="s">
        <v>21374</v>
      </c>
      <c r="X5090" t="s">
        <v>3</v>
      </c>
      <c r="AA5090" s="5" t="str">
        <f>HYPERLINK("https://www.zillow.com/homes/252333-E-4TH-AVE-NAPERVILLE-IL-605404701_rb/","check listing")</f>
        <v>check listing</v>
      </c>
      <c r="AB5090" s="5" t="str">
        <f>HYPERLINK("https://propertylookup.dupagecounty.gov/Datalets/Datalet.aspx?UseSearch=no&amp;mode=sales&amp;pin=0818131036","sales record")</f>
        <v>sales record</v>
      </c>
      <c r="AC5090" t="s">
        <v>11</v>
      </c>
      <c r="AD5090">
        <v>41.779362</v>
      </c>
      <c r="AE5090">
        <v>-88.14268199999999</v>
      </c>
      <c r="AF5090" s="5" t="str">
        <f>HYPERLINK("https://www.google.com/maps/search/?api=1&amp;query=41.779362,-88.142682","map")</f>
        <v>map</v>
      </c>
    </row>
    <row r="5091" spans="1:32">
      <c r="A5091" t="s">
        <v>5141</v>
      </c>
      <c r="B5091" t="s">
        <v>12674</v>
      </c>
      <c r="C5091" t="s">
        <v>15475</v>
      </c>
      <c r="D5091" t="s">
        <v>16206</v>
      </c>
      <c r="E5091" t="s">
        <v>16217</v>
      </c>
      <c r="F5091" t="s">
        <v>16221</v>
      </c>
      <c r="G5091" t="s">
        <v>16278</v>
      </c>
      <c r="H5091" t="s">
        <v>16277</v>
      </c>
      <c r="I5091" t="s">
        <v>16353</v>
      </c>
      <c r="J5091" t="s">
        <v>16386</v>
      </c>
      <c r="K5091">
        <v>0.373</v>
      </c>
      <c r="L5091">
        <v>16268</v>
      </c>
      <c r="N5091" t="s">
        <v>16393</v>
      </c>
      <c r="O5091" s="4">
        <v>44998</v>
      </c>
      <c r="P5091" s="4">
        <v>0</v>
      </c>
      <c r="Q5091" s="4">
        <v>44998</v>
      </c>
      <c r="R5091" s="4">
        <v>134994</v>
      </c>
      <c r="S5091" t="s">
        <v>21375</v>
      </c>
      <c r="T5091" s="6">
        <v>42461</v>
      </c>
      <c r="U5091" s="4">
        <v>168000</v>
      </c>
      <c r="V5091" t="s">
        <v>16232</v>
      </c>
      <c r="W5091" t="s">
        <v>26607</v>
      </c>
      <c r="X5091" t="s">
        <v>3</v>
      </c>
      <c r="AA5091" s="5" t="str">
        <f>HYPERLINK("https://www.zillow.com/homes/LEONA-MAE-CT-NAPERVILLE-IL-60540_rb/","check listing")</f>
        <v>check listing</v>
      </c>
      <c r="AB5091" s="5" t="str">
        <f>HYPERLINK("https://propertylookup.dupagecounty.gov/Datalets/Datalet.aspx?UseSearch=no&amp;mode=sales&amp;pin=0818207067","sales record")</f>
        <v>sales record</v>
      </c>
      <c r="AC5091" t="s">
        <v>3</v>
      </c>
      <c r="AD5091">
        <v>41.784626</v>
      </c>
      <c r="AE5091">
        <v>-88.12996800000001</v>
      </c>
      <c r="AF5091" s="5" t="str">
        <f>HYPERLINK("https://www.google.com/maps/search/?api=1&amp;query=41.784626,-88.129968","map")</f>
        <v>map</v>
      </c>
    </row>
    <row r="5092" spans="1:32">
      <c r="A5092" t="s">
        <v>5142</v>
      </c>
      <c r="B5092" t="s">
        <v>12675</v>
      </c>
      <c r="C5092" t="s">
        <v>15475</v>
      </c>
      <c r="D5092" t="s">
        <v>16206</v>
      </c>
      <c r="E5092" t="s">
        <v>16217</v>
      </c>
      <c r="F5092" t="s">
        <v>16221</v>
      </c>
      <c r="G5092" t="s">
        <v>16277</v>
      </c>
      <c r="H5092" t="s">
        <v>16277</v>
      </c>
      <c r="I5092" t="s">
        <v>16353</v>
      </c>
      <c r="J5092" t="s">
        <v>16386</v>
      </c>
      <c r="K5092">
        <v>0.268</v>
      </c>
      <c r="L5092">
        <v>11685</v>
      </c>
      <c r="M5092">
        <v>594</v>
      </c>
      <c r="N5092" t="s">
        <v>16394</v>
      </c>
      <c r="O5092" s="4">
        <v>48492</v>
      </c>
      <c r="P5092" s="4">
        <v>0</v>
      </c>
      <c r="Q5092" s="4">
        <v>48492</v>
      </c>
      <c r="R5092" s="4">
        <v>145476</v>
      </c>
      <c r="S5092" t="s">
        <v>21376</v>
      </c>
      <c r="X5092" t="s">
        <v>3</v>
      </c>
      <c r="AA5092" s="5" t="str">
        <f>HYPERLINK("https://www.zillow.com/homes/509-SPRING-AVE-NAPERVILLE-IL-60540_rb/","check listing")</f>
        <v>check listing</v>
      </c>
      <c r="AB5092" s="5" t="str">
        <f>HYPERLINK("https://propertylookup.dupagecounty.gov/Datalets/Datalet.aspx?UseSearch=no&amp;mode=sales&amp;pin=0713216008","sales record")</f>
        <v>sales record</v>
      </c>
      <c r="AC5092" t="s">
        <v>27871</v>
      </c>
      <c r="AD5092">
        <v>41.778862</v>
      </c>
      <c r="AE5092">
        <v>-88.15644899999999</v>
      </c>
      <c r="AF5092" s="5" t="str">
        <f>HYPERLINK("https://www.google.com/maps/search/?api=1&amp;query=41.778862,-88.156449","map")</f>
        <v>map</v>
      </c>
    </row>
    <row r="5093" spans="1:32">
      <c r="A5093" t="s">
        <v>5143</v>
      </c>
      <c r="B5093" t="s">
        <v>12676</v>
      </c>
      <c r="C5093" t="s">
        <v>15475</v>
      </c>
      <c r="D5093" t="s">
        <v>16206</v>
      </c>
      <c r="E5093" t="s">
        <v>16217</v>
      </c>
      <c r="F5093" t="s">
        <v>16221</v>
      </c>
      <c r="G5093" t="s">
        <v>16277</v>
      </c>
      <c r="H5093" t="s">
        <v>16277</v>
      </c>
      <c r="I5093" t="s">
        <v>16353</v>
      </c>
      <c r="J5093" t="s">
        <v>16386</v>
      </c>
      <c r="K5093">
        <v>0.257</v>
      </c>
      <c r="L5093">
        <v>11193</v>
      </c>
      <c r="N5093" t="s">
        <v>16393</v>
      </c>
      <c r="O5093" s="4">
        <v>157459</v>
      </c>
      <c r="P5093" s="4">
        <v>0</v>
      </c>
      <c r="Q5093" s="4">
        <v>157459</v>
      </c>
      <c r="R5093" s="4">
        <v>472377</v>
      </c>
      <c r="S5093" t="s">
        <v>21377</v>
      </c>
      <c r="T5093" s="6">
        <v>38018</v>
      </c>
      <c r="U5093" s="4">
        <v>430000</v>
      </c>
      <c r="V5093" t="s">
        <v>23740</v>
      </c>
      <c r="W5093" t="s">
        <v>26608</v>
      </c>
      <c r="X5093" t="s">
        <v>3</v>
      </c>
      <c r="AA5093" s="5" t="str">
        <f>HYPERLINK("https://www.zillow.com/homes/526-W-JEFFERSON-AVE-NAPERVILLE-IL-60540_rb/","check listing")</f>
        <v>check listing</v>
      </c>
      <c r="AB5093" s="5" t="str">
        <f>HYPERLINK("https://propertylookup.dupagecounty.gov/Datalets/Datalet.aspx?UseSearch=no&amp;mode=sales&amp;pin=0713316003","sales record")</f>
        <v>sales record</v>
      </c>
      <c r="AC5093" t="s">
        <v>3</v>
      </c>
      <c r="AD5093">
        <v>41.772977</v>
      </c>
      <c r="AE5093">
        <v>-88.15734</v>
      </c>
      <c r="AF5093" s="5" t="str">
        <f>HYPERLINK("https://www.google.com/maps/search/?api=1&amp;query=41.772977,-88.15734","map")</f>
        <v>map</v>
      </c>
    </row>
    <row r="5094" spans="1:32">
      <c r="A5094" t="s">
        <v>5144</v>
      </c>
      <c r="B5094" t="s">
        <v>12677</v>
      </c>
      <c r="C5094" t="s">
        <v>15475</v>
      </c>
      <c r="D5094" t="s">
        <v>16206</v>
      </c>
      <c r="E5094" t="s">
        <v>16217</v>
      </c>
      <c r="F5094" t="s">
        <v>16221</v>
      </c>
      <c r="G5094" t="s">
        <v>16277</v>
      </c>
      <c r="H5094" t="s">
        <v>16277</v>
      </c>
      <c r="I5094" t="s">
        <v>16353</v>
      </c>
      <c r="J5094" t="s">
        <v>16386</v>
      </c>
      <c r="K5094">
        <v>0.25</v>
      </c>
      <c r="L5094">
        <v>10883</v>
      </c>
      <c r="N5094" t="s">
        <v>16393</v>
      </c>
      <c r="O5094" s="4">
        <v>134964</v>
      </c>
      <c r="P5094" s="4">
        <v>0</v>
      </c>
      <c r="Q5094" s="4">
        <v>134964</v>
      </c>
      <c r="R5094" s="4">
        <v>404892</v>
      </c>
      <c r="S5094" t="s">
        <v>20368</v>
      </c>
      <c r="X5094" t="s">
        <v>3</v>
      </c>
      <c r="AA5094" s="5" t="str">
        <f>HYPERLINK("https://www.zillow.com/homes/319-W-SPRING-AVE-NAPERVILLE-IL-60540_rb/","check listing")</f>
        <v>check listing</v>
      </c>
      <c r="AB5094" s="5" t="str">
        <f>HYPERLINK("https://propertylookup.dupagecounty.gov/Datalets/Datalet.aspx?UseSearch=no&amp;mode=sales&amp;pin=0713217014","sales record")</f>
        <v>sales record</v>
      </c>
      <c r="AC5094" t="s">
        <v>27872</v>
      </c>
      <c r="AD5094">
        <v>41.778793</v>
      </c>
      <c r="AE5094">
        <v>-88.154011</v>
      </c>
      <c r="AF5094" s="5" t="str">
        <f>HYPERLINK("https://www.google.com/maps/search/?api=1&amp;query=41.778793,-88.154011","map")</f>
        <v>map</v>
      </c>
    </row>
    <row r="5095" spans="1:32">
      <c r="A5095" t="s">
        <v>5145</v>
      </c>
      <c r="B5095" t="s">
        <v>12678</v>
      </c>
      <c r="C5095" t="s">
        <v>15475</v>
      </c>
      <c r="D5095" t="s">
        <v>16206</v>
      </c>
      <c r="E5095" t="s">
        <v>16217</v>
      </c>
      <c r="F5095" t="s">
        <v>16221</v>
      </c>
      <c r="G5095" t="s">
        <v>16277</v>
      </c>
      <c r="H5095" t="s">
        <v>16277</v>
      </c>
      <c r="I5095" t="s">
        <v>16353</v>
      </c>
      <c r="J5095" t="s">
        <v>16386</v>
      </c>
      <c r="K5095">
        <v>0.249</v>
      </c>
      <c r="L5095">
        <v>10845</v>
      </c>
      <c r="M5095">
        <v>659</v>
      </c>
      <c r="N5095" t="s">
        <v>16396</v>
      </c>
      <c r="O5095" s="4">
        <v>89910</v>
      </c>
      <c r="P5095" s="4">
        <v>0</v>
      </c>
      <c r="Q5095" s="4">
        <v>89910</v>
      </c>
      <c r="R5095" s="4">
        <v>269730</v>
      </c>
      <c r="S5095" t="s">
        <v>18950</v>
      </c>
      <c r="T5095" s="6">
        <v>43435</v>
      </c>
      <c r="U5095" s="4">
        <v>500000</v>
      </c>
      <c r="V5095" t="s">
        <v>23739</v>
      </c>
      <c r="W5095" t="s">
        <v>20402</v>
      </c>
      <c r="X5095" t="s">
        <v>3</v>
      </c>
      <c r="AA5095" s="5" t="str">
        <f>HYPERLINK("https://www.zillow.com/homes/532-S-WEBSTER-ST-NAPERVILLE-IL-60540_rb/","check listing")</f>
        <v>check listing</v>
      </c>
      <c r="AB5095" s="5" t="str">
        <f>HYPERLINK("https://propertylookup.dupagecounty.gov/Datalets/Datalet.aspx?UseSearch=no&amp;mode=sales&amp;pin=0724202007","sales record")</f>
        <v>sales record</v>
      </c>
      <c r="AC5095" t="s">
        <v>11</v>
      </c>
      <c r="AD5095">
        <v>41.769084</v>
      </c>
      <c r="AE5095">
        <v>-88.150929</v>
      </c>
      <c r="AF5095" s="5" t="str">
        <f>HYPERLINK("https://www.google.com/maps/search/?api=1&amp;query=41.769084,-88.150929","map")</f>
        <v>map</v>
      </c>
    </row>
    <row r="5096" spans="1:32">
      <c r="A5096" t="s">
        <v>5146</v>
      </c>
      <c r="B5096" t="s">
        <v>12679</v>
      </c>
      <c r="C5096" t="s">
        <v>15475</v>
      </c>
      <c r="D5096" t="s">
        <v>16206</v>
      </c>
      <c r="E5096" t="s">
        <v>16217</v>
      </c>
      <c r="F5096" t="s">
        <v>16221</v>
      </c>
      <c r="G5096" t="s">
        <v>16277</v>
      </c>
      <c r="H5096" t="s">
        <v>16277</v>
      </c>
      <c r="I5096" t="s">
        <v>16353</v>
      </c>
      <c r="J5096" t="s">
        <v>16386</v>
      </c>
      <c r="K5096">
        <v>0.243</v>
      </c>
      <c r="L5096">
        <v>10572</v>
      </c>
      <c r="M5096">
        <v>2547</v>
      </c>
      <c r="N5096" t="s">
        <v>16393</v>
      </c>
      <c r="O5096" s="4">
        <v>135135</v>
      </c>
      <c r="P5096" s="4">
        <v>0</v>
      </c>
      <c r="Q5096" s="4">
        <v>135135</v>
      </c>
      <c r="R5096" s="4">
        <v>405405</v>
      </c>
      <c r="S5096" t="s">
        <v>20402</v>
      </c>
      <c r="X5096" t="s">
        <v>3</v>
      </c>
      <c r="AA5096" s="5" t="str">
        <f>HYPERLINK("https://www.zillow.com/homes/636-S-WEBSTER-ST-NAPERVILLE-IL-60540_rb/","check listing")</f>
        <v>check listing</v>
      </c>
      <c r="AB5096" s="5" t="str">
        <f>HYPERLINK("https://propertylookup.dupagecounty.gov/Datalets/Datalet.aspx?UseSearch=no&amp;mode=sales&amp;pin=0724203033","sales record")</f>
        <v>sales record</v>
      </c>
      <c r="AC5096" t="s">
        <v>11</v>
      </c>
      <c r="AD5096">
        <v>41.767003</v>
      </c>
      <c r="AE5096">
        <v>-88.15107500000001</v>
      </c>
      <c r="AF5096" s="5" t="str">
        <f>HYPERLINK("https://www.google.com/maps/search/?api=1&amp;query=41.767003,-88.151075","map")</f>
        <v>map</v>
      </c>
    </row>
    <row r="5097" spans="1:32">
      <c r="A5097" t="s">
        <v>5147</v>
      </c>
      <c r="B5097" t="s">
        <v>12680</v>
      </c>
      <c r="C5097" t="s">
        <v>15828</v>
      </c>
      <c r="D5097" t="s">
        <v>16206</v>
      </c>
      <c r="E5097" t="s">
        <v>16217</v>
      </c>
      <c r="F5097" t="s">
        <v>16221</v>
      </c>
      <c r="G5097" t="s">
        <v>16277</v>
      </c>
      <c r="H5097" t="s">
        <v>16277</v>
      </c>
      <c r="I5097" t="s">
        <v>16353</v>
      </c>
      <c r="J5097" t="s">
        <v>16386</v>
      </c>
      <c r="K5097">
        <v>0.215</v>
      </c>
      <c r="L5097">
        <v>9362</v>
      </c>
      <c r="M5097">
        <v>587</v>
      </c>
      <c r="N5097" t="s">
        <v>16393</v>
      </c>
      <c r="O5097" s="4">
        <v>120672</v>
      </c>
      <c r="P5097" s="4">
        <v>0</v>
      </c>
      <c r="Q5097" s="4">
        <v>120672</v>
      </c>
      <c r="R5097" s="4">
        <v>362016</v>
      </c>
      <c r="S5097" t="s">
        <v>21378</v>
      </c>
      <c r="T5097" s="6">
        <v>44378</v>
      </c>
      <c r="U5097" s="4">
        <v>525000</v>
      </c>
      <c r="V5097" t="s">
        <v>23739</v>
      </c>
      <c r="W5097" t="s">
        <v>21378</v>
      </c>
      <c r="X5097" t="s">
        <v>3</v>
      </c>
      <c r="AA5097" s="5" t="str">
        <f>HYPERLINK("https://www.zillow.com/homes/548-S-WEBSTER-ST-NAPERVILLE-IL-605406528_rb/","check listing")</f>
        <v>check listing</v>
      </c>
      <c r="AB5097" s="5" t="str">
        <f>HYPERLINK("https://propertylookup.dupagecounty.gov/Datalets/Datalet.aspx?UseSearch=no&amp;mode=sales&amp;pin=0724202010","sales record")</f>
        <v>sales record</v>
      </c>
      <c r="AC5097" t="s">
        <v>27871</v>
      </c>
      <c r="AD5097">
        <v>41.768678</v>
      </c>
      <c r="AE5097">
        <v>-88.15100200000001</v>
      </c>
      <c r="AF5097" s="5" t="str">
        <f>HYPERLINK("https://www.google.com/maps/search/?api=1&amp;query=41.768678,-88.151002","map")</f>
        <v>map</v>
      </c>
    </row>
    <row r="5098" spans="1:32">
      <c r="A5098" t="s">
        <v>5148</v>
      </c>
      <c r="B5098" t="s">
        <v>12681</v>
      </c>
      <c r="C5098" t="s">
        <v>15475</v>
      </c>
      <c r="D5098" t="s">
        <v>16206</v>
      </c>
      <c r="E5098" t="s">
        <v>16217</v>
      </c>
      <c r="F5098" t="s">
        <v>16221</v>
      </c>
      <c r="G5098" t="s">
        <v>16277</v>
      </c>
      <c r="H5098" t="s">
        <v>16277</v>
      </c>
      <c r="I5098" t="s">
        <v>16353</v>
      </c>
      <c r="J5098" t="s">
        <v>16386</v>
      </c>
      <c r="K5098">
        <v>0.213</v>
      </c>
      <c r="L5098">
        <v>9259</v>
      </c>
      <c r="M5098">
        <v>742</v>
      </c>
      <c r="N5098" t="s">
        <v>16393</v>
      </c>
      <c r="O5098" s="4">
        <v>112471</v>
      </c>
      <c r="P5098" s="4">
        <v>0</v>
      </c>
      <c r="Q5098" s="4">
        <v>112471</v>
      </c>
      <c r="R5098" s="4">
        <v>337413</v>
      </c>
      <c r="S5098" t="s">
        <v>21379</v>
      </c>
      <c r="T5098" s="6">
        <v>41183</v>
      </c>
      <c r="U5098" s="4">
        <v>178000</v>
      </c>
      <c r="V5098" t="s">
        <v>16232</v>
      </c>
      <c r="W5098" t="s">
        <v>21379</v>
      </c>
      <c r="X5098" t="s">
        <v>3</v>
      </c>
      <c r="AA5098" s="5" t="str">
        <f>HYPERLINK("https://www.zillow.com/homes/101-W-FRANKLIN-AVE-NAPERVILLE-IL-60540_rb/","check listing")</f>
        <v>check listing</v>
      </c>
      <c r="AB5098" s="5" t="str">
        <f>HYPERLINK("https://propertylookup.dupagecounty.gov/Datalets/Datalet.aspx?UseSearch=no&amp;mode=sales&amp;pin=0713404015","sales record")</f>
        <v>sales record</v>
      </c>
      <c r="AC5098" t="s">
        <v>27871</v>
      </c>
      <c r="AD5098">
        <v>41.776365</v>
      </c>
      <c r="AE5098">
        <v>-88.14937999999999</v>
      </c>
      <c r="AF5098" s="5" t="str">
        <f>HYPERLINK("https://www.google.com/maps/search/?api=1&amp;query=41.776365,-88.14938","map")</f>
        <v>map</v>
      </c>
    </row>
    <row r="5099" spans="1:32">
      <c r="A5099" t="s">
        <v>5149</v>
      </c>
      <c r="B5099" t="s">
        <v>12682</v>
      </c>
      <c r="C5099" t="s">
        <v>15475</v>
      </c>
      <c r="D5099" t="s">
        <v>16206</v>
      </c>
      <c r="E5099" t="s">
        <v>16217</v>
      </c>
      <c r="F5099" t="s">
        <v>16221</v>
      </c>
      <c r="G5099" t="s">
        <v>16277</v>
      </c>
      <c r="H5099" t="s">
        <v>16277</v>
      </c>
      <c r="I5099" t="s">
        <v>16353</v>
      </c>
      <c r="J5099" t="s">
        <v>16386</v>
      </c>
      <c r="K5099">
        <v>0.212</v>
      </c>
      <c r="L5099">
        <v>9228</v>
      </c>
      <c r="N5099" t="s">
        <v>16394</v>
      </c>
      <c r="O5099" s="4">
        <v>38971</v>
      </c>
      <c r="P5099" s="4">
        <v>0</v>
      </c>
      <c r="Q5099" s="4">
        <v>38971</v>
      </c>
      <c r="R5099" s="4">
        <v>116913</v>
      </c>
      <c r="S5099" t="s">
        <v>21380</v>
      </c>
      <c r="X5099" t="s">
        <v>3</v>
      </c>
      <c r="AA5099" s="5" t="str">
        <f>HYPERLINK("https://www.zillow.com/homes/501-W-SPRING-AVE-NAPERVILLE-IL-60540_rb/","check listing")</f>
        <v>check listing</v>
      </c>
      <c r="AB5099" s="5" t="str">
        <f>HYPERLINK("https://propertylookup.dupagecounty.gov/Datalets/Datalet.aspx?UseSearch=no&amp;mode=sales&amp;pin=0713216011","sales record")</f>
        <v>sales record</v>
      </c>
      <c r="AC5099" t="s">
        <v>27872</v>
      </c>
      <c r="AD5099">
        <v>41.778846</v>
      </c>
      <c r="AE5099">
        <v>-88.155923</v>
      </c>
      <c r="AF5099" s="5" t="str">
        <f>HYPERLINK("https://www.google.com/maps/search/?api=1&amp;query=41.778846,-88.155923","map")</f>
        <v>map</v>
      </c>
    </row>
    <row r="5100" spans="1:32">
      <c r="A5100" t="s">
        <v>5150</v>
      </c>
      <c r="B5100" t="s">
        <v>12683</v>
      </c>
      <c r="C5100" t="s">
        <v>15475</v>
      </c>
      <c r="D5100" t="s">
        <v>16206</v>
      </c>
      <c r="E5100" t="s">
        <v>16217</v>
      </c>
      <c r="F5100" t="s">
        <v>16221</v>
      </c>
      <c r="G5100" t="s">
        <v>16277</v>
      </c>
      <c r="H5100" t="s">
        <v>16277</v>
      </c>
      <c r="I5100" t="s">
        <v>16353</v>
      </c>
      <c r="J5100" t="s">
        <v>16386</v>
      </c>
      <c r="K5100">
        <v>0.209</v>
      </c>
      <c r="L5100">
        <v>9101</v>
      </c>
      <c r="N5100" t="s">
        <v>16393</v>
      </c>
      <c r="O5100" s="4">
        <v>14864</v>
      </c>
      <c r="P5100" s="4">
        <v>0</v>
      </c>
      <c r="Q5100" s="4">
        <v>14864</v>
      </c>
      <c r="R5100" s="4">
        <v>44592</v>
      </c>
      <c r="S5100" t="s">
        <v>21381</v>
      </c>
      <c r="T5100" s="6">
        <v>45275</v>
      </c>
      <c r="U5100" s="4">
        <v>37500</v>
      </c>
      <c r="V5100" t="s">
        <v>23742</v>
      </c>
      <c r="W5100" t="s">
        <v>21381</v>
      </c>
      <c r="X5100" t="s">
        <v>3</v>
      </c>
      <c r="AA5100" s="5" t="str">
        <f>HYPERLINK("https://www.zillow.com/homes/636-E-4TH-AVE-NAPERVILLE-IL-60540_rb/","check listing")</f>
        <v>check listing</v>
      </c>
      <c r="AB5100" s="5" t="str">
        <f>HYPERLINK("https://propertylookup.dupagecounty.gov/Datalets/Datalet.aspx?UseSearch=no&amp;mode=sales&amp;pin=0818204006","sales record")</f>
        <v>sales record</v>
      </c>
      <c r="AC5100" t="s">
        <v>3</v>
      </c>
      <c r="AD5100">
        <v>41.779125</v>
      </c>
      <c r="AE5100">
        <v>-88.137832</v>
      </c>
      <c r="AF5100" s="5" t="str">
        <f>HYPERLINK("https://www.google.com/maps/search/?api=1&amp;query=41.779125,-88.137832","map")</f>
        <v>map</v>
      </c>
    </row>
    <row r="5101" spans="1:32">
      <c r="A5101" t="s">
        <v>5151</v>
      </c>
      <c r="B5101" t="s">
        <v>12684</v>
      </c>
      <c r="C5101" t="s">
        <v>15475</v>
      </c>
      <c r="D5101" t="s">
        <v>16206</v>
      </c>
      <c r="E5101" t="s">
        <v>16217</v>
      </c>
      <c r="F5101" t="s">
        <v>16221</v>
      </c>
      <c r="G5101" t="s">
        <v>16277</v>
      </c>
      <c r="H5101" t="s">
        <v>16277</v>
      </c>
      <c r="I5101" t="s">
        <v>16353</v>
      </c>
      <c r="J5101" t="s">
        <v>16386</v>
      </c>
      <c r="K5101">
        <v>0.208</v>
      </c>
      <c r="L5101">
        <v>9067</v>
      </c>
      <c r="N5101" t="s">
        <v>16394</v>
      </c>
      <c r="O5101" s="4">
        <v>38874</v>
      </c>
      <c r="P5101" s="4">
        <v>0</v>
      </c>
      <c r="Q5101" s="4">
        <v>38874</v>
      </c>
      <c r="R5101" s="4">
        <v>116622</v>
      </c>
      <c r="S5101" t="s">
        <v>21376</v>
      </c>
      <c r="X5101" t="s">
        <v>3</v>
      </c>
      <c r="AA5101" s="5" t="str">
        <f>HYPERLINK("https://www.zillow.com/homes/503-SPRING-AVE-NAPERVILLE-IL-60540_rb/","check listing")</f>
        <v>check listing</v>
      </c>
      <c r="AB5101" s="5" t="str">
        <f>HYPERLINK("https://propertylookup.dupagecounty.gov/Datalets/Datalet.aspx?UseSearch=no&amp;mode=sales&amp;pin=0713216009","sales record")</f>
        <v>sales record</v>
      </c>
      <c r="AC5101" t="s">
        <v>3</v>
      </c>
      <c r="AD5101">
        <v>41.77885</v>
      </c>
      <c r="AE5101">
        <v>-88.15613500000001</v>
      </c>
      <c r="AF5101" s="5" t="str">
        <f>HYPERLINK("https://www.google.com/maps/search/?api=1&amp;query=41.77885,-88.156135","map")</f>
        <v>map</v>
      </c>
    </row>
    <row r="5102" spans="1:32">
      <c r="A5102" t="s">
        <v>5152</v>
      </c>
      <c r="B5102" t="s">
        <v>12685</v>
      </c>
      <c r="C5102" t="s">
        <v>15829</v>
      </c>
      <c r="D5102" t="s">
        <v>16206</v>
      </c>
      <c r="E5102" t="s">
        <v>16217</v>
      </c>
      <c r="F5102" t="s">
        <v>16221</v>
      </c>
      <c r="G5102" t="s">
        <v>16277</v>
      </c>
      <c r="H5102" t="s">
        <v>16277</v>
      </c>
      <c r="I5102" t="s">
        <v>16353</v>
      </c>
      <c r="J5102" t="s">
        <v>16386</v>
      </c>
      <c r="K5102">
        <v>0.201</v>
      </c>
      <c r="L5102">
        <v>8772</v>
      </c>
      <c r="M5102">
        <v>3212</v>
      </c>
      <c r="N5102" t="s">
        <v>16393</v>
      </c>
      <c r="O5102" s="4">
        <v>131071</v>
      </c>
      <c r="P5102" s="4">
        <v>0</v>
      </c>
      <c r="Q5102" s="4">
        <v>131071</v>
      </c>
      <c r="R5102" s="4">
        <v>393213</v>
      </c>
      <c r="S5102" t="s">
        <v>21382</v>
      </c>
      <c r="T5102" s="6">
        <v>45205</v>
      </c>
      <c r="U5102" s="4">
        <v>625000</v>
      </c>
      <c r="V5102" t="s">
        <v>23739</v>
      </c>
      <c r="W5102" t="s">
        <v>26609</v>
      </c>
      <c r="X5102" t="s">
        <v>3</v>
      </c>
      <c r="AA5102" s="5" t="str">
        <f>HYPERLINK("https://www.zillow.com/homes/333-W-BENTON-AVE-NAPERVILLE-IL-605404403_rb/","check listing")</f>
        <v>check listing</v>
      </c>
      <c r="AB5102" s="5" t="str">
        <f>HYPERLINK("https://propertylookup.dupagecounty.gov/Datalets/Datalet.aspx?UseSearch=no&amp;mode=sales&amp;pin=0713408009","sales record")</f>
        <v>sales record</v>
      </c>
      <c r="AC5102" t="s">
        <v>11</v>
      </c>
      <c r="AD5102">
        <v>41.775556</v>
      </c>
      <c r="AE5102">
        <v>-88.154049</v>
      </c>
      <c r="AF5102" s="5" t="str">
        <f>HYPERLINK("https://www.google.com/maps/search/?api=1&amp;query=41.775556,-88.154049","map")</f>
        <v>map</v>
      </c>
    </row>
    <row r="5103" spans="1:32">
      <c r="A5103" t="s">
        <v>5153</v>
      </c>
      <c r="B5103" t="s">
        <v>12686</v>
      </c>
      <c r="C5103" t="s">
        <v>15475</v>
      </c>
      <c r="D5103" t="s">
        <v>16206</v>
      </c>
      <c r="E5103" t="s">
        <v>16217</v>
      </c>
      <c r="F5103" t="s">
        <v>16221</v>
      </c>
      <c r="G5103" t="s">
        <v>16277</v>
      </c>
      <c r="H5103" t="s">
        <v>16277</v>
      </c>
      <c r="I5103" t="s">
        <v>16353</v>
      </c>
      <c r="J5103" t="s">
        <v>16386</v>
      </c>
      <c r="K5103">
        <v>0.187</v>
      </c>
      <c r="L5103">
        <v>8156</v>
      </c>
      <c r="N5103" t="s">
        <v>16394</v>
      </c>
      <c r="O5103" s="4">
        <v>26864</v>
      </c>
      <c r="P5103" s="4">
        <v>0</v>
      </c>
      <c r="Q5103" s="4">
        <v>26864</v>
      </c>
      <c r="R5103" s="4">
        <v>80592</v>
      </c>
      <c r="S5103" t="s">
        <v>21376</v>
      </c>
      <c r="X5103" t="s">
        <v>3</v>
      </c>
      <c r="AA5103" s="5" t="str">
        <f>HYPERLINK("https://www.zillow.com/homes/511-SPRING-AVE-NAPERVILLE-IL-60540_rb/","check listing")</f>
        <v>check listing</v>
      </c>
      <c r="AB5103" s="5" t="str">
        <f>HYPERLINK("https://propertylookup.dupagecounty.gov/Datalets/Datalet.aspx?UseSearch=no&amp;mode=sales&amp;pin=0713216006","sales record")</f>
        <v>sales record</v>
      </c>
      <c r="AC5103" t="s">
        <v>27872</v>
      </c>
      <c r="AD5103">
        <v>41.779179</v>
      </c>
      <c r="AE5103">
        <v>-88.156013</v>
      </c>
      <c r="AF5103" s="5" t="str">
        <f>HYPERLINK("https://www.google.com/maps/search/?api=1&amp;query=41.779179,-88.156013","map")</f>
        <v>map</v>
      </c>
    </row>
    <row r="5104" spans="1:32">
      <c r="A5104" t="s">
        <v>5154</v>
      </c>
      <c r="B5104" t="s">
        <v>12687</v>
      </c>
      <c r="C5104" t="s">
        <v>15475</v>
      </c>
      <c r="D5104" t="s">
        <v>16206</v>
      </c>
      <c r="E5104" t="s">
        <v>16217</v>
      </c>
      <c r="F5104" t="s">
        <v>16221</v>
      </c>
      <c r="G5104" t="s">
        <v>16277</v>
      </c>
      <c r="H5104" t="s">
        <v>16277</v>
      </c>
      <c r="I5104" t="s">
        <v>16353</v>
      </c>
      <c r="J5104" t="s">
        <v>16386</v>
      </c>
      <c r="K5104">
        <v>0.176</v>
      </c>
      <c r="L5104">
        <v>7687</v>
      </c>
      <c r="N5104" t="s">
        <v>16394</v>
      </c>
      <c r="O5104" s="4">
        <v>37263</v>
      </c>
      <c r="P5104" s="4">
        <v>0</v>
      </c>
      <c r="Q5104" s="4">
        <v>37263</v>
      </c>
      <c r="R5104" s="4">
        <v>111789</v>
      </c>
      <c r="S5104" t="s">
        <v>21380</v>
      </c>
      <c r="X5104" t="s">
        <v>3</v>
      </c>
      <c r="AA5104" s="5" t="str">
        <f>HYPERLINK("https://www.zillow.com/homes/417-W-SPRING-AVE-NAPERVILLE-IL-60540_rb/","check listing")</f>
        <v>check listing</v>
      </c>
      <c r="AB5104" s="5" t="str">
        <f>HYPERLINK("https://propertylookup.dupagecounty.gov/Datalets/Datalet.aspx?UseSearch=no&amp;mode=sales&amp;pin=0713216014","sales record")</f>
        <v>sales record</v>
      </c>
      <c r="AC5104" t="s">
        <v>27872</v>
      </c>
      <c r="AD5104">
        <v>41.778833</v>
      </c>
      <c r="AE5104">
        <v>-88.155023</v>
      </c>
      <c r="AF5104" s="5" t="str">
        <f>HYPERLINK("https://www.google.com/maps/search/?api=1&amp;query=41.778833,-88.155023","map")</f>
        <v>map</v>
      </c>
    </row>
    <row r="5105" spans="1:32">
      <c r="A5105" t="s">
        <v>5155</v>
      </c>
      <c r="B5105" t="s">
        <v>11860</v>
      </c>
      <c r="C5105" t="s">
        <v>15475</v>
      </c>
      <c r="D5105" t="s">
        <v>16206</v>
      </c>
      <c r="E5105" t="s">
        <v>16217</v>
      </c>
      <c r="F5105" t="s">
        <v>16221</v>
      </c>
      <c r="G5105" t="s">
        <v>16277</v>
      </c>
      <c r="H5105" t="s">
        <v>16277</v>
      </c>
      <c r="I5105" t="s">
        <v>16353</v>
      </c>
      <c r="J5105" t="s">
        <v>16386</v>
      </c>
      <c r="K5105">
        <v>0.176</v>
      </c>
      <c r="L5105">
        <v>7664</v>
      </c>
      <c r="N5105" t="s">
        <v>16393</v>
      </c>
      <c r="O5105" s="4">
        <v>131890</v>
      </c>
      <c r="P5105" s="4">
        <v>0</v>
      </c>
      <c r="Q5105" s="4">
        <v>131890</v>
      </c>
      <c r="R5105" s="4">
        <v>395670</v>
      </c>
      <c r="S5105" t="s">
        <v>20579</v>
      </c>
      <c r="X5105" t="s">
        <v>3</v>
      </c>
      <c r="AA5105" s="5" t="str">
        <f>HYPERLINK("https://www.zillow.com/homes/226-N-WRIGHT-ST-NAPERVILLE-IL-60540_rb/","check listing")</f>
        <v>check listing</v>
      </c>
      <c r="AB5105" s="5" t="str">
        <f>HYPERLINK("https://propertylookup.dupagecounty.gov/Datalets/Datalet.aspx?UseSearch=no&amp;mode=sales&amp;pin=0818143002","sales record")</f>
        <v>sales record</v>
      </c>
      <c r="AC5105" t="s">
        <v>27872</v>
      </c>
      <c r="AD5105">
        <v>41.777887</v>
      </c>
      <c r="AE5105">
        <v>-88.138938</v>
      </c>
      <c r="AF5105" s="5" t="str">
        <f>HYPERLINK("https://www.google.com/maps/search/?api=1&amp;query=41.777887,-88.138938","map")</f>
        <v>map</v>
      </c>
    </row>
    <row r="5106" spans="1:32">
      <c r="A5106" t="s">
        <v>5156</v>
      </c>
      <c r="B5106" t="s">
        <v>12688</v>
      </c>
      <c r="C5106" t="s">
        <v>15746</v>
      </c>
      <c r="D5106" t="s">
        <v>16206</v>
      </c>
      <c r="E5106" t="s">
        <v>16217</v>
      </c>
      <c r="F5106" t="s">
        <v>16221</v>
      </c>
      <c r="G5106" t="s">
        <v>16277</v>
      </c>
      <c r="H5106" t="s">
        <v>16277</v>
      </c>
      <c r="I5106" t="s">
        <v>16353</v>
      </c>
      <c r="J5106" t="s">
        <v>16386</v>
      </c>
      <c r="K5106">
        <v>0.175</v>
      </c>
      <c r="L5106">
        <v>7612</v>
      </c>
      <c r="M5106">
        <v>1187</v>
      </c>
      <c r="N5106" t="s">
        <v>16393</v>
      </c>
      <c r="O5106" s="4">
        <v>92957</v>
      </c>
      <c r="P5106" s="4">
        <v>0</v>
      </c>
      <c r="Q5106" s="4">
        <v>92957</v>
      </c>
      <c r="R5106" s="4">
        <v>278871</v>
      </c>
      <c r="S5106" t="s">
        <v>20866</v>
      </c>
      <c r="T5106" s="6">
        <v>44562</v>
      </c>
      <c r="U5106" s="4">
        <v>210000</v>
      </c>
      <c r="V5106" t="s">
        <v>23739</v>
      </c>
      <c r="W5106" t="s">
        <v>20866</v>
      </c>
      <c r="X5106" t="s">
        <v>3</v>
      </c>
      <c r="AA5106" s="5" t="str">
        <f>HYPERLINK("https://www.zillow.com/homes/111-N-HUFFMAN-ST-NAPERVILLE-IL-605404816_rb/","check listing")</f>
        <v>check listing</v>
      </c>
      <c r="AB5106" s="5" t="str">
        <f>HYPERLINK("https://propertylookup.dupagecounty.gov/Datalets/Datalet.aspx?UseSearch=no&amp;mode=sales&amp;pin=0818401019","sales record")</f>
        <v>sales record</v>
      </c>
      <c r="AC5106" t="s">
        <v>27871</v>
      </c>
      <c r="AD5106">
        <v>41.776011</v>
      </c>
      <c r="AE5106">
        <v>-88.13571399999999</v>
      </c>
      <c r="AF5106" s="5" t="str">
        <f>HYPERLINK("https://www.google.com/maps/search/?api=1&amp;query=41.776011,-88.135714","map")</f>
        <v>map</v>
      </c>
    </row>
    <row r="5107" spans="1:32">
      <c r="A5107" t="s">
        <v>5157</v>
      </c>
      <c r="B5107" t="s">
        <v>12689</v>
      </c>
      <c r="C5107" t="s">
        <v>15475</v>
      </c>
      <c r="D5107" t="s">
        <v>16206</v>
      </c>
      <c r="E5107" t="s">
        <v>16217</v>
      </c>
      <c r="F5107" t="s">
        <v>16221</v>
      </c>
      <c r="G5107" t="s">
        <v>16277</v>
      </c>
      <c r="H5107" t="s">
        <v>16277</v>
      </c>
      <c r="I5107" t="s">
        <v>16353</v>
      </c>
      <c r="J5107" t="s">
        <v>16386</v>
      </c>
      <c r="K5107">
        <v>0.175</v>
      </c>
      <c r="L5107">
        <v>7602</v>
      </c>
      <c r="N5107" t="s">
        <v>16394</v>
      </c>
      <c r="O5107" s="4">
        <v>31306</v>
      </c>
      <c r="P5107" s="4">
        <v>0</v>
      </c>
      <c r="Q5107" s="4">
        <v>31306</v>
      </c>
      <c r="R5107" s="4">
        <v>93918</v>
      </c>
      <c r="S5107" t="s">
        <v>21376</v>
      </c>
      <c r="T5107" s="6">
        <v>44531</v>
      </c>
      <c r="U5107" s="4">
        <v>1833333</v>
      </c>
      <c r="V5107" t="s">
        <v>23740</v>
      </c>
      <c r="W5107" t="s">
        <v>26610</v>
      </c>
      <c r="X5107" t="s">
        <v>3</v>
      </c>
      <c r="AA5107" s="5" t="str">
        <f>HYPERLINK("https://www.zillow.com/homes/523-SPRING-AVE-NAPERVILLE-IL-60540_rb/","check listing")</f>
        <v>check listing</v>
      </c>
      <c r="AB5107" s="5" t="str">
        <f>HYPERLINK("https://propertylookup.dupagecounty.gov/Datalets/Datalet.aspx?UseSearch=no&amp;mode=sales&amp;pin=0713216003","sales record")</f>
        <v>sales record</v>
      </c>
      <c r="AC5107" t="s">
        <v>27872</v>
      </c>
      <c r="AD5107">
        <v>41.778987</v>
      </c>
      <c r="AE5107">
        <v>-88.15692799999999</v>
      </c>
      <c r="AF5107" s="5" t="str">
        <f>HYPERLINK("https://www.google.com/maps/search/?api=1&amp;query=41.778987,-88.156928","map")</f>
        <v>map</v>
      </c>
    </row>
    <row r="5108" spans="1:32">
      <c r="A5108" t="s">
        <v>5158</v>
      </c>
      <c r="B5108" t="s">
        <v>12157</v>
      </c>
      <c r="C5108" t="s">
        <v>15758</v>
      </c>
      <c r="D5108" t="s">
        <v>16206</v>
      </c>
      <c r="E5108" t="s">
        <v>16217</v>
      </c>
      <c r="F5108" t="s">
        <v>16221</v>
      </c>
      <c r="G5108" t="s">
        <v>16277</v>
      </c>
      <c r="H5108" t="s">
        <v>16277</v>
      </c>
      <c r="I5108" t="s">
        <v>16353</v>
      </c>
      <c r="J5108" t="s">
        <v>16386</v>
      </c>
      <c r="K5108">
        <v>0.174</v>
      </c>
      <c r="L5108">
        <v>7600</v>
      </c>
      <c r="N5108" t="s">
        <v>16393</v>
      </c>
      <c r="O5108" s="4">
        <v>24057</v>
      </c>
      <c r="P5108" s="4">
        <v>0</v>
      </c>
      <c r="Q5108" s="4">
        <v>24057</v>
      </c>
      <c r="R5108" s="4">
        <v>72171</v>
      </c>
      <c r="S5108" t="s">
        <v>20872</v>
      </c>
      <c r="T5108" s="6">
        <v>31291</v>
      </c>
      <c r="U5108" s="4">
        <v>167500</v>
      </c>
      <c r="X5108" t="s">
        <v>3</v>
      </c>
      <c r="AA5108" s="5" t="str">
        <f>HYPERLINK("https://www.zillow.com/homes/140-N-JULIAN-ST-NAPERVILLE-IL-605404823_rb/","check listing")</f>
        <v>check listing</v>
      </c>
      <c r="AB5108" s="5" t="str">
        <f>HYPERLINK("https://propertylookup.dupagecounty.gov/Datalets/Datalet.aspx?UseSearch=no&amp;mode=sales&amp;pin=0818401004","sales record")</f>
        <v>sales record</v>
      </c>
      <c r="AC5108" t="s">
        <v>27872</v>
      </c>
      <c r="AD5108">
        <v>41.776749</v>
      </c>
      <c r="AE5108">
        <v>-88.13623200000001</v>
      </c>
      <c r="AF5108" s="5" t="str">
        <f>HYPERLINK("https://www.google.com/maps/search/?api=1&amp;query=41.776749,-88.136232","map")</f>
        <v>map</v>
      </c>
    </row>
    <row r="5109" spans="1:32">
      <c r="A5109" t="s">
        <v>5159</v>
      </c>
      <c r="B5109" t="s">
        <v>11813</v>
      </c>
      <c r="C5109" t="s">
        <v>15475</v>
      </c>
      <c r="D5109" t="s">
        <v>16206</v>
      </c>
      <c r="E5109" t="s">
        <v>16217</v>
      </c>
      <c r="F5109" t="s">
        <v>16221</v>
      </c>
      <c r="G5109" t="s">
        <v>16277</v>
      </c>
      <c r="H5109" t="s">
        <v>16277</v>
      </c>
      <c r="I5109" t="s">
        <v>16353</v>
      </c>
      <c r="J5109" t="s">
        <v>16386</v>
      </c>
      <c r="K5109">
        <v>0.174</v>
      </c>
      <c r="L5109">
        <v>7581</v>
      </c>
      <c r="N5109" t="s">
        <v>16393</v>
      </c>
      <c r="O5109" s="4">
        <v>119856</v>
      </c>
      <c r="P5109" s="4">
        <v>0</v>
      </c>
      <c r="Q5109" s="4">
        <v>119856</v>
      </c>
      <c r="R5109" s="4">
        <v>359568</v>
      </c>
      <c r="S5109" t="s">
        <v>21383</v>
      </c>
      <c r="T5109" s="6">
        <v>40909</v>
      </c>
      <c r="U5109" s="4">
        <v>150000</v>
      </c>
      <c r="V5109" t="s">
        <v>23739</v>
      </c>
      <c r="W5109" t="s">
        <v>21383</v>
      </c>
      <c r="X5109" t="s">
        <v>3</v>
      </c>
      <c r="AA5109" s="5" t="str">
        <f>HYPERLINK("https://www.zillow.com/homes/104-N-JULIAN-ST-NAPERVILLE-IL-60540_rb/","check listing")</f>
        <v>check listing</v>
      </c>
      <c r="AB5109" s="5" t="str">
        <f>HYPERLINK("https://propertylookup.dupagecounty.gov/Datalets/Datalet.aspx?UseSearch=no&amp;mode=sales&amp;pin=0818401009","sales record")</f>
        <v>sales record</v>
      </c>
      <c r="AC5109" t="s">
        <v>3</v>
      </c>
      <c r="AD5109">
        <v>41.776033</v>
      </c>
      <c r="AE5109">
        <v>-88.136268</v>
      </c>
      <c r="AF5109" s="5" t="str">
        <f>HYPERLINK("https://www.google.com/maps/search/?api=1&amp;query=41.776033,-88.136268","map")</f>
        <v>map</v>
      </c>
    </row>
    <row r="5110" spans="1:32">
      <c r="A5110" t="s">
        <v>5160</v>
      </c>
      <c r="B5110" t="s">
        <v>12690</v>
      </c>
      <c r="C5110" t="s">
        <v>15475</v>
      </c>
      <c r="D5110" t="s">
        <v>16206</v>
      </c>
      <c r="E5110" t="s">
        <v>16217</v>
      </c>
      <c r="F5110" t="s">
        <v>16221</v>
      </c>
      <c r="G5110" t="s">
        <v>16277</v>
      </c>
      <c r="H5110" t="s">
        <v>16277</v>
      </c>
      <c r="I5110" t="s">
        <v>16353</v>
      </c>
      <c r="J5110" t="s">
        <v>16386</v>
      </c>
      <c r="K5110">
        <v>0.172</v>
      </c>
      <c r="L5110">
        <v>7472</v>
      </c>
      <c r="N5110" t="s">
        <v>16393</v>
      </c>
      <c r="O5110" s="4">
        <v>85953</v>
      </c>
      <c r="P5110" s="4">
        <v>0</v>
      </c>
      <c r="Q5110" s="4">
        <v>85953</v>
      </c>
      <c r="R5110" s="4">
        <v>257859</v>
      </c>
      <c r="S5110" t="s">
        <v>21384</v>
      </c>
      <c r="T5110" s="6">
        <v>40664</v>
      </c>
      <c r="U5110" s="4">
        <v>162000</v>
      </c>
      <c r="V5110" t="s">
        <v>23740</v>
      </c>
      <c r="W5110" t="s">
        <v>26611</v>
      </c>
      <c r="X5110" t="s">
        <v>3</v>
      </c>
      <c r="AA5110" s="5" t="str">
        <f>HYPERLINK("https://www.zillow.com/homes/10-N-HUFFMAN-ST-NAPERVILLE-IL-60540_rb/","check listing")</f>
        <v>check listing</v>
      </c>
      <c r="AB5110" s="5" t="str">
        <f>HYPERLINK("https://propertylookup.dupagecounty.gov/Datalets/Datalet.aspx?UseSearch=no&amp;mode=sales&amp;pin=0818406004","sales record")</f>
        <v>sales record</v>
      </c>
      <c r="AC5110" t="s">
        <v>3</v>
      </c>
      <c r="AD5110">
        <v>41.775066</v>
      </c>
      <c r="AE5110">
        <v>-88.135042</v>
      </c>
      <c r="AF5110" s="5" t="str">
        <f>HYPERLINK("https://www.google.com/maps/search/?api=1&amp;query=41.775066,-88.135042","map")</f>
        <v>map</v>
      </c>
    </row>
    <row r="5111" spans="1:32">
      <c r="A5111" t="s">
        <v>5161</v>
      </c>
      <c r="B5111" t="s">
        <v>12691</v>
      </c>
      <c r="C5111" t="s">
        <v>15478</v>
      </c>
      <c r="D5111" t="s">
        <v>16206</v>
      </c>
      <c r="E5111" t="s">
        <v>16217</v>
      </c>
      <c r="F5111" t="s">
        <v>16221</v>
      </c>
      <c r="G5111" t="s">
        <v>16277</v>
      </c>
      <c r="H5111" t="s">
        <v>16277</v>
      </c>
      <c r="I5111" t="s">
        <v>16353</v>
      </c>
      <c r="J5111" t="s">
        <v>16386</v>
      </c>
      <c r="K5111">
        <v>0.17</v>
      </c>
      <c r="L5111">
        <v>7401</v>
      </c>
      <c r="N5111" t="s">
        <v>16393</v>
      </c>
      <c r="O5111" s="4">
        <v>119856</v>
      </c>
      <c r="P5111" s="4">
        <v>0</v>
      </c>
      <c r="Q5111" s="4">
        <v>119856</v>
      </c>
      <c r="R5111" s="4">
        <v>359568</v>
      </c>
      <c r="S5111" t="s">
        <v>21385</v>
      </c>
      <c r="T5111" s="6">
        <v>45961</v>
      </c>
      <c r="U5111" s="4">
        <v>480000</v>
      </c>
      <c r="V5111" t="s">
        <v>23741</v>
      </c>
      <c r="W5111" t="s">
        <v>26612</v>
      </c>
      <c r="X5111" t="s">
        <v>3</v>
      </c>
      <c r="AA5111" s="5" t="str">
        <f>HYPERLINK("https://www.zillow.com/homes/719-N-BRAINARD-ST-NAPERVILLE-IL-60563_rb/","check listing")</f>
        <v>check listing</v>
      </c>
      <c r="AB5111" s="5" t="str">
        <f>HYPERLINK("https://propertylookup.dupagecounty.gov/Datalets/Datalet.aspx?UseSearch=no&amp;mode=sales&amp;pin=0818111011","sales record")</f>
        <v>sales record</v>
      </c>
      <c r="AC5111" t="s">
        <v>3</v>
      </c>
      <c r="AD5111">
        <v>41.783565</v>
      </c>
      <c r="AE5111">
        <v>-88.143523</v>
      </c>
      <c r="AF5111" s="5" t="str">
        <f>HYPERLINK("https://www.google.com/maps/search/?api=1&amp;query=41.783565,-88.143523","map")</f>
        <v>map</v>
      </c>
    </row>
    <row r="5112" spans="1:32">
      <c r="A5112" t="s">
        <v>5162</v>
      </c>
      <c r="B5112" t="s">
        <v>12692</v>
      </c>
      <c r="C5112" t="s">
        <v>15810</v>
      </c>
      <c r="D5112" t="s">
        <v>16206</v>
      </c>
      <c r="E5112" t="s">
        <v>16217</v>
      </c>
      <c r="F5112" t="s">
        <v>16221</v>
      </c>
      <c r="G5112" t="s">
        <v>16277</v>
      </c>
      <c r="H5112" t="s">
        <v>16277</v>
      </c>
      <c r="I5112" t="s">
        <v>16353</v>
      </c>
      <c r="J5112" t="s">
        <v>16386</v>
      </c>
      <c r="K5112">
        <v>0.154</v>
      </c>
      <c r="L5112">
        <v>6699</v>
      </c>
      <c r="M5112">
        <v>1188</v>
      </c>
      <c r="N5112" t="s">
        <v>16393</v>
      </c>
      <c r="O5112" s="4">
        <v>107988</v>
      </c>
      <c r="P5112" s="4">
        <v>0</v>
      </c>
      <c r="Q5112" s="4">
        <v>107988</v>
      </c>
      <c r="R5112" s="4">
        <v>323964</v>
      </c>
      <c r="S5112" t="s">
        <v>21222</v>
      </c>
      <c r="T5112" s="6">
        <v>43617</v>
      </c>
      <c r="U5112" s="4">
        <v>182000</v>
      </c>
      <c r="V5112" t="s">
        <v>23739</v>
      </c>
      <c r="W5112" t="s">
        <v>26613</v>
      </c>
      <c r="X5112" t="s">
        <v>3</v>
      </c>
      <c r="AA5112" s="5" t="str">
        <f>HYPERLINK("https://www.zillow.com/homes/244-E-4TH-AVE-NAPERVILLE-IL-605404701_rb/","check listing")</f>
        <v>check listing</v>
      </c>
      <c r="AB5112" s="5" t="str">
        <f>HYPERLINK("https://propertylookup.dupagecounty.gov/Datalets/Datalet.aspx?UseSearch=no&amp;mode=sales&amp;pin=0818131012","sales record")</f>
        <v>sales record</v>
      </c>
      <c r="AC5112" t="s">
        <v>27871</v>
      </c>
      <c r="AD5112">
        <v>41.779352</v>
      </c>
      <c r="AE5112">
        <v>-88.14328999999999</v>
      </c>
      <c r="AF5112" s="5" t="str">
        <f>HYPERLINK("https://www.google.com/maps/search/?api=1&amp;query=41.779352,-88.14329","map")</f>
        <v>map</v>
      </c>
    </row>
    <row r="5113" spans="1:32">
      <c r="A5113" t="s">
        <v>5163</v>
      </c>
      <c r="B5113" t="s">
        <v>12476</v>
      </c>
      <c r="C5113" t="s">
        <v>15475</v>
      </c>
      <c r="D5113" t="s">
        <v>16206</v>
      </c>
      <c r="E5113" t="s">
        <v>16217</v>
      </c>
      <c r="F5113" t="s">
        <v>16221</v>
      </c>
      <c r="G5113" t="s">
        <v>16277</v>
      </c>
      <c r="H5113" t="s">
        <v>16277</v>
      </c>
      <c r="I5113" t="s">
        <v>16353</v>
      </c>
      <c r="J5113" t="s">
        <v>16386</v>
      </c>
      <c r="K5113">
        <v>0.137</v>
      </c>
      <c r="L5113">
        <v>5979</v>
      </c>
      <c r="N5113" t="s">
        <v>16393</v>
      </c>
      <c r="O5113" s="4">
        <v>105270</v>
      </c>
      <c r="P5113" s="4">
        <v>0</v>
      </c>
      <c r="Q5113" s="4">
        <v>105270</v>
      </c>
      <c r="R5113" s="4">
        <v>315810</v>
      </c>
      <c r="S5113" t="s">
        <v>21184</v>
      </c>
      <c r="X5113" t="s">
        <v>3</v>
      </c>
      <c r="AA5113" s="5" t="str">
        <f>HYPERLINK("https://www.zillow.com/homes/215-W-SPRING-AVE-NAPERVILLE-IL-60540_rb/","check listing")</f>
        <v>check listing</v>
      </c>
      <c r="AB5113" s="5" t="str">
        <f>HYPERLINK("https://propertylookup.dupagecounty.gov/Datalets/Datalet.aspx?UseSearch=no&amp;mode=sales&amp;pin=0713217031","sales record")</f>
        <v>sales record</v>
      </c>
      <c r="AC5113" t="s">
        <v>27872</v>
      </c>
      <c r="AD5113">
        <v>41.778677</v>
      </c>
      <c r="AE5113">
        <v>-88.151394</v>
      </c>
      <c r="AF5113" s="5" t="str">
        <f>HYPERLINK("https://www.google.com/maps/search/?api=1&amp;query=41.778677,-88.151394","map")</f>
        <v>map</v>
      </c>
    </row>
    <row r="5114" spans="1:32">
      <c r="A5114" t="s">
        <v>5164</v>
      </c>
      <c r="B5114" t="s">
        <v>12234</v>
      </c>
      <c r="C5114" t="s">
        <v>15768</v>
      </c>
      <c r="D5114" t="s">
        <v>16206</v>
      </c>
      <c r="E5114" t="s">
        <v>16217</v>
      </c>
      <c r="F5114" t="s">
        <v>16221</v>
      </c>
      <c r="G5114" t="s">
        <v>16277</v>
      </c>
      <c r="H5114" t="s">
        <v>16277</v>
      </c>
      <c r="I5114" t="s">
        <v>16353</v>
      </c>
      <c r="J5114" t="s">
        <v>16386</v>
      </c>
      <c r="K5114">
        <v>0.137</v>
      </c>
      <c r="L5114">
        <v>5951</v>
      </c>
      <c r="N5114" t="s">
        <v>16393</v>
      </c>
      <c r="O5114" s="4">
        <v>42215</v>
      </c>
      <c r="P5114" s="4">
        <v>0</v>
      </c>
      <c r="Q5114" s="4">
        <v>42215</v>
      </c>
      <c r="R5114" s="4">
        <v>126645</v>
      </c>
      <c r="S5114" t="s">
        <v>20946</v>
      </c>
      <c r="T5114" s="6">
        <v>41944</v>
      </c>
      <c r="U5114" s="4">
        <v>410000</v>
      </c>
      <c r="V5114" t="s">
        <v>23739</v>
      </c>
      <c r="W5114" t="s">
        <v>26614</v>
      </c>
      <c r="X5114" t="s">
        <v>3</v>
      </c>
      <c r="AA5114" s="5" t="str">
        <f>HYPERLINK("https://www.zillow.com/homes/127-S-WRIGHT-ST-NAPERVILLE-IL-605404959_rb/","check listing")</f>
        <v>check listing</v>
      </c>
      <c r="AB5114" s="5" t="str">
        <f>HYPERLINK("https://propertylookup.dupagecounty.gov/Datalets/Datalet.aspx?UseSearch=no&amp;mode=sales&amp;pin=0818322013","sales record")</f>
        <v>sales record</v>
      </c>
      <c r="AC5114" t="s">
        <v>27872</v>
      </c>
      <c r="AD5114">
        <v>41.773167</v>
      </c>
      <c r="AE5114">
        <v>-88.139948</v>
      </c>
      <c r="AF5114" s="5" t="str">
        <f>HYPERLINK("https://www.google.com/maps/search/?api=1&amp;query=41.773167,-88.139948","map")</f>
        <v>map</v>
      </c>
    </row>
    <row r="5115" spans="1:32">
      <c r="A5115" t="s">
        <v>5165</v>
      </c>
      <c r="B5115" t="s">
        <v>12693</v>
      </c>
      <c r="C5115" t="s">
        <v>15475</v>
      </c>
      <c r="D5115" t="s">
        <v>16206</v>
      </c>
      <c r="E5115" t="s">
        <v>16217</v>
      </c>
      <c r="F5115" t="s">
        <v>16221</v>
      </c>
      <c r="G5115" t="s">
        <v>16277</v>
      </c>
      <c r="H5115" t="s">
        <v>16277</v>
      </c>
      <c r="I5115" t="s">
        <v>16353</v>
      </c>
      <c r="J5115" t="s">
        <v>16386</v>
      </c>
      <c r="K5115">
        <v>0.136</v>
      </c>
      <c r="L5115">
        <v>5932</v>
      </c>
      <c r="N5115" t="s">
        <v>16394</v>
      </c>
      <c r="O5115" s="4">
        <v>18076</v>
      </c>
      <c r="P5115" s="4">
        <v>0</v>
      </c>
      <c r="Q5115" s="4">
        <v>18076</v>
      </c>
      <c r="R5115" s="4">
        <v>54228</v>
      </c>
      <c r="S5115" t="s">
        <v>20368</v>
      </c>
      <c r="X5115" t="s">
        <v>3</v>
      </c>
      <c r="AA5115" s="5" t="str">
        <f>HYPERLINK("https://www.zillow.com/homes/325-SPRING-AVE-NAPERVILLE-IL-60540_rb/","check listing")</f>
        <v>check listing</v>
      </c>
      <c r="AB5115" s="5" t="str">
        <f>HYPERLINK("https://propertylookup.dupagecounty.gov/Datalets/Datalet.aspx?UseSearch=no&amp;mode=sales&amp;pin=0713217012","sales record")</f>
        <v>sales record</v>
      </c>
      <c r="AC5115" t="s">
        <v>27872</v>
      </c>
      <c r="AD5115">
        <v>41.7788</v>
      </c>
      <c r="AE5115">
        <v>-88.15419199999999</v>
      </c>
      <c r="AF5115" s="5" t="str">
        <f>HYPERLINK("https://www.google.com/maps/search/?api=1&amp;query=41.7788,-88.154192","map")</f>
        <v>map</v>
      </c>
    </row>
    <row r="5116" spans="1:32">
      <c r="A5116" t="s">
        <v>5166</v>
      </c>
      <c r="B5116" t="s">
        <v>12694</v>
      </c>
      <c r="C5116" t="s">
        <v>15475</v>
      </c>
      <c r="D5116" t="s">
        <v>16206</v>
      </c>
      <c r="E5116" t="s">
        <v>16217</v>
      </c>
      <c r="F5116" t="s">
        <v>16221</v>
      </c>
      <c r="G5116" t="s">
        <v>16277</v>
      </c>
      <c r="H5116" t="s">
        <v>16277</v>
      </c>
      <c r="I5116" t="s">
        <v>16353</v>
      </c>
      <c r="J5116" t="s">
        <v>16386</v>
      </c>
      <c r="K5116">
        <v>0.13</v>
      </c>
      <c r="L5116">
        <v>5662</v>
      </c>
      <c r="N5116" t="s">
        <v>16394</v>
      </c>
      <c r="O5116" s="4">
        <v>23275</v>
      </c>
      <c r="P5116" s="4">
        <v>0</v>
      </c>
      <c r="Q5116" s="4">
        <v>23275</v>
      </c>
      <c r="R5116" s="4">
        <v>69825</v>
      </c>
      <c r="S5116" t="s">
        <v>21376</v>
      </c>
      <c r="X5116" t="s">
        <v>3</v>
      </c>
      <c r="AA5116" s="5" t="str">
        <f>HYPERLINK("https://www.zillow.com/homes/513-SPRING-AVE-NAPERVILLE-IL-60540_rb/","check listing")</f>
        <v>check listing</v>
      </c>
      <c r="AB5116" s="5" t="str">
        <f>HYPERLINK("https://propertylookup.dupagecounty.gov/Datalets/Datalet.aspx?UseSearch=no&amp;mode=sales&amp;pin=0713216005","sales record")</f>
        <v>sales record</v>
      </c>
      <c r="AC5116" t="s">
        <v>27872</v>
      </c>
      <c r="AD5116">
        <v>41.779166</v>
      </c>
      <c r="AE5116">
        <v>-88.156407</v>
      </c>
      <c r="AF5116" s="5" t="str">
        <f>HYPERLINK("https://www.google.com/maps/search/?api=1&amp;query=41.779166,-88.156407","map")</f>
        <v>map</v>
      </c>
    </row>
    <row r="5117" spans="1:32">
      <c r="A5117" t="s">
        <v>5167</v>
      </c>
      <c r="B5117" t="s">
        <v>12695</v>
      </c>
      <c r="C5117" t="s">
        <v>15475</v>
      </c>
      <c r="D5117" t="s">
        <v>16206</v>
      </c>
      <c r="E5117" t="s">
        <v>16217</v>
      </c>
      <c r="F5117" t="s">
        <v>16221</v>
      </c>
      <c r="G5117" t="s">
        <v>16277</v>
      </c>
      <c r="H5117" t="s">
        <v>16277</v>
      </c>
      <c r="I5117" t="s">
        <v>16353</v>
      </c>
      <c r="J5117" t="s">
        <v>16386</v>
      </c>
      <c r="K5117">
        <v>0.09</v>
      </c>
      <c r="L5117">
        <v>3939</v>
      </c>
      <c r="N5117" t="s">
        <v>16394</v>
      </c>
      <c r="O5117" s="4">
        <v>15720</v>
      </c>
      <c r="P5117" s="4">
        <v>0</v>
      </c>
      <c r="Q5117" s="4">
        <v>15720</v>
      </c>
      <c r="R5117" s="4">
        <v>47160</v>
      </c>
      <c r="S5117" t="s">
        <v>21380</v>
      </c>
      <c r="X5117" t="s">
        <v>3</v>
      </c>
      <c r="AA5117" s="5" t="str">
        <f>HYPERLINK("https://www.zillow.com/homes/433-W-SPRING-AVE-NAPERVILLE-IL-60540_rb/","check listing")</f>
        <v>check listing</v>
      </c>
      <c r="AB5117" s="5" t="str">
        <f>HYPERLINK("https://propertylookup.dupagecounty.gov/Datalets/Datalet.aspx?UseSearch=no&amp;mode=sales&amp;pin=0713216022","sales record")</f>
        <v>sales record</v>
      </c>
      <c r="AC5117" t="s">
        <v>27872</v>
      </c>
      <c r="AD5117">
        <v>41.778852</v>
      </c>
      <c r="AE5117">
        <v>-88.15561099999999</v>
      </c>
      <c r="AF5117" s="5" t="str">
        <f>HYPERLINK("https://www.google.com/maps/search/?api=1&amp;query=41.778852,-88.155611","map")</f>
        <v>map</v>
      </c>
    </row>
    <row r="5118" spans="1:32">
      <c r="A5118" t="s">
        <v>5168</v>
      </c>
      <c r="B5118" t="s">
        <v>12696</v>
      </c>
      <c r="C5118" t="s">
        <v>15478</v>
      </c>
      <c r="D5118" t="s">
        <v>16206</v>
      </c>
      <c r="E5118" t="s">
        <v>16217</v>
      </c>
      <c r="F5118" t="s">
        <v>16221</v>
      </c>
      <c r="G5118" t="s">
        <v>16277</v>
      </c>
      <c r="H5118" t="s">
        <v>16277</v>
      </c>
      <c r="I5118" t="s">
        <v>16353</v>
      </c>
      <c r="J5118" t="s">
        <v>16386</v>
      </c>
      <c r="K5118">
        <v>0.08500000000000001</v>
      </c>
      <c r="L5118">
        <v>3709</v>
      </c>
      <c r="N5118" t="s">
        <v>16393</v>
      </c>
      <c r="O5118" s="4">
        <v>72290</v>
      </c>
      <c r="P5118" s="4">
        <v>0</v>
      </c>
      <c r="Q5118" s="4">
        <v>72290</v>
      </c>
      <c r="R5118" s="4">
        <v>216870</v>
      </c>
      <c r="S5118" t="s">
        <v>21386</v>
      </c>
      <c r="X5118" t="s">
        <v>3</v>
      </c>
      <c r="AA5118" s="5" t="str">
        <f>HYPERLINK("https://www.zillow.com/homes/717-N-BRAINARD-ST-NAPERVILLE-IL-60563_rb/","check listing")</f>
        <v>check listing</v>
      </c>
      <c r="AB5118" s="5" t="str">
        <f>HYPERLINK("https://propertylookup.dupagecounty.gov/Datalets/Datalet.aspx?UseSearch=no&amp;mode=sales&amp;pin=0818111015","sales record")</f>
        <v>sales record</v>
      </c>
      <c r="AC5118" t="s">
        <v>3</v>
      </c>
      <c r="AD5118">
        <v>41.78346</v>
      </c>
      <c r="AE5118">
        <v>-88.143529</v>
      </c>
      <c r="AF5118" s="5" t="str">
        <f>HYPERLINK("https://www.google.com/maps/search/?api=1&amp;query=41.78346,-88.143529","map")</f>
        <v>map</v>
      </c>
    </row>
    <row r="5119" spans="1:32">
      <c r="A5119" t="s">
        <v>5169</v>
      </c>
      <c r="B5119" t="s">
        <v>12697</v>
      </c>
      <c r="C5119" t="s">
        <v>15478</v>
      </c>
      <c r="D5119" t="s">
        <v>16206</v>
      </c>
      <c r="E5119" t="s">
        <v>16217</v>
      </c>
      <c r="F5119" t="s">
        <v>16221</v>
      </c>
      <c r="G5119" t="s">
        <v>16277</v>
      </c>
      <c r="H5119" t="s">
        <v>16277</v>
      </c>
      <c r="I5119" t="s">
        <v>16353</v>
      </c>
      <c r="J5119" t="s">
        <v>16386</v>
      </c>
      <c r="K5119">
        <v>0.08400000000000001</v>
      </c>
      <c r="L5119">
        <v>3677</v>
      </c>
      <c r="M5119">
        <v>1218</v>
      </c>
      <c r="N5119" t="s">
        <v>16393</v>
      </c>
      <c r="O5119" s="4">
        <v>72290</v>
      </c>
      <c r="P5119" s="4">
        <v>0</v>
      </c>
      <c r="Q5119" s="4">
        <v>72290</v>
      </c>
      <c r="R5119" s="4">
        <v>216870</v>
      </c>
      <c r="S5119" t="s">
        <v>21386</v>
      </c>
      <c r="X5119" t="s">
        <v>3</v>
      </c>
      <c r="AA5119" s="5" t="str">
        <f>HYPERLINK("https://www.zillow.com/homes/715-N-BRAINARD-ST-NAPERVILLE-IL-60563_rb/","check listing")</f>
        <v>check listing</v>
      </c>
      <c r="AB5119" s="5" t="str">
        <f>HYPERLINK("https://propertylookup.dupagecounty.gov/Datalets/Datalet.aspx?UseSearch=no&amp;mode=sales&amp;pin=0818111016","sales record")</f>
        <v>sales record</v>
      </c>
      <c r="AC5119" t="s">
        <v>11</v>
      </c>
      <c r="AD5119">
        <v>41.783391</v>
      </c>
      <c r="AE5119">
        <v>-88.143534</v>
      </c>
      <c r="AF5119" s="5" t="str">
        <f>HYPERLINK("https://www.google.com/maps/search/?api=1&amp;query=41.783391,-88.143534","map")</f>
        <v>map</v>
      </c>
    </row>
    <row r="5120" spans="1:32">
      <c r="A5120" t="s">
        <v>5170</v>
      </c>
      <c r="B5120" t="s">
        <v>12660</v>
      </c>
      <c r="C5120" t="s">
        <v>15475</v>
      </c>
      <c r="D5120" t="s">
        <v>16206</v>
      </c>
      <c r="E5120" t="s">
        <v>16217</v>
      </c>
      <c r="F5120" t="s">
        <v>16221</v>
      </c>
      <c r="G5120" t="s">
        <v>16277</v>
      </c>
      <c r="H5120" t="s">
        <v>16277</v>
      </c>
      <c r="I5120" t="s">
        <v>16353</v>
      </c>
      <c r="J5120" t="s">
        <v>16386</v>
      </c>
      <c r="K5120">
        <v>0.08400000000000001</v>
      </c>
      <c r="L5120">
        <v>3664</v>
      </c>
      <c r="M5120">
        <v>1598</v>
      </c>
      <c r="N5120" t="s">
        <v>16393</v>
      </c>
      <c r="O5120" s="4">
        <v>66094</v>
      </c>
      <c r="P5120" s="4">
        <v>0</v>
      </c>
      <c r="Q5120" s="4">
        <v>66094</v>
      </c>
      <c r="R5120" s="4">
        <v>198282</v>
      </c>
      <c r="S5120" t="s">
        <v>21362</v>
      </c>
      <c r="T5120" s="6">
        <v>45492</v>
      </c>
      <c r="U5120" s="4">
        <v>770000</v>
      </c>
      <c r="V5120" t="s">
        <v>23739</v>
      </c>
      <c r="W5120" t="s">
        <v>26596</v>
      </c>
      <c r="X5120" t="s">
        <v>3</v>
      </c>
      <c r="AA5120" s="5" t="str">
        <f>HYPERLINK("https://www.zillow.com/homes/11-N-COLUMBIA-ST-NAPERVILLE-IL-60540_rb/","check listing")</f>
        <v>check listing</v>
      </c>
      <c r="AB5120" s="5" t="str">
        <f>HYPERLINK("https://propertylookup.dupagecounty.gov/Datalets/Datalet.aspx?UseSearch=no&amp;mode=sales&amp;pin=0818403004","sales record")</f>
        <v>sales record</v>
      </c>
      <c r="AC5120" t="s">
        <v>27871</v>
      </c>
      <c r="AD5120">
        <v>41.77524</v>
      </c>
      <c r="AE5120">
        <v>-88.138426</v>
      </c>
      <c r="AF5120" s="5" t="str">
        <f>HYPERLINK("https://www.google.com/maps/search/?api=1&amp;query=41.77524,-88.138426","map")</f>
        <v>map</v>
      </c>
    </row>
    <row r="5121" spans="1:32">
      <c r="A5121" t="s">
        <v>5171</v>
      </c>
      <c r="B5121" t="s">
        <v>12698</v>
      </c>
      <c r="C5121" t="s">
        <v>15478</v>
      </c>
      <c r="D5121" t="s">
        <v>16206</v>
      </c>
      <c r="E5121" t="s">
        <v>16217</v>
      </c>
      <c r="F5121" t="s">
        <v>16221</v>
      </c>
      <c r="G5121" t="s">
        <v>16277</v>
      </c>
      <c r="H5121" t="s">
        <v>16277</v>
      </c>
      <c r="I5121" t="s">
        <v>16353</v>
      </c>
      <c r="J5121" t="s">
        <v>16386</v>
      </c>
      <c r="K5121">
        <v>0.08400000000000001</v>
      </c>
      <c r="L5121">
        <v>3638</v>
      </c>
      <c r="N5121" t="s">
        <v>16393</v>
      </c>
      <c r="O5121" s="4">
        <v>60017</v>
      </c>
      <c r="P5121" s="4">
        <v>0</v>
      </c>
      <c r="Q5121" s="4">
        <v>60017</v>
      </c>
      <c r="R5121" s="4">
        <v>180051</v>
      </c>
      <c r="S5121" t="s">
        <v>21387</v>
      </c>
      <c r="T5121" s="6">
        <v>45471</v>
      </c>
      <c r="U5121" s="4">
        <v>960000</v>
      </c>
      <c r="V5121" t="s">
        <v>23739</v>
      </c>
      <c r="W5121" t="s">
        <v>26615</v>
      </c>
      <c r="X5121" t="s">
        <v>3</v>
      </c>
      <c r="AA5121" s="5" t="str">
        <f>HYPERLINK("https://www.zillow.com/homes/628-N-ELLSWORTH-ST-NAPERVILLE-IL-60563_rb/","check listing")</f>
        <v>check listing</v>
      </c>
      <c r="AB5121" s="5" t="str">
        <f>HYPERLINK("https://propertylookup.dupagecounty.gov/Datalets/Datalet.aspx?UseSearch=no&amp;mode=sales&amp;pin=0818112003","sales record")</f>
        <v>sales record</v>
      </c>
      <c r="AC5121" t="s">
        <v>27872</v>
      </c>
      <c r="AD5121">
        <v>41.782663</v>
      </c>
      <c r="AE5121">
        <v>-88.14418000000001</v>
      </c>
      <c r="AF5121" s="5" t="str">
        <f>HYPERLINK("https://www.google.com/maps/search/?api=1&amp;query=41.782663,-88.14418","map")</f>
        <v>map</v>
      </c>
    </row>
    <row r="5122" spans="1:32">
      <c r="A5122" t="s">
        <v>5172</v>
      </c>
      <c r="B5122" t="s">
        <v>12699</v>
      </c>
      <c r="C5122" t="s">
        <v>15830</v>
      </c>
      <c r="D5122" t="s">
        <v>16207</v>
      </c>
      <c r="E5122" t="s">
        <v>16217</v>
      </c>
      <c r="F5122" t="s">
        <v>16222</v>
      </c>
      <c r="G5122" t="s">
        <v>16279</v>
      </c>
      <c r="H5122" t="s">
        <v>16279</v>
      </c>
      <c r="I5122" t="s">
        <v>16354</v>
      </c>
      <c r="J5122" t="s">
        <v>16385</v>
      </c>
      <c r="K5122">
        <v>1.18</v>
      </c>
      <c r="L5122">
        <v>51396</v>
      </c>
      <c r="N5122" t="s">
        <v>16392</v>
      </c>
      <c r="O5122" s="4">
        <v>137723</v>
      </c>
      <c r="P5122" s="4">
        <v>0</v>
      </c>
      <c r="Q5122" s="4">
        <v>137723</v>
      </c>
      <c r="R5122" s="4">
        <v>413169</v>
      </c>
      <c r="S5122" t="s">
        <v>21388</v>
      </c>
      <c r="T5122" s="6">
        <v>41760</v>
      </c>
      <c r="U5122" s="4">
        <v>1100000</v>
      </c>
      <c r="V5122" t="s">
        <v>23739</v>
      </c>
      <c r="W5122" t="s">
        <v>26616</v>
      </c>
      <c r="X5122" t="s">
        <v>3</v>
      </c>
      <c r="AA5122" s="5" t="str">
        <f>HYPERLINK("https://www.zillow.com/homes/525-E-IRVING-PARK-RD-ROSELLE-IL-60172_rb/","check listing")</f>
        <v>check listing</v>
      </c>
      <c r="AB5122" s="5" t="str">
        <f>HYPERLINK("https://propertylookup.dupagecounty.gov/Datalets/Datalet.aspx?UseSearch=no&amp;mode=sales&amp;pin=0202306034","sales record")</f>
        <v>sales record</v>
      </c>
      <c r="AC5122" t="s">
        <v>3</v>
      </c>
      <c r="AD5122">
        <v>41.980642</v>
      </c>
      <c r="AE5122">
        <v>-88.068389</v>
      </c>
      <c r="AF5122" s="5" t="str">
        <f>HYPERLINK("https://www.google.com/maps/search/?api=1&amp;query=41.980642,-88.068389","map")</f>
        <v>map</v>
      </c>
    </row>
    <row r="5123" spans="1:32">
      <c r="A5123" t="s">
        <v>5173</v>
      </c>
      <c r="B5123" t="s">
        <v>12700</v>
      </c>
      <c r="C5123" t="s">
        <v>15830</v>
      </c>
      <c r="D5123" t="s">
        <v>16207</v>
      </c>
      <c r="E5123" t="s">
        <v>16217</v>
      </c>
      <c r="F5123" t="s">
        <v>16222</v>
      </c>
      <c r="G5123" t="s">
        <v>16279</v>
      </c>
      <c r="H5123" t="s">
        <v>16279</v>
      </c>
      <c r="I5123" t="s">
        <v>16354</v>
      </c>
      <c r="J5123" t="s">
        <v>16385</v>
      </c>
      <c r="K5123">
        <v>0.78</v>
      </c>
      <c r="L5123">
        <v>33984</v>
      </c>
      <c r="M5123">
        <v>1122</v>
      </c>
      <c r="N5123" t="s">
        <v>16392</v>
      </c>
      <c r="O5123" s="4">
        <v>103430</v>
      </c>
      <c r="P5123" s="4">
        <v>0</v>
      </c>
      <c r="Q5123" s="4">
        <v>103430</v>
      </c>
      <c r="R5123" s="4">
        <v>310290</v>
      </c>
      <c r="S5123" t="s">
        <v>21389</v>
      </c>
      <c r="T5123" s="6">
        <v>44858</v>
      </c>
      <c r="U5123" s="4">
        <v>917000</v>
      </c>
      <c r="V5123" t="s">
        <v>23739</v>
      </c>
      <c r="W5123" t="s">
        <v>26617</v>
      </c>
      <c r="X5123" t="s">
        <v>3</v>
      </c>
      <c r="AA5123" s="5" t="str">
        <f>HYPERLINK("https://www.zillow.com/homes/675-E-IRVING-PARK-RD-ROSELLE-IL-60172_rb/","check listing")</f>
        <v>check listing</v>
      </c>
      <c r="AB5123" s="5" t="str">
        <f>HYPERLINK("https://propertylookup.dupagecounty.gov/Datalets/Datalet.aspx?UseSearch=no&amp;mode=sales&amp;pin=0202307013","sales record")</f>
        <v>sales record</v>
      </c>
      <c r="AC5123" t="s">
        <v>27871</v>
      </c>
      <c r="AD5123">
        <v>41.97963</v>
      </c>
      <c r="AE5123">
        <v>-88.064707</v>
      </c>
      <c r="AF5123" s="5" t="str">
        <f>HYPERLINK("https://www.google.com/maps/search/?api=1&amp;query=41.97963,-88.064707","map")</f>
        <v>map</v>
      </c>
    </row>
    <row r="5124" spans="1:32">
      <c r="A5124" t="s">
        <v>5174</v>
      </c>
      <c r="B5124" t="s">
        <v>12701</v>
      </c>
      <c r="C5124" t="s">
        <v>15830</v>
      </c>
      <c r="D5124" t="s">
        <v>16207</v>
      </c>
      <c r="E5124" t="s">
        <v>16217</v>
      </c>
      <c r="F5124" t="s">
        <v>16222</v>
      </c>
      <c r="G5124" t="s">
        <v>16279</v>
      </c>
      <c r="H5124" t="s">
        <v>16279</v>
      </c>
      <c r="I5124" t="s">
        <v>16354</v>
      </c>
      <c r="J5124" t="s">
        <v>16385</v>
      </c>
      <c r="K5124">
        <v>0.618</v>
      </c>
      <c r="L5124">
        <v>26941</v>
      </c>
      <c r="N5124" t="s">
        <v>16392</v>
      </c>
      <c r="O5124" s="4">
        <v>69770</v>
      </c>
      <c r="P5124" s="4">
        <v>0</v>
      </c>
      <c r="Q5124" s="4">
        <v>69770</v>
      </c>
      <c r="R5124" s="4">
        <v>209310</v>
      </c>
      <c r="S5124" t="s">
        <v>21390</v>
      </c>
      <c r="X5124" t="s">
        <v>3</v>
      </c>
      <c r="AA5124" s="5" t="str">
        <f>HYPERLINK("https://www.zillow.com/homes/333-E-IRVING-PARK-RD-ROSELLE-IL-60172_rb/","check listing")</f>
        <v>check listing</v>
      </c>
      <c r="AB5124" s="5" t="str">
        <f>HYPERLINK("https://propertylookup.dupagecounty.gov/Datalets/Datalet.aspx?UseSearch=no&amp;mode=sales&amp;pin=0203404014","sales record")</f>
        <v>sales record</v>
      </c>
      <c r="AC5124" t="s">
        <v>27872</v>
      </c>
      <c r="AD5124">
        <v>41.98327</v>
      </c>
      <c r="AE5124">
        <v>-88.07281</v>
      </c>
      <c r="AF5124" s="5" t="str">
        <f>HYPERLINK("https://www.google.com/maps/search/?api=1&amp;query=41.98327,-88.07281","map")</f>
        <v>map</v>
      </c>
    </row>
    <row r="5125" spans="1:32">
      <c r="A5125" t="s">
        <v>5175</v>
      </c>
      <c r="B5125" t="s">
        <v>12701</v>
      </c>
      <c r="C5125" t="s">
        <v>15830</v>
      </c>
      <c r="D5125" t="s">
        <v>16207</v>
      </c>
      <c r="E5125" t="s">
        <v>16217</v>
      </c>
      <c r="F5125" t="s">
        <v>16222</v>
      </c>
      <c r="G5125" t="s">
        <v>16279</v>
      </c>
      <c r="H5125" t="s">
        <v>16279</v>
      </c>
      <c r="I5125" t="s">
        <v>16354</v>
      </c>
      <c r="J5125" t="s">
        <v>16385</v>
      </c>
      <c r="K5125">
        <v>0.398</v>
      </c>
      <c r="L5125">
        <v>17330</v>
      </c>
      <c r="N5125" t="s">
        <v>16392</v>
      </c>
      <c r="O5125" s="4">
        <v>87711</v>
      </c>
      <c r="P5125" s="4">
        <v>0</v>
      </c>
      <c r="Q5125" s="4">
        <v>87711</v>
      </c>
      <c r="R5125" s="4">
        <v>263133</v>
      </c>
      <c r="S5125" t="s">
        <v>21390</v>
      </c>
      <c r="T5125" s="6">
        <v>37165</v>
      </c>
      <c r="U5125" s="4">
        <v>2016028</v>
      </c>
      <c r="V5125" t="s">
        <v>16232</v>
      </c>
      <c r="W5125" t="s">
        <v>26618</v>
      </c>
      <c r="X5125" t="s">
        <v>3</v>
      </c>
      <c r="AA5125" s="5" t="str">
        <f>HYPERLINK("https://www.zillow.com/homes/333-E-IRVING-PARK-RD-ROSELLE-IL-60172_rb/","check listing")</f>
        <v>check listing</v>
      </c>
      <c r="AB5125" s="5" t="str">
        <f>HYPERLINK("https://propertylookup.dupagecounty.gov/Datalets/Datalet.aspx?UseSearch=no&amp;mode=sales&amp;pin=0202301002","sales record")</f>
        <v>sales record</v>
      </c>
      <c r="AC5125" t="s">
        <v>27872</v>
      </c>
      <c r="AD5125">
        <v>41.982872</v>
      </c>
      <c r="AE5125">
        <v>-88.070971</v>
      </c>
      <c r="AF5125" s="5" t="str">
        <f>HYPERLINK("https://www.google.com/maps/search/?api=1&amp;query=41.982872,-88.070971","map")</f>
        <v>map</v>
      </c>
    </row>
    <row r="5126" spans="1:32">
      <c r="A5126" t="s">
        <v>5176</v>
      </c>
      <c r="B5126" t="s">
        <v>12700</v>
      </c>
      <c r="C5126" t="s">
        <v>15830</v>
      </c>
      <c r="D5126" t="s">
        <v>16207</v>
      </c>
      <c r="E5126" t="s">
        <v>16217</v>
      </c>
      <c r="F5126" t="s">
        <v>16222</v>
      </c>
      <c r="G5126" t="s">
        <v>16279</v>
      </c>
      <c r="H5126" t="s">
        <v>16279</v>
      </c>
      <c r="I5126" t="s">
        <v>16354</v>
      </c>
      <c r="J5126" t="s">
        <v>16385</v>
      </c>
      <c r="K5126">
        <v>0.299</v>
      </c>
      <c r="L5126">
        <v>13045</v>
      </c>
      <c r="N5126" t="s">
        <v>16392</v>
      </c>
      <c r="O5126" s="4">
        <v>40103</v>
      </c>
      <c r="P5126" s="4">
        <v>0</v>
      </c>
      <c r="Q5126" s="4">
        <v>40103</v>
      </c>
      <c r="R5126" s="4">
        <v>120309</v>
      </c>
      <c r="S5126" t="s">
        <v>21389</v>
      </c>
      <c r="T5126" s="6">
        <v>44858</v>
      </c>
      <c r="U5126" s="4">
        <v>917000</v>
      </c>
      <c r="V5126" t="s">
        <v>23739</v>
      </c>
      <c r="W5126" t="s">
        <v>26617</v>
      </c>
      <c r="X5126" t="s">
        <v>3</v>
      </c>
      <c r="AA5126" s="5" t="str">
        <f>HYPERLINK("https://www.zillow.com/homes/675-E-IRVING-PARK-RD-ROSELLE-IL-60172_rb/","check listing")</f>
        <v>check listing</v>
      </c>
      <c r="AB5126" s="5" t="str">
        <f>HYPERLINK("https://propertylookup.dupagecounty.gov/Datalets/Datalet.aspx?UseSearch=no&amp;mode=sales&amp;pin=0202307010","sales record")</f>
        <v>sales record</v>
      </c>
      <c r="AC5126" t="s">
        <v>27872</v>
      </c>
      <c r="AD5126">
        <v>41.980037</v>
      </c>
      <c r="AE5126">
        <v>-88.06399500000001</v>
      </c>
      <c r="AF5126" s="5" t="str">
        <f>HYPERLINK("https://www.google.com/maps/search/?api=1&amp;query=41.980037,-88.063995","map")</f>
        <v>map</v>
      </c>
    </row>
    <row r="5127" spans="1:32">
      <c r="A5127" t="s">
        <v>5177</v>
      </c>
      <c r="B5127" t="s">
        <v>12702</v>
      </c>
      <c r="C5127" t="s">
        <v>15830</v>
      </c>
      <c r="D5127" t="s">
        <v>16207</v>
      </c>
      <c r="E5127" t="s">
        <v>16217</v>
      </c>
      <c r="F5127" t="s">
        <v>16222</v>
      </c>
      <c r="G5127" t="s">
        <v>16279</v>
      </c>
      <c r="H5127" t="s">
        <v>16279</v>
      </c>
      <c r="I5127" t="s">
        <v>16354</v>
      </c>
      <c r="J5127" t="s">
        <v>16385</v>
      </c>
      <c r="K5127">
        <v>0.08699999999999999</v>
      </c>
      <c r="L5127">
        <v>3810</v>
      </c>
      <c r="N5127" t="s">
        <v>16392</v>
      </c>
      <c r="O5127" s="4">
        <v>12981</v>
      </c>
      <c r="P5127" s="4">
        <v>0</v>
      </c>
      <c r="Q5127" s="4">
        <v>12981</v>
      </c>
      <c r="R5127" s="4">
        <v>38943</v>
      </c>
      <c r="S5127" t="s">
        <v>21391</v>
      </c>
      <c r="T5127" s="6">
        <v>31898</v>
      </c>
      <c r="U5127" s="4">
        <v>70000</v>
      </c>
      <c r="X5127" t="s">
        <v>3</v>
      </c>
      <c r="AA5127" s="5" t="str">
        <f>HYPERLINK("https://www.zillow.com/homes/10923-E-MAIN-ST-ROSELLE-IL-60172_rb/","check listing")</f>
        <v>check listing</v>
      </c>
      <c r="AB5127" s="5" t="str">
        <f>HYPERLINK("https://propertylookup.dupagecounty.gov/Datalets/Datalet.aspx?UseSearch=no&amp;mode=sales&amp;pin=0203402008","sales record")</f>
        <v>sales record</v>
      </c>
      <c r="AC5127" t="s">
        <v>27872</v>
      </c>
      <c r="AD5127">
        <v>41.982752</v>
      </c>
      <c r="AE5127">
        <v>-88.076362</v>
      </c>
      <c r="AF5127" s="5" t="str">
        <f>HYPERLINK("https://www.google.com/maps/search/?api=1&amp;query=41.982752,-88.076362","map")</f>
        <v>map</v>
      </c>
    </row>
    <row r="5128" spans="1:32">
      <c r="A5128" t="s">
        <v>5178</v>
      </c>
      <c r="B5128" t="s">
        <v>12703</v>
      </c>
      <c r="C5128" t="s">
        <v>15830</v>
      </c>
      <c r="D5128" t="s">
        <v>16207</v>
      </c>
      <c r="E5128" t="s">
        <v>16218</v>
      </c>
      <c r="F5128" t="s">
        <v>16221</v>
      </c>
      <c r="G5128" t="s">
        <v>16241</v>
      </c>
      <c r="H5128" t="s">
        <v>16241</v>
      </c>
      <c r="I5128" t="s">
        <v>16355</v>
      </c>
      <c r="J5128" t="s">
        <v>16385</v>
      </c>
      <c r="K5128">
        <v>0.601</v>
      </c>
      <c r="L5128">
        <v>26179</v>
      </c>
      <c r="M5128">
        <v>3035</v>
      </c>
      <c r="N5128" t="s">
        <v>16393</v>
      </c>
      <c r="O5128" s="4">
        <v>65036</v>
      </c>
      <c r="P5128" s="4">
        <v>80062</v>
      </c>
      <c r="Q5128" s="4">
        <v>145098</v>
      </c>
      <c r="R5128" s="4">
        <v>435294</v>
      </c>
      <c r="S5128" t="s">
        <v>21392</v>
      </c>
      <c r="T5128" s="6">
        <v>36069</v>
      </c>
      <c r="U5128" s="4">
        <v>198000</v>
      </c>
      <c r="X5128" t="s">
        <v>3</v>
      </c>
      <c r="AA5128" s="5" t="str">
        <f>HYPERLINK("https://www.zillow.com/homes/10-E-WALNUT-ST-ROSELLE-IL-60172_rb/","check listing")</f>
        <v>check listing</v>
      </c>
      <c r="AB5128" s="5" t="str">
        <f>HYPERLINK("https://propertylookup.dupagecounty.gov/Datalets/Datalet.aspx?UseSearch=no&amp;mode=sales&amp;pin=0210200020","sales record")</f>
        <v>sales record</v>
      </c>
      <c r="AC5128" t="s">
        <v>3</v>
      </c>
      <c r="AD5128">
        <v>41.973825</v>
      </c>
      <c r="AE5128">
        <v>-88.079562</v>
      </c>
      <c r="AF5128" s="5" t="str">
        <f>HYPERLINK("https://www.google.com/maps/search/?api=1&amp;query=41.973825,-88.079562","map")</f>
        <v>map</v>
      </c>
    </row>
    <row r="5129" spans="1:32">
      <c r="A5129" t="s">
        <v>5179</v>
      </c>
      <c r="B5129" t="s">
        <v>12704</v>
      </c>
      <c r="C5129" t="s">
        <v>15830</v>
      </c>
      <c r="D5129" t="s">
        <v>16207</v>
      </c>
      <c r="E5129" t="s">
        <v>16218</v>
      </c>
      <c r="F5129" t="s">
        <v>16221</v>
      </c>
      <c r="G5129" t="s">
        <v>16241</v>
      </c>
      <c r="H5129" t="s">
        <v>16241</v>
      </c>
      <c r="I5129" t="s">
        <v>16355</v>
      </c>
      <c r="J5129" t="s">
        <v>16385</v>
      </c>
      <c r="K5129">
        <v>0.436</v>
      </c>
      <c r="L5129">
        <v>18991</v>
      </c>
      <c r="M5129">
        <v>3233</v>
      </c>
      <c r="N5129" t="s">
        <v>16393</v>
      </c>
      <c r="O5129" s="4">
        <v>51278</v>
      </c>
      <c r="P5129" s="4">
        <v>170044</v>
      </c>
      <c r="Q5129" s="4">
        <v>221322</v>
      </c>
      <c r="R5129" s="4">
        <v>663966</v>
      </c>
      <c r="S5129" t="s">
        <v>21393</v>
      </c>
      <c r="T5129" s="6">
        <v>35339</v>
      </c>
      <c r="U5129" s="4">
        <v>367750</v>
      </c>
      <c r="X5129" t="s">
        <v>3</v>
      </c>
      <c r="AA5129" s="5" t="str">
        <f>HYPERLINK("https://www.zillow.com/homes/10-WHIPPOORWILL-CT-ROSELLE-IL-60172_rb/","check listing")</f>
        <v>check listing</v>
      </c>
      <c r="AB5129" s="5" t="str">
        <f>HYPERLINK("https://propertylookup.dupagecounty.gov/Datalets/Datalet.aspx?UseSearch=no&amp;mode=sales&amp;pin=0204101030","sales record")</f>
        <v>sales record</v>
      </c>
      <c r="AC5129" t="s">
        <v>3</v>
      </c>
      <c r="AD5129">
        <v>41.983059</v>
      </c>
      <c r="AE5129">
        <v>-88.10968</v>
      </c>
      <c r="AF5129" s="5" t="str">
        <f>HYPERLINK("https://www.google.com/maps/search/?api=1&amp;query=41.983059,-88.10968","map")</f>
        <v>map</v>
      </c>
    </row>
    <row r="5130" spans="1:32">
      <c r="A5130" t="s">
        <v>5180</v>
      </c>
      <c r="B5130" t="s">
        <v>12705</v>
      </c>
      <c r="C5130" t="s">
        <v>15830</v>
      </c>
      <c r="D5130" t="s">
        <v>16207</v>
      </c>
      <c r="E5130" t="s">
        <v>16218</v>
      </c>
      <c r="F5130" t="s">
        <v>16221</v>
      </c>
      <c r="G5130" t="s">
        <v>16241</v>
      </c>
      <c r="H5130" t="s">
        <v>16241</v>
      </c>
      <c r="I5130" t="s">
        <v>16355</v>
      </c>
      <c r="J5130" t="s">
        <v>16385</v>
      </c>
      <c r="K5130">
        <v>0.412</v>
      </c>
      <c r="L5130">
        <v>17953</v>
      </c>
      <c r="M5130">
        <v>5343</v>
      </c>
      <c r="N5130" t="s">
        <v>16393</v>
      </c>
      <c r="O5130" s="4">
        <v>51351</v>
      </c>
      <c r="P5130" s="4">
        <v>187293</v>
      </c>
      <c r="Q5130" s="4">
        <v>238644</v>
      </c>
      <c r="R5130" s="4">
        <v>715932</v>
      </c>
      <c r="S5130" t="s">
        <v>21394</v>
      </c>
      <c r="T5130" s="6">
        <v>40299</v>
      </c>
      <c r="U5130" s="4">
        <v>435000</v>
      </c>
      <c r="V5130" t="s">
        <v>16232</v>
      </c>
      <c r="W5130" t="s">
        <v>26619</v>
      </c>
      <c r="X5130" t="s">
        <v>3</v>
      </c>
      <c r="AA5130" s="5" t="str">
        <f>HYPERLINK("https://www.zillow.com/homes/25-WHIPPOORWILL-CT-ROSELLE-IL-60172_rb/","check listing")</f>
        <v>check listing</v>
      </c>
      <c r="AB5130" s="5" t="str">
        <f>HYPERLINK("https://propertylookup.dupagecounty.gov/Datalets/Datalet.aspx?UseSearch=no&amp;mode=sales&amp;pin=0204101033","sales record")</f>
        <v>sales record</v>
      </c>
      <c r="AC5130" t="s">
        <v>3</v>
      </c>
      <c r="AD5130">
        <v>41.98348</v>
      </c>
      <c r="AE5130">
        <v>-88.108996</v>
      </c>
      <c r="AF5130" s="5" t="str">
        <f>HYPERLINK("https://www.google.com/maps/search/?api=1&amp;query=41.98348,-88.108996","map")</f>
        <v>map</v>
      </c>
    </row>
    <row r="5131" spans="1:32">
      <c r="A5131" t="s">
        <v>5181</v>
      </c>
      <c r="B5131" t="s">
        <v>12706</v>
      </c>
      <c r="C5131" t="s">
        <v>15831</v>
      </c>
      <c r="D5131" t="s">
        <v>16207</v>
      </c>
      <c r="E5131" t="s">
        <v>16218</v>
      </c>
      <c r="F5131" t="s">
        <v>16221</v>
      </c>
      <c r="G5131" t="s">
        <v>16241</v>
      </c>
      <c r="H5131" t="s">
        <v>16241</v>
      </c>
      <c r="I5131" t="s">
        <v>16355</v>
      </c>
      <c r="J5131" t="s">
        <v>16385</v>
      </c>
      <c r="K5131">
        <v>0.401</v>
      </c>
      <c r="L5131">
        <v>17453</v>
      </c>
      <c r="M5131">
        <v>3645</v>
      </c>
      <c r="N5131" t="s">
        <v>16393</v>
      </c>
      <c r="O5131" s="4">
        <v>51351</v>
      </c>
      <c r="P5131" s="4">
        <v>193305</v>
      </c>
      <c r="Q5131" s="4">
        <v>244656</v>
      </c>
      <c r="R5131" s="4">
        <v>733968</v>
      </c>
      <c r="S5131" t="s">
        <v>21395</v>
      </c>
      <c r="T5131" s="6">
        <v>35278</v>
      </c>
      <c r="U5131" s="4">
        <v>399000</v>
      </c>
      <c r="X5131" t="s">
        <v>3</v>
      </c>
      <c r="AA5131" s="5" t="str">
        <f>HYPERLINK("https://www.zillow.com/homes/15-WHIPPOORWILL-CT-ROSELLE-IL-601724728_rb/","check listing")</f>
        <v>check listing</v>
      </c>
      <c r="AB5131" s="5" t="str">
        <f>HYPERLINK("https://propertylookup.dupagecounty.gov/Datalets/Datalet.aspx?UseSearch=no&amp;mode=sales&amp;pin=0204101032","sales record")</f>
        <v>sales record</v>
      </c>
      <c r="AC5131" t="s">
        <v>3</v>
      </c>
      <c r="AD5131">
        <v>41.983026</v>
      </c>
      <c r="AE5131">
        <v>-88.108931</v>
      </c>
      <c r="AF5131" s="5" t="str">
        <f>HYPERLINK("https://www.google.com/maps/search/?api=1&amp;query=41.983026,-88.108931","map")</f>
        <v>map</v>
      </c>
    </row>
    <row r="5132" spans="1:32">
      <c r="A5132" t="s">
        <v>5182</v>
      </c>
      <c r="B5132" t="s">
        <v>12707</v>
      </c>
      <c r="C5132" t="s">
        <v>15832</v>
      </c>
      <c r="D5132" t="s">
        <v>16207</v>
      </c>
      <c r="E5132" t="s">
        <v>16218</v>
      </c>
      <c r="F5132" t="s">
        <v>16221</v>
      </c>
      <c r="G5132" t="s">
        <v>16241</v>
      </c>
      <c r="H5132" t="s">
        <v>16241</v>
      </c>
      <c r="I5132" t="s">
        <v>16355</v>
      </c>
      <c r="J5132" t="s">
        <v>16385</v>
      </c>
      <c r="K5132">
        <v>0.394</v>
      </c>
      <c r="L5132">
        <v>17141</v>
      </c>
      <c r="M5132">
        <v>3580</v>
      </c>
      <c r="N5132" t="s">
        <v>16393</v>
      </c>
      <c r="O5132" s="4">
        <v>58797</v>
      </c>
      <c r="P5132" s="4">
        <v>114853</v>
      </c>
      <c r="Q5132" s="4">
        <v>173650</v>
      </c>
      <c r="R5132" s="4">
        <v>520950</v>
      </c>
      <c r="S5132" t="s">
        <v>21396</v>
      </c>
      <c r="T5132" s="6">
        <v>36861</v>
      </c>
      <c r="U5132" s="4">
        <v>321500</v>
      </c>
      <c r="V5132" t="s">
        <v>23739</v>
      </c>
      <c r="W5132" t="s">
        <v>26620</v>
      </c>
      <c r="X5132" t="s">
        <v>3</v>
      </c>
      <c r="AA5132" s="5" t="str">
        <f>HYPERLINK("https://www.zillow.com/homes/595-MENSCHING-RD-ROSELLE-IL-601722881_rb/","check listing")</f>
        <v>check listing</v>
      </c>
      <c r="AB5132" s="5" t="str">
        <f>HYPERLINK("https://propertylookup.dupagecounty.gov/Datalets/Datalet.aspx?UseSearch=no&amp;mode=sales&amp;pin=0209202073","sales record")</f>
        <v>sales record</v>
      </c>
      <c r="AC5132" t="s">
        <v>3</v>
      </c>
      <c r="AD5132">
        <v>41.974025</v>
      </c>
      <c r="AE5132">
        <v>-88.096975</v>
      </c>
      <c r="AF5132" s="5" t="str">
        <f>HYPERLINK("https://www.google.com/maps/search/?api=1&amp;query=41.974025,-88.096975","map")</f>
        <v>map</v>
      </c>
    </row>
    <row r="5133" spans="1:32">
      <c r="A5133" t="s">
        <v>5183</v>
      </c>
      <c r="B5133" t="s">
        <v>12708</v>
      </c>
      <c r="C5133" t="s">
        <v>15830</v>
      </c>
      <c r="D5133" t="s">
        <v>16207</v>
      </c>
      <c r="E5133" t="s">
        <v>16218</v>
      </c>
      <c r="F5133" t="s">
        <v>16221</v>
      </c>
      <c r="G5133" t="s">
        <v>16241</v>
      </c>
      <c r="H5133" t="s">
        <v>16241</v>
      </c>
      <c r="I5133" t="s">
        <v>16355</v>
      </c>
      <c r="J5133" t="s">
        <v>16385</v>
      </c>
      <c r="K5133">
        <v>0.377</v>
      </c>
      <c r="L5133">
        <v>16421</v>
      </c>
      <c r="M5133">
        <v>1979</v>
      </c>
      <c r="N5133" t="s">
        <v>16393</v>
      </c>
      <c r="O5133" s="4">
        <v>45278</v>
      </c>
      <c r="P5133" s="4">
        <v>74575</v>
      </c>
      <c r="Q5133" s="4">
        <v>119853</v>
      </c>
      <c r="R5133" s="4">
        <v>359559</v>
      </c>
      <c r="S5133" t="s">
        <v>21397</v>
      </c>
      <c r="T5133" s="6">
        <v>30773</v>
      </c>
      <c r="U5133" s="4">
        <v>86255</v>
      </c>
      <c r="X5133" t="s">
        <v>3</v>
      </c>
      <c r="AA5133" s="5" t="str">
        <f>HYPERLINK("https://www.zillow.com/homes/55-RODENBERG-RD-ROSELLE-IL-60172_rb/","check listing")</f>
        <v>check listing</v>
      </c>
      <c r="AB5133" s="5" t="str">
        <f>HYPERLINK("https://propertylookup.dupagecounty.gov/Datalets/Datalet.aspx?UseSearch=no&amp;mode=sales&amp;pin=0204311011","sales record")</f>
        <v>sales record</v>
      </c>
      <c r="AC5133" t="s">
        <v>3</v>
      </c>
      <c r="AD5133">
        <v>41.982301</v>
      </c>
      <c r="AE5133">
        <v>-88.109886</v>
      </c>
      <c r="AF5133" s="5" t="str">
        <f>HYPERLINK("https://www.google.com/maps/search/?api=1&amp;query=41.982301,-88.109886","map")</f>
        <v>map</v>
      </c>
    </row>
    <row r="5134" spans="1:32">
      <c r="A5134" t="s">
        <v>5184</v>
      </c>
      <c r="B5134" t="s">
        <v>12709</v>
      </c>
      <c r="C5134" t="s">
        <v>15830</v>
      </c>
      <c r="D5134" t="s">
        <v>16207</v>
      </c>
      <c r="E5134" t="s">
        <v>16218</v>
      </c>
      <c r="F5134" t="s">
        <v>16221</v>
      </c>
      <c r="G5134" t="s">
        <v>16241</v>
      </c>
      <c r="H5134" t="s">
        <v>16241</v>
      </c>
      <c r="I5134" t="s">
        <v>16355</v>
      </c>
      <c r="J5134" t="s">
        <v>16385</v>
      </c>
      <c r="K5134">
        <v>0.37</v>
      </c>
      <c r="L5134">
        <v>16111</v>
      </c>
      <c r="M5134">
        <v>3225</v>
      </c>
      <c r="N5134" t="s">
        <v>16393</v>
      </c>
      <c r="O5134" s="4">
        <v>54064</v>
      </c>
      <c r="P5134" s="4">
        <v>163410</v>
      </c>
      <c r="Q5134" s="4">
        <v>217474</v>
      </c>
      <c r="R5134" s="4">
        <v>652422</v>
      </c>
      <c r="S5134" t="s">
        <v>21398</v>
      </c>
      <c r="T5134" s="6">
        <v>34394</v>
      </c>
      <c r="U5134" s="4">
        <v>79200</v>
      </c>
      <c r="X5134" t="s">
        <v>3</v>
      </c>
      <c r="AA5134" s="5" t="str">
        <f>HYPERLINK("https://www.zillow.com/homes/1190-BLUEBIRD-LN-ROSELLE-IL-60172_rb/","check listing")</f>
        <v>check listing</v>
      </c>
      <c r="AB5134" s="5" t="str">
        <f>HYPERLINK("https://propertylookup.dupagecounty.gov/Datalets/Datalet.aspx?UseSearch=no&amp;mode=sales&amp;pin=0204101074","sales record")</f>
        <v>sales record</v>
      </c>
      <c r="AC5134" t="s">
        <v>3</v>
      </c>
      <c r="AD5134">
        <v>41.985954</v>
      </c>
      <c r="AE5134">
        <v>-88.10979500000001</v>
      </c>
      <c r="AF5134" s="5" t="str">
        <f>HYPERLINK("https://www.google.com/maps/search/?api=1&amp;query=41.985954,-88.109795","map")</f>
        <v>map</v>
      </c>
    </row>
    <row r="5135" spans="1:32">
      <c r="A5135" t="s">
        <v>5185</v>
      </c>
      <c r="B5135" t="s">
        <v>12710</v>
      </c>
      <c r="C5135" t="s">
        <v>15833</v>
      </c>
      <c r="D5135" t="s">
        <v>16207</v>
      </c>
      <c r="E5135" t="s">
        <v>16218</v>
      </c>
      <c r="F5135" t="s">
        <v>16221</v>
      </c>
      <c r="G5135" t="s">
        <v>16241</v>
      </c>
      <c r="H5135" t="s">
        <v>16241</v>
      </c>
      <c r="I5135" t="s">
        <v>16355</v>
      </c>
      <c r="J5135" t="s">
        <v>16385</v>
      </c>
      <c r="K5135">
        <v>0.364</v>
      </c>
      <c r="L5135">
        <v>15873</v>
      </c>
      <c r="M5135">
        <v>2787</v>
      </c>
      <c r="N5135" t="s">
        <v>16393</v>
      </c>
      <c r="O5135" s="4">
        <v>45278</v>
      </c>
      <c r="P5135" s="4">
        <v>102354</v>
      </c>
      <c r="Q5135" s="4">
        <v>147632</v>
      </c>
      <c r="R5135" s="4">
        <v>442896</v>
      </c>
      <c r="S5135" t="s">
        <v>21399</v>
      </c>
      <c r="T5135" s="6">
        <v>45126</v>
      </c>
      <c r="U5135" s="4">
        <v>425000</v>
      </c>
      <c r="V5135" t="s">
        <v>23739</v>
      </c>
      <c r="W5135" t="s">
        <v>26621</v>
      </c>
      <c r="X5135" t="s">
        <v>3</v>
      </c>
      <c r="AA5135" s="5" t="str">
        <f>HYPERLINK("https://www.zillow.com/homes/810-BRANDYWINE-DR-ROSELLE-IL-601722805_rb/","check listing")</f>
        <v>check listing</v>
      </c>
      <c r="AB5135" s="5" t="str">
        <f>HYPERLINK("https://propertylookup.dupagecounty.gov/Datalets/Datalet.aspx?UseSearch=no&amp;mode=sales&amp;pin=0209114014","sales record")</f>
        <v>sales record</v>
      </c>
      <c r="AC5135" t="s">
        <v>3</v>
      </c>
      <c r="AD5135">
        <v>41.975346</v>
      </c>
      <c r="AE5135">
        <v>-88.100767</v>
      </c>
      <c r="AF5135" s="5" t="str">
        <f>HYPERLINK("https://www.google.com/maps/search/?api=1&amp;query=41.975346,-88.100767","map")</f>
        <v>map</v>
      </c>
    </row>
    <row r="5136" spans="1:32">
      <c r="A5136" t="s">
        <v>5186</v>
      </c>
      <c r="B5136" t="s">
        <v>12711</v>
      </c>
      <c r="C5136" t="s">
        <v>15830</v>
      </c>
      <c r="D5136" t="s">
        <v>16207</v>
      </c>
      <c r="E5136" t="s">
        <v>16218</v>
      </c>
      <c r="F5136" t="s">
        <v>16221</v>
      </c>
      <c r="G5136" t="s">
        <v>16241</v>
      </c>
      <c r="H5136" t="s">
        <v>16241</v>
      </c>
      <c r="I5136" t="s">
        <v>16355</v>
      </c>
      <c r="J5136" t="s">
        <v>16385</v>
      </c>
      <c r="K5136">
        <v>0.359</v>
      </c>
      <c r="L5136">
        <v>15641</v>
      </c>
      <c r="M5136">
        <v>3711</v>
      </c>
      <c r="N5136" t="s">
        <v>16393</v>
      </c>
      <c r="O5136" s="4">
        <v>39601</v>
      </c>
      <c r="P5136" s="4">
        <v>180873</v>
      </c>
      <c r="Q5136" s="4">
        <v>220474</v>
      </c>
      <c r="R5136" s="4">
        <v>661422</v>
      </c>
      <c r="S5136" t="s">
        <v>21400</v>
      </c>
      <c r="T5136" s="6">
        <v>37408</v>
      </c>
      <c r="U5136" s="4">
        <v>320000</v>
      </c>
      <c r="V5136" t="s">
        <v>23739</v>
      </c>
      <c r="W5136" t="s">
        <v>21400</v>
      </c>
      <c r="X5136" t="s">
        <v>3</v>
      </c>
      <c r="AA5136" s="5" t="str">
        <f>HYPERLINK("https://www.zillow.com/homes/146-S-ROSELLE-RD-ROSELLE-IL-60172_rb/","check listing")</f>
        <v>check listing</v>
      </c>
      <c r="AB5136" s="5" t="str">
        <f>HYPERLINK("https://propertylookup.dupagecounty.gov/Datalets/Datalet.aspx?UseSearch=no&amp;mode=sales&amp;pin=0203311019","sales record")</f>
        <v>sales record</v>
      </c>
      <c r="AC5136" t="s">
        <v>27873</v>
      </c>
      <c r="AD5136">
        <v>41.980504</v>
      </c>
      <c r="AE5136">
        <v>-88.080653</v>
      </c>
      <c r="AF5136" s="5" t="str">
        <f>HYPERLINK("https://www.google.com/maps/search/?api=1&amp;query=41.980504,-88.080653","map")</f>
        <v>map</v>
      </c>
    </row>
    <row r="5137" spans="1:32">
      <c r="A5137" t="s">
        <v>5187</v>
      </c>
      <c r="B5137" t="s">
        <v>12712</v>
      </c>
      <c r="C5137" t="s">
        <v>15830</v>
      </c>
      <c r="D5137" t="s">
        <v>16207</v>
      </c>
      <c r="E5137" t="s">
        <v>16218</v>
      </c>
      <c r="F5137" t="s">
        <v>16221</v>
      </c>
      <c r="G5137" t="s">
        <v>16241</v>
      </c>
      <c r="H5137" t="s">
        <v>16241</v>
      </c>
      <c r="I5137" t="s">
        <v>16355</v>
      </c>
      <c r="J5137" t="s">
        <v>16385</v>
      </c>
      <c r="K5137">
        <v>0.354</v>
      </c>
      <c r="L5137">
        <v>15404</v>
      </c>
      <c r="M5137">
        <v>5179</v>
      </c>
      <c r="N5137" t="s">
        <v>16393</v>
      </c>
      <c r="O5137" s="4">
        <v>54064</v>
      </c>
      <c r="P5137" s="4">
        <v>150154</v>
      </c>
      <c r="Q5137" s="4">
        <v>204218</v>
      </c>
      <c r="R5137" s="4">
        <v>612654</v>
      </c>
      <c r="S5137" t="s">
        <v>21401</v>
      </c>
      <c r="T5137" s="6">
        <v>37500</v>
      </c>
      <c r="U5137" s="4">
        <v>495000</v>
      </c>
      <c r="V5137" t="s">
        <v>16232</v>
      </c>
      <c r="W5137" t="s">
        <v>26622</v>
      </c>
      <c r="X5137" t="s">
        <v>3</v>
      </c>
      <c r="AA5137" s="5" t="str">
        <f>HYPERLINK("https://www.zillow.com/homes/145-FLAMINGO-DR-ROSELLE-IL-60172_rb/","check listing")</f>
        <v>check listing</v>
      </c>
      <c r="AB5137" s="5" t="str">
        <f>HYPERLINK("https://propertylookup.dupagecounty.gov/Datalets/Datalet.aspx?UseSearch=no&amp;mode=sales&amp;pin=0204101057","sales record")</f>
        <v>sales record</v>
      </c>
      <c r="AC5137" t="s">
        <v>3</v>
      </c>
      <c r="AD5137">
        <v>41.986193</v>
      </c>
      <c r="AE5137">
        <v>-88.10513</v>
      </c>
      <c r="AF5137" s="5" t="str">
        <f>HYPERLINK("https://www.google.com/maps/search/?api=1&amp;query=41.986193,-88.10513","map")</f>
        <v>map</v>
      </c>
    </row>
    <row r="5138" spans="1:32">
      <c r="A5138" t="s">
        <v>5188</v>
      </c>
      <c r="B5138" t="s">
        <v>12713</v>
      </c>
      <c r="C5138" t="s">
        <v>15830</v>
      </c>
      <c r="D5138" t="s">
        <v>16207</v>
      </c>
      <c r="E5138" t="s">
        <v>16218</v>
      </c>
      <c r="F5138" t="s">
        <v>16221</v>
      </c>
      <c r="G5138" t="s">
        <v>16241</v>
      </c>
      <c r="H5138" t="s">
        <v>16241</v>
      </c>
      <c r="I5138" t="s">
        <v>16355</v>
      </c>
      <c r="J5138" t="s">
        <v>16385</v>
      </c>
      <c r="K5138">
        <v>0.343</v>
      </c>
      <c r="L5138">
        <v>14960</v>
      </c>
      <c r="M5138">
        <v>2309</v>
      </c>
      <c r="N5138" t="s">
        <v>16393</v>
      </c>
      <c r="O5138" s="4">
        <v>45278</v>
      </c>
      <c r="P5138" s="4">
        <v>78424</v>
      </c>
      <c r="Q5138" s="4">
        <v>123702</v>
      </c>
      <c r="R5138" s="4">
        <v>371106</v>
      </c>
      <c r="S5138" t="s">
        <v>21402</v>
      </c>
      <c r="T5138" s="6">
        <v>41487</v>
      </c>
      <c r="U5138" s="4">
        <v>282000</v>
      </c>
      <c r="V5138" t="s">
        <v>23739</v>
      </c>
      <c r="W5138" t="s">
        <v>26623</v>
      </c>
      <c r="X5138" t="s">
        <v>3</v>
      </c>
      <c r="AA5138" s="5" t="str">
        <f>HYPERLINK("https://www.zillow.com/homes/1150-MENSCHING-RD-ROSELLE-IL-60172_rb/","check listing")</f>
        <v>check listing</v>
      </c>
      <c r="AB5138" s="5" t="str">
        <f>HYPERLINK("https://propertylookup.dupagecounty.gov/Datalets/Datalet.aspx?UseSearch=no&amp;mode=sales&amp;pin=0204311014","sales record")</f>
        <v>sales record</v>
      </c>
      <c r="AC5138" t="s">
        <v>3</v>
      </c>
      <c r="AD5138">
        <v>41.981773</v>
      </c>
      <c r="AE5138">
        <v>-88.109267</v>
      </c>
      <c r="AF5138" s="5" t="str">
        <f>HYPERLINK("https://www.google.com/maps/search/?api=1&amp;query=41.981773,-88.109267","map")</f>
        <v>map</v>
      </c>
    </row>
    <row r="5139" spans="1:32">
      <c r="A5139" t="s">
        <v>5189</v>
      </c>
      <c r="B5139" t="s">
        <v>12714</v>
      </c>
      <c r="C5139" t="s">
        <v>15830</v>
      </c>
      <c r="D5139" t="s">
        <v>16207</v>
      </c>
      <c r="E5139" t="s">
        <v>16218</v>
      </c>
      <c r="F5139" t="s">
        <v>16221</v>
      </c>
      <c r="G5139" t="s">
        <v>16241</v>
      </c>
      <c r="H5139" t="s">
        <v>16241</v>
      </c>
      <c r="I5139" t="s">
        <v>16355</v>
      </c>
      <c r="J5139" t="s">
        <v>16385</v>
      </c>
      <c r="K5139">
        <v>0.343</v>
      </c>
      <c r="L5139">
        <v>14922</v>
      </c>
      <c r="M5139">
        <v>3709</v>
      </c>
      <c r="N5139" t="s">
        <v>16393</v>
      </c>
      <c r="O5139" s="4">
        <v>51351</v>
      </c>
      <c r="P5139" s="4">
        <v>203871</v>
      </c>
      <c r="Q5139" s="4">
        <v>255222</v>
      </c>
      <c r="R5139" s="4">
        <v>765666</v>
      </c>
      <c r="S5139" t="s">
        <v>21403</v>
      </c>
      <c r="T5139" s="6">
        <v>40909</v>
      </c>
      <c r="U5139" s="4">
        <v>520500</v>
      </c>
      <c r="V5139" t="s">
        <v>23739</v>
      </c>
      <c r="W5139" t="s">
        <v>26624</v>
      </c>
      <c r="X5139" t="s">
        <v>3</v>
      </c>
      <c r="AA5139" s="5" t="str">
        <f>HYPERLINK("https://www.zillow.com/homes/80-CARDINAL-LN-ROSELLE-IL-60172_rb/","check listing")</f>
        <v>check listing</v>
      </c>
      <c r="AB5139" s="5" t="str">
        <f>HYPERLINK("https://propertylookup.dupagecounty.gov/Datalets/Datalet.aspx?UseSearch=no&amp;mode=sales&amp;pin=0204101080","sales record")</f>
        <v>sales record</v>
      </c>
      <c r="AC5139" t="s">
        <v>3</v>
      </c>
      <c r="AD5139">
        <v>41.984602</v>
      </c>
      <c r="AE5139">
        <v>-88.109993</v>
      </c>
      <c r="AF5139" s="5" t="str">
        <f>HYPERLINK("https://www.google.com/maps/search/?api=1&amp;query=41.984602,-88.109993","map")</f>
        <v>map</v>
      </c>
    </row>
    <row r="5140" spans="1:32">
      <c r="A5140" t="s">
        <v>5190</v>
      </c>
      <c r="B5140" t="s">
        <v>12715</v>
      </c>
      <c r="C5140" t="s">
        <v>15830</v>
      </c>
      <c r="D5140" t="s">
        <v>16207</v>
      </c>
      <c r="E5140" t="s">
        <v>16218</v>
      </c>
      <c r="F5140" t="s">
        <v>16221</v>
      </c>
      <c r="G5140" t="s">
        <v>16241</v>
      </c>
      <c r="H5140" t="s">
        <v>16241</v>
      </c>
      <c r="I5140" t="s">
        <v>16355</v>
      </c>
      <c r="J5140" t="s">
        <v>16385</v>
      </c>
      <c r="K5140">
        <v>0.327</v>
      </c>
      <c r="L5140">
        <v>14246</v>
      </c>
      <c r="M5140">
        <v>2144</v>
      </c>
      <c r="N5140" t="s">
        <v>16393</v>
      </c>
      <c r="O5140" s="4">
        <v>45278</v>
      </c>
      <c r="P5140" s="4">
        <v>100059</v>
      </c>
      <c r="Q5140" s="4">
        <v>145337</v>
      </c>
      <c r="R5140" s="4">
        <v>436011</v>
      </c>
      <c r="S5140" t="s">
        <v>21404</v>
      </c>
      <c r="T5140" s="6">
        <v>40513</v>
      </c>
      <c r="U5140" s="4">
        <v>265000</v>
      </c>
      <c r="V5140" t="s">
        <v>23740</v>
      </c>
      <c r="W5140" t="s">
        <v>26625</v>
      </c>
      <c r="X5140" t="s">
        <v>3</v>
      </c>
      <c r="AA5140" s="5" t="str">
        <f>HYPERLINK("https://www.zillow.com/homes/360-BRIGHTON-BAY-ROSELLE-IL-60172_rb/","check listing")</f>
        <v>check listing</v>
      </c>
      <c r="AB5140" s="5" t="str">
        <f>HYPERLINK("https://propertylookup.dupagecounty.gov/Datalets/Datalet.aspx?UseSearch=no&amp;mode=sales&amp;pin=0205401030","sales record")</f>
        <v>sales record</v>
      </c>
      <c r="AC5140" t="s">
        <v>3</v>
      </c>
      <c r="AD5140">
        <v>41.97586</v>
      </c>
      <c r="AE5140">
        <v>-88.115183</v>
      </c>
      <c r="AF5140" s="5" t="str">
        <f>HYPERLINK("https://www.google.com/maps/search/?api=1&amp;query=41.97586,-88.115183","map")</f>
        <v>map</v>
      </c>
    </row>
    <row r="5141" spans="1:32">
      <c r="A5141" t="s">
        <v>5191</v>
      </c>
      <c r="B5141" t="s">
        <v>12716</v>
      </c>
      <c r="C5141" t="s">
        <v>15830</v>
      </c>
      <c r="D5141" t="s">
        <v>16207</v>
      </c>
      <c r="E5141" t="s">
        <v>16218</v>
      </c>
      <c r="F5141" t="s">
        <v>16221</v>
      </c>
      <c r="G5141" t="s">
        <v>16241</v>
      </c>
      <c r="H5141" t="s">
        <v>16241</v>
      </c>
      <c r="I5141" t="s">
        <v>16355</v>
      </c>
      <c r="J5141" t="s">
        <v>16385</v>
      </c>
      <c r="K5141">
        <v>0.321</v>
      </c>
      <c r="L5141">
        <v>13976</v>
      </c>
      <c r="M5141">
        <v>1584</v>
      </c>
      <c r="N5141" t="s">
        <v>16393</v>
      </c>
      <c r="O5141" s="4">
        <v>45278</v>
      </c>
      <c r="P5141" s="4">
        <v>86408</v>
      </c>
      <c r="Q5141" s="4">
        <v>131686</v>
      </c>
      <c r="R5141" s="4">
        <v>395058</v>
      </c>
      <c r="S5141" t="s">
        <v>21405</v>
      </c>
      <c r="T5141" s="6">
        <v>34486</v>
      </c>
      <c r="U5141" s="4">
        <v>146000</v>
      </c>
      <c r="X5141" t="s">
        <v>3</v>
      </c>
      <c r="AA5141" s="5" t="str">
        <f>HYPERLINK("https://www.zillow.com/homes/410-N-AVEBURY-CT-ROSELLE-IL-60172_rb/","check listing")</f>
        <v>check listing</v>
      </c>
      <c r="AB5141" s="5" t="str">
        <f>HYPERLINK("https://propertylookup.dupagecounty.gov/Datalets/Datalet.aspx?UseSearch=no&amp;mode=sales&amp;pin=0209211005","sales record")</f>
        <v>sales record</v>
      </c>
      <c r="AC5141" t="s">
        <v>3</v>
      </c>
      <c r="AD5141">
        <v>41.97538</v>
      </c>
      <c r="AE5141">
        <v>-88.100206</v>
      </c>
      <c r="AF5141" s="5" t="str">
        <f>HYPERLINK("https://www.google.com/maps/search/?api=1&amp;query=41.97538,-88.100206","map")</f>
        <v>map</v>
      </c>
    </row>
    <row r="5142" spans="1:32">
      <c r="A5142" t="s">
        <v>5192</v>
      </c>
      <c r="B5142" t="s">
        <v>12717</v>
      </c>
      <c r="C5142" t="s">
        <v>15830</v>
      </c>
      <c r="D5142" t="s">
        <v>16207</v>
      </c>
      <c r="E5142" t="s">
        <v>16218</v>
      </c>
      <c r="F5142" t="s">
        <v>16221</v>
      </c>
      <c r="G5142" t="s">
        <v>16241</v>
      </c>
      <c r="H5142" t="s">
        <v>16241</v>
      </c>
      <c r="I5142" t="s">
        <v>16355</v>
      </c>
      <c r="J5142" t="s">
        <v>16385</v>
      </c>
      <c r="K5142">
        <v>0.315</v>
      </c>
      <c r="L5142">
        <v>13718</v>
      </c>
      <c r="M5142">
        <v>2537</v>
      </c>
      <c r="N5142" t="s">
        <v>16393</v>
      </c>
      <c r="O5142" s="4">
        <v>45278</v>
      </c>
      <c r="P5142" s="4">
        <v>72304</v>
      </c>
      <c r="Q5142" s="4">
        <v>117582</v>
      </c>
      <c r="R5142" s="4">
        <v>352746</v>
      </c>
      <c r="S5142" t="s">
        <v>21406</v>
      </c>
      <c r="T5142" s="6">
        <v>31686</v>
      </c>
      <c r="U5142" s="4">
        <v>115000</v>
      </c>
      <c r="X5142" t="s">
        <v>3</v>
      </c>
      <c r="AA5142" s="5" t="str">
        <f>HYPERLINK("https://www.zillow.com/homes/353-BRIGHTON-BAY-ROSELLE-IL-60172_rb/","check listing")</f>
        <v>check listing</v>
      </c>
      <c r="AB5142" s="5" t="str">
        <f>HYPERLINK("https://propertylookup.dupagecounty.gov/Datalets/Datalet.aspx?UseSearch=no&amp;mode=sales&amp;pin=0205401032","sales record")</f>
        <v>sales record</v>
      </c>
      <c r="AC5142" t="s">
        <v>3</v>
      </c>
      <c r="AD5142">
        <v>41.975927</v>
      </c>
      <c r="AE5142">
        <v>-88.114429</v>
      </c>
      <c r="AF5142" s="5" t="str">
        <f>HYPERLINK("https://www.google.com/maps/search/?api=1&amp;query=41.975927,-88.114429","map")</f>
        <v>map</v>
      </c>
    </row>
    <row r="5143" spans="1:32">
      <c r="A5143" t="s">
        <v>5193</v>
      </c>
      <c r="B5143" t="s">
        <v>12718</v>
      </c>
      <c r="C5143" t="s">
        <v>15834</v>
      </c>
      <c r="D5143" t="s">
        <v>16207</v>
      </c>
      <c r="E5143" t="s">
        <v>16218</v>
      </c>
      <c r="F5143" t="s">
        <v>16221</v>
      </c>
      <c r="G5143" t="s">
        <v>16241</v>
      </c>
      <c r="H5143" t="s">
        <v>16241</v>
      </c>
      <c r="I5143" t="s">
        <v>16355</v>
      </c>
      <c r="J5143" t="s">
        <v>16385</v>
      </c>
      <c r="K5143">
        <v>0.314</v>
      </c>
      <c r="L5143">
        <v>13682</v>
      </c>
      <c r="M5143">
        <v>3464</v>
      </c>
      <c r="N5143" t="s">
        <v>16393</v>
      </c>
      <c r="O5143" s="4">
        <v>51351</v>
      </c>
      <c r="P5143" s="4">
        <v>190663</v>
      </c>
      <c r="Q5143" s="4">
        <v>242014</v>
      </c>
      <c r="R5143" s="4">
        <v>726042</v>
      </c>
      <c r="S5143" t="s">
        <v>21407</v>
      </c>
      <c r="T5143" s="6">
        <v>44501</v>
      </c>
      <c r="U5143" s="4">
        <v>617000</v>
      </c>
      <c r="V5143" t="s">
        <v>23740</v>
      </c>
      <c r="W5143" t="s">
        <v>26626</v>
      </c>
      <c r="X5143" t="s">
        <v>3</v>
      </c>
      <c r="AA5143" s="5" t="str">
        <f>HYPERLINK("https://www.zillow.com/homes/70-CARDINAL-LN-ROSELLE-IL-601724723_rb/","check listing")</f>
        <v>check listing</v>
      </c>
      <c r="AB5143" s="5" t="str">
        <f>HYPERLINK("https://propertylookup.dupagecounty.gov/Datalets/Datalet.aspx?UseSearch=no&amp;mode=sales&amp;pin=0204101081","sales record")</f>
        <v>sales record</v>
      </c>
      <c r="AC5143" t="s">
        <v>3</v>
      </c>
      <c r="AD5143">
        <v>41.984506</v>
      </c>
      <c r="AE5143">
        <v>-88.109746</v>
      </c>
      <c r="AF5143" s="5" t="str">
        <f>HYPERLINK("https://www.google.com/maps/search/?api=1&amp;query=41.984506,-88.109746","map")</f>
        <v>map</v>
      </c>
    </row>
    <row r="5144" spans="1:32">
      <c r="A5144" t="s">
        <v>5194</v>
      </c>
      <c r="B5144" t="s">
        <v>12719</v>
      </c>
      <c r="C5144" t="s">
        <v>15835</v>
      </c>
      <c r="D5144" t="s">
        <v>16207</v>
      </c>
      <c r="E5144" t="s">
        <v>16218</v>
      </c>
      <c r="F5144" t="s">
        <v>16221</v>
      </c>
      <c r="G5144" t="s">
        <v>16241</v>
      </c>
      <c r="H5144" t="s">
        <v>16241</v>
      </c>
      <c r="I5144" t="s">
        <v>16355</v>
      </c>
      <c r="J5144" t="s">
        <v>16385</v>
      </c>
      <c r="K5144">
        <v>0.313</v>
      </c>
      <c r="L5144">
        <v>13629</v>
      </c>
      <c r="M5144">
        <v>3463</v>
      </c>
      <c r="N5144" t="s">
        <v>16393</v>
      </c>
      <c r="O5144" s="4">
        <v>51278</v>
      </c>
      <c r="P5144" s="4">
        <v>218800</v>
      </c>
      <c r="Q5144" s="4">
        <v>270078</v>
      </c>
      <c r="R5144" s="4">
        <v>810234</v>
      </c>
      <c r="S5144" t="s">
        <v>21408</v>
      </c>
      <c r="T5144" s="6">
        <v>43497</v>
      </c>
      <c r="U5144" s="4">
        <v>530000</v>
      </c>
      <c r="V5144" t="s">
        <v>23739</v>
      </c>
      <c r="W5144" t="s">
        <v>26627</v>
      </c>
      <c r="X5144" t="s">
        <v>3</v>
      </c>
      <c r="AA5144" s="5" t="str">
        <f>HYPERLINK("https://www.zillow.com/homes/1085-FLAMINGO-DR-ROSELLE-IL-601724731_rb/","check listing")</f>
        <v>check listing</v>
      </c>
      <c r="AB5144" s="5" t="str">
        <f>HYPERLINK("https://propertylookup.dupagecounty.gov/Datalets/Datalet.aspx?UseSearch=no&amp;mode=sales&amp;pin=0204101044","sales record")</f>
        <v>sales record</v>
      </c>
      <c r="AC5144" t="s">
        <v>3</v>
      </c>
      <c r="AD5144">
        <v>41.98299</v>
      </c>
      <c r="AE5144">
        <v>-88.10735200000001</v>
      </c>
      <c r="AF5144" s="5" t="str">
        <f>HYPERLINK("https://www.google.com/maps/search/?api=1&amp;query=41.98299,-88.107352","map")</f>
        <v>map</v>
      </c>
    </row>
    <row r="5145" spans="1:32">
      <c r="A5145" t="s">
        <v>5195</v>
      </c>
      <c r="B5145" t="s">
        <v>12720</v>
      </c>
      <c r="C5145" t="s">
        <v>15830</v>
      </c>
      <c r="D5145" t="s">
        <v>16207</v>
      </c>
      <c r="E5145" t="s">
        <v>16218</v>
      </c>
      <c r="F5145" t="s">
        <v>16221</v>
      </c>
      <c r="G5145" t="s">
        <v>16241</v>
      </c>
      <c r="H5145" t="s">
        <v>16241</v>
      </c>
      <c r="I5145" t="s">
        <v>16355</v>
      </c>
      <c r="J5145" t="s">
        <v>16385</v>
      </c>
      <c r="K5145">
        <v>0.313</v>
      </c>
      <c r="L5145">
        <v>13619</v>
      </c>
      <c r="M5145">
        <v>2143</v>
      </c>
      <c r="N5145" t="s">
        <v>16393</v>
      </c>
      <c r="O5145" s="4">
        <v>58797</v>
      </c>
      <c r="P5145" s="4">
        <v>168861</v>
      </c>
      <c r="Q5145" s="4">
        <v>227658</v>
      </c>
      <c r="R5145" s="4">
        <v>682974</v>
      </c>
      <c r="S5145" t="s">
        <v>21409</v>
      </c>
      <c r="T5145" s="6">
        <v>35735</v>
      </c>
      <c r="U5145" s="4">
        <v>288045</v>
      </c>
      <c r="X5145" t="s">
        <v>3</v>
      </c>
      <c r="AA5145" s="5" t="str">
        <f>HYPERLINK("https://www.zillow.com/homes/550-PRIMROSE-CIR-ROSELLE-IL-60172_rb/","check listing")</f>
        <v>check listing</v>
      </c>
      <c r="AB5145" s="5" t="str">
        <f>HYPERLINK("https://propertylookup.dupagecounty.gov/Datalets/Datalet.aspx?UseSearch=no&amp;mode=sales&amp;pin=0209202077","sales record")</f>
        <v>sales record</v>
      </c>
      <c r="AC5145" t="s">
        <v>3</v>
      </c>
      <c r="AD5145">
        <v>41.973089</v>
      </c>
      <c r="AE5145">
        <v>-88.096958</v>
      </c>
      <c r="AF5145" s="5" t="str">
        <f>HYPERLINK("https://www.google.com/maps/search/?api=1&amp;query=41.973089,-88.096958","map")</f>
        <v>map</v>
      </c>
    </row>
    <row r="5146" spans="1:32">
      <c r="A5146" t="s">
        <v>5196</v>
      </c>
      <c r="B5146" t="s">
        <v>12721</v>
      </c>
      <c r="C5146" t="s">
        <v>15830</v>
      </c>
      <c r="D5146" t="s">
        <v>16207</v>
      </c>
      <c r="E5146" t="s">
        <v>16218</v>
      </c>
      <c r="F5146" t="s">
        <v>16221</v>
      </c>
      <c r="G5146" t="s">
        <v>16241</v>
      </c>
      <c r="H5146" t="s">
        <v>16241</v>
      </c>
      <c r="I5146" t="s">
        <v>16355</v>
      </c>
      <c r="J5146" t="s">
        <v>16385</v>
      </c>
      <c r="K5146">
        <v>0.311</v>
      </c>
      <c r="L5146">
        <v>13547</v>
      </c>
      <c r="M5146">
        <v>1039</v>
      </c>
      <c r="N5146" t="s">
        <v>16393</v>
      </c>
      <c r="O5146" s="4">
        <v>49558</v>
      </c>
      <c r="P5146" s="4">
        <v>70176</v>
      </c>
      <c r="Q5146" s="4">
        <v>119734</v>
      </c>
      <c r="R5146" s="4">
        <v>359202</v>
      </c>
      <c r="S5146" t="s">
        <v>21410</v>
      </c>
      <c r="X5146" t="s">
        <v>3</v>
      </c>
      <c r="AA5146" s="5" t="str">
        <f>HYPERLINK("https://www.zillow.com/homes/40-E-HATTENDORF-AVE-ROSELLE-IL-60172_rb/","check listing")</f>
        <v>check listing</v>
      </c>
      <c r="AB5146" s="5" t="str">
        <f>HYPERLINK("https://propertylookup.dupagecounty.gov/Datalets/Datalet.aspx?UseSearch=no&amp;mode=sales&amp;pin=0203205011","sales record")</f>
        <v>sales record</v>
      </c>
      <c r="AC5146" t="s">
        <v>3</v>
      </c>
      <c r="AD5146">
        <v>41.985825</v>
      </c>
      <c r="AE5146">
        <v>-88.07853900000001</v>
      </c>
      <c r="AF5146" s="5" t="str">
        <f>HYPERLINK("https://www.google.com/maps/search/?api=1&amp;query=41.985825,-88.078539","map")</f>
        <v>map</v>
      </c>
    </row>
    <row r="5147" spans="1:32">
      <c r="A5147" t="s">
        <v>5197</v>
      </c>
      <c r="B5147" t="s">
        <v>12722</v>
      </c>
      <c r="C5147" t="s">
        <v>15830</v>
      </c>
      <c r="D5147" t="s">
        <v>16207</v>
      </c>
      <c r="E5147" t="s">
        <v>16218</v>
      </c>
      <c r="F5147" t="s">
        <v>16221</v>
      </c>
      <c r="G5147" t="s">
        <v>16241</v>
      </c>
      <c r="H5147" t="s">
        <v>16241</v>
      </c>
      <c r="I5147" t="s">
        <v>16355</v>
      </c>
      <c r="J5147" t="s">
        <v>16385</v>
      </c>
      <c r="K5147">
        <v>0.31</v>
      </c>
      <c r="L5147">
        <v>13511</v>
      </c>
      <c r="M5147">
        <v>1385</v>
      </c>
      <c r="N5147" t="s">
        <v>16393</v>
      </c>
      <c r="O5147" s="4">
        <v>38692</v>
      </c>
      <c r="P5147" s="4">
        <v>74934</v>
      </c>
      <c r="Q5147" s="4">
        <v>113626</v>
      </c>
      <c r="R5147" s="4">
        <v>340878</v>
      </c>
      <c r="S5147" t="s">
        <v>21411</v>
      </c>
      <c r="T5147" s="6">
        <v>42522</v>
      </c>
      <c r="U5147" s="4">
        <v>268000</v>
      </c>
      <c r="V5147" t="s">
        <v>23739</v>
      </c>
      <c r="W5147" t="s">
        <v>21411</v>
      </c>
      <c r="X5147" t="s">
        <v>3</v>
      </c>
      <c r="AA5147" s="5" t="str">
        <f>HYPERLINK("https://www.zillow.com/homes/981-WOODSIDE-DR-ROSELLE-IL-60172_rb/","check listing")</f>
        <v>check listing</v>
      </c>
      <c r="AB5147" s="5" t="str">
        <f>HYPERLINK("https://propertylookup.dupagecounty.gov/Datalets/Datalet.aspx?UseSearch=no&amp;mode=sales&amp;pin=0209305012","sales record")</f>
        <v>sales record</v>
      </c>
      <c r="AC5147" t="s">
        <v>3</v>
      </c>
      <c r="AD5147">
        <v>41.967388</v>
      </c>
      <c r="AE5147">
        <v>-88.104752</v>
      </c>
      <c r="AF5147" s="5" t="str">
        <f>HYPERLINK("https://www.google.com/maps/search/?api=1&amp;query=41.967388,-88.104752","map")</f>
        <v>map</v>
      </c>
    </row>
    <row r="5148" spans="1:32">
      <c r="A5148" t="s">
        <v>5198</v>
      </c>
      <c r="B5148" t="s">
        <v>12723</v>
      </c>
      <c r="C5148" t="s">
        <v>15830</v>
      </c>
      <c r="D5148" t="s">
        <v>16207</v>
      </c>
      <c r="E5148" t="s">
        <v>16218</v>
      </c>
      <c r="F5148" t="s">
        <v>16221</v>
      </c>
      <c r="G5148" t="s">
        <v>16241</v>
      </c>
      <c r="H5148" t="s">
        <v>16241</v>
      </c>
      <c r="I5148" t="s">
        <v>16355</v>
      </c>
      <c r="J5148" t="s">
        <v>16385</v>
      </c>
      <c r="K5148">
        <v>0.309</v>
      </c>
      <c r="L5148">
        <v>13439</v>
      </c>
      <c r="M5148">
        <v>1714</v>
      </c>
      <c r="N5148" t="s">
        <v>16393</v>
      </c>
      <c r="O5148" s="4">
        <v>38692</v>
      </c>
      <c r="P5148" s="4">
        <v>80300</v>
      </c>
      <c r="Q5148" s="4">
        <v>118992</v>
      </c>
      <c r="R5148" s="4">
        <v>356976</v>
      </c>
      <c r="S5148" t="s">
        <v>21412</v>
      </c>
      <c r="T5148" s="6">
        <v>39295</v>
      </c>
      <c r="U5148" s="4">
        <v>272000</v>
      </c>
      <c r="V5148" t="s">
        <v>16232</v>
      </c>
      <c r="W5148" t="s">
        <v>26628</v>
      </c>
      <c r="X5148" t="s">
        <v>3</v>
      </c>
      <c r="AA5148" s="5" t="str">
        <f>HYPERLINK("https://www.zillow.com/homes/585-ROMFORD-CT-ROSELLE-IL-60172_rb/","check listing")</f>
        <v>check listing</v>
      </c>
      <c r="AB5148" s="5" t="str">
        <f>HYPERLINK("https://propertylookup.dupagecounty.gov/Datalets/Datalet.aspx?UseSearch=no&amp;mode=sales&amp;pin=0209101028","sales record")</f>
        <v>sales record</v>
      </c>
      <c r="AC5148" t="s">
        <v>3</v>
      </c>
      <c r="AD5148">
        <v>41.972086</v>
      </c>
      <c r="AE5148">
        <v>-88.103235</v>
      </c>
      <c r="AF5148" s="5" t="str">
        <f>HYPERLINK("https://www.google.com/maps/search/?api=1&amp;query=41.972086,-88.103235","map")</f>
        <v>map</v>
      </c>
    </row>
    <row r="5149" spans="1:32">
      <c r="A5149" t="s">
        <v>5199</v>
      </c>
      <c r="B5149" t="s">
        <v>12724</v>
      </c>
      <c r="C5149" t="s">
        <v>15830</v>
      </c>
      <c r="D5149" t="s">
        <v>16207</v>
      </c>
      <c r="E5149" t="s">
        <v>16218</v>
      </c>
      <c r="F5149" t="s">
        <v>16221</v>
      </c>
      <c r="G5149" t="s">
        <v>16241</v>
      </c>
      <c r="H5149" t="s">
        <v>16241</v>
      </c>
      <c r="I5149" t="s">
        <v>16355</v>
      </c>
      <c r="J5149" t="s">
        <v>16385</v>
      </c>
      <c r="K5149">
        <v>0.308</v>
      </c>
      <c r="L5149">
        <v>13412</v>
      </c>
      <c r="M5149">
        <v>3431</v>
      </c>
      <c r="N5149" t="s">
        <v>16393</v>
      </c>
      <c r="O5149" s="4">
        <v>51278</v>
      </c>
      <c r="P5149" s="4">
        <v>189623</v>
      </c>
      <c r="Q5149" s="4">
        <v>240901</v>
      </c>
      <c r="R5149" s="4">
        <v>722703</v>
      </c>
      <c r="S5149" t="s">
        <v>21413</v>
      </c>
      <c r="T5149" s="6">
        <v>37316</v>
      </c>
      <c r="U5149" s="4">
        <v>539900</v>
      </c>
      <c r="V5149" t="s">
        <v>23739</v>
      </c>
      <c r="W5149" t="s">
        <v>26629</v>
      </c>
      <c r="X5149" t="s">
        <v>3</v>
      </c>
      <c r="AA5149" s="5" t="str">
        <f>HYPERLINK("https://www.zillow.com/homes/10-MEADOW-LARK-CT-ROSELLE-IL-60172_rb/","check listing")</f>
        <v>check listing</v>
      </c>
      <c r="AB5149" s="5" t="str">
        <f>HYPERLINK("https://propertylookup.dupagecounty.gov/Datalets/Datalet.aspx?UseSearch=no&amp;mode=sales&amp;pin=0204101040","sales record")</f>
        <v>sales record</v>
      </c>
      <c r="AC5149" t="s">
        <v>3</v>
      </c>
      <c r="AD5149">
        <v>41.983007</v>
      </c>
      <c r="AE5149">
        <v>-88.10832499999999</v>
      </c>
      <c r="AF5149" s="5" t="str">
        <f>HYPERLINK("https://www.google.com/maps/search/?api=1&amp;query=41.983007,-88.108325","map")</f>
        <v>map</v>
      </c>
    </row>
    <row r="5150" spans="1:32">
      <c r="A5150" t="s">
        <v>5200</v>
      </c>
      <c r="B5150" t="s">
        <v>12725</v>
      </c>
      <c r="C5150" t="s">
        <v>15834</v>
      </c>
      <c r="D5150" t="s">
        <v>16207</v>
      </c>
      <c r="E5150" t="s">
        <v>16218</v>
      </c>
      <c r="F5150" t="s">
        <v>16221</v>
      </c>
      <c r="G5150" t="s">
        <v>16241</v>
      </c>
      <c r="H5150" t="s">
        <v>16241</v>
      </c>
      <c r="I5150" t="s">
        <v>16355</v>
      </c>
      <c r="J5150" t="s">
        <v>16385</v>
      </c>
      <c r="K5150">
        <v>0.307</v>
      </c>
      <c r="L5150">
        <v>13354</v>
      </c>
      <c r="M5150">
        <v>2771</v>
      </c>
      <c r="N5150" t="s">
        <v>16393</v>
      </c>
      <c r="O5150" s="4">
        <v>51327</v>
      </c>
      <c r="P5150" s="4">
        <v>173989</v>
      </c>
      <c r="Q5150" s="4">
        <v>225316</v>
      </c>
      <c r="R5150" s="4">
        <v>675948</v>
      </c>
      <c r="S5150" t="s">
        <v>21414</v>
      </c>
      <c r="T5150" s="6">
        <v>34820</v>
      </c>
      <c r="U5150" s="4">
        <v>385000</v>
      </c>
      <c r="X5150" t="s">
        <v>3</v>
      </c>
      <c r="AA5150" s="5" t="str">
        <f>HYPERLINK("https://www.zillow.com/homes/130-CARDINAL-LN-ROSELLE-IL-601724723_rb/","check listing")</f>
        <v>check listing</v>
      </c>
      <c r="AB5150" s="5" t="str">
        <f>HYPERLINK("https://propertylookup.dupagecounty.gov/Datalets/Datalet.aspx?UseSearch=no&amp;mode=sales&amp;pin=0204101075","sales record")</f>
        <v>sales record</v>
      </c>
      <c r="AC5150" t="s">
        <v>3</v>
      </c>
      <c r="AD5150">
        <v>41.985921</v>
      </c>
      <c r="AE5150">
        <v>-88.11004800000001</v>
      </c>
      <c r="AF5150" s="5" t="str">
        <f>HYPERLINK("https://www.google.com/maps/search/?api=1&amp;query=41.985921,-88.110048","map")</f>
        <v>map</v>
      </c>
    </row>
    <row r="5151" spans="1:32">
      <c r="A5151" t="s">
        <v>5201</v>
      </c>
      <c r="B5151" t="s">
        <v>12726</v>
      </c>
      <c r="C5151" t="s">
        <v>15836</v>
      </c>
      <c r="D5151" t="s">
        <v>16207</v>
      </c>
      <c r="E5151" t="s">
        <v>16218</v>
      </c>
      <c r="F5151" t="s">
        <v>16221</v>
      </c>
      <c r="G5151" t="s">
        <v>16241</v>
      </c>
      <c r="H5151" t="s">
        <v>16241</v>
      </c>
      <c r="I5151" t="s">
        <v>16355</v>
      </c>
      <c r="J5151" t="s">
        <v>16385</v>
      </c>
      <c r="K5151">
        <v>0.305</v>
      </c>
      <c r="L5151">
        <v>13302</v>
      </c>
      <c r="M5151">
        <v>3925</v>
      </c>
      <c r="N5151" t="s">
        <v>16393</v>
      </c>
      <c r="O5151" s="4">
        <v>54793</v>
      </c>
      <c r="P5151" s="4">
        <v>233539</v>
      </c>
      <c r="Q5151" s="4">
        <v>288332</v>
      </c>
      <c r="R5151" s="4">
        <v>864996</v>
      </c>
      <c r="S5151" t="s">
        <v>21415</v>
      </c>
      <c r="T5151" s="6">
        <v>43983</v>
      </c>
      <c r="U5151" s="4">
        <v>580000</v>
      </c>
      <c r="V5151" t="s">
        <v>23739</v>
      </c>
      <c r="W5151" t="s">
        <v>26630</v>
      </c>
      <c r="X5151" t="s">
        <v>3</v>
      </c>
      <c r="AA5151" s="5" t="str">
        <f>HYPERLINK("https://www.zillow.com/homes/47-N-ANDOVER-DR-ROSELLE-IL-601724518_rb/","check listing")</f>
        <v>check listing</v>
      </c>
      <c r="AB5151" s="5" t="str">
        <f>HYPERLINK("https://propertylookup.dupagecounty.gov/Datalets/Datalet.aspx?UseSearch=no&amp;mode=sales&amp;pin=0205232001","sales record")</f>
        <v>sales record</v>
      </c>
      <c r="AC5151" t="s">
        <v>3</v>
      </c>
      <c r="AD5151">
        <v>41.983806</v>
      </c>
      <c r="AE5151">
        <v>-88.111914</v>
      </c>
      <c r="AF5151" s="5" t="str">
        <f>HYPERLINK("https://www.google.com/maps/search/?api=1&amp;query=41.983806,-88.111914","map")</f>
        <v>map</v>
      </c>
    </row>
    <row r="5152" spans="1:32">
      <c r="A5152" t="s">
        <v>5202</v>
      </c>
      <c r="B5152" t="s">
        <v>12727</v>
      </c>
      <c r="C5152" t="s">
        <v>15837</v>
      </c>
      <c r="D5152" t="s">
        <v>16207</v>
      </c>
      <c r="E5152" t="s">
        <v>16218</v>
      </c>
      <c r="F5152" t="s">
        <v>16221</v>
      </c>
      <c r="G5152" t="s">
        <v>16241</v>
      </c>
      <c r="H5152" t="s">
        <v>16241</v>
      </c>
      <c r="I5152" t="s">
        <v>16355</v>
      </c>
      <c r="J5152" t="s">
        <v>16385</v>
      </c>
      <c r="K5152">
        <v>0.305</v>
      </c>
      <c r="L5152">
        <v>13268</v>
      </c>
      <c r="M5152">
        <v>1712</v>
      </c>
      <c r="N5152" t="s">
        <v>16393</v>
      </c>
      <c r="O5152" s="4">
        <v>45278</v>
      </c>
      <c r="P5152" s="4">
        <v>107601</v>
      </c>
      <c r="Q5152" s="4">
        <v>152879</v>
      </c>
      <c r="R5152" s="4">
        <v>458637</v>
      </c>
      <c r="S5152" t="s">
        <v>21416</v>
      </c>
      <c r="T5152" s="6">
        <v>42856</v>
      </c>
      <c r="U5152" s="4">
        <v>325000</v>
      </c>
      <c r="V5152" t="s">
        <v>23740</v>
      </c>
      <c r="W5152" t="s">
        <v>26631</v>
      </c>
      <c r="X5152" t="s">
        <v>3</v>
      </c>
      <c r="AA5152" s="5" t="str">
        <f>HYPERLINK("https://www.zillow.com/homes/435-FORDHAM-PL-ROSELLE-IL-601722810_rb/","check listing")</f>
        <v>check listing</v>
      </c>
      <c r="AB5152" s="5" t="str">
        <f>HYPERLINK("https://propertylookup.dupagecounty.gov/Datalets/Datalet.aspx?UseSearch=no&amp;mode=sales&amp;pin=0209116007","sales record")</f>
        <v>sales record</v>
      </c>
      <c r="AC5152" t="s">
        <v>3</v>
      </c>
      <c r="AD5152">
        <v>41.974598</v>
      </c>
      <c r="AE5152">
        <v>-88.10150400000001</v>
      </c>
      <c r="AF5152" s="5" t="str">
        <f>HYPERLINK("https://www.google.com/maps/search/?api=1&amp;query=41.974598,-88.101504","map")</f>
        <v>map</v>
      </c>
    </row>
    <row r="5153" spans="1:32">
      <c r="A5153" t="s">
        <v>5203</v>
      </c>
      <c r="B5153" t="s">
        <v>12728</v>
      </c>
      <c r="C5153" t="s">
        <v>15830</v>
      </c>
      <c r="D5153" t="s">
        <v>16207</v>
      </c>
      <c r="E5153" t="s">
        <v>16218</v>
      </c>
      <c r="F5153" t="s">
        <v>16221</v>
      </c>
      <c r="G5153" t="s">
        <v>16241</v>
      </c>
      <c r="H5153" t="s">
        <v>16241</v>
      </c>
      <c r="I5153" t="s">
        <v>16355</v>
      </c>
      <c r="J5153" t="s">
        <v>16385</v>
      </c>
      <c r="K5153">
        <v>0.299</v>
      </c>
      <c r="L5153">
        <v>13037</v>
      </c>
      <c r="M5153">
        <v>3365</v>
      </c>
      <c r="N5153" t="s">
        <v>16393</v>
      </c>
      <c r="O5153" s="4">
        <v>51351</v>
      </c>
      <c r="P5153" s="4">
        <v>176045</v>
      </c>
      <c r="Q5153" s="4">
        <v>227396</v>
      </c>
      <c r="R5153" s="4">
        <v>682188</v>
      </c>
      <c r="S5153" t="s">
        <v>21417</v>
      </c>
      <c r="T5153" s="6">
        <v>35521</v>
      </c>
      <c r="U5153" s="4">
        <v>315000</v>
      </c>
      <c r="X5153" t="s">
        <v>3</v>
      </c>
      <c r="AA5153" s="5" t="str">
        <f>HYPERLINK("https://www.zillow.com/homes/5-WHIPPORWILL-CT-ROSELLE-IL-60172_rb/","check listing")</f>
        <v>check listing</v>
      </c>
      <c r="AB5153" s="5" t="str">
        <f>HYPERLINK("https://propertylookup.dupagecounty.gov/Datalets/Datalet.aspx?UseSearch=no&amp;mode=sales&amp;pin=0204101031","sales record")</f>
        <v>sales record</v>
      </c>
      <c r="AC5153" t="s">
        <v>3</v>
      </c>
      <c r="AD5153">
        <v>41.98299</v>
      </c>
      <c r="AE5153">
        <v>-88.109286</v>
      </c>
      <c r="AF5153" s="5" t="str">
        <f>HYPERLINK("https://www.google.com/maps/search/?api=1&amp;query=41.98299,-88.109286","map")</f>
        <v>map</v>
      </c>
    </row>
    <row r="5154" spans="1:32">
      <c r="A5154" t="s">
        <v>5204</v>
      </c>
      <c r="B5154" t="s">
        <v>12729</v>
      </c>
      <c r="C5154" t="s">
        <v>15830</v>
      </c>
      <c r="D5154" t="s">
        <v>16207</v>
      </c>
      <c r="E5154" t="s">
        <v>16218</v>
      </c>
      <c r="F5154" t="s">
        <v>16221</v>
      </c>
      <c r="G5154" t="s">
        <v>16241</v>
      </c>
      <c r="H5154" t="s">
        <v>16241</v>
      </c>
      <c r="I5154" t="s">
        <v>16355</v>
      </c>
      <c r="J5154" t="s">
        <v>16385</v>
      </c>
      <c r="K5154">
        <v>0.298</v>
      </c>
      <c r="L5154">
        <v>12960</v>
      </c>
      <c r="M5154">
        <v>3463</v>
      </c>
      <c r="N5154" t="s">
        <v>16393</v>
      </c>
      <c r="O5154" s="4">
        <v>51351</v>
      </c>
      <c r="P5154" s="4">
        <v>195098</v>
      </c>
      <c r="Q5154" s="4">
        <v>246449</v>
      </c>
      <c r="R5154" s="4">
        <v>739347</v>
      </c>
      <c r="S5154" t="s">
        <v>21418</v>
      </c>
      <c r="T5154" s="6">
        <v>34425</v>
      </c>
      <c r="U5154" s="4">
        <v>75100</v>
      </c>
      <c r="X5154" t="s">
        <v>3</v>
      </c>
      <c r="AA5154" s="5" t="str">
        <f>HYPERLINK("https://www.zillow.com/homes/60-CARDINAL-LN-ROSELLE-IL-60172_rb/","check listing")</f>
        <v>check listing</v>
      </c>
      <c r="AB5154" s="5" t="str">
        <f>HYPERLINK("https://propertylookup.dupagecounty.gov/Datalets/Datalet.aspx?UseSearch=no&amp;mode=sales&amp;pin=0204101082","sales record")</f>
        <v>sales record</v>
      </c>
      <c r="AC5154" t="s">
        <v>3</v>
      </c>
      <c r="AD5154">
        <v>41.984298</v>
      </c>
      <c r="AE5154">
        <v>-88.109706</v>
      </c>
      <c r="AF5154" s="5" t="str">
        <f>HYPERLINK("https://www.google.com/maps/search/?api=1&amp;query=41.984298,-88.109706","map")</f>
        <v>map</v>
      </c>
    </row>
    <row r="5155" spans="1:32">
      <c r="A5155" t="s">
        <v>5205</v>
      </c>
      <c r="B5155" t="s">
        <v>12730</v>
      </c>
      <c r="C5155" t="s">
        <v>15830</v>
      </c>
      <c r="D5155" t="s">
        <v>16207</v>
      </c>
      <c r="E5155" t="s">
        <v>16218</v>
      </c>
      <c r="F5155" t="s">
        <v>16221</v>
      </c>
      <c r="G5155" t="s">
        <v>16241</v>
      </c>
      <c r="H5155" t="s">
        <v>16241</v>
      </c>
      <c r="I5155" t="s">
        <v>16355</v>
      </c>
      <c r="J5155" t="s">
        <v>16385</v>
      </c>
      <c r="K5155">
        <v>0.297</v>
      </c>
      <c r="L5155">
        <v>12946</v>
      </c>
      <c r="M5155">
        <v>3232</v>
      </c>
      <c r="N5155" t="s">
        <v>16393</v>
      </c>
      <c r="O5155" s="4">
        <v>51351</v>
      </c>
      <c r="P5155" s="4">
        <v>171594</v>
      </c>
      <c r="Q5155" s="4">
        <v>222945</v>
      </c>
      <c r="R5155" s="4">
        <v>668835</v>
      </c>
      <c r="S5155" t="s">
        <v>21419</v>
      </c>
      <c r="T5155" s="6">
        <v>38565</v>
      </c>
      <c r="U5155" s="4">
        <v>627500</v>
      </c>
      <c r="V5155" t="s">
        <v>23739</v>
      </c>
      <c r="W5155" t="s">
        <v>26632</v>
      </c>
      <c r="X5155" t="s">
        <v>3</v>
      </c>
      <c r="AA5155" s="5" t="str">
        <f>HYPERLINK("https://www.zillow.com/homes/20-MEADOWLARK-CT-ROSELLE-IL-60172_rb/","check listing")</f>
        <v>check listing</v>
      </c>
      <c r="AB5155" s="5" t="str">
        <f>HYPERLINK("https://propertylookup.dupagecounty.gov/Datalets/Datalet.aspx?UseSearch=no&amp;mode=sales&amp;pin=0204101039","sales record")</f>
        <v>sales record</v>
      </c>
      <c r="AC5155" t="s">
        <v>3</v>
      </c>
      <c r="AD5155">
        <v>41.983032</v>
      </c>
      <c r="AE5155">
        <v>-88.108616</v>
      </c>
      <c r="AF5155" s="5" t="str">
        <f>HYPERLINK("https://www.google.com/maps/search/?api=1&amp;query=41.983032,-88.108616","map")</f>
        <v>map</v>
      </c>
    </row>
    <row r="5156" spans="1:32">
      <c r="A5156" t="s">
        <v>5206</v>
      </c>
      <c r="B5156" t="s">
        <v>12731</v>
      </c>
      <c r="C5156" t="s">
        <v>15838</v>
      </c>
      <c r="D5156" t="s">
        <v>16207</v>
      </c>
      <c r="E5156" t="s">
        <v>16218</v>
      </c>
      <c r="F5156" t="s">
        <v>16221</v>
      </c>
      <c r="G5156" t="s">
        <v>16241</v>
      </c>
      <c r="H5156" t="s">
        <v>16241</v>
      </c>
      <c r="I5156" t="s">
        <v>16355</v>
      </c>
      <c r="J5156" t="s">
        <v>16385</v>
      </c>
      <c r="K5156">
        <v>0.291</v>
      </c>
      <c r="L5156">
        <v>12665</v>
      </c>
      <c r="M5156">
        <v>2172</v>
      </c>
      <c r="N5156" t="s">
        <v>16393</v>
      </c>
      <c r="O5156" s="4">
        <v>58797</v>
      </c>
      <c r="P5156" s="4">
        <v>152892</v>
      </c>
      <c r="Q5156" s="4">
        <v>211689</v>
      </c>
      <c r="R5156" s="4">
        <v>635067</v>
      </c>
      <c r="S5156" t="s">
        <v>21420</v>
      </c>
      <c r="T5156" s="6">
        <v>45912</v>
      </c>
      <c r="U5156" s="4">
        <v>645000</v>
      </c>
      <c r="V5156" t="s">
        <v>23739</v>
      </c>
      <c r="W5156" t="s">
        <v>26633</v>
      </c>
      <c r="X5156" t="s">
        <v>3</v>
      </c>
      <c r="AA5156" s="5" t="str">
        <f>HYPERLINK("https://www.zillow.com/homes/525-PRIMROSE-CIR-ROSELLE-IL-601722880_rb/","check listing")</f>
        <v>check listing</v>
      </c>
      <c r="AB5156" s="5" t="str">
        <f>HYPERLINK("https://propertylookup.dupagecounty.gov/Datalets/Datalet.aspx?UseSearch=no&amp;mode=sales&amp;pin=0209202080","sales record")</f>
        <v>sales record</v>
      </c>
      <c r="AC5156" t="s">
        <v>3</v>
      </c>
      <c r="AD5156">
        <v>41.97293</v>
      </c>
      <c r="AE5156">
        <v>-88.095997</v>
      </c>
      <c r="AF5156" s="5" t="str">
        <f>HYPERLINK("https://www.google.com/maps/search/?api=1&amp;query=41.97293,-88.095997","map")</f>
        <v>map</v>
      </c>
    </row>
    <row r="5157" spans="1:32">
      <c r="A5157" t="s">
        <v>5207</v>
      </c>
      <c r="B5157" t="s">
        <v>12732</v>
      </c>
      <c r="C5157" t="s">
        <v>15830</v>
      </c>
      <c r="D5157" t="s">
        <v>16207</v>
      </c>
      <c r="E5157" t="s">
        <v>16218</v>
      </c>
      <c r="F5157" t="s">
        <v>16221</v>
      </c>
      <c r="G5157" t="s">
        <v>16241</v>
      </c>
      <c r="H5157" t="s">
        <v>16241</v>
      </c>
      <c r="I5157" t="s">
        <v>16355</v>
      </c>
      <c r="J5157" t="s">
        <v>16385</v>
      </c>
      <c r="K5157">
        <v>0.289</v>
      </c>
      <c r="L5157">
        <v>12588</v>
      </c>
      <c r="M5157">
        <v>4750</v>
      </c>
      <c r="N5157" t="s">
        <v>16393</v>
      </c>
      <c r="O5157" s="4">
        <v>51351</v>
      </c>
      <c r="P5157" s="4">
        <v>192588</v>
      </c>
      <c r="Q5157" s="4">
        <v>243939</v>
      </c>
      <c r="R5157" s="4">
        <v>731817</v>
      </c>
      <c r="S5157" t="s">
        <v>21421</v>
      </c>
      <c r="T5157" s="6">
        <v>43405</v>
      </c>
      <c r="U5157" s="4">
        <v>470000</v>
      </c>
      <c r="V5157" t="s">
        <v>23739</v>
      </c>
      <c r="W5157" t="s">
        <v>26634</v>
      </c>
      <c r="X5157" t="s">
        <v>3</v>
      </c>
      <c r="AA5157" s="5" t="str">
        <f>HYPERLINK("https://www.zillow.com/homes/30-WHIPPOORWILL-CT-ROSELLE-IL-60172_rb/","check listing")</f>
        <v>check listing</v>
      </c>
      <c r="AB5157" s="5" t="str">
        <f>HYPERLINK("https://propertylookup.dupagecounty.gov/Datalets/Datalet.aspx?UseSearch=no&amp;mode=sales&amp;pin=0204101028","sales record")</f>
        <v>sales record</v>
      </c>
      <c r="AC5157" t="s">
        <v>3</v>
      </c>
      <c r="AD5157">
        <v>41.983479</v>
      </c>
      <c r="AE5157">
        <v>-88.10976700000001</v>
      </c>
      <c r="AF5157" s="5" t="str">
        <f>HYPERLINK("https://www.google.com/maps/search/?api=1&amp;query=41.983479,-88.109767","map")</f>
        <v>map</v>
      </c>
    </row>
    <row r="5158" spans="1:32">
      <c r="A5158" t="s">
        <v>5208</v>
      </c>
      <c r="B5158" t="s">
        <v>12733</v>
      </c>
      <c r="C5158" t="s">
        <v>15830</v>
      </c>
      <c r="D5158" t="s">
        <v>16207</v>
      </c>
      <c r="E5158" t="s">
        <v>16218</v>
      </c>
      <c r="F5158" t="s">
        <v>16221</v>
      </c>
      <c r="G5158" t="s">
        <v>16241</v>
      </c>
      <c r="H5158" t="s">
        <v>16241</v>
      </c>
      <c r="I5158" t="s">
        <v>16355</v>
      </c>
      <c r="J5158" t="s">
        <v>16385</v>
      </c>
      <c r="K5158">
        <v>0.288</v>
      </c>
      <c r="L5158">
        <v>12536</v>
      </c>
      <c r="M5158">
        <v>2770</v>
      </c>
      <c r="N5158" t="s">
        <v>16393</v>
      </c>
      <c r="O5158" s="4">
        <v>51327</v>
      </c>
      <c r="P5158" s="4">
        <v>161462</v>
      </c>
      <c r="Q5158" s="4">
        <v>212789</v>
      </c>
      <c r="R5158" s="4">
        <v>638367</v>
      </c>
      <c r="S5158" t="s">
        <v>21422</v>
      </c>
      <c r="T5158" s="6">
        <v>37895</v>
      </c>
      <c r="U5158" s="4">
        <v>531000</v>
      </c>
      <c r="V5158" t="s">
        <v>23739</v>
      </c>
      <c r="W5158" t="s">
        <v>21422</v>
      </c>
      <c r="X5158" t="s">
        <v>3</v>
      </c>
      <c r="AA5158" s="5" t="str">
        <f>HYPERLINK("https://www.zillow.com/homes/90-CARDINAL-DR-ROSELLE-IL-60172_rb/","check listing")</f>
        <v>check listing</v>
      </c>
      <c r="AB5158" s="5" t="str">
        <f>HYPERLINK("https://propertylookup.dupagecounty.gov/Datalets/Datalet.aspx?UseSearch=no&amp;mode=sales&amp;pin=0204101079","sales record")</f>
        <v>sales record</v>
      </c>
      <c r="AC5158" t="s">
        <v>3</v>
      </c>
      <c r="AD5158">
        <v>41.984898</v>
      </c>
      <c r="AE5158">
        <v>-88.10991199999999</v>
      </c>
      <c r="AF5158" s="5" t="str">
        <f>HYPERLINK("https://www.google.com/maps/search/?api=1&amp;query=41.984898,-88.109912","map")</f>
        <v>map</v>
      </c>
    </row>
    <row r="5159" spans="1:32">
      <c r="A5159" t="s">
        <v>5209</v>
      </c>
      <c r="B5159" t="s">
        <v>12734</v>
      </c>
      <c r="C5159" t="s">
        <v>15830</v>
      </c>
      <c r="D5159" t="s">
        <v>16207</v>
      </c>
      <c r="E5159" t="s">
        <v>16218</v>
      </c>
      <c r="F5159" t="s">
        <v>16221</v>
      </c>
      <c r="G5159" t="s">
        <v>16241</v>
      </c>
      <c r="H5159" t="s">
        <v>16241</v>
      </c>
      <c r="I5159" t="s">
        <v>16355</v>
      </c>
      <c r="J5159" t="s">
        <v>16385</v>
      </c>
      <c r="K5159">
        <v>0.286</v>
      </c>
      <c r="L5159">
        <v>12449</v>
      </c>
      <c r="M5159">
        <v>1847</v>
      </c>
      <c r="N5159" t="s">
        <v>16393</v>
      </c>
      <c r="O5159" s="4">
        <v>58797</v>
      </c>
      <c r="P5159" s="4">
        <v>117737</v>
      </c>
      <c r="Q5159" s="4">
        <v>176534</v>
      </c>
      <c r="R5159" s="4">
        <v>529602</v>
      </c>
      <c r="S5159" t="s">
        <v>21423</v>
      </c>
      <c r="T5159" s="6">
        <v>35855</v>
      </c>
      <c r="U5159" s="4">
        <v>278621</v>
      </c>
      <c r="X5159" t="s">
        <v>3</v>
      </c>
      <c r="AA5159" s="5" t="str">
        <f>HYPERLINK("https://www.zillow.com/homes/530-PRIMROSE-CIR-ROSELLE-IL-60172_rb/","check listing")</f>
        <v>check listing</v>
      </c>
      <c r="AB5159" s="5" t="str">
        <f>HYPERLINK("https://propertylookup.dupagecounty.gov/Datalets/Datalet.aspx?UseSearch=no&amp;mode=sales&amp;pin=0209202075","sales record")</f>
        <v>sales record</v>
      </c>
      <c r="AC5159" t="s">
        <v>3</v>
      </c>
      <c r="AD5159">
        <v>41.973618</v>
      </c>
      <c r="AE5159">
        <v>-88.096934</v>
      </c>
      <c r="AF5159" s="5" t="str">
        <f>HYPERLINK("https://www.google.com/maps/search/?api=1&amp;query=41.973618,-88.096934","map")</f>
        <v>map</v>
      </c>
    </row>
    <row r="5160" spans="1:32">
      <c r="A5160" t="s">
        <v>5210</v>
      </c>
      <c r="B5160" t="s">
        <v>12735</v>
      </c>
      <c r="C5160" t="s">
        <v>15830</v>
      </c>
      <c r="D5160" t="s">
        <v>16207</v>
      </c>
      <c r="E5160" t="s">
        <v>16218</v>
      </c>
      <c r="F5160" t="s">
        <v>16221</v>
      </c>
      <c r="G5160" t="s">
        <v>16241</v>
      </c>
      <c r="H5160" t="s">
        <v>16241</v>
      </c>
      <c r="I5160" t="s">
        <v>16355</v>
      </c>
      <c r="J5160" t="s">
        <v>16385</v>
      </c>
      <c r="K5160">
        <v>0.284</v>
      </c>
      <c r="L5160">
        <v>12382</v>
      </c>
      <c r="M5160">
        <v>1500</v>
      </c>
      <c r="N5160" t="s">
        <v>16393</v>
      </c>
      <c r="O5160" s="4">
        <v>45278</v>
      </c>
      <c r="P5160" s="4">
        <v>105605</v>
      </c>
      <c r="Q5160" s="4">
        <v>150883</v>
      </c>
      <c r="R5160" s="4">
        <v>452649</v>
      </c>
      <c r="S5160" t="s">
        <v>21424</v>
      </c>
      <c r="T5160" s="6">
        <v>28581</v>
      </c>
      <c r="U5160" s="4">
        <v>77061</v>
      </c>
      <c r="X5160" t="s">
        <v>3</v>
      </c>
      <c r="AA5160" s="5" t="str">
        <f>HYPERLINK("https://www.zillow.com/homes/1110-HYGATE-DR-ROSELLE-IL-60172_rb/","check listing")</f>
        <v>check listing</v>
      </c>
      <c r="AB5160" s="5" t="str">
        <f>HYPERLINK("https://propertylookup.dupagecounty.gov/Datalets/Datalet.aspx?UseSearch=no&amp;mode=sales&amp;pin=0204309036","sales record")</f>
        <v>sales record</v>
      </c>
      <c r="AC5160" t="s">
        <v>3</v>
      </c>
      <c r="AD5160">
        <v>41.980711</v>
      </c>
      <c r="AE5160">
        <v>-88.10825800000001</v>
      </c>
      <c r="AF5160" s="5" t="str">
        <f>HYPERLINK("https://www.google.com/maps/search/?api=1&amp;query=41.980711,-88.108258","map")</f>
        <v>map</v>
      </c>
    </row>
    <row r="5161" spans="1:32">
      <c r="A5161" t="s">
        <v>5211</v>
      </c>
      <c r="B5161" t="s">
        <v>12736</v>
      </c>
      <c r="C5161" t="s">
        <v>15830</v>
      </c>
      <c r="D5161" t="s">
        <v>16207</v>
      </c>
      <c r="E5161" t="s">
        <v>16218</v>
      </c>
      <c r="F5161" t="s">
        <v>16221</v>
      </c>
      <c r="G5161" t="s">
        <v>16241</v>
      </c>
      <c r="H5161" t="s">
        <v>16241</v>
      </c>
      <c r="I5161" t="s">
        <v>16355</v>
      </c>
      <c r="J5161" t="s">
        <v>16385</v>
      </c>
      <c r="K5161">
        <v>0.282</v>
      </c>
      <c r="L5161">
        <v>12300</v>
      </c>
      <c r="M5161">
        <v>2144</v>
      </c>
      <c r="N5161" t="s">
        <v>16393</v>
      </c>
      <c r="O5161" s="4">
        <v>45278</v>
      </c>
      <c r="P5161" s="4">
        <v>95529</v>
      </c>
      <c r="Q5161" s="4">
        <v>140807</v>
      </c>
      <c r="R5161" s="4">
        <v>422421</v>
      </c>
      <c r="S5161" t="s">
        <v>21425</v>
      </c>
      <c r="T5161" s="6">
        <v>38200</v>
      </c>
      <c r="U5161" s="4">
        <v>329000</v>
      </c>
      <c r="V5161" t="s">
        <v>23739</v>
      </c>
      <c r="W5161" t="s">
        <v>26635</v>
      </c>
      <c r="X5161" t="s">
        <v>3</v>
      </c>
      <c r="AA5161" s="5" t="str">
        <f>HYPERLINK("https://www.zillow.com/homes/425-AVEBURY-CT-ROSELLE-IL-60172_rb/","check listing")</f>
        <v>check listing</v>
      </c>
      <c r="AB5161" s="5" t="str">
        <f>HYPERLINK("https://propertylookup.dupagecounty.gov/Datalets/Datalet.aspx?UseSearch=no&amp;mode=sales&amp;pin=0209211011","sales record")</f>
        <v>sales record</v>
      </c>
      <c r="AC5161" t="s">
        <v>3</v>
      </c>
      <c r="AD5161">
        <v>41.97504</v>
      </c>
      <c r="AE5161">
        <v>-88.09952</v>
      </c>
      <c r="AF5161" s="5" t="str">
        <f>HYPERLINK("https://www.google.com/maps/search/?api=1&amp;query=41.97504,-88.09952","map")</f>
        <v>map</v>
      </c>
    </row>
    <row r="5162" spans="1:32">
      <c r="A5162" t="s">
        <v>5212</v>
      </c>
      <c r="B5162" t="s">
        <v>12737</v>
      </c>
      <c r="C5162" t="s">
        <v>15830</v>
      </c>
      <c r="D5162" t="s">
        <v>16207</v>
      </c>
      <c r="E5162" t="s">
        <v>16218</v>
      </c>
      <c r="F5162" t="s">
        <v>16221</v>
      </c>
      <c r="G5162" t="s">
        <v>16241</v>
      </c>
      <c r="H5162" t="s">
        <v>16241</v>
      </c>
      <c r="I5162" t="s">
        <v>16355</v>
      </c>
      <c r="J5162" t="s">
        <v>16385</v>
      </c>
      <c r="K5162">
        <v>0.281</v>
      </c>
      <c r="L5162">
        <v>12240</v>
      </c>
      <c r="M5162">
        <v>2375</v>
      </c>
      <c r="N5162" t="s">
        <v>16393</v>
      </c>
      <c r="O5162" s="4">
        <v>28556</v>
      </c>
      <c r="P5162" s="4">
        <v>81520</v>
      </c>
      <c r="Q5162" s="4">
        <v>110076</v>
      </c>
      <c r="R5162" s="4">
        <v>330228</v>
      </c>
      <c r="S5162" t="s">
        <v>21426</v>
      </c>
      <c r="T5162" s="6">
        <v>43040</v>
      </c>
      <c r="U5162" s="4">
        <v>225000</v>
      </c>
      <c r="V5162" t="s">
        <v>23739</v>
      </c>
      <c r="W5162" t="s">
        <v>26636</v>
      </c>
      <c r="X5162" t="s">
        <v>3</v>
      </c>
      <c r="AA5162" s="5" t="str">
        <f>HYPERLINK("https://www.zillow.com/homes/29-S-ROSELLE-RD-ROSELLE-IL-60172_rb/","check listing")</f>
        <v>check listing</v>
      </c>
      <c r="AB5162" s="5" t="str">
        <f>HYPERLINK("https://propertylookup.dupagecounty.gov/Datalets/Datalet.aspx?UseSearch=no&amp;mode=sales&amp;pin=0203400005","sales record")</f>
        <v>sales record</v>
      </c>
      <c r="AC5162" t="s">
        <v>3</v>
      </c>
      <c r="AD5162">
        <v>41.982571</v>
      </c>
      <c r="AE5162">
        <v>-88.07975999999999</v>
      </c>
      <c r="AF5162" s="5" t="str">
        <f>HYPERLINK("https://www.google.com/maps/search/?api=1&amp;query=41.982571,-88.07976","map")</f>
        <v>map</v>
      </c>
    </row>
    <row r="5163" spans="1:32">
      <c r="A5163" t="s">
        <v>5213</v>
      </c>
      <c r="B5163" t="s">
        <v>12738</v>
      </c>
      <c r="C5163" t="s">
        <v>15830</v>
      </c>
      <c r="D5163" t="s">
        <v>16207</v>
      </c>
      <c r="E5163" t="s">
        <v>16218</v>
      </c>
      <c r="F5163" t="s">
        <v>16221</v>
      </c>
      <c r="G5163" t="s">
        <v>16241</v>
      </c>
      <c r="H5163" t="s">
        <v>16241</v>
      </c>
      <c r="I5163" t="s">
        <v>16355</v>
      </c>
      <c r="J5163" t="s">
        <v>16385</v>
      </c>
      <c r="K5163">
        <v>0.28</v>
      </c>
      <c r="L5163">
        <v>12188</v>
      </c>
      <c r="M5163">
        <v>3464</v>
      </c>
      <c r="N5163" t="s">
        <v>16393</v>
      </c>
      <c r="O5163" s="4">
        <v>51327</v>
      </c>
      <c r="P5163" s="4">
        <v>198636</v>
      </c>
      <c r="Q5163" s="4">
        <v>249963</v>
      </c>
      <c r="R5163" s="4">
        <v>749889</v>
      </c>
      <c r="S5163" t="s">
        <v>21427</v>
      </c>
      <c r="T5163" s="6">
        <v>34731</v>
      </c>
      <c r="U5163" s="4">
        <v>75100</v>
      </c>
      <c r="X5163" t="s">
        <v>3</v>
      </c>
      <c r="AA5163" s="5" t="str">
        <f>HYPERLINK("https://www.zillow.com/homes/50-CARDINAL-LN-ROSELLE-IL-60172_rb/","check listing")</f>
        <v>check listing</v>
      </c>
      <c r="AB5163" s="5" t="str">
        <f>HYPERLINK("https://propertylookup.dupagecounty.gov/Datalets/Datalet.aspx?UseSearch=no&amp;mode=sales&amp;pin=0204101083","sales record")</f>
        <v>sales record</v>
      </c>
      <c r="AC5163" t="s">
        <v>3</v>
      </c>
      <c r="AD5163">
        <v>41.984093</v>
      </c>
      <c r="AE5163">
        <v>-88.10961399999999</v>
      </c>
      <c r="AF5163" s="5" t="str">
        <f>HYPERLINK("https://www.google.com/maps/search/?api=1&amp;query=41.984093,-88.109614","map")</f>
        <v>map</v>
      </c>
    </row>
    <row r="5164" spans="1:32">
      <c r="A5164" t="s">
        <v>5214</v>
      </c>
      <c r="B5164" t="s">
        <v>12739</v>
      </c>
      <c r="C5164" t="s">
        <v>15839</v>
      </c>
      <c r="D5164" t="s">
        <v>16207</v>
      </c>
      <c r="E5164" t="s">
        <v>16218</v>
      </c>
      <c r="F5164" t="s">
        <v>16221</v>
      </c>
      <c r="G5164" t="s">
        <v>16241</v>
      </c>
      <c r="H5164" t="s">
        <v>16241</v>
      </c>
      <c r="I5164" t="s">
        <v>16355</v>
      </c>
      <c r="J5164" t="s">
        <v>16385</v>
      </c>
      <c r="K5164">
        <v>0.278</v>
      </c>
      <c r="L5164">
        <v>12112</v>
      </c>
      <c r="M5164">
        <v>2143</v>
      </c>
      <c r="N5164" t="s">
        <v>16393</v>
      </c>
      <c r="O5164" s="4">
        <v>45278</v>
      </c>
      <c r="P5164" s="4">
        <v>125710</v>
      </c>
      <c r="Q5164" s="4">
        <v>170988</v>
      </c>
      <c r="R5164" s="4">
        <v>512964</v>
      </c>
      <c r="S5164" t="s">
        <v>21428</v>
      </c>
      <c r="T5164" s="6">
        <v>43617</v>
      </c>
      <c r="U5164" s="4">
        <v>440000</v>
      </c>
      <c r="V5164" t="s">
        <v>23740</v>
      </c>
      <c r="W5164" t="s">
        <v>26637</v>
      </c>
      <c r="X5164" t="s">
        <v>3</v>
      </c>
      <c r="AA5164" s="5" t="str">
        <f>HYPERLINK("https://www.zillow.com/homes/405-AVEBURY-CT-ROSELLE-IL-601722801_rb/","check listing")</f>
        <v>check listing</v>
      </c>
      <c r="AB5164" s="5" t="str">
        <f>HYPERLINK("https://propertylookup.dupagecounty.gov/Datalets/Datalet.aspx?UseSearch=no&amp;mode=sales&amp;pin=0209211010","sales record")</f>
        <v>sales record</v>
      </c>
      <c r="AC5164" t="s">
        <v>3</v>
      </c>
      <c r="AD5164">
        <v>41.975515</v>
      </c>
      <c r="AE5164">
        <v>-88.099507</v>
      </c>
      <c r="AF5164" s="5" t="str">
        <f>HYPERLINK("https://www.google.com/maps/search/?api=1&amp;query=41.975515,-88.099507","map")</f>
        <v>map</v>
      </c>
    </row>
    <row r="5165" spans="1:32">
      <c r="A5165" t="s">
        <v>5215</v>
      </c>
      <c r="B5165" t="s">
        <v>12740</v>
      </c>
      <c r="C5165" t="s">
        <v>15830</v>
      </c>
      <c r="D5165" t="s">
        <v>16207</v>
      </c>
      <c r="E5165" t="s">
        <v>16218</v>
      </c>
      <c r="F5165" t="s">
        <v>16221</v>
      </c>
      <c r="G5165" t="s">
        <v>16241</v>
      </c>
      <c r="H5165" t="s">
        <v>16241</v>
      </c>
      <c r="I5165" t="s">
        <v>16355</v>
      </c>
      <c r="J5165" t="s">
        <v>16385</v>
      </c>
      <c r="K5165">
        <v>0.274</v>
      </c>
      <c r="L5165">
        <v>11916</v>
      </c>
      <c r="M5165">
        <v>1055</v>
      </c>
      <c r="N5165" t="s">
        <v>16393</v>
      </c>
      <c r="O5165" s="4">
        <v>38692</v>
      </c>
      <c r="P5165" s="4">
        <v>75974</v>
      </c>
      <c r="Q5165" s="4">
        <v>114666</v>
      </c>
      <c r="R5165" s="4">
        <v>343998</v>
      </c>
      <c r="S5165" t="s">
        <v>21429</v>
      </c>
      <c r="T5165" s="6">
        <v>45189</v>
      </c>
      <c r="U5165" s="4">
        <v>325000</v>
      </c>
      <c r="V5165" t="s">
        <v>23739</v>
      </c>
      <c r="W5165" t="s">
        <v>26638</v>
      </c>
      <c r="X5165" t="s">
        <v>3</v>
      </c>
      <c r="AA5165" s="5" t="str">
        <f>HYPERLINK("https://www.zillow.com/homes/590-ROMFORD-CT-ROSELLE-IL-60172_rb/","check listing")</f>
        <v>check listing</v>
      </c>
      <c r="AB5165" s="5" t="str">
        <f>HYPERLINK("https://propertylookup.dupagecounty.gov/Datalets/Datalet.aspx?UseSearch=no&amp;mode=sales&amp;pin=0209101026","sales record")</f>
        <v>sales record</v>
      </c>
      <c r="AC5165" t="s">
        <v>3</v>
      </c>
      <c r="AD5165">
        <v>41.972035</v>
      </c>
      <c r="AE5165">
        <v>-88.103866</v>
      </c>
      <c r="AF5165" s="5" t="str">
        <f>HYPERLINK("https://www.google.com/maps/search/?api=1&amp;query=41.972035,-88.103866","map")</f>
        <v>map</v>
      </c>
    </row>
    <row r="5166" spans="1:32">
      <c r="A5166" t="s">
        <v>5216</v>
      </c>
      <c r="B5166" t="s">
        <v>12741</v>
      </c>
      <c r="C5166" t="s">
        <v>15830</v>
      </c>
      <c r="D5166" t="s">
        <v>16207</v>
      </c>
      <c r="E5166" t="s">
        <v>16218</v>
      </c>
      <c r="F5166" t="s">
        <v>16221</v>
      </c>
      <c r="G5166" t="s">
        <v>16241</v>
      </c>
      <c r="H5166" t="s">
        <v>16241</v>
      </c>
      <c r="I5166" t="s">
        <v>16355</v>
      </c>
      <c r="J5166" t="s">
        <v>16385</v>
      </c>
      <c r="K5166">
        <v>0.273</v>
      </c>
      <c r="L5166">
        <v>11882</v>
      </c>
      <c r="M5166">
        <v>1500</v>
      </c>
      <c r="N5166" t="s">
        <v>16393</v>
      </c>
      <c r="O5166" s="4">
        <v>49558</v>
      </c>
      <c r="P5166" s="4">
        <v>76224</v>
      </c>
      <c r="Q5166" s="4">
        <v>125782</v>
      </c>
      <c r="R5166" s="4">
        <v>377346</v>
      </c>
      <c r="S5166" t="s">
        <v>21430</v>
      </c>
      <c r="T5166" s="6">
        <v>43252</v>
      </c>
      <c r="U5166" s="4">
        <v>268000</v>
      </c>
      <c r="V5166" t="s">
        <v>23740</v>
      </c>
      <c r="W5166" t="s">
        <v>21430</v>
      </c>
      <c r="X5166" t="s">
        <v>3</v>
      </c>
      <c r="AA5166" s="5" t="str">
        <f>HYPERLINK("https://www.zillow.com/homes/48-E-HATTENDORF-AVE-ROSELLE-IL-60172_rb/","check listing")</f>
        <v>check listing</v>
      </c>
      <c r="AB5166" s="5" t="str">
        <f>HYPERLINK("https://propertylookup.dupagecounty.gov/Datalets/Datalet.aspx?UseSearch=no&amp;mode=sales&amp;pin=0203206005","sales record")</f>
        <v>sales record</v>
      </c>
      <c r="AC5166" t="s">
        <v>3</v>
      </c>
      <c r="AD5166">
        <v>41.985649</v>
      </c>
      <c r="AE5166">
        <v>-88.078003</v>
      </c>
      <c r="AF5166" s="5" t="str">
        <f>HYPERLINK("https://www.google.com/maps/search/?api=1&amp;query=41.985649,-88.078003","map")</f>
        <v>map</v>
      </c>
    </row>
    <row r="5167" spans="1:32">
      <c r="A5167" t="s">
        <v>5217</v>
      </c>
      <c r="B5167" t="s">
        <v>12742</v>
      </c>
      <c r="C5167" t="s">
        <v>15830</v>
      </c>
      <c r="D5167" t="s">
        <v>16207</v>
      </c>
      <c r="E5167" t="s">
        <v>16218</v>
      </c>
      <c r="F5167" t="s">
        <v>16221</v>
      </c>
      <c r="G5167" t="s">
        <v>16241</v>
      </c>
      <c r="H5167" t="s">
        <v>16241</v>
      </c>
      <c r="I5167" t="s">
        <v>16355</v>
      </c>
      <c r="J5167" t="s">
        <v>16385</v>
      </c>
      <c r="K5167">
        <v>0.272</v>
      </c>
      <c r="L5167">
        <v>11867</v>
      </c>
      <c r="M5167">
        <v>3563</v>
      </c>
      <c r="N5167" t="s">
        <v>16393</v>
      </c>
      <c r="O5167" s="4">
        <v>51278</v>
      </c>
      <c r="P5167" s="4">
        <v>219852</v>
      </c>
      <c r="Q5167" s="4">
        <v>271130</v>
      </c>
      <c r="R5167" s="4">
        <v>813390</v>
      </c>
      <c r="S5167" t="s">
        <v>21431</v>
      </c>
      <c r="T5167" s="6">
        <v>40756</v>
      </c>
      <c r="U5167" s="4">
        <v>565000</v>
      </c>
      <c r="V5167" t="s">
        <v>16232</v>
      </c>
      <c r="W5167" t="s">
        <v>26639</v>
      </c>
      <c r="X5167" t="s">
        <v>3</v>
      </c>
      <c r="AA5167" s="5" t="str">
        <f>HYPERLINK("https://www.zillow.com/homes/1155-FLAMINGO-DR-ROSELLE-IL-60172_rb/","check listing")</f>
        <v>check listing</v>
      </c>
      <c r="AB5167" s="5" t="str">
        <f>HYPERLINK("https://propertylookup.dupagecounty.gov/Datalets/Datalet.aspx?UseSearch=no&amp;mode=sales&amp;pin=0204101034","sales record")</f>
        <v>sales record</v>
      </c>
      <c r="AC5167" t="s">
        <v>3</v>
      </c>
      <c r="AD5167">
        <v>41.983761</v>
      </c>
      <c r="AE5167">
        <v>-88.109048</v>
      </c>
      <c r="AF5167" s="5" t="str">
        <f>HYPERLINK("https://www.google.com/maps/search/?api=1&amp;query=41.983761,-88.109048","map")</f>
        <v>map</v>
      </c>
    </row>
    <row r="5168" spans="1:32">
      <c r="A5168" t="s">
        <v>5218</v>
      </c>
      <c r="B5168" t="s">
        <v>12743</v>
      </c>
      <c r="C5168" t="s">
        <v>15838</v>
      </c>
      <c r="D5168" t="s">
        <v>16207</v>
      </c>
      <c r="E5168" t="s">
        <v>16218</v>
      </c>
      <c r="F5168" t="s">
        <v>16221</v>
      </c>
      <c r="G5168" t="s">
        <v>16241</v>
      </c>
      <c r="H5168" t="s">
        <v>16241</v>
      </c>
      <c r="I5168" t="s">
        <v>16355</v>
      </c>
      <c r="J5168" t="s">
        <v>16385</v>
      </c>
      <c r="K5168">
        <v>0.272</v>
      </c>
      <c r="L5168">
        <v>11850</v>
      </c>
      <c r="M5168">
        <v>1929</v>
      </c>
      <c r="N5168" t="s">
        <v>16393</v>
      </c>
      <c r="O5168" s="4">
        <v>58797</v>
      </c>
      <c r="P5168" s="4">
        <v>165155</v>
      </c>
      <c r="Q5168" s="4">
        <v>223952</v>
      </c>
      <c r="R5168" s="4">
        <v>671856</v>
      </c>
      <c r="S5168" t="s">
        <v>21432</v>
      </c>
      <c r="T5168" s="6">
        <v>42522</v>
      </c>
      <c r="U5168" s="4">
        <v>430000</v>
      </c>
      <c r="V5168" t="s">
        <v>23740</v>
      </c>
      <c r="W5168" t="s">
        <v>26640</v>
      </c>
      <c r="X5168" t="s">
        <v>3</v>
      </c>
      <c r="AA5168" s="5" t="str">
        <f>HYPERLINK("https://www.zillow.com/homes/515-PRIMROSE-CIR-ROSELLE-IL-601722880_rb/","check listing")</f>
        <v>check listing</v>
      </c>
      <c r="AB5168" s="5" t="str">
        <f>HYPERLINK("https://propertylookup.dupagecounty.gov/Datalets/Datalet.aspx?UseSearch=no&amp;mode=sales&amp;pin=0209202082","sales record")</f>
        <v>sales record</v>
      </c>
      <c r="AC5168" t="s">
        <v>3</v>
      </c>
      <c r="AD5168">
        <v>41.973252</v>
      </c>
      <c r="AE5168">
        <v>-88.09605000000001</v>
      </c>
      <c r="AF5168" s="5" t="str">
        <f>HYPERLINK("https://www.google.com/maps/search/?api=1&amp;query=41.973252,-88.09605","map")</f>
        <v>map</v>
      </c>
    </row>
    <row r="5169" spans="1:32">
      <c r="A5169" t="s">
        <v>5219</v>
      </c>
      <c r="B5169" t="s">
        <v>12744</v>
      </c>
      <c r="C5169" t="s">
        <v>15830</v>
      </c>
      <c r="D5169" t="s">
        <v>16207</v>
      </c>
      <c r="E5169" t="s">
        <v>16218</v>
      </c>
      <c r="F5169" t="s">
        <v>16221</v>
      </c>
      <c r="G5169" t="s">
        <v>16241</v>
      </c>
      <c r="H5169" t="s">
        <v>16241</v>
      </c>
      <c r="I5169" t="s">
        <v>16355</v>
      </c>
      <c r="J5169" t="s">
        <v>16385</v>
      </c>
      <c r="K5169">
        <v>0.271</v>
      </c>
      <c r="L5169">
        <v>11825</v>
      </c>
      <c r="M5169">
        <v>792</v>
      </c>
      <c r="N5169" t="s">
        <v>16393</v>
      </c>
      <c r="O5169" s="4">
        <v>45278</v>
      </c>
      <c r="P5169" s="4">
        <v>72375</v>
      </c>
      <c r="Q5169" s="4">
        <v>117653</v>
      </c>
      <c r="R5169" s="4">
        <v>352959</v>
      </c>
      <c r="S5169" t="s">
        <v>21433</v>
      </c>
      <c r="T5169" s="6">
        <v>30742</v>
      </c>
      <c r="U5169" s="4">
        <v>85000</v>
      </c>
      <c r="X5169" t="s">
        <v>3</v>
      </c>
      <c r="AA5169" s="5" t="str">
        <f>HYPERLINK("https://www.zillow.com/homes/720-W-BRYN-MAWR-AVE-ROSELLE-IL-60172_rb/","check listing")</f>
        <v>check listing</v>
      </c>
      <c r="AB5169" s="5" t="str">
        <f>HYPERLINK("https://propertylookup.dupagecounty.gov/Datalets/Datalet.aspx?UseSearch=no&amp;mode=sales&amp;pin=0209211014","sales record")</f>
        <v>sales record</v>
      </c>
      <c r="AC5169" t="s">
        <v>3</v>
      </c>
      <c r="AD5169">
        <v>41.97551</v>
      </c>
      <c r="AE5169">
        <v>-88.09895400000001</v>
      </c>
      <c r="AF5169" s="5" t="str">
        <f>HYPERLINK("https://www.google.com/maps/search/?api=1&amp;query=41.97551,-88.098954","map")</f>
        <v>map</v>
      </c>
    </row>
    <row r="5170" spans="1:32">
      <c r="A5170" t="s">
        <v>5220</v>
      </c>
      <c r="B5170" t="s">
        <v>12745</v>
      </c>
      <c r="C5170" t="s">
        <v>15830</v>
      </c>
      <c r="D5170" t="s">
        <v>16207</v>
      </c>
      <c r="E5170" t="s">
        <v>16218</v>
      </c>
      <c r="F5170" t="s">
        <v>16221</v>
      </c>
      <c r="G5170" t="s">
        <v>16241</v>
      </c>
      <c r="H5170" t="s">
        <v>16241</v>
      </c>
      <c r="I5170" t="s">
        <v>16355</v>
      </c>
      <c r="J5170" t="s">
        <v>16385</v>
      </c>
      <c r="K5170">
        <v>0.271</v>
      </c>
      <c r="L5170">
        <v>11825</v>
      </c>
      <c r="M5170">
        <v>2297</v>
      </c>
      <c r="N5170" t="s">
        <v>16393</v>
      </c>
      <c r="O5170" s="4">
        <v>45278</v>
      </c>
      <c r="P5170" s="4">
        <v>76703</v>
      </c>
      <c r="Q5170" s="4">
        <v>121981</v>
      </c>
      <c r="R5170" s="4">
        <v>365943</v>
      </c>
      <c r="S5170" t="s">
        <v>21434</v>
      </c>
      <c r="T5170" s="6">
        <v>36251</v>
      </c>
      <c r="U5170" s="4">
        <v>165000</v>
      </c>
      <c r="X5170" t="s">
        <v>3</v>
      </c>
      <c r="AA5170" s="5" t="str">
        <f>HYPERLINK("https://www.zillow.com/homes/1140-MENSCHING-RD-ROSELLE-IL-60172_rb/","check listing")</f>
        <v>check listing</v>
      </c>
      <c r="AB5170" s="5" t="str">
        <f>HYPERLINK("https://propertylookup.dupagecounty.gov/Datalets/Datalet.aspx?UseSearch=no&amp;mode=sales&amp;pin=0204311015","sales record")</f>
        <v>sales record</v>
      </c>
      <c r="AC5170" t="s">
        <v>3</v>
      </c>
      <c r="AD5170">
        <v>41.981621</v>
      </c>
      <c r="AE5170">
        <v>-88.10903</v>
      </c>
      <c r="AF5170" s="5" t="str">
        <f>HYPERLINK("https://www.google.com/maps/search/?api=1&amp;query=41.981621,-88.10903","map")</f>
        <v>map</v>
      </c>
    </row>
    <row r="5171" spans="1:32">
      <c r="A5171" t="s">
        <v>5221</v>
      </c>
      <c r="B5171" t="s">
        <v>12746</v>
      </c>
      <c r="C5171" t="s">
        <v>15830</v>
      </c>
      <c r="D5171" t="s">
        <v>16207</v>
      </c>
      <c r="E5171" t="s">
        <v>16218</v>
      </c>
      <c r="F5171" t="s">
        <v>16221</v>
      </c>
      <c r="G5171" t="s">
        <v>16241</v>
      </c>
      <c r="H5171" t="s">
        <v>16241</v>
      </c>
      <c r="I5171" t="s">
        <v>16355</v>
      </c>
      <c r="J5171" t="s">
        <v>16385</v>
      </c>
      <c r="K5171">
        <v>0.271</v>
      </c>
      <c r="L5171">
        <v>11805</v>
      </c>
      <c r="M5171">
        <v>2540</v>
      </c>
      <c r="N5171" t="s">
        <v>16393</v>
      </c>
      <c r="O5171" s="4">
        <v>45278</v>
      </c>
      <c r="P5171" s="4">
        <v>70631</v>
      </c>
      <c r="Q5171" s="4">
        <v>115909</v>
      </c>
      <c r="R5171" s="4">
        <v>347727</v>
      </c>
      <c r="S5171" t="s">
        <v>21435</v>
      </c>
      <c r="T5171" s="6">
        <v>36739</v>
      </c>
      <c r="U5171" s="4">
        <v>180100</v>
      </c>
      <c r="V5171" t="s">
        <v>23739</v>
      </c>
      <c r="W5171" t="s">
        <v>26641</v>
      </c>
      <c r="X5171" t="s">
        <v>3</v>
      </c>
      <c r="AA5171" s="5" t="str">
        <f>HYPERLINK("https://www.zillow.com/homes/1115-COLONY-LN-ROSELLE-IL-60172_rb/","check listing")</f>
        <v>check listing</v>
      </c>
      <c r="AB5171" s="5" t="str">
        <f>HYPERLINK("https://propertylookup.dupagecounty.gov/Datalets/Datalet.aspx?UseSearch=no&amp;mode=sales&amp;pin=0204309040","sales record")</f>
        <v>sales record</v>
      </c>
      <c r="AC5171" t="s">
        <v>3</v>
      </c>
      <c r="AD5171">
        <v>41.979725</v>
      </c>
      <c r="AE5171">
        <v>-88.108209</v>
      </c>
      <c r="AF5171" s="5" t="str">
        <f>HYPERLINK("https://www.google.com/maps/search/?api=1&amp;query=41.979725,-88.108209","map")</f>
        <v>map</v>
      </c>
    </row>
    <row r="5172" spans="1:32">
      <c r="A5172" t="s">
        <v>5222</v>
      </c>
      <c r="B5172" t="s">
        <v>12747</v>
      </c>
      <c r="C5172" t="s">
        <v>15830</v>
      </c>
      <c r="D5172" t="s">
        <v>16207</v>
      </c>
      <c r="E5172" t="s">
        <v>16218</v>
      </c>
      <c r="F5172" t="s">
        <v>16221</v>
      </c>
      <c r="G5172" t="s">
        <v>16241</v>
      </c>
      <c r="H5172" t="s">
        <v>16241</v>
      </c>
      <c r="I5172" t="s">
        <v>16355</v>
      </c>
      <c r="J5172" t="s">
        <v>16385</v>
      </c>
      <c r="K5172">
        <v>0.27</v>
      </c>
      <c r="L5172">
        <v>11751</v>
      </c>
      <c r="M5172">
        <v>3166</v>
      </c>
      <c r="N5172" t="s">
        <v>16393</v>
      </c>
      <c r="O5172" s="4">
        <v>54793</v>
      </c>
      <c r="P5172" s="4">
        <v>234662</v>
      </c>
      <c r="Q5172" s="4">
        <v>289455</v>
      </c>
      <c r="R5172" s="4">
        <v>868365</v>
      </c>
      <c r="S5172" t="s">
        <v>21436</v>
      </c>
      <c r="T5172" s="6">
        <v>38412</v>
      </c>
      <c r="U5172" s="4">
        <v>716264</v>
      </c>
      <c r="V5172" t="s">
        <v>23739</v>
      </c>
      <c r="W5172" t="s">
        <v>26642</v>
      </c>
      <c r="X5172" t="s">
        <v>3</v>
      </c>
      <c r="AA5172" s="5" t="str">
        <f>HYPERLINK("https://www.zillow.com/homes/64-N-ANDOVER-DR-ROSELLE-IL-60172_rb/","check listing")</f>
        <v>check listing</v>
      </c>
      <c r="AB5172" s="5" t="str">
        <f>HYPERLINK("https://propertylookup.dupagecounty.gov/Datalets/Datalet.aspx?UseSearch=no&amp;mode=sales&amp;pin=0205231006","sales record")</f>
        <v>sales record</v>
      </c>
      <c r="AC5172" t="s">
        <v>3</v>
      </c>
      <c r="AD5172">
        <v>41.984281</v>
      </c>
      <c r="AE5172">
        <v>-88.112611</v>
      </c>
      <c r="AF5172" s="5" t="str">
        <f>HYPERLINK("https://www.google.com/maps/search/?api=1&amp;query=41.984281,-88.112611","map")</f>
        <v>map</v>
      </c>
    </row>
    <row r="5173" spans="1:32">
      <c r="A5173" t="s">
        <v>5223</v>
      </c>
      <c r="B5173" t="s">
        <v>12748</v>
      </c>
      <c r="C5173" t="s">
        <v>15830</v>
      </c>
      <c r="D5173" t="s">
        <v>16207</v>
      </c>
      <c r="E5173" t="s">
        <v>16218</v>
      </c>
      <c r="F5173" t="s">
        <v>16221</v>
      </c>
      <c r="G5173" t="s">
        <v>16241</v>
      </c>
      <c r="H5173" t="s">
        <v>16241</v>
      </c>
      <c r="I5173" t="s">
        <v>16355</v>
      </c>
      <c r="J5173" t="s">
        <v>16385</v>
      </c>
      <c r="K5173">
        <v>0.269</v>
      </c>
      <c r="L5173">
        <v>11733</v>
      </c>
      <c r="M5173">
        <v>1714</v>
      </c>
      <c r="N5173" t="s">
        <v>16393</v>
      </c>
      <c r="O5173" s="4">
        <v>38692</v>
      </c>
      <c r="P5173" s="4">
        <v>58092</v>
      </c>
      <c r="Q5173" s="4">
        <v>96784</v>
      </c>
      <c r="R5173" s="4">
        <v>290352</v>
      </c>
      <c r="S5173" t="s">
        <v>21437</v>
      </c>
      <c r="T5173" s="6">
        <v>41699</v>
      </c>
      <c r="U5173" s="4">
        <v>145952</v>
      </c>
      <c r="V5173" t="s">
        <v>16232</v>
      </c>
      <c r="W5173" t="s">
        <v>26643</v>
      </c>
      <c r="X5173" t="s">
        <v>3</v>
      </c>
      <c r="AA5173" s="5" t="str">
        <f>HYPERLINK("https://www.zillow.com/homes/699-RODENBURG-RD-ROSELLE-IL-60172_rb/","check listing")</f>
        <v>check listing</v>
      </c>
      <c r="AB5173" s="5" t="str">
        <f>HYPERLINK("https://propertylookup.dupagecounty.gov/Datalets/Datalet.aspx?UseSearch=no&amp;mode=sales&amp;pin=0209120019","sales record")</f>
        <v>sales record</v>
      </c>
      <c r="AC5173" t="s">
        <v>3</v>
      </c>
      <c r="AD5173">
        <v>41.97042</v>
      </c>
      <c r="AE5173">
        <v>-88.108705</v>
      </c>
      <c r="AF5173" s="5" t="str">
        <f>HYPERLINK("https://www.google.com/maps/search/?api=1&amp;query=41.97042,-88.108705","map")</f>
        <v>map</v>
      </c>
    </row>
    <row r="5174" spans="1:32">
      <c r="A5174" t="s">
        <v>5224</v>
      </c>
      <c r="B5174" t="s">
        <v>12749</v>
      </c>
      <c r="C5174" t="s">
        <v>15838</v>
      </c>
      <c r="D5174" t="s">
        <v>16207</v>
      </c>
      <c r="E5174" t="s">
        <v>16218</v>
      </c>
      <c r="F5174" t="s">
        <v>16221</v>
      </c>
      <c r="G5174" t="s">
        <v>16241</v>
      </c>
      <c r="H5174" t="s">
        <v>16241</v>
      </c>
      <c r="I5174" t="s">
        <v>16355</v>
      </c>
      <c r="J5174" t="s">
        <v>16385</v>
      </c>
      <c r="K5174">
        <v>0.267</v>
      </c>
      <c r="L5174">
        <v>11628</v>
      </c>
      <c r="M5174">
        <v>2539</v>
      </c>
      <c r="N5174" t="s">
        <v>16393</v>
      </c>
      <c r="O5174" s="4">
        <v>58797</v>
      </c>
      <c r="P5174" s="4">
        <v>166793</v>
      </c>
      <c r="Q5174" s="4">
        <v>225590</v>
      </c>
      <c r="R5174" s="4">
        <v>676770</v>
      </c>
      <c r="S5174" t="s">
        <v>21438</v>
      </c>
      <c r="T5174" s="6">
        <v>38991</v>
      </c>
      <c r="U5174" s="4">
        <v>500000</v>
      </c>
      <c r="V5174" t="s">
        <v>23739</v>
      </c>
      <c r="W5174" t="s">
        <v>24124</v>
      </c>
      <c r="X5174" t="s">
        <v>3</v>
      </c>
      <c r="AA5174" s="5" t="str">
        <f>HYPERLINK("https://www.zillow.com/homes/545-PRIMROSE-CIR-ROSELLE-IL-601722880_rb/","check listing")</f>
        <v>check listing</v>
      </c>
      <c r="AB5174" s="5" t="str">
        <f>HYPERLINK("https://propertylookup.dupagecounty.gov/Datalets/Datalet.aspx?UseSearch=no&amp;mode=sales&amp;pin=0209202078","sales record")</f>
        <v>sales record</v>
      </c>
      <c r="AC5174" t="s">
        <v>3</v>
      </c>
      <c r="AD5174">
        <v>41.97299</v>
      </c>
      <c r="AE5174">
        <v>-88.09669</v>
      </c>
      <c r="AF5174" s="5" t="str">
        <f>HYPERLINK("https://www.google.com/maps/search/?api=1&amp;query=41.97299,-88.09669","map")</f>
        <v>map</v>
      </c>
    </row>
    <row r="5175" spans="1:32">
      <c r="A5175" t="s">
        <v>5225</v>
      </c>
      <c r="B5175" t="s">
        <v>12750</v>
      </c>
      <c r="C5175" t="s">
        <v>15830</v>
      </c>
      <c r="D5175" t="s">
        <v>16207</v>
      </c>
      <c r="E5175" t="s">
        <v>16218</v>
      </c>
      <c r="F5175" t="s">
        <v>16221</v>
      </c>
      <c r="G5175" t="s">
        <v>16241</v>
      </c>
      <c r="H5175" t="s">
        <v>16241</v>
      </c>
      <c r="I5175" t="s">
        <v>16355</v>
      </c>
      <c r="J5175" t="s">
        <v>16385</v>
      </c>
      <c r="K5175">
        <v>0.266</v>
      </c>
      <c r="L5175">
        <v>11578</v>
      </c>
      <c r="M5175">
        <v>3465</v>
      </c>
      <c r="N5175" t="s">
        <v>16393</v>
      </c>
      <c r="O5175" s="4">
        <v>51327</v>
      </c>
      <c r="P5175" s="4">
        <v>188201</v>
      </c>
      <c r="Q5175" s="4">
        <v>239528</v>
      </c>
      <c r="R5175" s="4">
        <v>718584</v>
      </c>
      <c r="S5175" t="s">
        <v>21439</v>
      </c>
      <c r="T5175" s="6">
        <v>36434</v>
      </c>
      <c r="U5175" s="4">
        <v>430000</v>
      </c>
      <c r="X5175" t="s">
        <v>3</v>
      </c>
      <c r="AA5175" s="5" t="str">
        <f>HYPERLINK("https://www.zillow.com/homes/1075-FLAMINGO-DR-ROSELLE-IL-60172_rb/","check listing")</f>
        <v>check listing</v>
      </c>
      <c r="AB5175" s="5" t="str">
        <f>HYPERLINK("https://propertylookup.dupagecounty.gov/Datalets/Datalet.aspx?UseSearch=no&amp;mode=sales&amp;pin=0204101045","sales record")</f>
        <v>sales record</v>
      </c>
      <c r="AC5175" t="s">
        <v>3</v>
      </c>
      <c r="AD5175">
        <v>41.983077</v>
      </c>
      <c r="AE5175">
        <v>-88.107023</v>
      </c>
      <c r="AF5175" s="5" t="str">
        <f>HYPERLINK("https://www.google.com/maps/search/?api=1&amp;query=41.983077,-88.107023","map")</f>
        <v>map</v>
      </c>
    </row>
    <row r="5176" spans="1:32">
      <c r="A5176" t="s">
        <v>5226</v>
      </c>
      <c r="B5176" t="s">
        <v>12751</v>
      </c>
      <c r="C5176" t="s">
        <v>15830</v>
      </c>
      <c r="D5176" t="s">
        <v>16207</v>
      </c>
      <c r="E5176" t="s">
        <v>16218</v>
      </c>
      <c r="F5176" t="s">
        <v>16221</v>
      </c>
      <c r="G5176" t="s">
        <v>16241</v>
      </c>
      <c r="H5176" t="s">
        <v>16241</v>
      </c>
      <c r="I5176" t="s">
        <v>16355</v>
      </c>
      <c r="J5176" t="s">
        <v>16385</v>
      </c>
      <c r="K5176">
        <v>0.263</v>
      </c>
      <c r="L5176">
        <v>11471</v>
      </c>
      <c r="M5176">
        <v>3232</v>
      </c>
      <c r="N5176" t="s">
        <v>16393</v>
      </c>
      <c r="O5176" s="4">
        <v>51278</v>
      </c>
      <c r="P5176" s="4">
        <v>172482</v>
      </c>
      <c r="Q5176" s="4">
        <v>223760</v>
      </c>
      <c r="R5176" s="4">
        <v>671280</v>
      </c>
      <c r="S5176" t="s">
        <v>21440</v>
      </c>
      <c r="T5176" s="6">
        <v>35612</v>
      </c>
      <c r="U5176" s="4">
        <v>275000</v>
      </c>
      <c r="X5176" t="s">
        <v>3</v>
      </c>
      <c r="AA5176" s="5" t="str">
        <f>HYPERLINK("https://www.zillow.com/homes/1110-FLAMINGO-DR-ROSELLE-IL-60172_rb/","check listing")</f>
        <v>check listing</v>
      </c>
      <c r="AB5176" s="5" t="str">
        <f>HYPERLINK("https://propertylookup.dupagecounty.gov/Datalets/Datalet.aspx?UseSearch=no&amp;mode=sales&amp;pin=0204103006","sales record")</f>
        <v>sales record</v>
      </c>
      <c r="AC5176" t="s">
        <v>3</v>
      </c>
      <c r="AD5176">
        <v>41.984304</v>
      </c>
      <c r="AE5176">
        <v>-88.107677</v>
      </c>
      <c r="AF5176" s="5" t="str">
        <f>HYPERLINK("https://www.google.com/maps/search/?api=1&amp;query=41.984304,-88.107677","map")</f>
        <v>map</v>
      </c>
    </row>
    <row r="5177" spans="1:32">
      <c r="A5177" t="s">
        <v>5227</v>
      </c>
      <c r="B5177" t="s">
        <v>12752</v>
      </c>
      <c r="C5177" t="s">
        <v>15840</v>
      </c>
      <c r="D5177" t="s">
        <v>16207</v>
      </c>
      <c r="E5177" t="s">
        <v>16218</v>
      </c>
      <c r="F5177" t="s">
        <v>16221</v>
      </c>
      <c r="G5177" t="s">
        <v>16241</v>
      </c>
      <c r="H5177" t="s">
        <v>16241</v>
      </c>
      <c r="I5177" t="s">
        <v>16355</v>
      </c>
      <c r="J5177" t="s">
        <v>16385</v>
      </c>
      <c r="K5177">
        <v>0.261</v>
      </c>
      <c r="L5177">
        <v>11387</v>
      </c>
      <c r="M5177">
        <v>3166</v>
      </c>
      <c r="N5177" t="s">
        <v>16393</v>
      </c>
      <c r="O5177" s="4">
        <v>54793</v>
      </c>
      <c r="P5177" s="4">
        <v>208617</v>
      </c>
      <c r="Q5177" s="4">
        <v>263410</v>
      </c>
      <c r="R5177" s="4">
        <v>790230</v>
      </c>
      <c r="S5177" t="s">
        <v>21441</v>
      </c>
      <c r="T5177" s="6">
        <v>43647</v>
      </c>
      <c r="U5177" s="4">
        <v>477500</v>
      </c>
      <c r="V5177" t="s">
        <v>23739</v>
      </c>
      <c r="W5177" t="s">
        <v>26644</v>
      </c>
      <c r="X5177" t="s">
        <v>3</v>
      </c>
      <c r="AA5177" s="5" t="str">
        <f>HYPERLINK("https://www.zillow.com/homes/1255-W-FLAMINGO-DR-ROSELLE-IL-601724799_rb/","check listing")</f>
        <v>check listing</v>
      </c>
      <c r="AB5177" s="5" t="str">
        <f>HYPERLINK("https://propertylookup.dupagecounty.gov/Datalets/Datalet.aspx?UseSearch=no&amp;mode=sales&amp;pin=0205232002","sales record")</f>
        <v>sales record</v>
      </c>
      <c r="AC5177" t="s">
        <v>3</v>
      </c>
      <c r="AD5177">
        <v>41.983762</v>
      </c>
      <c r="AE5177">
        <v>-88.111541</v>
      </c>
      <c r="AF5177" s="5" t="str">
        <f>HYPERLINK("https://www.google.com/maps/search/?api=1&amp;query=41.983762,-88.111541","map")</f>
        <v>map</v>
      </c>
    </row>
    <row r="5178" spans="1:32">
      <c r="A5178" t="s">
        <v>5228</v>
      </c>
      <c r="B5178" t="s">
        <v>12753</v>
      </c>
      <c r="C5178" t="s">
        <v>15830</v>
      </c>
      <c r="D5178" t="s">
        <v>16207</v>
      </c>
      <c r="E5178" t="s">
        <v>16218</v>
      </c>
      <c r="F5178" t="s">
        <v>16221</v>
      </c>
      <c r="G5178" t="s">
        <v>16241</v>
      </c>
      <c r="H5178" t="s">
        <v>16241</v>
      </c>
      <c r="I5178" t="s">
        <v>16355</v>
      </c>
      <c r="J5178" t="s">
        <v>16385</v>
      </c>
      <c r="K5178">
        <v>0.26</v>
      </c>
      <c r="L5178">
        <v>11326</v>
      </c>
      <c r="M5178">
        <v>2805</v>
      </c>
      <c r="N5178" t="s">
        <v>16393</v>
      </c>
      <c r="O5178" s="4">
        <v>51278</v>
      </c>
      <c r="P5178" s="4">
        <v>169602</v>
      </c>
      <c r="Q5178" s="4">
        <v>220880</v>
      </c>
      <c r="R5178" s="4">
        <v>662640</v>
      </c>
      <c r="S5178" t="s">
        <v>21442</v>
      </c>
      <c r="T5178" s="6">
        <v>35247</v>
      </c>
      <c r="U5178" s="4">
        <v>84200</v>
      </c>
      <c r="X5178" t="s">
        <v>3</v>
      </c>
      <c r="AA5178" s="5" t="str">
        <f>HYPERLINK("https://www.zillow.com/homes/5-MEADOWLARK-CT-ROSELLE-IL-60172_rb/","check listing")</f>
        <v>check listing</v>
      </c>
      <c r="AB5178" s="5" t="str">
        <f>HYPERLINK("https://propertylookup.dupagecounty.gov/Datalets/Datalet.aspx?UseSearch=no&amp;mode=sales&amp;pin=0204101041","sales record")</f>
        <v>sales record</v>
      </c>
      <c r="AC5178" t="s">
        <v>3</v>
      </c>
      <c r="AD5178">
        <v>41.983003</v>
      </c>
      <c r="AE5178">
        <v>-88.10793</v>
      </c>
      <c r="AF5178" s="5" t="str">
        <f>HYPERLINK("https://www.google.com/maps/search/?api=1&amp;query=41.983003,-88.10793","map")</f>
        <v>map</v>
      </c>
    </row>
    <row r="5179" spans="1:32">
      <c r="A5179" t="s">
        <v>5229</v>
      </c>
      <c r="B5179" t="s">
        <v>12754</v>
      </c>
      <c r="C5179" t="s">
        <v>15841</v>
      </c>
      <c r="D5179" t="s">
        <v>16207</v>
      </c>
      <c r="E5179" t="s">
        <v>16218</v>
      </c>
      <c r="F5179" t="s">
        <v>16221</v>
      </c>
      <c r="G5179" t="s">
        <v>16241</v>
      </c>
      <c r="H5179" t="s">
        <v>16241</v>
      </c>
      <c r="I5179" t="s">
        <v>16355</v>
      </c>
      <c r="J5179" t="s">
        <v>16385</v>
      </c>
      <c r="K5179">
        <v>0.259</v>
      </c>
      <c r="L5179">
        <v>11262</v>
      </c>
      <c r="M5179">
        <v>3165</v>
      </c>
      <c r="N5179" t="s">
        <v>16393</v>
      </c>
      <c r="O5179" s="4">
        <v>51278</v>
      </c>
      <c r="P5179" s="4">
        <v>149819</v>
      </c>
      <c r="Q5179" s="4">
        <v>201097</v>
      </c>
      <c r="R5179" s="4">
        <v>603291</v>
      </c>
      <c r="S5179" t="s">
        <v>21443</v>
      </c>
      <c r="T5179" s="6">
        <v>40391</v>
      </c>
      <c r="U5179" s="4">
        <v>501000</v>
      </c>
      <c r="V5179" t="s">
        <v>23739</v>
      </c>
      <c r="W5179" t="s">
        <v>26645</v>
      </c>
      <c r="X5179" t="s">
        <v>3</v>
      </c>
      <c r="AA5179" s="5" t="str">
        <f>HYPERLINK("https://www.zillow.com/homes/15-MEADOWLARK-CT-ROSELLE-IL-601724729_rb/","check listing")</f>
        <v>check listing</v>
      </c>
      <c r="AB5179" s="5" t="str">
        <f>HYPERLINK("https://propertylookup.dupagecounty.gov/Datalets/Datalet.aspx?UseSearch=no&amp;mode=sales&amp;pin=0204101042","sales record")</f>
        <v>sales record</v>
      </c>
      <c r="AC5179" t="s">
        <v>3</v>
      </c>
      <c r="AD5179">
        <v>41.983154</v>
      </c>
      <c r="AE5179">
        <v>-88.107716</v>
      </c>
      <c r="AF5179" s="5" t="str">
        <f>HYPERLINK("https://www.google.com/maps/search/?api=1&amp;query=41.983154,-88.107716","map")</f>
        <v>map</v>
      </c>
    </row>
    <row r="5180" spans="1:32">
      <c r="A5180" t="s">
        <v>5230</v>
      </c>
      <c r="B5180" t="s">
        <v>12755</v>
      </c>
      <c r="C5180" t="s">
        <v>15830</v>
      </c>
      <c r="D5180" t="s">
        <v>16207</v>
      </c>
      <c r="E5180" t="s">
        <v>16218</v>
      </c>
      <c r="F5180" t="s">
        <v>16221</v>
      </c>
      <c r="G5180" t="s">
        <v>16241</v>
      </c>
      <c r="H5180" t="s">
        <v>16241</v>
      </c>
      <c r="I5180" t="s">
        <v>16355</v>
      </c>
      <c r="J5180" t="s">
        <v>16385</v>
      </c>
      <c r="K5180">
        <v>0.258</v>
      </c>
      <c r="L5180">
        <v>11241</v>
      </c>
      <c r="M5180">
        <v>3002</v>
      </c>
      <c r="N5180" t="s">
        <v>16393</v>
      </c>
      <c r="O5180" s="4">
        <v>51278</v>
      </c>
      <c r="P5180" s="4">
        <v>163387</v>
      </c>
      <c r="Q5180" s="4">
        <v>214665</v>
      </c>
      <c r="R5180" s="4">
        <v>643995</v>
      </c>
      <c r="S5180" t="s">
        <v>21444</v>
      </c>
      <c r="T5180" s="6">
        <v>37956</v>
      </c>
      <c r="U5180" s="4">
        <v>575000</v>
      </c>
      <c r="V5180" t="s">
        <v>23740</v>
      </c>
      <c r="W5180" t="s">
        <v>26646</v>
      </c>
      <c r="X5180" t="s">
        <v>3</v>
      </c>
      <c r="AA5180" s="5" t="str">
        <f>HYPERLINK("https://www.zillow.com/homes/20-WHIPPOORWILL-CT-ROSELLE-IL-60172_rb/","check listing")</f>
        <v>check listing</v>
      </c>
      <c r="AB5180" s="5" t="str">
        <f>HYPERLINK("https://propertylookup.dupagecounty.gov/Datalets/Datalet.aspx?UseSearch=no&amp;mode=sales&amp;pin=0204101029","sales record")</f>
        <v>sales record</v>
      </c>
      <c r="AC5180" t="s">
        <v>3</v>
      </c>
      <c r="AD5180">
        <v>41.983092</v>
      </c>
      <c r="AE5180">
        <v>-88.10994599999999</v>
      </c>
      <c r="AF5180" s="5" t="str">
        <f>HYPERLINK("https://www.google.com/maps/search/?api=1&amp;query=41.983092,-88.109946","map")</f>
        <v>map</v>
      </c>
    </row>
    <row r="5181" spans="1:32">
      <c r="A5181" t="s">
        <v>5231</v>
      </c>
      <c r="B5181" t="s">
        <v>12756</v>
      </c>
      <c r="C5181" t="s">
        <v>15830</v>
      </c>
      <c r="D5181" t="s">
        <v>16207</v>
      </c>
      <c r="E5181" t="s">
        <v>16218</v>
      </c>
      <c r="F5181" t="s">
        <v>16221</v>
      </c>
      <c r="G5181" t="s">
        <v>16241</v>
      </c>
      <c r="H5181" t="s">
        <v>16241</v>
      </c>
      <c r="I5181" t="s">
        <v>16355</v>
      </c>
      <c r="J5181" t="s">
        <v>16385</v>
      </c>
      <c r="K5181">
        <v>0.257</v>
      </c>
      <c r="L5181">
        <v>11212</v>
      </c>
      <c r="M5181">
        <v>2418</v>
      </c>
      <c r="N5181" t="s">
        <v>16393</v>
      </c>
      <c r="O5181" s="4">
        <v>45278</v>
      </c>
      <c r="P5181" s="4">
        <v>99127</v>
      </c>
      <c r="Q5181" s="4">
        <v>144405</v>
      </c>
      <c r="R5181" s="4">
        <v>433215</v>
      </c>
      <c r="S5181" t="s">
        <v>21445</v>
      </c>
      <c r="T5181" s="6">
        <v>31686</v>
      </c>
      <c r="U5181" s="4">
        <v>137000</v>
      </c>
      <c r="X5181" t="s">
        <v>3</v>
      </c>
      <c r="AA5181" s="5" t="str">
        <f>HYPERLINK("https://www.zillow.com/homes/130-EXETER-CT-ROSELLE-IL-60172_rb/","check listing")</f>
        <v>check listing</v>
      </c>
      <c r="AB5181" s="5" t="str">
        <f>HYPERLINK("https://propertylookup.dupagecounty.gov/Datalets/Datalet.aspx?UseSearch=no&amp;mode=sales&amp;pin=0205403014","sales record")</f>
        <v>sales record</v>
      </c>
      <c r="AC5181" t="s">
        <v>3</v>
      </c>
      <c r="AD5181">
        <v>41.980269</v>
      </c>
      <c r="AE5181">
        <v>-88.112728</v>
      </c>
      <c r="AF5181" s="5" t="str">
        <f>HYPERLINK("https://www.google.com/maps/search/?api=1&amp;query=41.980269,-88.112728","map")</f>
        <v>map</v>
      </c>
    </row>
    <row r="5182" spans="1:32">
      <c r="A5182" t="s">
        <v>5232</v>
      </c>
      <c r="B5182" t="s">
        <v>12757</v>
      </c>
      <c r="C5182" t="s">
        <v>15830</v>
      </c>
      <c r="D5182" t="s">
        <v>16207</v>
      </c>
      <c r="E5182" t="s">
        <v>16218</v>
      </c>
      <c r="F5182" t="s">
        <v>16221</v>
      </c>
      <c r="G5182" t="s">
        <v>16241</v>
      </c>
      <c r="H5182" t="s">
        <v>16241</v>
      </c>
      <c r="I5182" t="s">
        <v>16355</v>
      </c>
      <c r="J5182" t="s">
        <v>16385</v>
      </c>
      <c r="K5182">
        <v>0.257</v>
      </c>
      <c r="L5182">
        <v>11191</v>
      </c>
      <c r="M5182">
        <v>3209</v>
      </c>
      <c r="N5182" t="s">
        <v>16393</v>
      </c>
      <c r="O5182" s="4">
        <v>51327</v>
      </c>
      <c r="P5182" s="4">
        <v>189217</v>
      </c>
      <c r="Q5182" s="4">
        <v>240544</v>
      </c>
      <c r="R5182" s="4">
        <v>721632</v>
      </c>
      <c r="S5182" t="s">
        <v>21446</v>
      </c>
      <c r="T5182" s="6">
        <v>41791</v>
      </c>
      <c r="U5182" s="4">
        <v>522000</v>
      </c>
      <c r="V5182" t="s">
        <v>23739</v>
      </c>
      <c r="W5182" t="s">
        <v>21446</v>
      </c>
      <c r="X5182" t="s">
        <v>3</v>
      </c>
      <c r="AA5182" s="5" t="str">
        <f>HYPERLINK("https://www.zillow.com/homes/100-CARDINAL-LN-ROSELLE-IL-60172_rb/","check listing")</f>
        <v>check listing</v>
      </c>
      <c r="AB5182" s="5" t="str">
        <f>HYPERLINK("https://propertylookup.dupagecounty.gov/Datalets/Datalet.aspx?UseSearch=no&amp;mode=sales&amp;pin=0204101078","sales record")</f>
        <v>sales record</v>
      </c>
      <c r="AC5182" t="s">
        <v>3</v>
      </c>
      <c r="AD5182">
        <v>41.985131</v>
      </c>
      <c r="AE5182">
        <v>-88.10993000000001</v>
      </c>
      <c r="AF5182" s="5" t="str">
        <f>HYPERLINK("https://www.google.com/maps/search/?api=1&amp;query=41.985131,-88.10993","map")</f>
        <v>map</v>
      </c>
    </row>
    <row r="5183" spans="1:32">
      <c r="A5183" t="s">
        <v>5233</v>
      </c>
      <c r="B5183" t="s">
        <v>12758</v>
      </c>
      <c r="C5183" t="s">
        <v>15830</v>
      </c>
      <c r="D5183" t="s">
        <v>16207</v>
      </c>
      <c r="E5183" t="s">
        <v>16218</v>
      </c>
      <c r="F5183" t="s">
        <v>16221</v>
      </c>
      <c r="G5183" t="s">
        <v>16241</v>
      </c>
      <c r="H5183" t="s">
        <v>16241</v>
      </c>
      <c r="I5183" t="s">
        <v>16355</v>
      </c>
      <c r="J5183" t="s">
        <v>16385</v>
      </c>
      <c r="K5183">
        <v>0.256</v>
      </c>
      <c r="L5183">
        <v>11170</v>
      </c>
      <c r="M5183">
        <v>1716</v>
      </c>
      <c r="N5183" t="s">
        <v>16393</v>
      </c>
      <c r="O5183" s="4">
        <v>45278</v>
      </c>
      <c r="P5183" s="4">
        <v>86815</v>
      </c>
      <c r="Q5183" s="4">
        <v>132093</v>
      </c>
      <c r="R5183" s="4">
        <v>396279</v>
      </c>
      <c r="S5183" t="s">
        <v>21447</v>
      </c>
      <c r="T5183" s="6">
        <v>41640</v>
      </c>
      <c r="U5183" s="4">
        <v>162651</v>
      </c>
      <c r="V5183" t="s">
        <v>16232</v>
      </c>
      <c r="W5183" t="s">
        <v>26647</v>
      </c>
      <c r="X5183" t="s">
        <v>3</v>
      </c>
      <c r="AA5183" s="5" t="str">
        <f>HYPERLINK("https://www.zillow.com/homes/330-STOCKPORT-CT-ROSELLE-IL-60172_rb/","check listing")</f>
        <v>check listing</v>
      </c>
      <c r="AB5183" s="5" t="str">
        <f>HYPERLINK("https://propertylookup.dupagecounty.gov/Datalets/Datalet.aspx?UseSearch=no&amp;mode=sales&amp;pin=0205406007","sales record")</f>
        <v>sales record</v>
      </c>
      <c r="AC5183" t="s">
        <v>3</v>
      </c>
      <c r="AD5183">
        <v>41.976613</v>
      </c>
      <c r="AE5183">
        <v>-88.113382</v>
      </c>
      <c r="AF5183" s="5" t="str">
        <f>HYPERLINK("https://www.google.com/maps/search/?api=1&amp;query=41.976613,-88.113382","map")</f>
        <v>map</v>
      </c>
    </row>
    <row r="5184" spans="1:32">
      <c r="A5184" t="s">
        <v>5234</v>
      </c>
      <c r="B5184" t="s">
        <v>12759</v>
      </c>
      <c r="C5184" t="s">
        <v>15830</v>
      </c>
      <c r="D5184" t="s">
        <v>16207</v>
      </c>
      <c r="E5184" t="s">
        <v>16218</v>
      </c>
      <c r="F5184" t="s">
        <v>16221</v>
      </c>
      <c r="G5184" t="s">
        <v>16241</v>
      </c>
      <c r="H5184" t="s">
        <v>16241</v>
      </c>
      <c r="I5184" t="s">
        <v>16355</v>
      </c>
      <c r="J5184" t="s">
        <v>16385</v>
      </c>
      <c r="K5184">
        <v>0.256</v>
      </c>
      <c r="L5184">
        <v>11155</v>
      </c>
      <c r="M5184">
        <v>1385</v>
      </c>
      <c r="N5184" t="s">
        <v>16393</v>
      </c>
      <c r="O5184" s="4">
        <v>38692</v>
      </c>
      <c r="P5184" s="4">
        <v>77599</v>
      </c>
      <c r="Q5184" s="4">
        <v>116291</v>
      </c>
      <c r="R5184" s="4">
        <v>348873</v>
      </c>
      <c r="S5184" t="s">
        <v>21448</v>
      </c>
      <c r="T5184" s="6">
        <v>39234</v>
      </c>
      <c r="U5184" s="4">
        <v>280000</v>
      </c>
      <c r="V5184" t="s">
        <v>23739</v>
      </c>
      <c r="W5184" t="s">
        <v>26648</v>
      </c>
      <c r="X5184" t="s">
        <v>3</v>
      </c>
      <c r="AA5184" s="5" t="str">
        <f>HYPERLINK("https://www.zillow.com/homes/760-BERWICK-PL-ROSELLE-IL-60172_rb/","check listing")</f>
        <v>check listing</v>
      </c>
      <c r="AB5184" s="5" t="str">
        <f>HYPERLINK("https://propertylookup.dupagecounty.gov/Datalets/Datalet.aspx?UseSearch=no&amp;mode=sales&amp;pin=0209124003","sales record")</f>
        <v>sales record</v>
      </c>
      <c r="AC5184" t="s">
        <v>3</v>
      </c>
      <c r="AD5184">
        <v>41.968979</v>
      </c>
      <c r="AE5184">
        <v>-88.11005900000001</v>
      </c>
      <c r="AF5184" s="5" t="str">
        <f>HYPERLINK("https://www.google.com/maps/search/?api=1&amp;query=41.968979,-88.110059","map")</f>
        <v>map</v>
      </c>
    </row>
    <row r="5185" spans="1:32">
      <c r="A5185" t="s">
        <v>5235</v>
      </c>
      <c r="B5185" t="s">
        <v>12760</v>
      </c>
      <c r="C5185" t="s">
        <v>15830</v>
      </c>
      <c r="D5185" t="s">
        <v>16207</v>
      </c>
      <c r="E5185" t="s">
        <v>16218</v>
      </c>
      <c r="F5185" t="s">
        <v>16221</v>
      </c>
      <c r="G5185" t="s">
        <v>16241</v>
      </c>
      <c r="H5185" t="s">
        <v>16241</v>
      </c>
      <c r="I5185" t="s">
        <v>16355</v>
      </c>
      <c r="J5185" t="s">
        <v>16385</v>
      </c>
      <c r="K5185">
        <v>0.256</v>
      </c>
      <c r="L5185">
        <v>11147</v>
      </c>
      <c r="M5185">
        <v>2639</v>
      </c>
      <c r="N5185" t="s">
        <v>16393</v>
      </c>
      <c r="O5185" s="4">
        <v>45278</v>
      </c>
      <c r="P5185" s="4">
        <v>75101</v>
      </c>
      <c r="Q5185" s="4">
        <v>120379</v>
      </c>
      <c r="R5185" s="4">
        <v>361137</v>
      </c>
      <c r="S5185" t="s">
        <v>21449</v>
      </c>
      <c r="T5185" s="6">
        <v>34425</v>
      </c>
      <c r="U5185" s="4">
        <v>143000</v>
      </c>
      <c r="X5185" t="s">
        <v>3</v>
      </c>
      <c r="AA5185" s="5" t="str">
        <f>HYPERLINK("https://www.zillow.com/homes/315-CHATHAM-LN-ROSELLE-IL-60172_rb/","check listing")</f>
        <v>check listing</v>
      </c>
      <c r="AB5185" s="5" t="str">
        <f>HYPERLINK("https://propertylookup.dupagecounty.gov/Datalets/Datalet.aspx?UseSearch=no&amp;mode=sales&amp;pin=0205405015","sales record")</f>
        <v>sales record</v>
      </c>
      <c r="AC5185" t="s">
        <v>3</v>
      </c>
      <c r="AD5185">
        <v>41.976992</v>
      </c>
      <c r="AE5185">
        <v>-88.113677</v>
      </c>
      <c r="AF5185" s="5" t="str">
        <f>HYPERLINK("https://www.google.com/maps/search/?api=1&amp;query=41.976992,-88.113677","map")</f>
        <v>map</v>
      </c>
    </row>
    <row r="5186" spans="1:32">
      <c r="A5186" t="s">
        <v>5236</v>
      </c>
      <c r="B5186" t="s">
        <v>12761</v>
      </c>
      <c r="C5186" t="s">
        <v>15842</v>
      </c>
      <c r="D5186" t="s">
        <v>16207</v>
      </c>
      <c r="E5186" t="s">
        <v>16218</v>
      </c>
      <c r="F5186" t="s">
        <v>16221</v>
      </c>
      <c r="G5186" t="s">
        <v>16241</v>
      </c>
      <c r="H5186" t="s">
        <v>16241</v>
      </c>
      <c r="I5186" t="s">
        <v>16355</v>
      </c>
      <c r="J5186" t="s">
        <v>16385</v>
      </c>
      <c r="K5186">
        <v>0.255</v>
      </c>
      <c r="L5186">
        <v>11127</v>
      </c>
      <c r="M5186">
        <v>1781</v>
      </c>
      <c r="N5186" t="s">
        <v>16393</v>
      </c>
      <c r="O5186" s="4">
        <v>45278</v>
      </c>
      <c r="P5186" s="4">
        <v>107601</v>
      </c>
      <c r="Q5186" s="4">
        <v>152879</v>
      </c>
      <c r="R5186" s="4">
        <v>458637</v>
      </c>
      <c r="S5186" t="s">
        <v>21450</v>
      </c>
      <c r="X5186" t="s">
        <v>3</v>
      </c>
      <c r="AA5186" s="5" t="str">
        <f>HYPERLINK("https://www.zillow.com/homes/1280-PEMBROOK-CIR-ROSELLE-IL-601721635_rb/","check listing")</f>
        <v>check listing</v>
      </c>
      <c r="AB5186" s="5" t="str">
        <f>HYPERLINK("https://propertylookup.dupagecounty.gov/Datalets/Datalet.aspx?UseSearch=no&amp;mode=sales&amp;pin=0205402008","sales record")</f>
        <v>sales record</v>
      </c>
      <c r="AC5186" t="s">
        <v>3</v>
      </c>
      <c r="AD5186">
        <v>41.980604</v>
      </c>
      <c r="AE5186">
        <v>-88.11323299999999</v>
      </c>
      <c r="AF5186" s="5" t="str">
        <f>HYPERLINK("https://www.google.com/maps/search/?api=1&amp;query=41.980604,-88.113233","map")</f>
        <v>map</v>
      </c>
    </row>
    <row r="5187" spans="1:32">
      <c r="A5187" t="s">
        <v>5237</v>
      </c>
      <c r="B5187" t="s">
        <v>12762</v>
      </c>
      <c r="C5187" t="s">
        <v>15843</v>
      </c>
      <c r="D5187" t="s">
        <v>16207</v>
      </c>
      <c r="E5187" t="s">
        <v>16218</v>
      </c>
      <c r="F5187" t="s">
        <v>16221</v>
      </c>
      <c r="G5187" t="s">
        <v>16241</v>
      </c>
      <c r="H5187" t="s">
        <v>16241</v>
      </c>
      <c r="I5187" t="s">
        <v>16355</v>
      </c>
      <c r="J5187" t="s">
        <v>16385</v>
      </c>
      <c r="K5187">
        <v>0.254</v>
      </c>
      <c r="L5187">
        <v>11076</v>
      </c>
      <c r="M5187">
        <v>3562</v>
      </c>
      <c r="N5187" t="s">
        <v>16393</v>
      </c>
      <c r="O5187" s="4">
        <v>51351</v>
      </c>
      <c r="P5187" s="4">
        <v>223761</v>
      </c>
      <c r="Q5187" s="4">
        <v>275112</v>
      </c>
      <c r="R5187" s="4">
        <v>825336</v>
      </c>
      <c r="S5187" t="s">
        <v>21451</v>
      </c>
      <c r="T5187" s="6">
        <v>44767</v>
      </c>
      <c r="U5187" s="4">
        <v>705000</v>
      </c>
      <c r="V5187" t="s">
        <v>23741</v>
      </c>
      <c r="W5187" t="s">
        <v>26649</v>
      </c>
      <c r="X5187" t="s">
        <v>3</v>
      </c>
      <c r="AA5187" s="5" t="str">
        <f>HYPERLINK("https://www.zillow.com/homes/1165-BLUE-HERON-WAY-ROSELLE-IL-601724719_rb/","check listing")</f>
        <v>check listing</v>
      </c>
      <c r="AB5187" s="5" t="str">
        <f>HYPERLINK("https://propertylookup.dupagecounty.gov/Datalets/Datalet.aspx?UseSearch=no&amp;mode=sales&amp;pin=0204103021","sales record")</f>
        <v>sales record</v>
      </c>
      <c r="AC5187" t="s">
        <v>3</v>
      </c>
      <c r="AD5187">
        <v>41.984569</v>
      </c>
      <c r="AE5187">
        <v>-88.108943</v>
      </c>
      <c r="AF5187" s="5" t="str">
        <f>HYPERLINK("https://www.google.com/maps/search/?api=1&amp;query=41.984569,-88.108943","map")</f>
        <v>map</v>
      </c>
    </row>
    <row r="5188" spans="1:32">
      <c r="A5188" t="s">
        <v>5238</v>
      </c>
      <c r="B5188" t="s">
        <v>12763</v>
      </c>
      <c r="C5188" t="s">
        <v>15844</v>
      </c>
      <c r="D5188" t="s">
        <v>16207</v>
      </c>
      <c r="E5188" t="s">
        <v>16218</v>
      </c>
      <c r="F5188" t="s">
        <v>16221</v>
      </c>
      <c r="G5188" t="s">
        <v>16241</v>
      </c>
      <c r="H5188" t="s">
        <v>16241</v>
      </c>
      <c r="I5188" t="s">
        <v>16355</v>
      </c>
      <c r="J5188" t="s">
        <v>16385</v>
      </c>
      <c r="K5188">
        <v>0.253</v>
      </c>
      <c r="L5188">
        <v>11002</v>
      </c>
      <c r="M5188">
        <v>2573</v>
      </c>
      <c r="N5188" t="s">
        <v>16393</v>
      </c>
      <c r="O5188" s="4">
        <v>48577</v>
      </c>
      <c r="P5188" s="4">
        <v>175710</v>
      </c>
      <c r="Q5188" s="4">
        <v>224287</v>
      </c>
      <c r="R5188" s="4">
        <v>672861</v>
      </c>
      <c r="S5188" t="s">
        <v>21452</v>
      </c>
      <c r="T5188" s="6">
        <v>35765</v>
      </c>
      <c r="U5188" s="4">
        <v>353200</v>
      </c>
      <c r="X5188" t="s">
        <v>3</v>
      </c>
      <c r="AA5188" s="5" t="str">
        <f>HYPERLINK("https://www.zillow.com/homes/55-FLAMINGO-DR-ROSELLE-IL-601724733_rb/","check listing")</f>
        <v>check listing</v>
      </c>
      <c r="AB5188" s="5" t="str">
        <f>HYPERLINK("https://propertylookup.dupagecounty.gov/Datalets/Datalet.aspx?UseSearch=no&amp;mode=sales&amp;pin=0204101048","sales record")</f>
        <v>sales record</v>
      </c>
      <c r="AC5188" t="s">
        <v>3</v>
      </c>
      <c r="AD5188">
        <v>41.984241</v>
      </c>
      <c r="AE5188">
        <v>-88.105253</v>
      </c>
      <c r="AF5188" s="5" t="str">
        <f>HYPERLINK("https://www.google.com/maps/search/?api=1&amp;query=41.984241,-88.105253","map")</f>
        <v>map</v>
      </c>
    </row>
    <row r="5189" spans="1:32">
      <c r="A5189" t="s">
        <v>5239</v>
      </c>
      <c r="B5189" t="s">
        <v>12764</v>
      </c>
      <c r="C5189" t="s">
        <v>15830</v>
      </c>
      <c r="D5189" t="s">
        <v>16207</v>
      </c>
      <c r="E5189" t="s">
        <v>16218</v>
      </c>
      <c r="F5189" t="s">
        <v>16221</v>
      </c>
      <c r="G5189" t="s">
        <v>16241</v>
      </c>
      <c r="H5189" t="s">
        <v>16241</v>
      </c>
      <c r="I5189" t="s">
        <v>16355</v>
      </c>
      <c r="J5189" t="s">
        <v>16385</v>
      </c>
      <c r="K5189">
        <v>0.251</v>
      </c>
      <c r="L5189">
        <v>10942</v>
      </c>
      <c r="M5189">
        <v>1583</v>
      </c>
      <c r="N5189" t="s">
        <v>16393</v>
      </c>
      <c r="O5189" s="4">
        <v>45278</v>
      </c>
      <c r="P5189" s="4">
        <v>86815</v>
      </c>
      <c r="Q5189" s="4">
        <v>132093</v>
      </c>
      <c r="R5189" s="4">
        <v>396279</v>
      </c>
      <c r="S5189" t="s">
        <v>21453</v>
      </c>
      <c r="T5189" s="6">
        <v>36708</v>
      </c>
      <c r="U5189" s="4">
        <v>190000</v>
      </c>
      <c r="V5189" t="s">
        <v>23739</v>
      </c>
      <c r="W5189" t="s">
        <v>26650</v>
      </c>
      <c r="X5189" t="s">
        <v>3</v>
      </c>
      <c r="AA5189" s="5" t="str">
        <f>HYPERLINK("https://www.zillow.com/homes/110-ANDOVER-DR-ROSELLE-IL-60172_rb/","check listing")</f>
        <v>check listing</v>
      </c>
      <c r="AB5189" s="5" t="str">
        <f>HYPERLINK("https://propertylookup.dupagecounty.gov/Datalets/Datalet.aspx?UseSearch=no&amp;mode=sales&amp;pin=0205402017","sales record")</f>
        <v>sales record</v>
      </c>
      <c r="AC5189" t="s">
        <v>3</v>
      </c>
      <c r="AD5189">
        <v>41.980586</v>
      </c>
      <c r="AE5189">
        <v>-88.112792</v>
      </c>
      <c r="AF5189" s="5" t="str">
        <f>HYPERLINK("https://www.google.com/maps/search/?api=1&amp;query=41.980586,-88.112792","map")</f>
        <v>map</v>
      </c>
    </row>
    <row r="5190" spans="1:32">
      <c r="A5190" t="s">
        <v>5240</v>
      </c>
      <c r="B5190" t="s">
        <v>12765</v>
      </c>
      <c r="C5190" t="s">
        <v>15830</v>
      </c>
      <c r="D5190" t="s">
        <v>16207</v>
      </c>
      <c r="E5190" t="s">
        <v>16218</v>
      </c>
      <c r="F5190" t="s">
        <v>16221</v>
      </c>
      <c r="G5190" t="s">
        <v>16241</v>
      </c>
      <c r="H5190" t="s">
        <v>16241</v>
      </c>
      <c r="I5190" t="s">
        <v>16355</v>
      </c>
      <c r="J5190" t="s">
        <v>16385</v>
      </c>
      <c r="K5190">
        <v>0.25</v>
      </c>
      <c r="L5190">
        <v>10901</v>
      </c>
      <c r="M5190">
        <v>1814</v>
      </c>
      <c r="N5190" t="s">
        <v>16393</v>
      </c>
      <c r="O5190" s="4">
        <v>38692</v>
      </c>
      <c r="P5190" s="4">
        <v>75686</v>
      </c>
      <c r="Q5190" s="4">
        <v>114378</v>
      </c>
      <c r="R5190" s="4">
        <v>343134</v>
      </c>
      <c r="S5190" t="s">
        <v>21454</v>
      </c>
      <c r="T5190" s="6">
        <v>37196</v>
      </c>
      <c r="U5190" s="4">
        <v>225000</v>
      </c>
      <c r="V5190" t="s">
        <v>23739</v>
      </c>
      <c r="W5190" t="s">
        <v>26651</v>
      </c>
      <c r="X5190" t="s">
        <v>3</v>
      </c>
      <c r="AA5190" s="5" t="str">
        <f>HYPERLINK("https://www.zillow.com/homes/751-EDENWOOD-DR-ROSELLE-IL-60172_rb/","check listing")</f>
        <v>check listing</v>
      </c>
      <c r="AB5190" s="5" t="str">
        <f>HYPERLINK("https://propertylookup.dupagecounty.gov/Datalets/Datalet.aspx?UseSearch=no&amp;mode=sales&amp;pin=0209203029","sales record")</f>
        <v>sales record</v>
      </c>
      <c r="AC5190" t="s">
        <v>3</v>
      </c>
      <c r="AD5190">
        <v>41.9721</v>
      </c>
      <c r="AE5190">
        <v>-88.099779</v>
      </c>
      <c r="AF5190" s="5" t="str">
        <f>HYPERLINK("https://www.google.com/maps/search/?api=1&amp;query=41.9721,-88.099779","map")</f>
        <v>map</v>
      </c>
    </row>
    <row r="5191" spans="1:32">
      <c r="A5191" t="s">
        <v>5241</v>
      </c>
      <c r="B5191" t="s">
        <v>12766</v>
      </c>
      <c r="C5191" t="s">
        <v>15830</v>
      </c>
      <c r="D5191" t="s">
        <v>16207</v>
      </c>
      <c r="E5191" t="s">
        <v>16218</v>
      </c>
      <c r="F5191" t="s">
        <v>16221</v>
      </c>
      <c r="G5191" t="s">
        <v>16241</v>
      </c>
      <c r="H5191" t="s">
        <v>16241</v>
      </c>
      <c r="I5191" t="s">
        <v>16355</v>
      </c>
      <c r="J5191" t="s">
        <v>16385</v>
      </c>
      <c r="K5191">
        <v>0.25</v>
      </c>
      <c r="L5191">
        <v>10890</v>
      </c>
      <c r="M5191">
        <v>2540</v>
      </c>
      <c r="N5191" t="s">
        <v>16393</v>
      </c>
      <c r="O5191" s="4">
        <v>45278</v>
      </c>
      <c r="P5191" s="4">
        <v>80886</v>
      </c>
      <c r="Q5191" s="4">
        <v>126164</v>
      </c>
      <c r="R5191" s="4">
        <v>378492</v>
      </c>
      <c r="S5191" t="s">
        <v>21455</v>
      </c>
      <c r="T5191" s="6">
        <v>34090</v>
      </c>
      <c r="U5191" s="4">
        <v>149900</v>
      </c>
      <c r="X5191" t="s">
        <v>3</v>
      </c>
      <c r="AA5191" s="5" t="str">
        <f>HYPERLINK("https://www.zillow.com/homes/1120-HYGATE-DR-ROSELLE-IL-60172_rb/","check listing")</f>
        <v>check listing</v>
      </c>
      <c r="AB5191" s="5" t="str">
        <f>HYPERLINK("https://propertylookup.dupagecounty.gov/Datalets/Datalet.aspx?UseSearch=no&amp;mode=sales&amp;pin=0204309035","sales record")</f>
        <v>sales record</v>
      </c>
      <c r="AC5191" t="s">
        <v>3</v>
      </c>
      <c r="AD5191">
        <v>41.980767</v>
      </c>
      <c r="AE5191">
        <v>-88.108552</v>
      </c>
      <c r="AF5191" s="5" t="str">
        <f>HYPERLINK("https://www.google.com/maps/search/?api=1&amp;query=41.980767,-88.108552","map")</f>
        <v>map</v>
      </c>
    </row>
    <row r="5192" spans="1:32">
      <c r="A5192" t="s">
        <v>5242</v>
      </c>
      <c r="B5192" t="s">
        <v>12767</v>
      </c>
      <c r="C5192" t="s">
        <v>15830</v>
      </c>
      <c r="D5192" t="s">
        <v>16207</v>
      </c>
      <c r="E5192" t="s">
        <v>16218</v>
      </c>
      <c r="F5192" t="s">
        <v>16221</v>
      </c>
      <c r="G5192" t="s">
        <v>16241</v>
      </c>
      <c r="H5192" t="s">
        <v>16241</v>
      </c>
      <c r="I5192" t="s">
        <v>16355</v>
      </c>
      <c r="J5192" t="s">
        <v>16385</v>
      </c>
      <c r="K5192">
        <v>0.249</v>
      </c>
      <c r="L5192">
        <v>10851</v>
      </c>
      <c r="M5192">
        <v>2111</v>
      </c>
      <c r="N5192" t="s">
        <v>16393</v>
      </c>
      <c r="O5192" s="4">
        <v>45278</v>
      </c>
      <c r="P5192" s="4">
        <v>95385</v>
      </c>
      <c r="Q5192" s="4">
        <v>140663</v>
      </c>
      <c r="R5192" s="4">
        <v>421989</v>
      </c>
      <c r="S5192" t="s">
        <v>21456</v>
      </c>
      <c r="T5192" s="6">
        <v>42278</v>
      </c>
      <c r="U5192" s="4">
        <v>231500</v>
      </c>
      <c r="V5192" t="s">
        <v>23739</v>
      </c>
      <c r="W5192" t="s">
        <v>26652</v>
      </c>
      <c r="X5192" t="s">
        <v>3</v>
      </c>
      <c r="AA5192" s="5" t="str">
        <f>HYPERLINK("https://www.zillow.com/homes/500-AVEBURY-LN-ROSELLE-IL-60172_rb/","check listing")</f>
        <v>check listing</v>
      </c>
      <c r="AB5192" s="5" t="str">
        <f>HYPERLINK("https://propertylookup.dupagecounty.gov/Datalets/Datalet.aspx?UseSearch=no&amp;mode=sales&amp;pin=0209213001","sales record")</f>
        <v>sales record</v>
      </c>
      <c r="AC5192" t="s">
        <v>3</v>
      </c>
      <c r="AD5192">
        <v>41.97378</v>
      </c>
      <c r="AE5192">
        <v>-88.098918</v>
      </c>
      <c r="AF5192" s="5" t="str">
        <f>HYPERLINK("https://www.google.com/maps/search/?api=1&amp;query=41.97378,-88.098918","map")</f>
        <v>map</v>
      </c>
    </row>
    <row r="5193" spans="1:32">
      <c r="A5193" t="s">
        <v>5243</v>
      </c>
      <c r="B5193" t="s">
        <v>12768</v>
      </c>
      <c r="C5193" t="s">
        <v>15830</v>
      </c>
      <c r="D5193" t="s">
        <v>16207</v>
      </c>
      <c r="E5193" t="s">
        <v>16218</v>
      </c>
      <c r="F5193" t="s">
        <v>16221</v>
      </c>
      <c r="G5193" t="s">
        <v>16241</v>
      </c>
      <c r="H5193" t="s">
        <v>16241</v>
      </c>
      <c r="I5193" t="s">
        <v>16355</v>
      </c>
      <c r="J5193" t="s">
        <v>16385</v>
      </c>
      <c r="K5193">
        <v>0.247</v>
      </c>
      <c r="L5193">
        <v>10767</v>
      </c>
      <c r="M5193">
        <v>3216</v>
      </c>
      <c r="N5193" t="s">
        <v>16393</v>
      </c>
      <c r="O5193" s="4">
        <v>51278</v>
      </c>
      <c r="P5193" s="4">
        <v>180527</v>
      </c>
      <c r="Q5193" s="4">
        <v>231805</v>
      </c>
      <c r="R5193" s="4">
        <v>695415</v>
      </c>
      <c r="S5193" t="s">
        <v>21457</v>
      </c>
      <c r="T5193" s="6">
        <v>35643</v>
      </c>
      <c r="U5193" s="4">
        <v>390000</v>
      </c>
      <c r="X5193" t="s">
        <v>3</v>
      </c>
      <c r="AA5193" s="5" t="str">
        <f>HYPERLINK("https://www.zillow.com/homes/1120-FLAMINGO-DR-ROSELLE-IL-60172_rb/","check listing")</f>
        <v>check listing</v>
      </c>
      <c r="AB5193" s="5" t="str">
        <f>HYPERLINK("https://propertylookup.dupagecounty.gov/Datalets/Datalet.aspx?UseSearch=no&amp;mode=sales&amp;pin=0204103005","sales record")</f>
        <v>sales record</v>
      </c>
      <c r="AC5193" t="s">
        <v>3</v>
      </c>
      <c r="AD5193">
        <v>41.98428</v>
      </c>
      <c r="AE5193">
        <v>-88.10798200000001</v>
      </c>
      <c r="AF5193" s="5" t="str">
        <f>HYPERLINK("https://www.google.com/maps/search/?api=1&amp;query=41.98428,-88.107982","map")</f>
        <v>map</v>
      </c>
    </row>
    <row r="5194" spans="1:32">
      <c r="A5194" t="s">
        <v>5244</v>
      </c>
      <c r="B5194" t="s">
        <v>12769</v>
      </c>
      <c r="C5194" t="s">
        <v>15830</v>
      </c>
      <c r="D5194" t="s">
        <v>16207</v>
      </c>
      <c r="E5194" t="s">
        <v>16218</v>
      </c>
      <c r="F5194" t="s">
        <v>16221</v>
      </c>
      <c r="G5194" t="s">
        <v>16241</v>
      </c>
      <c r="H5194" t="s">
        <v>16241</v>
      </c>
      <c r="I5194" t="s">
        <v>16355</v>
      </c>
      <c r="J5194" t="s">
        <v>16385</v>
      </c>
      <c r="K5194">
        <v>0.247</v>
      </c>
      <c r="L5194">
        <v>10745</v>
      </c>
      <c r="M5194">
        <v>2969</v>
      </c>
      <c r="N5194" t="s">
        <v>16393</v>
      </c>
      <c r="O5194" s="4">
        <v>54064</v>
      </c>
      <c r="P5194" s="4">
        <v>206764</v>
      </c>
      <c r="Q5194" s="4">
        <v>260828</v>
      </c>
      <c r="R5194" s="4">
        <v>782484</v>
      </c>
      <c r="S5194" t="s">
        <v>21458</v>
      </c>
      <c r="T5194" s="6">
        <v>42675</v>
      </c>
      <c r="U5194" s="4">
        <v>612000</v>
      </c>
      <c r="V5194" t="s">
        <v>23739</v>
      </c>
      <c r="W5194" t="s">
        <v>26653</v>
      </c>
      <c r="X5194" t="s">
        <v>3</v>
      </c>
      <c r="AA5194" s="5" t="str">
        <f>HYPERLINK("https://www.zillow.com/homes/1030-BLUE-BIRD-LN-ROSELLE-IL-60172_rb/","check listing")</f>
        <v>check listing</v>
      </c>
      <c r="AB5194" s="5" t="str">
        <f>HYPERLINK("https://propertylookup.dupagecounty.gov/Datalets/Datalet.aspx?UseSearch=no&amp;mode=sales&amp;pin=0204101058","sales record")</f>
        <v>sales record</v>
      </c>
      <c r="AC5194" t="s">
        <v>3</v>
      </c>
      <c r="AD5194">
        <v>41.986118</v>
      </c>
      <c r="AE5194">
        <v>-88.10553400000001</v>
      </c>
      <c r="AF5194" s="5" t="str">
        <f>HYPERLINK("https://www.google.com/maps/search/?api=1&amp;query=41.986118,-88.105534","map")</f>
        <v>map</v>
      </c>
    </row>
    <row r="5195" spans="1:32">
      <c r="A5195" t="s">
        <v>5245</v>
      </c>
      <c r="B5195" t="s">
        <v>12770</v>
      </c>
      <c r="C5195" t="s">
        <v>15845</v>
      </c>
      <c r="D5195" t="s">
        <v>16207</v>
      </c>
      <c r="E5195" t="s">
        <v>16218</v>
      </c>
      <c r="F5195" t="s">
        <v>16221</v>
      </c>
      <c r="G5195" t="s">
        <v>16241</v>
      </c>
      <c r="H5195" t="s">
        <v>16241</v>
      </c>
      <c r="I5195" t="s">
        <v>16355</v>
      </c>
      <c r="J5195" t="s">
        <v>16385</v>
      </c>
      <c r="K5195">
        <v>0.246</v>
      </c>
      <c r="L5195">
        <v>10734</v>
      </c>
      <c r="M5195">
        <v>1815</v>
      </c>
      <c r="N5195" t="s">
        <v>16393</v>
      </c>
      <c r="O5195" s="4">
        <v>39601</v>
      </c>
      <c r="P5195" s="4">
        <v>111175</v>
      </c>
      <c r="Q5195" s="4">
        <v>150776</v>
      </c>
      <c r="R5195" s="4">
        <v>452328</v>
      </c>
      <c r="S5195" t="s">
        <v>21459</v>
      </c>
      <c r="T5195" s="6">
        <v>43647</v>
      </c>
      <c r="U5195" s="4">
        <v>325000</v>
      </c>
      <c r="V5195" t="s">
        <v>23740</v>
      </c>
      <c r="W5195" t="s">
        <v>26654</v>
      </c>
      <c r="X5195" t="s">
        <v>3</v>
      </c>
      <c r="AA5195" s="5" t="str">
        <f>HYPERLINK("https://www.zillow.com/homes/132-S-ROSELLE-RD-ROSELLE-IL-601722054_rb/","check listing")</f>
        <v>check listing</v>
      </c>
      <c r="AB5195" s="5" t="str">
        <f>HYPERLINK("https://propertylookup.dupagecounty.gov/Datalets/Datalet.aspx?UseSearch=no&amp;mode=sales&amp;pin=0203311017","sales record")</f>
        <v>sales record</v>
      </c>
      <c r="AC5195" t="s">
        <v>3</v>
      </c>
      <c r="AD5195">
        <v>41.980723</v>
      </c>
      <c r="AE5195">
        <v>-88.08066100000001</v>
      </c>
      <c r="AF5195" s="5" t="str">
        <f>HYPERLINK("https://www.google.com/maps/search/?api=1&amp;query=41.980723,-88.080661","map")</f>
        <v>map</v>
      </c>
    </row>
    <row r="5196" spans="1:32">
      <c r="A5196" t="s">
        <v>5246</v>
      </c>
      <c r="B5196" t="s">
        <v>12771</v>
      </c>
      <c r="C5196" t="s">
        <v>15830</v>
      </c>
      <c r="D5196" t="s">
        <v>16207</v>
      </c>
      <c r="E5196" t="s">
        <v>16218</v>
      </c>
      <c r="F5196" t="s">
        <v>16221</v>
      </c>
      <c r="G5196" t="s">
        <v>16241</v>
      </c>
      <c r="H5196" t="s">
        <v>16241</v>
      </c>
      <c r="I5196" t="s">
        <v>16355</v>
      </c>
      <c r="J5196" t="s">
        <v>16385</v>
      </c>
      <c r="K5196">
        <v>0.245</v>
      </c>
      <c r="L5196">
        <v>10689</v>
      </c>
      <c r="M5196">
        <v>1715</v>
      </c>
      <c r="N5196" t="s">
        <v>16393</v>
      </c>
      <c r="O5196" s="4">
        <v>38692</v>
      </c>
      <c r="P5196" s="4">
        <v>55546</v>
      </c>
      <c r="Q5196" s="4">
        <v>94238</v>
      </c>
      <c r="R5196" s="4">
        <v>282714</v>
      </c>
      <c r="S5196" t="s">
        <v>21460</v>
      </c>
      <c r="T5196" s="6">
        <v>37803</v>
      </c>
      <c r="U5196" s="4">
        <v>180000</v>
      </c>
      <c r="V5196" t="s">
        <v>23739</v>
      </c>
      <c r="W5196" t="s">
        <v>26655</v>
      </c>
      <c r="X5196" t="s">
        <v>3</v>
      </c>
      <c r="AA5196" s="5" t="str">
        <f>HYPERLINK("https://www.zillow.com/homes/710-BERWICK-PL-ROSELLE-IL-60172_rb/","check listing")</f>
        <v>check listing</v>
      </c>
      <c r="AB5196" s="5" t="str">
        <f>HYPERLINK("https://propertylookup.dupagecounty.gov/Datalets/Datalet.aspx?UseSearch=no&amp;mode=sales&amp;pin=0208205027","sales record")</f>
        <v>sales record</v>
      </c>
      <c r="AC5196" t="s">
        <v>3</v>
      </c>
      <c r="AD5196">
        <v>41.969936</v>
      </c>
      <c r="AE5196">
        <v>-88.11216899999999</v>
      </c>
      <c r="AF5196" s="5" t="str">
        <f>HYPERLINK("https://www.google.com/maps/search/?api=1&amp;query=41.969936,-88.112169","map")</f>
        <v>map</v>
      </c>
    </row>
    <row r="5197" spans="1:32">
      <c r="A5197" t="s">
        <v>5247</v>
      </c>
      <c r="B5197" t="s">
        <v>12772</v>
      </c>
      <c r="C5197" t="s">
        <v>15846</v>
      </c>
      <c r="D5197" t="s">
        <v>16207</v>
      </c>
      <c r="E5197" t="s">
        <v>16218</v>
      </c>
      <c r="F5197" t="s">
        <v>16221</v>
      </c>
      <c r="G5197" t="s">
        <v>16241</v>
      </c>
      <c r="H5197" t="s">
        <v>16241</v>
      </c>
      <c r="I5197" t="s">
        <v>16355</v>
      </c>
      <c r="J5197" t="s">
        <v>16385</v>
      </c>
      <c r="K5197">
        <v>0.245</v>
      </c>
      <c r="L5197">
        <v>10686</v>
      </c>
      <c r="M5197">
        <v>3464</v>
      </c>
      <c r="N5197" t="s">
        <v>16393</v>
      </c>
      <c r="O5197" s="4">
        <v>51351</v>
      </c>
      <c r="P5197" s="4">
        <v>191094</v>
      </c>
      <c r="Q5197" s="4">
        <v>242445</v>
      </c>
      <c r="R5197" s="4">
        <v>727335</v>
      </c>
      <c r="S5197" t="s">
        <v>21461</v>
      </c>
      <c r="T5197" s="6">
        <v>36039</v>
      </c>
      <c r="U5197" s="4">
        <v>472900</v>
      </c>
      <c r="X5197" t="s">
        <v>3</v>
      </c>
      <c r="AA5197" s="5" t="str">
        <f>HYPERLINK("https://www.zillow.com/homes/1070-FLAMINGO-DR-ROSELLE-IL-601724730_rb/","check listing")</f>
        <v>check listing</v>
      </c>
      <c r="AB5197" s="5" t="str">
        <f>HYPERLINK("https://propertylookup.dupagecounty.gov/Datalets/Datalet.aspx?UseSearch=no&amp;mode=sales&amp;pin=0204103010","sales record")</f>
        <v>sales record</v>
      </c>
      <c r="AC5197" t="s">
        <v>3</v>
      </c>
      <c r="AD5197">
        <v>41.983582</v>
      </c>
      <c r="AE5197">
        <v>-88.106989</v>
      </c>
      <c r="AF5197" s="5" t="str">
        <f>HYPERLINK("https://www.google.com/maps/search/?api=1&amp;query=41.983582,-88.106989","map")</f>
        <v>map</v>
      </c>
    </row>
    <row r="5198" spans="1:32">
      <c r="A5198" t="s">
        <v>5248</v>
      </c>
      <c r="B5198" t="s">
        <v>12773</v>
      </c>
      <c r="C5198" t="s">
        <v>15830</v>
      </c>
      <c r="D5198" t="s">
        <v>16207</v>
      </c>
      <c r="E5198" t="s">
        <v>16218</v>
      </c>
      <c r="F5198" t="s">
        <v>16221</v>
      </c>
      <c r="G5198" t="s">
        <v>16241</v>
      </c>
      <c r="H5198" t="s">
        <v>16241</v>
      </c>
      <c r="I5198" t="s">
        <v>16355</v>
      </c>
      <c r="J5198" t="s">
        <v>16385</v>
      </c>
      <c r="K5198">
        <v>0.245</v>
      </c>
      <c r="L5198">
        <v>10682</v>
      </c>
      <c r="M5198">
        <v>3166</v>
      </c>
      <c r="N5198" t="s">
        <v>16393</v>
      </c>
      <c r="O5198" s="4">
        <v>54793</v>
      </c>
      <c r="P5198" s="4">
        <v>213840</v>
      </c>
      <c r="Q5198" s="4">
        <v>268633</v>
      </c>
      <c r="R5198" s="4">
        <v>805899</v>
      </c>
      <c r="S5198" t="s">
        <v>21462</v>
      </c>
      <c r="T5198" s="6">
        <v>38384</v>
      </c>
      <c r="U5198" s="4">
        <v>688750</v>
      </c>
      <c r="V5198" t="s">
        <v>23739</v>
      </c>
      <c r="W5198" t="s">
        <v>26656</v>
      </c>
      <c r="X5198" t="s">
        <v>3</v>
      </c>
      <c r="AA5198" s="5" t="str">
        <f>HYPERLINK("https://www.zillow.com/homes/27-N-ANDOVER-DR-ROSELLE-IL-60172_rb/","check listing")</f>
        <v>check listing</v>
      </c>
      <c r="AB5198" s="5" t="str">
        <f>HYPERLINK("https://propertylookup.dupagecounty.gov/Datalets/Datalet.aspx?UseSearch=no&amp;mode=sales&amp;pin=0205232005","sales record")</f>
        <v>sales record</v>
      </c>
      <c r="AC5198" t="s">
        <v>3</v>
      </c>
      <c r="AD5198">
        <v>41.983277</v>
      </c>
      <c r="AE5198">
        <v>-88.11193</v>
      </c>
      <c r="AF5198" s="5" t="str">
        <f>HYPERLINK("https://www.google.com/maps/search/?api=1&amp;query=41.983277,-88.11193","map")</f>
        <v>map</v>
      </c>
    </row>
    <row r="5199" spans="1:32">
      <c r="A5199" t="s">
        <v>5249</v>
      </c>
      <c r="B5199" t="s">
        <v>12774</v>
      </c>
      <c r="C5199" t="s">
        <v>15830</v>
      </c>
      <c r="D5199" t="s">
        <v>16207</v>
      </c>
      <c r="E5199" t="s">
        <v>16218</v>
      </c>
      <c r="F5199" t="s">
        <v>16221</v>
      </c>
      <c r="G5199" t="s">
        <v>16241</v>
      </c>
      <c r="H5199" t="s">
        <v>16241</v>
      </c>
      <c r="I5199" t="s">
        <v>16355</v>
      </c>
      <c r="J5199" t="s">
        <v>16385</v>
      </c>
      <c r="K5199">
        <v>0.244</v>
      </c>
      <c r="L5199">
        <v>10642</v>
      </c>
      <c r="M5199">
        <v>1847</v>
      </c>
      <c r="N5199" t="s">
        <v>16393</v>
      </c>
      <c r="O5199" s="4">
        <v>45278</v>
      </c>
      <c r="P5199" s="4">
        <v>102724</v>
      </c>
      <c r="Q5199" s="4">
        <v>148002</v>
      </c>
      <c r="R5199" s="4">
        <v>444006</v>
      </c>
      <c r="S5199" t="s">
        <v>21463</v>
      </c>
      <c r="X5199" t="s">
        <v>3</v>
      </c>
      <c r="AA5199" s="5" t="str">
        <f>HYPERLINK("https://www.zillow.com/homes/1300-COVENTRY-CT-ROSELLE-IL-60172_rb/","check listing")</f>
        <v>check listing</v>
      </c>
      <c r="AB5199" s="5" t="str">
        <f>HYPERLINK("https://propertylookup.dupagecounty.gov/Datalets/Datalet.aspx?UseSearch=no&amp;mode=sales&amp;pin=0205401053","sales record")</f>
        <v>sales record</v>
      </c>
      <c r="AC5199" t="s">
        <v>3</v>
      </c>
      <c r="AD5199">
        <v>41.982272</v>
      </c>
      <c r="AE5199">
        <v>-88.113613</v>
      </c>
      <c r="AF5199" s="5" t="str">
        <f>HYPERLINK("https://www.google.com/maps/search/?api=1&amp;query=41.982272,-88.113613","map")</f>
        <v>map</v>
      </c>
    </row>
    <row r="5200" spans="1:32">
      <c r="A5200" t="s">
        <v>5250</v>
      </c>
      <c r="B5200" t="s">
        <v>12775</v>
      </c>
      <c r="C5200" t="s">
        <v>15830</v>
      </c>
      <c r="D5200" t="s">
        <v>16207</v>
      </c>
      <c r="E5200" t="s">
        <v>16218</v>
      </c>
      <c r="F5200" t="s">
        <v>16221</v>
      </c>
      <c r="G5200" t="s">
        <v>16241</v>
      </c>
      <c r="H5200" t="s">
        <v>16241</v>
      </c>
      <c r="I5200" t="s">
        <v>16355</v>
      </c>
      <c r="J5200" t="s">
        <v>16385</v>
      </c>
      <c r="K5200">
        <v>0.244</v>
      </c>
      <c r="L5200">
        <v>10642</v>
      </c>
      <c r="M5200">
        <v>2308</v>
      </c>
      <c r="N5200" t="s">
        <v>16393</v>
      </c>
      <c r="O5200" s="4">
        <v>58797</v>
      </c>
      <c r="P5200" s="4">
        <v>139958</v>
      </c>
      <c r="Q5200" s="4">
        <v>198755</v>
      </c>
      <c r="R5200" s="4">
        <v>596265</v>
      </c>
      <c r="S5200" t="s">
        <v>21464</v>
      </c>
      <c r="T5200" s="6">
        <v>36008</v>
      </c>
      <c r="U5200" s="4">
        <v>247492</v>
      </c>
      <c r="X5200" t="s">
        <v>3</v>
      </c>
      <c r="AA5200" s="5" t="str">
        <f>HYPERLINK("https://www.zillow.com/homes/520-PRIMROSE-CIR-ROSELLE-IL-60172_rb/","check listing")</f>
        <v>check listing</v>
      </c>
      <c r="AB5200" s="5" t="str">
        <f>HYPERLINK("https://propertylookup.dupagecounty.gov/Datalets/Datalet.aspx?UseSearch=no&amp;mode=sales&amp;pin=0209202074","sales record")</f>
        <v>sales record</v>
      </c>
      <c r="AC5200" t="s">
        <v>3</v>
      </c>
      <c r="AD5200">
        <v>41.973687</v>
      </c>
      <c r="AE5200">
        <v>-88.096593</v>
      </c>
      <c r="AF5200" s="5" t="str">
        <f>HYPERLINK("https://www.google.com/maps/search/?api=1&amp;query=41.973687,-88.096593","map")</f>
        <v>map</v>
      </c>
    </row>
    <row r="5201" spans="1:32">
      <c r="A5201" t="s">
        <v>5251</v>
      </c>
      <c r="B5201" t="s">
        <v>12776</v>
      </c>
      <c r="C5201" t="s">
        <v>15830</v>
      </c>
      <c r="D5201" t="s">
        <v>16207</v>
      </c>
      <c r="E5201" t="s">
        <v>16218</v>
      </c>
      <c r="F5201" t="s">
        <v>16221</v>
      </c>
      <c r="G5201" t="s">
        <v>16241</v>
      </c>
      <c r="H5201" t="s">
        <v>16241</v>
      </c>
      <c r="I5201" t="s">
        <v>16355</v>
      </c>
      <c r="J5201" t="s">
        <v>16385</v>
      </c>
      <c r="K5201">
        <v>0.244</v>
      </c>
      <c r="L5201">
        <v>10607</v>
      </c>
      <c r="M5201">
        <v>1319</v>
      </c>
      <c r="N5201" t="s">
        <v>16393</v>
      </c>
      <c r="O5201" s="4">
        <v>38692</v>
      </c>
      <c r="P5201" s="4">
        <v>75974</v>
      </c>
      <c r="Q5201" s="4">
        <v>114666</v>
      </c>
      <c r="R5201" s="4">
        <v>343998</v>
      </c>
      <c r="S5201" t="s">
        <v>21465</v>
      </c>
      <c r="T5201" s="6">
        <v>41214</v>
      </c>
      <c r="U5201" s="4">
        <v>195000</v>
      </c>
      <c r="V5201" t="s">
        <v>23739</v>
      </c>
      <c r="W5201" t="s">
        <v>26657</v>
      </c>
      <c r="X5201" t="s">
        <v>3</v>
      </c>
      <c r="AA5201" s="5" t="str">
        <f>HYPERLINK("https://www.zillow.com/homes/570-ROMFORD-CT-ROSELLE-IL-60172_rb/","check listing")</f>
        <v>check listing</v>
      </c>
      <c r="AB5201" s="5" t="str">
        <f>HYPERLINK("https://propertylookup.dupagecounty.gov/Datalets/Datalet.aspx?UseSearch=no&amp;mode=sales&amp;pin=0209101009","sales record")</f>
        <v>sales record</v>
      </c>
      <c r="AC5201" t="s">
        <v>3</v>
      </c>
      <c r="AD5201">
        <v>41.972452</v>
      </c>
      <c r="AE5201">
        <v>-88.103948</v>
      </c>
      <c r="AF5201" s="5" t="str">
        <f>HYPERLINK("https://www.google.com/maps/search/?api=1&amp;query=41.972452,-88.103948","map")</f>
        <v>map</v>
      </c>
    </row>
    <row r="5202" spans="1:32">
      <c r="A5202" t="s">
        <v>5252</v>
      </c>
      <c r="B5202" t="s">
        <v>12777</v>
      </c>
      <c r="C5202" t="s">
        <v>15830</v>
      </c>
      <c r="D5202" t="s">
        <v>16207</v>
      </c>
      <c r="E5202" t="s">
        <v>16218</v>
      </c>
      <c r="F5202" t="s">
        <v>16221</v>
      </c>
      <c r="G5202" t="s">
        <v>16241</v>
      </c>
      <c r="H5202" t="s">
        <v>16241</v>
      </c>
      <c r="I5202" t="s">
        <v>16355</v>
      </c>
      <c r="J5202" t="s">
        <v>16385</v>
      </c>
      <c r="K5202">
        <v>0.242</v>
      </c>
      <c r="L5202">
        <v>10558</v>
      </c>
      <c r="M5202">
        <v>2970</v>
      </c>
      <c r="N5202" t="s">
        <v>16393</v>
      </c>
      <c r="O5202" s="4">
        <v>54793</v>
      </c>
      <c r="P5202" s="4">
        <v>188093</v>
      </c>
      <c r="Q5202" s="4">
        <v>242886</v>
      </c>
      <c r="R5202" s="4">
        <v>728658</v>
      </c>
      <c r="S5202" t="s">
        <v>21466</v>
      </c>
      <c r="T5202" s="6">
        <v>42887</v>
      </c>
      <c r="U5202" s="4">
        <v>541000</v>
      </c>
      <c r="V5202" t="s">
        <v>23739</v>
      </c>
      <c r="W5202" t="s">
        <v>21466</v>
      </c>
      <c r="X5202" t="s">
        <v>3</v>
      </c>
      <c r="AA5202" s="5" t="str">
        <f>HYPERLINK("https://www.zillow.com/homes/37-N-ANDOVER-DR-ROSELLE-IL-60172_rb/","check listing")</f>
        <v>check listing</v>
      </c>
      <c r="AB5202" s="5" t="str">
        <f>HYPERLINK("https://propertylookup.dupagecounty.gov/Datalets/Datalet.aspx?UseSearch=no&amp;mode=sales&amp;pin=0205232003","sales record")</f>
        <v>sales record</v>
      </c>
      <c r="AC5202" t="s">
        <v>3</v>
      </c>
      <c r="AD5202">
        <v>41.9835</v>
      </c>
      <c r="AE5202">
        <v>-88.111923</v>
      </c>
      <c r="AF5202" s="5" t="str">
        <f>HYPERLINK("https://www.google.com/maps/search/?api=1&amp;query=41.9835,-88.111923","map")</f>
        <v>map</v>
      </c>
    </row>
    <row r="5203" spans="1:32">
      <c r="A5203" t="s">
        <v>5253</v>
      </c>
      <c r="B5203" t="s">
        <v>12778</v>
      </c>
      <c r="C5203" t="s">
        <v>15830</v>
      </c>
      <c r="D5203" t="s">
        <v>16207</v>
      </c>
      <c r="E5203" t="s">
        <v>16218</v>
      </c>
      <c r="F5203" t="s">
        <v>16221</v>
      </c>
      <c r="G5203" t="s">
        <v>16241</v>
      </c>
      <c r="H5203" t="s">
        <v>16241</v>
      </c>
      <c r="I5203" t="s">
        <v>16355</v>
      </c>
      <c r="J5203" t="s">
        <v>16385</v>
      </c>
      <c r="K5203">
        <v>0.242</v>
      </c>
      <c r="L5203">
        <v>10533</v>
      </c>
      <c r="M5203">
        <v>3232</v>
      </c>
      <c r="N5203" t="s">
        <v>16393</v>
      </c>
      <c r="O5203" s="4">
        <v>51327</v>
      </c>
      <c r="P5203" s="4">
        <v>163566</v>
      </c>
      <c r="Q5203" s="4">
        <v>214893</v>
      </c>
      <c r="R5203" s="4">
        <v>644679</v>
      </c>
      <c r="S5203" t="s">
        <v>21467</v>
      </c>
      <c r="T5203" s="6">
        <v>41334</v>
      </c>
      <c r="U5203" s="4">
        <v>452000</v>
      </c>
      <c r="V5203" t="s">
        <v>23740</v>
      </c>
      <c r="W5203" t="s">
        <v>26658</v>
      </c>
      <c r="X5203" t="s">
        <v>3</v>
      </c>
      <c r="AA5203" s="5" t="str">
        <f>HYPERLINK("https://www.zillow.com/homes/1150-BLUE-HERON-WAY-ROSELLE-IL-60172_rb/","check listing")</f>
        <v>check listing</v>
      </c>
      <c r="AB5203" s="5" t="str">
        <f>HYPERLINK("https://propertylookup.dupagecounty.gov/Datalets/Datalet.aspx?UseSearch=no&amp;mode=sales&amp;pin=0204104015","sales record")</f>
        <v>sales record</v>
      </c>
      <c r="AC5203" t="s">
        <v>3</v>
      </c>
      <c r="AD5203">
        <v>41.985168</v>
      </c>
      <c r="AE5203">
        <v>-88.10879799999999</v>
      </c>
      <c r="AF5203" s="5" t="str">
        <f>HYPERLINK("https://www.google.com/maps/search/?api=1&amp;query=41.985168,-88.108798","map")</f>
        <v>map</v>
      </c>
    </row>
    <row r="5204" spans="1:32">
      <c r="A5204" t="s">
        <v>5254</v>
      </c>
      <c r="B5204" t="s">
        <v>12779</v>
      </c>
      <c r="C5204" t="s">
        <v>15847</v>
      </c>
      <c r="D5204" t="s">
        <v>16207</v>
      </c>
      <c r="E5204" t="s">
        <v>16218</v>
      </c>
      <c r="F5204" t="s">
        <v>16221</v>
      </c>
      <c r="G5204" t="s">
        <v>16241</v>
      </c>
      <c r="H5204" t="s">
        <v>16241</v>
      </c>
      <c r="I5204" t="s">
        <v>16355</v>
      </c>
      <c r="J5204" t="s">
        <v>16385</v>
      </c>
      <c r="K5204">
        <v>0.241</v>
      </c>
      <c r="L5204">
        <v>10483</v>
      </c>
      <c r="M5204">
        <v>2144</v>
      </c>
      <c r="N5204" t="s">
        <v>16393</v>
      </c>
      <c r="O5204" s="4">
        <v>45278</v>
      </c>
      <c r="P5204" s="4">
        <v>75136</v>
      </c>
      <c r="Q5204" s="4">
        <v>120414</v>
      </c>
      <c r="R5204" s="4">
        <v>361242</v>
      </c>
      <c r="S5204" t="s">
        <v>21468</v>
      </c>
      <c r="T5204" s="6">
        <v>36831</v>
      </c>
      <c r="U5204" s="4">
        <v>180521</v>
      </c>
      <c r="V5204" t="s">
        <v>23739</v>
      </c>
      <c r="W5204" t="s">
        <v>26659</v>
      </c>
      <c r="X5204" t="s">
        <v>3</v>
      </c>
      <c r="AA5204" s="5" t="str">
        <f>HYPERLINK("https://www.zillow.com/homes/280-STOCKPORT-CT-ROSELLE-IL-601721671_rb/","check listing")</f>
        <v>check listing</v>
      </c>
      <c r="AB5204" s="5" t="str">
        <f>HYPERLINK("https://propertylookup.dupagecounty.gov/Datalets/Datalet.aspx?UseSearch=no&amp;mode=sales&amp;pin=0205406002","sales record")</f>
        <v>sales record</v>
      </c>
      <c r="AC5204" t="s">
        <v>3</v>
      </c>
      <c r="AD5204">
        <v>41.977555</v>
      </c>
      <c r="AE5204">
        <v>-88.112831</v>
      </c>
      <c r="AF5204" s="5" t="str">
        <f>HYPERLINK("https://www.google.com/maps/search/?api=1&amp;query=41.977555,-88.112831","map")</f>
        <v>map</v>
      </c>
    </row>
    <row r="5205" spans="1:32">
      <c r="A5205" t="s">
        <v>5255</v>
      </c>
      <c r="B5205" t="s">
        <v>12780</v>
      </c>
      <c r="C5205" t="s">
        <v>15830</v>
      </c>
      <c r="D5205" t="s">
        <v>16207</v>
      </c>
      <c r="E5205" t="s">
        <v>16218</v>
      </c>
      <c r="F5205" t="s">
        <v>16221</v>
      </c>
      <c r="G5205" t="s">
        <v>16241</v>
      </c>
      <c r="H5205" t="s">
        <v>16241</v>
      </c>
      <c r="I5205" t="s">
        <v>16355</v>
      </c>
      <c r="J5205" t="s">
        <v>16385</v>
      </c>
      <c r="K5205">
        <v>0.24</v>
      </c>
      <c r="L5205">
        <v>10473</v>
      </c>
      <c r="M5205">
        <v>1996</v>
      </c>
      <c r="N5205" t="s">
        <v>16393</v>
      </c>
      <c r="O5205" s="4">
        <v>58797</v>
      </c>
      <c r="P5205" s="4">
        <v>101101</v>
      </c>
      <c r="Q5205" s="4">
        <v>159898</v>
      </c>
      <c r="R5205" s="4">
        <v>479694</v>
      </c>
      <c r="S5205" t="s">
        <v>21469</v>
      </c>
      <c r="T5205" s="6">
        <v>35643</v>
      </c>
      <c r="U5205" s="4">
        <v>259697</v>
      </c>
      <c r="X5205" t="s">
        <v>3</v>
      </c>
      <c r="AA5205" s="5" t="str">
        <f>HYPERLINK("https://www.zillow.com/homes/540-PRIMROSE-CIR-ROSELLE-IL-60172_rb/","check listing")</f>
        <v>check listing</v>
      </c>
      <c r="AB5205" s="5" t="str">
        <f>HYPERLINK("https://propertylookup.dupagecounty.gov/Datalets/Datalet.aspx?UseSearch=no&amp;mode=sales&amp;pin=0209202076","sales record")</f>
        <v>sales record</v>
      </c>
      <c r="AC5205" t="s">
        <v>3</v>
      </c>
      <c r="AD5205">
        <v>41.973364</v>
      </c>
      <c r="AE5205">
        <v>-88.09692200000001</v>
      </c>
      <c r="AF5205" s="5" t="str">
        <f>HYPERLINK("https://www.google.com/maps/search/?api=1&amp;query=41.973364,-88.096922","map")</f>
        <v>map</v>
      </c>
    </row>
    <row r="5206" spans="1:32">
      <c r="A5206" t="s">
        <v>5256</v>
      </c>
      <c r="B5206" t="s">
        <v>12781</v>
      </c>
      <c r="C5206" t="s">
        <v>15830</v>
      </c>
      <c r="D5206" t="s">
        <v>16207</v>
      </c>
      <c r="E5206" t="s">
        <v>16218</v>
      </c>
      <c r="F5206" t="s">
        <v>16221</v>
      </c>
      <c r="G5206" t="s">
        <v>16241</v>
      </c>
      <c r="H5206" t="s">
        <v>16241</v>
      </c>
      <c r="I5206" t="s">
        <v>16355</v>
      </c>
      <c r="J5206" t="s">
        <v>16385</v>
      </c>
      <c r="K5206">
        <v>0.24</v>
      </c>
      <c r="L5206">
        <v>10452</v>
      </c>
      <c r="M5206">
        <v>1979</v>
      </c>
      <c r="N5206" t="s">
        <v>16393</v>
      </c>
      <c r="O5206" s="4">
        <v>45278</v>
      </c>
      <c r="P5206" s="4">
        <v>105163</v>
      </c>
      <c r="Q5206" s="4">
        <v>150441</v>
      </c>
      <c r="R5206" s="4">
        <v>451323</v>
      </c>
      <c r="S5206" t="s">
        <v>21470</v>
      </c>
      <c r="T5206" s="6">
        <v>43586</v>
      </c>
      <c r="U5206" s="4">
        <v>339900</v>
      </c>
      <c r="V5206" t="s">
        <v>23739</v>
      </c>
      <c r="W5206" t="s">
        <v>26660</v>
      </c>
      <c r="X5206" t="s">
        <v>3</v>
      </c>
      <c r="AA5206" s="5" t="str">
        <f>HYPERLINK("https://www.zillow.com/homes/1220-ANDOVER-DR-ROSELLE-IL-60172_rb/","check listing")</f>
        <v>check listing</v>
      </c>
      <c r="AB5206" s="5" t="str">
        <f>HYPERLINK("https://propertylookup.dupagecounty.gov/Datalets/Datalet.aspx?UseSearch=no&amp;mode=sales&amp;pin=0205409013","sales record")</f>
        <v>sales record</v>
      </c>
      <c r="AC5206" t="s">
        <v>3</v>
      </c>
      <c r="AD5206">
        <v>41.98063</v>
      </c>
      <c r="AE5206">
        <v>-88.111203</v>
      </c>
      <c r="AF5206" s="5" t="str">
        <f>HYPERLINK("https://www.google.com/maps/search/?api=1&amp;query=41.98063,-88.111203","map")</f>
        <v>map</v>
      </c>
    </row>
    <row r="5207" spans="1:32">
      <c r="A5207" t="s">
        <v>5257</v>
      </c>
      <c r="B5207" t="s">
        <v>12782</v>
      </c>
      <c r="C5207" t="s">
        <v>15830</v>
      </c>
      <c r="D5207" t="s">
        <v>16207</v>
      </c>
      <c r="E5207" t="s">
        <v>16218</v>
      </c>
      <c r="F5207" t="s">
        <v>16221</v>
      </c>
      <c r="G5207" t="s">
        <v>16241</v>
      </c>
      <c r="H5207" t="s">
        <v>16241</v>
      </c>
      <c r="I5207" t="s">
        <v>16355</v>
      </c>
      <c r="J5207" t="s">
        <v>16385</v>
      </c>
      <c r="K5207">
        <v>0.239</v>
      </c>
      <c r="L5207">
        <v>10418</v>
      </c>
      <c r="M5207">
        <v>3694</v>
      </c>
      <c r="N5207" t="s">
        <v>16393</v>
      </c>
      <c r="O5207" s="4">
        <v>51351</v>
      </c>
      <c r="P5207" s="4">
        <v>196221</v>
      </c>
      <c r="Q5207" s="4">
        <v>247572</v>
      </c>
      <c r="R5207" s="4">
        <v>742716</v>
      </c>
      <c r="S5207" t="s">
        <v>21471</v>
      </c>
      <c r="T5207" s="6">
        <v>45770</v>
      </c>
      <c r="U5207" s="4">
        <v>790000</v>
      </c>
      <c r="V5207" t="s">
        <v>23739</v>
      </c>
      <c r="W5207" t="s">
        <v>26661</v>
      </c>
      <c r="X5207" t="s">
        <v>3</v>
      </c>
      <c r="AA5207" s="5" t="str">
        <f>HYPERLINK("https://www.zillow.com/homes/1060-FLAMINGO-DR-ROSELLE-IL-60172_rb/","check listing")</f>
        <v>check listing</v>
      </c>
      <c r="AB5207" s="5" t="str">
        <f>HYPERLINK("https://propertylookup.dupagecounty.gov/Datalets/Datalet.aspx?UseSearch=no&amp;mode=sales&amp;pin=0204103011","sales record")</f>
        <v>sales record</v>
      </c>
      <c r="AC5207" t="s">
        <v>3</v>
      </c>
      <c r="AD5207">
        <v>41.98392</v>
      </c>
      <c r="AE5207">
        <v>-88.106785</v>
      </c>
      <c r="AF5207" s="5" t="str">
        <f>HYPERLINK("https://www.google.com/maps/search/?api=1&amp;query=41.98392,-88.106785","map")</f>
        <v>map</v>
      </c>
    </row>
    <row r="5208" spans="1:32">
      <c r="A5208" t="s">
        <v>5258</v>
      </c>
      <c r="B5208" t="s">
        <v>12783</v>
      </c>
      <c r="C5208" t="s">
        <v>15830</v>
      </c>
      <c r="D5208" t="s">
        <v>16207</v>
      </c>
      <c r="E5208" t="s">
        <v>16218</v>
      </c>
      <c r="F5208" t="s">
        <v>16221</v>
      </c>
      <c r="G5208" t="s">
        <v>16241</v>
      </c>
      <c r="H5208" t="s">
        <v>16241</v>
      </c>
      <c r="I5208" t="s">
        <v>16355</v>
      </c>
      <c r="J5208" t="s">
        <v>16385</v>
      </c>
      <c r="K5208">
        <v>0.238</v>
      </c>
      <c r="L5208">
        <v>10385</v>
      </c>
      <c r="M5208">
        <v>1979</v>
      </c>
      <c r="N5208" t="s">
        <v>16393</v>
      </c>
      <c r="O5208" s="4">
        <v>51351</v>
      </c>
      <c r="P5208" s="4">
        <v>167773</v>
      </c>
      <c r="Q5208" s="4">
        <v>219124</v>
      </c>
      <c r="R5208" s="4">
        <v>657372</v>
      </c>
      <c r="S5208" t="s">
        <v>21472</v>
      </c>
      <c r="T5208" s="6">
        <v>39295</v>
      </c>
      <c r="U5208" s="4">
        <v>580000</v>
      </c>
      <c r="V5208" t="s">
        <v>23739</v>
      </c>
      <c r="W5208" t="s">
        <v>26662</v>
      </c>
      <c r="X5208" t="s">
        <v>3</v>
      </c>
      <c r="AA5208" s="5" t="str">
        <f>HYPERLINK("https://www.zillow.com/homes/1110-BLUE-HERON-WAY-ROSELLE-IL-60172_rb/","check listing")</f>
        <v>check listing</v>
      </c>
      <c r="AB5208" s="5" t="str">
        <f>HYPERLINK("https://propertylookup.dupagecounty.gov/Datalets/Datalet.aspx?UseSearch=no&amp;mode=sales&amp;pin=0204104011","sales record")</f>
        <v>sales record</v>
      </c>
      <c r="AC5208" t="s">
        <v>3</v>
      </c>
      <c r="AD5208">
        <v>41.985116</v>
      </c>
      <c r="AE5208">
        <v>-88.107636</v>
      </c>
      <c r="AF5208" s="5" t="str">
        <f>HYPERLINK("https://www.google.com/maps/search/?api=1&amp;query=41.985116,-88.107636","map")</f>
        <v>map</v>
      </c>
    </row>
    <row r="5209" spans="1:32">
      <c r="A5209" t="s">
        <v>5259</v>
      </c>
      <c r="B5209" t="s">
        <v>12784</v>
      </c>
      <c r="C5209" t="s">
        <v>15830</v>
      </c>
      <c r="D5209" t="s">
        <v>16207</v>
      </c>
      <c r="E5209" t="s">
        <v>16218</v>
      </c>
      <c r="F5209" t="s">
        <v>16221</v>
      </c>
      <c r="G5209" t="s">
        <v>16241</v>
      </c>
      <c r="H5209" t="s">
        <v>16241</v>
      </c>
      <c r="I5209" t="s">
        <v>16355</v>
      </c>
      <c r="J5209" t="s">
        <v>16385</v>
      </c>
      <c r="K5209">
        <v>0.238</v>
      </c>
      <c r="L5209">
        <v>10369</v>
      </c>
      <c r="M5209">
        <v>1926</v>
      </c>
      <c r="N5209" t="s">
        <v>16393</v>
      </c>
      <c r="O5209" s="4">
        <v>38692</v>
      </c>
      <c r="P5209" s="4">
        <v>55546</v>
      </c>
      <c r="Q5209" s="4">
        <v>94238</v>
      </c>
      <c r="R5209" s="4">
        <v>282714</v>
      </c>
      <c r="S5209" t="s">
        <v>21473</v>
      </c>
      <c r="T5209" s="6">
        <v>38169</v>
      </c>
      <c r="U5209" s="4">
        <v>214000</v>
      </c>
      <c r="V5209" t="s">
        <v>23739</v>
      </c>
      <c r="W5209" t="s">
        <v>26663</v>
      </c>
      <c r="X5209" t="s">
        <v>3</v>
      </c>
      <c r="AA5209" s="5" t="str">
        <f>HYPERLINK("https://www.zillow.com/homes/644-STAFFORD-DR-ROSELLE-IL-60172_rb/","check listing")</f>
        <v>check listing</v>
      </c>
      <c r="AB5209" s="5" t="str">
        <f>HYPERLINK("https://propertylookup.dupagecounty.gov/Datalets/Datalet.aspx?UseSearch=no&amp;mode=sales&amp;pin=0209119031","sales record")</f>
        <v>sales record</v>
      </c>
      <c r="AC5209" t="s">
        <v>3</v>
      </c>
      <c r="AD5209">
        <v>41.971695</v>
      </c>
      <c r="AE5209">
        <v>-88.110399</v>
      </c>
      <c r="AF5209" s="5" t="str">
        <f>HYPERLINK("https://www.google.com/maps/search/?api=1&amp;query=41.971695,-88.110399","map")</f>
        <v>map</v>
      </c>
    </row>
    <row r="5210" spans="1:32">
      <c r="A5210" t="s">
        <v>5260</v>
      </c>
      <c r="B5210" t="s">
        <v>12785</v>
      </c>
      <c r="C5210" t="s">
        <v>15830</v>
      </c>
      <c r="D5210" t="s">
        <v>16207</v>
      </c>
      <c r="E5210" t="s">
        <v>16218</v>
      </c>
      <c r="F5210" t="s">
        <v>16221</v>
      </c>
      <c r="G5210" t="s">
        <v>16241</v>
      </c>
      <c r="H5210" t="s">
        <v>16241</v>
      </c>
      <c r="I5210" t="s">
        <v>16355</v>
      </c>
      <c r="J5210" t="s">
        <v>16385</v>
      </c>
      <c r="K5210">
        <v>0.238</v>
      </c>
      <c r="L5210">
        <v>10348</v>
      </c>
      <c r="M5210">
        <v>1716</v>
      </c>
      <c r="N5210" t="s">
        <v>16393</v>
      </c>
      <c r="O5210" s="4">
        <v>45278</v>
      </c>
      <c r="P5210" s="4">
        <v>74540</v>
      </c>
      <c r="Q5210" s="4">
        <v>119818</v>
      </c>
      <c r="R5210" s="4">
        <v>359454</v>
      </c>
      <c r="S5210" t="s">
        <v>21474</v>
      </c>
      <c r="T5210" s="6">
        <v>37469</v>
      </c>
      <c r="U5210" s="4">
        <v>224500</v>
      </c>
      <c r="V5210" t="s">
        <v>23740</v>
      </c>
      <c r="W5210" t="s">
        <v>26664</v>
      </c>
      <c r="X5210" t="s">
        <v>3</v>
      </c>
      <c r="AA5210" s="5" t="str">
        <f>HYPERLINK("https://www.zillow.com/homes/1301-COVENTRY-CT-ROSELLE-IL-60172_rb/","check listing")</f>
        <v>check listing</v>
      </c>
      <c r="AB5210" s="5" t="str">
        <f>HYPERLINK("https://propertylookup.dupagecounty.gov/Datalets/Datalet.aspx?UseSearch=no&amp;mode=sales&amp;pin=0205401058","sales record")</f>
        <v>sales record</v>
      </c>
      <c r="AC5210" t="s">
        <v>3</v>
      </c>
      <c r="AD5210">
        <v>41.981702</v>
      </c>
      <c r="AE5210">
        <v>-88.11360000000001</v>
      </c>
      <c r="AF5210" s="5" t="str">
        <f>HYPERLINK("https://www.google.com/maps/search/?api=1&amp;query=41.981702,-88.1136","map")</f>
        <v>map</v>
      </c>
    </row>
    <row r="5211" spans="1:32">
      <c r="A5211" t="s">
        <v>5261</v>
      </c>
      <c r="B5211" t="s">
        <v>12786</v>
      </c>
      <c r="C5211" t="s">
        <v>15830</v>
      </c>
      <c r="D5211" t="s">
        <v>16207</v>
      </c>
      <c r="E5211" t="s">
        <v>16218</v>
      </c>
      <c r="F5211" t="s">
        <v>16221</v>
      </c>
      <c r="G5211" t="s">
        <v>16241</v>
      </c>
      <c r="H5211" t="s">
        <v>16241</v>
      </c>
      <c r="I5211" t="s">
        <v>16355</v>
      </c>
      <c r="J5211" t="s">
        <v>16385</v>
      </c>
      <c r="K5211">
        <v>0.237</v>
      </c>
      <c r="L5211">
        <v>10332</v>
      </c>
      <c r="M5211">
        <v>3100</v>
      </c>
      <c r="N5211" t="s">
        <v>16393</v>
      </c>
      <c r="O5211" s="4">
        <v>58797</v>
      </c>
      <c r="P5211" s="4">
        <v>144955</v>
      </c>
      <c r="Q5211" s="4">
        <v>203752</v>
      </c>
      <c r="R5211" s="4">
        <v>611256</v>
      </c>
      <c r="S5211" t="s">
        <v>21475</v>
      </c>
      <c r="T5211" s="6">
        <v>41334</v>
      </c>
      <c r="U5211" s="4">
        <v>315000</v>
      </c>
      <c r="V5211" t="s">
        <v>23740</v>
      </c>
      <c r="W5211" t="s">
        <v>26665</v>
      </c>
      <c r="X5211" t="s">
        <v>3</v>
      </c>
      <c r="AA5211" s="5" t="str">
        <f>HYPERLINK("https://www.zillow.com/homes/535-PRIMROSE-CIR-ROSELLE-IL-60172_rb/","check listing")</f>
        <v>check listing</v>
      </c>
      <c r="AB5211" s="5" t="str">
        <f>HYPERLINK("https://propertylookup.dupagecounty.gov/Datalets/Datalet.aspx?UseSearch=no&amp;mode=sales&amp;pin=0209202079","sales record")</f>
        <v>sales record</v>
      </c>
      <c r="AC5211" t="s">
        <v>3</v>
      </c>
      <c r="AD5211">
        <v>41.972988</v>
      </c>
      <c r="AE5211">
        <v>-88.09636399999999</v>
      </c>
      <c r="AF5211" s="5" t="str">
        <f>HYPERLINK("https://www.google.com/maps/search/?api=1&amp;query=41.972988,-88.096364","map")</f>
        <v>map</v>
      </c>
    </row>
    <row r="5212" spans="1:32">
      <c r="A5212" t="s">
        <v>5262</v>
      </c>
      <c r="B5212" t="s">
        <v>12787</v>
      </c>
      <c r="C5212" t="s">
        <v>15830</v>
      </c>
      <c r="D5212" t="s">
        <v>16207</v>
      </c>
      <c r="E5212" t="s">
        <v>16218</v>
      </c>
      <c r="F5212" t="s">
        <v>16221</v>
      </c>
      <c r="G5212" t="s">
        <v>16241</v>
      </c>
      <c r="H5212" t="s">
        <v>16241</v>
      </c>
      <c r="I5212" t="s">
        <v>16355</v>
      </c>
      <c r="J5212" t="s">
        <v>16385</v>
      </c>
      <c r="K5212">
        <v>0.237</v>
      </c>
      <c r="L5212">
        <v>10331</v>
      </c>
      <c r="M5212">
        <v>890</v>
      </c>
      <c r="N5212" t="s">
        <v>16393</v>
      </c>
      <c r="O5212" s="4">
        <v>45278</v>
      </c>
      <c r="P5212" s="4">
        <v>93067</v>
      </c>
      <c r="Q5212" s="4">
        <v>138345</v>
      </c>
      <c r="R5212" s="4">
        <v>415035</v>
      </c>
      <c r="S5212" t="s">
        <v>21476</v>
      </c>
      <c r="T5212" s="6">
        <v>46036</v>
      </c>
      <c r="U5212" s="4">
        <v>435000</v>
      </c>
      <c r="V5212" t="s">
        <v>23739</v>
      </c>
      <c r="W5212" t="s">
        <v>26666</v>
      </c>
      <c r="X5212" t="s">
        <v>3</v>
      </c>
      <c r="AA5212" s="5" t="str">
        <f>HYPERLINK("https://www.zillow.com/homes/745-EDENWOOD-DR-ROSELLE-IL-60172_rb/","check listing")</f>
        <v>check listing</v>
      </c>
      <c r="AB5212" s="5" t="str">
        <f>HYPERLINK("https://propertylookup.dupagecounty.gov/Datalets/Datalet.aspx?UseSearch=no&amp;mode=sales&amp;pin=0209203030","sales record")</f>
        <v>sales record</v>
      </c>
      <c r="AC5212" t="s">
        <v>3</v>
      </c>
      <c r="AD5212">
        <v>41.972105</v>
      </c>
      <c r="AE5212">
        <v>-88.09940400000001</v>
      </c>
      <c r="AF5212" s="5" t="str">
        <f>HYPERLINK("https://www.google.com/maps/search/?api=1&amp;query=41.972105,-88.099404","map")</f>
        <v>map</v>
      </c>
    </row>
    <row r="5213" spans="1:32">
      <c r="A5213" t="s">
        <v>5263</v>
      </c>
      <c r="B5213" t="s">
        <v>12788</v>
      </c>
      <c r="C5213" t="s">
        <v>15830</v>
      </c>
      <c r="D5213" t="s">
        <v>16207</v>
      </c>
      <c r="E5213" t="s">
        <v>16218</v>
      </c>
      <c r="F5213" t="s">
        <v>16221</v>
      </c>
      <c r="G5213" t="s">
        <v>16241</v>
      </c>
      <c r="H5213" t="s">
        <v>16241</v>
      </c>
      <c r="I5213" t="s">
        <v>16355</v>
      </c>
      <c r="J5213" t="s">
        <v>16385</v>
      </c>
      <c r="K5213">
        <v>0.237</v>
      </c>
      <c r="L5213">
        <v>10329</v>
      </c>
      <c r="M5213">
        <v>1847</v>
      </c>
      <c r="N5213" t="s">
        <v>16393</v>
      </c>
      <c r="O5213" s="4">
        <v>45278</v>
      </c>
      <c r="P5213" s="4">
        <v>104039</v>
      </c>
      <c r="Q5213" s="4">
        <v>149317</v>
      </c>
      <c r="R5213" s="4">
        <v>447951</v>
      </c>
      <c r="S5213" t="s">
        <v>21477</v>
      </c>
      <c r="T5213" s="6">
        <v>30682</v>
      </c>
      <c r="U5213" s="4">
        <v>98000</v>
      </c>
      <c r="X5213" t="s">
        <v>3</v>
      </c>
      <c r="AA5213" s="5" t="str">
        <f>HYPERLINK("https://www.zillow.com/homes/400-AVEBURY-CT-ROSELLE-IL-60172_rb/","check listing")</f>
        <v>check listing</v>
      </c>
      <c r="AB5213" s="5" t="str">
        <f>HYPERLINK("https://propertylookup.dupagecounty.gov/Datalets/Datalet.aspx?UseSearch=no&amp;mode=sales&amp;pin=0209211009","sales record")</f>
        <v>sales record</v>
      </c>
      <c r="AC5213" t="s">
        <v>3</v>
      </c>
      <c r="AD5213">
        <v>41.97548</v>
      </c>
      <c r="AE5213">
        <v>-88.099873</v>
      </c>
      <c r="AF5213" s="5" t="str">
        <f>HYPERLINK("https://www.google.com/maps/search/?api=1&amp;query=41.97548,-88.099873","map")</f>
        <v>map</v>
      </c>
    </row>
    <row r="5214" spans="1:32">
      <c r="A5214" t="s">
        <v>5264</v>
      </c>
      <c r="B5214" t="s">
        <v>12789</v>
      </c>
      <c r="C5214" t="s">
        <v>15830</v>
      </c>
      <c r="D5214" t="s">
        <v>16207</v>
      </c>
      <c r="E5214" t="s">
        <v>16218</v>
      </c>
      <c r="F5214" t="s">
        <v>16221</v>
      </c>
      <c r="G5214" t="s">
        <v>16241</v>
      </c>
      <c r="H5214" t="s">
        <v>16241</v>
      </c>
      <c r="I5214" t="s">
        <v>16355</v>
      </c>
      <c r="J5214" t="s">
        <v>16385</v>
      </c>
      <c r="K5214">
        <v>0.237</v>
      </c>
      <c r="L5214">
        <v>10318</v>
      </c>
      <c r="M5214">
        <v>2834</v>
      </c>
      <c r="N5214" t="s">
        <v>16393</v>
      </c>
      <c r="O5214" s="4">
        <v>45278</v>
      </c>
      <c r="P5214" s="4">
        <v>63758</v>
      </c>
      <c r="Q5214" s="4">
        <v>109036</v>
      </c>
      <c r="R5214" s="4">
        <v>327108</v>
      </c>
      <c r="S5214" t="s">
        <v>21478</v>
      </c>
      <c r="T5214" s="6">
        <v>41456</v>
      </c>
      <c r="U5214" s="4">
        <v>180000</v>
      </c>
      <c r="V5214" t="s">
        <v>16232</v>
      </c>
      <c r="W5214" t="s">
        <v>26667</v>
      </c>
      <c r="X5214" t="s">
        <v>3</v>
      </c>
      <c r="AA5214" s="5" t="str">
        <f>HYPERLINK("https://www.zillow.com/homes/349-BRIGHTON-BAY-ROSELLE-IL-60172_rb/","check listing")</f>
        <v>check listing</v>
      </c>
      <c r="AB5214" s="5" t="str">
        <f>HYPERLINK("https://propertylookup.dupagecounty.gov/Datalets/Datalet.aspx?UseSearch=no&amp;mode=sales&amp;pin=0205401033","sales record")</f>
        <v>sales record</v>
      </c>
      <c r="AC5214" t="s">
        <v>3</v>
      </c>
      <c r="AD5214">
        <v>41.976138</v>
      </c>
      <c r="AE5214">
        <v>-88.114374</v>
      </c>
      <c r="AF5214" s="5" t="str">
        <f>HYPERLINK("https://www.google.com/maps/search/?api=1&amp;query=41.976138,-88.114374","map")</f>
        <v>map</v>
      </c>
    </row>
    <row r="5215" spans="1:32">
      <c r="A5215" t="s">
        <v>5265</v>
      </c>
      <c r="B5215" t="s">
        <v>12790</v>
      </c>
      <c r="C5215" t="s">
        <v>15830</v>
      </c>
      <c r="D5215" t="s">
        <v>16207</v>
      </c>
      <c r="E5215" t="s">
        <v>16218</v>
      </c>
      <c r="F5215" t="s">
        <v>16221</v>
      </c>
      <c r="G5215" t="s">
        <v>16241</v>
      </c>
      <c r="H5215" t="s">
        <v>16241</v>
      </c>
      <c r="I5215" t="s">
        <v>16355</v>
      </c>
      <c r="J5215" t="s">
        <v>16385</v>
      </c>
      <c r="K5215">
        <v>0.236</v>
      </c>
      <c r="L5215">
        <v>10278</v>
      </c>
      <c r="M5215">
        <v>3084</v>
      </c>
      <c r="N5215" t="s">
        <v>16393</v>
      </c>
      <c r="O5215" s="4">
        <v>54064</v>
      </c>
      <c r="P5215" s="4">
        <v>162765</v>
      </c>
      <c r="Q5215" s="4">
        <v>216829</v>
      </c>
      <c r="R5215" s="4">
        <v>650487</v>
      </c>
      <c r="S5215" t="s">
        <v>21479</v>
      </c>
      <c r="T5215" s="6">
        <v>42005</v>
      </c>
      <c r="U5215" s="4">
        <v>450000</v>
      </c>
      <c r="V5215" t="s">
        <v>23739</v>
      </c>
      <c r="W5215" t="s">
        <v>26668</v>
      </c>
      <c r="X5215" t="s">
        <v>3</v>
      </c>
      <c r="AA5215" s="5" t="str">
        <f>HYPERLINK("https://www.zillow.com/homes/1130-BLUEBIRD-ROSELLE-IL-60172_rb/","check listing")</f>
        <v>check listing</v>
      </c>
      <c r="AB5215" s="5" t="str">
        <f>HYPERLINK("https://propertylookup.dupagecounty.gov/Datalets/Datalet.aspx?UseSearch=no&amp;mode=sales&amp;pin=0204101068","sales record")</f>
        <v>sales record</v>
      </c>
      <c r="AC5215" t="s">
        <v>3</v>
      </c>
      <c r="AD5215">
        <v>41.986034</v>
      </c>
      <c r="AE5215">
        <v>-88.108175</v>
      </c>
      <c r="AF5215" s="5" t="str">
        <f>HYPERLINK("https://www.google.com/maps/search/?api=1&amp;query=41.986034,-88.108175","map")</f>
        <v>map</v>
      </c>
    </row>
    <row r="5216" spans="1:32">
      <c r="A5216" t="s">
        <v>5266</v>
      </c>
      <c r="B5216" t="s">
        <v>12791</v>
      </c>
      <c r="C5216" t="s">
        <v>15848</v>
      </c>
      <c r="D5216" t="s">
        <v>16207</v>
      </c>
      <c r="E5216" t="s">
        <v>16218</v>
      </c>
      <c r="F5216" t="s">
        <v>16221</v>
      </c>
      <c r="G5216" t="s">
        <v>16241</v>
      </c>
      <c r="H5216" t="s">
        <v>16241</v>
      </c>
      <c r="I5216" t="s">
        <v>16355</v>
      </c>
      <c r="J5216" t="s">
        <v>16385</v>
      </c>
      <c r="K5216">
        <v>0.236</v>
      </c>
      <c r="L5216">
        <v>10278</v>
      </c>
      <c r="M5216">
        <v>2519</v>
      </c>
      <c r="N5216" t="s">
        <v>16393</v>
      </c>
      <c r="O5216" s="4">
        <v>54064</v>
      </c>
      <c r="P5216" s="4">
        <v>163566</v>
      </c>
      <c r="Q5216" s="4">
        <v>217630</v>
      </c>
      <c r="R5216" s="4">
        <v>652890</v>
      </c>
      <c r="S5216" t="s">
        <v>21480</v>
      </c>
      <c r="T5216" s="6">
        <v>45027</v>
      </c>
      <c r="U5216" s="4">
        <v>570000</v>
      </c>
      <c r="V5216" t="s">
        <v>23739</v>
      </c>
      <c r="W5216" t="s">
        <v>26669</v>
      </c>
      <c r="X5216" t="s">
        <v>3</v>
      </c>
      <c r="AA5216" s="5" t="str">
        <f>HYPERLINK("https://www.zillow.com/homes/1140-BLUEBIRD-LN-ROSELLE-IL-601724721_rb/","check listing")</f>
        <v>check listing</v>
      </c>
      <c r="AB5216" s="5" t="str">
        <f>HYPERLINK("https://propertylookup.dupagecounty.gov/Datalets/Datalet.aspx?UseSearch=no&amp;mode=sales&amp;pin=0204101069","sales record")</f>
        <v>sales record</v>
      </c>
      <c r="AC5216" t="s">
        <v>3</v>
      </c>
      <c r="AD5216">
        <v>41.986025</v>
      </c>
      <c r="AE5216">
        <v>-88.10843199999999</v>
      </c>
      <c r="AF5216" s="5" t="str">
        <f>HYPERLINK("https://www.google.com/maps/search/?api=1&amp;query=41.986025,-88.108432","map")</f>
        <v>map</v>
      </c>
    </row>
    <row r="5217" spans="1:32">
      <c r="A5217" t="s">
        <v>5267</v>
      </c>
      <c r="B5217" t="s">
        <v>12792</v>
      </c>
      <c r="C5217" t="s">
        <v>15830</v>
      </c>
      <c r="D5217" t="s">
        <v>16207</v>
      </c>
      <c r="E5217" t="s">
        <v>16218</v>
      </c>
      <c r="F5217" t="s">
        <v>16221</v>
      </c>
      <c r="G5217" t="s">
        <v>16241</v>
      </c>
      <c r="H5217" t="s">
        <v>16241</v>
      </c>
      <c r="I5217" t="s">
        <v>16355</v>
      </c>
      <c r="J5217" t="s">
        <v>16385</v>
      </c>
      <c r="K5217">
        <v>0.236</v>
      </c>
      <c r="L5217">
        <v>10266</v>
      </c>
      <c r="M5217">
        <v>3562</v>
      </c>
      <c r="N5217" t="s">
        <v>16393</v>
      </c>
      <c r="O5217" s="4">
        <v>51351</v>
      </c>
      <c r="P5217" s="4">
        <v>186575</v>
      </c>
      <c r="Q5217" s="4">
        <v>237926</v>
      </c>
      <c r="R5217" s="4">
        <v>713778</v>
      </c>
      <c r="S5217" t="s">
        <v>21481</v>
      </c>
      <c r="T5217" s="6">
        <v>35217</v>
      </c>
      <c r="U5217" s="4">
        <v>81200</v>
      </c>
      <c r="X5217" t="s">
        <v>3</v>
      </c>
      <c r="AA5217" s="5" t="str">
        <f>HYPERLINK("https://www.zillow.com/homes/1160-BLUE-HERON-WAY-ROSELLE-IL-60172_rb/","check listing")</f>
        <v>check listing</v>
      </c>
      <c r="AB5217" s="5" t="str">
        <f>HYPERLINK("https://propertylookup.dupagecounty.gov/Datalets/Datalet.aspx?UseSearch=no&amp;mode=sales&amp;pin=0204104001","sales record")</f>
        <v>sales record</v>
      </c>
      <c r="AC5217" t="s">
        <v>3</v>
      </c>
      <c r="AD5217">
        <v>41.984936</v>
      </c>
      <c r="AE5217">
        <v>-88.109151</v>
      </c>
      <c r="AF5217" s="5" t="str">
        <f>HYPERLINK("https://www.google.com/maps/search/?api=1&amp;query=41.984936,-88.109151","map")</f>
        <v>map</v>
      </c>
    </row>
    <row r="5218" spans="1:32">
      <c r="A5218" t="s">
        <v>5268</v>
      </c>
      <c r="B5218" t="s">
        <v>12793</v>
      </c>
      <c r="C5218" t="s">
        <v>15833</v>
      </c>
      <c r="D5218" t="s">
        <v>16207</v>
      </c>
      <c r="E5218" t="s">
        <v>16218</v>
      </c>
      <c r="F5218" t="s">
        <v>16221</v>
      </c>
      <c r="G5218" t="s">
        <v>16241</v>
      </c>
      <c r="H5218" t="s">
        <v>16241</v>
      </c>
      <c r="I5218" t="s">
        <v>16355</v>
      </c>
      <c r="J5218" t="s">
        <v>16385</v>
      </c>
      <c r="K5218">
        <v>0.235</v>
      </c>
      <c r="L5218">
        <v>10245</v>
      </c>
      <c r="M5218">
        <v>1954</v>
      </c>
      <c r="N5218" t="s">
        <v>16393</v>
      </c>
      <c r="O5218" s="4">
        <v>45278</v>
      </c>
      <c r="P5218" s="4">
        <v>86815</v>
      </c>
      <c r="Q5218" s="4">
        <v>132093</v>
      </c>
      <c r="R5218" s="4">
        <v>396279</v>
      </c>
      <c r="S5218" t="s">
        <v>21482</v>
      </c>
      <c r="T5218" s="6">
        <v>44409</v>
      </c>
      <c r="U5218" s="4">
        <v>360000</v>
      </c>
      <c r="V5218" t="s">
        <v>23739</v>
      </c>
      <c r="W5218" t="s">
        <v>21482</v>
      </c>
      <c r="X5218" t="s">
        <v>3</v>
      </c>
      <c r="AA5218" s="5" t="str">
        <f>HYPERLINK("https://www.zillow.com/homes/800-BRANDYWINE-DR-ROSELLE-IL-601722805_rb/","check listing")</f>
        <v>check listing</v>
      </c>
      <c r="AB5218" s="5" t="str">
        <f>HYPERLINK("https://propertylookup.dupagecounty.gov/Datalets/Datalet.aspx?UseSearch=no&amp;mode=sales&amp;pin=0209211001","sales record")</f>
        <v>sales record</v>
      </c>
      <c r="AC5218" t="s">
        <v>3</v>
      </c>
      <c r="AD5218">
        <v>41.975205</v>
      </c>
      <c r="AE5218">
        <v>-88.100601</v>
      </c>
      <c r="AF5218" s="5" t="str">
        <f>HYPERLINK("https://www.google.com/maps/search/?api=1&amp;query=41.975205,-88.100601","map")</f>
        <v>map</v>
      </c>
    </row>
    <row r="5219" spans="1:32">
      <c r="A5219" t="s">
        <v>5269</v>
      </c>
      <c r="B5219" t="s">
        <v>12794</v>
      </c>
      <c r="C5219" t="s">
        <v>15849</v>
      </c>
      <c r="D5219" t="s">
        <v>16207</v>
      </c>
      <c r="E5219" t="s">
        <v>16218</v>
      </c>
      <c r="F5219" t="s">
        <v>16221</v>
      </c>
      <c r="G5219" t="s">
        <v>16241</v>
      </c>
      <c r="H5219" t="s">
        <v>16241</v>
      </c>
      <c r="I5219" t="s">
        <v>16355</v>
      </c>
      <c r="J5219" t="s">
        <v>16385</v>
      </c>
      <c r="K5219">
        <v>0.235</v>
      </c>
      <c r="L5219">
        <v>10228</v>
      </c>
      <c r="M5219">
        <v>1978</v>
      </c>
      <c r="N5219" t="s">
        <v>16393</v>
      </c>
      <c r="O5219" s="4">
        <v>38692</v>
      </c>
      <c r="P5219" s="4">
        <v>76189</v>
      </c>
      <c r="Q5219" s="4">
        <v>114881</v>
      </c>
      <c r="R5219" s="4">
        <v>344643</v>
      </c>
      <c r="S5219" t="s">
        <v>21483</v>
      </c>
      <c r="T5219" s="6">
        <v>34394</v>
      </c>
      <c r="U5219" s="4">
        <v>140000</v>
      </c>
      <c r="X5219" t="s">
        <v>3</v>
      </c>
      <c r="AA5219" s="5" t="str">
        <f>HYPERLINK("https://www.zillow.com/homes/835-WOODSIDE-DR-ROSELLE-IL-601722725_rb/","check listing")</f>
        <v>check listing</v>
      </c>
      <c r="AB5219" s="5" t="str">
        <f>HYPERLINK("https://propertylookup.dupagecounty.gov/Datalets/Datalet.aspx?UseSearch=no&amp;mode=sales&amp;pin=0209305005","sales record")</f>
        <v>sales record</v>
      </c>
      <c r="AC5219" t="s">
        <v>3</v>
      </c>
      <c r="AD5219">
        <v>41.967401</v>
      </c>
      <c r="AE5219">
        <v>-88.10449800000001</v>
      </c>
      <c r="AF5219" s="5" t="str">
        <f>HYPERLINK("https://www.google.com/maps/search/?api=1&amp;query=41.967401,-88.104498","map")</f>
        <v>map</v>
      </c>
    </row>
    <row r="5220" spans="1:32">
      <c r="A5220" t="s">
        <v>5270</v>
      </c>
      <c r="B5220" t="s">
        <v>12795</v>
      </c>
      <c r="C5220" t="s">
        <v>15830</v>
      </c>
      <c r="D5220" t="s">
        <v>16207</v>
      </c>
      <c r="E5220" t="s">
        <v>16218</v>
      </c>
      <c r="F5220" t="s">
        <v>16221</v>
      </c>
      <c r="G5220" t="s">
        <v>16241</v>
      </c>
      <c r="H5220" t="s">
        <v>16241</v>
      </c>
      <c r="I5220" t="s">
        <v>16355</v>
      </c>
      <c r="J5220" t="s">
        <v>16385</v>
      </c>
      <c r="K5220">
        <v>0.234</v>
      </c>
      <c r="L5220">
        <v>10203</v>
      </c>
      <c r="M5220">
        <v>2794</v>
      </c>
      <c r="N5220" t="s">
        <v>16393</v>
      </c>
      <c r="O5220" s="4">
        <v>54793</v>
      </c>
      <c r="P5220" s="4">
        <v>193879</v>
      </c>
      <c r="Q5220" s="4">
        <v>248672</v>
      </c>
      <c r="R5220" s="4">
        <v>746016</v>
      </c>
      <c r="S5220" t="s">
        <v>21484</v>
      </c>
      <c r="T5220" s="6">
        <v>45503</v>
      </c>
      <c r="U5220" s="4">
        <v>665000</v>
      </c>
      <c r="V5220" t="s">
        <v>23739</v>
      </c>
      <c r="W5220" t="s">
        <v>26670</v>
      </c>
      <c r="X5220" t="s">
        <v>3</v>
      </c>
      <c r="AA5220" s="5" t="str">
        <f>HYPERLINK("https://www.zillow.com/homes/35-CLAIR-CT-ROSELLE-IL-60172_rb/","check listing")</f>
        <v>check listing</v>
      </c>
      <c r="AB5220" s="5" t="str">
        <f>HYPERLINK("https://propertylookup.dupagecounty.gov/Datalets/Datalet.aspx?UseSearch=no&amp;mode=sales&amp;pin=0205232015","sales record")</f>
        <v>sales record</v>
      </c>
      <c r="AC5220" t="s">
        <v>3</v>
      </c>
      <c r="AD5220">
        <v>41.983539</v>
      </c>
      <c r="AE5220">
        <v>-88.11081799999999</v>
      </c>
      <c r="AF5220" s="5" t="str">
        <f>HYPERLINK("https://www.google.com/maps/search/?api=1&amp;query=41.983539,-88.110818","map")</f>
        <v>map</v>
      </c>
    </row>
    <row r="5221" spans="1:32">
      <c r="A5221" t="s">
        <v>5271</v>
      </c>
      <c r="B5221" t="s">
        <v>12796</v>
      </c>
      <c r="C5221" t="s">
        <v>15830</v>
      </c>
      <c r="D5221" t="s">
        <v>16207</v>
      </c>
      <c r="E5221" t="s">
        <v>16218</v>
      </c>
      <c r="F5221" t="s">
        <v>16221</v>
      </c>
      <c r="G5221" t="s">
        <v>16241</v>
      </c>
      <c r="H5221" t="s">
        <v>16241</v>
      </c>
      <c r="I5221" t="s">
        <v>16355</v>
      </c>
      <c r="J5221" t="s">
        <v>16385</v>
      </c>
      <c r="K5221">
        <v>0.233</v>
      </c>
      <c r="L5221">
        <v>10166</v>
      </c>
      <c r="M5221">
        <v>3002</v>
      </c>
      <c r="N5221" t="s">
        <v>16393</v>
      </c>
      <c r="O5221" s="4">
        <v>48577</v>
      </c>
      <c r="P5221" s="4">
        <v>188774</v>
      </c>
      <c r="Q5221" s="4">
        <v>237351</v>
      </c>
      <c r="R5221" s="4">
        <v>712053</v>
      </c>
      <c r="S5221" t="s">
        <v>21485</v>
      </c>
      <c r="T5221" s="6">
        <v>39600</v>
      </c>
      <c r="U5221" s="4">
        <v>605000</v>
      </c>
      <c r="V5221" t="s">
        <v>23739</v>
      </c>
      <c r="W5221" t="s">
        <v>26671</v>
      </c>
      <c r="X5221" t="s">
        <v>3</v>
      </c>
      <c r="AA5221" s="5" t="str">
        <f>HYPERLINK("https://www.zillow.com/homes/135-FLAMINGO-DR-ROSELLE-IL-60172_rb/","check listing")</f>
        <v>check listing</v>
      </c>
      <c r="AB5221" s="5" t="str">
        <f>HYPERLINK("https://propertylookup.dupagecounty.gov/Datalets/Datalet.aspx?UseSearch=no&amp;mode=sales&amp;pin=0204101056","sales record")</f>
        <v>sales record</v>
      </c>
      <c r="AC5221" t="s">
        <v>3</v>
      </c>
      <c r="AD5221">
        <v>41.985962</v>
      </c>
      <c r="AE5221">
        <v>-88.105048</v>
      </c>
      <c r="AF5221" s="5" t="str">
        <f>HYPERLINK("https://www.google.com/maps/search/?api=1&amp;query=41.985962,-88.105048","map")</f>
        <v>map</v>
      </c>
    </row>
    <row r="5222" spans="1:32">
      <c r="A5222" t="s">
        <v>5272</v>
      </c>
      <c r="B5222" t="s">
        <v>12797</v>
      </c>
      <c r="C5222" t="s">
        <v>15830</v>
      </c>
      <c r="D5222" t="s">
        <v>16207</v>
      </c>
      <c r="E5222" t="s">
        <v>16218</v>
      </c>
      <c r="F5222" t="s">
        <v>16221</v>
      </c>
      <c r="G5222" t="s">
        <v>16241</v>
      </c>
      <c r="H5222" t="s">
        <v>16241</v>
      </c>
      <c r="I5222" t="s">
        <v>16355</v>
      </c>
      <c r="J5222" t="s">
        <v>16385</v>
      </c>
      <c r="K5222">
        <v>0.233</v>
      </c>
      <c r="L5222">
        <v>10164</v>
      </c>
      <c r="M5222">
        <v>3363</v>
      </c>
      <c r="N5222" t="s">
        <v>16393</v>
      </c>
      <c r="O5222" s="4">
        <v>51278</v>
      </c>
      <c r="P5222" s="4">
        <v>179846</v>
      </c>
      <c r="Q5222" s="4">
        <v>231124</v>
      </c>
      <c r="R5222" s="4">
        <v>693372</v>
      </c>
      <c r="S5222" t="s">
        <v>21486</v>
      </c>
      <c r="T5222" s="6">
        <v>37043</v>
      </c>
      <c r="U5222" s="4">
        <v>610000</v>
      </c>
      <c r="V5222" t="s">
        <v>23739</v>
      </c>
      <c r="W5222" t="s">
        <v>26672</v>
      </c>
      <c r="X5222" t="s">
        <v>3</v>
      </c>
      <c r="AA5222" s="5" t="str">
        <f>HYPERLINK("https://www.zillow.com/homes/1095-FLAMINGO-ROSELLE-IL-60172_rb/","check listing")</f>
        <v>check listing</v>
      </c>
      <c r="AB5222" s="5" t="str">
        <f>HYPERLINK("https://propertylookup.dupagecounty.gov/Datalets/Datalet.aspx?UseSearch=no&amp;mode=sales&amp;pin=0204101043","sales record")</f>
        <v>sales record</v>
      </c>
      <c r="AC5222" t="s">
        <v>3</v>
      </c>
      <c r="AD5222">
        <v>41.983226</v>
      </c>
      <c r="AE5222">
        <v>-88.107516</v>
      </c>
      <c r="AF5222" s="5" t="str">
        <f>HYPERLINK("https://www.google.com/maps/search/?api=1&amp;query=41.983226,-88.107516","map")</f>
        <v>map</v>
      </c>
    </row>
    <row r="5223" spans="1:32">
      <c r="A5223" t="s">
        <v>5273</v>
      </c>
      <c r="B5223" t="s">
        <v>12798</v>
      </c>
      <c r="C5223" t="s">
        <v>15850</v>
      </c>
      <c r="D5223" t="s">
        <v>16207</v>
      </c>
      <c r="E5223" t="s">
        <v>16218</v>
      </c>
      <c r="F5223" t="s">
        <v>16221</v>
      </c>
      <c r="G5223" t="s">
        <v>16241</v>
      </c>
      <c r="H5223" t="s">
        <v>16241</v>
      </c>
      <c r="I5223" t="s">
        <v>16355</v>
      </c>
      <c r="J5223" t="s">
        <v>16385</v>
      </c>
      <c r="K5223">
        <v>0.233</v>
      </c>
      <c r="L5223">
        <v>10135</v>
      </c>
      <c r="M5223">
        <v>2287</v>
      </c>
      <c r="N5223" t="s">
        <v>16393</v>
      </c>
      <c r="O5223" s="4">
        <v>45278</v>
      </c>
      <c r="P5223" s="4">
        <v>70200</v>
      </c>
      <c r="Q5223" s="4">
        <v>115478</v>
      </c>
      <c r="R5223" s="4">
        <v>346434</v>
      </c>
      <c r="S5223" t="s">
        <v>21487</v>
      </c>
      <c r="T5223" s="6">
        <v>35400</v>
      </c>
      <c r="U5223" s="4">
        <v>164000</v>
      </c>
      <c r="X5223" t="s">
        <v>3</v>
      </c>
      <c r="AA5223" s="5" t="str">
        <f>HYPERLINK("https://www.zillow.com/homes/670-EDENWOOD-DR-ROSELLE-IL-601722823_rb/","check listing")</f>
        <v>check listing</v>
      </c>
      <c r="AB5223" s="5" t="str">
        <f>HYPERLINK("https://propertylookup.dupagecounty.gov/Datalets/Datalet.aspx?UseSearch=no&amp;mode=sales&amp;pin=0209202035","sales record")</f>
        <v>sales record</v>
      </c>
      <c r="AC5223" t="s">
        <v>3</v>
      </c>
      <c r="AD5223">
        <v>41.972648</v>
      </c>
      <c r="AE5223">
        <v>-88.097459</v>
      </c>
      <c r="AF5223" s="5" t="str">
        <f>HYPERLINK("https://www.google.com/maps/search/?api=1&amp;query=41.972648,-88.097459","map")</f>
        <v>map</v>
      </c>
    </row>
    <row r="5224" spans="1:32">
      <c r="A5224" t="s">
        <v>5274</v>
      </c>
      <c r="B5224" t="s">
        <v>12799</v>
      </c>
      <c r="C5224" t="s">
        <v>15830</v>
      </c>
      <c r="D5224" t="s">
        <v>16207</v>
      </c>
      <c r="E5224" t="s">
        <v>16218</v>
      </c>
      <c r="F5224" t="s">
        <v>16221</v>
      </c>
      <c r="G5224" t="s">
        <v>16241</v>
      </c>
      <c r="H5224" t="s">
        <v>16241</v>
      </c>
      <c r="I5224" t="s">
        <v>16355</v>
      </c>
      <c r="J5224" t="s">
        <v>16385</v>
      </c>
      <c r="K5224">
        <v>0.231</v>
      </c>
      <c r="L5224">
        <v>10052</v>
      </c>
      <c r="M5224">
        <v>3561</v>
      </c>
      <c r="N5224" t="s">
        <v>16393</v>
      </c>
      <c r="O5224" s="4">
        <v>51351</v>
      </c>
      <c r="P5224" s="4">
        <v>178208</v>
      </c>
      <c r="Q5224" s="4">
        <v>229559</v>
      </c>
      <c r="R5224" s="4">
        <v>688677</v>
      </c>
      <c r="S5224" t="s">
        <v>21488</v>
      </c>
      <c r="T5224" s="6">
        <v>34790</v>
      </c>
      <c r="U5224" s="4">
        <v>81200</v>
      </c>
      <c r="X5224" t="s">
        <v>3</v>
      </c>
      <c r="AA5224" s="5" t="str">
        <f>HYPERLINK("https://www.zillow.com/homes/CARDINLFLAMINGO-ROSELLE-IL-60172_rb/","check listing")</f>
        <v>check listing</v>
      </c>
      <c r="AB5224" s="5" t="str">
        <f>HYPERLINK("https://propertylookup.dupagecounty.gov/Datalets/Datalet.aspx?UseSearch=no&amp;mode=sales&amp;pin=0204103002","sales record")</f>
        <v>sales record</v>
      </c>
      <c r="AC5224" t="s">
        <v>3</v>
      </c>
      <c r="AD5224">
        <v>41.984149</v>
      </c>
      <c r="AE5224">
        <v>-88.10888199999999</v>
      </c>
      <c r="AF5224" s="5" t="str">
        <f>HYPERLINK("https://www.google.com/maps/search/?api=1&amp;query=41.984149,-88.108882","map")</f>
        <v>map</v>
      </c>
    </row>
    <row r="5225" spans="1:32">
      <c r="A5225" t="s">
        <v>5275</v>
      </c>
      <c r="B5225" t="s">
        <v>12800</v>
      </c>
      <c r="C5225" t="s">
        <v>15851</v>
      </c>
      <c r="D5225" t="s">
        <v>16207</v>
      </c>
      <c r="E5225" t="s">
        <v>16218</v>
      </c>
      <c r="F5225" t="s">
        <v>16221</v>
      </c>
      <c r="G5225" t="s">
        <v>16241</v>
      </c>
      <c r="H5225" t="s">
        <v>16241</v>
      </c>
      <c r="I5225" t="s">
        <v>16355</v>
      </c>
      <c r="J5225" t="s">
        <v>16385</v>
      </c>
      <c r="K5225">
        <v>0.231</v>
      </c>
      <c r="L5225">
        <v>10042</v>
      </c>
      <c r="M5225">
        <v>3135</v>
      </c>
      <c r="N5225" t="s">
        <v>16393</v>
      </c>
      <c r="O5225" s="4">
        <v>51351</v>
      </c>
      <c r="P5225" s="4">
        <v>171848</v>
      </c>
      <c r="Q5225" s="4">
        <v>223199</v>
      </c>
      <c r="R5225" s="4">
        <v>669597</v>
      </c>
      <c r="S5225" t="s">
        <v>21489</v>
      </c>
      <c r="T5225" s="6">
        <v>35278</v>
      </c>
      <c r="U5225" s="4">
        <v>348000</v>
      </c>
      <c r="X5225" t="s">
        <v>3</v>
      </c>
      <c r="AA5225" s="5" t="str">
        <f>HYPERLINK("https://www.zillow.com/homes/80-PELICAN-BAY-ROSELLE-IL-601724726_rb/","check listing")</f>
        <v>check listing</v>
      </c>
      <c r="AB5225" s="5" t="str">
        <f>HYPERLINK("https://propertylookup.dupagecounty.gov/Datalets/Datalet.aspx?UseSearch=no&amp;mode=sales&amp;pin=0204103016","sales record")</f>
        <v>sales record</v>
      </c>
      <c r="AC5225" t="s">
        <v>3</v>
      </c>
      <c r="AD5225">
        <v>41.984752</v>
      </c>
      <c r="AE5225">
        <v>-88.107463</v>
      </c>
      <c r="AF5225" s="5" t="str">
        <f>HYPERLINK("https://www.google.com/maps/search/?api=1&amp;query=41.984752,-88.107463","map")</f>
        <v>map</v>
      </c>
    </row>
    <row r="5226" spans="1:32">
      <c r="A5226" t="s">
        <v>5276</v>
      </c>
      <c r="B5226" t="s">
        <v>12801</v>
      </c>
      <c r="C5226" t="s">
        <v>15830</v>
      </c>
      <c r="D5226" t="s">
        <v>16207</v>
      </c>
      <c r="E5226" t="s">
        <v>16218</v>
      </c>
      <c r="F5226" t="s">
        <v>16221</v>
      </c>
      <c r="G5226" t="s">
        <v>16241</v>
      </c>
      <c r="H5226" t="s">
        <v>16241</v>
      </c>
      <c r="I5226" t="s">
        <v>16355</v>
      </c>
      <c r="J5226" t="s">
        <v>16385</v>
      </c>
      <c r="K5226">
        <v>0.231</v>
      </c>
      <c r="L5226">
        <v>10041</v>
      </c>
      <c r="M5226">
        <v>1319</v>
      </c>
      <c r="N5226" t="s">
        <v>16393</v>
      </c>
      <c r="O5226" s="4">
        <v>38692</v>
      </c>
      <c r="P5226" s="4">
        <v>81687</v>
      </c>
      <c r="Q5226" s="4">
        <v>120379</v>
      </c>
      <c r="R5226" s="4">
        <v>361137</v>
      </c>
      <c r="S5226" t="s">
        <v>21490</v>
      </c>
      <c r="T5226" s="6">
        <v>32143</v>
      </c>
      <c r="U5226" s="4">
        <v>34619</v>
      </c>
      <c r="X5226" t="s">
        <v>3</v>
      </c>
      <c r="AA5226" s="5" t="str">
        <f>HYPERLINK("https://www.zillow.com/homes/785-EDENWOOD-DR-ROSELLE-IL-60172_rb/","check listing")</f>
        <v>check listing</v>
      </c>
      <c r="AB5226" s="5" t="str">
        <f>HYPERLINK("https://propertylookup.dupagecounty.gov/Datalets/Datalet.aspx?UseSearch=no&amp;mode=sales&amp;pin=0209203025","sales record")</f>
        <v>sales record</v>
      </c>
      <c r="AC5226" t="s">
        <v>3</v>
      </c>
      <c r="AD5226">
        <v>41.97221</v>
      </c>
      <c r="AE5226">
        <v>-88.10070899999999</v>
      </c>
      <c r="AF5226" s="5" t="str">
        <f>HYPERLINK("https://www.google.com/maps/search/?api=1&amp;query=41.97221,-88.100709","map")</f>
        <v>map</v>
      </c>
    </row>
    <row r="5227" spans="1:32">
      <c r="A5227" t="s">
        <v>5277</v>
      </c>
      <c r="B5227" t="s">
        <v>12802</v>
      </c>
      <c r="C5227" t="s">
        <v>15841</v>
      </c>
      <c r="D5227" t="s">
        <v>16207</v>
      </c>
      <c r="E5227" t="s">
        <v>16218</v>
      </c>
      <c r="F5227" t="s">
        <v>16221</v>
      </c>
      <c r="G5227" t="s">
        <v>16241</v>
      </c>
      <c r="H5227" t="s">
        <v>16241</v>
      </c>
      <c r="I5227" t="s">
        <v>16355</v>
      </c>
      <c r="J5227" t="s">
        <v>16385</v>
      </c>
      <c r="K5227">
        <v>0.229</v>
      </c>
      <c r="L5227">
        <v>9995</v>
      </c>
      <c r="M5227">
        <v>3232</v>
      </c>
      <c r="N5227" t="s">
        <v>16393</v>
      </c>
      <c r="O5227" s="4">
        <v>51278</v>
      </c>
      <c r="P5227" s="4">
        <v>165729</v>
      </c>
      <c r="Q5227" s="4">
        <v>217007</v>
      </c>
      <c r="R5227" s="4">
        <v>651021</v>
      </c>
      <c r="S5227" t="s">
        <v>21491</v>
      </c>
      <c r="T5227" s="6">
        <v>35674</v>
      </c>
      <c r="U5227" s="4">
        <v>340000</v>
      </c>
      <c r="X5227" t="s">
        <v>3</v>
      </c>
      <c r="AA5227" s="5" t="str">
        <f>HYPERLINK("https://www.zillow.com/homes/30-MEADOWLARK-CT-ROSELLE-IL-601724729_rb/","check listing")</f>
        <v>check listing</v>
      </c>
      <c r="AB5227" s="5" t="str">
        <f>HYPERLINK("https://propertylookup.dupagecounty.gov/Datalets/Datalet.aspx?UseSearch=no&amp;mode=sales&amp;pin=0204101038","sales record")</f>
        <v>sales record</v>
      </c>
      <c r="AC5227" t="s">
        <v>3</v>
      </c>
      <c r="AD5227">
        <v>41.983417</v>
      </c>
      <c r="AE5227">
        <v>-88.108504</v>
      </c>
      <c r="AF5227" s="5" t="str">
        <f>HYPERLINK("https://www.google.com/maps/search/?api=1&amp;query=41.983417,-88.108504","map")</f>
        <v>map</v>
      </c>
    </row>
    <row r="5228" spans="1:32">
      <c r="A5228" t="s">
        <v>5278</v>
      </c>
      <c r="B5228" t="s">
        <v>12803</v>
      </c>
      <c r="C5228" t="s">
        <v>15830</v>
      </c>
      <c r="D5228" t="s">
        <v>16207</v>
      </c>
      <c r="E5228" t="s">
        <v>16218</v>
      </c>
      <c r="F5228" t="s">
        <v>16221</v>
      </c>
      <c r="G5228" t="s">
        <v>16241</v>
      </c>
      <c r="H5228" t="s">
        <v>16241</v>
      </c>
      <c r="I5228" t="s">
        <v>16355</v>
      </c>
      <c r="J5228" t="s">
        <v>16385</v>
      </c>
      <c r="K5228">
        <v>0.229</v>
      </c>
      <c r="L5228">
        <v>9984</v>
      </c>
      <c r="M5228">
        <v>2902</v>
      </c>
      <c r="N5228" t="s">
        <v>16393</v>
      </c>
      <c r="O5228" s="4">
        <v>54793</v>
      </c>
      <c r="P5228" s="4">
        <v>217199</v>
      </c>
      <c r="Q5228" s="4">
        <v>271992</v>
      </c>
      <c r="R5228" s="4">
        <v>815976</v>
      </c>
      <c r="S5228" t="s">
        <v>21492</v>
      </c>
      <c r="T5228" s="6">
        <v>39083</v>
      </c>
      <c r="U5228" s="4">
        <v>691000</v>
      </c>
      <c r="V5228" t="s">
        <v>23739</v>
      </c>
      <c r="W5228" t="s">
        <v>21492</v>
      </c>
      <c r="X5228" t="s">
        <v>3</v>
      </c>
      <c r="AA5228" s="5" t="str">
        <f>HYPERLINK("https://www.zillow.com/homes/1270-FLAMINGO-DR-ROSELLE-IL-60172_rb/","check listing")</f>
        <v>check listing</v>
      </c>
      <c r="AB5228" s="5" t="str">
        <f>HYPERLINK("https://propertylookup.dupagecounty.gov/Datalets/Datalet.aspx?UseSearch=no&amp;mode=sales&amp;pin=0205231007","sales record")</f>
        <v>sales record</v>
      </c>
      <c r="AC5228" t="s">
        <v>3</v>
      </c>
      <c r="AD5228">
        <v>41.984289</v>
      </c>
      <c r="AE5228">
        <v>-88.11228199999999</v>
      </c>
      <c r="AF5228" s="5" t="str">
        <f>HYPERLINK("https://www.google.com/maps/search/?api=1&amp;query=41.984289,-88.112282","map")</f>
        <v>map</v>
      </c>
    </row>
    <row r="5229" spans="1:32">
      <c r="A5229" t="s">
        <v>5279</v>
      </c>
      <c r="B5229" t="s">
        <v>12804</v>
      </c>
      <c r="C5229" t="s">
        <v>15830</v>
      </c>
      <c r="D5229" t="s">
        <v>16207</v>
      </c>
      <c r="E5229" t="s">
        <v>16218</v>
      </c>
      <c r="F5229" t="s">
        <v>16221</v>
      </c>
      <c r="G5229" t="s">
        <v>16241</v>
      </c>
      <c r="H5229" t="s">
        <v>16241</v>
      </c>
      <c r="I5229" t="s">
        <v>16355</v>
      </c>
      <c r="J5229" t="s">
        <v>16385</v>
      </c>
      <c r="K5229">
        <v>0.229</v>
      </c>
      <c r="L5229">
        <v>9959</v>
      </c>
      <c r="M5229">
        <v>1583</v>
      </c>
      <c r="N5229" t="s">
        <v>16393</v>
      </c>
      <c r="O5229" s="4">
        <v>38692</v>
      </c>
      <c r="P5229" s="4">
        <v>75974</v>
      </c>
      <c r="Q5229" s="4">
        <v>114666</v>
      </c>
      <c r="R5229" s="4">
        <v>343998</v>
      </c>
      <c r="S5229" t="s">
        <v>21493</v>
      </c>
      <c r="T5229" s="6">
        <v>32874</v>
      </c>
      <c r="U5229" s="4">
        <v>118000</v>
      </c>
      <c r="X5229" t="s">
        <v>3</v>
      </c>
      <c r="AA5229" s="5" t="str">
        <f>HYPERLINK("https://www.zillow.com/homes/693-FOXDALE-CT-ROSELLE-IL-60172_rb/","check listing")</f>
        <v>check listing</v>
      </c>
      <c r="AB5229" s="5" t="str">
        <f>HYPERLINK("https://propertylookup.dupagecounty.gov/Datalets/Datalet.aspx?UseSearch=no&amp;mode=sales&amp;pin=0209123002","sales record")</f>
        <v>sales record</v>
      </c>
      <c r="AC5229" t="s">
        <v>3</v>
      </c>
      <c r="AD5229">
        <v>41.969854</v>
      </c>
      <c r="AE5229">
        <v>-88.110231</v>
      </c>
      <c r="AF5229" s="5" t="str">
        <f>HYPERLINK("https://www.google.com/maps/search/?api=1&amp;query=41.969854,-88.110231","map")</f>
        <v>map</v>
      </c>
    </row>
    <row r="5230" spans="1:32">
      <c r="A5230" t="s">
        <v>5280</v>
      </c>
      <c r="B5230" t="s">
        <v>12805</v>
      </c>
      <c r="C5230" t="s">
        <v>15830</v>
      </c>
      <c r="D5230" t="s">
        <v>16207</v>
      </c>
      <c r="E5230" t="s">
        <v>16218</v>
      </c>
      <c r="F5230" t="s">
        <v>16221</v>
      </c>
      <c r="G5230" t="s">
        <v>16241</v>
      </c>
      <c r="H5230" t="s">
        <v>16241</v>
      </c>
      <c r="I5230" t="s">
        <v>16355</v>
      </c>
      <c r="J5230" t="s">
        <v>16385</v>
      </c>
      <c r="K5230">
        <v>0.228</v>
      </c>
      <c r="L5230">
        <v>9948</v>
      </c>
      <c r="M5230">
        <v>1649</v>
      </c>
      <c r="N5230" t="s">
        <v>16393</v>
      </c>
      <c r="O5230" s="4">
        <v>38692</v>
      </c>
      <c r="P5230" s="4">
        <v>93956</v>
      </c>
      <c r="Q5230" s="4">
        <v>132648</v>
      </c>
      <c r="R5230" s="4">
        <v>397944</v>
      </c>
      <c r="S5230" t="s">
        <v>21494</v>
      </c>
      <c r="T5230" s="6">
        <v>36526</v>
      </c>
      <c r="U5230" s="4">
        <v>174900</v>
      </c>
      <c r="V5230" t="s">
        <v>23739</v>
      </c>
      <c r="W5230" t="s">
        <v>26673</v>
      </c>
      <c r="X5230" t="s">
        <v>3</v>
      </c>
      <c r="AA5230" s="5" t="str">
        <f>HYPERLINK("https://www.zillow.com/homes/687-RODENBERG-RD-ROSELLE-IL-60172_rb/","check listing")</f>
        <v>check listing</v>
      </c>
      <c r="AB5230" s="5" t="str">
        <f>HYPERLINK("https://propertylookup.dupagecounty.gov/Datalets/Datalet.aspx?UseSearch=no&amp;mode=sales&amp;pin=0209120016","sales record")</f>
        <v>sales record</v>
      </c>
      <c r="AC5230" t="s">
        <v>3</v>
      </c>
      <c r="AD5230">
        <v>41.970813</v>
      </c>
      <c r="AE5230">
        <v>-88.109233</v>
      </c>
      <c r="AF5230" s="5" t="str">
        <f>HYPERLINK("https://www.google.com/maps/search/?api=1&amp;query=41.970813,-88.109233","map")</f>
        <v>map</v>
      </c>
    </row>
    <row r="5231" spans="1:32">
      <c r="A5231" t="s">
        <v>5281</v>
      </c>
      <c r="B5231" t="s">
        <v>12806</v>
      </c>
      <c r="C5231" t="s">
        <v>15852</v>
      </c>
      <c r="D5231" t="s">
        <v>16207</v>
      </c>
      <c r="E5231" t="s">
        <v>16218</v>
      </c>
      <c r="F5231" t="s">
        <v>16221</v>
      </c>
      <c r="G5231" t="s">
        <v>16241</v>
      </c>
      <c r="H5231" t="s">
        <v>16241</v>
      </c>
      <c r="I5231" t="s">
        <v>16355</v>
      </c>
      <c r="J5231" t="s">
        <v>16385</v>
      </c>
      <c r="K5231">
        <v>0.228</v>
      </c>
      <c r="L5231">
        <v>9948</v>
      </c>
      <c r="M5231">
        <v>1451</v>
      </c>
      <c r="N5231" t="s">
        <v>16393</v>
      </c>
      <c r="O5231" s="4">
        <v>38692</v>
      </c>
      <c r="P5231" s="4">
        <v>76189</v>
      </c>
      <c r="Q5231" s="4">
        <v>114881</v>
      </c>
      <c r="R5231" s="4">
        <v>344643</v>
      </c>
      <c r="S5231" t="s">
        <v>21495</v>
      </c>
      <c r="T5231" s="6">
        <v>30376</v>
      </c>
      <c r="U5231" s="4">
        <v>74000</v>
      </c>
      <c r="X5231" t="s">
        <v>3</v>
      </c>
      <c r="AA5231" s="5" t="str">
        <f>HYPERLINK("https://www.zillow.com/homes/688-FOXDALE-CT-ROSELLE-IL-601722739_rb/","check listing")</f>
        <v>check listing</v>
      </c>
      <c r="AB5231" s="5" t="str">
        <f>HYPERLINK("https://propertylookup.dupagecounty.gov/Datalets/Datalet.aspx?UseSearch=no&amp;mode=sales&amp;pin=0208215012","sales record")</f>
        <v>sales record</v>
      </c>
      <c r="AC5231" t="s">
        <v>3</v>
      </c>
      <c r="AD5231">
        <v>41.970175</v>
      </c>
      <c r="AE5231">
        <v>-88.110862</v>
      </c>
      <c r="AF5231" s="5" t="str">
        <f>HYPERLINK("https://www.google.com/maps/search/?api=1&amp;query=41.970175,-88.110862","map")</f>
        <v>map</v>
      </c>
    </row>
    <row r="5232" spans="1:32">
      <c r="A5232" t="s">
        <v>5282</v>
      </c>
      <c r="B5232" t="s">
        <v>12807</v>
      </c>
      <c r="C5232" t="s">
        <v>15830</v>
      </c>
      <c r="D5232" t="s">
        <v>16207</v>
      </c>
      <c r="E5232" t="s">
        <v>16218</v>
      </c>
      <c r="F5232" t="s">
        <v>16221</v>
      </c>
      <c r="G5232" t="s">
        <v>16241</v>
      </c>
      <c r="H5232" t="s">
        <v>16241</v>
      </c>
      <c r="I5232" t="s">
        <v>16355</v>
      </c>
      <c r="J5232" t="s">
        <v>16385</v>
      </c>
      <c r="K5232">
        <v>0.228</v>
      </c>
      <c r="L5232">
        <v>9943</v>
      </c>
      <c r="M5232">
        <v>3166</v>
      </c>
      <c r="N5232" t="s">
        <v>16393</v>
      </c>
      <c r="O5232" s="4">
        <v>54793</v>
      </c>
      <c r="P5232" s="4">
        <v>188247</v>
      </c>
      <c r="Q5232" s="4">
        <v>243040</v>
      </c>
      <c r="R5232" s="4">
        <v>729120</v>
      </c>
      <c r="S5232" t="s">
        <v>21496</v>
      </c>
      <c r="T5232" s="6">
        <v>41000</v>
      </c>
      <c r="U5232" s="4">
        <v>540000</v>
      </c>
      <c r="V5232" t="s">
        <v>23739</v>
      </c>
      <c r="W5232" t="s">
        <v>26674</v>
      </c>
      <c r="X5232" t="s">
        <v>3</v>
      </c>
      <c r="AA5232" s="5" t="str">
        <f>HYPERLINK("https://www.zillow.com/homes/1240-W-FLAMINGO-DR-ROSELLE-IL-60172_rb/","check listing")</f>
        <v>check listing</v>
      </c>
      <c r="AB5232" s="5" t="str">
        <f>HYPERLINK("https://propertylookup.dupagecounty.gov/Datalets/Datalet.aspx?UseSearch=no&amp;mode=sales&amp;pin=0205231010","sales record")</f>
        <v>sales record</v>
      </c>
      <c r="AC5232" t="s">
        <v>3</v>
      </c>
      <c r="AD5232">
        <v>41.984306</v>
      </c>
      <c r="AE5232">
        <v>-88.111428</v>
      </c>
      <c r="AF5232" s="5" t="str">
        <f>HYPERLINK("https://www.google.com/maps/search/?api=1&amp;query=41.984306,-88.111428","map")</f>
        <v>map</v>
      </c>
    </row>
    <row r="5233" spans="1:32">
      <c r="A5233" t="s">
        <v>5283</v>
      </c>
      <c r="B5233" t="s">
        <v>12808</v>
      </c>
      <c r="C5233" t="s">
        <v>15830</v>
      </c>
      <c r="D5233" t="s">
        <v>16207</v>
      </c>
      <c r="E5233" t="s">
        <v>16218</v>
      </c>
      <c r="F5233" t="s">
        <v>16221</v>
      </c>
      <c r="G5233" t="s">
        <v>16241</v>
      </c>
      <c r="H5233" t="s">
        <v>16241</v>
      </c>
      <c r="I5233" t="s">
        <v>16355</v>
      </c>
      <c r="J5233" t="s">
        <v>16385</v>
      </c>
      <c r="K5233">
        <v>0.228</v>
      </c>
      <c r="L5233">
        <v>9942</v>
      </c>
      <c r="M5233">
        <v>2769</v>
      </c>
      <c r="N5233" t="s">
        <v>16393</v>
      </c>
      <c r="O5233" s="4">
        <v>51327</v>
      </c>
      <c r="P5233" s="4">
        <v>173163</v>
      </c>
      <c r="Q5233" s="4">
        <v>224490</v>
      </c>
      <c r="R5233" s="4">
        <v>673470</v>
      </c>
      <c r="S5233" t="s">
        <v>21497</v>
      </c>
      <c r="T5233" s="6">
        <v>35247</v>
      </c>
      <c r="U5233" s="4">
        <v>355000</v>
      </c>
      <c r="X5233" t="s">
        <v>3</v>
      </c>
      <c r="AA5233" s="5" t="str">
        <f>HYPERLINK("https://www.zillow.com/homes/120-CARDINAL-LN-ROSELLE-IL-60172_rb/","check listing")</f>
        <v>check listing</v>
      </c>
      <c r="AB5233" s="5" t="str">
        <f>HYPERLINK("https://propertylookup.dupagecounty.gov/Datalets/Datalet.aspx?UseSearch=no&amp;mode=sales&amp;pin=0204101076","sales record")</f>
        <v>sales record</v>
      </c>
      <c r="AC5233" t="s">
        <v>3</v>
      </c>
      <c r="AD5233">
        <v>41.985538</v>
      </c>
      <c r="AE5233">
        <v>-88.109919</v>
      </c>
      <c r="AF5233" s="5" t="str">
        <f>HYPERLINK("https://www.google.com/maps/search/?api=1&amp;query=41.985538,-88.109919","map")</f>
        <v>map</v>
      </c>
    </row>
    <row r="5234" spans="1:32">
      <c r="A5234" t="s">
        <v>5284</v>
      </c>
      <c r="B5234" t="s">
        <v>12809</v>
      </c>
      <c r="C5234" t="s">
        <v>15830</v>
      </c>
      <c r="D5234" t="s">
        <v>16207</v>
      </c>
      <c r="E5234" t="s">
        <v>16218</v>
      </c>
      <c r="F5234" t="s">
        <v>16221</v>
      </c>
      <c r="G5234" t="s">
        <v>16241</v>
      </c>
      <c r="H5234" t="s">
        <v>16241</v>
      </c>
      <c r="I5234" t="s">
        <v>16355</v>
      </c>
      <c r="J5234" t="s">
        <v>16385</v>
      </c>
      <c r="K5234">
        <v>0.228</v>
      </c>
      <c r="L5234">
        <v>9941</v>
      </c>
      <c r="M5234">
        <v>3579</v>
      </c>
      <c r="N5234" t="s">
        <v>16393</v>
      </c>
      <c r="O5234" s="4">
        <v>51327</v>
      </c>
      <c r="P5234" s="4">
        <v>180061</v>
      </c>
      <c r="Q5234" s="4">
        <v>231388</v>
      </c>
      <c r="R5234" s="4">
        <v>694164</v>
      </c>
      <c r="S5234" t="s">
        <v>21498</v>
      </c>
      <c r="T5234" s="6">
        <v>35765</v>
      </c>
      <c r="U5234" s="4">
        <v>108000</v>
      </c>
      <c r="X5234" t="s">
        <v>3</v>
      </c>
      <c r="AA5234" s="5" t="str">
        <f>HYPERLINK("https://www.zillow.com/homes/110-CARDINAL-LN-ROSELLE-IL-60172_rb/","check listing")</f>
        <v>check listing</v>
      </c>
      <c r="AB5234" s="5" t="str">
        <f>HYPERLINK("https://propertylookup.dupagecounty.gov/Datalets/Datalet.aspx?UseSearch=no&amp;mode=sales&amp;pin=0204101077","sales record")</f>
        <v>sales record</v>
      </c>
      <c r="AC5234" t="s">
        <v>3</v>
      </c>
      <c r="AD5234">
        <v>41.985343</v>
      </c>
      <c r="AE5234">
        <v>-88.109925</v>
      </c>
      <c r="AF5234" s="5" t="str">
        <f>HYPERLINK("https://www.google.com/maps/search/?api=1&amp;query=41.985343,-88.109925","map")</f>
        <v>map</v>
      </c>
    </row>
    <row r="5235" spans="1:32">
      <c r="A5235" t="s">
        <v>5285</v>
      </c>
      <c r="B5235" t="s">
        <v>12810</v>
      </c>
      <c r="C5235" t="s">
        <v>15830</v>
      </c>
      <c r="D5235" t="s">
        <v>16207</v>
      </c>
      <c r="E5235" t="s">
        <v>16218</v>
      </c>
      <c r="F5235" t="s">
        <v>16221</v>
      </c>
      <c r="G5235" t="s">
        <v>16241</v>
      </c>
      <c r="H5235" t="s">
        <v>16241</v>
      </c>
      <c r="I5235" t="s">
        <v>16355</v>
      </c>
      <c r="J5235" t="s">
        <v>16385</v>
      </c>
      <c r="K5235">
        <v>0.228</v>
      </c>
      <c r="L5235">
        <v>9939</v>
      </c>
      <c r="M5235">
        <v>3165</v>
      </c>
      <c r="N5235" t="s">
        <v>16393</v>
      </c>
      <c r="O5235" s="4">
        <v>54064</v>
      </c>
      <c r="P5235" s="4">
        <v>163996</v>
      </c>
      <c r="Q5235" s="4">
        <v>218060</v>
      </c>
      <c r="R5235" s="4">
        <v>654180</v>
      </c>
      <c r="S5235" t="s">
        <v>21499</v>
      </c>
      <c r="T5235" s="6">
        <v>44902</v>
      </c>
      <c r="U5235" s="4">
        <v>550000</v>
      </c>
      <c r="V5235" t="s">
        <v>23739</v>
      </c>
      <c r="W5235" t="s">
        <v>26675</v>
      </c>
      <c r="X5235" t="s">
        <v>3</v>
      </c>
      <c r="AA5235" s="5" t="str">
        <f>HYPERLINK("https://www.zillow.com/homes/1120-BLUEBIRD-LN-ROSELLE-IL-60172_rb/","check listing")</f>
        <v>check listing</v>
      </c>
      <c r="AB5235" s="5" t="str">
        <f>HYPERLINK("https://propertylookup.dupagecounty.gov/Datalets/Datalet.aspx?UseSearch=no&amp;mode=sales&amp;pin=0204101067","sales record")</f>
        <v>sales record</v>
      </c>
      <c r="AC5235" t="s">
        <v>3</v>
      </c>
      <c r="AD5235">
        <v>41.986049</v>
      </c>
      <c r="AE5235">
        <v>-88.107918</v>
      </c>
      <c r="AF5235" s="5" t="str">
        <f>HYPERLINK("https://www.google.com/maps/search/?api=1&amp;query=41.986049,-88.107918","map")</f>
        <v>map</v>
      </c>
    </row>
    <row r="5236" spans="1:32">
      <c r="A5236" t="s">
        <v>5286</v>
      </c>
      <c r="B5236" t="s">
        <v>12811</v>
      </c>
      <c r="C5236" t="s">
        <v>15848</v>
      </c>
      <c r="D5236" t="s">
        <v>16207</v>
      </c>
      <c r="E5236" t="s">
        <v>16218</v>
      </c>
      <c r="F5236" t="s">
        <v>16221</v>
      </c>
      <c r="G5236" t="s">
        <v>16241</v>
      </c>
      <c r="H5236" t="s">
        <v>16241</v>
      </c>
      <c r="I5236" t="s">
        <v>16355</v>
      </c>
      <c r="J5236" t="s">
        <v>16385</v>
      </c>
      <c r="K5236">
        <v>0.228</v>
      </c>
      <c r="L5236">
        <v>9939</v>
      </c>
      <c r="M5236">
        <v>2948</v>
      </c>
      <c r="N5236" t="s">
        <v>16393</v>
      </c>
      <c r="O5236" s="4">
        <v>54064</v>
      </c>
      <c r="P5236" s="4">
        <v>162525</v>
      </c>
      <c r="Q5236" s="4">
        <v>216589</v>
      </c>
      <c r="R5236" s="4">
        <v>649767</v>
      </c>
      <c r="S5236" t="s">
        <v>21500</v>
      </c>
      <c r="T5236" s="6">
        <v>41974</v>
      </c>
      <c r="U5236" s="4">
        <v>470000</v>
      </c>
      <c r="V5236" t="s">
        <v>23739</v>
      </c>
      <c r="W5236" t="s">
        <v>26676</v>
      </c>
      <c r="X5236" t="s">
        <v>3</v>
      </c>
      <c r="AA5236" s="5" t="str">
        <f>HYPERLINK("https://www.zillow.com/homes/1150-BLUEBIRD-LN-ROSELLE-IL-601724721_rb/","check listing")</f>
        <v>check listing</v>
      </c>
      <c r="AB5236" s="5" t="str">
        <f>HYPERLINK("https://propertylookup.dupagecounty.gov/Datalets/Datalet.aspx?UseSearch=no&amp;mode=sales&amp;pin=0204101070","sales record")</f>
        <v>sales record</v>
      </c>
      <c r="AC5236" t="s">
        <v>3</v>
      </c>
      <c r="AD5236">
        <v>41.986029</v>
      </c>
      <c r="AE5236">
        <v>-88.10869</v>
      </c>
      <c r="AF5236" s="5" t="str">
        <f>HYPERLINK("https://www.google.com/maps/search/?api=1&amp;query=41.986029,-88.10869","map")</f>
        <v>map</v>
      </c>
    </row>
    <row r="5237" spans="1:32">
      <c r="A5237" t="s">
        <v>5287</v>
      </c>
      <c r="B5237" t="s">
        <v>12812</v>
      </c>
      <c r="C5237" t="s">
        <v>15853</v>
      </c>
      <c r="D5237" t="s">
        <v>16207</v>
      </c>
      <c r="E5237" t="s">
        <v>16218</v>
      </c>
      <c r="F5237" t="s">
        <v>16221</v>
      </c>
      <c r="G5237" t="s">
        <v>16241</v>
      </c>
      <c r="H5237" t="s">
        <v>16241</v>
      </c>
      <c r="I5237" t="s">
        <v>16355</v>
      </c>
      <c r="J5237" t="s">
        <v>16385</v>
      </c>
      <c r="K5237">
        <v>0.228</v>
      </c>
      <c r="L5237">
        <v>9934</v>
      </c>
      <c r="N5237" t="s">
        <v>16393</v>
      </c>
      <c r="O5237" s="4">
        <v>22639</v>
      </c>
      <c r="P5237" s="4">
        <v>124072</v>
      </c>
      <c r="Q5237" s="4">
        <v>146711</v>
      </c>
      <c r="R5237" s="4">
        <v>440133</v>
      </c>
      <c r="S5237" t="s">
        <v>21501</v>
      </c>
      <c r="T5237" s="6">
        <v>44440</v>
      </c>
      <c r="U5237" s="4">
        <v>369900</v>
      </c>
      <c r="V5237" t="s">
        <v>23739</v>
      </c>
      <c r="W5237" t="s">
        <v>21501</v>
      </c>
      <c r="X5237" t="s">
        <v>3</v>
      </c>
      <c r="AA5237" s="5" t="str">
        <f>HYPERLINK("https://www.zillow.com/homes/579-BOBBY-ANN-CT-ROSELLE-IL-601720076_rb/","check listing")</f>
        <v>check listing</v>
      </c>
      <c r="AB5237" s="5" t="str">
        <f>HYPERLINK("https://propertylookup.dupagecounty.gov/Datalets/Datalet.aspx?UseSearch=no&amp;mode=sales&amp;pin=0208219026","sales record")</f>
        <v>sales record</v>
      </c>
      <c r="AC5237" t="s">
        <v>3</v>
      </c>
      <c r="AD5237">
        <v>41.971582</v>
      </c>
      <c r="AE5237">
        <v>-88.115703</v>
      </c>
      <c r="AF5237" s="5" t="str">
        <f>HYPERLINK("https://www.google.com/maps/search/?api=1&amp;query=41.971582,-88.115703","map")</f>
        <v>map</v>
      </c>
    </row>
    <row r="5238" spans="1:32">
      <c r="A5238" t="s">
        <v>5288</v>
      </c>
      <c r="B5238" t="s">
        <v>12813</v>
      </c>
      <c r="C5238" t="s">
        <v>15830</v>
      </c>
      <c r="D5238" t="s">
        <v>16207</v>
      </c>
      <c r="E5238" t="s">
        <v>16218</v>
      </c>
      <c r="F5238" t="s">
        <v>16221</v>
      </c>
      <c r="G5238" t="s">
        <v>16241</v>
      </c>
      <c r="H5238" t="s">
        <v>16241</v>
      </c>
      <c r="I5238" t="s">
        <v>16355</v>
      </c>
      <c r="J5238" t="s">
        <v>16385</v>
      </c>
      <c r="K5238">
        <v>0.228</v>
      </c>
      <c r="L5238">
        <v>9929</v>
      </c>
      <c r="M5238">
        <v>1930</v>
      </c>
      <c r="N5238" t="s">
        <v>16393</v>
      </c>
      <c r="O5238" s="4">
        <v>45278</v>
      </c>
      <c r="P5238" s="4">
        <v>97955</v>
      </c>
      <c r="Q5238" s="4">
        <v>143233</v>
      </c>
      <c r="R5238" s="4">
        <v>429699</v>
      </c>
      <c r="S5238" t="s">
        <v>21502</v>
      </c>
      <c r="T5238" s="6">
        <v>32295</v>
      </c>
      <c r="U5238" s="4">
        <v>131000</v>
      </c>
      <c r="X5238" t="s">
        <v>3</v>
      </c>
      <c r="AA5238" s="5" t="str">
        <f>HYPERLINK("https://www.zillow.com/homes/1304-COVENTRY-CT-ROSELLE-IL-60172_rb/","check listing")</f>
        <v>check listing</v>
      </c>
      <c r="AB5238" s="5" t="str">
        <f>HYPERLINK("https://propertylookup.dupagecounty.gov/Datalets/Datalet.aspx?UseSearch=no&amp;mode=sales&amp;pin=0205401052","sales record")</f>
        <v>sales record</v>
      </c>
      <c r="AC5238" t="s">
        <v>3</v>
      </c>
      <c r="AD5238">
        <v>41.982249</v>
      </c>
      <c r="AE5238">
        <v>-88.113874</v>
      </c>
      <c r="AF5238" s="5" t="str">
        <f>HYPERLINK("https://www.google.com/maps/search/?api=1&amp;query=41.982249,-88.113874","map")</f>
        <v>map</v>
      </c>
    </row>
    <row r="5239" spans="1:32">
      <c r="A5239" t="s">
        <v>5289</v>
      </c>
      <c r="B5239" t="s">
        <v>12814</v>
      </c>
      <c r="C5239" t="s">
        <v>15830</v>
      </c>
      <c r="D5239" t="s">
        <v>16207</v>
      </c>
      <c r="E5239" t="s">
        <v>16218</v>
      </c>
      <c r="F5239" t="s">
        <v>16221</v>
      </c>
      <c r="G5239" t="s">
        <v>16241</v>
      </c>
      <c r="H5239" t="s">
        <v>16241</v>
      </c>
      <c r="I5239" t="s">
        <v>16355</v>
      </c>
      <c r="J5239" t="s">
        <v>16385</v>
      </c>
      <c r="K5239">
        <v>0.228</v>
      </c>
      <c r="L5239">
        <v>9914</v>
      </c>
      <c r="M5239">
        <v>1964</v>
      </c>
      <c r="N5239" t="s">
        <v>16393</v>
      </c>
      <c r="O5239" s="4">
        <v>45278</v>
      </c>
      <c r="P5239" s="4">
        <v>96102</v>
      </c>
      <c r="Q5239" s="4">
        <v>141380</v>
      </c>
      <c r="R5239" s="4">
        <v>424140</v>
      </c>
      <c r="S5239" t="s">
        <v>21503</v>
      </c>
      <c r="T5239" s="6">
        <v>42217</v>
      </c>
      <c r="U5239" s="4">
        <v>285000</v>
      </c>
      <c r="V5239" t="s">
        <v>23739</v>
      </c>
      <c r="W5239" t="s">
        <v>26677</v>
      </c>
      <c r="X5239" t="s">
        <v>3</v>
      </c>
      <c r="AA5239" s="5" t="str">
        <f>HYPERLINK("https://www.zillow.com/homes/300-BRIGHTON-BAY-ROSELLE-IL-60172_rb/","check listing")</f>
        <v>check listing</v>
      </c>
      <c r="AB5239" s="5" t="str">
        <f>HYPERLINK("https://propertylookup.dupagecounty.gov/Datalets/Datalet.aspx?UseSearch=no&amp;mode=sales&amp;pin=0205401024","sales record")</f>
        <v>sales record</v>
      </c>
      <c r="AC5239" t="s">
        <v>3</v>
      </c>
      <c r="AD5239">
        <v>41.977134</v>
      </c>
      <c r="AE5239">
        <v>-88.11507899999999</v>
      </c>
      <c r="AF5239" s="5" t="str">
        <f>HYPERLINK("https://www.google.com/maps/search/?api=1&amp;query=41.977134,-88.115079","map")</f>
        <v>map</v>
      </c>
    </row>
    <row r="5240" spans="1:32">
      <c r="A5240" t="s">
        <v>5290</v>
      </c>
      <c r="B5240" t="s">
        <v>12815</v>
      </c>
      <c r="C5240" t="s">
        <v>15833</v>
      </c>
      <c r="D5240" t="s">
        <v>16207</v>
      </c>
      <c r="E5240" t="s">
        <v>16218</v>
      </c>
      <c r="F5240" t="s">
        <v>16221</v>
      </c>
      <c r="G5240" t="s">
        <v>16241</v>
      </c>
      <c r="H5240" t="s">
        <v>16241</v>
      </c>
      <c r="I5240" t="s">
        <v>16355</v>
      </c>
      <c r="J5240" t="s">
        <v>16385</v>
      </c>
      <c r="K5240">
        <v>0.227</v>
      </c>
      <c r="L5240">
        <v>9881</v>
      </c>
      <c r="M5240">
        <v>2310</v>
      </c>
      <c r="N5240" t="s">
        <v>16393</v>
      </c>
      <c r="O5240" s="4">
        <v>45278</v>
      </c>
      <c r="P5240" s="4">
        <v>101804</v>
      </c>
      <c r="Q5240" s="4">
        <v>147082</v>
      </c>
      <c r="R5240" s="4">
        <v>441246</v>
      </c>
      <c r="S5240" t="s">
        <v>21504</v>
      </c>
      <c r="T5240" s="6">
        <v>44501</v>
      </c>
      <c r="U5240" s="4">
        <v>390000</v>
      </c>
      <c r="V5240" t="s">
        <v>23739</v>
      </c>
      <c r="W5240" t="s">
        <v>21504</v>
      </c>
      <c r="X5240" t="s">
        <v>3</v>
      </c>
      <c r="AA5240" s="5" t="str">
        <f>HYPERLINK("https://www.zillow.com/homes/820-BRANDYWINE-DR-ROSELLE-IL-601722805_rb/","check listing")</f>
        <v>check listing</v>
      </c>
      <c r="AB5240" s="5" t="str">
        <f>HYPERLINK("https://propertylookup.dupagecounty.gov/Datalets/Datalet.aspx?UseSearch=no&amp;mode=sales&amp;pin=0209114013","sales record")</f>
        <v>sales record</v>
      </c>
      <c r="AC5240" t="s">
        <v>3</v>
      </c>
      <c r="AD5240">
        <v>41.975448</v>
      </c>
      <c r="AE5240">
        <v>-88.10105799999999</v>
      </c>
      <c r="AF5240" s="5" t="str">
        <f>HYPERLINK("https://www.google.com/maps/search/?api=1&amp;query=41.975448,-88.101058","map")</f>
        <v>map</v>
      </c>
    </row>
    <row r="5241" spans="1:32">
      <c r="A5241" t="s">
        <v>5291</v>
      </c>
      <c r="B5241" t="s">
        <v>12816</v>
      </c>
      <c r="C5241" t="s">
        <v>15830</v>
      </c>
      <c r="D5241" t="s">
        <v>16207</v>
      </c>
      <c r="E5241" t="s">
        <v>16218</v>
      </c>
      <c r="F5241" t="s">
        <v>16221</v>
      </c>
      <c r="G5241" t="s">
        <v>16241</v>
      </c>
      <c r="H5241" t="s">
        <v>16241</v>
      </c>
      <c r="I5241" t="s">
        <v>16355</v>
      </c>
      <c r="J5241" t="s">
        <v>16385</v>
      </c>
      <c r="K5241">
        <v>0.226</v>
      </c>
      <c r="L5241">
        <v>9860</v>
      </c>
      <c r="M5241">
        <v>3232</v>
      </c>
      <c r="N5241" t="s">
        <v>16393</v>
      </c>
      <c r="O5241" s="4">
        <v>51327</v>
      </c>
      <c r="P5241" s="4">
        <v>191285</v>
      </c>
      <c r="Q5241" s="4">
        <v>242612</v>
      </c>
      <c r="R5241" s="4">
        <v>727836</v>
      </c>
      <c r="S5241" t="s">
        <v>21505</v>
      </c>
      <c r="T5241" s="6">
        <v>40544</v>
      </c>
      <c r="U5241" s="4">
        <v>522300</v>
      </c>
      <c r="V5241" t="s">
        <v>23740</v>
      </c>
      <c r="W5241" t="s">
        <v>26678</v>
      </c>
      <c r="X5241" t="s">
        <v>3</v>
      </c>
      <c r="AA5241" s="5" t="str">
        <f>HYPERLINK("https://www.zillow.com/homes/1120-BLUE-HERON-WAY-ROSELLE-IL-60172_rb/","check listing")</f>
        <v>check listing</v>
      </c>
      <c r="AB5241" s="5" t="str">
        <f>HYPERLINK("https://propertylookup.dupagecounty.gov/Datalets/Datalet.aspx?UseSearch=no&amp;mode=sales&amp;pin=0204104012","sales record")</f>
        <v>sales record</v>
      </c>
      <c r="AC5241" t="s">
        <v>3</v>
      </c>
      <c r="AD5241">
        <v>41.985127</v>
      </c>
      <c r="AE5241">
        <v>-88.10799</v>
      </c>
      <c r="AF5241" s="5" t="str">
        <f>HYPERLINK("https://www.google.com/maps/search/?api=1&amp;query=41.985127,-88.10799","map")</f>
        <v>map</v>
      </c>
    </row>
    <row r="5242" spans="1:32">
      <c r="A5242" t="s">
        <v>5292</v>
      </c>
      <c r="B5242" t="s">
        <v>12817</v>
      </c>
      <c r="C5242" t="s">
        <v>15830</v>
      </c>
      <c r="D5242" t="s">
        <v>16207</v>
      </c>
      <c r="E5242" t="s">
        <v>16218</v>
      </c>
      <c r="F5242" t="s">
        <v>16221</v>
      </c>
      <c r="G5242" t="s">
        <v>16241</v>
      </c>
      <c r="H5242" t="s">
        <v>16241</v>
      </c>
      <c r="I5242" t="s">
        <v>16355</v>
      </c>
      <c r="J5242" t="s">
        <v>16385</v>
      </c>
      <c r="K5242">
        <v>0.226</v>
      </c>
      <c r="L5242">
        <v>9839</v>
      </c>
      <c r="M5242">
        <v>1594</v>
      </c>
      <c r="N5242" t="s">
        <v>16393</v>
      </c>
      <c r="O5242" s="4">
        <v>38692</v>
      </c>
      <c r="P5242" s="4">
        <v>58104</v>
      </c>
      <c r="Q5242" s="4">
        <v>96796</v>
      </c>
      <c r="R5242" s="4">
        <v>290388</v>
      </c>
      <c r="S5242" t="s">
        <v>21506</v>
      </c>
      <c r="T5242" s="6">
        <v>43983</v>
      </c>
      <c r="U5242" s="4">
        <v>240000</v>
      </c>
      <c r="V5242" t="s">
        <v>23740</v>
      </c>
      <c r="W5242" t="s">
        <v>26679</v>
      </c>
      <c r="X5242" t="s">
        <v>3</v>
      </c>
      <c r="AA5242" s="5" t="str">
        <f>HYPERLINK("https://www.zillow.com/homes/695-MIDDLETON-DR-ROSELLE-IL-60172_rb/","check listing")</f>
        <v>check listing</v>
      </c>
      <c r="AB5242" s="5" t="str">
        <f>HYPERLINK("https://propertylookup.dupagecounty.gov/Datalets/Datalet.aspx?UseSearch=no&amp;mode=sales&amp;pin=0209101036","sales record")</f>
        <v>sales record</v>
      </c>
      <c r="AC5242" t="s">
        <v>3</v>
      </c>
      <c r="AD5242">
        <v>41.970065</v>
      </c>
      <c r="AE5242">
        <v>-88.10460500000001</v>
      </c>
      <c r="AF5242" s="5" t="str">
        <f>HYPERLINK("https://www.google.com/maps/search/?api=1&amp;query=41.970065,-88.104605","map")</f>
        <v>map</v>
      </c>
    </row>
    <row r="5243" spans="1:32">
      <c r="A5243" t="s">
        <v>5293</v>
      </c>
      <c r="B5243" t="s">
        <v>12818</v>
      </c>
      <c r="C5243" t="s">
        <v>15830</v>
      </c>
      <c r="D5243" t="s">
        <v>16207</v>
      </c>
      <c r="E5243" t="s">
        <v>16218</v>
      </c>
      <c r="F5243" t="s">
        <v>16221</v>
      </c>
      <c r="G5243" t="s">
        <v>16241</v>
      </c>
      <c r="H5243" t="s">
        <v>16241</v>
      </c>
      <c r="I5243" t="s">
        <v>16355</v>
      </c>
      <c r="J5243" t="s">
        <v>16385</v>
      </c>
      <c r="K5243">
        <v>0.226</v>
      </c>
      <c r="L5243">
        <v>9832</v>
      </c>
      <c r="M5243">
        <v>3001</v>
      </c>
      <c r="N5243" t="s">
        <v>16393</v>
      </c>
      <c r="O5243" s="4">
        <v>51327</v>
      </c>
      <c r="P5243" s="4">
        <v>160757</v>
      </c>
      <c r="Q5243" s="4">
        <v>212084</v>
      </c>
      <c r="R5243" s="4">
        <v>636252</v>
      </c>
      <c r="S5243" t="s">
        <v>21507</v>
      </c>
      <c r="T5243" s="6">
        <v>34790</v>
      </c>
      <c r="U5243" s="4">
        <v>347000</v>
      </c>
      <c r="X5243" t="s">
        <v>3</v>
      </c>
      <c r="AA5243" s="5" t="str">
        <f>HYPERLINK("https://www.zillow.com/homes/105-CARDINAL-LN-ROSELLE-IL-60172_rb/","check listing")</f>
        <v>check listing</v>
      </c>
      <c r="AB5243" s="5" t="str">
        <f>HYPERLINK("https://propertylookup.dupagecounty.gov/Datalets/Datalet.aspx?UseSearch=no&amp;mode=sales&amp;pin=0204104002","sales record")</f>
        <v>sales record</v>
      </c>
      <c r="AC5243" t="s">
        <v>3</v>
      </c>
      <c r="AD5243">
        <v>41.985122</v>
      </c>
      <c r="AE5243">
        <v>-88.10917999999999</v>
      </c>
      <c r="AF5243" s="5" t="str">
        <f>HYPERLINK("https://www.google.com/maps/search/?api=1&amp;query=41.985122,-88.10918","map")</f>
        <v>map</v>
      </c>
    </row>
    <row r="5244" spans="1:32">
      <c r="A5244" t="s">
        <v>5294</v>
      </c>
      <c r="B5244" t="s">
        <v>12819</v>
      </c>
      <c r="C5244" t="s">
        <v>15830</v>
      </c>
      <c r="D5244" t="s">
        <v>16207</v>
      </c>
      <c r="E5244" t="s">
        <v>16218</v>
      </c>
      <c r="F5244" t="s">
        <v>16221</v>
      </c>
      <c r="G5244" t="s">
        <v>16241</v>
      </c>
      <c r="H5244" t="s">
        <v>16241</v>
      </c>
      <c r="I5244" t="s">
        <v>16355</v>
      </c>
      <c r="J5244" t="s">
        <v>16385</v>
      </c>
      <c r="K5244">
        <v>0.226</v>
      </c>
      <c r="L5244">
        <v>9830</v>
      </c>
      <c r="M5244">
        <v>1583</v>
      </c>
      <c r="N5244" t="s">
        <v>16393</v>
      </c>
      <c r="O5244" s="4">
        <v>45278</v>
      </c>
      <c r="P5244" s="4">
        <v>97059</v>
      </c>
      <c r="Q5244" s="4">
        <v>142337</v>
      </c>
      <c r="R5244" s="4">
        <v>427011</v>
      </c>
      <c r="S5244" t="s">
        <v>21508</v>
      </c>
      <c r="X5244" t="s">
        <v>3</v>
      </c>
      <c r="AA5244" s="5" t="str">
        <f>HYPERLINK("https://www.zillow.com/homes/280-CHATHAM-LN-2-ROSELLE-IL-60172_rb/","check listing")</f>
        <v>check listing</v>
      </c>
      <c r="AB5244" s="5" t="str">
        <f>HYPERLINK("https://propertylookup.dupagecounty.gov/Datalets/Datalet.aspx?UseSearch=no&amp;mode=sales&amp;pin=0205401022","sales record")</f>
        <v>sales record</v>
      </c>
      <c r="AC5244" t="s">
        <v>3</v>
      </c>
      <c r="AD5244">
        <v>41.977354</v>
      </c>
      <c r="AE5244">
        <v>-88.11514200000001</v>
      </c>
      <c r="AF5244" s="5" t="str">
        <f>HYPERLINK("https://www.google.com/maps/search/?api=1&amp;query=41.977354,-88.115142","map")</f>
        <v>map</v>
      </c>
    </row>
    <row r="5245" spans="1:32">
      <c r="A5245" t="s">
        <v>5295</v>
      </c>
      <c r="B5245" t="s">
        <v>12820</v>
      </c>
      <c r="C5245" t="s">
        <v>15854</v>
      </c>
      <c r="D5245" t="s">
        <v>16207</v>
      </c>
      <c r="E5245" t="s">
        <v>16218</v>
      </c>
      <c r="F5245" t="s">
        <v>16221</v>
      </c>
      <c r="G5245" t="s">
        <v>16241</v>
      </c>
      <c r="H5245" t="s">
        <v>16241</v>
      </c>
      <c r="I5245" t="s">
        <v>16355</v>
      </c>
      <c r="J5245" t="s">
        <v>16385</v>
      </c>
      <c r="K5245">
        <v>0.225</v>
      </c>
      <c r="L5245">
        <v>9816</v>
      </c>
      <c r="M5245">
        <v>3464</v>
      </c>
      <c r="N5245" t="s">
        <v>16393</v>
      </c>
      <c r="O5245" s="4">
        <v>51351</v>
      </c>
      <c r="P5245" s="4">
        <v>167079</v>
      </c>
      <c r="Q5245" s="4">
        <v>218430</v>
      </c>
      <c r="R5245" s="4">
        <v>655290</v>
      </c>
      <c r="S5245" t="s">
        <v>21509</v>
      </c>
      <c r="T5245" s="6">
        <v>44348</v>
      </c>
      <c r="U5245" s="4">
        <v>525511</v>
      </c>
      <c r="V5245" t="s">
        <v>23740</v>
      </c>
      <c r="W5245" t="s">
        <v>26680</v>
      </c>
      <c r="X5245" t="s">
        <v>3</v>
      </c>
      <c r="AA5245" s="5" t="str">
        <f>HYPERLINK("https://www.zillow.com/homes/1115-BLUEBIRD-LN-ROSELLE-IL-601724722_rb/","check listing")</f>
        <v>check listing</v>
      </c>
      <c r="AB5245" s="5" t="str">
        <f>HYPERLINK("https://propertylookup.dupagecounty.gov/Datalets/Datalet.aspx?UseSearch=no&amp;mode=sales&amp;pin=0204104009","sales record")</f>
        <v>sales record</v>
      </c>
      <c r="AC5245" t="s">
        <v>3</v>
      </c>
      <c r="AD5245">
        <v>41.985565</v>
      </c>
      <c r="AE5245">
        <v>-88.107687</v>
      </c>
      <c r="AF5245" s="5" t="str">
        <f>HYPERLINK("https://www.google.com/maps/search/?api=1&amp;query=41.985565,-88.107687","map")</f>
        <v>map</v>
      </c>
    </row>
    <row r="5246" spans="1:32">
      <c r="A5246" t="s">
        <v>5296</v>
      </c>
      <c r="B5246" t="s">
        <v>12821</v>
      </c>
      <c r="C5246" t="s">
        <v>15830</v>
      </c>
      <c r="D5246" t="s">
        <v>16207</v>
      </c>
      <c r="E5246" t="s">
        <v>16218</v>
      </c>
      <c r="F5246" t="s">
        <v>16221</v>
      </c>
      <c r="G5246" t="s">
        <v>16241</v>
      </c>
      <c r="H5246" t="s">
        <v>16241</v>
      </c>
      <c r="I5246" t="s">
        <v>16355</v>
      </c>
      <c r="J5246" t="s">
        <v>16385</v>
      </c>
      <c r="K5246">
        <v>0.224</v>
      </c>
      <c r="L5246">
        <v>9777</v>
      </c>
      <c r="M5246">
        <v>2143</v>
      </c>
      <c r="N5246" t="s">
        <v>16393</v>
      </c>
      <c r="O5246" s="4">
        <v>45278</v>
      </c>
      <c r="P5246" s="4">
        <v>108677</v>
      </c>
      <c r="Q5246" s="4">
        <v>153955</v>
      </c>
      <c r="R5246" s="4">
        <v>461865</v>
      </c>
      <c r="S5246" t="s">
        <v>21510</v>
      </c>
      <c r="T5246" s="6">
        <v>36281</v>
      </c>
      <c r="U5246" s="4">
        <v>191000</v>
      </c>
      <c r="X5246" t="s">
        <v>3</v>
      </c>
      <c r="AA5246" s="5" t="str">
        <f>HYPERLINK("https://www.zillow.com/homes/720-EDENWOOD-DR-ROSELLE-IL-60172_rb/","check listing")</f>
        <v>check listing</v>
      </c>
      <c r="AB5246" s="5" t="str">
        <f>HYPERLINK("https://propertylookup.dupagecounty.gov/Datalets/Datalet.aspx?UseSearch=no&amp;mode=sales&amp;pin=0209213015","sales record")</f>
        <v>sales record</v>
      </c>
      <c r="AC5246" t="s">
        <v>3</v>
      </c>
      <c r="AD5246">
        <v>41.972537</v>
      </c>
      <c r="AE5246">
        <v>-88.09871200000001</v>
      </c>
      <c r="AF5246" s="5" t="str">
        <f>HYPERLINK("https://www.google.com/maps/search/?api=1&amp;query=41.972537,-88.098712","map")</f>
        <v>map</v>
      </c>
    </row>
    <row r="5247" spans="1:32">
      <c r="A5247" t="s">
        <v>5297</v>
      </c>
      <c r="B5247" t="s">
        <v>12822</v>
      </c>
      <c r="C5247" t="s">
        <v>15830</v>
      </c>
      <c r="D5247" t="s">
        <v>16207</v>
      </c>
      <c r="E5247" t="s">
        <v>16218</v>
      </c>
      <c r="F5247" t="s">
        <v>16221</v>
      </c>
      <c r="G5247" t="s">
        <v>16241</v>
      </c>
      <c r="H5247" t="s">
        <v>16241</v>
      </c>
      <c r="I5247" t="s">
        <v>16355</v>
      </c>
      <c r="J5247" t="s">
        <v>16385</v>
      </c>
      <c r="K5247">
        <v>0.224</v>
      </c>
      <c r="L5247">
        <v>9773</v>
      </c>
      <c r="M5247">
        <v>3453</v>
      </c>
      <c r="N5247" t="s">
        <v>16393</v>
      </c>
      <c r="O5247" s="4">
        <v>48577</v>
      </c>
      <c r="P5247" s="4">
        <v>174323</v>
      </c>
      <c r="Q5247" s="4">
        <v>222900</v>
      </c>
      <c r="R5247" s="4">
        <v>668700</v>
      </c>
      <c r="S5247" t="s">
        <v>21511</v>
      </c>
      <c r="T5247" s="6">
        <v>38047</v>
      </c>
      <c r="U5247" s="4">
        <v>545000</v>
      </c>
      <c r="V5247" t="s">
        <v>23739</v>
      </c>
      <c r="W5247" t="s">
        <v>26681</v>
      </c>
      <c r="X5247" t="s">
        <v>3</v>
      </c>
      <c r="AA5247" s="5" t="str">
        <f>HYPERLINK("https://www.zillow.com/homes/65-FLAMINGO-DR-ROSELLE-IL-60172_rb/","check listing")</f>
        <v>check listing</v>
      </c>
      <c r="AB5247" s="5" t="str">
        <f>HYPERLINK("https://propertylookup.dupagecounty.gov/Datalets/Datalet.aspx?UseSearch=no&amp;mode=sales&amp;pin=0204101049","sales record")</f>
        <v>sales record</v>
      </c>
      <c r="AC5247" t="s">
        <v>3</v>
      </c>
      <c r="AD5247">
        <v>41.984452</v>
      </c>
      <c r="AE5247">
        <v>-88.105204</v>
      </c>
      <c r="AF5247" s="5" t="str">
        <f>HYPERLINK("https://www.google.com/maps/search/?api=1&amp;query=41.984452,-88.105204","map")</f>
        <v>map</v>
      </c>
    </row>
    <row r="5248" spans="1:32">
      <c r="A5248" t="s">
        <v>5298</v>
      </c>
      <c r="B5248" t="s">
        <v>12823</v>
      </c>
      <c r="C5248" t="s">
        <v>15830</v>
      </c>
      <c r="D5248" t="s">
        <v>16207</v>
      </c>
      <c r="E5248" t="s">
        <v>16218</v>
      </c>
      <c r="F5248" t="s">
        <v>16221</v>
      </c>
      <c r="G5248" t="s">
        <v>16241</v>
      </c>
      <c r="H5248" t="s">
        <v>16241</v>
      </c>
      <c r="I5248" t="s">
        <v>16355</v>
      </c>
      <c r="J5248" t="s">
        <v>16385</v>
      </c>
      <c r="K5248">
        <v>0.224</v>
      </c>
      <c r="L5248">
        <v>9748</v>
      </c>
      <c r="M5248">
        <v>2177</v>
      </c>
      <c r="N5248" t="s">
        <v>16393</v>
      </c>
      <c r="O5248" s="4">
        <v>45278</v>
      </c>
      <c r="P5248" s="4">
        <v>95719</v>
      </c>
      <c r="Q5248" s="4">
        <v>140997</v>
      </c>
      <c r="R5248" s="4">
        <v>422991</v>
      </c>
      <c r="S5248" t="s">
        <v>21512</v>
      </c>
      <c r="T5248" s="6">
        <v>35034</v>
      </c>
      <c r="U5248" s="4">
        <v>174000</v>
      </c>
      <c r="X5248" t="s">
        <v>3</v>
      </c>
      <c r="AA5248" s="5" t="str">
        <f>HYPERLINK("https://www.zillow.com/homes/120-EXETER-CT-ROSELLE-IL-60172_rb/","check listing")</f>
        <v>check listing</v>
      </c>
      <c r="AB5248" s="5" t="str">
        <f>HYPERLINK("https://propertylookup.dupagecounty.gov/Datalets/Datalet.aspx?UseSearch=no&amp;mode=sales&amp;pin=0205403013","sales record")</f>
        <v>sales record</v>
      </c>
      <c r="AC5248" t="s">
        <v>3</v>
      </c>
      <c r="AD5248">
        <v>41.980468</v>
      </c>
      <c r="AE5248">
        <v>-88.112568</v>
      </c>
      <c r="AF5248" s="5" t="str">
        <f>HYPERLINK("https://www.google.com/maps/search/?api=1&amp;query=41.980468,-88.112568","map")</f>
        <v>map</v>
      </c>
    </row>
    <row r="5249" spans="1:32">
      <c r="A5249" t="s">
        <v>5299</v>
      </c>
      <c r="B5249" t="s">
        <v>12824</v>
      </c>
      <c r="C5249" t="s">
        <v>15855</v>
      </c>
      <c r="D5249" t="s">
        <v>16207</v>
      </c>
      <c r="E5249" t="s">
        <v>16218</v>
      </c>
      <c r="F5249" t="s">
        <v>16221</v>
      </c>
      <c r="G5249" t="s">
        <v>16241</v>
      </c>
      <c r="H5249" t="s">
        <v>16241</v>
      </c>
      <c r="I5249" t="s">
        <v>16355</v>
      </c>
      <c r="J5249" t="s">
        <v>16385</v>
      </c>
      <c r="K5249">
        <v>0.224</v>
      </c>
      <c r="L5249">
        <v>9745</v>
      </c>
      <c r="M5249">
        <v>3451</v>
      </c>
      <c r="N5249" t="s">
        <v>16393</v>
      </c>
      <c r="O5249" s="4">
        <v>51351</v>
      </c>
      <c r="P5249" s="4">
        <v>191859</v>
      </c>
      <c r="Q5249" s="4">
        <v>243210</v>
      </c>
      <c r="R5249" s="4">
        <v>729630</v>
      </c>
      <c r="S5249" t="s">
        <v>21513</v>
      </c>
      <c r="T5249" s="6">
        <v>43070</v>
      </c>
      <c r="U5249" s="4">
        <v>396375</v>
      </c>
      <c r="V5249" t="s">
        <v>16232</v>
      </c>
      <c r="W5249" t="s">
        <v>21513</v>
      </c>
      <c r="X5249" t="s">
        <v>3</v>
      </c>
      <c r="AA5249" s="5" t="str">
        <f>HYPERLINK("https://www.zillow.com/homes/1130-BLUE-HERON-WAY-ROSELLE-IL-601724718_rb/","check listing")</f>
        <v>check listing</v>
      </c>
      <c r="AB5249" s="5" t="str">
        <f>HYPERLINK("https://propertylookup.dupagecounty.gov/Datalets/Datalet.aspx?UseSearch=no&amp;mode=sales&amp;pin=0204104013","sales record")</f>
        <v>sales record</v>
      </c>
      <c r="AC5249" t="s">
        <v>3</v>
      </c>
      <c r="AD5249">
        <v>41.985146</v>
      </c>
      <c r="AE5249">
        <v>-88.108267</v>
      </c>
      <c r="AF5249" s="5" t="str">
        <f>HYPERLINK("https://www.google.com/maps/search/?api=1&amp;query=41.985146,-88.108267","map")</f>
        <v>map</v>
      </c>
    </row>
    <row r="5250" spans="1:32">
      <c r="A5250" t="s">
        <v>5300</v>
      </c>
      <c r="B5250" t="s">
        <v>12825</v>
      </c>
      <c r="C5250" t="s">
        <v>15856</v>
      </c>
      <c r="D5250" t="s">
        <v>16207</v>
      </c>
      <c r="E5250" t="s">
        <v>16218</v>
      </c>
      <c r="F5250" t="s">
        <v>16221</v>
      </c>
      <c r="G5250" t="s">
        <v>16241</v>
      </c>
      <c r="H5250" t="s">
        <v>16241</v>
      </c>
      <c r="I5250" t="s">
        <v>16355</v>
      </c>
      <c r="J5250" t="s">
        <v>16385</v>
      </c>
      <c r="K5250">
        <v>0.223</v>
      </c>
      <c r="L5250">
        <v>9735</v>
      </c>
      <c r="M5250">
        <v>1715</v>
      </c>
      <c r="N5250" t="s">
        <v>16393</v>
      </c>
      <c r="O5250" s="4">
        <v>38692</v>
      </c>
      <c r="P5250" s="4">
        <v>80300</v>
      </c>
      <c r="Q5250" s="4">
        <v>118992</v>
      </c>
      <c r="R5250" s="4">
        <v>356976</v>
      </c>
      <c r="S5250" t="s">
        <v>21514</v>
      </c>
      <c r="T5250" s="6">
        <v>44409</v>
      </c>
      <c r="U5250" s="4">
        <v>320000</v>
      </c>
      <c r="V5250" t="s">
        <v>23739</v>
      </c>
      <c r="W5250" t="s">
        <v>21514</v>
      </c>
      <c r="X5250" t="s">
        <v>3</v>
      </c>
      <c r="AA5250" s="5" t="str">
        <f>HYPERLINK("https://www.zillow.com/homes/1170-NORMAN-LN-ROSELLE-IL-601722630_rb/","check listing")</f>
        <v>check listing</v>
      </c>
      <c r="AB5250" s="5" t="str">
        <f>HYPERLINK("https://propertylookup.dupagecounty.gov/Datalets/Datalet.aspx?UseSearch=no&amp;mode=sales&amp;pin=0204302005","sales record")</f>
        <v>sales record</v>
      </c>
      <c r="AC5250" t="s">
        <v>3</v>
      </c>
      <c r="AD5250">
        <v>41.97584</v>
      </c>
      <c r="AE5250">
        <v>-88.10934399999999</v>
      </c>
      <c r="AF5250" s="5" t="str">
        <f>HYPERLINK("https://www.google.com/maps/search/?api=1&amp;query=41.97584,-88.109344","map")</f>
        <v>map</v>
      </c>
    </row>
    <row r="5251" spans="1:32">
      <c r="A5251" t="s">
        <v>5301</v>
      </c>
      <c r="B5251" t="s">
        <v>12826</v>
      </c>
      <c r="C5251" t="s">
        <v>15830</v>
      </c>
      <c r="D5251" t="s">
        <v>16207</v>
      </c>
      <c r="E5251" t="s">
        <v>16218</v>
      </c>
      <c r="F5251" t="s">
        <v>16221</v>
      </c>
      <c r="G5251" t="s">
        <v>16241</v>
      </c>
      <c r="H5251" t="s">
        <v>16241</v>
      </c>
      <c r="I5251" t="s">
        <v>16355</v>
      </c>
      <c r="J5251" t="s">
        <v>16385</v>
      </c>
      <c r="K5251">
        <v>0.223</v>
      </c>
      <c r="L5251">
        <v>9699</v>
      </c>
      <c r="M5251">
        <v>2226</v>
      </c>
      <c r="N5251" t="s">
        <v>16393</v>
      </c>
      <c r="O5251" s="4">
        <v>45278</v>
      </c>
      <c r="P5251" s="4">
        <v>68526</v>
      </c>
      <c r="Q5251" s="4">
        <v>113804</v>
      </c>
      <c r="R5251" s="4">
        <v>341412</v>
      </c>
      <c r="S5251" t="s">
        <v>21515</v>
      </c>
      <c r="T5251" s="6">
        <v>37438</v>
      </c>
      <c r="U5251" s="4">
        <v>186000</v>
      </c>
      <c r="V5251" t="s">
        <v>23739</v>
      </c>
      <c r="W5251" t="s">
        <v>26682</v>
      </c>
      <c r="X5251" t="s">
        <v>3</v>
      </c>
      <c r="AA5251" s="5" t="str">
        <f>HYPERLINK("https://www.zillow.com/homes/536-AVEBURY-LN-ROSELLE-IL-60172_rb/","check listing")</f>
        <v>check listing</v>
      </c>
      <c r="AB5251" s="5" t="str">
        <f>HYPERLINK("https://propertylookup.dupagecounty.gov/Datalets/Datalet.aspx?UseSearch=no&amp;mode=sales&amp;pin=0209213005","sales record")</f>
        <v>sales record</v>
      </c>
      <c r="AC5251" t="s">
        <v>3</v>
      </c>
      <c r="AD5251">
        <v>41.972959</v>
      </c>
      <c r="AE5251">
        <v>-88.098553</v>
      </c>
      <c r="AF5251" s="5" t="str">
        <f>HYPERLINK("https://www.google.com/maps/search/?api=1&amp;query=41.972959,-88.098553","map")</f>
        <v>map</v>
      </c>
    </row>
    <row r="5252" spans="1:32">
      <c r="A5252" t="s">
        <v>5302</v>
      </c>
      <c r="B5252" t="s">
        <v>12827</v>
      </c>
      <c r="C5252" t="s">
        <v>15830</v>
      </c>
      <c r="D5252" t="s">
        <v>16207</v>
      </c>
      <c r="E5252" t="s">
        <v>16218</v>
      </c>
      <c r="F5252" t="s">
        <v>16221</v>
      </c>
      <c r="G5252" t="s">
        <v>16241</v>
      </c>
      <c r="H5252" t="s">
        <v>16241</v>
      </c>
      <c r="I5252" t="s">
        <v>16355</v>
      </c>
      <c r="J5252" t="s">
        <v>16385</v>
      </c>
      <c r="K5252">
        <v>0.223</v>
      </c>
      <c r="L5252">
        <v>9699</v>
      </c>
      <c r="M5252">
        <v>2969</v>
      </c>
      <c r="N5252" t="s">
        <v>16393</v>
      </c>
      <c r="O5252" s="4">
        <v>51351</v>
      </c>
      <c r="P5252" s="4">
        <v>174025</v>
      </c>
      <c r="Q5252" s="4">
        <v>225376</v>
      </c>
      <c r="R5252" s="4">
        <v>676128</v>
      </c>
      <c r="S5252" t="s">
        <v>21516</v>
      </c>
      <c r="T5252" s="6">
        <v>45013</v>
      </c>
      <c r="U5252" s="4">
        <v>565000</v>
      </c>
      <c r="V5252" t="s">
        <v>23739</v>
      </c>
      <c r="W5252" t="s">
        <v>26683</v>
      </c>
      <c r="X5252" t="s">
        <v>3</v>
      </c>
      <c r="AA5252" s="5" t="str">
        <f>HYPERLINK("https://www.zillow.com/homes/1135-FLAMINGO-DR-ROSELLE-IL-60172_rb/","check listing")</f>
        <v>check listing</v>
      </c>
      <c r="AB5252" s="5" t="str">
        <f>HYPERLINK("https://propertylookup.dupagecounty.gov/Datalets/Datalet.aspx?UseSearch=no&amp;mode=sales&amp;pin=0204101036","sales record")</f>
        <v>sales record</v>
      </c>
      <c r="AC5252" t="s">
        <v>3</v>
      </c>
      <c r="AD5252">
        <v>41.983672</v>
      </c>
      <c r="AE5252">
        <v>-88.108362</v>
      </c>
      <c r="AF5252" s="5" t="str">
        <f>HYPERLINK("https://www.google.com/maps/search/?api=1&amp;query=41.983672,-88.108362","map")</f>
        <v>map</v>
      </c>
    </row>
    <row r="5253" spans="1:32">
      <c r="A5253" t="s">
        <v>5303</v>
      </c>
      <c r="B5253" t="s">
        <v>12828</v>
      </c>
      <c r="C5253" t="s">
        <v>15830</v>
      </c>
      <c r="D5253" t="s">
        <v>16207</v>
      </c>
      <c r="E5253" t="s">
        <v>16218</v>
      </c>
      <c r="F5253" t="s">
        <v>16221</v>
      </c>
      <c r="G5253" t="s">
        <v>16241</v>
      </c>
      <c r="H5253" t="s">
        <v>16241</v>
      </c>
      <c r="I5253" t="s">
        <v>16355</v>
      </c>
      <c r="J5253" t="s">
        <v>16385</v>
      </c>
      <c r="K5253">
        <v>0.222</v>
      </c>
      <c r="L5253">
        <v>9689</v>
      </c>
      <c r="M5253">
        <v>1963</v>
      </c>
      <c r="N5253" t="s">
        <v>16393</v>
      </c>
      <c r="O5253" s="4">
        <v>38692</v>
      </c>
      <c r="P5253" s="4">
        <v>91991</v>
      </c>
      <c r="Q5253" s="4">
        <v>130683</v>
      </c>
      <c r="R5253" s="4">
        <v>392049</v>
      </c>
      <c r="S5253" t="s">
        <v>21517</v>
      </c>
      <c r="T5253" s="6">
        <v>41760</v>
      </c>
      <c r="U5253" s="4">
        <v>231000</v>
      </c>
      <c r="V5253" t="s">
        <v>23739</v>
      </c>
      <c r="W5253" t="s">
        <v>26684</v>
      </c>
      <c r="X5253" t="s">
        <v>3</v>
      </c>
      <c r="AA5253" s="5" t="str">
        <f>HYPERLINK("https://www.zillow.com/homes/668-BERWICK-PLACE-ROSELLE-IL-60172_rb/","check listing")</f>
        <v>check listing</v>
      </c>
      <c r="AB5253" s="5" t="str">
        <f>HYPERLINK("https://propertylookup.dupagecounty.gov/Datalets/Datalet.aspx?UseSearch=no&amp;mode=sales&amp;pin=0208205022","sales record")</f>
        <v>sales record</v>
      </c>
      <c r="AC5253" t="s">
        <v>3</v>
      </c>
      <c r="AD5253">
        <v>41.970775</v>
      </c>
      <c r="AE5253">
        <v>-88.111993</v>
      </c>
      <c r="AF5253" s="5" t="str">
        <f>HYPERLINK("https://www.google.com/maps/search/?api=1&amp;query=41.970775,-88.111993","map")</f>
        <v>map</v>
      </c>
    </row>
    <row r="5254" spans="1:32">
      <c r="A5254" t="s">
        <v>5304</v>
      </c>
      <c r="B5254" t="s">
        <v>12829</v>
      </c>
      <c r="C5254" t="s">
        <v>15830</v>
      </c>
      <c r="D5254" t="s">
        <v>16207</v>
      </c>
      <c r="E5254" t="s">
        <v>16218</v>
      </c>
      <c r="F5254" t="s">
        <v>16221</v>
      </c>
      <c r="G5254" t="s">
        <v>16241</v>
      </c>
      <c r="H5254" t="s">
        <v>16241</v>
      </c>
      <c r="I5254" t="s">
        <v>16355</v>
      </c>
      <c r="J5254" t="s">
        <v>16385</v>
      </c>
      <c r="K5254">
        <v>0.222</v>
      </c>
      <c r="L5254">
        <v>9686</v>
      </c>
      <c r="M5254">
        <v>1319</v>
      </c>
      <c r="N5254" t="s">
        <v>16393</v>
      </c>
      <c r="O5254" s="4">
        <v>45278</v>
      </c>
      <c r="P5254" s="4">
        <v>94656</v>
      </c>
      <c r="Q5254" s="4">
        <v>139934</v>
      </c>
      <c r="R5254" s="4">
        <v>419802</v>
      </c>
      <c r="S5254" t="s">
        <v>21518</v>
      </c>
      <c r="T5254" s="6">
        <v>39203</v>
      </c>
      <c r="U5254" s="4">
        <v>322500</v>
      </c>
      <c r="V5254" t="s">
        <v>23739</v>
      </c>
      <c r="W5254" t="s">
        <v>26685</v>
      </c>
      <c r="X5254" t="s">
        <v>3</v>
      </c>
      <c r="AA5254" s="5" t="str">
        <f>HYPERLINK("https://www.zillow.com/homes/935-BRANDYWINE-DR-ROSELLE-IL-60172_rb/","check listing")</f>
        <v>check listing</v>
      </c>
      <c r="AB5254" s="5" t="str">
        <f>HYPERLINK("https://propertylookup.dupagecounty.gov/Datalets/Datalet.aspx?UseSearch=no&amp;mode=sales&amp;pin=0209115001","sales record")</f>
        <v>sales record</v>
      </c>
      <c r="AC5254" t="s">
        <v>3</v>
      </c>
      <c r="AD5254">
        <v>41.974926</v>
      </c>
      <c r="AE5254">
        <v>-88.103937</v>
      </c>
      <c r="AF5254" s="5" t="str">
        <f>HYPERLINK("https://www.google.com/maps/search/?api=1&amp;query=41.974926,-88.103937","map")</f>
        <v>map</v>
      </c>
    </row>
    <row r="5255" spans="1:32">
      <c r="A5255" t="s">
        <v>5305</v>
      </c>
      <c r="B5255" t="s">
        <v>12830</v>
      </c>
      <c r="C5255" t="s">
        <v>15830</v>
      </c>
      <c r="D5255" t="s">
        <v>16207</v>
      </c>
      <c r="E5255" t="s">
        <v>16218</v>
      </c>
      <c r="F5255" t="s">
        <v>16221</v>
      </c>
      <c r="G5255" t="s">
        <v>16241</v>
      </c>
      <c r="H5255" t="s">
        <v>16241</v>
      </c>
      <c r="I5255" t="s">
        <v>16355</v>
      </c>
      <c r="J5255" t="s">
        <v>16385</v>
      </c>
      <c r="K5255">
        <v>0.222</v>
      </c>
      <c r="L5255">
        <v>9683</v>
      </c>
      <c r="M5255">
        <v>3678</v>
      </c>
      <c r="N5255" t="s">
        <v>16393</v>
      </c>
      <c r="O5255" s="4">
        <v>51327</v>
      </c>
      <c r="P5255" s="4">
        <v>184639</v>
      </c>
      <c r="Q5255" s="4">
        <v>235966</v>
      </c>
      <c r="R5255" s="4">
        <v>707898</v>
      </c>
      <c r="S5255" t="s">
        <v>21519</v>
      </c>
      <c r="T5255" s="6">
        <v>36281</v>
      </c>
      <c r="U5255" s="4">
        <v>415000</v>
      </c>
      <c r="X5255" t="s">
        <v>3</v>
      </c>
      <c r="AA5255" s="5" t="str">
        <f>HYPERLINK("https://www.zillow.com/homes/1155-BLUE-HERON-WAY-ROSELLE-IL-60172_rb/","check listing")</f>
        <v>check listing</v>
      </c>
      <c r="AB5255" s="5" t="str">
        <f>HYPERLINK("https://propertylookup.dupagecounty.gov/Datalets/Datalet.aspx?UseSearch=no&amp;mode=sales&amp;pin=0204103020","sales record")</f>
        <v>sales record</v>
      </c>
      <c r="AC5255" t="s">
        <v>3</v>
      </c>
      <c r="AD5255">
        <v>41.984612</v>
      </c>
      <c r="AE5255">
        <v>-88.10857300000001</v>
      </c>
      <c r="AF5255" s="5" t="str">
        <f>HYPERLINK("https://www.google.com/maps/search/?api=1&amp;query=41.984612,-88.108573","map")</f>
        <v>map</v>
      </c>
    </row>
    <row r="5256" spans="1:32">
      <c r="A5256" t="s">
        <v>5306</v>
      </c>
      <c r="B5256" t="s">
        <v>12831</v>
      </c>
      <c r="C5256" t="s">
        <v>15857</v>
      </c>
      <c r="D5256" t="s">
        <v>16207</v>
      </c>
      <c r="E5256" t="s">
        <v>16218</v>
      </c>
      <c r="F5256" t="s">
        <v>16221</v>
      </c>
      <c r="G5256" t="s">
        <v>16241</v>
      </c>
      <c r="H5256" t="s">
        <v>16241</v>
      </c>
      <c r="I5256" t="s">
        <v>16355</v>
      </c>
      <c r="J5256" t="s">
        <v>16385</v>
      </c>
      <c r="K5256">
        <v>0.222</v>
      </c>
      <c r="L5256">
        <v>9672</v>
      </c>
      <c r="M5256">
        <v>1716</v>
      </c>
      <c r="N5256" t="s">
        <v>16393</v>
      </c>
      <c r="O5256" s="4">
        <v>45278</v>
      </c>
      <c r="P5256" s="4">
        <v>104756</v>
      </c>
      <c r="Q5256" s="4">
        <v>150034</v>
      </c>
      <c r="R5256" s="4">
        <v>450102</v>
      </c>
      <c r="S5256" t="s">
        <v>21520</v>
      </c>
      <c r="T5256" s="6">
        <v>43709</v>
      </c>
      <c r="U5256" s="4">
        <v>320000</v>
      </c>
      <c r="V5256" t="s">
        <v>23740</v>
      </c>
      <c r="W5256" t="s">
        <v>26686</v>
      </c>
      <c r="X5256" t="s">
        <v>3</v>
      </c>
      <c r="AA5256" s="5" t="str">
        <f>HYPERLINK("https://www.zillow.com/homes/1303-COVENTRY-CT-ROSELLE-IL-601721626_rb/","check listing")</f>
        <v>check listing</v>
      </c>
      <c r="AB5256" s="5" t="str">
        <f>HYPERLINK("https://propertylookup.dupagecounty.gov/Datalets/Datalet.aspx?UseSearch=no&amp;mode=sales&amp;pin=0205401057","sales record")</f>
        <v>sales record</v>
      </c>
      <c r="AC5256" t="s">
        <v>3</v>
      </c>
      <c r="AD5256">
        <v>41.981729</v>
      </c>
      <c r="AE5256">
        <v>-88.113879</v>
      </c>
      <c r="AF5256" s="5" t="str">
        <f>HYPERLINK("https://www.google.com/maps/search/?api=1&amp;query=41.981729,-88.113879","map")</f>
        <v>map</v>
      </c>
    </row>
    <row r="5257" spans="1:32">
      <c r="A5257" t="s">
        <v>5307</v>
      </c>
      <c r="B5257" t="s">
        <v>12832</v>
      </c>
      <c r="C5257" t="s">
        <v>15830</v>
      </c>
      <c r="D5257" t="s">
        <v>16207</v>
      </c>
      <c r="E5257" t="s">
        <v>16218</v>
      </c>
      <c r="F5257" t="s">
        <v>16221</v>
      </c>
      <c r="G5257" t="s">
        <v>16241</v>
      </c>
      <c r="H5257" t="s">
        <v>16241</v>
      </c>
      <c r="I5257" t="s">
        <v>16355</v>
      </c>
      <c r="J5257" t="s">
        <v>16385</v>
      </c>
      <c r="K5257">
        <v>0.222</v>
      </c>
      <c r="L5257">
        <v>9667</v>
      </c>
      <c r="M5257">
        <v>2634</v>
      </c>
      <c r="N5257" t="s">
        <v>16393</v>
      </c>
      <c r="O5257" s="4">
        <v>51278</v>
      </c>
      <c r="P5257" s="4">
        <v>179571</v>
      </c>
      <c r="Q5257" s="4">
        <v>230849</v>
      </c>
      <c r="R5257" s="4">
        <v>692547</v>
      </c>
      <c r="S5257" t="s">
        <v>21521</v>
      </c>
      <c r="T5257" s="6">
        <v>36800</v>
      </c>
      <c r="U5257" s="4">
        <v>446500</v>
      </c>
      <c r="V5257" t="s">
        <v>23739</v>
      </c>
      <c r="W5257" t="s">
        <v>26687</v>
      </c>
      <c r="X5257" t="s">
        <v>3</v>
      </c>
      <c r="AA5257" s="5" t="str">
        <f>HYPERLINK("https://www.zillow.com/homes/1100-FLAMINGO-DR-ROSELLE-IL-60172_rb/","check listing")</f>
        <v>check listing</v>
      </c>
      <c r="AB5257" s="5" t="str">
        <f>HYPERLINK("https://propertylookup.dupagecounty.gov/Datalets/Datalet.aspx?UseSearch=no&amp;mode=sales&amp;pin=0204103007","sales record")</f>
        <v>sales record</v>
      </c>
      <c r="AC5257" t="s">
        <v>3</v>
      </c>
      <c r="AD5257">
        <v>41.984014</v>
      </c>
      <c r="AE5257">
        <v>-88.107586</v>
      </c>
      <c r="AF5257" s="5" t="str">
        <f>HYPERLINK("https://www.google.com/maps/search/?api=1&amp;query=41.984014,-88.107586","map")</f>
        <v>map</v>
      </c>
    </row>
    <row r="5258" spans="1:32">
      <c r="A5258" t="s">
        <v>5308</v>
      </c>
      <c r="B5258" t="s">
        <v>12833</v>
      </c>
      <c r="C5258" t="s">
        <v>15830</v>
      </c>
      <c r="D5258" t="s">
        <v>16207</v>
      </c>
      <c r="E5258" t="s">
        <v>16218</v>
      </c>
      <c r="F5258" t="s">
        <v>16221</v>
      </c>
      <c r="G5258" t="s">
        <v>16241</v>
      </c>
      <c r="H5258" t="s">
        <v>16241</v>
      </c>
      <c r="I5258" t="s">
        <v>16355</v>
      </c>
      <c r="J5258" t="s">
        <v>16385</v>
      </c>
      <c r="K5258">
        <v>0.221</v>
      </c>
      <c r="L5258">
        <v>9646</v>
      </c>
      <c r="M5258">
        <v>2969</v>
      </c>
      <c r="N5258" t="s">
        <v>16393</v>
      </c>
      <c r="O5258" s="4">
        <v>54793</v>
      </c>
      <c r="P5258" s="4">
        <v>193591</v>
      </c>
      <c r="Q5258" s="4">
        <v>248384</v>
      </c>
      <c r="R5258" s="4">
        <v>745152</v>
      </c>
      <c r="S5258" t="s">
        <v>21522</v>
      </c>
      <c r="T5258" s="6">
        <v>38961</v>
      </c>
      <c r="U5258" s="4">
        <v>619000</v>
      </c>
      <c r="V5258" t="s">
        <v>23739</v>
      </c>
      <c r="W5258" t="s">
        <v>26688</v>
      </c>
      <c r="X5258" t="s">
        <v>3</v>
      </c>
      <c r="AA5258" s="5" t="str">
        <f>HYPERLINK("https://www.zillow.com/homes/7-N-ANDOVER-DR-ROSELLE-IL-60172_rb/","check listing")</f>
        <v>check listing</v>
      </c>
      <c r="AB5258" s="5" t="str">
        <f>HYPERLINK("https://propertylookup.dupagecounty.gov/Datalets/Datalet.aspx?UseSearch=no&amp;mode=sales&amp;pin=0205232009","sales record")</f>
        <v>sales record</v>
      </c>
      <c r="AC5258" t="s">
        <v>3</v>
      </c>
      <c r="AD5258">
        <v>41.982875</v>
      </c>
      <c r="AE5258">
        <v>-88.112195</v>
      </c>
      <c r="AF5258" s="5" t="str">
        <f>HYPERLINK("https://www.google.com/maps/search/?api=1&amp;query=41.982875,-88.112195","map")</f>
        <v>map</v>
      </c>
    </row>
    <row r="5259" spans="1:32">
      <c r="A5259" t="s">
        <v>5309</v>
      </c>
      <c r="B5259" t="s">
        <v>12834</v>
      </c>
      <c r="C5259" t="s">
        <v>15830</v>
      </c>
      <c r="D5259" t="s">
        <v>16207</v>
      </c>
      <c r="E5259" t="s">
        <v>16218</v>
      </c>
      <c r="F5259" t="s">
        <v>16221</v>
      </c>
      <c r="G5259" t="s">
        <v>16241</v>
      </c>
      <c r="H5259" t="s">
        <v>16241</v>
      </c>
      <c r="I5259" t="s">
        <v>16355</v>
      </c>
      <c r="J5259" t="s">
        <v>16385</v>
      </c>
      <c r="K5259">
        <v>0.221</v>
      </c>
      <c r="L5259">
        <v>9636</v>
      </c>
      <c r="M5259">
        <v>1583</v>
      </c>
      <c r="N5259" t="s">
        <v>16393</v>
      </c>
      <c r="O5259" s="4">
        <v>45278</v>
      </c>
      <c r="P5259" s="4">
        <v>86815</v>
      </c>
      <c r="Q5259" s="4">
        <v>132093</v>
      </c>
      <c r="R5259" s="4">
        <v>396279</v>
      </c>
      <c r="S5259" t="s">
        <v>21523</v>
      </c>
      <c r="T5259" s="6">
        <v>44013</v>
      </c>
      <c r="U5259" s="4">
        <v>299900</v>
      </c>
      <c r="V5259" t="s">
        <v>23739</v>
      </c>
      <c r="W5259" t="s">
        <v>21523</v>
      </c>
      <c r="X5259" t="s">
        <v>3</v>
      </c>
      <c r="AA5259" s="5" t="str">
        <f>HYPERLINK("https://www.zillow.com/homes/495-GARDEN-AVE-ROSELLE-IL-60172_rb/","check listing")</f>
        <v>check listing</v>
      </c>
      <c r="AB5259" s="5" t="str">
        <f>HYPERLINK("https://propertylookup.dupagecounty.gov/Datalets/Datalet.aspx?UseSearch=no&amp;mode=sales&amp;pin=0209116010","sales record")</f>
        <v>sales record</v>
      </c>
      <c r="AC5259" t="s">
        <v>3</v>
      </c>
      <c r="AD5259">
        <v>41.973852</v>
      </c>
      <c r="AE5259">
        <v>-88.102802</v>
      </c>
      <c r="AF5259" s="5" t="str">
        <f>HYPERLINK("https://www.google.com/maps/search/?api=1&amp;query=41.973852,-88.102802","map")</f>
        <v>map</v>
      </c>
    </row>
    <row r="5260" spans="1:32">
      <c r="A5260" t="s">
        <v>5310</v>
      </c>
      <c r="B5260" t="s">
        <v>12835</v>
      </c>
      <c r="C5260" t="s">
        <v>15830</v>
      </c>
      <c r="D5260" t="s">
        <v>16207</v>
      </c>
      <c r="E5260" t="s">
        <v>16218</v>
      </c>
      <c r="F5260" t="s">
        <v>16221</v>
      </c>
      <c r="G5260" t="s">
        <v>16241</v>
      </c>
      <c r="H5260" t="s">
        <v>16241</v>
      </c>
      <c r="I5260" t="s">
        <v>16355</v>
      </c>
      <c r="J5260" t="s">
        <v>16385</v>
      </c>
      <c r="K5260">
        <v>0.221</v>
      </c>
      <c r="L5260">
        <v>9636</v>
      </c>
      <c r="M5260">
        <v>1715</v>
      </c>
      <c r="N5260" t="s">
        <v>16393</v>
      </c>
      <c r="O5260" s="4">
        <v>38692</v>
      </c>
      <c r="P5260" s="4">
        <v>83194</v>
      </c>
      <c r="Q5260" s="4">
        <v>121886</v>
      </c>
      <c r="R5260" s="4">
        <v>365658</v>
      </c>
      <c r="S5260" t="s">
        <v>21524</v>
      </c>
      <c r="T5260" s="6">
        <v>35947</v>
      </c>
      <c r="U5260" s="4">
        <v>154080</v>
      </c>
      <c r="X5260" t="s">
        <v>3</v>
      </c>
      <c r="AA5260" s="5" t="str">
        <f>HYPERLINK("https://www.zillow.com/homes/1115-SINGLETON-DR-ROSELLE-IL-60172_rb/","check listing")</f>
        <v>check listing</v>
      </c>
      <c r="AB5260" s="5" t="str">
        <f>HYPERLINK("https://propertylookup.dupagecounty.gov/Datalets/Datalet.aspx?UseSearch=no&amp;mode=sales&amp;pin=0204309061","sales record")</f>
        <v>sales record</v>
      </c>
      <c r="AC5260" t="s">
        <v>3</v>
      </c>
      <c r="AD5260">
        <v>41.979345</v>
      </c>
      <c r="AE5260">
        <v>-88.1082</v>
      </c>
      <c r="AF5260" s="5" t="str">
        <f>HYPERLINK("https://www.google.com/maps/search/?api=1&amp;query=41.979345,-88.1082","map")</f>
        <v>map</v>
      </c>
    </row>
    <row r="5261" spans="1:32">
      <c r="A5261" t="s">
        <v>5311</v>
      </c>
      <c r="B5261" t="s">
        <v>12836</v>
      </c>
      <c r="C5261" t="s">
        <v>15830</v>
      </c>
      <c r="D5261" t="s">
        <v>16207</v>
      </c>
      <c r="E5261" t="s">
        <v>16218</v>
      </c>
      <c r="F5261" t="s">
        <v>16221</v>
      </c>
      <c r="G5261" t="s">
        <v>16241</v>
      </c>
      <c r="H5261" t="s">
        <v>16241</v>
      </c>
      <c r="I5261" t="s">
        <v>16355</v>
      </c>
      <c r="J5261" t="s">
        <v>16385</v>
      </c>
      <c r="K5261">
        <v>0.221</v>
      </c>
      <c r="L5261">
        <v>9636</v>
      </c>
      <c r="M5261">
        <v>2143</v>
      </c>
      <c r="N5261" t="s">
        <v>16393</v>
      </c>
      <c r="O5261" s="4">
        <v>45278</v>
      </c>
      <c r="P5261" s="4">
        <v>102963</v>
      </c>
      <c r="Q5261" s="4">
        <v>148241</v>
      </c>
      <c r="R5261" s="4">
        <v>444723</v>
      </c>
      <c r="S5261" t="s">
        <v>21525</v>
      </c>
      <c r="T5261" s="6">
        <v>37895</v>
      </c>
      <c r="U5261" s="4">
        <v>286000</v>
      </c>
      <c r="V5261" t="s">
        <v>23739</v>
      </c>
      <c r="W5261" t="s">
        <v>21525</v>
      </c>
      <c r="X5261" t="s">
        <v>3</v>
      </c>
      <c r="AA5261" s="5" t="str">
        <f>HYPERLINK("https://www.zillow.com/homes/795-BRANDYWINE-DR-ROSELLE-IL-60172_rb/","check listing")</f>
        <v>check listing</v>
      </c>
      <c r="AB5261" s="5" t="str">
        <f>HYPERLINK("https://propertylookup.dupagecounty.gov/Datalets/Datalet.aspx?UseSearch=no&amp;mode=sales&amp;pin=0209116021","sales record")</f>
        <v>sales record</v>
      </c>
      <c r="AC5261" t="s">
        <v>3</v>
      </c>
      <c r="AD5261">
        <v>41.974349</v>
      </c>
      <c r="AE5261">
        <v>-88.10082199999999</v>
      </c>
      <c r="AF5261" s="5" t="str">
        <f>HYPERLINK("https://www.google.com/maps/search/?api=1&amp;query=41.974349,-88.100822","map")</f>
        <v>map</v>
      </c>
    </row>
    <row r="5262" spans="1:32">
      <c r="A5262" t="s">
        <v>5312</v>
      </c>
      <c r="B5262" t="s">
        <v>12837</v>
      </c>
      <c r="C5262" t="s">
        <v>15830</v>
      </c>
      <c r="D5262" t="s">
        <v>16207</v>
      </c>
      <c r="E5262" t="s">
        <v>16218</v>
      </c>
      <c r="F5262" t="s">
        <v>16221</v>
      </c>
      <c r="G5262" t="s">
        <v>16241</v>
      </c>
      <c r="H5262" t="s">
        <v>16241</v>
      </c>
      <c r="I5262" t="s">
        <v>16355</v>
      </c>
      <c r="J5262" t="s">
        <v>16385</v>
      </c>
      <c r="K5262">
        <v>0.22</v>
      </c>
      <c r="L5262">
        <v>9587</v>
      </c>
      <c r="M5262">
        <v>3446</v>
      </c>
      <c r="N5262" t="s">
        <v>16393</v>
      </c>
      <c r="O5262" s="4">
        <v>51278</v>
      </c>
      <c r="P5262" s="4">
        <v>185344</v>
      </c>
      <c r="Q5262" s="4">
        <v>236622</v>
      </c>
      <c r="R5262" s="4">
        <v>709866</v>
      </c>
      <c r="S5262" t="s">
        <v>21526</v>
      </c>
      <c r="T5262" s="6">
        <v>35947</v>
      </c>
      <c r="U5262" s="4">
        <v>420000</v>
      </c>
      <c r="X5262" t="s">
        <v>3</v>
      </c>
      <c r="AA5262" s="5" t="str">
        <f>HYPERLINK("https://www.zillow.com/homes/1130-FLAMINGO-DR-ROSELLE-IL-60172_rb/","check listing")</f>
        <v>check listing</v>
      </c>
      <c r="AB5262" s="5" t="str">
        <f>HYPERLINK("https://propertylookup.dupagecounty.gov/Datalets/Datalet.aspx?UseSearch=no&amp;mode=sales&amp;pin=0204103004","sales record")</f>
        <v>sales record</v>
      </c>
      <c r="AC5262" t="s">
        <v>3</v>
      </c>
      <c r="AD5262">
        <v>41.984255</v>
      </c>
      <c r="AE5262">
        <v>-88.10826400000001</v>
      </c>
      <c r="AF5262" s="5" t="str">
        <f>HYPERLINK("https://www.google.com/maps/search/?api=1&amp;query=41.984255,-88.108264","map")</f>
        <v>map</v>
      </c>
    </row>
    <row r="5263" spans="1:32">
      <c r="A5263" t="s">
        <v>5313</v>
      </c>
      <c r="B5263" t="s">
        <v>12838</v>
      </c>
      <c r="C5263" t="s">
        <v>15830</v>
      </c>
      <c r="D5263" t="s">
        <v>16207</v>
      </c>
      <c r="E5263" t="s">
        <v>16218</v>
      </c>
      <c r="F5263" t="s">
        <v>16221</v>
      </c>
      <c r="G5263" t="s">
        <v>16241</v>
      </c>
      <c r="H5263" t="s">
        <v>16241</v>
      </c>
      <c r="I5263" t="s">
        <v>16355</v>
      </c>
      <c r="J5263" t="s">
        <v>16385</v>
      </c>
      <c r="K5263">
        <v>0.22</v>
      </c>
      <c r="L5263">
        <v>9576</v>
      </c>
      <c r="M5263">
        <v>3221</v>
      </c>
      <c r="N5263" t="s">
        <v>16393</v>
      </c>
      <c r="O5263" s="4">
        <v>54064</v>
      </c>
      <c r="P5263" s="4">
        <v>168072</v>
      </c>
      <c r="Q5263" s="4">
        <v>222136</v>
      </c>
      <c r="R5263" s="4">
        <v>666408</v>
      </c>
      <c r="S5263" t="s">
        <v>21527</v>
      </c>
      <c r="T5263" s="6">
        <v>42370</v>
      </c>
      <c r="U5263" s="4">
        <v>420000</v>
      </c>
      <c r="V5263" t="s">
        <v>23739</v>
      </c>
      <c r="W5263" t="s">
        <v>26689</v>
      </c>
      <c r="X5263" t="s">
        <v>3</v>
      </c>
      <c r="AA5263" s="5" t="str">
        <f>HYPERLINK("https://www.zillow.com/homes/1070-BLUEBIRD-LN-ROSELLE-IL-60172_rb/","check listing")</f>
        <v>check listing</v>
      </c>
      <c r="AB5263" s="5" t="str">
        <f>HYPERLINK("https://propertylookup.dupagecounty.gov/Datalets/Datalet.aspx?UseSearch=no&amp;mode=sales&amp;pin=0204101062","sales record")</f>
        <v>sales record</v>
      </c>
      <c r="AC5263" t="s">
        <v>3</v>
      </c>
      <c r="AD5263">
        <v>41.986086</v>
      </c>
      <c r="AE5263">
        <v>-88.106606</v>
      </c>
      <c r="AF5263" s="5" t="str">
        <f>HYPERLINK("https://www.google.com/maps/search/?api=1&amp;query=41.986086,-88.106606","map")</f>
        <v>map</v>
      </c>
    </row>
    <row r="5264" spans="1:32">
      <c r="A5264" t="s">
        <v>5314</v>
      </c>
      <c r="B5264" t="s">
        <v>12839</v>
      </c>
      <c r="C5264" t="s">
        <v>15858</v>
      </c>
      <c r="D5264" t="s">
        <v>16207</v>
      </c>
      <c r="E5264" t="s">
        <v>16218</v>
      </c>
      <c r="F5264" t="s">
        <v>16221</v>
      </c>
      <c r="G5264" t="s">
        <v>16241</v>
      </c>
      <c r="H5264" t="s">
        <v>16241</v>
      </c>
      <c r="I5264" t="s">
        <v>16355</v>
      </c>
      <c r="J5264" t="s">
        <v>16385</v>
      </c>
      <c r="K5264">
        <v>0.22</v>
      </c>
      <c r="L5264">
        <v>9576</v>
      </c>
      <c r="M5264">
        <v>3166</v>
      </c>
      <c r="N5264" t="s">
        <v>16393</v>
      </c>
      <c r="O5264" s="4">
        <v>54064</v>
      </c>
      <c r="P5264" s="4">
        <v>153359</v>
      </c>
      <c r="Q5264" s="4">
        <v>207423</v>
      </c>
      <c r="R5264" s="4">
        <v>622269</v>
      </c>
      <c r="S5264" t="s">
        <v>21528</v>
      </c>
      <c r="T5264" s="6">
        <v>44378</v>
      </c>
      <c r="U5264" s="4">
        <v>570000</v>
      </c>
      <c r="V5264" t="s">
        <v>23740</v>
      </c>
      <c r="W5264" t="s">
        <v>26690</v>
      </c>
      <c r="X5264" t="s">
        <v>3</v>
      </c>
      <c r="AA5264" s="5" t="str">
        <f>HYPERLINK("https://www.zillow.com/homes/1060-BLUEBIRD-LN-ROSELLE-IL-601724720_rb/","check listing")</f>
        <v>check listing</v>
      </c>
      <c r="AB5264" s="5" t="str">
        <f>HYPERLINK("https://propertylookup.dupagecounty.gov/Datalets/Datalet.aspx?UseSearch=no&amp;mode=sales&amp;pin=0204101061","sales record")</f>
        <v>sales record</v>
      </c>
      <c r="AC5264" t="s">
        <v>3</v>
      </c>
      <c r="AD5264">
        <v>41.986092</v>
      </c>
      <c r="AE5264">
        <v>-88.106341</v>
      </c>
      <c r="AF5264" s="5" t="str">
        <f>HYPERLINK("https://www.google.com/maps/search/?api=1&amp;query=41.986092,-88.106341","map")</f>
        <v>map</v>
      </c>
    </row>
    <row r="5265" spans="1:32">
      <c r="A5265" t="s">
        <v>5315</v>
      </c>
      <c r="B5265" t="s">
        <v>12840</v>
      </c>
      <c r="C5265" t="s">
        <v>15830</v>
      </c>
      <c r="D5265" t="s">
        <v>16207</v>
      </c>
      <c r="E5265" t="s">
        <v>16218</v>
      </c>
      <c r="F5265" t="s">
        <v>16221</v>
      </c>
      <c r="G5265" t="s">
        <v>16241</v>
      </c>
      <c r="H5265" t="s">
        <v>16241</v>
      </c>
      <c r="I5265" t="s">
        <v>16355</v>
      </c>
      <c r="J5265" t="s">
        <v>16385</v>
      </c>
      <c r="K5265">
        <v>0.22</v>
      </c>
      <c r="L5265">
        <v>9576</v>
      </c>
      <c r="M5265">
        <v>3074</v>
      </c>
      <c r="N5265" t="s">
        <v>16393</v>
      </c>
      <c r="O5265" s="4">
        <v>54064</v>
      </c>
      <c r="P5265" s="4">
        <v>149425</v>
      </c>
      <c r="Q5265" s="4">
        <v>203489</v>
      </c>
      <c r="R5265" s="4">
        <v>610467</v>
      </c>
      <c r="S5265" t="s">
        <v>21529</v>
      </c>
      <c r="T5265" s="6">
        <v>41548</v>
      </c>
      <c r="U5265" s="4">
        <v>480000</v>
      </c>
      <c r="V5265" t="s">
        <v>23739</v>
      </c>
      <c r="W5265" t="s">
        <v>26691</v>
      </c>
      <c r="X5265" t="s">
        <v>3</v>
      </c>
      <c r="AA5265" s="5" t="str">
        <f>HYPERLINK("https://www.zillow.com/homes/1080-BLUEBIRD-LN-ROSELLE-IL-60172_rb/","check listing")</f>
        <v>check listing</v>
      </c>
      <c r="AB5265" s="5" t="str">
        <f>HYPERLINK("https://propertylookup.dupagecounty.gov/Datalets/Datalet.aspx?UseSearch=no&amp;mode=sales&amp;pin=0204101063","sales record")</f>
        <v>sales record</v>
      </c>
      <c r="AC5265" t="s">
        <v>3</v>
      </c>
      <c r="AD5265">
        <v>41.98608</v>
      </c>
      <c r="AE5265">
        <v>-88.106871</v>
      </c>
      <c r="AF5265" s="5" t="str">
        <f>HYPERLINK("https://www.google.com/maps/search/?api=1&amp;query=41.98608,-88.106871","map")</f>
        <v>map</v>
      </c>
    </row>
    <row r="5266" spans="1:32">
      <c r="A5266" t="s">
        <v>5316</v>
      </c>
      <c r="B5266" t="s">
        <v>12841</v>
      </c>
      <c r="C5266" t="s">
        <v>15830</v>
      </c>
      <c r="D5266" t="s">
        <v>16207</v>
      </c>
      <c r="E5266" t="s">
        <v>16218</v>
      </c>
      <c r="F5266" t="s">
        <v>16221</v>
      </c>
      <c r="G5266" t="s">
        <v>16241</v>
      </c>
      <c r="H5266" t="s">
        <v>16241</v>
      </c>
      <c r="I5266" t="s">
        <v>16355</v>
      </c>
      <c r="J5266" t="s">
        <v>16385</v>
      </c>
      <c r="K5266">
        <v>0.22</v>
      </c>
      <c r="L5266">
        <v>9575</v>
      </c>
      <c r="M5266">
        <v>3903</v>
      </c>
      <c r="N5266" t="s">
        <v>16393</v>
      </c>
      <c r="O5266" s="4">
        <v>54064</v>
      </c>
      <c r="P5266" s="4">
        <v>173331</v>
      </c>
      <c r="Q5266" s="4">
        <v>227395</v>
      </c>
      <c r="R5266" s="4">
        <v>682185</v>
      </c>
      <c r="S5266" t="s">
        <v>21530</v>
      </c>
      <c r="T5266" s="6">
        <v>36312</v>
      </c>
      <c r="U5266" s="4">
        <v>377000</v>
      </c>
      <c r="X5266" t="s">
        <v>3</v>
      </c>
      <c r="AA5266" s="5" t="str">
        <f>HYPERLINK("https://www.zillow.com/homes/1090-BLUEBIRD-LN-ROSELLE-IL-60172_rb/","check listing")</f>
        <v>check listing</v>
      </c>
      <c r="AB5266" s="5" t="str">
        <f>HYPERLINK("https://propertylookup.dupagecounty.gov/Datalets/Datalet.aspx?UseSearch=no&amp;mode=sales&amp;pin=0204101064","sales record")</f>
        <v>sales record</v>
      </c>
      <c r="AC5266" t="s">
        <v>3</v>
      </c>
      <c r="AD5266">
        <v>41.986074</v>
      </c>
      <c r="AE5266">
        <v>-88.107135</v>
      </c>
      <c r="AF5266" s="5" t="str">
        <f>HYPERLINK("https://www.google.com/maps/search/?api=1&amp;query=41.986074,-88.107135","map")</f>
        <v>map</v>
      </c>
    </row>
    <row r="5267" spans="1:32">
      <c r="A5267" t="s">
        <v>5317</v>
      </c>
      <c r="B5267" t="s">
        <v>12842</v>
      </c>
      <c r="C5267" t="s">
        <v>15848</v>
      </c>
      <c r="D5267" t="s">
        <v>16207</v>
      </c>
      <c r="E5267" t="s">
        <v>16218</v>
      </c>
      <c r="F5267" t="s">
        <v>16221</v>
      </c>
      <c r="G5267" t="s">
        <v>16241</v>
      </c>
      <c r="H5267" t="s">
        <v>16241</v>
      </c>
      <c r="I5267" t="s">
        <v>16355</v>
      </c>
      <c r="J5267" t="s">
        <v>16385</v>
      </c>
      <c r="K5267">
        <v>0.22</v>
      </c>
      <c r="L5267">
        <v>9575</v>
      </c>
      <c r="M5267">
        <v>3364</v>
      </c>
      <c r="N5267" t="s">
        <v>16393</v>
      </c>
      <c r="O5267" s="4">
        <v>54028</v>
      </c>
      <c r="P5267" s="4">
        <v>174001</v>
      </c>
      <c r="Q5267" s="4">
        <v>228029</v>
      </c>
      <c r="R5267" s="4">
        <v>684087</v>
      </c>
      <c r="S5267" t="s">
        <v>21531</v>
      </c>
      <c r="T5267" s="6">
        <v>43466</v>
      </c>
      <c r="U5267" s="4">
        <v>420000</v>
      </c>
      <c r="V5267" t="s">
        <v>23739</v>
      </c>
      <c r="W5267" t="s">
        <v>26692</v>
      </c>
      <c r="X5267" t="s">
        <v>3</v>
      </c>
      <c r="AA5267" s="5" t="str">
        <f>HYPERLINK("https://www.zillow.com/homes/1100-BLUEBIRD-LN-ROSELLE-IL-601724721_rb/","check listing")</f>
        <v>check listing</v>
      </c>
      <c r="AB5267" s="5" t="str">
        <f>HYPERLINK("https://propertylookup.dupagecounty.gov/Datalets/Datalet.aspx?UseSearch=no&amp;mode=sales&amp;pin=0204101065","sales record")</f>
        <v>sales record</v>
      </c>
      <c r="AC5267" t="s">
        <v>3</v>
      </c>
      <c r="AD5267">
        <v>41.986068</v>
      </c>
      <c r="AE5267">
        <v>-88.1074</v>
      </c>
      <c r="AF5267" s="5" t="str">
        <f>HYPERLINK("https://www.google.com/maps/search/?api=1&amp;query=41.986068,-88.1074","map")</f>
        <v>map</v>
      </c>
    </row>
    <row r="5268" spans="1:32">
      <c r="A5268" t="s">
        <v>5318</v>
      </c>
      <c r="B5268" t="s">
        <v>12843</v>
      </c>
      <c r="C5268" t="s">
        <v>15830</v>
      </c>
      <c r="D5268" t="s">
        <v>16207</v>
      </c>
      <c r="E5268" t="s">
        <v>16218</v>
      </c>
      <c r="F5268" t="s">
        <v>16221</v>
      </c>
      <c r="G5268" t="s">
        <v>16241</v>
      </c>
      <c r="H5268" t="s">
        <v>16241</v>
      </c>
      <c r="I5268" t="s">
        <v>16355</v>
      </c>
      <c r="J5268" t="s">
        <v>16385</v>
      </c>
      <c r="K5268">
        <v>0.22</v>
      </c>
      <c r="L5268">
        <v>9567</v>
      </c>
      <c r="M5268">
        <v>2194</v>
      </c>
      <c r="N5268" t="s">
        <v>16393</v>
      </c>
      <c r="O5268" s="4">
        <v>45278</v>
      </c>
      <c r="P5268" s="4">
        <v>54722</v>
      </c>
      <c r="Q5268" s="4">
        <v>100000</v>
      </c>
      <c r="R5268" s="4">
        <v>300000</v>
      </c>
      <c r="S5268" t="s">
        <v>21532</v>
      </c>
      <c r="T5268" s="6">
        <v>45307</v>
      </c>
      <c r="U5268" s="4">
        <v>300000</v>
      </c>
      <c r="V5268" t="s">
        <v>23741</v>
      </c>
      <c r="W5268" t="s">
        <v>26693</v>
      </c>
      <c r="X5268" t="s">
        <v>3</v>
      </c>
      <c r="AA5268" s="5" t="str">
        <f>HYPERLINK("https://www.zillow.com/homes/285-STOCKPORT-CT-ROSELLE-IL-60172_rb/","check listing")</f>
        <v>check listing</v>
      </c>
      <c r="AB5268" s="5" t="str">
        <f>HYPERLINK("https://propertylookup.dupagecounty.gov/Datalets/Datalet.aspx?UseSearch=no&amp;mode=sales&amp;pin=0205405011","sales record")</f>
        <v>sales record</v>
      </c>
      <c r="AC5268" t="s">
        <v>3</v>
      </c>
      <c r="AD5268">
        <v>41.977347</v>
      </c>
      <c r="AE5268">
        <v>-88.113674</v>
      </c>
      <c r="AF5268" s="5" t="str">
        <f>HYPERLINK("https://www.google.com/maps/search/?api=1&amp;query=41.977347,-88.113674","map")</f>
        <v>map</v>
      </c>
    </row>
    <row r="5269" spans="1:32">
      <c r="A5269" t="s">
        <v>5319</v>
      </c>
      <c r="B5269" t="s">
        <v>12844</v>
      </c>
      <c r="C5269" t="s">
        <v>15830</v>
      </c>
      <c r="D5269" t="s">
        <v>16207</v>
      </c>
      <c r="E5269" t="s">
        <v>16218</v>
      </c>
      <c r="F5269" t="s">
        <v>16221</v>
      </c>
      <c r="G5269" t="s">
        <v>16241</v>
      </c>
      <c r="H5269" t="s">
        <v>16241</v>
      </c>
      <c r="I5269" t="s">
        <v>16355</v>
      </c>
      <c r="J5269" t="s">
        <v>16385</v>
      </c>
      <c r="K5269">
        <v>0.219</v>
      </c>
      <c r="L5269">
        <v>9538</v>
      </c>
      <c r="M5269">
        <v>1846</v>
      </c>
      <c r="N5269" t="s">
        <v>16393</v>
      </c>
      <c r="O5269" s="4">
        <v>45278</v>
      </c>
      <c r="P5269" s="4">
        <v>103477</v>
      </c>
      <c r="Q5269" s="4">
        <v>148755</v>
      </c>
      <c r="R5269" s="4">
        <v>446265</v>
      </c>
      <c r="S5269" t="s">
        <v>21533</v>
      </c>
      <c r="X5269" t="s">
        <v>3</v>
      </c>
      <c r="AA5269" s="5" t="str">
        <f>HYPERLINK("https://www.zillow.com/homes/845-BRANDYWINE-DR-ROSELLE-IL-60172_rb/","check listing")</f>
        <v>check listing</v>
      </c>
      <c r="AB5269" s="5" t="str">
        <f>HYPERLINK("https://propertylookup.dupagecounty.gov/Datalets/Datalet.aspx?UseSearch=no&amp;mode=sales&amp;pin=0209116009","sales record")</f>
        <v>sales record</v>
      </c>
      <c r="AC5269" t="s">
        <v>3</v>
      </c>
      <c r="AD5269">
        <v>41.975057</v>
      </c>
      <c r="AE5269">
        <v>-88.101494</v>
      </c>
      <c r="AF5269" s="5" t="str">
        <f>HYPERLINK("https://www.google.com/maps/search/?api=1&amp;query=41.975057,-88.101494","map")</f>
        <v>map</v>
      </c>
    </row>
    <row r="5270" spans="1:32">
      <c r="A5270" t="s">
        <v>5320</v>
      </c>
      <c r="B5270" t="s">
        <v>12845</v>
      </c>
      <c r="C5270" t="s">
        <v>15859</v>
      </c>
      <c r="D5270" t="s">
        <v>16207</v>
      </c>
      <c r="E5270" t="s">
        <v>16218</v>
      </c>
      <c r="F5270" t="s">
        <v>16221</v>
      </c>
      <c r="G5270" t="s">
        <v>16241</v>
      </c>
      <c r="H5270" t="s">
        <v>16241</v>
      </c>
      <c r="I5270" t="s">
        <v>16355</v>
      </c>
      <c r="J5270" t="s">
        <v>16385</v>
      </c>
      <c r="K5270">
        <v>0.218</v>
      </c>
      <c r="L5270">
        <v>9479</v>
      </c>
      <c r="M5270">
        <v>3924</v>
      </c>
      <c r="N5270" t="s">
        <v>16393</v>
      </c>
      <c r="O5270" s="4">
        <v>54793</v>
      </c>
      <c r="P5270" s="4">
        <v>197811</v>
      </c>
      <c r="Q5270" s="4">
        <v>252604</v>
      </c>
      <c r="R5270" s="4">
        <v>757812</v>
      </c>
      <c r="S5270" t="s">
        <v>21534</v>
      </c>
      <c r="T5270" s="6">
        <v>44317</v>
      </c>
      <c r="U5270" s="4">
        <v>656000</v>
      </c>
      <c r="V5270" t="s">
        <v>23739</v>
      </c>
      <c r="W5270" t="s">
        <v>26694</v>
      </c>
      <c r="X5270" t="s">
        <v>3</v>
      </c>
      <c r="AA5270" s="5" t="str">
        <f>HYPERLINK("https://www.zillow.com/homes/10-CLAIR-CT-ROSELLE-IL-601724517_rb/","check listing")</f>
        <v>check listing</v>
      </c>
      <c r="AB5270" s="5" t="str">
        <f>HYPERLINK("https://propertylookup.dupagecounty.gov/Datalets/Datalet.aspx?UseSearch=no&amp;mode=sales&amp;pin=0205232010","sales record")</f>
        <v>sales record</v>
      </c>
      <c r="AC5270" t="s">
        <v>3</v>
      </c>
      <c r="AD5270">
        <v>41.982873</v>
      </c>
      <c r="AE5270">
        <v>-88.111715</v>
      </c>
      <c r="AF5270" s="5" t="str">
        <f>HYPERLINK("https://www.google.com/maps/search/?api=1&amp;query=41.982873,-88.111715","map")</f>
        <v>map</v>
      </c>
    </row>
    <row r="5271" spans="1:32">
      <c r="A5271" t="s">
        <v>5321</v>
      </c>
      <c r="B5271" t="s">
        <v>12846</v>
      </c>
      <c r="C5271" t="s">
        <v>15830</v>
      </c>
      <c r="D5271" t="s">
        <v>16207</v>
      </c>
      <c r="E5271" t="s">
        <v>16218</v>
      </c>
      <c r="F5271" t="s">
        <v>16221</v>
      </c>
      <c r="G5271" t="s">
        <v>16241</v>
      </c>
      <c r="H5271" t="s">
        <v>16241</v>
      </c>
      <c r="I5271" t="s">
        <v>16355</v>
      </c>
      <c r="J5271" t="s">
        <v>16385</v>
      </c>
      <c r="K5271">
        <v>0.218</v>
      </c>
      <c r="L5271">
        <v>9479</v>
      </c>
      <c r="M5271">
        <v>1848</v>
      </c>
      <c r="N5271" t="s">
        <v>16393</v>
      </c>
      <c r="O5271" s="4">
        <v>45278</v>
      </c>
      <c r="P5271" s="4">
        <v>93258</v>
      </c>
      <c r="Q5271" s="4">
        <v>138536</v>
      </c>
      <c r="R5271" s="4">
        <v>415608</v>
      </c>
      <c r="S5271" t="s">
        <v>21535</v>
      </c>
      <c r="T5271" s="6">
        <v>45978</v>
      </c>
      <c r="U5271" s="4">
        <v>340500</v>
      </c>
      <c r="V5271" t="s">
        <v>23739</v>
      </c>
      <c r="W5271" t="s">
        <v>26695</v>
      </c>
      <c r="X5271" t="s">
        <v>3</v>
      </c>
      <c r="AA5271" s="5" t="str">
        <f>HYPERLINK("https://www.zillow.com/homes/565-KENSINGTON-CT-ROSELLE-IL-60172_rb/","check listing")</f>
        <v>check listing</v>
      </c>
      <c r="AB5271" s="5" t="str">
        <f>HYPERLINK("https://propertylookup.dupagecounty.gov/Datalets/Datalet.aspx?UseSearch=no&amp;mode=sales&amp;pin=0208204009","sales record")</f>
        <v>sales record</v>
      </c>
      <c r="AC5271" t="s">
        <v>3</v>
      </c>
      <c r="AD5271">
        <v>41.972126</v>
      </c>
      <c r="AE5271">
        <v>-88.11387000000001</v>
      </c>
      <c r="AF5271" s="5" t="str">
        <f>HYPERLINK("https://www.google.com/maps/search/?api=1&amp;query=41.972126,-88.11387","map")</f>
        <v>map</v>
      </c>
    </row>
    <row r="5272" spans="1:32">
      <c r="A5272" t="s">
        <v>5322</v>
      </c>
      <c r="B5272" t="s">
        <v>12847</v>
      </c>
      <c r="C5272" t="s">
        <v>15830</v>
      </c>
      <c r="D5272" t="s">
        <v>16207</v>
      </c>
      <c r="E5272" t="s">
        <v>16218</v>
      </c>
      <c r="F5272" t="s">
        <v>16221</v>
      </c>
      <c r="G5272" t="s">
        <v>16241</v>
      </c>
      <c r="H5272" t="s">
        <v>16241</v>
      </c>
      <c r="I5272" t="s">
        <v>16355</v>
      </c>
      <c r="J5272" t="s">
        <v>16385</v>
      </c>
      <c r="K5272">
        <v>0.217</v>
      </c>
      <c r="L5272">
        <v>9457</v>
      </c>
      <c r="M5272">
        <v>2787</v>
      </c>
      <c r="N5272" t="s">
        <v>16393</v>
      </c>
      <c r="O5272" s="4">
        <v>54064</v>
      </c>
      <c r="P5272" s="4">
        <v>139905</v>
      </c>
      <c r="Q5272" s="4">
        <v>193969</v>
      </c>
      <c r="R5272" s="4">
        <v>581907</v>
      </c>
      <c r="S5272" t="s">
        <v>21536</v>
      </c>
      <c r="T5272" s="6">
        <v>43983</v>
      </c>
      <c r="U5272" s="4">
        <v>510000</v>
      </c>
      <c r="V5272" t="s">
        <v>23740</v>
      </c>
      <c r="W5272" t="s">
        <v>26696</v>
      </c>
      <c r="X5272" t="s">
        <v>3</v>
      </c>
      <c r="AA5272" s="5" t="str">
        <f>HYPERLINK("https://www.zillow.com/homes/1160-BLUEBIRD-LN-ROSELLE-IL-60172_rb/","check listing")</f>
        <v>check listing</v>
      </c>
      <c r="AB5272" s="5" t="str">
        <f>HYPERLINK("https://propertylookup.dupagecounty.gov/Datalets/Datalet.aspx?UseSearch=no&amp;mode=sales&amp;pin=0204101071","sales record")</f>
        <v>sales record</v>
      </c>
      <c r="AC5272" t="s">
        <v>3</v>
      </c>
      <c r="AD5272">
        <v>41.98603</v>
      </c>
      <c r="AE5272">
        <v>-88.108948</v>
      </c>
      <c r="AF5272" s="5" t="str">
        <f>HYPERLINK("https://www.google.com/maps/search/?api=1&amp;query=41.98603,-88.108948","map")</f>
        <v>map</v>
      </c>
    </row>
    <row r="5273" spans="1:32">
      <c r="A5273" t="s">
        <v>5323</v>
      </c>
      <c r="B5273" t="s">
        <v>12848</v>
      </c>
      <c r="C5273" t="s">
        <v>15830</v>
      </c>
      <c r="D5273" t="s">
        <v>16207</v>
      </c>
      <c r="E5273" t="s">
        <v>16218</v>
      </c>
      <c r="F5273" t="s">
        <v>16221</v>
      </c>
      <c r="G5273" t="s">
        <v>16241</v>
      </c>
      <c r="H5273" t="s">
        <v>16241</v>
      </c>
      <c r="I5273" t="s">
        <v>16355</v>
      </c>
      <c r="J5273" t="s">
        <v>16385</v>
      </c>
      <c r="K5273">
        <v>0.217</v>
      </c>
      <c r="L5273">
        <v>9457</v>
      </c>
      <c r="M5273">
        <v>2972</v>
      </c>
      <c r="N5273" t="s">
        <v>16393</v>
      </c>
      <c r="O5273" s="4">
        <v>54064</v>
      </c>
      <c r="P5273" s="4">
        <v>177574</v>
      </c>
      <c r="Q5273" s="4">
        <v>231638</v>
      </c>
      <c r="R5273" s="4">
        <v>694914</v>
      </c>
      <c r="S5273" t="s">
        <v>21537</v>
      </c>
      <c r="T5273" s="6">
        <v>35947</v>
      </c>
      <c r="U5273" s="4">
        <v>350000</v>
      </c>
      <c r="X5273" t="s">
        <v>3</v>
      </c>
      <c r="AA5273" s="5" t="str">
        <f>HYPERLINK("https://www.zillow.com/homes/1110-BLUEBIRD-LN-ROSELLE-IL-60172_rb/","check listing")</f>
        <v>check listing</v>
      </c>
      <c r="AB5273" s="5" t="str">
        <f>HYPERLINK("https://propertylookup.dupagecounty.gov/Datalets/Datalet.aspx?UseSearch=no&amp;mode=sales&amp;pin=0204101066","sales record")</f>
        <v>sales record</v>
      </c>
      <c r="AC5273" t="s">
        <v>3</v>
      </c>
      <c r="AD5273">
        <v>41.986062</v>
      </c>
      <c r="AE5273">
        <v>-88.10766099999999</v>
      </c>
      <c r="AF5273" s="5" t="str">
        <f>HYPERLINK("https://www.google.com/maps/search/?api=1&amp;query=41.986062,-88.107661","map")</f>
        <v>map</v>
      </c>
    </row>
    <row r="5274" spans="1:32">
      <c r="A5274" t="s">
        <v>5324</v>
      </c>
      <c r="B5274" t="s">
        <v>12849</v>
      </c>
      <c r="C5274" t="s">
        <v>15830</v>
      </c>
      <c r="D5274" t="s">
        <v>16207</v>
      </c>
      <c r="E5274" t="s">
        <v>16218</v>
      </c>
      <c r="F5274" t="s">
        <v>16221</v>
      </c>
      <c r="G5274" t="s">
        <v>16241</v>
      </c>
      <c r="H5274" t="s">
        <v>16241</v>
      </c>
      <c r="I5274" t="s">
        <v>16355</v>
      </c>
      <c r="J5274" t="s">
        <v>16385</v>
      </c>
      <c r="K5274">
        <v>0.217</v>
      </c>
      <c r="L5274">
        <v>9449</v>
      </c>
      <c r="M5274">
        <v>3233</v>
      </c>
      <c r="N5274" t="s">
        <v>16393</v>
      </c>
      <c r="O5274" s="4">
        <v>54088</v>
      </c>
      <c r="P5274" s="4">
        <v>186933</v>
      </c>
      <c r="Q5274" s="4">
        <v>241021</v>
      </c>
      <c r="R5274" s="4">
        <v>723063</v>
      </c>
      <c r="S5274" t="s">
        <v>21538</v>
      </c>
      <c r="T5274" s="6">
        <v>36130</v>
      </c>
      <c r="U5274" s="4">
        <v>396500</v>
      </c>
      <c r="X5274" t="s">
        <v>3</v>
      </c>
      <c r="AA5274" s="5" t="str">
        <f>HYPERLINK("https://www.zillow.com/homes/1040-BLUEBIRD-LN-ROSELLE-IL-60172_rb/","check listing")</f>
        <v>check listing</v>
      </c>
      <c r="AB5274" s="5" t="str">
        <f>HYPERLINK("https://propertylookup.dupagecounty.gov/Datalets/Datalet.aspx?UseSearch=no&amp;mode=sales&amp;pin=0204101059","sales record")</f>
        <v>sales record</v>
      </c>
      <c r="AC5274" t="s">
        <v>3</v>
      </c>
      <c r="AD5274">
        <v>41.986104</v>
      </c>
      <c r="AE5274">
        <v>-88.105817</v>
      </c>
      <c r="AF5274" s="5" t="str">
        <f>HYPERLINK("https://www.google.com/maps/search/?api=1&amp;query=41.986104,-88.105817","map")</f>
        <v>map</v>
      </c>
    </row>
    <row r="5275" spans="1:32">
      <c r="A5275" t="s">
        <v>5325</v>
      </c>
      <c r="B5275" t="s">
        <v>12850</v>
      </c>
      <c r="C5275" t="s">
        <v>15860</v>
      </c>
      <c r="D5275" t="s">
        <v>16207</v>
      </c>
      <c r="E5275" t="s">
        <v>16218</v>
      </c>
      <c r="F5275" t="s">
        <v>16221</v>
      </c>
      <c r="G5275" t="s">
        <v>16241</v>
      </c>
      <c r="H5275" t="s">
        <v>16241</v>
      </c>
      <c r="I5275" t="s">
        <v>16355</v>
      </c>
      <c r="J5275" t="s">
        <v>16385</v>
      </c>
      <c r="K5275">
        <v>0.217</v>
      </c>
      <c r="L5275">
        <v>9446</v>
      </c>
      <c r="M5275">
        <v>1649</v>
      </c>
      <c r="N5275" t="s">
        <v>16393</v>
      </c>
      <c r="O5275" s="4">
        <v>38692</v>
      </c>
      <c r="P5275" s="4">
        <v>86791</v>
      </c>
      <c r="Q5275" s="4">
        <v>125483</v>
      </c>
      <c r="R5275" s="4">
        <v>376449</v>
      </c>
      <c r="S5275" t="s">
        <v>21539</v>
      </c>
      <c r="T5275" s="6">
        <v>45163</v>
      </c>
      <c r="U5275" s="4">
        <v>400000</v>
      </c>
      <c r="V5275" t="s">
        <v>23739</v>
      </c>
      <c r="W5275" t="s">
        <v>26697</v>
      </c>
      <c r="X5275" t="s">
        <v>3</v>
      </c>
      <c r="AA5275" s="5" t="str">
        <f>HYPERLINK("https://www.zillow.com/homes/695-RODENBURG-RD-ROSELLE-IL-601722758_rb/","check listing")</f>
        <v>check listing</v>
      </c>
      <c r="AB5275" s="5" t="str">
        <f>HYPERLINK("https://propertylookup.dupagecounty.gov/Datalets/Datalet.aspx?UseSearch=no&amp;mode=sales&amp;pin=0209120018","sales record")</f>
        <v>sales record</v>
      </c>
      <c r="AC5275" t="s">
        <v>3</v>
      </c>
      <c r="AD5275">
        <v>41.970547</v>
      </c>
      <c r="AE5275">
        <v>-88.10892</v>
      </c>
      <c r="AF5275" s="5" t="str">
        <f>HYPERLINK("https://www.google.com/maps/search/?api=1&amp;query=41.970547,-88.10892","map")</f>
        <v>map</v>
      </c>
    </row>
    <row r="5276" spans="1:32">
      <c r="A5276" t="s">
        <v>5326</v>
      </c>
      <c r="B5276" t="s">
        <v>12851</v>
      </c>
      <c r="C5276" t="s">
        <v>15858</v>
      </c>
      <c r="D5276" t="s">
        <v>16207</v>
      </c>
      <c r="E5276" t="s">
        <v>16218</v>
      </c>
      <c r="F5276" t="s">
        <v>16221</v>
      </c>
      <c r="G5276" t="s">
        <v>16241</v>
      </c>
      <c r="H5276" t="s">
        <v>16241</v>
      </c>
      <c r="I5276" t="s">
        <v>16355</v>
      </c>
      <c r="J5276" t="s">
        <v>16385</v>
      </c>
      <c r="K5276">
        <v>0.217</v>
      </c>
      <c r="L5276">
        <v>9443</v>
      </c>
      <c r="M5276">
        <v>3002</v>
      </c>
      <c r="N5276" t="s">
        <v>16393</v>
      </c>
      <c r="O5276" s="4">
        <v>54064</v>
      </c>
      <c r="P5276" s="4">
        <v>196735</v>
      </c>
      <c r="Q5276" s="4">
        <v>250799</v>
      </c>
      <c r="R5276" s="4">
        <v>752397</v>
      </c>
      <c r="S5276" t="s">
        <v>21540</v>
      </c>
      <c r="T5276" s="6">
        <v>42583</v>
      </c>
      <c r="U5276" s="4">
        <v>405000</v>
      </c>
      <c r="V5276" t="s">
        <v>23739</v>
      </c>
      <c r="W5276" t="s">
        <v>26698</v>
      </c>
      <c r="X5276" t="s">
        <v>3</v>
      </c>
      <c r="AA5276" s="5" t="str">
        <f>HYPERLINK("https://www.zillow.com/homes/1050-BLUEBIRD-LN-ROSELLE-IL-601724720_rb/","check listing")</f>
        <v>check listing</v>
      </c>
      <c r="AB5276" s="5" t="str">
        <f>HYPERLINK("https://propertylookup.dupagecounty.gov/Datalets/Datalet.aspx?UseSearch=no&amp;mode=sales&amp;pin=0204101060","sales record")</f>
        <v>sales record</v>
      </c>
      <c r="AC5276" t="s">
        <v>3</v>
      </c>
      <c r="AD5276">
        <v>41.986098</v>
      </c>
      <c r="AE5276">
        <v>-88.106078</v>
      </c>
      <c r="AF5276" s="5" t="str">
        <f>HYPERLINK("https://www.google.com/maps/search/?api=1&amp;query=41.986098,-88.106078","map")</f>
        <v>map</v>
      </c>
    </row>
    <row r="5277" spans="1:32">
      <c r="A5277" t="s">
        <v>5327</v>
      </c>
      <c r="B5277" t="s">
        <v>12852</v>
      </c>
      <c r="C5277" t="s">
        <v>15830</v>
      </c>
      <c r="D5277" t="s">
        <v>16207</v>
      </c>
      <c r="E5277" t="s">
        <v>16218</v>
      </c>
      <c r="F5277" t="s">
        <v>16221</v>
      </c>
      <c r="G5277" t="s">
        <v>16241</v>
      </c>
      <c r="H5277" t="s">
        <v>16241</v>
      </c>
      <c r="I5277" t="s">
        <v>16355</v>
      </c>
      <c r="J5277" t="s">
        <v>16385</v>
      </c>
      <c r="K5277">
        <v>0.217</v>
      </c>
      <c r="L5277">
        <v>9441</v>
      </c>
      <c r="M5277">
        <v>1814</v>
      </c>
      <c r="N5277" t="s">
        <v>16393</v>
      </c>
      <c r="O5277" s="4">
        <v>45278</v>
      </c>
      <c r="P5277" s="4">
        <v>73511</v>
      </c>
      <c r="Q5277" s="4">
        <v>118789</v>
      </c>
      <c r="R5277" s="4">
        <v>356367</v>
      </c>
      <c r="S5277" t="s">
        <v>21541</v>
      </c>
      <c r="T5277" s="6">
        <v>45820</v>
      </c>
      <c r="U5277" s="4">
        <v>397000</v>
      </c>
      <c r="V5277" t="s">
        <v>23739</v>
      </c>
      <c r="W5277" t="s">
        <v>26699</v>
      </c>
      <c r="X5277" t="s">
        <v>3</v>
      </c>
      <c r="AA5277" s="5" t="str">
        <f>HYPERLINK("https://www.zillow.com/homes/585-KENSINGTON-CT-ROSELLE-IL-60172_rb/","check listing")</f>
        <v>check listing</v>
      </c>
      <c r="AB5277" s="5" t="str">
        <f>HYPERLINK("https://propertylookup.dupagecounty.gov/Datalets/Datalet.aspx?UseSearch=no&amp;mode=sales&amp;pin=0208204011","sales record")</f>
        <v>sales record</v>
      </c>
      <c r="AC5277" t="s">
        <v>3</v>
      </c>
      <c r="AD5277">
        <v>41.971598</v>
      </c>
      <c r="AE5277">
        <v>-88.11395</v>
      </c>
      <c r="AF5277" s="5" t="str">
        <f>HYPERLINK("https://www.google.com/maps/search/?api=1&amp;query=41.971598,-88.11395","map")</f>
        <v>map</v>
      </c>
    </row>
    <row r="5278" spans="1:32">
      <c r="A5278" t="s">
        <v>5328</v>
      </c>
      <c r="B5278" t="s">
        <v>12853</v>
      </c>
      <c r="C5278" t="s">
        <v>15830</v>
      </c>
      <c r="D5278" t="s">
        <v>16207</v>
      </c>
      <c r="E5278" t="s">
        <v>16218</v>
      </c>
      <c r="F5278" t="s">
        <v>16221</v>
      </c>
      <c r="G5278" t="s">
        <v>16241</v>
      </c>
      <c r="H5278" t="s">
        <v>16241</v>
      </c>
      <c r="I5278" t="s">
        <v>16355</v>
      </c>
      <c r="J5278" t="s">
        <v>16385</v>
      </c>
      <c r="K5278">
        <v>0.216</v>
      </c>
      <c r="L5278">
        <v>9430</v>
      </c>
      <c r="N5278" t="s">
        <v>16393</v>
      </c>
      <c r="O5278" s="4">
        <v>22639</v>
      </c>
      <c r="P5278" s="4">
        <v>117882</v>
      </c>
      <c r="Q5278" s="4">
        <v>140521</v>
      </c>
      <c r="R5278" s="4">
        <v>421563</v>
      </c>
      <c r="S5278" t="s">
        <v>21542</v>
      </c>
      <c r="T5278" s="6">
        <v>44501</v>
      </c>
      <c r="U5278" s="4">
        <v>385660</v>
      </c>
      <c r="V5278" t="s">
        <v>23739</v>
      </c>
      <c r="W5278" t="s">
        <v>26700</v>
      </c>
      <c r="X5278" t="s">
        <v>3</v>
      </c>
      <c r="AA5278" s="5" t="str">
        <f>HYPERLINK("https://www.zillow.com/homes/501-BOBBY-ANN-CT-ROSELLE-IL-60172_rb/","check listing")</f>
        <v>check listing</v>
      </c>
      <c r="AB5278" s="5" t="str">
        <f>HYPERLINK("https://propertylookup.dupagecounty.gov/Datalets/Datalet.aspx?UseSearch=no&amp;mode=sales&amp;pin=0208219027","sales record")</f>
        <v>sales record</v>
      </c>
      <c r="AC5278" t="s">
        <v>3</v>
      </c>
      <c r="AD5278">
        <v>41.973516</v>
      </c>
      <c r="AE5278">
        <v>-88.115639</v>
      </c>
      <c r="AF5278" s="5" t="str">
        <f>HYPERLINK("https://www.google.com/maps/search/?api=1&amp;query=41.973516,-88.115639","map")</f>
        <v>map</v>
      </c>
    </row>
    <row r="5279" spans="1:32">
      <c r="A5279" t="s">
        <v>5329</v>
      </c>
      <c r="B5279" t="s">
        <v>12854</v>
      </c>
      <c r="C5279" t="s">
        <v>15830</v>
      </c>
      <c r="D5279" t="s">
        <v>16207</v>
      </c>
      <c r="E5279" t="s">
        <v>16218</v>
      </c>
      <c r="F5279" t="s">
        <v>16221</v>
      </c>
      <c r="G5279" t="s">
        <v>16241</v>
      </c>
      <c r="H5279" t="s">
        <v>16241</v>
      </c>
      <c r="I5279" t="s">
        <v>16355</v>
      </c>
      <c r="J5279" t="s">
        <v>16385</v>
      </c>
      <c r="K5279">
        <v>0.216</v>
      </c>
      <c r="L5279">
        <v>9428</v>
      </c>
      <c r="M5279">
        <v>2574</v>
      </c>
      <c r="N5279" t="s">
        <v>16393</v>
      </c>
      <c r="O5279" s="4">
        <v>45278</v>
      </c>
      <c r="P5279" s="4">
        <v>82477</v>
      </c>
      <c r="Q5279" s="4">
        <v>127755</v>
      </c>
      <c r="R5279" s="4">
        <v>383265</v>
      </c>
      <c r="S5279" t="s">
        <v>21543</v>
      </c>
      <c r="T5279" s="6">
        <v>38443</v>
      </c>
      <c r="U5279" s="4">
        <v>313000</v>
      </c>
      <c r="V5279" t="s">
        <v>23739</v>
      </c>
      <c r="W5279" t="s">
        <v>26701</v>
      </c>
      <c r="X5279" t="s">
        <v>3</v>
      </c>
      <c r="AA5279" s="5" t="str">
        <f>HYPERLINK("https://www.zillow.com/homes/357-BRIGHTON-BAY-ROSELLE-IL-60172_rb/","check listing")</f>
        <v>check listing</v>
      </c>
      <c r="AB5279" s="5" t="str">
        <f>HYPERLINK("https://propertylookup.dupagecounty.gov/Datalets/Datalet.aspx?UseSearch=no&amp;mode=sales&amp;pin=0205401031","sales record")</f>
        <v>sales record</v>
      </c>
      <c r="AC5279" t="s">
        <v>3</v>
      </c>
      <c r="AD5279">
        <v>41.975869</v>
      </c>
      <c r="AE5279">
        <v>-88.11480899999999</v>
      </c>
      <c r="AF5279" s="5" t="str">
        <f>HYPERLINK("https://www.google.com/maps/search/?api=1&amp;query=41.975869,-88.114809","map")</f>
        <v>map</v>
      </c>
    </row>
    <row r="5280" spans="1:32">
      <c r="A5280" t="s">
        <v>5330</v>
      </c>
      <c r="B5280" t="s">
        <v>12855</v>
      </c>
      <c r="C5280" t="s">
        <v>15861</v>
      </c>
      <c r="D5280" t="s">
        <v>16207</v>
      </c>
      <c r="E5280" t="s">
        <v>16218</v>
      </c>
      <c r="F5280" t="s">
        <v>16221</v>
      </c>
      <c r="G5280" t="s">
        <v>16241</v>
      </c>
      <c r="H5280" t="s">
        <v>16241</v>
      </c>
      <c r="I5280" t="s">
        <v>16355</v>
      </c>
      <c r="J5280" t="s">
        <v>16385</v>
      </c>
      <c r="K5280">
        <v>0.216</v>
      </c>
      <c r="L5280">
        <v>9427</v>
      </c>
      <c r="M5280">
        <v>1583</v>
      </c>
      <c r="N5280" t="s">
        <v>16393</v>
      </c>
      <c r="O5280" s="4">
        <v>45278</v>
      </c>
      <c r="P5280" s="4">
        <v>76989</v>
      </c>
      <c r="Q5280" s="4">
        <v>122267</v>
      </c>
      <c r="R5280" s="4">
        <v>366801</v>
      </c>
      <c r="S5280" t="s">
        <v>21544</v>
      </c>
      <c r="T5280" s="6">
        <v>44256</v>
      </c>
      <c r="U5280" s="4">
        <v>314900</v>
      </c>
      <c r="V5280" t="s">
        <v>23739</v>
      </c>
      <c r="W5280" t="s">
        <v>26702</v>
      </c>
      <c r="X5280" t="s">
        <v>3</v>
      </c>
      <c r="AA5280" s="5" t="str">
        <f>HYPERLINK("https://www.zillow.com/homes/65-RODENBURG-RD-ROSELLE-IL-601721668_rb/","check listing")</f>
        <v>check listing</v>
      </c>
      <c r="AB5280" s="5" t="str">
        <f>HYPERLINK("https://propertylookup.dupagecounty.gov/Datalets/Datalet.aspx?UseSearch=no&amp;mode=sales&amp;pin=0204311012","sales record")</f>
        <v>sales record</v>
      </c>
      <c r="AC5280" t="s">
        <v>3</v>
      </c>
      <c r="AD5280">
        <v>41.981963</v>
      </c>
      <c r="AE5280">
        <v>-88.10965</v>
      </c>
      <c r="AF5280" s="5" t="str">
        <f>HYPERLINK("https://www.google.com/maps/search/?api=1&amp;query=41.981963,-88.10965","map")</f>
        <v>map</v>
      </c>
    </row>
    <row r="5281" spans="1:32">
      <c r="A5281" t="s">
        <v>5331</v>
      </c>
      <c r="B5281" t="s">
        <v>12856</v>
      </c>
      <c r="C5281" t="s">
        <v>15830</v>
      </c>
      <c r="D5281" t="s">
        <v>16207</v>
      </c>
      <c r="E5281" t="s">
        <v>16218</v>
      </c>
      <c r="F5281" t="s">
        <v>16221</v>
      </c>
      <c r="G5281" t="s">
        <v>16241</v>
      </c>
      <c r="H5281" t="s">
        <v>16241</v>
      </c>
      <c r="I5281" t="s">
        <v>16355</v>
      </c>
      <c r="J5281" t="s">
        <v>16385</v>
      </c>
      <c r="K5281">
        <v>0.215</v>
      </c>
      <c r="L5281">
        <v>9384</v>
      </c>
      <c r="M5281">
        <v>2873</v>
      </c>
      <c r="N5281" t="s">
        <v>16393</v>
      </c>
      <c r="O5281" s="4">
        <v>51327</v>
      </c>
      <c r="P5281" s="4">
        <v>169399</v>
      </c>
      <c r="Q5281" s="4">
        <v>220726</v>
      </c>
      <c r="R5281" s="4">
        <v>662178</v>
      </c>
      <c r="S5281" t="s">
        <v>21545</v>
      </c>
      <c r="T5281" s="6">
        <v>37681</v>
      </c>
      <c r="U5281" s="4">
        <v>450000</v>
      </c>
      <c r="V5281" t="s">
        <v>23739</v>
      </c>
      <c r="W5281" t="s">
        <v>26703</v>
      </c>
      <c r="X5281" t="s">
        <v>3</v>
      </c>
      <c r="AA5281" s="5" t="str">
        <f>HYPERLINK("https://www.zillow.com/homes/1140-BLUE-HERON-WAY-ROSELLE-IL-60172_rb/","check listing")</f>
        <v>check listing</v>
      </c>
      <c r="AB5281" s="5" t="str">
        <f>HYPERLINK("https://propertylookup.dupagecounty.gov/Datalets/Datalet.aspx?UseSearch=no&amp;mode=sales&amp;pin=0204104014","sales record")</f>
        <v>sales record</v>
      </c>
      <c r="AC5281" t="s">
        <v>3</v>
      </c>
      <c r="AD5281">
        <v>41.98514</v>
      </c>
      <c r="AE5281">
        <v>-88.108531</v>
      </c>
      <c r="AF5281" s="5" t="str">
        <f>HYPERLINK("https://www.google.com/maps/search/?api=1&amp;query=41.98514,-88.108531","map")</f>
        <v>map</v>
      </c>
    </row>
    <row r="5282" spans="1:32">
      <c r="A5282" t="s">
        <v>5332</v>
      </c>
      <c r="B5282" t="s">
        <v>12857</v>
      </c>
      <c r="C5282" t="s">
        <v>15830</v>
      </c>
      <c r="D5282" t="s">
        <v>16207</v>
      </c>
      <c r="E5282" t="s">
        <v>16218</v>
      </c>
      <c r="F5282" t="s">
        <v>16221</v>
      </c>
      <c r="G5282" t="s">
        <v>16241</v>
      </c>
      <c r="H5282" t="s">
        <v>16241</v>
      </c>
      <c r="I5282" t="s">
        <v>16355</v>
      </c>
      <c r="J5282" t="s">
        <v>16385</v>
      </c>
      <c r="K5282">
        <v>0.215</v>
      </c>
      <c r="L5282">
        <v>9381</v>
      </c>
      <c r="M5282">
        <v>1847</v>
      </c>
      <c r="N5282" t="s">
        <v>16393</v>
      </c>
      <c r="O5282" s="4">
        <v>45278</v>
      </c>
      <c r="P5282" s="4">
        <v>93736</v>
      </c>
      <c r="Q5282" s="4">
        <v>139014</v>
      </c>
      <c r="R5282" s="4">
        <v>417042</v>
      </c>
      <c r="S5282" t="s">
        <v>21546</v>
      </c>
      <c r="T5282" s="6">
        <v>34578</v>
      </c>
      <c r="U5282" s="4">
        <v>156500</v>
      </c>
      <c r="X5282" t="s">
        <v>3</v>
      </c>
      <c r="AA5282" s="5" t="str">
        <f>HYPERLINK("https://www.zillow.com/homes/450-FORDHAM-PL-ROSELLE-IL-60172_rb/","check listing")</f>
        <v>check listing</v>
      </c>
      <c r="AB5282" s="5" t="str">
        <f>HYPERLINK("https://propertylookup.dupagecounty.gov/Datalets/Datalet.aspx?UseSearch=no&amp;mode=sales&amp;pin=0209115011","sales record")</f>
        <v>sales record</v>
      </c>
      <c r="AC5282" t="s">
        <v>3</v>
      </c>
      <c r="AD5282">
        <v>41.974571</v>
      </c>
      <c r="AE5282">
        <v>-88.103281</v>
      </c>
      <c r="AF5282" s="5" t="str">
        <f>HYPERLINK("https://www.google.com/maps/search/?api=1&amp;query=41.974571,-88.103281","map")</f>
        <v>map</v>
      </c>
    </row>
    <row r="5283" spans="1:32">
      <c r="A5283" t="s">
        <v>5333</v>
      </c>
      <c r="B5283" t="s">
        <v>12858</v>
      </c>
      <c r="C5283" t="s">
        <v>15830</v>
      </c>
      <c r="D5283" t="s">
        <v>16207</v>
      </c>
      <c r="E5283" t="s">
        <v>16218</v>
      </c>
      <c r="F5283" t="s">
        <v>16221</v>
      </c>
      <c r="G5283" t="s">
        <v>16241</v>
      </c>
      <c r="H5283" t="s">
        <v>16241</v>
      </c>
      <c r="I5283" t="s">
        <v>16355</v>
      </c>
      <c r="J5283" t="s">
        <v>16385</v>
      </c>
      <c r="K5283">
        <v>0.215</v>
      </c>
      <c r="L5283">
        <v>9362</v>
      </c>
      <c r="M5283">
        <v>1318</v>
      </c>
      <c r="N5283" t="s">
        <v>16393</v>
      </c>
      <c r="O5283" s="4">
        <v>38692</v>
      </c>
      <c r="P5283" s="4">
        <v>78447</v>
      </c>
      <c r="Q5283" s="4">
        <v>117139</v>
      </c>
      <c r="R5283" s="4">
        <v>351417</v>
      </c>
      <c r="S5283" t="s">
        <v>21547</v>
      </c>
      <c r="T5283" s="6">
        <v>36678</v>
      </c>
      <c r="U5283" s="4">
        <v>166000</v>
      </c>
      <c r="V5283" t="s">
        <v>23739</v>
      </c>
      <c r="W5283" t="s">
        <v>26704</v>
      </c>
      <c r="X5283" t="s">
        <v>3</v>
      </c>
      <c r="AA5283" s="5" t="str">
        <f>HYPERLINK("https://www.zillow.com/homes/220-ASHLEY-CT-ROSELLE-IL-60172_rb/","check listing")</f>
        <v>check listing</v>
      </c>
      <c r="AB5283" s="5" t="str">
        <f>HYPERLINK("https://propertylookup.dupagecounty.gov/Datalets/Datalet.aspx?UseSearch=no&amp;mode=sales&amp;pin=0204313022","sales record")</f>
        <v>sales record</v>
      </c>
      <c r="AC5283" t="s">
        <v>3</v>
      </c>
      <c r="AD5283">
        <v>41.978699</v>
      </c>
      <c r="AE5283">
        <v>-88.10956299999999</v>
      </c>
      <c r="AF5283" s="5" t="str">
        <f>HYPERLINK("https://www.google.com/maps/search/?api=1&amp;query=41.978699,-88.109563","map")</f>
        <v>map</v>
      </c>
    </row>
    <row r="5284" spans="1:32">
      <c r="A5284" t="s">
        <v>5334</v>
      </c>
      <c r="B5284" t="s">
        <v>12859</v>
      </c>
      <c r="C5284" t="s">
        <v>15830</v>
      </c>
      <c r="D5284" t="s">
        <v>16207</v>
      </c>
      <c r="E5284" t="s">
        <v>16218</v>
      </c>
      <c r="F5284" t="s">
        <v>16221</v>
      </c>
      <c r="G5284" t="s">
        <v>16241</v>
      </c>
      <c r="H5284" t="s">
        <v>16241</v>
      </c>
      <c r="I5284" t="s">
        <v>16355</v>
      </c>
      <c r="J5284" t="s">
        <v>16385</v>
      </c>
      <c r="K5284">
        <v>0.215</v>
      </c>
      <c r="L5284">
        <v>9348</v>
      </c>
      <c r="M5284">
        <v>3463</v>
      </c>
      <c r="N5284" t="s">
        <v>16393</v>
      </c>
      <c r="O5284" s="4">
        <v>51278</v>
      </c>
      <c r="P5284" s="4">
        <v>166291</v>
      </c>
      <c r="Q5284" s="4">
        <v>217569</v>
      </c>
      <c r="R5284" s="4">
        <v>652707</v>
      </c>
      <c r="S5284" t="s">
        <v>21548</v>
      </c>
      <c r="T5284" s="6">
        <v>35855</v>
      </c>
      <c r="U5284" s="4">
        <v>345000</v>
      </c>
      <c r="X5284" t="s">
        <v>3</v>
      </c>
      <c r="AA5284" s="5" t="str">
        <f>HYPERLINK("https://www.zillow.com/homes/1125-FLAMINGO-DR-ROSELLE-IL-60172_rb/","check listing")</f>
        <v>check listing</v>
      </c>
      <c r="AB5284" s="5" t="str">
        <f>HYPERLINK("https://propertylookup.dupagecounty.gov/Datalets/Datalet.aspx?UseSearch=no&amp;mode=sales&amp;pin=0204101037","sales record")</f>
        <v>sales record</v>
      </c>
      <c r="AC5284" t="s">
        <v>3</v>
      </c>
      <c r="AD5284">
        <v>41.983656</v>
      </c>
      <c r="AE5284">
        <v>-88.10805000000001</v>
      </c>
      <c r="AF5284" s="5" t="str">
        <f>HYPERLINK("https://www.google.com/maps/search/?api=1&amp;query=41.983656,-88.10805","map")</f>
        <v>map</v>
      </c>
    </row>
    <row r="5285" spans="1:32">
      <c r="A5285" t="s">
        <v>5335</v>
      </c>
      <c r="B5285" t="s">
        <v>12860</v>
      </c>
      <c r="C5285" t="s">
        <v>15862</v>
      </c>
      <c r="D5285" t="s">
        <v>16207</v>
      </c>
      <c r="E5285" t="s">
        <v>16218</v>
      </c>
      <c r="F5285" t="s">
        <v>16221</v>
      </c>
      <c r="G5285" t="s">
        <v>16241</v>
      </c>
      <c r="H5285" t="s">
        <v>16241</v>
      </c>
      <c r="I5285" t="s">
        <v>16355</v>
      </c>
      <c r="J5285" t="s">
        <v>16385</v>
      </c>
      <c r="K5285">
        <v>0.214</v>
      </c>
      <c r="L5285">
        <v>9330</v>
      </c>
      <c r="M5285">
        <v>1584</v>
      </c>
      <c r="N5285" t="s">
        <v>16393</v>
      </c>
      <c r="O5285" s="4">
        <v>45278</v>
      </c>
      <c r="P5285" s="4">
        <v>88918</v>
      </c>
      <c r="Q5285" s="4">
        <v>134196</v>
      </c>
      <c r="R5285" s="4">
        <v>402588</v>
      </c>
      <c r="S5285" t="s">
        <v>21549</v>
      </c>
      <c r="T5285" s="6">
        <v>33664</v>
      </c>
      <c r="U5285" s="4">
        <v>137500</v>
      </c>
      <c r="X5285" t="s">
        <v>3</v>
      </c>
      <c r="AA5285" s="5" t="str">
        <f>HYPERLINK("https://www.zillow.com/homes/570-KENSINGTON-CT-ROSELLE-IL-601722623_rb/","check listing")</f>
        <v>check listing</v>
      </c>
      <c r="AB5285" s="5" t="str">
        <f>HYPERLINK("https://propertylookup.dupagecounty.gov/Datalets/Datalet.aspx?UseSearch=no&amp;mode=sales&amp;pin=0208204008","sales record")</f>
        <v>sales record</v>
      </c>
      <c r="AC5285" t="s">
        <v>3</v>
      </c>
      <c r="AD5285">
        <v>41.972095</v>
      </c>
      <c r="AE5285">
        <v>-88.113568</v>
      </c>
      <c r="AF5285" s="5" t="str">
        <f>HYPERLINK("https://www.google.com/maps/search/?api=1&amp;query=41.972095,-88.113568","map")</f>
        <v>map</v>
      </c>
    </row>
    <row r="5286" spans="1:32">
      <c r="A5286" t="s">
        <v>5336</v>
      </c>
      <c r="B5286" t="s">
        <v>12861</v>
      </c>
      <c r="C5286" t="s">
        <v>15830</v>
      </c>
      <c r="D5286" t="s">
        <v>16207</v>
      </c>
      <c r="E5286" t="s">
        <v>16218</v>
      </c>
      <c r="F5286" t="s">
        <v>16221</v>
      </c>
      <c r="G5286" t="s">
        <v>16241</v>
      </c>
      <c r="H5286" t="s">
        <v>16241</v>
      </c>
      <c r="I5286" t="s">
        <v>16355</v>
      </c>
      <c r="J5286" t="s">
        <v>16385</v>
      </c>
      <c r="K5286">
        <v>0.214</v>
      </c>
      <c r="L5286">
        <v>9318</v>
      </c>
      <c r="M5286">
        <v>1715</v>
      </c>
      <c r="N5286" t="s">
        <v>16393</v>
      </c>
      <c r="O5286" s="4">
        <v>38692</v>
      </c>
      <c r="P5286" s="4">
        <v>89480</v>
      </c>
      <c r="Q5286" s="4">
        <v>128172</v>
      </c>
      <c r="R5286" s="4">
        <v>384516</v>
      </c>
      <c r="S5286" t="s">
        <v>21550</v>
      </c>
      <c r="T5286" s="6">
        <v>31594</v>
      </c>
      <c r="U5286" s="4">
        <v>90000</v>
      </c>
      <c r="X5286" t="s">
        <v>3</v>
      </c>
      <c r="AA5286" s="5" t="str">
        <f>HYPERLINK("https://www.zillow.com/homes/775-EDENWOOD-DR-ROSELLE-IL-60172_rb/","check listing")</f>
        <v>check listing</v>
      </c>
      <c r="AB5286" s="5" t="str">
        <f>HYPERLINK("https://propertylookup.dupagecounty.gov/Datalets/Datalet.aspx?UseSearch=no&amp;mode=sales&amp;pin=0209203026","sales record")</f>
        <v>sales record</v>
      </c>
      <c r="AC5286" t="s">
        <v>3</v>
      </c>
      <c r="AD5286">
        <v>41.972153</v>
      </c>
      <c r="AE5286">
        <v>-88.10050200000001</v>
      </c>
      <c r="AF5286" s="5" t="str">
        <f>HYPERLINK("https://www.google.com/maps/search/?api=1&amp;query=41.972153,-88.100502","map")</f>
        <v>map</v>
      </c>
    </row>
    <row r="5287" spans="1:32">
      <c r="A5287" t="s">
        <v>5337</v>
      </c>
      <c r="B5287" t="s">
        <v>12862</v>
      </c>
      <c r="C5287" t="s">
        <v>15830</v>
      </c>
      <c r="D5287" t="s">
        <v>16207</v>
      </c>
      <c r="E5287" t="s">
        <v>16218</v>
      </c>
      <c r="F5287" t="s">
        <v>16221</v>
      </c>
      <c r="G5287" t="s">
        <v>16241</v>
      </c>
      <c r="H5287" t="s">
        <v>16241</v>
      </c>
      <c r="I5287" t="s">
        <v>16355</v>
      </c>
      <c r="J5287" t="s">
        <v>16385</v>
      </c>
      <c r="K5287">
        <v>0.214</v>
      </c>
      <c r="L5287">
        <v>9316</v>
      </c>
      <c r="M5287">
        <v>1584</v>
      </c>
      <c r="N5287" t="s">
        <v>16393</v>
      </c>
      <c r="O5287" s="4">
        <v>45278</v>
      </c>
      <c r="P5287" s="4">
        <v>74575</v>
      </c>
      <c r="Q5287" s="4">
        <v>119853</v>
      </c>
      <c r="R5287" s="4">
        <v>359559</v>
      </c>
      <c r="S5287" t="s">
        <v>21551</v>
      </c>
      <c r="T5287" s="6">
        <v>36404</v>
      </c>
      <c r="U5287" s="4">
        <v>195000</v>
      </c>
      <c r="X5287" t="s">
        <v>3</v>
      </c>
      <c r="AA5287" s="5" t="str">
        <f>HYPERLINK("https://www.zillow.com/homes/75-RODENBURG-RD-ROSELLE-IL-60172_rb/","check listing")</f>
        <v>check listing</v>
      </c>
      <c r="AB5287" s="5" t="str">
        <f>HYPERLINK("https://propertylookup.dupagecounty.gov/Datalets/Datalet.aspx?UseSearch=no&amp;mode=sales&amp;pin=0204311013","sales record")</f>
        <v>sales record</v>
      </c>
      <c r="AC5287" t="s">
        <v>3</v>
      </c>
      <c r="AD5287">
        <v>41.981776</v>
      </c>
      <c r="AE5287">
        <v>-88.10965</v>
      </c>
      <c r="AF5287" s="5" t="str">
        <f>HYPERLINK("https://www.google.com/maps/search/?api=1&amp;query=41.981776,-88.10965","map")</f>
        <v>map</v>
      </c>
    </row>
    <row r="5288" spans="1:32">
      <c r="A5288" t="s">
        <v>5338</v>
      </c>
      <c r="B5288" t="s">
        <v>12863</v>
      </c>
      <c r="C5288" t="s">
        <v>15848</v>
      </c>
      <c r="D5288" t="s">
        <v>16207</v>
      </c>
      <c r="E5288" t="s">
        <v>16218</v>
      </c>
      <c r="F5288" t="s">
        <v>16221</v>
      </c>
      <c r="G5288" t="s">
        <v>16241</v>
      </c>
      <c r="H5288" t="s">
        <v>16241</v>
      </c>
      <c r="I5288" t="s">
        <v>16355</v>
      </c>
      <c r="J5288" t="s">
        <v>16385</v>
      </c>
      <c r="K5288">
        <v>0.214</v>
      </c>
      <c r="L5288">
        <v>9310</v>
      </c>
      <c r="M5288">
        <v>2770</v>
      </c>
      <c r="N5288" t="s">
        <v>16393</v>
      </c>
      <c r="O5288" s="4">
        <v>54088</v>
      </c>
      <c r="P5288" s="4">
        <v>167079</v>
      </c>
      <c r="Q5288" s="4">
        <v>221167</v>
      </c>
      <c r="R5288" s="4">
        <v>663501</v>
      </c>
      <c r="S5288" t="s">
        <v>21552</v>
      </c>
      <c r="T5288" s="6">
        <v>38534</v>
      </c>
      <c r="U5288" s="4">
        <v>665000</v>
      </c>
      <c r="V5288" t="s">
        <v>23739</v>
      </c>
      <c r="W5288" t="s">
        <v>26705</v>
      </c>
      <c r="X5288" t="s">
        <v>3</v>
      </c>
      <c r="AA5288" s="5" t="str">
        <f>HYPERLINK("https://www.zillow.com/homes/1170-BLUEBIRD-LN-ROSELLE-IL-601724721_rb/","check listing")</f>
        <v>check listing</v>
      </c>
      <c r="AB5288" s="5" t="str">
        <f>HYPERLINK("https://propertylookup.dupagecounty.gov/Datalets/Datalet.aspx?UseSearch=no&amp;mode=sales&amp;pin=0204101072","sales record")</f>
        <v>sales record</v>
      </c>
      <c r="AC5288" t="s">
        <v>3</v>
      </c>
      <c r="AD5288">
        <v>41.986027</v>
      </c>
      <c r="AE5288">
        <v>-88.109205</v>
      </c>
      <c r="AF5288" s="5" t="str">
        <f>HYPERLINK("https://www.google.com/maps/search/?api=1&amp;query=41.986027,-88.109205","map")</f>
        <v>map</v>
      </c>
    </row>
    <row r="5289" spans="1:32">
      <c r="A5289" t="s">
        <v>5339</v>
      </c>
      <c r="B5289" t="s">
        <v>12864</v>
      </c>
      <c r="C5289" t="s">
        <v>15863</v>
      </c>
      <c r="D5289" t="s">
        <v>16207</v>
      </c>
      <c r="E5289" t="s">
        <v>16218</v>
      </c>
      <c r="F5289" t="s">
        <v>16221</v>
      </c>
      <c r="G5289" t="s">
        <v>16241</v>
      </c>
      <c r="H5289" t="s">
        <v>16241</v>
      </c>
      <c r="I5289" t="s">
        <v>16355</v>
      </c>
      <c r="J5289" t="s">
        <v>16385</v>
      </c>
      <c r="K5289">
        <v>0.214</v>
      </c>
      <c r="L5289">
        <v>9304</v>
      </c>
      <c r="M5289">
        <v>1781</v>
      </c>
      <c r="N5289" t="s">
        <v>16393</v>
      </c>
      <c r="O5289" s="4">
        <v>45278</v>
      </c>
      <c r="P5289" s="4">
        <v>69499</v>
      </c>
      <c r="Q5289" s="4">
        <v>114777</v>
      </c>
      <c r="R5289" s="4">
        <v>344331</v>
      </c>
      <c r="S5289" t="s">
        <v>21553</v>
      </c>
      <c r="T5289" s="6">
        <v>45524</v>
      </c>
      <c r="U5289" s="4">
        <v>482000</v>
      </c>
      <c r="V5289" t="s">
        <v>23739</v>
      </c>
      <c r="W5289" t="s">
        <v>26706</v>
      </c>
      <c r="X5289" t="s">
        <v>3</v>
      </c>
      <c r="AA5289" s="5" t="str">
        <f>HYPERLINK("https://www.zillow.com/homes/265-STOCKPORT-CT-ROSELLE-IL-601721670_rb/","check listing")</f>
        <v>check listing</v>
      </c>
      <c r="AB5289" s="5" t="str">
        <f>HYPERLINK("https://propertylookup.dupagecounty.gov/Datalets/Datalet.aspx?UseSearch=no&amp;mode=sales&amp;pin=0205405009","sales record")</f>
        <v>sales record</v>
      </c>
      <c r="AC5289" t="s">
        <v>3</v>
      </c>
      <c r="AD5289">
        <v>41.977734</v>
      </c>
      <c r="AE5289">
        <v>-88.11336</v>
      </c>
      <c r="AF5289" s="5" t="str">
        <f>HYPERLINK("https://www.google.com/maps/search/?api=1&amp;query=41.977734,-88.11336","map")</f>
        <v>map</v>
      </c>
    </row>
    <row r="5290" spans="1:32">
      <c r="A5290" t="s">
        <v>5340</v>
      </c>
      <c r="B5290" t="s">
        <v>12865</v>
      </c>
      <c r="C5290" t="s">
        <v>15864</v>
      </c>
      <c r="D5290" t="s">
        <v>16207</v>
      </c>
      <c r="E5290" t="s">
        <v>16218</v>
      </c>
      <c r="F5290" t="s">
        <v>16221</v>
      </c>
      <c r="G5290" t="s">
        <v>16241</v>
      </c>
      <c r="H5290" t="s">
        <v>16241</v>
      </c>
      <c r="I5290" t="s">
        <v>16355</v>
      </c>
      <c r="J5290" t="s">
        <v>16385</v>
      </c>
      <c r="K5290">
        <v>0.213</v>
      </c>
      <c r="L5290">
        <v>9298</v>
      </c>
      <c r="M5290">
        <v>1782</v>
      </c>
      <c r="N5290" t="s">
        <v>16393</v>
      </c>
      <c r="O5290" s="4">
        <v>45278</v>
      </c>
      <c r="P5290" s="4">
        <v>77635</v>
      </c>
      <c r="Q5290" s="4">
        <v>122913</v>
      </c>
      <c r="R5290" s="4">
        <v>368739</v>
      </c>
      <c r="S5290" t="s">
        <v>21554</v>
      </c>
      <c r="T5290" s="6">
        <v>43405</v>
      </c>
      <c r="U5290" s="4">
        <v>240000</v>
      </c>
      <c r="V5290" t="s">
        <v>23739</v>
      </c>
      <c r="W5290" t="s">
        <v>26707</v>
      </c>
      <c r="X5290" t="s">
        <v>3</v>
      </c>
      <c r="AA5290" s="5" t="str">
        <f>HYPERLINK("https://www.zillow.com/homes/575-KENSINGTON-CT-ROSELLE-IL-601722622_rb/","check listing")</f>
        <v>check listing</v>
      </c>
      <c r="AB5290" s="5" t="str">
        <f>HYPERLINK("https://propertylookup.dupagecounty.gov/Datalets/Datalet.aspx?UseSearch=no&amp;mode=sales&amp;pin=0208204010","sales record")</f>
        <v>sales record</v>
      </c>
      <c r="AC5290" t="s">
        <v>3</v>
      </c>
      <c r="AD5290">
        <v>41.971829</v>
      </c>
      <c r="AE5290">
        <v>-88.113995</v>
      </c>
      <c r="AF5290" s="5" t="str">
        <f>HYPERLINK("https://www.google.com/maps/search/?api=1&amp;query=41.971829,-88.113995","map")</f>
        <v>map</v>
      </c>
    </row>
    <row r="5291" spans="1:32">
      <c r="A5291" t="s">
        <v>5341</v>
      </c>
      <c r="B5291" t="s">
        <v>12866</v>
      </c>
      <c r="C5291" t="s">
        <v>15830</v>
      </c>
      <c r="D5291" t="s">
        <v>16207</v>
      </c>
      <c r="E5291" t="s">
        <v>16218</v>
      </c>
      <c r="F5291" t="s">
        <v>16221</v>
      </c>
      <c r="G5291" t="s">
        <v>16241</v>
      </c>
      <c r="H5291" t="s">
        <v>16241</v>
      </c>
      <c r="I5291" t="s">
        <v>16355</v>
      </c>
      <c r="J5291" t="s">
        <v>16385</v>
      </c>
      <c r="K5291">
        <v>0.213</v>
      </c>
      <c r="L5291">
        <v>9267</v>
      </c>
      <c r="M5291">
        <v>3232</v>
      </c>
      <c r="N5291" t="s">
        <v>16393</v>
      </c>
      <c r="O5291" s="4">
        <v>51278</v>
      </c>
      <c r="P5291" s="4">
        <v>161222</v>
      </c>
      <c r="Q5291" s="4">
        <v>212500</v>
      </c>
      <c r="R5291" s="4">
        <v>637500</v>
      </c>
      <c r="S5291" t="s">
        <v>21555</v>
      </c>
      <c r="T5291" s="6">
        <v>35643</v>
      </c>
      <c r="U5291" s="4">
        <v>330800</v>
      </c>
      <c r="X5291" t="s">
        <v>3</v>
      </c>
      <c r="AA5291" s="5" t="str">
        <f>HYPERLINK("https://www.zillow.com/homes/1145-BLUE-HERON-ROSELLE-IL-60172_rb/","check listing")</f>
        <v>check listing</v>
      </c>
      <c r="AB5291" s="5" t="str">
        <f>HYPERLINK("https://propertylookup.dupagecounty.gov/Datalets/Datalet.aspx?UseSearch=no&amp;mode=sales&amp;pin=0204103019","sales record")</f>
        <v>sales record</v>
      </c>
      <c r="AC5291" t="s">
        <v>3</v>
      </c>
      <c r="AD5291">
        <v>41.984606</v>
      </c>
      <c r="AE5291">
        <v>-88.108311</v>
      </c>
      <c r="AF5291" s="5" t="str">
        <f>HYPERLINK("https://www.google.com/maps/search/?api=1&amp;query=41.984606,-88.108311","map")</f>
        <v>map</v>
      </c>
    </row>
    <row r="5292" spans="1:32">
      <c r="A5292" t="s">
        <v>5342</v>
      </c>
      <c r="B5292" t="s">
        <v>12867</v>
      </c>
      <c r="C5292" t="s">
        <v>15865</v>
      </c>
      <c r="D5292" t="s">
        <v>16207</v>
      </c>
      <c r="E5292" t="s">
        <v>16218</v>
      </c>
      <c r="F5292" t="s">
        <v>16221</v>
      </c>
      <c r="G5292" t="s">
        <v>16241</v>
      </c>
      <c r="H5292" t="s">
        <v>16241</v>
      </c>
      <c r="I5292" t="s">
        <v>16355</v>
      </c>
      <c r="J5292" t="s">
        <v>16385</v>
      </c>
      <c r="K5292">
        <v>0.213</v>
      </c>
      <c r="L5292">
        <v>9257</v>
      </c>
      <c r="M5292">
        <v>1319</v>
      </c>
      <c r="N5292" t="s">
        <v>16393</v>
      </c>
      <c r="O5292" s="4">
        <v>38692</v>
      </c>
      <c r="P5292" s="4">
        <v>78447</v>
      </c>
      <c r="Q5292" s="4">
        <v>117139</v>
      </c>
      <c r="R5292" s="4">
        <v>351417</v>
      </c>
      <c r="S5292" t="s">
        <v>21556</v>
      </c>
      <c r="T5292" s="6">
        <v>43678</v>
      </c>
      <c r="U5292" s="4">
        <v>245000</v>
      </c>
      <c r="V5292" t="s">
        <v>23739</v>
      </c>
      <c r="W5292" t="s">
        <v>26708</v>
      </c>
      <c r="X5292" t="s">
        <v>3</v>
      </c>
      <c r="AA5292" s="5" t="str">
        <f>HYPERLINK("https://www.zillow.com/homes/800-MEADE-LN-ROSELLE-IL-601722712_rb/","check listing")</f>
        <v>check listing</v>
      </c>
      <c r="AB5292" s="5" t="str">
        <f>HYPERLINK("https://propertylookup.dupagecounty.gov/Datalets/Datalet.aspx?UseSearch=no&amp;mode=sales&amp;pin=0209304001","sales record")</f>
        <v>sales record</v>
      </c>
      <c r="AC5292" t="s">
        <v>3</v>
      </c>
      <c r="AD5292">
        <v>41.968082</v>
      </c>
      <c r="AE5292">
        <v>-88.105906</v>
      </c>
      <c r="AF5292" s="5" t="str">
        <f>HYPERLINK("https://www.google.com/maps/search/?api=1&amp;query=41.968082,-88.105906","map")</f>
        <v>map</v>
      </c>
    </row>
    <row r="5293" spans="1:32">
      <c r="A5293" t="s">
        <v>5343</v>
      </c>
      <c r="B5293" t="s">
        <v>12868</v>
      </c>
      <c r="C5293" t="s">
        <v>15866</v>
      </c>
      <c r="D5293" t="s">
        <v>16207</v>
      </c>
      <c r="E5293" t="s">
        <v>16218</v>
      </c>
      <c r="F5293" t="s">
        <v>16221</v>
      </c>
      <c r="G5293" t="s">
        <v>16241</v>
      </c>
      <c r="H5293" t="s">
        <v>16241</v>
      </c>
      <c r="I5293" t="s">
        <v>16355</v>
      </c>
      <c r="J5293" t="s">
        <v>16385</v>
      </c>
      <c r="K5293">
        <v>0.212</v>
      </c>
      <c r="L5293">
        <v>9250</v>
      </c>
      <c r="M5293">
        <v>2375</v>
      </c>
      <c r="N5293" t="s">
        <v>16393</v>
      </c>
      <c r="O5293" s="4">
        <v>45278</v>
      </c>
      <c r="P5293" s="4">
        <v>112083</v>
      </c>
      <c r="Q5293" s="4">
        <v>157361</v>
      </c>
      <c r="R5293" s="4">
        <v>472083</v>
      </c>
      <c r="S5293" t="s">
        <v>21557</v>
      </c>
      <c r="T5293" s="6">
        <v>43556</v>
      </c>
      <c r="U5293" s="4">
        <v>375000</v>
      </c>
      <c r="V5293" t="s">
        <v>23739</v>
      </c>
      <c r="W5293" t="s">
        <v>21557</v>
      </c>
      <c r="X5293" t="s">
        <v>3</v>
      </c>
      <c r="AA5293" s="5" t="str">
        <f>HYPERLINK("https://www.zillow.com/homes/150-EXETER-CT-ROSELLE-IL-601721629_rb/","check listing")</f>
        <v>check listing</v>
      </c>
      <c r="AB5293" s="5" t="str">
        <f>HYPERLINK("https://propertylookup.dupagecounty.gov/Datalets/Datalet.aspx?UseSearch=no&amp;mode=sales&amp;pin=0205403016","sales record")</f>
        <v>sales record</v>
      </c>
      <c r="AC5293" t="s">
        <v>3</v>
      </c>
      <c r="AD5293">
        <v>41.979712</v>
      </c>
      <c r="AE5293">
        <v>-88.112903</v>
      </c>
      <c r="AF5293" s="5" t="str">
        <f>HYPERLINK("https://www.google.com/maps/search/?api=1&amp;query=41.979712,-88.112903","map")</f>
        <v>map</v>
      </c>
    </row>
    <row r="5294" spans="1:32">
      <c r="A5294" t="s">
        <v>5344</v>
      </c>
      <c r="B5294" t="s">
        <v>12869</v>
      </c>
      <c r="C5294" t="s">
        <v>15830</v>
      </c>
      <c r="D5294" t="s">
        <v>16207</v>
      </c>
      <c r="E5294" t="s">
        <v>16218</v>
      </c>
      <c r="F5294" t="s">
        <v>16221</v>
      </c>
      <c r="G5294" t="s">
        <v>16241</v>
      </c>
      <c r="H5294" t="s">
        <v>16241</v>
      </c>
      <c r="I5294" t="s">
        <v>16355</v>
      </c>
      <c r="J5294" t="s">
        <v>16385</v>
      </c>
      <c r="K5294">
        <v>0.212</v>
      </c>
      <c r="L5294">
        <v>9219</v>
      </c>
      <c r="M5294">
        <v>3233</v>
      </c>
      <c r="N5294" t="s">
        <v>16393</v>
      </c>
      <c r="O5294" s="4">
        <v>54793</v>
      </c>
      <c r="P5294" s="4">
        <v>186898</v>
      </c>
      <c r="Q5294" s="4">
        <v>241691</v>
      </c>
      <c r="R5294" s="4">
        <v>725073</v>
      </c>
      <c r="S5294" t="s">
        <v>21558</v>
      </c>
      <c r="T5294" s="6">
        <v>38777</v>
      </c>
      <c r="U5294" s="4">
        <v>602500</v>
      </c>
      <c r="V5294" t="s">
        <v>23739</v>
      </c>
      <c r="W5294" t="s">
        <v>26709</v>
      </c>
      <c r="X5294" t="s">
        <v>3</v>
      </c>
      <c r="AA5294" s="5" t="str">
        <f>HYPERLINK("https://www.zillow.com/homes/20-CLAIR-CT-ROSELLE-IL-60172_rb/","check listing")</f>
        <v>check listing</v>
      </c>
      <c r="AB5294" s="5" t="str">
        <f>HYPERLINK("https://propertylookup.dupagecounty.gov/Datalets/Datalet.aspx?UseSearch=no&amp;mode=sales&amp;pin=0205232008","sales record")</f>
        <v>sales record</v>
      </c>
      <c r="AC5294" t="s">
        <v>3</v>
      </c>
      <c r="AD5294">
        <v>41.983061</v>
      </c>
      <c r="AE5294">
        <v>-88.11161</v>
      </c>
      <c r="AF5294" s="5" t="str">
        <f>HYPERLINK("https://www.google.com/maps/search/?api=1&amp;query=41.983061,-88.11161","map")</f>
        <v>map</v>
      </c>
    </row>
    <row r="5295" spans="1:32">
      <c r="A5295" t="s">
        <v>5345</v>
      </c>
      <c r="B5295" t="s">
        <v>12870</v>
      </c>
      <c r="C5295" t="s">
        <v>15867</v>
      </c>
      <c r="D5295" t="s">
        <v>16207</v>
      </c>
      <c r="E5295" t="s">
        <v>16218</v>
      </c>
      <c r="F5295" t="s">
        <v>16221</v>
      </c>
      <c r="G5295" t="s">
        <v>16241</v>
      </c>
      <c r="H5295" t="s">
        <v>16241</v>
      </c>
      <c r="I5295" t="s">
        <v>16355</v>
      </c>
      <c r="J5295" t="s">
        <v>16385</v>
      </c>
      <c r="K5295">
        <v>0.211</v>
      </c>
      <c r="L5295">
        <v>9193</v>
      </c>
      <c r="M5295">
        <v>2128</v>
      </c>
      <c r="N5295" t="s">
        <v>16393</v>
      </c>
      <c r="O5295" s="4">
        <v>38692</v>
      </c>
      <c r="P5295" s="4">
        <v>77013</v>
      </c>
      <c r="Q5295" s="4">
        <v>115705</v>
      </c>
      <c r="R5295" s="4">
        <v>347115</v>
      </c>
      <c r="S5295" t="s">
        <v>21559</v>
      </c>
      <c r="T5295" s="6">
        <v>46056</v>
      </c>
      <c r="U5295" s="4">
        <v>410000</v>
      </c>
      <c r="V5295" t="s">
        <v>23739</v>
      </c>
      <c r="W5295" t="s">
        <v>26710</v>
      </c>
      <c r="X5295" t="s">
        <v>3</v>
      </c>
      <c r="AA5295" s="5" t="str">
        <f>HYPERLINK("https://www.zillow.com/homes/230-ASHLEY-CT-ROSELLE-IL-601721716_rb/","check listing")</f>
        <v>check listing</v>
      </c>
      <c r="AB5295" s="5" t="str">
        <f>HYPERLINK("https://propertylookup.dupagecounty.gov/Datalets/Datalet.aspx?UseSearch=no&amp;mode=sales&amp;pin=0204313021","sales record")</f>
        <v>sales record</v>
      </c>
      <c r="AC5295" t="s">
        <v>3</v>
      </c>
      <c r="AD5295">
        <v>41.978689</v>
      </c>
      <c r="AE5295">
        <v>-88.10987900000001</v>
      </c>
      <c r="AF5295" s="5" t="str">
        <f>HYPERLINK("https://www.google.com/maps/search/?api=1&amp;query=41.978689,-88.109879","map")</f>
        <v>map</v>
      </c>
    </row>
    <row r="5296" spans="1:32">
      <c r="A5296" t="s">
        <v>5346</v>
      </c>
      <c r="B5296" t="s">
        <v>12871</v>
      </c>
      <c r="C5296" t="s">
        <v>15868</v>
      </c>
      <c r="D5296" t="s">
        <v>16207</v>
      </c>
      <c r="E5296" t="s">
        <v>16218</v>
      </c>
      <c r="F5296" t="s">
        <v>16221</v>
      </c>
      <c r="G5296" t="s">
        <v>16241</v>
      </c>
      <c r="H5296" t="s">
        <v>16241</v>
      </c>
      <c r="I5296" t="s">
        <v>16355</v>
      </c>
      <c r="J5296" t="s">
        <v>16385</v>
      </c>
      <c r="K5296">
        <v>0.211</v>
      </c>
      <c r="L5296">
        <v>9191</v>
      </c>
      <c r="M5296">
        <v>989</v>
      </c>
      <c r="N5296" t="s">
        <v>16393</v>
      </c>
      <c r="O5296" s="4">
        <v>45278</v>
      </c>
      <c r="P5296" s="4">
        <v>101290</v>
      </c>
      <c r="Q5296" s="4">
        <v>146568</v>
      </c>
      <c r="R5296" s="4">
        <v>439704</v>
      </c>
      <c r="S5296" t="s">
        <v>21560</v>
      </c>
      <c r="T5296" s="6">
        <v>34881</v>
      </c>
      <c r="U5296" s="4">
        <v>187250</v>
      </c>
      <c r="X5296" t="s">
        <v>3</v>
      </c>
      <c r="AA5296" s="5" t="str">
        <f>HYPERLINK("https://www.zillow.com/homes/815-BRANDYWINE-DR-ROSELLE-IL-601722804_rb/","check listing")</f>
        <v>check listing</v>
      </c>
      <c r="AB5296" s="5" t="str">
        <f>HYPERLINK("https://propertylookup.dupagecounty.gov/Datalets/Datalet.aspx?UseSearch=no&amp;mode=sales&amp;pin=0209116018","sales record")</f>
        <v>sales record</v>
      </c>
      <c r="AC5296" t="s">
        <v>3</v>
      </c>
      <c r="AD5296">
        <v>41.974945</v>
      </c>
      <c r="AE5296">
        <v>-88.10114299999999</v>
      </c>
      <c r="AF5296" s="5" t="str">
        <f>HYPERLINK("https://www.google.com/maps/search/?api=1&amp;query=41.974945,-88.101143","map")</f>
        <v>map</v>
      </c>
    </row>
    <row r="5297" spans="1:32">
      <c r="A5297" t="s">
        <v>5347</v>
      </c>
      <c r="B5297" t="s">
        <v>12872</v>
      </c>
      <c r="C5297" t="s">
        <v>15830</v>
      </c>
      <c r="D5297" t="s">
        <v>16207</v>
      </c>
      <c r="E5297" t="s">
        <v>16218</v>
      </c>
      <c r="F5297" t="s">
        <v>16221</v>
      </c>
      <c r="G5297" t="s">
        <v>16241</v>
      </c>
      <c r="H5297" t="s">
        <v>16241</v>
      </c>
      <c r="I5297" t="s">
        <v>16355</v>
      </c>
      <c r="J5297" t="s">
        <v>16385</v>
      </c>
      <c r="K5297">
        <v>0.21</v>
      </c>
      <c r="L5297">
        <v>9158</v>
      </c>
      <c r="M5297">
        <v>1820</v>
      </c>
      <c r="N5297" t="s">
        <v>16393</v>
      </c>
      <c r="O5297" s="4">
        <v>45278</v>
      </c>
      <c r="P5297" s="4">
        <v>94394</v>
      </c>
      <c r="Q5297" s="4">
        <v>139672</v>
      </c>
      <c r="R5297" s="4">
        <v>419016</v>
      </c>
      <c r="S5297" t="s">
        <v>21561</v>
      </c>
      <c r="T5297" s="6">
        <v>37803</v>
      </c>
      <c r="U5297" s="4">
        <v>225000</v>
      </c>
      <c r="V5297" t="s">
        <v>23739</v>
      </c>
      <c r="W5297" t="s">
        <v>26711</v>
      </c>
      <c r="X5297" t="s">
        <v>3</v>
      </c>
      <c r="AA5297" s="5" t="str">
        <f>HYPERLINK("https://www.zillow.com/homes/730-BRYN-MAWR-AVE-ROSELLE-IL-60172_rb/","check listing")</f>
        <v>check listing</v>
      </c>
      <c r="AB5297" s="5" t="str">
        <f>HYPERLINK("https://propertylookup.dupagecounty.gov/Datalets/Datalet.aspx?UseSearch=no&amp;mode=sales&amp;pin=0209211013","sales record")</f>
        <v>sales record</v>
      </c>
      <c r="AC5297" t="s">
        <v>3</v>
      </c>
      <c r="AD5297">
        <v>41.975346</v>
      </c>
      <c r="AE5297">
        <v>-88.099136</v>
      </c>
      <c r="AF5297" s="5" t="str">
        <f>HYPERLINK("https://www.google.com/maps/search/?api=1&amp;query=41.975346,-88.099136","map")</f>
        <v>map</v>
      </c>
    </row>
    <row r="5298" spans="1:32">
      <c r="A5298" t="s">
        <v>5348</v>
      </c>
      <c r="B5298" t="s">
        <v>12873</v>
      </c>
      <c r="C5298" t="s">
        <v>15830</v>
      </c>
      <c r="D5298" t="s">
        <v>16207</v>
      </c>
      <c r="E5298" t="s">
        <v>16218</v>
      </c>
      <c r="F5298" t="s">
        <v>16221</v>
      </c>
      <c r="G5298" t="s">
        <v>16241</v>
      </c>
      <c r="H5298" t="s">
        <v>16241</v>
      </c>
      <c r="I5298" t="s">
        <v>16355</v>
      </c>
      <c r="J5298" t="s">
        <v>16385</v>
      </c>
      <c r="K5298">
        <v>0.21</v>
      </c>
      <c r="L5298">
        <v>9156</v>
      </c>
      <c r="M5298">
        <v>1716</v>
      </c>
      <c r="N5298" t="s">
        <v>16393</v>
      </c>
      <c r="O5298" s="4">
        <v>38692</v>
      </c>
      <c r="P5298" s="4">
        <v>81687</v>
      </c>
      <c r="Q5298" s="4">
        <v>120379</v>
      </c>
      <c r="R5298" s="4">
        <v>361137</v>
      </c>
      <c r="S5298" t="s">
        <v>21562</v>
      </c>
      <c r="T5298" s="6">
        <v>32082</v>
      </c>
      <c r="U5298" s="4">
        <v>104000</v>
      </c>
      <c r="X5298" t="s">
        <v>3</v>
      </c>
      <c r="AA5298" s="5" t="str">
        <f>HYPERLINK("https://www.zillow.com/homes/1120-SINGLETON-DR-ROSELLE-IL-60172_rb/","check listing")</f>
        <v>check listing</v>
      </c>
      <c r="AB5298" s="5" t="str">
        <f>HYPERLINK("https://propertylookup.dupagecounty.gov/Datalets/Datalet.aspx?UseSearch=no&amp;mode=sales&amp;pin=0204309060","sales record")</f>
        <v>sales record</v>
      </c>
      <c r="AC5298" t="s">
        <v>3</v>
      </c>
      <c r="AD5298">
        <v>41.979364</v>
      </c>
      <c r="AE5298">
        <v>-88.108451</v>
      </c>
      <c r="AF5298" s="5" t="str">
        <f>HYPERLINK("https://www.google.com/maps/search/?api=1&amp;query=41.979364,-88.108451","map")</f>
        <v>map</v>
      </c>
    </row>
    <row r="5299" spans="1:32">
      <c r="A5299" t="s">
        <v>5349</v>
      </c>
      <c r="B5299" t="s">
        <v>12874</v>
      </c>
      <c r="C5299" t="s">
        <v>15869</v>
      </c>
      <c r="D5299" t="s">
        <v>16207</v>
      </c>
      <c r="E5299" t="s">
        <v>16218</v>
      </c>
      <c r="F5299" t="s">
        <v>16221</v>
      </c>
      <c r="G5299" t="s">
        <v>16241</v>
      </c>
      <c r="H5299" t="s">
        <v>16241</v>
      </c>
      <c r="I5299" t="s">
        <v>16355</v>
      </c>
      <c r="J5299" t="s">
        <v>16385</v>
      </c>
      <c r="K5299">
        <v>0.21</v>
      </c>
      <c r="L5299">
        <v>9146</v>
      </c>
      <c r="M5299">
        <v>3693</v>
      </c>
      <c r="N5299" t="s">
        <v>16393</v>
      </c>
      <c r="O5299" s="4">
        <v>51278</v>
      </c>
      <c r="P5299" s="4">
        <v>188141</v>
      </c>
      <c r="Q5299" s="4">
        <v>239419</v>
      </c>
      <c r="R5299" s="4">
        <v>718257</v>
      </c>
      <c r="S5299" t="s">
        <v>21563</v>
      </c>
      <c r="T5299" s="6">
        <v>35855</v>
      </c>
      <c r="U5299" s="4">
        <v>360000</v>
      </c>
      <c r="X5299" t="s">
        <v>3</v>
      </c>
      <c r="AA5299" s="5" t="str">
        <f>HYPERLINK("https://www.zillow.com/homes/65-CARDINAL-LN-ROSELLE-IL-601724724_rb/","check listing")</f>
        <v>check listing</v>
      </c>
      <c r="AB5299" s="5" t="str">
        <f>HYPERLINK("https://propertylookup.dupagecounty.gov/Datalets/Datalet.aspx?UseSearch=no&amp;mode=sales&amp;pin=0204103001","sales record")</f>
        <v>sales record</v>
      </c>
      <c r="AC5299" t="s">
        <v>3</v>
      </c>
      <c r="AD5299">
        <v>41.984368</v>
      </c>
      <c r="AE5299">
        <v>-88.108896</v>
      </c>
      <c r="AF5299" s="5" t="str">
        <f>HYPERLINK("https://www.google.com/maps/search/?api=1&amp;query=41.984368,-88.108896","map")</f>
        <v>map</v>
      </c>
    </row>
    <row r="5300" spans="1:32">
      <c r="A5300" t="s">
        <v>5350</v>
      </c>
      <c r="B5300" t="s">
        <v>12875</v>
      </c>
      <c r="C5300" t="s">
        <v>15830</v>
      </c>
      <c r="D5300" t="s">
        <v>16207</v>
      </c>
      <c r="E5300" t="s">
        <v>16218</v>
      </c>
      <c r="F5300" t="s">
        <v>16221</v>
      </c>
      <c r="G5300" t="s">
        <v>16241</v>
      </c>
      <c r="H5300" t="s">
        <v>16241</v>
      </c>
      <c r="I5300" t="s">
        <v>16355</v>
      </c>
      <c r="J5300" t="s">
        <v>16385</v>
      </c>
      <c r="K5300">
        <v>0.21</v>
      </c>
      <c r="L5300">
        <v>9145</v>
      </c>
      <c r="M5300">
        <v>1978</v>
      </c>
      <c r="N5300" t="s">
        <v>16393</v>
      </c>
      <c r="O5300" s="4">
        <v>45278</v>
      </c>
      <c r="P5300" s="4">
        <v>109729</v>
      </c>
      <c r="Q5300" s="4">
        <v>155007</v>
      </c>
      <c r="R5300" s="4">
        <v>465021</v>
      </c>
      <c r="S5300" t="s">
        <v>21564</v>
      </c>
      <c r="T5300" s="6">
        <v>37043</v>
      </c>
      <c r="U5300" s="4">
        <v>240000</v>
      </c>
      <c r="V5300" t="s">
        <v>23739</v>
      </c>
      <c r="W5300" t="s">
        <v>26712</v>
      </c>
      <c r="X5300" t="s">
        <v>3</v>
      </c>
      <c r="AA5300" s="5" t="str">
        <f>HYPERLINK("https://www.zillow.com/homes/160-EXETER-CT-ROSELLE-IL-60172_rb/","check listing")</f>
        <v>check listing</v>
      </c>
      <c r="AB5300" s="5" t="str">
        <f>HYPERLINK("https://propertylookup.dupagecounty.gov/Datalets/Datalet.aspx?UseSearch=no&amp;mode=sales&amp;pin=0205403017","sales record")</f>
        <v>sales record</v>
      </c>
      <c r="AC5300" t="s">
        <v>3</v>
      </c>
      <c r="AD5300">
        <v>41.979728</v>
      </c>
      <c r="AE5300">
        <v>-88.112641</v>
      </c>
      <c r="AF5300" s="5" t="str">
        <f>HYPERLINK("https://www.google.com/maps/search/?api=1&amp;query=41.979728,-88.112641","map")</f>
        <v>map</v>
      </c>
    </row>
    <row r="5301" spans="1:32">
      <c r="A5301" t="s">
        <v>5351</v>
      </c>
      <c r="B5301" t="s">
        <v>12876</v>
      </c>
      <c r="C5301" t="s">
        <v>15830</v>
      </c>
      <c r="D5301" t="s">
        <v>16207</v>
      </c>
      <c r="E5301" t="s">
        <v>16218</v>
      </c>
      <c r="F5301" t="s">
        <v>16221</v>
      </c>
      <c r="G5301" t="s">
        <v>16241</v>
      </c>
      <c r="H5301" t="s">
        <v>16241</v>
      </c>
      <c r="I5301" t="s">
        <v>16355</v>
      </c>
      <c r="J5301" t="s">
        <v>16385</v>
      </c>
      <c r="K5301">
        <v>0.21</v>
      </c>
      <c r="L5301">
        <v>9137</v>
      </c>
      <c r="M5301">
        <v>791</v>
      </c>
      <c r="N5301" t="s">
        <v>16393</v>
      </c>
      <c r="O5301" s="4">
        <v>45278</v>
      </c>
      <c r="P5301" s="4">
        <v>86815</v>
      </c>
      <c r="Q5301" s="4">
        <v>132093</v>
      </c>
      <c r="R5301" s="4">
        <v>396279</v>
      </c>
      <c r="S5301" t="s">
        <v>21565</v>
      </c>
      <c r="T5301" s="6">
        <v>38838</v>
      </c>
      <c r="U5301" s="4">
        <v>297000</v>
      </c>
      <c r="V5301" t="s">
        <v>23739</v>
      </c>
      <c r="W5301" t="s">
        <v>21565</v>
      </c>
      <c r="X5301" t="s">
        <v>3</v>
      </c>
      <c r="AA5301" s="5" t="str">
        <f>HYPERLINK("https://www.zillow.com/homes/140-EXETER-CT-ROSELLE-IL-60172_rb/","check listing")</f>
        <v>check listing</v>
      </c>
      <c r="AB5301" s="5" t="str">
        <f>HYPERLINK("https://propertylookup.dupagecounty.gov/Datalets/Datalet.aspx?UseSearch=no&amp;mode=sales&amp;pin=0205403015","sales record")</f>
        <v>sales record</v>
      </c>
      <c r="AC5301" t="s">
        <v>3</v>
      </c>
      <c r="AD5301">
        <v>41.980091</v>
      </c>
      <c r="AE5301">
        <v>-88.112917</v>
      </c>
      <c r="AF5301" s="5" t="str">
        <f>HYPERLINK("https://www.google.com/maps/search/?api=1&amp;query=41.980091,-88.112917","map")</f>
        <v>map</v>
      </c>
    </row>
    <row r="5302" spans="1:32">
      <c r="A5302" t="s">
        <v>5352</v>
      </c>
      <c r="B5302" t="s">
        <v>12877</v>
      </c>
      <c r="C5302" t="s">
        <v>15830</v>
      </c>
      <c r="D5302" t="s">
        <v>16207</v>
      </c>
      <c r="E5302" t="s">
        <v>16218</v>
      </c>
      <c r="F5302" t="s">
        <v>16221</v>
      </c>
      <c r="G5302" t="s">
        <v>16241</v>
      </c>
      <c r="H5302" t="s">
        <v>16241</v>
      </c>
      <c r="I5302" t="s">
        <v>16355</v>
      </c>
      <c r="J5302" t="s">
        <v>16385</v>
      </c>
      <c r="K5302">
        <v>0.209</v>
      </c>
      <c r="L5302">
        <v>9112</v>
      </c>
      <c r="M5302">
        <v>1894</v>
      </c>
      <c r="N5302" t="s">
        <v>16393</v>
      </c>
      <c r="O5302" s="4">
        <v>38692</v>
      </c>
      <c r="P5302" s="4">
        <v>75101</v>
      </c>
      <c r="Q5302" s="4">
        <v>113793</v>
      </c>
      <c r="R5302" s="4">
        <v>341379</v>
      </c>
      <c r="S5302" t="s">
        <v>21566</v>
      </c>
      <c r="T5302" s="6">
        <v>38565</v>
      </c>
      <c r="U5302" s="4">
        <v>286000</v>
      </c>
      <c r="V5302" t="s">
        <v>23739</v>
      </c>
      <c r="W5302" t="s">
        <v>26713</v>
      </c>
      <c r="X5302" t="s">
        <v>3</v>
      </c>
      <c r="AA5302" s="5" t="str">
        <f>HYPERLINK("https://www.zillow.com/homes/725-WOODSIDE-DR-ROSELLE-IL-60172_rb/","check listing")</f>
        <v>check listing</v>
      </c>
      <c r="AB5302" s="5" t="str">
        <f>HYPERLINK("https://propertylookup.dupagecounty.gov/Datalets/Datalet.aspx?UseSearch=no&amp;mode=sales&amp;pin=0209101039","sales record")</f>
        <v>sales record</v>
      </c>
      <c r="AC5302" t="s">
        <v>27873</v>
      </c>
      <c r="AD5302">
        <v>41.969733</v>
      </c>
      <c r="AE5302">
        <v>-88.104574</v>
      </c>
      <c r="AF5302" s="5" t="str">
        <f>HYPERLINK("https://www.google.com/maps/search/?api=1&amp;query=41.969733,-88.104574","map")</f>
        <v>map</v>
      </c>
    </row>
    <row r="5303" spans="1:32">
      <c r="A5303" t="s">
        <v>5353</v>
      </c>
      <c r="B5303" t="s">
        <v>12878</v>
      </c>
      <c r="C5303" t="s">
        <v>15836</v>
      </c>
      <c r="D5303" t="s">
        <v>16207</v>
      </c>
      <c r="E5303" t="s">
        <v>16218</v>
      </c>
      <c r="F5303" t="s">
        <v>16221</v>
      </c>
      <c r="G5303" t="s">
        <v>16241</v>
      </c>
      <c r="H5303" t="s">
        <v>16241</v>
      </c>
      <c r="I5303" t="s">
        <v>16355</v>
      </c>
      <c r="J5303" t="s">
        <v>16385</v>
      </c>
      <c r="K5303">
        <v>0.209</v>
      </c>
      <c r="L5303">
        <v>9111</v>
      </c>
      <c r="M5303">
        <v>3000</v>
      </c>
      <c r="N5303" t="s">
        <v>16393</v>
      </c>
      <c r="O5303" s="4">
        <v>54793</v>
      </c>
      <c r="P5303" s="4">
        <v>195946</v>
      </c>
      <c r="Q5303" s="4">
        <v>250739</v>
      </c>
      <c r="R5303" s="4">
        <v>752217</v>
      </c>
      <c r="S5303" t="s">
        <v>21567</v>
      </c>
      <c r="T5303" s="6">
        <v>39173</v>
      </c>
      <c r="U5303" s="4">
        <v>667500</v>
      </c>
      <c r="V5303" t="s">
        <v>23739</v>
      </c>
      <c r="W5303" t="s">
        <v>26714</v>
      </c>
      <c r="X5303" t="s">
        <v>3</v>
      </c>
      <c r="AA5303" s="5" t="str">
        <f>HYPERLINK("https://www.zillow.com/homes/54-N-ANDOVER-DR-ROSELLE-IL-601724518_rb/","check listing")</f>
        <v>check listing</v>
      </c>
      <c r="AB5303" s="5" t="str">
        <f>HYPERLINK("https://propertylookup.dupagecounty.gov/Datalets/Datalet.aspx?UseSearch=no&amp;mode=sales&amp;pin=0205231005","sales record")</f>
        <v>sales record</v>
      </c>
      <c r="AC5303" t="s">
        <v>3</v>
      </c>
      <c r="AD5303">
        <v>41.983982</v>
      </c>
      <c r="AE5303">
        <v>-88.112584</v>
      </c>
      <c r="AF5303" s="5" t="str">
        <f>HYPERLINK("https://www.google.com/maps/search/?api=1&amp;query=41.983982,-88.112584","map")</f>
        <v>map</v>
      </c>
    </row>
    <row r="5304" spans="1:32">
      <c r="A5304" t="s">
        <v>5354</v>
      </c>
      <c r="B5304" t="s">
        <v>12879</v>
      </c>
      <c r="C5304" t="s">
        <v>15830</v>
      </c>
      <c r="D5304" t="s">
        <v>16207</v>
      </c>
      <c r="E5304" t="s">
        <v>16218</v>
      </c>
      <c r="F5304" t="s">
        <v>16221</v>
      </c>
      <c r="G5304" t="s">
        <v>16241</v>
      </c>
      <c r="H5304" t="s">
        <v>16241</v>
      </c>
      <c r="I5304" t="s">
        <v>16355</v>
      </c>
      <c r="J5304" t="s">
        <v>16385</v>
      </c>
      <c r="K5304">
        <v>0.209</v>
      </c>
      <c r="L5304">
        <v>9106</v>
      </c>
      <c r="M5304">
        <v>1583</v>
      </c>
      <c r="N5304" t="s">
        <v>16393</v>
      </c>
      <c r="O5304" s="4">
        <v>45278</v>
      </c>
      <c r="P5304" s="4">
        <v>86815</v>
      </c>
      <c r="Q5304" s="4">
        <v>132093</v>
      </c>
      <c r="R5304" s="4">
        <v>396279</v>
      </c>
      <c r="S5304" t="s">
        <v>21568</v>
      </c>
      <c r="T5304" s="6">
        <v>40330</v>
      </c>
      <c r="U5304" s="4">
        <v>276000</v>
      </c>
      <c r="V5304" t="s">
        <v>23739</v>
      </c>
      <c r="W5304" t="s">
        <v>26715</v>
      </c>
      <c r="X5304" t="s">
        <v>3</v>
      </c>
      <c r="AA5304" s="5" t="str">
        <f>HYPERLINK("https://www.zillow.com/homes/440-AVEBURY-CT-ROSELLE-IL-60172_rb/","check listing")</f>
        <v>check listing</v>
      </c>
      <c r="AB5304" s="5" t="str">
        <f>HYPERLINK("https://propertylookup.dupagecounty.gov/Datalets/Datalet.aspx?UseSearch=no&amp;mode=sales&amp;pin=0209211008","sales record")</f>
        <v>sales record</v>
      </c>
      <c r="AC5304" t="s">
        <v>3</v>
      </c>
      <c r="AD5304">
        <v>41.974739</v>
      </c>
      <c r="AE5304">
        <v>-88.099985</v>
      </c>
      <c r="AF5304" s="5" t="str">
        <f>HYPERLINK("https://www.google.com/maps/search/?api=1&amp;query=41.974739,-88.099985","map")</f>
        <v>map</v>
      </c>
    </row>
    <row r="5305" spans="1:32">
      <c r="A5305" t="s">
        <v>5355</v>
      </c>
      <c r="B5305" t="s">
        <v>12880</v>
      </c>
      <c r="C5305" t="s">
        <v>15830</v>
      </c>
      <c r="D5305" t="s">
        <v>16207</v>
      </c>
      <c r="E5305" t="s">
        <v>16218</v>
      </c>
      <c r="F5305" t="s">
        <v>16221</v>
      </c>
      <c r="G5305" t="s">
        <v>16241</v>
      </c>
      <c r="H5305" t="s">
        <v>16241</v>
      </c>
      <c r="I5305" t="s">
        <v>16355</v>
      </c>
      <c r="J5305" t="s">
        <v>16385</v>
      </c>
      <c r="K5305">
        <v>0.209</v>
      </c>
      <c r="L5305">
        <v>9094</v>
      </c>
      <c r="M5305">
        <v>2541</v>
      </c>
      <c r="N5305" t="s">
        <v>16393</v>
      </c>
      <c r="O5305" s="4">
        <v>45278</v>
      </c>
      <c r="P5305" s="4">
        <v>95588</v>
      </c>
      <c r="Q5305" s="4">
        <v>140866</v>
      </c>
      <c r="R5305" s="4">
        <v>422598</v>
      </c>
      <c r="S5305" t="s">
        <v>21569</v>
      </c>
      <c r="T5305" s="6">
        <v>31594</v>
      </c>
      <c r="U5305" s="4">
        <v>115900</v>
      </c>
      <c r="X5305" t="s">
        <v>3</v>
      </c>
      <c r="AA5305" s="5" t="str">
        <f>HYPERLINK("https://www.zillow.com/homes/431-FORDHAM-PL-ROSELLE-IL-60172_rb/","check listing")</f>
        <v>check listing</v>
      </c>
      <c r="AB5305" s="5" t="str">
        <f>HYPERLINK("https://propertylookup.dupagecounty.gov/Datalets/Datalet.aspx?UseSearch=no&amp;mode=sales&amp;pin=0209116008","sales record")</f>
        <v>sales record</v>
      </c>
      <c r="AC5305" t="s">
        <v>3</v>
      </c>
      <c r="AD5305">
        <v>41.974771</v>
      </c>
      <c r="AE5305">
        <v>-88.101516</v>
      </c>
      <c r="AF5305" s="5" t="str">
        <f>HYPERLINK("https://www.google.com/maps/search/?api=1&amp;query=41.974771,-88.101516","map")</f>
        <v>map</v>
      </c>
    </row>
    <row r="5306" spans="1:32">
      <c r="A5306" t="s">
        <v>5356</v>
      </c>
      <c r="B5306" t="s">
        <v>12881</v>
      </c>
      <c r="C5306" t="s">
        <v>15830</v>
      </c>
      <c r="D5306" t="s">
        <v>16207</v>
      </c>
      <c r="E5306" t="s">
        <v>16218</v>
      </c>
      <c r="F5306" t="s">
        <v>16221</v>
      </c>
      <c r="G5306" t="s">
        <v>16241</v>
      </c>
      <c r="H5306" t="s">
        <v>16241</v>
      </c>
      <c r="I5306" t="s">
        <v>16355</v>
      </c>
      <c r="J5306" t="s">
        <v>16385</v>
      </c>
      <c r="K5306">
        <v>0.208</v>
      </c>
      <c r="L5306">
        <v>9077</v>
      </c>
      <c r="M5306">
        <v>594</v>
      </c>
      <c r="N5306" t="s">
        <v>16393</v>
      </c>
      <c r="O5306" s="4">
        <v>38692</v>
      </c>
      <c r="P5306" s="4">
        <v>81687</v>
      </c>
      <c r="Q5306" s="4">
        <v>120379</v>
      </c>
      <c r="R5306" s="4">
        <v>361137</v>
      </c>
      <c r="S5306" t="s">
        <v>21570</v>
      </c>
      <c r="T5306" s="6">
        <v>38930</v>
      </c>
      <c r="U5306" s="4">
        <v>297000</v>
      </c>
      <c r="V5306" t="s">
        <v>23739</v>
      </c>
      <c r="W5306" t="s">
        <v>21570</v>
      </c>
      <c r="X5306" t="s">
        <v>3</v>
      </c>
      <c r="AA5306" s="5" t="str">
        <f>HYPERLINK("https://www.zillow.com/homes/580-ROMFORD-CT-ROSELLE-IL-60172_rb/","check listing")</f>
        <v>check listing</v>
      </c>
      <c r="AB5306" s="5" t="str">
        <f>HYPERLINK("https://propertylookup.dupagecounty.gov/Datalets/Datalet.aspx?UseSearch=no&amp;mode=sales&amp;pin=0209101025","sales record")</f>
        <v>sales record</v>
      </c>
      <c r="AC5306" t="s">
        <v>3</v>
      </c>
      <c r="AD5306">
        <v>41.97206</v>
      </c>
      <c r="AE5306">
        <v>-88.10410299999999</v>
      </c>
      <c r="AF5306" s="5" t="str">
        <f>HYPERLINK("https://www.google.com/maps/search/?api=1&amp;query=41.97206,-88.104103","map")</f>
        <v>map</v>
      </c>
    </row>
    <row r="5307" spans="1:32">
      <c r="A5307" t="s">
        <v>5357</v>
      </c>
      <c r="B5307" t="s">
        <v>12882</v>
      </c>
      <c r="C5307" t="s">
        <v>15870</v>
      </c>
      <c r="D5307" t="s">
        <v>16207</v>
      </c>
      <c r="E5307" t="s">
        <v>16218</v>
      </c>
      <c r="F5307" t="s">
        <v>16221</v>
      </c>
      <c r="G5307" t="s">
        <v>16241</v>
      </c>
      <c r="H5307" t="s">
        <v>16241</v>
      </c>
      <c r="I5307" t="s">
        <v>16355</v>
      </c>
      <c r="J5307" t="s">
        <v>16385</v>
      </c>
      <c r="K5307">
        <v>0.208</v>
      </c>
      <c r="L5307">
        <v>9074</v>
      </c>
      <c r="M5307">
        <v>2144</v>
      </c>
      <c r="N5307" t="s">
        <v>16393</v>
      </c>
      <c r="O5307" s="4">
        <v>45278</v>
      </c>
      <c r="P5307" s="4">
        <v>116171</v>
      </c>
      <c r="Q5307" s="4">
        <v>161449</v>
      </c>
      <c r="R5307" s="4">
        <v>484347</v>
      </c>
      <c r="S5307" t="s">
        <v>21571</v>
      </c>
      <c r="T5307" s="6">
        <v>44440</v>
      </c>
      <c r="U5307" s="4">
        <v>435000</v>
      </c>
      <c r="V5307" t="s">
        <v>23739</v>
      </c>
      <c r="W5307" t="s">
        <v>26716</v>
      </c>
      <c r="X5307" t="s">
        <v>3</v>
      </c>
      <c r="AA5307" s="5" t="str">
        <f>HYPERLINK("https://www.zillow.com/homes/155-EXETER-CT-ROSELLE-IL-601721628_rb/","check listing")</f>
        <v>check listing</v>
      </c>
      <c r="AB5307" s="5" t="str">
        <f>HYPERLINK("https://propertylookup.dupagecounty.gov/Datalets/Datalet.aspx?UseSearch=no&amp;mode=sales&amp;pin=0205403018","sales record")</f>
        <v>sales record</v>
      </c>
      <c r="AC5307" t="s">
        <v>3</v>
      </c>
      <c r="AD5307">
        <v>41.979771</v>
      </c>
      <c r="AE5307">
        <v>-88.112307</v>
      </c>
      <c r="AF5307" s="5" t="str">
        <f>HYPERLINK("https://www.google.com/maps/search/?api=1&amp;query=41.979771,-88.112307","map")</f>
        <v>map</v>
      </c>
    </row>
    <row r="5308" spans="1:32">
      <c r="A5308" t="s">
        <v>5358</v>
      </c>
      <c r="B5308" t="s">
        <v>12883</v>
      </c>
      <c r="C5308" t="s">
        <v>15830</v>
      </c>
      <c r="D5308" t="s">
        <v>16207</v>
      </c>
      <c r="E5308" t="s">
        <v>16218</v>
      </c>
      <c r="F5308" t="s">
        <v>16221</v>
      </c>
      <c r="G5308" t="s">
        <v>16241</v>
      </c>
      <c r="H5308" t="s">
        <v>16241</v>
      </c>
      <c r="I5308" t="s">
        <v>16355</v>
      </c>
      <c r="J5308" t="s">
        <v>16385</v>
      </c>
      <c r="K5308">
        <v>0.208</v>
      </c>
      <c r="L5308">
        <v>9068</v>
      </c>
      <c r="M5308">
        <v>1847</v>
      </c>
      <c r="N5308" t="s">
        <v>16393</v>
      </c>
      <c r="O5308" s="4">
        <v>45278</v>
      </c>
      <c r="P5308" s="4">
        <v>93258</v>
      </c>
      <c r="Q5308" s="4">
        <v>138536</v>
      </c>
      <c r="R5308" s="4">
        <v>415608</v>
      </c>
      <c r="S5308" t="s">
        <v>21572</v>
      </c>
      <c r="T5308" s="6">
        <v>38534</v>
      </c>
      <c r="U5308" s="4">
        <v>379900</v>
      </c>
      <c r="V5308" t="s">
        <v>23739</v>
      </c>
      <c r="W5308" t="s">
        <v>26717</v>
      </c>
      <c r="X5308" t="s">
        <v>3</v>
      </c>
      <c r="AA5308" s="5" t="str">
        <f>HYPERLINK("https://www.zillow.com/homes/1311-BRISTOL-CT-ROSELLE-IL-60172_rb/","check listing")</f>
        <v>check listing</v>
      </c>
      <c r="AB5308" s="5" t="str">
        <f>HYPERLINK("https://propertylookup.dupagecounty.gov/Datalets/Datalet.aspx?UseSearch=no&amp;mode=sales&amp;pin=0205404007","sales record")</f>
        <v>sales record</v>
      </c>
      <c r="AC5308" t="s">
        <v>3</v>
      </c>
      <c r="AD5308">
        <v>41.979325</v>
      </c>
      <c r="AE5308">
        <v>-88.11391500000001</v>
      </c>
      <c r="AF5308" s="5" t="str">
        <f>HYPERLINK("https://www.google.com/maps/search/?api=1&amp;query=41.979325,-88.113915","map")</f>
        <v>map</v>
      </c>
    </row>
    <row r="5309" spans="1:32">
      <c r="A5309" t="s">
        <v>5359</v>
      </c>
      <c r="B5309" t="s">
        <v>12884</v>
      </c>
      <c r="C5309" t="s">
        <v>15871</v>
      </c>
      <c r="D5309" t="s">
        <v>16207</v>
      </c>
      <c r="E5309" t="s">
        <v>16218</v>
      </c>
      <c r="F5309" t="s">
        <v>16221</v>
      </c>
      <c r="G5309" t="s">
        <v>16241</v>
      </c>
      <c r="H5309" t="s">
        <v>16241</v>
      </c>
      <c r="I5309" t="s">
        <v>16355</v>
      </c>
      <c r="J5309" t="s">
        <v>16385</v>
      </c>
      <c r="K5309">
        <v>0.208</v>
      </c>
      <c r="L5309">
        <v>9068</v>
      </c>
      <c r="M5309">
        <v>1925</v>
      </c>
      <c r="N5309" t="s">
        <v>16393</v>
      </c>
      <c r="O5309" s="4">
        <v>45278</v>
      </c>
      <c r="P5309" s="4">
        <v>98230</v>
      </c>
      <c r="Q5309" s="4">
        <v>143508</v>
      </c>
      <c r="R5309" s="4">
        <v>430524</v>
      </c>
      <c r="S5309" t="s">
        <v>21573</v>
      </c>
      <c r="T5309" s="6">
        <v>34274</v>
      </c>
      <c r="U5309" s="4">
        <v>162000</v>
      </c>
      <c r="X5309" t="s">
        <v>3</v>
      </c>
      <c r="AA5309" s="5" t="str">
        <f>HYPERLINK("https://www.zillow.com/homes/340-BRIGHTON-BAY-ROSELLE-IL-601721609_rb/","check listing")</f>
        <v>check listing</v>
      </c>
      <c r="AB5309" s="5" t="str">
        <f>HYPERLINK("https://propertylookup.dupagecounty.gov/Datalets/Datalet.aspx?UseSearch=no&amp;mode=sales&amp;pin=0205401028","sales record")</f>
        <v>sales record</v>
      </c>
      <c r="AC5309" t="s">
        <v>3</v>
      </c>
      <c r="AD5309">
        <v>41.976449</v>
      </c>
      <c r="AE5309">
        <v>-88.115021</v>
      </c>
      <c r="AF5309" s="5" t="str">
        <f>HYPERLINK("https://www.google.com/maps/search/?api=1&amp;query=41.976449,-88.115021","map")</f>
        <v>map</v>
      </c>
    </row>
    <row r="5310" spans="1:32">
      <c r="A5310" t="s">
        <v>5360</v>
      </c>
      <c r="B5310" t="s">
        <v>12885</v>
      </c>
      <c r="C5310" t="s">
        <v>15830</v>
      </c>
      <c r="D5310" t="s">
        <v>16207</v>
      </c>
      <c r="E5310" t="s">
        <v>16218</v>
      </c>
      <c r="F5310" t="s">
        <v>16221</v>
      </c>
      <c r="G5310" t="s">
        <v>16241</v>
      </c>
      <c r="H5310" t="s">
        <v>16241</v>
      </c>
      <c r="I5310" t="s">
        <v>16355</v>
      </c>
      <c r="J5310" t="s">
        <v>16385</v>
      </c>
      <c r="K5310">
        <v>0.208</v>
      </c>
      <c r="L5310">
        <v>9057</v>
      </c>
      <c r="M5310">
        <v>2969</v>
      </c>
      <c r="N5310" t="s">
        <v>16393</v>
      </c>
      <c r="O5310" s="4">
        <v>54793</v>
      </c>
      <c r="P5310" s="4">
        <v>190830</v>
      </c>
      <c r="Q5310" s="4">
        <v>245623</v>
      </c>
      <c r="R5310" s="4">
        <v>736869</v>
      </c>
      <c r="S5310" t="s">
        <v>21574</v>
      </c>
      <c r="T5310" s="6">
        <v>38930</v>
      </c>
      <c r="U5310" s="4">
        <v>657000</v>
      </c>
      <c r="V5310" t="s">
        <v>23739</v>
      </c>
      <c r="W5310" t="s">
        <v>21574</v>
      </c>
      <c r="X5310" t="s">
        <v>3</v>
      </c>
      <c r="AA5310" s="5" t="str">
        <f>HYPERLINK("https://www.zillow.com/homes/1250-FLAMINGO-DR-ROSELLE-IL-60172_rb/","check listing")</f>
        <v>check listing</v>
      </c>
      <c r="AB5310" s="5" t="str">
        <f>HYPERLINK("https://propertylookup.dupagecounty.gov/Datalets/Datalet.aspx?UseSearch=no&amp;mode=sales&amp;pin=0205231009","sales record")</f>
        <v>sales record</v>
      </c>
      <c r="AC5310" t="s">
        <v>3</v>
      </c>
      <c r="AD5310">
        <v>41.984294</v>
      </c>
      <c r="AE5310">
        <v>-88.11170300000001</v>
      </c>
      <c r="AF5310" s="5" t="str">
        <f>HYPERLINK("https://www.google.com/maps/search/?api=1&amp;query=41.984294,-88.111703","map")</f>
        <v>map</v>
      </c>
    </row>
    <row r="5311" spans="1:32">
      <c r="A5311" t="s">
        <v>5361</v>
      </c>
      <c r="B5311" t="s">
        <v>12886</v>
      </c>
      <c r="C5311" t="s">
        <v>15830</v>
      </c>
      <c r="D5311" t="s">
        <v>16207</v>
      </c>
      <c r="E5311" t="s">
        <v>16218</v>
      </c>
      <c r="F5311" t="s">
        <v>16221</v>
      </c>
      <c r="G5311" t="s">
        <v>16241</v>
      </c>
      <c r="H5311" t="s">
        <v>16241</v>
      </c>
      <c r="I5311" t="s">
        <v>16355</v>
      </c>
      <c r="J5311" t="s">
        <v>16385</v>
      </c>
      <c r="K5311">
        <v>0.207</v>
      </c>
      <c r="L5311">
        <v>9037</v>
      </c>
      <c r="M5311">
        <v>2074</v>
      </c>
      <c r="N5311" t="s">
        <v>16393</v>
      </c>
      <c r="O5311" s="4">
        <v>45278</v>
      </c>
      <c r="P5311" s="4">
        <v>72173</v>
      </c>
      <c r="Q5311" s="4">
        <v>117451</v>
      </c>
      <c r="R5311" s="4">
        <v>352353</v>
      </c>
      <c r="S5311" t="s">
        <v>21575</v>
      </c>
      <c r="X5311" t="s">
        <v>3</v>
      </c>
      <c r="AA5311" s="5" t="str">
        <f>HYPERLINK("https://www.zillow.com/homes/655-EDENWOOD-DR-ROSELLE-IL-60172_rb/","check listing")</f>
        <v>check listing</v>
      </c>
      <c r="AB5311" s="5" t="str">
        <f>HYPERLINK("https://propertylookup.dupagecounty.gov/Datalets/Datalet.aspx?UseSearch=no&amp;mode=sales&amp;pin=0209206030","sales record")</f>
        <v>sales record</v>
      </c>
      <c r="AC5311" t="s">
        <v>3</v>
      </c>
      <c r="AD5311">
        <v>41.972175</v>
      </c>
      <c r="AE5311">
        <v>-88.096957</v>
      </c>
      <c r="AF5311" s="5" t="str">
        <f>HYPERLINK("https://www.google.com/maps/search/?api=1&amp;query=41.972175,-88.096957","map")</f>
        <v>map</v>
      </c>
    </row>
    <row r="5312" spans="1:32">
      <c r="A5312" t="s">
        <v>5362</v>
      </c>
      <c r="B5312" t="s">
        <v>12887</v>
      </c>
      <c r="C5312" t="s">
        <v>15859</v>
      </c>
      <c r="D5312" t="s">
        <v>16207</v>
      </c>
      <c r="E5312" t="s">
        <v>16218</v>
      </c>
      <c r="F5312" t="s">
        <v>16221</v>
      </c>
      <c r="G5312" t="s">
        <v>16241</v>
      </c>
      <c r="H5312" t="s">
        <v>16241</v>
      </c>
      <c r="I5312" t="s">
        <v>16355</v>
      </c>
      <c r="J5312" t="s">
        <v>16385</v>
      </c>
      <c r="K5312">
        <v>0.207</v>
      </c>
      <c r="L5312">
        <v>9027</v>
      </c>
      <c r="M5312">
        <v>3217</v>
      </c>
      <c r="N5312" t="s">
        <v>16393</v>
      </c>
      <c r="O5312" s="4">
        <v>54793</v>
      </c>
      <c r="P5312" s="4">
        <v>179141</v>
      </c>
      <c r="Q5312" s="4">
        <v>233934</v>
      </c>
      <c r="R5312" s="4">
        <v>701802</v>
      </c>
      <c r="S5312" t="s">
        <v>21576</v>
      </c>
      <c r="T5312" s="6">
        <v>44378</v>
      </c>
      <c r="U5312" s="4">
        <v>570000</v>
      </c>
      <c r="V5312" t="s">
        <v>23739</v>
      </c>
      <c r="W5312" t="s">
        <v>26718</v>
      </c>
      <c r="X5312" t="s">
        <v>3</v>
      </c>
      <c r="AA5312" s="5" t="str">
        <f>HYPERLINK("https://www.zillow.com/homes/5-CLAIR-CT-ROSELLE-IL-601724517_rb/","check listing")</f>
        <v>check listing</v>
      </c>
      <c r="AB5312" s="5" t="str">
        <f>HYPERLINK("https://propertylookup.dupagecounty.gov/Datalets/Datalet.aspx?UseSearch=no&amp;mode=sales&amp;pin=0205232012","sales record")</f>
        <v>sales record</v>
      </c>
      <c r="AC5312" t="s">
        <v>3</v>
      </c>
      <c r="AD5312">
        <v>41.982894</v>
      </c>
      <c r="AE5312">
        <v>-88.110837</v>
      </c>
      <c r="AF5312" s="5" t="str">
        <f>HYPERLINK("https://www.google.com/maps/search/?api=1&amp;query=41.982894,-88.110837","map")</f>
        <v>map</v>
      </c>
    </row>
    <row r="5313" spans="1:32">
      <c r="A5313" t="s">
        <v>5363</v>
      </c>
      <c r="B5313" t="s">
        <v>12888</v>
      </c>
      <c r="C5313" t="s">
        <v>15830</v>
      </c>
      <c r="D5313" t="s">
        <v>16207</v>
      </c>
      <c r="E5313" t="s">
        <v>16218</v>
      </c>
      <c r="F5313" t="s">
        <v>16221</v>
      </c>
      <c r="G5313" t="s">
        <v>16241</v>
      </c>
      <c r="H5313" t="s">
        <v>16241</v>
      </c>
      <c r="I5313" t="s">
        <v>16355</v>
      </c>
      <c r="J5313" t="s">
        <v>16385</v>
      </c>
      <c r="K5313">
        <v>0.207</v>
      </c>
      <c r="L5313">
        <v>9017</v>
      </c>
      <c r="M5313">
        <v>1978</v>
      </c>
      <c r="N5313" t="s">
        <v>16393</v>
      </c>
      <c r="O5313" s="4">
        <v>38692</v>
      </c>
      <c r="P5313" s="4">
        <v>97800</v>
      </c>
      <c r="Q5313" s="4">
        <v>136492</v>
      </c>
      <c r="R5313" s="4">
        <v>409476</v>
      </c>
      <c r="S5313" t="s">
        <v>21577</v>
      </c>
      <c r="T5313" s="6">
        <v>31594</v>
      </c>
      <c r="U5313" s="4">
        <v>88500</v>
      </c>
      <c r="X5313" t="s">
        <v>3</v>
      </c>
      <c r="AA5313" s="5" t="str">
        <f>HYPERLINK("https://www.zillow.com/homes/715-BERWICK-PL-ROSELLE-IL-60172_rb/","check listing")</f>
        <v>check listing</v>
      </c>
      <c r="AB5313" s="5" t="str">
        <f>HYPERLINK("https://propertylookup.dupagecounty.gov/Datalets/Datalet.aspx?UseSearch=no&amp;mode=sales&amp;pin=0209123012","sales record")</f>
        <v>sales record</v>
      </c>
      <c r="AC5313" t="s">
        <v>3</v>
      </c>
      <c r="AD5313">
        <v>41.970234</v>
      </c>
      <c r="AE5313">
        <v>-88.10959200000001</v>
      </c>
      <c r="AF5313" s="5" t="str">
        <f>HYPERLINK("https://www.google.com/maps/search/?api=1&amp;query=41.970234,-88.109592","map")</f>
        <v>map</v>
      </c>
    </row>
    <row r="5314" spans="1:32">
      <c r="A5314" t="s">
        <v>5364</v>
      </c>
      <c r="B5314" t="s">
        <v>12889</v>
      </c>
      <c r="C5314" t="s">
        <v>15830</v>
      </c>
      <c r="D5314" t="s">
        <v>16207</v>
      </c>
      <c r="E5314" t="s">
        <v>16218</v>
      </c>
      <c r="F5314" t="s">
        <v>16221</v>
      </c>
      <c r="G5314" t="s">
        <v>16241</v>
      </c>
      <c r="H5314" t="s">
        <v>16241</v>
      </c>
      <c r="I5314" t="s">
        <v>16355</v>
      </c>
      <c r="J5314" t="s">
        <v>16385</v>
      </c>
      <c r="K5314">
        <v>0.207</v>
      </c>
      <c r="L5314">
        <v>9014</v>
      </c>
      <c r="M5314">
        <v>1781</v>
      </c>
      <c r="N5314" t="s">
        <v>16393</v>
      </c>
      <c r="O5314" s="4">
        <v>45278</v>
      </c>
      <c r="P5314" s="4">
        <v>107876</v>
      </c>
      <c r="Q5314" s="4">
        <v>153154</v>
      </c>
      <c r="R5314" s="4">
        <v>459462</v>
      </c>
      <c r="S5314" t="s">
        <v>21578</v>
      </c>
      <c r="T5314" s="6">
        <v>34090</v>
      </c>
      <c r="U5314" s="4">
        <v>167000</v>
      </c>
      <c r="X5314" t="s">
        <v>3</v>
      </c>
      <c r="AA5314" s="5" t="str">
        <f>HYPERLINK("https://www.zillow.com/homes/330-BRIGHTON-BAY-ROSELLE-IL-60172_rb/","check listing")</f>
        <v>check listing</v>
      </c>
      <c r="AB5314" s="5" t="str">
        <f>HYPERLINK("https://propertylookup.dupagecounty.gov/Datalets/Datalet.aspx?UseSearch=no&amp;mode=sales&amp;pin=0205401027","sales record")</f>
        <v>sales record</v>
      </c>
      <c r="AC5314" t="s">
        <v>3</v>
      </c>
      <c r="AD5314">
        <v>41.976563</v>
      </c>
      <c r="AE5314">
        <v>-88.115161</v>
      </c>
      <c r="AF5314" s="5" t="str">
        <f>HYPERLINK("https://www.google.com/maps/search/?api=1&amp;query=41.976563,-88.115161","map")</f>
        <v>map</v>
      </c>
    </row>
    <row r="5315" spans="1:32">
      <c r="A5315" t="s">
        <v>5365</v>
      </c>
      <c r="B5315" t="s">
        <v>12890</v>
      </c>
      <c r="C5315" t="s">
        <v>15836</v>
      </c>
      <c r="D5315" t="s">
        <v>16207</v>
      </c>
      <c r="E5315" t="s">
        <v>16218</v>
      </c>
      <c r="F5315" t="s">
        <v>16221</v>
      </c>
      <c r="G5315" t="s">
        <v>16241</v>
      </c>
      <c r="H5315" t="s">
        <v>16241</v>
      </c>
      <c r="I5315" t="s">
        <v>16355</v>
      </c>
      <c r="J5315" t="s">
        <v>16385</v>
      </c>
      <c r="K5315">
        <v>0.207</v>
      </c>
      <c r="L5315">
        <v>9009</v>
      </c>
      <c r="M5315">
        <v>2792</v>
      </c>
      <c r="N5315" t="s">
        <v>16393</v>
      </c>
      <c r="O5315" s="4">
        <v>54793</v>
      </c>
      <c r="P5315" s="4">
        <v>176367</v>
      </c>
      <c r="Q5315" s="4">
        <v>231160</v>
      </c>
      <c r="R5315" s="4">
        <v>693480</v>
      </c>
      <c r="S5315" t="s">
        <v>21579</v>
      </c>
      <c r="T5315" s="6">
        <v>42522</v>
      </c>
      <c r="U5315" s="4">
        <v>500000</v>
      </c>
      <c r="V5315" t="s">
        <v>23739</v>
      </c>
      <c r="W5315" t="s">
        <v>26719</v>
      </c>
      <c r="X5315" t="s">
        <v>3</v>
      </c>
      <c r="AA5315" s="5" t="str">
        <f>HYPERLINK("https://www.zillow.com/homes/17-N-ANDOVER-DR-ROSELLE-IL-601724518_rb/","check listing")</f>
        <v>check listing</v>
      </c>
      <c r="AB5315" s="5" t="str">
        <f>HYPERLINK("https://propertylookup.dupagecounty.gov/Datalets/Datalet.aspx?UseSearch=no&amp;mode=sales&amp;pin=0205232007","sales record")</f>
        <v>sales record</v>
      </c>
      <c r="AC5315" t="s">
        <v>3</v>
      </c>
      <c r="AD5315">
        <v>41.983028</v>
      </c>
      <c r="AE5315">
        <v>-88.11207</v>
      </c>
      <c r="AF5315" s="5" t="str">
        <f>HYPERLINK("https://www.google.com/maps/search/?api=1&amp;query=41.983028,-88.11207","map")</f>
        <v>map</v>
      </c>
    </row>
    <row r="5316" spans="1:32">
      <c r="A5316" t="s">
        <v>5366</v>
      </c>
      <c r="B5316" t="s">
        <v>12891</v>
      </c>
      <c r="C5316" t="s">
        <v>15859</v>
      </c>
      <c r="D5316" t="s">
        <v>16207</v>
      </c>
      <c r="E5316" t="s">
        <v>16218</v>
      </c>
      <c r="F5316" t="s">
        <v>16221</v>
      </c>
      <c r="G5316" t="s">
        <v>16241</v>
      </c>
      <c r="H5316" t="s">
        <v>16241</v>
      </c>
      <c r="I5316" t="s">
        <v>16355</v>
      </c>
      <c r="J5316" t="s">
        <v>16385</v>
      </c>
      <c r="K5316">
        <v>0.207</v>
      </c>
      <c r="L5316">
        <v>9000</v>
      </c>
      <c r="M5316">
        <v>2711</v>
      </c>
      <c r="N5316" t="s">
        <v>16393</v>
      </c>
      <c r="O5316" s="4">
        <v>54793</v>
      </c>
      <c r="P5316" s="4">
        <v>189791</v>
      </c>
      <c r="Q5316" s="4">
        <v>244584</v>
      </c>
      <c r="R5316" s="4">
        <v>733752</v>
      </c>
      <c r="S5316" t="s">
        <v>21580</v>
      </c>
      <c r="T5316" s="6">
        <v>43556</v>
      </c>
      <c r="U5316" s="4">
        <v>560000</v>
      </c>
      <c r="V5316" t="s">
        <v>23739</v>
      </c>
      <c r="W5316" t="s">
        <v>26720</v>
      </c>
      <c r="X5316" t="s">
        <v>3</v>
      </c>
      <c r="AA5316" s="5" t="str">
        <f>HYPERLINK("https://www.zillow.com/homes/25-CLAIR-CT-ROSELLE-IL-601724517_rb/","check listing")</f>
        <v>check listing</v>
      </c>
      <c r="AB5316" s="5" t="str">
        <f>HYPERLINK("https://propertylookup.dupagecounty.gov/Datalets/Datalet.aspx?UseSearch=no&amp;mode=sales&amp;pin=0205232014","sales record")</f>
        <v>sales record</v>
      </c>
      <c r="AC5316" t="s">
        <v>3</v>
      </c>
      <c r="AD5316">
        <v>41.983319</v>
      </c>
      <c r="AE5316">
        <v>-88.11082399999999</v>
      </c>
      <c r="AF5316" s="5" t="str">
        <f>HYPERLINK("https://www.google.com/maps/search/?api=1&amp;query=41.983319,-88.110824","map")</f>
        <v>map</v>
      </c>
    </row>
    <row r="5317" spans="1:32">
      <c r="A5317" t="s">
        <v>5367</v>
      </c>
      <c r="B5317" t="s">
        <v>12892</v>
      </c>
      <c r="C5317" t="s">
        <v>15830</v>
      </c>
      <c r="D5317" t="s">
        <v>16207</v>
      </c>
      <c r="E5317" t="s">
        <v>16218</v>
      </c>
      <c r="F5317" t="s">
        <v>16221</v>
      </c>
      <c r="G5317" t="s">
        <v>16241</v>
      </c>
      <c r="H5317" t="s">
        <v>16241</v>
      </c>
      <c r="I5317" t="s">
        <v>16355</v>
      </c>
      <c r="J5317" t="s">
        <v>16385</v>
      </c>
      <c r="K5317">
        <v>0.207</v>
      </c>
      <c r="L5317">
        <v>9000</v>
      </c>
      <c r="M5317">
        <v>3212</v>
      </c>
      <c r="N5317" t="s">
        <v>16393</v>
      </c>
      <c r="O5317" s="4">
        <v>54793</v>
      </c>
      <c r="P5317" s="4">
        <v>195194</v>
      </c>
      <c r="Q5317" s="4">
        <v>249987</v>
      </c>
      <c r="R5317" s="4">
        <v>749961</v>
      </c>
      <c r="S5317" t="s">
        <v>21581</v>
      </c>
      <c r="T5317" s="6">
        <v>40634</v>
      </c>
      <c r="U5317" s="4">
        <v>465000</v>
      </c>
      <c r="V5317" t="s">
        <v>23739</v>
      </c>
      <c r="W5317" t="s">
        <v>26721</v>
      </c>
      <c r="X5317" t="s">
        <v>3</v>
      </c>
      <c r="AA5317" s="5" t="str">
        <f>HYPERLINK("https://www.zillow.com/homes/30-CLAIR-CT-ROSELLE-IL-60172_rb/","check listing")</f>
        <v>check listing</v>
      </c>
      <c r="AB5317" s="5" t="str">
        <f>HYPERLINK("https://propertylookup.dupagecounty.gov/Datalets/Datalet.aspx?UseSearch=no&amp;mode=sales&amp;pin=0205232006","sales record")</f>
        <v>sales record</v>
      </c>
      <c r="AC5317" t="s">
        <v>3</v>
      </c>
      <c r="AD5317">
        <v>41.983269</v>
      </c>
      <c r="AE5317">
        <v>-88.11148799999999</v>
      </c>
      <c r="AF5317" s="5" t="str">
        <f>HYPERLINK("https://www.google.com/maps/search/?api=1&amp;query=41.983269,-88.111488","map")</f>
        <v>map</v>
      </c>
    </row>
    <row r="5318" spans="1:32">
      <c r="A5318" t="s">
        <v>5368</v>
      </c>
      <c r="B5318" t="s">
        <v>12893</v>
      </c>
      <c r="C5318" t="s">
        <v>15830</v>
      </c>
      <c r="D5318" t="s">
        <v>16207</v>
      </c>
      <c r="E5318" t="s">
        <v>16218</v>
      </c>
      <c r="F5318" t="s">
        <v>16221</v>
      </c>
      <c r="G5318" t="s">
        <v>16241</v>
      </c>
      <c r="H5318" t="s">
        <v>16241</v>
      </c>
      <c r="I5318" t="s">
        <v>16355</v>
      </c>
      <c r="J5318" t="s">
        <v>16385</v>
      </c>
      <c r="K5318">
        <v>0.207</v>
      </c>
      <c r="L5318">
        <v>9000</v>
      </c>
      <c r="M5318">
        <v>2968</v>
      </c>
      <c r="N5318" t="s">
        <v>16393</v>
      </c>
      <c r="O5318" s="4">
        <v>54793</v>
      </c>
      <c r="P5318" s="4">
        <v>202281</v>
      </c>
      <c r="Q5318" s="4">
        <v>257074</v>
      </c>
      <c r="R5318" s="4">
        <v>771222</v>
      </c>
      <c r="S5318" t="s">
        <v>21582</v>
      </c>
      <c r="T5318" s="6">
        <v>42552</v>
      </c>
      <c r="U5318" s="4">
        <v>553000</v>
      </c>
      <c r="V5318" t="s">
        <v>23739</v>
      </c>
      <c r="W5318" t="s">
        <v>26722</v>
      </c>
      <c r="X5318" t="s">
        <v>3</v>
      </c>
      <c r="AA5318" s="5" t="str">
        <f>HYPERLINK("https://www.zillow.com/homes/15-CLAIR-CT-ROSELLE-IL-60172_rb/","check listing")</f>
        <v>check listing</v>
      </c>
      <c r="AB5318" s="5" t="str">
        <f>HYPERLINK("https://propertylookup.dupagecounty.gov/Datalets/Datalet.aspx?UseSearch=no&amp;mode=sales&amp;pin=0205232013","sales record")</f>
        <v>sales record</v>
      </c>
      <c r="AC5318" t="s">
        <v>3</v>
      </c>
      <c r="AD5318">
        <v>41.983113</v>
      </c>
      <c r="AE5318">
        <v>-88.11083000000001</v>
      </c>
      <c r="AF5318" s="5" t="str">
        <f>HYPERLINK("https://www.google.com/maps/search/?api=1&amp;query=41.983113,-88.11083","map")</f>
        <v>map</v>
      </c>
    </row>
    <row r="5319" spans="1:32">
      <c r="A5319" t="s">
        <v>5369</v>
      </c>
      <c r="B5319" t="s">
        <v>12894</v>
      </c>
      <c r="C5319" t="s">
        <v>15840</v>
      </c>
      <c r="D5319" t="s">
        <v>16207</v>
      </c>
      <c r="E5319" t="s">
        <v>16218</v>
      </c>
      <c r="F5319" t="s">
        <v>16221</v>
      </c>
      <c r="G5319" t="s">
        <v>16241</v>
      </c>
      <c r="H5319" t="s">
        <v>16241</v>
      </c>
      <c r="I5319" t="s">
        <v>16355</v>
      </c>
      <c r="J5319" t="s">
        <v>16385</v>
      </c>
      <c r="K5319">
        <v>0.207</v>
      </c>
      <c r="L5319">
        <v>8998</v>
      </c>
      <c r="M5319">
        <v>2539</v>
      </c>
      <c r="N5319" t="s">
        <v>16393</v>
      </c>
      <c r="O5319" s="4">
        <v>54793</v>
      </c>
      <c r="P5319" s="4">
        <v>167860</v>
      </c>
      <c r="Q5319" s="4">
        <v>222653</v>
      </c>
      <c r="R5319" s="4">
        <v>667959</v>
      </c>
      <c r="S5319" t="s">
        <v>21583</v>
      </c>
      <c r="T5319" s="6">
        <v>42675</v>
      </c>
      <c r="U5319" s="4">
        <v>500000</v>
      </c>
      <c r="V5319" t="s">
        <v>23739</v>
      </c>
      <c r="W5319" t="s">
        <v>26723</v>
      </c>
      <c r="X5319" t="s">
        <v>3</v>
      </c>
      <c r="AA5319" s="5" t="str">
        <f>HYPERLINK("https://www.zillow.com/homes/1260-W-FLAMINGO-DR-ROSELLE-IL-601724799_rb/","check listing")</f>
        <v>check listing</v>
      </c>
      <c r="AB5319" s="5" t="str">
        <f>HYPERLINK("https://propertylookup.dupagecounty.gov/Datalets/Datalet.aspx?UseSearch=no&amp;mode=sales&amp;pin=0205231008","sales record")</f>
        <v>sales record</v>
      </c>
      <c r="AC5319" t="s">
        <v>3</v>
      </c>
      <c r="AD5319">
        <v>41.984288</v>
      </c>
      <c r="AE5319">
        <v>-88.11197900000001</v>
      </c>
      <c r="AF5319" s="5" t="str">
        <f>HYPERLINK("https://www.google.com/maps/search/?api=1&amp;query=41.984288,-88.111979","map")</f>
        <v>map</v>
      </c>
    </row>
    <row r="5320" spans="1:32">
      <c r="A5320" t="s">
        <v>5370</v>
      </c>
      <c r="B5320" t="s">
        <v>12895</v>
      </c>
      <c r="C5320" t="s">
        <v>15830</v>
      </c>
      <c r="D5320" t="s">
        <v>16207</v>
      </c>
      <c r="E5320" t="s">
        <v>16218</v>
      </c>
      <c r="F5320" t="s">
        <v>16221</v>
      </c>
      <c r="G5320" t="s">
        <v>16241</v>
      </c>
      <c r="H5320" t="s">
        <v>16241</v>
      </c>
      <c r="I5320" t="s">
        <v>16355</v>
      </c>
      <c r="J5320" t="s">
        <v>16385</v>
      </c>
      <c r="K5320">
        <v>0.207</v>
      </c>
      <c r="L5320">
        <v>8998</v>
      </c>
      <c r="M5320">
        <v>3001</v>
      </c>
      <c r="N5320" t="s">
        <v>16393</v>
      </c>
      <c r="O5320" s="4">
        <v>54793</v>
      </c>
      <c r="P5320" s="4">
        <v>201647</v>
      </c>
      <c r="Q5320" s="4">
        <v>256440</v>
      </c>
      <c r="R5320" s="4">
        <v>769320</v>
      </c>
      <c r="S5320" t="s">
        <v>21584</v>
      </c>
      <c r="T5320" s="6">
        <v>38292</v>
      </c>
      <c r="U5320" s="4">
        <v>631795</v>
      </c>
      <c r="V5320" t="s">
        <v>23739</v>
      </c>
      <c r="W5320" t="s">
        <v>26724</v>
      </c>
      <c r="X5320" t="s">
        <v>3</v>
      </c>
      <c r="AA5320" s="5" t="str">
        <f>HYPERLINK("https://www.zillow.com/homes/40-CLAIR-CT-ROSELLE-IL-60172_rb/","check listing")</f>
        <v>check listing</v>
      </c>
      <c r="AB5320" s="5" t="str">
        <f>HYPERLINK("https://propertylookup.dupagecounty.gov/Datalets/Datalet.aspx?UseSearch=no&amp;mode=sales&amp;pin=0205232004","sales record")</f>
        <v>sales record</v>
      </c>
      <c r="AC5320" t="s">
        <v>3</v>
      </c>
      <c r="AD5320">
        <v>41.983493</v>
      </c>
      <c r="AE5320">
        <v>-88.111482</v>
      </c>
      <c r="AF5320" s="5" t="str">
        <f>HYPERLINK("https://www.google.com/maps/search/?api=1&amp;query=41.983493,-88.111482","map")</f>
        <v>map</v>
      </c>
    </row>
    <row r="5321" spans="1:32">
      <c r="A5321" t="s">
        <v>5371</v>
      </c>
      <c r="B5321" t="s">
        <v>12896</v>
      </c>
      <c r="C5321" t="s">
        <v>15836</v>
      </c>
      <c r="D5321" t="s">
        <v>16207</v>
      </c>
      <c r="E5321" t="s">
        <v>16218</v>
      </c>
      <c r="F5321" t="s">
        <v>16221</v>
      </c>
      <c r="G5321" t="s">
        <v>16241</v>
      </c>
      <c r="H5321" t="s">
        <v>16241</v>
      </c>
      <c r="I5321" t="s">
        <v>16355</v>
      </c>
      <c r="J5321" t="s">
        <v>16385</v>
      </c>
      <c r="K5321">
        <v>0.206</v>
      </c>
      <c r="L5321">
        <v>8989</v>
      </c>
      <c r="M5321">
        <v>3167</v>
      </c>
      <c r="N5321" t="s">
        <v>16393</v>
      </c>
      <c r="O5321" s="4">
        <v>54793</v>
      </c>
      <c r="P5321" s="4">
        <v>208102</v>
      </c>
      <c r="Q5321" s="4">
        <v>262895</v>
      </c>
      <c r="R5321" s="4">
        <v>788685</v>
      </c>
      <c r="S5321" t="s">
        <v>21585</v>
      </c>
      <c r="T5321" s="6">
        <v>39264</v>
      </c>
      <c r="U5321" s="4">
        <v>625000</v>
      </c>
      <c r="V5321" t="s">
        <v>23739</v>
      </c>
      <c r="W5321" t="s">
        <v>26725</v>
      </c>
      <c r="X5321" t="s">
        <v>3</v>
      </c>
      <c r="AA5321" s="5" t="str">
        <f>HYPERLINK("https://www.zillow.com/homes/24-N-ANDOVER-DR-ROSELLE-IL-601724518_rb/","check listing")</f>
        <v>check listing</v>
      </c>
      <c r="AB5321" s="5" t="str">
        <f>HYPERLINK("https://propertylookup.dupagecounty.gov/Datalets/Datalet.aspx?UseSearch=no&amp;mode=sales&amp;pin=0205231002","sales record")</f>
        <v>sales record</v>
      </c>
      <c r="AC5321" t="s">
        <v>3</v>
      </c>
      <c r="AD5321">
        <v>41.983384</v>
      </c>
      <c r="AE5321">
        <v>-88.112588</v>
      </c>
      <c r="AF5321" s="5" t="str">
        <f>HYPERLINK("https://www.google.com/maps/search/?api=1&amp;query=41.983384,-88.112588","map")</f>
        <v>map</v>
      </c>
    </row>
    <row r="5322" spans="1:32">
      <c r="A5322" t="s">
        <v>5372</v>
      </c>
      <c r="B5322" t="s">
        <v>12897</v>
      </c>
      <c r="C5322" t="s">
        <v>15872</v>
      </c>
      <c r="D5322" t="s">
        <v>16207</v>
      </c>
      <c r="E5322" t="s">
        <v>16218</v>
      </c>
      <c r="F5322" t="s">
        <v>16221</v>
      </c>
      <c r="G5322" t="s">
        <v>16241</v>
      </c>
      <c r="H5322" t="s">
        <v>16241</v>
      </c>
      <c r="I5322" t="s">
        <v>16355</v>
      </c>
      <c r="J5322" t="s">
        <v>16385</v>
      </c>
      <c r="K5322">
        <v>0.206</v>
      </c>
      <c r="L5322">
        <v>8987</v>
      </c>
      <c r="M5322">
        <v>2308</v>
      </c>
      <c r="N5322" t="s">
        <v>16393</v>
      </c>
      <c r="O5322" s="4">
        <v>45278</v>
      </c>
      <c r="P5322" s="4">
        <v>115945</v>
      </c>
      <c r="Q5322" s="4">
        <v>161223</v>
      </c>
      <c r="R5322" s="4">
        <v>483669</v>
      </c>
      <c r="S5322" t="s">
        <v>21586</v>
      </c>
      <c r="X5322" t="s">
        <v>3</v>
      </c>
      <c r="AA5322" s="5" t="str">
        <f>HYPERLINK("https://www.zillow.com/homes/100-ANDOVER-DR-ROSELLE-IL-601721666_rb/","check listing")</f>
        <v>check listing</v>
      </c>
      <c r="AB5322" s="5" t="str">
        <f>HYPERLINK("https://propertylookup.dupagecounty.gov/Datalets/Datalet.aspx?UseSearch=no&amp;mode=sales&amp;pin=0205402016","sales record")</f>
        <v>sales record</v>
      </c>
      <c r="AC5322" t="s">
        <v>3</v>
      </c>
      <c r="AD5322">
        <v>41.980769</v>
      </c>
      <c r="AE5322">
        <v>-88.112818</v>
      </c>
      <c r="AF5322" s="5" t="str">
        <f>HYPERLINK("https://www.google.com/maps/search/?api=1&amp;query=41.980769,-88.112818","map")</f>
        <v>map</v>
      </c>
    </row>
    <row r="5323" spans="1:32">
      <c r="A5323" t="s">
        <v>5373</v>
      </c>
      <c r="B5323" t="s">
        <v>12898</v>
      </c>
      <c r="C5323" t="s">
        <v>15830</v>
      </c>
      <c r="D5323" t="s">
        <v>16207</v>
      </c>
      <c r="E5323" t="s">
        <v>16218</v>
      </c>
      <c r="F5323" t="s">
        <v>16221</v>
      </c>
      <c r="G5323" t="s">
        <v>16241</v>
      </c>
      <c r="H5323" t="s">
        <v>16241</v>
      </c>
      <c r="I5323" t="s">
        <v>16355</v>
      </c>
      <c r="J5323" t="s">
        <v>16385</v>
      </c>
      <c r="K5323">
        <v>0.206</v>
      </c>
      <c r="L5323">
        <v>8987</v>
      </c>
      <c r="M5323">
        <v>2968</v>
      </c>
      <c r="N5323" t="s">
        <v>16393</v>
      </c>
      <c r="O5323" s="4">
        <v>54793</v>
      </c>
      <c r="P5323" s="4">
        <v>188141</v>
      </c>
      <c r="Q5323" s="4">
        <v>242934</v>
      </c>
      <c r="R5323" s="4">
        <v>728802</v>
      </c>
      <c r="S5323" t="s">
        <v>21587</v>
      </c>
      <c r="T5323" s="6">
        <v>39692</v>
      </c>
      <c r="U5323" s="4">
        <v>580000</v>
      </c>
      <c r="V5323" t="s">
        <v>23739</v>
      </c>
      <c r="W5323" t="s">
        <v>26726</v>
      </c>
      <c r="X5323" t="s">
        <v>3</v>
      </c>
      <c r="AA5323" s="5" t="str">
        <f>HYPERLINK("https://www.zillow.com/homes/34-N-ANDOVER-DR-ROSELLE-IL-60172_rb/","check listing")</f>
        <v>check listing</v>
      </c>
      <c r="AB5323" s="5" t="str">
        <f>HYPERLINK("https://propertylookup.dupagecounty.gov/Datalets/Datalet.aspx?UseSearch=no&amp;mode=sales&amp;pin=0205231003","sales record")</f>
        <v>sales record</v>
      </c>
      <c r="AC5323" t="s">
        <v>3</v>
      </c>
      <c r="AD5323">
        <v>41.983572</v>
      </c>
      <c r="AE5323">
        <v>-88.112583</v>
      </c>
      <c r="AF5323" s="5" t="str">
        <f>HYPERLINK("https://www.google.com/maps/search/?api=1&amp;query=41.983572,-88.112583","map")</f>
        <v>map</v>
      </c>
    </row>
    <row r="5324" spans="1:32">
      <c r="A5324" t="s">
        <v>5374</v>
      </c>
      <c r="B5324" t="s">
        <v>12899</v>
      </c>
      <c r="C5324" t="s">
        <v>15830</v>
      </c>
      <c r="D5324" t="s">
        <v>16207</v>
      </c>
      <c r="E5324" t="s">
        <v>16218</v>
      </c>
      <c r="F5324" t="s">
        <v>16221</v>
      </c>
      <c r="G5324" t="s">
        <v>16241</v>
      </c>
      <c r="H5324" t="s">
        <v>16241</v>
      </c>
      <c r="I5324" t="s">
        <v>16355</v>
      </c>
      <c r="J5324" t="s">
        <v>16385</v>
      </c>
      <c r="K5324">
        <v>0.206</v>
      </c>
      <c r="L5324">
        <v>8985</v>
      </c>
      <c r="M5324">
        <v>3561</v>
      </c>
      <c r="N5324" t="s">
        <v>16393</v>
      </c>
      <c r="O5324" s="4">
        <v>54793</v>
      </c>
      <c r="P5324" s="4">
        <v>191500</v>
      </c>
      <c r="Q5324" s="4">
        <v>246293</v>
      </c>
      <c r="R5324" s="4">
        <v>738879</v>
      </c>
      <c r="S5324" t="s">
        <v>21588</v>
      </c>
      <c r="T5324" s="6">
        <v>39387</v>
      </c>
      <c r="U5324" s="4">
        <v>655000</v>
      </c>
      <c r="V5324" t="s">
        <v>23739</v>
      </c>
      <c r="W5324" t="s">
        <v>26727</v>
      </c>
      <c r="X5324" t="s">
        <v>3</v>
      </c>
      <c r="AA5324" s="5" t="str">
        <f>HYPERLINK("https://www.zillow.com/homes/44-ANDOVER-DR-ROSELLE-IL-60172_rb/","check listing")</f>
        <v>check listing</v>
      </c>
      <c r="AB5324" s="5" t="str">
        <f>HYPERLINK("https://propertylookup.dupagecounty.gov/Datalets/Datalet.aspx?UseSearch=no&amp;mode=sales&amp;pin=0205231004","sales record")</f>
        <v>sales record</v>
      </c>
      <c r="AC5324" t="s">
        <v>3</v>
      </c>
      <c r="AD5324">
        <v>41.983778</v>
      </c>
      <c r="AE5324">
        <v>-88.112577</v>
      </c>
      <c r="AF5324" s="5" t="str">
        <f>HYPERLINK("https://www.google.com/maps/search/?api=1&amp;query=41.983778,-88.112577","map")</f>
        <v>map</v>
      </c>
    </row>
    <row r="5325" spans="1:32">
      <c r="A5325" t="s">
        <v>5375</v>
      </c>
      <c r="B5325" t="s">
        <v>12900</v>
      </c>
      <c r="C5325" t="s">
        <v>15854</v>
      </c>
      <c r="D5325" t="s">
        <v>16207</v>
      </c>
      <c r="E5325" t="s">
        <v>16218</v>
      </c>
      <c r="F5325" t="s">
        <v>16221</v>
      </c>
      <c r="G5325" t="s">
        <v>16241</v>
      </c>
      <c r="H5325" t="s">
        <v>16241</v>
      </c>
      <c r="I5325" t="s">
        <v>16355</v>
      </c>
      <c r="J5325" t="s">
        <v>16385</v>
      </c>
      <c r="K5325">
        <v>0.205</v>
      </c>
      <c r="L5325">
        <v>8950</v>
      </c>
      <c r="M5325">
        <v>3232</v>
      </c>
      <c r="N5325" t="s">
        <v>16393</v>
      </c>
      <c r="O5325" s="4">
        <v>51327</v>
      </c>
      <c r="P5325" s="4">
        <v>182093</v>
      </c>
      <c r="Q5325" s="4">
        <v>233420</v>
      </c>
      <c r="R5325" s="4">
        <v>700260</v>
      </c>
      <c r="S5325" t="s">
        <v>21589</v>
      </c>
      <c r="T5325" s="6">
        <v>42583</v>
      </c>
      <c r="U5325" s="4">
        <v>505000</v>
      </c>
      <c r="V5325" t="s">
        <v>23739</v>
      </c>
      <c r="W5325" t="s">
        <v>26728</v>
      </c>
      <c r="X5325" t="s">
        <v>3</v>
      </c>
      <c r="AA5325" s="5" t="str">
        <f>HYPERLINK("https://www.zillow.com/homes/1155-BLUEBIRD-LN-ROSELLE-IL-601724722_rb/","check listing")</f>
        <v>check listing</v>
      </c>
      <c r="AB5325" s="5" t="str">
        <f>HYPERLINK("https://propertylookup.dupagecounty.gov/Datalets/Datalet.aspx?UseSearch=no&amp;mode=sales&amp;pin=0204104005","sales record")</f>
        <v>sales record</v>
      </c>
      <c r="AC5325" t="s">
        <v>3</v>
      </c>
      <c r="AD5325">
        <v>41.985546</v>
      </c>
      <c r="AE5325">
        <v>-88.108806</v>
      </c>
      <c r="AF5325" s="5" t="str">
        <f>HYPERLINK("https://www.google.com/maps/search/?api=1&amp;query=41.985546,-88.108806","map")</f>
        <v>map</v>
      </c>
    </row>
    <row r="5326" spans="1:32">
      <c r="A5326" t="s">
        <v>5376</v>
      </c>
      <c r="B5326" t="s">
        <v>12901</v>
      </c>
      <c r="C5326" t="s">
        <v>15873</v>
      </c>
      <c r="D5326" t="s">
        <v>16207</v>
      </c>
      <c r="E5326" t="s">
        <v>16218</v>
      </c>
      <c r="F5326" t="s">
        <v>16221</v>
      </c>
      <c r="G5326" t="s">
        <v>16241</v>
      </c>
      <c r="H5326" t="s">
        <v>16241</v>
      </c>
      <c r="I5326" t="s">
        <v>16355</v>
      </c>
      <c r="J5326" t="s">
        <v>16385</v>
      </c>
      <c r="K5326">
        <v>0.205</v>
      </c>
      <c r="L5326">
        <v>8926</v>
      </c>
      <c r="M5326">
        <v>2539</v>
      </c>
      <c r="N5326" t="s">
        <v>16393</v>
      </c>
      <c r="O5326" s="4">
        <v>45278</v>
      </c>
      <c r="P5326" s="4">
        <v>80564</v>
      </c>
      <c r="Q5326" s="4">
        <v>125842</v>
      </c>
      <c r="R5326" s="4">
        <v>377526</v>
      </c>
      <c r="S5326" t="s">
        <v>21590</v>
      </c>
      <c r="T5326" s="6">
        <v>42826</v>
      </c>
      <c r="U5326" s="4">
        <v>299900</v>
      </c>
      <c r="V5326" t="s">
        <v>23739</v>
      </c>
      <c r="W5326" t="s">
        <v>26729</v>
      </c>
      <c r="X5326" t="s">
        <v>3</v>
      </c>
      <c r="AA5326" s="5" t="str">
        <f>HYPERLINK("https://www.zillow.com/homes/270-CHATHAM-LN-ROSELLE-IL-601721617_rb/","check listing")</f>
        <v>check listing</v>
      </c>
      <c r="AB5326" s="5" t="str">
        <f>HYPERLINK("https://propertylookup.dupagecounty.gov/Datalets/Datalet.aspx?UseSearch=no&amp;mode=sales&amp;pin=0205401021","sales record")</f>
        <v>sales record</v>
      </c>
      <c r="AC5326" t="s">
        <v>3</v>
      </c>
      <c r="AD5326">
        <v>41.977584</v>
      </c>
      <c r="AE5326">
        <v>-88.11514200000001</v>
      </c>
      <c r="AF5326" s="5" t="str">
        <f>HYPERLINK("https://www.google.com/maps/search/?api=1&amp;query=41.977584,-88.115142","map")</f>
        <v>map</v>
      </c>
    </row>
    <row r="5327" spans="1:32">
      <c r="A5327" t="s">
        <v>5377</v>
      </c>
      <c r="B5327" t="s">
        <v>12902</v>
      </c>
      <c r="C5327" t="s">
        <v>15830</v>
      </c>
      <c r="D5327" t="s">
        <v>16207</v>
      </c>
      <c r="E5327" t="s">
        <v>16218</v>
      </c>
      <c r="F5327" t="s">
        <v>16221</v>
      </c>
      <c r="G5327" t="s">
        <v>16241</v>
      </c>
      <c r="H5327" t="s">
        <v>16241</v>
      </c>
      <c r="I5327" t="s">
        <v>16355</v>
      </c>
      <c r="J5327" t="s">
        <v>16385</v>
      </c>
      <c r="K5327">
        <v>0.205</v>
      </c>
      <c r="L5327">
        <v>8918</v>
      </c>
      <c r="M5327">
        <v>1715</v>
      </c>
      <c r="N5327" t="s">
        <v>16393</v>
      </c>
      <c r="O5327" s="4">
        <v>45278</v>
      </c>
      <c r="P5327" s="4">
        <v>107697</v>
      </c>
      <c r="Q5327" s="4">
        <v>152975</v>
      </c>
      <c r="R5327" s="4">
        <v>458925</v>
      </c>
      <c r="S5327" t="s">
        <v>21591</v>
      </c>
      <c r="T5327" s="6">
        <v>38169</v>
      </c>
      <c r="U5327" s="4">
        <v>295000</v>
      </c>
      <c r="V5327" t="s">
        <v>23739</v>
      </c>
      <c r="W5327" t="s">
        <v>26730</v>
      </c>
      <c r="X5327" t="s">
        <v>3</v>
      </c>
      <c r="AA5327" s="5" t="str">
        <f>HYPERLINK("https://www.zillow.com/homes/295-STOCKPORT-CT-ROSELLE-IL-60172_rb/","check listing")</f>
        <v>check listing</v>
      </c>
      <c r="AB5327" s="5" t="str">
        <f>HYPERLINK("https://propertylookup.dupagecounty.gov/Datalets/Datalet.aspx?UseSearch=no&amp;mode=sales&amp;pin=0205405012","sales record")</f>
        <v>sales record</v>
      </c>
      <c r="AC5327" t="s">
        <v>3</v>
      </c>
      <c r="AD5327">
        <v>41.977165</v>
      </c>
      <c r="AE5327">
        <v>-88.113472</v>
      </c>
      <c r="AF5327" s="5" t="str">
        <f>HYPERLINK("https://www.google.com/maps/search/?api=1&amp;query=41.977165,-88.113472","map")</f>
        <v>map</v>
      </c>
    </row>
    <row r="5328" spans="1:32">
      <c r="A5328" t="s">
        <v>5378</v>
      </c>
      <c r="B5328" t="s">
        <v>12903</v>
      </c>
      <c r="C5328" t="s">
        <v>15874</v>
      </c>
      <c r="D5328" t="s">
        <v>16207</v>
      </c>
      <c r="E5328" t="s">
        <v>16218</v>
      </c>
      <c r="F5328" t="s">
        <v>16221</v>
      </c>
      <c r="G5328" t="s">
        <v>16241</v>
      </c>
      <c r="H5328" t="s">
        <v>16241</v>
      </c>
      <c r="I5328" t="s">
        <v>16355</v>
      </c>
      <c r="J5328" t="s">
        <v>16385</v>
      </c>
      <c r="K5328">
        <v>0.204</v>
      </c>
      <c r="L5328">
        <v>8901</v>
      </c>
      <c r="M5328">
        <v>1319</v>
      </c>
      <c r="N5328" t="s">
        <v>16393</v>
      </c>
      <c r="O5328" s="4">
        <v>38692</v>
      </c>
      <c r="P5328" s="4">
        <v>76189</v>
      </c>
      <c r="Q5328" s="4">
        <v>114881</v>
      </c>
      <c r="R5328" s="4">
        <v>344643</v>
      </c>
      <c r="S5328" t="s">
        <v>21592</v>
      </c>
      <c r="T5328" s="6">
        <v>44013</v>
      </c>
      <c r="U5328" s="4">
        <v>249900</v>
      </c>
      <c r="V5328" t="s">
        <v>23739</v>
      </c>
      <c r="W5328" t="s">
        <v>26731</v>
      </c>
      <c r="X5328" t="s">
        <v>3</v>
      </c>
      <c r="AA5328" s="5" t="str">
        <f>HYPERLINK("https://www.zillow.com/homes/225-ASHLEY-CT-ROSELLE-IL-601721715_rb/","check listing")</f>
        <v>check listing</v>
      </c>
      <c r="AB5328" s="5" t="str">
        <f>HYPERLINK("https://propertylookup.dupagecounty.gov/Datalets/Datalet.aspx?UseSearch=no&amp;mode=sales&amp;pin=0204313023","sales record")</f>
        <v>sales record</v>
      </c>
      <c r="AC5328" t="s">
        <v>3</v>
      </c>
      <c r="AD5328">
        <v>41.978642</v>
      </c>
      <c r="AE5328">
        <v>-88.109199</v>
      </c>
      <c r="AF5328" s="5" t="str">
        <f>HYPERLINK("https://www.google.com/maps/search/?api=1&amp;query=41.978642,-88.109199","map")</f>
        <v>map</v>
      </c>
    </row>
    <row r="5329" spans="1:32">
      <c r="A5329" t="s">
        <v>5379</v>
      </c>
      <c r="B5329" t="s">
        <v>12904</v>
      </c>
      <c r="C5329" t="s">
        <v>15830</v>
      </c>
      <c r="D5329" t="s">
        <v>16207</v>
      </c>
      <c r="E5329" t="s">
        <v>16218</v>
      </c>
      <c r="F5329" t="s">
        <v>16221</v>
      </c>
      <c r="G5329" t="s">
        <v>16241</v>
      </c>
      <c r="H5329" t="s">
        <v>16241</v>
      </c>
      <c r="I5329" t="s">
        <v>16355</v>
      </c>
      <c r="J5329" t="s">
        <v>16385</v>
      </c>
      <c r="K5329">
        <v>0.204</v>
      </c>
      <c r="L5329">
        <v>8892</v>
      </c>
      <c r="M5329">
        <v>2078</v>
      </c>
      <c r="N5329" t="s">
        <v>16393</v>
      </c>
      <c r="O5329" s="4">
        <v>45278</v>
      </c>
      <c r="P5329" s="4">
        <v>93258</v>
      </c>
      <c r="Q5329" s="4">
        <v>138536</v>
      </c>
      <c r="R5329" s="4">
        <v>415608</v>
      </c>
      <c r="S5329" t="s">
        <v>21593</v>
      </c>
      <c r="T5329" s="6">
        <v>34121</v>
      </c>
      <c r="U5329" s="4">
        <v>155000</v>
      </c>
      <c r="X5329" t="s">
        <v>3</v>
      </c>
      <c r="AA5329" s="5" t="str">
        <f>HYPERLINK("https://www.zillow.com/homes/345-HAMSTEAD-CT-ROSELLE-IL-60172_rb/","check listing")</f>
        <v>check listing</v>
      </c>
      <c r="AB5329" s="5" t="str">
        <f>HYPERLINK("https://propertylookup.dupagecounty.gov/Datalets/Datalet.aspx?UseSearch=no&amp;mode=sales&amp;pin=0205406015","sales record")</f>
        <v>sales record</v>
      </c>
      <c r="AC5329" t="s">
        <v>3</v>
      </c>
      <c r="AD5329">
        <v>41.976423</v>
      </c>
      <c r="AE5329">
        <v>-88.112892</v>
      </c>
      <c r="AF5329" s="5" t="str">
        <f>HYPERLINK("https://www.google.com/maps/search/?api=1&amp;query=41.976423,-88.112892","map")</f>
        <v>map</v>
      </c>
    </row>
    <row r="5330" spans="1:32">
      <c r="A5330" t="s">
        <v>5380</v>
      </c>
      <c r="B5330" t="s">
        <v>12905</v>
      </c>
      <c r="C5330" t="s">
        <v>15830</v>
      </c>
      <c r="D5330" t="s">
        <v>16207</v>
      </c>
      <c r="E5330" t="s">
        <v>16218</v>
      </c>
      <c r="F5330" t="s">
        <v>16221</v>
      </c>
      <c r="G5330" t="s">
        <v>16241</v>
      </c>
      <c r="H5330" t="s">
        <v>16241</v>
      </c>
      <c r="I5330" t="s">
        <v>16355</v>
      </c>
      <c r="J5330" t="s">
        <v>16385</v>
      </c>
      <c r="K5330">
        <v>0.204</v>
      </c>
      <c r="L5330">
        <v>8881</v>
      </c>
      <c r="M5330">
        <v>1979</v>
      </c>
      <c r="N5330" t="s">
        <v>16393</v>
      </c>
      <c r="O5330" s="4">
        <v>45278</v>
      </c>
      <c r="P5330" s="4">
        <v>93258</v>
      </c>
      <c r="Q5330" s="4">
        <v>138536</v>
      </c>
      <c r="R5330" s="4">
        <v>415608</v>
      </c>
      <c r="S5330" t="s">
        <v>21594</v>
      </c>
      <c r="T5330" s="6">
        <v>38108</v>
      </c>
      <c r="U5330" s="4">
        <v>287000</v>
      </c>
      <c r="V5330" t="s">
        <v>23739</v>
      </c>
      <c r="W5330" t="s">
        <v>26732</v>
      </c>
      <c r="X5330" t="s">
        <v>3</v>
      </c>
      <c r="AA5330" s="5" t="str">
        <f>HYPERLINK("https://www.zillow.com/homes/267-CHATHAM-LN-ROSELLE-IL-60172_rb/","check listing")</f>
        <v>check listing</v>
      </c>
      <c r="AB5330" s="5" t="str">
        <f>HYPERLINK("https://propertylookup.dupagecounty.gov/Datalets/Datalet.aspx?UseSearch=no&amp;mode=sales&amp;pin=0205405007","sales record")</f>
        <v>sales record</v>
      </c>
      <c r="AC5330" t="s">
        <v>3</v>
      </c>
      <c r="AD5330">
        <v>41.977606</v>
      </c>
      <c r="AE5330">
        <v>-88.11450000000001</v>
      </c>
      <c r="AF5330" s="5" t="str">
        <f>HYPERLINK("https://www.google.com/maps/search/?api=1&amp;query=41.977606,-88.1145","map")</f>
        <v>map</v>
      </c>
    </row>
    <row r="5331" spans="1:32">
      <c r="A5331" t="s">
        <v>5381</v>
      </c>
      <c r="B5331" t="s">
        <v>12906</v>
      </c>
      <c r="C5331" t="s">
        <v>15830</v>
      </c>
      <c r="D5331" t="s">
        <v>16207</v>
      </c>
      <c r="E5331" t="s">
        <v>16218</v>
      </c>
      <c r="F5331" t="s">
        <v>16221</v>
      </c>
      <c r="G5331" t="s">
        <v>16241</v>
      </c>
      <c r="H5331" t="s">
        <v>16241</v>
      </c>
      <c r="I5331" t="s">
        <v>16355</v>
      </c>
      <c r="J5331" t="s">
        <v>16385</v>
      </c>
      <c r="K5331">
        <v>0.204</v>
      </c>
      <c r="L5331">
        <v>8871</v>
      </c>
      <c r="M5331">
        <v>2771</v>
      </c>
      <c r="N5331" t="s">
        <v>16393</v>
      </c>
      <c r="O5331" s="4">
        <v>51278</v>
      </c>
      <c r="P5331" s="4">
        <v>169889</v>
      </c>
      <c r="Q5331" s="4">
        <v>221167</v>
      </c>
      <c r="R5331" s="4">
        <v>663501</v>
      </c>
      <c r="S5331" t="s">
        <v>21595</v>
      </c>
      <c r="T5331" s="6">
        <v>36678</v>
      </c>
      <c r="U5331" s="4">
        <v>425000</v>
      </c>
      <c r="V5331" t="s">
        <v>23739</v>
      </c>
      <c r="W5331" t="s">
        <v>26733</v>
      </c>
      <c r="X5331" t="s">
        <v>3</v>
      </c>
      <c r="AA5331" s="5" t="str">
        <f>HYPERLINK("https://www.zillow.com/homes/1145-FLAMINGO-ROSELLE-IL-60172_rb/","check listing")</f>
        <v>check listing</v>
      </c>
      <c r="AB5331" s="5" t="str">
        <f>HYPERLINK("https://propertylookup.dupagecounty.gov/Datalets/Datalet.aspx?UseSearch=no&amp;mode=sales&amp;pin=0204101035","sales record")</f>
        <v>sales record</v>
      </c>
      <c r="AC5331" t="s">
        <v>3</v>
      </c>
      <c r="AD5331">
        <v>41.983774</v>
      </c>
      <c r="AE5331">
        <v>-88.108636</v>
      </c>
      <c r="AF5331" s="5" t="str">
        <f>HYPERLINK("https://www.google.com/maps/search/?api=1&amp;query=41.983774,-88.108636","map")</f>
        <v>map</v>
      </c>
    </row>
    <row r="5332" spans="1:32">
      <c r="A5332" t="s">
        <v>5382</v>
      </c>
      <c r="B5332" t="s">
        <v>12907</v>
      </c>
      <c r="C5332" t="s">
        <v>15830</v>
      </c>
      <c r="D5332" t="s">
        <v>16207</v>
      </c>
      <c r="E5332" t="s">
        <v>16218</v>
      </c>
      <c r="F5332" t="s">
        <v>16221</v>
      </c>
      <c r="G5332" t="s">
        <v>16241</v>
      </c>
      <c r="H5332" t="s">
        <v>16241</v>
      </c>
      <c r="I5332" t="s">
        <v>16355</v>
      </c>
      <c r="J5332" t="s">
        <v>16385</v>
      </c>
      <c r="K5332">
        <v>0.203</v>
      </c>
      <c r="L5332">
        <v>8864</v>
      </c>
      <c r="M5332">
        <v>1583</v>
      </c>
      <c r="N5332" t="s">
        <v>16393</v>
      </c>
      <c r="O5332" s="4">
        <v>38692</v>
      </c>
      <c r="P5332" s="4">
        <v>86791</v>
      </c>
      <c r="Q5332" s="4">
        <v>125483</v>
      </c>
      <c r="R5332" s="4">
        <v>376449</v>
      </c>
      <c r="S5332" t="s">
        <v>21596</v>
      </c>
      <c r="T5332" s="6">
        <v>41395</v>
      </c>
      <c r="U5332" s="4">
        <v>250000</v>
      </c>
      <c r="V5332" t="s">
        <v>23740</v>
      </c>
      <c r="W5332" t="s">
        <v>26734</v>
      </c>
      <c r="X5332" t="s">
        <v>3</v>
      </c>
      <c r="AA5332" s="5" t="str">
        <f>HYPERLINK("https://www.zillow.com/homes/658-BERWICK-PL-ROSELLE-IL-60172_rb/","check listing")</f>
        <v>check listing</v>
      </c>
      <c r="AB5332" s="5" t="str">
        <f>HYPERLINK("https://propertylookup.dupagecounty.gov/Datalets/Datalet.aspx?UseSearch=no&amp;mode=sales&amp;pin=0208205020","sales record")</f>
        <v>sales record</v>
      </c>
      <c r="AC5332" t="s">
        <v>3</v>
      </c>
      <c r="AD5332">
        <v>41.971002</v>
      </c>
      <c r="AE5332">
        <v>-88.11161800000001</v>
      </c>
      <c r="AF5332" s="5" t="str">
        <f>HYPERLINK("https://www.google.com/maps/search/?api=1&amp;query=41.971002,-88.111618","map")</f>
        <v>map</v>
      </c>
    </row>
    <row r="5333" spans="1:32">
      <c r="A5333" t="s">
        <v>5383</v>
      </c>
      <c r="B5333" t="s">
        <v>12908</v>
      </c>
      <c r="C5333" t="s">
        <v>15830</v>
      </c>
      <c r="D5333" t="s">
        <v>16207</v>
      </c>
      <c r="E5333" t="s">
        <v>16218</v>
      </c>
      <c r="F5333" t="s">
        <v>16221</v>
      </c>
      <c r="G5333" t="s">
        <v>16241</v>
      </c>
      <c r="H5333" t="s">
        <v>16241</v>
      </c>
      <c r="I5333" t="s">
        <v>16355</v>
      </c>
      <c r="J5333" t="s">
        <v>16385</v>
      </c>
      <c r="K5333">
        <v>0.203</v>
      </c>
      <c r="L5333">
        <v>8864</v>
      </c>
      <c r="M5333">
        <v>2537</v>
      </c>
      <c r="N5333" t="s">
        <v>16393</v>
      </c>
      <c r="O5333" s="4">
        <v>45278</v>
      </c>
      <c r="P5333" s="4">
        <v>109849</v>
      </c>
      <c r="Q5333" s="4">
        <v>155127</v>
      </c>
      <c r="R5333" s="4">
        <v>465381</v>
      </c>
      <c r="S5333" t="s">
        <v>21597</v>
      </c>
      <c r="T5333" s="6">
        <v>41306</v>
      </c>
      <c r="U5333" s="4">
        <v>365000</v>
      </c>
      <c r="V5333" t="s">
        <v>23739</v>
      </c>
      <c r="W5333" t="s">
        <v>26735</v>
      </c>
      <c r="X5333" t="s">
        <v>3</v>
      </c>
      <c r="AA5333" s="5" t="str">
        <f>HYPERLINK("https://www.zillow.com/homes/270-STOCKPORT-CT-ROSELLE-IL-60172_rb/","check listing")</f>
        <v>check listing</v>
      </c>
      <c r="AB5333" s="5" t="str">
        <f>HYPERLINK("https://propertylookup.dupagecounty.gov/Datalets/Datalet.aspx?UseSearch=no&amp;mode=sales&amp;pin=0205406001","sales record")</f>
        <v>sales record</v>
      </c>
      <c r="AC5333" t="s">
        <v>3</v>
      </c>
      <c r="AD5333">
        <v>41.977813</v>
      </c>
      <c r="AE5333">
        <v>-88.113045</v>
      </c>
      <c r="AF5333" s="5" t="str">
        <f>HYPERLINK("https://www.google.com/maps/search/?api=1&amp;query=41.977813,-88.113045","map")</f>
        <v>map</v>
      </c>
    </row>
    <row r="5334" spans="1:32">
      <c r="A5334" t="s">
        <v>5384</v>
      </c>
      <c r="B5334" t="s">
        <v>12909</v>
      </c>
      <c r="C5334" t="s">
        <v>15830</v>
      </c>
      <c r="D5334" t="s">
        <v>16207</v>
      </c>
      <c r="E5334" t="s">
        <v>16218</v>
      </c>
      <c r="F5334" t="s">
        <v>16221</v>
      </c>
      <c r="G5334" t="s">
        <v>16241</v>
      </c>
      <c r="H5334" t="s">
        <v>16241</v>
      </c>
      <c r="I5334" t="s">
        <v>16355</v>
      </c>
      <c r="J5334" t="s">
        <v>16385</v>
      </c>
      <c r="K5334">
        <v>0.203</v>
      </c>
      <c r="L5334">
        <v>8850</v>
      </c>
      <c r="M5334">
        <v>1584</v>
      </c>
      <c r="N5334" t="s">
        <v>16393</v>
      </c>
      <c r="O5334" s="4">
        <v>45278</v>
      </c>
      <c r="P5334" s="4">
        <v>76894</v>
      </c>
      <c r="Q5334" s="4">
        <v>122172</v>
      </c>
      <c r="R5334" s="4">
        <v>366516</v>
      </c>
      <c r="S5334" t="s">
        <v>21598</v>
      </c>
      <c r="T5334" s="6">
        <v>45273</v>
      </c>
      <c r="U5334" s="4">
        <v>383300</v>
      </c>
      <c r="V5334" t="s">
        <v>23741</v>
      </c>
      <c r="W5334" t="s">
        <v>26736</v>
      </c>
      <c r="X5334" t="s">
        <v>3</v>
      </c>
      <c r="AA5334" s="5" t="str">
        <f>HYPERLINK("https://www.zillow.com/homes/540-AVEBURY-LN-ROSELLE-IL-60172_rb/","check listing")</f>
        <v>check listing</v>
      </c>
      <c r="AB5334" s="5" t="str">
        <f>HYPERLINK("https://propertylookup.dupagecounty.gov/Datalets/Datalet.aspx?UseSearch=no&amp;mode=sales&amp;pin=0209213006","sales record")</f>
        <v>sales record</v>
      </c>
      <c r="AC5334" t="s">
        <v>3</v>
      </c>
      <c r="AD5334">
        <v>41.972873</v>
      </c>
      <c r="AE5334">
        <v>-88.098281</v>
      </c>
      <c r="AF5334" s="5" t="str">
        <f>HYPERLINK("https://www.google.com/maps/search/?api=1&amp;query=41.972873,-88.098281","map")</f>
        <v>map</v>
      </c>
    </row>
    <row r="5335" spans="1:32">
      <c r="A5335" t="s">
        <v>5385</v>
      </c>
      <c r="B5335" t="s">
        <v>12910</v>
      </c>
      <c r="C5335" t="s">
        <v>15830</v>
      </c>
      <c r="D5335" t="s">
        <v>16207</v>
      </c>
      <c r="E5335" t="s">
        <v>16218</v>
      </c>
      <c r="F5335" t="s">
        <v>16221</v>
      </c>
      <c r="G5335" t="s">
        <v>16241</v>
      </c>
      <c r="H5335" t="s">
        <v>16241</v>
      </c>
      <c r="I5335" t="s">
        <v>16355</v>
      </c>
      <c r="J5335" t="s">
        <v>16385</v>
      </c>
      <c r="K5335">
        <v>0.203</v>
      </c>
      <c r="L5335">
        <v>8849</v>
      </c>
      <c r="M5335">
        <v>3231</v>
      </c>
      <c r="N5335" t="s">
        <v>16393</v>
      </c>
      <c r="O5335" s="4">
        <v>51278</v>
      </c>
      <c r="P5335" s="4">
        <v>159311</v>
      </c>
      <c r="Q5335" s="4">
        <v>210589</v>
      </c>
      <c r="R5335" s="4">
        <v>631767</v>
      </c>
      <c r="S5335" t="s">
        <v>21599</v>
      </c>
      <c r="T5335" s="6">
        <v>35612</v>
      </c>
      <c r="U5335" s="4">
        <v>268000</v>
      </c>
      <c r="X5335" t="s">
        <v>3</v>
      </c>
      <c r="AA5335" s="5" t="str">
        <f>HYPERLINK("https://www.zillow.com/homes/1140-FLAMINGO-DR-ROSELLE-IL-60172_rb/","check listing")</f>
        <v>check listing</v>
      </c>
      <c r="AB5335" s="5" t="str">
        <f>HYPERLINK("https://propertylookup.dupagecounty.gov/Datalets/Datalet.aspx?UseSearch=no&amp;mode=sales&amp;pin=0204103003","sales record")</f>
        <v>sales record</v>
      </c>
      <c r="AC5335" t="s">
        <v>3</v>
      </c>
      <c r="AD5335">
        <v>41.984165</v>
      </c>
      <c r="AE5335">
        <v>-88.10852199999999</v>
      </c>
      <c r="AF5335" s="5" t="str">
        <f>HYPERLINK("https://www.google.com/maps/search/?api=1&amp;query=41.984165,-88.108522","map")</f>
        <v>map</v>
      </c>
    </row>
    <row r="5336" spans="1:32">
      <c r="A5336" t="s">
        <v>5386</v>
      </c>
      <c r="B5336" t="s">
        <v>12911</v>
      </c>
      <c r="C5336" t="s">
        <v>15830</v>
      </c>
      <c r="D5336" t="s">
        <v>16207</v>
      </c>
      <c r="E5336" t="s">
        <v>16218</v>
      </c>
      <c r="F5336" t="s">
        <v>16221</v>
      </c>
      <c r="G5336" t="s">
        <v>16241</v>
      </c>
      <c r="H5336" t="s">
        <v>16241</v>
      </c>
      <c r="I5336" t="s">
        <v>16355</v>
      </c>
      <c r="J5336" t="s">
        <v>16385</v>
      </c>
      <c r="K5336">
        <v>0.203</v>
      </c>
      <c r="L5336">
        <v>8838</v>
      </c>
      <c r="M5336">
        <v>1517</v>
      </c>
      <c r="N5336" t="s">
        <v>16393</v>
      </c>
      <c r="O5336" s="4">
        <v>45278</v>
      </c>
      <c r="P5336" s="4">
        <v>71253</v>
      </c>
      <c r="Q5336" s="4">
        <v>116531</v>
      </c>
      <c r="R5336" s="4">
        <v>349593</v>
      </c>
      <c r="S5336" t="s">
        <v>21600</v>
      </c>
      <c r="T5336" s="6">
        <v>38139</v>
      </c>
      <c r="U5336" s="4">
        <v>220000</v>
      </c>
      <c r="V5336" t="s">
        <v>23739</v>
      </c>
      <c r="W5336" t="s">
        <v>26737</v>
      </c>
      <c r="X5336" t="s">
        <v>3</v>
      </c>
      <c r="AA5336" s="5" t="str">
        <f>HYPERLINK("https://www.zillow.com/homes/528-AVEBURY-LN-ROSELLE-IL-60172_rb/","check listing")</f>
        <v>check listing</v>
      </c>
      <c r="AB5336" s="5" t="str">
        <f>HYPERLINK("https://propertylookup.dupagecounty.gov/Datalets/Datalet.aspx?UseSearch=no&amp;mode=sales&amp;pin=0209213004","sales record")</f>
        <v>sales record</v>
      </c>
      <c r="AC5336" t="s">
        <v>3</v>
      </c>
      <c r="AD5336">
        <v>41.973087</v>
      </c>
      <c r="AE5336">
        <v>-88.09875</v>
      </c>
      <c r="AF5336" s="5" t="str">
        <f>HYPERLINK("https://www.google.com/maps/search/?api=1&amp;query=41.973087,-88.09875","map")</f>
        <v>map</v>
      </c>
    </row>
    <row r="5337" spans="1:32">
      <c r="A5337" t="s">
        <v>5387</v>
      </c>
      <c r="B5337" t="s">
        <v>12912</v>
      </c>
      <c r="C5337" t="s">
        <v>15856</v>
      </c>
      <c r="D5337" t="s">
        <v>16207</v>
      </c>
      <c r="E5337" t="s">
        <v>16218</v>
      </c>
      <c r="F5337" t="s">
        <v>16221</v>
      </c>
      <c r="G5337" t="s">
        <v>16241</v>
      </c>
      <c r="H5337" t="s">
        <v>16241</v>
      </c>
      <c r="I5337" t="s">
        <v>16355</v>
      </c>
      <c r="J5337" t="s">
        <v>16385</v>
      </c>
      <c r="K5337">
        <v>0.202</v>
      </c>
      <c r="L5337">
        <v>8811</v>
      </c>
      <c r="M5337">
        <v>1813</v>
      </c>
      <c r="N5337" t="s">
        <v>16393</v>
      </c>
      <c r="O5337" s="4">
        <v>38692</v>
      </c>
      <c r="P5337" s="4">
        <v>78675</v>
      </c>
      <c r="Q5337" s="4">
        <v>117367</v>
      </c>
      <c r="R5337" s="4">
        <v>352101</v>
      </c>
      <c r="S5337" t="s">
        <v>21601</v>
      </c>
      <c r="X5337" t="s">
        <v>3</v>
      </c>
      <c r="AA5337" s="5" t="str">
        <f>HYPERLINK("https://www.zillow.com/homes/1110-NORMAN-LN-ROSELLE-IL-601722630_rb/","check listing")</f>
        <v>check listing</v>
      </c>
      <c r="AB5337" s="5" t="str">
        <f>HYPERLINK("https://propertylookup.dupagecounty.gov/Datalets/Datalet.aspx?UseSearch=no&amp;mode=sales&amp;pin=0204302011","sales record")</f>
        <v>sales record</v>
      </c>
      <c r="AC5337" t="s">
        <v>3</v>
      </c>
      <c r="AD5337">
        <v>41.975625</v>
      </c>
      <c r="AE5337">
        <v>-88.108226</v>
      </c>
      <c r="AF5337" s="5" t="str">
        <f>HYPERLINK("https://www.google.com/maps/search/?api=1&amp;query=41.975625,-88.108226","map")</f>
        <v>map</v>
      </c>
    </row>
    <row r="5338" spans="1:32">
      <c r="A5338" t="s">
        <v>5388</v>
      </c>
      <c r="B5338" t="s">
        <v>12913</v>
      </c>
      <c r="C5338" t="s">
        <v>15830</v>
      </c>
      <c r="D5338" t="s">
        <v>16207</v>
      </c>
      <c r="E5338" t="s">
        <v>16218</v>
      </c>
      <c r="F5338" t="s">
        <v>16221</v>
      </c>
      <c r="G5338" t="s">
        <v>16241</v>
      </c>
      <c r="H5338" t="s">
        <v>16241</v>
      </c>
      <c r="I5338" t="s">
        <v>16355</v>
      </c>
      <c r="J5338" t="s">
        <v>16385</v>
      </c>
      <c r="K5338">
        <v>0.201</v>
      </c>
      <c r="L5338">
        <v>8776</v>
      </c>
      <c r="M5338">
        <v>2573</v>
      </c>
      <c r="N5338" t="s">
        <v>16393</v>
      </c>
      <c r="O5338" s="4">
        <v>51351</v>
      </c>
      <c r="P5338" s="4">
        <v>149245</v>
      </c>
      <c r="Q5338" s="4">
        <v>200596</v>
      </c>
      <c r="R5338" s="4">
        <v>601788</v>
      </c>
      <c r="S5338" t="s">
        <v>21602</v>
      </c>
      <c r="T5338" s="6">
        <v>42370</v>
      </c>
      <c r="U5338" s="4">
        <v>513000</v>
      </c>
      <c r="V5338" t="s">
        <v>23739</v>
      </c>
      <c r="W5338" t="s">
        <v>26738</v>
      </c>
      <c r="X5338" t="s">
        <v>3</v>
      </c>
      <c r="AA5338" s="5" t="str">
        <f>HYPERLINK("https://www.zillow.com/homes/60-PELICAN-BAY-ROSELLE-IL-60172_rb/","check listing")</f>
        <v>check listing</v>
      </c>
      <c r="AB5338" s="5" t="str">
        <f>HYPERLINK("https://propertylookup.dupagecounty.gov/Datalets/Datalet.aspx?UseSearch=no&amp;mode=sales&amp;pin=0204103014","sales record")</f>
        <v>sales record</v>
      </c>
      <c r="AC5338" t="s">
        <v>3</v>
      </c>
      <c r="AD5338">
        <v>41.984342</v>
      </c>
      <c r="AE5338">
        <v>-88.107344</v>
      </c>
      <c r="AF5338" s="5" t="str">
        <f>HYPERLINK("https://www.google.com/maps/search/?api=1&amp;query=41.984342,-88.107344","map")</f>
        <v>map</v>
      </c>
    </row>
    <row r="5339" spans="1:32">
      <c r="A5339" t="s">
        <v>5389</v>
      </c>
      <c r="B5339" t="s">
        <v>12914</v>
      </c>
      <c r="C5339" t="s">
        <v>15830</v>
      </c>
      <c r="D5339" t="s">
        <v>16207</v>
      </c>
      <c r="E5339" t="s">
        <v>16218</v>
      </c>
      <c r="F5339" t="s">
        <v>16221</v>
      </c>
      <c r="G5339" t="s">
        <v>16241</v>
      </c>
      <c r="H5339" t="s">
        <v>16241</v>
      </c>
      <c r="I5339" t="s">
        <v>16355</v>
      </c>
      <c r="J5339" t="s">
        <v>16385</v>
      </c>
      <c r="K5339">
        <v>0.201</v>
      </c>
      <c r="L5339">
        <v>8758</v>
      </c>
      <c r="M5339">
        <v>1502</v>
      </c>
      <c r="N5339" t="s">
        <v>16393</v>
      </c>
      <c r="O5339" s="4">
        <v>45278</v>
      </c>
      <c r="P5339" s="4">
        <v>104709</v>
      </c>
      <c r="Q5339" s="4">
        <v>149987</v>
      </c>
      <c r="R5339" s="4">
        <v>449961</v>
      </c>
      <c r="S5339" t="s">
        <v>21603</v>
      </c>
      <c r="T5339" s="6">
        <v>44013</v>
      </c>
      <c r="U5339" s="4">
        <v>330000</v>
      </c>
      <c r="V5339" t="s">
        <v>23739</v>
      </c>
      <c r="W5339" t="s">
        <v>21603</v>
      </c>
      <c r="X5339" t="s">
        <v>3</v>
      </c>
      <c r="AA5339" s="5" t="str">
        <f>HYPERLINK("https://www.zillow.com/homes/570-DALTON-LN-ROSELLE-IL-60172_rb/","check listing")</f>
        <v>check listing</v>
      </c>
      <c r="AB5339" s="5" t="str">
        <f>HYPERLINK("https://propertylookup.dupagecounty.gov/Datalets/Datalet.aspx?UseSearch=no&amp;mode=sales&amp;pin=0209209019","sales record")</f>
        <v>sales record</v>
      </c>
      <c r="AC5339" t="s">
        <v>3</v>
      </c>
      <c r="AD5339">
        <v>41.97249</v>
      </c>
      <c r="AE5339">
        <v>-88.099614</v>
      </c>
      <c r="AF5339" s="5" t="str">
        <f>HYPERLINK("https://www.google.com/maps/search/?api=1&amp;query=41.97249,-88.099614","map")</f>
        <v>map</v>
      </c>
    </row>
    <row r="5340" spans="1:32">
      <c r="A5340" t="s">
        <v>5390</v>
      </c>
      <c r="B5340" t="s">
        <v>12915</v>
      </c>
      <c r="C5340" t="s">
        <v>15830</v>
      </c>
      <c r="D5340" t="s">
        <v>16207</v>
      </c>
      <c r="E5340" t="s">
        <v>16218</v>
      </c>
      <c r="F5340" t="s">
        <v>16221</v>
      </c>
      <c r="G5340" t="s">
        <v>16241</v>
      </c>
      <c r="H5340" t="s">
        <v>16241</v>
      </c>
      <c r="I5340" t="s">
        <v>16355</v>
      </c>
      <c r="J5340" t="s">
        <v>16385</v>
      </c>
      <c r="K5340">
        <v>0.201</v>
      </c>
      <c r="L5340">
        <v>8756</v>
      </c>
      <c r="M5340">
        <v>2308</v>
      </c>
      <c r="N5340" t="s">
        <v>16393</v>
      </c>
      <c r="O5340" s="4">
        <v>45278</v>
      </c>
      <c r="P5340" s="4">
        <v>101804</v>
      </c>
      <c r="Q5340" s="4">
        <v>147082</v>
      </c>
      <c r="R5340" s="4">
        <v>441246</v>
      </c>
      <c r="S5340" t="s">
        <v>21604</v>
      </c>
      <c r="T5340" s="6">
        <v>39845</v>
      </c>
      <c r="U5340" s="4">
        <v>317000</v>
      </c>
      <c r="V5340" t="s">
        <v>23739</v>
      </c>
      <c r="W5340" t="s">
        <v>26739</v>
      </c>
      <c r="X5340" t="s">
        <v>3</v>
      </c>
      <c r="AA5340" s="5" t="str">
        <f>HYPERLINK("https://www.zillow.com/homes/145-EXETER-CT-ROSELLE-IL-60172_rb/","check listing")</f>
        <v>check listing</v>
      </c>
      <c r="AB5340" s="5" t="str">
        <f>HYPERLINK("https://propertylookup.dupagecounty.gov/Datalets/Datalet.aspx?UseSearch=no&amp;mode=sales&amp;pin=0205403021","sales record")</f>
        <v>sales record</v>
      </c>
      <c r="AC5340" t="s">
        <v>3</v>
      </c>
      <c r="AD5340">
        <v>41.979802</v>
      </c>
      <c r="AE5340">
        <v>-88.112083</v>
      </c>
      <c r="AF5340" s="5" t="str">
        <f>HYPERLINK("https://www.google.com/maps/search/?api=1&amp;query=41.979802,-88.112083","map")</f>
        <v>map</v>
      </c>
    </row>
    <row r="5341" spans="1:32">
      <c r="A5341" t="s">
        <v>5391</v>
      </c>
      <c r="B5341" t="s">
        <v>12916</v>
      </c>
      <c r="C5341" t="s">
        <v>15830</v>
      </c>
      <c r="D5341" t="s">
        <v>16207</v>
      </c>
      <c r="E5341" t="s">
        <v>16218</v>
      </c>
      <c r="F5341" t="s">
        <v>16221</v>
      </c>
      <c r="G5341" t="s">
        <v>16241</v>
      </c>
      <c r="H5341" t="s">
        <v>16241</v>
      </c>
      <c r="I5341" t="s">
        <v>16355</v>
      </c>
      <c r="J5341" t="s">
        <v>16385</v>
      </c>
      <c r="K5341">
        <v>0.201</v>
      </c>
      <c r="L5341">
        <v>8755</v>
      </c>
      <c r="M5341">
        <v>1846</v>
      </c>
      <c r="N5341" t="s">
        <v>16393</v>
      </c>
      <c r="O5341" s="4">
        <v>45278</v>
      </c>
      <c r="P5341" s="4">
        <v>98374</v>
      </c>
      <c r="Q5341" s="4">
        <v>143652</v>
      </c>
      <c r="R5341" s="4">
        <v>430956</v>
      </c>
      <c r="S5341" t="s">
        <v>21605</v>
      </c>
      <c r="T5341" s="6">
        <v>39569</v>
      </c>
      <c r="U5341" s="4">
        <v>376000</v>
      </c>
      <c r="V5341" t="s">
        <v>23739</v>
      </c>
      <c r="W5341" t="s">
        <v>21605</v>
      </c>
      <c r="X5341" t="s">
        <v>3</v>
      </c>
      <c r="AA5341" s="5" t="str">
        <f>HYPERLINK("https://www.zillow.com/homes/905-BRANDYWINE-DR-ROSELLE-IL-60172_rb/","check listing")</f>
        <v>check listing</v>
      </c>
      <c r="AB5341" s="5" t="str">
        <f>HYPERLINK("https://propertylookup.dupagecounty.gov/Datalets/Datalet.aspx?UseSearch=no&amp;mode=sales&amp;pin=0209115004","sales record")</f>
        <v>sales record</v>
      </c>
      <c r="AC5341" t="s">
        <v>3</v>
      </c>
      <c r="AD5341">
        <v>41.974924</v>
      </c>
      <c r="AE5341">
        <v>-88.10315199999999</v>
      </c>
      <c r="AF5341" s="5" t="str">
        <f>HYPERLINK("https://www.google.com/maps/search/?api=1&amp;query=41.974924,-88.103152","map")</f>
        <v>map</v>
      </c>
    </row>
    <row r="5342" spans="1:32">
      <c r="A5342" t="s">
        <v>5392</v>
      </c>
      <c r="B5342" t="s">
        <v>12917</v>
      </c>
      <c r="C5342" t="s">
        <v>15830</v>
      </c>
      <c r="D5342" t="s">
        <v>16207</v>
      </c>
      <c r="E5342" t="s">
        <v>16218</v>
      </c>
      <c r="F5342" t="s">
        <v>16221</v>
      </c>
      <c r="G5342" t="s">
        <v>16241</v>
      </c>
      <c r="H5342" t="s">
        <v>16241</v>
      </c>
      <c r="I5342" t="s">
        <v>16355</v>
      </c>
      <c r="J5342" t="s">
        <v>16385</v>
      </c>
      <c r="K5342">
        <v>0.201</v>
      </c>
      <c r="L5342">
        <v>8750</v>
      </c>
      <c r="M5342">
        <v>2005</v>
      </c>
      <c r="N5342" t="s">
        <v>16393</v>
      </c>
      <c r="O5342" s="4">
        <v>45278</v>
      </c>
      <c r="P5342" s="4">
        <v>86157</v>
      </c>
      <c r="Q5342" s="4">
        <v>131435</v>
      </c>
      <c r="R5342" s="4">
        <v>394305</v>
      </c>
      <c r="S5342" t="s">
        <v>21606</v>
      </c>
      <c r="T5342" s="6">
        <v>42156</v>
      </c>
      <c r="U5342" s="4">
        <v>294500</v>
      </c>
      <c r="V5342" t="s">
        <v>23739</v>
      </c>
      <c r="W5342" t="s">
        <v>21606</v>
      </c>
      <c r="X5342" t="s">
        <v>3</v>
      </c>
      <c r="AA5342" s="5" t="str">
        <f>HYPERLINK("https://www.zillow.com/homes/100-RODENBURG-RD-ROSELLE-IL-60172_rb/","check listing")</f>
        <v>check listing</v>
      </c>
      <c r="AB5342" s="5" t="str">
        <f>HYPERLINK("https://propertylookup.dupagecounty.gov/Datalets/Datalet.aspx?UseSearch=no&amp;mode=sales&amp;pin=0205409014","sales record")</f>
        <v>sales record</v>
      </c>
      <c r="AC5342" t="s">
        <v>3</v>
      </c>
      <c r="AD5342">
        <v>41.980758</v>
      </c>
      <c r="AE5342">
        <v>-88.110826</v>
      </c>
      <c r="AF5342" s="5" t="str">
        <f>HYPERLINK("https://www.google.com/maps/search/?api=1&amp;query=41.980758,-88.110826","map")</f>
        <v>map</v>
      </c>
    </row>
    <row r="5343" spans="1:32">
      <c r="A5343" t="s">
        <v>5393</v>
      </c>
      <c r="B5343" t="s">
        <v>12918</v>
      </c>
      <c r="C5343" t="s">
        <v>15830</v>
      </c>
      <c r="D5343" t="s">
        <v>16207</v>
      </c>
      <c r="E5343" t="s">
        <v>16218</v>
      </c>
      <c r="F5343" t="s">
        <v>16221</v>
      </c>
      <c r="G5343" t="s">
        <v>16241</v>
      </c>
      <c r="H5343" t="s">
        <v>16241</v>
      </c>
      <c r="I5343" t="s">
        <v>16355</v>
      </c>
      <c r="J5343" t="s">
        <v>16385</v>
      </c>
      <c r="K5343">
        <v>0.201</v>
      </c>
      <c r="L5343">
        <v>8740</v>
      </c>
      <c r="M5343">
        <v>2467</v>
      </c>
      <c r="N5343" t="s">
        <v>16393</v>
      </c>
      <c r="O5343" s="4">
        <v>45278</v>
      </c>
      <c r="P5343" s="4">
        <v>98649</v>
      </c>
      <c r="Q5343" s="4">
        <v>143927</v>
      </c>
      <c r="R5343" s="4">
        <v>431781</v>
      </c>
      <c r="S5343" t="s">
        <v>21607</v>
      </c>
      <c r="T5343" s="6">
        <v>44013</v>
      </c>
      <c r="U5343" s="4">
        <v>309900</v>
      </c>
      <c r="V5343" t="s">
        <v>23739</v>
      </c>
      <c r="W5343" t="s">
        <v>26740</v>
      </c>
      <c r="X5343" t="s">
        <v>3</v>
      </c>
      <c r="AA5343" s="5" t="str">
        <f>HYPERLINK("https://www.zillow.com/homes/1307-BRISTOL-CT-ROSELLE-IL-60172_rb/","check listing")</f>
        <v>check listing</v>
      </c>
      <c r="AB5343" s="5" t="str">
        <f>HYPERLINK("https://propertylookup.dupagecounty.gov/Datalets/Datalet.aspx?UseSearch=no&amp;mode=sales&amp;pin=0205404008","sales record")</f>
        <v>sales record</v>
      </c>
      <c r="AC5343" t="s">
        <v>3</v>
      </c>
      <c r="AD5343">
        <v>41.979397</v>
      </c>
      <c r="AE5343">
        <v>-88.11366700000001</v>
      </c>
      <c r="AF5343" s="5" t="str">
        <f>HYPERLINK("https://www.google.com/maps/search/?api=1&amp;query=41.979397,-88.113667","map")</f>
        <v>map</v>
      </c>
    </row>
    <row r="5344" spans="1:32">
      <c r="A5344" t="s">
        <v>5394</v>
      </c>
      <c r="B5344" t="s">
        <v>12919</v>
      </c>
      <c r="C5344" t="s">
        <v>15830</v>
      </c>
      <c r="D5344" t="s">
        <v>16207</v>
      </c>
      <c r="E5344" t="s">
        <v>16218</v>
      </c>
      <c r="F5344" t="s">
        <v>16221</v>
      </c>
      <c r="G5344" t="s">
        <v>16241</v>
      </c>
      <c r="H5344" t="s">
        <v>16241</v>
      </c>
      <c r="I5344" t="s">
        <v>16355</v>
      </c>
      <c r="J5344" t="s">
        <v>16385</v>
      </c>
      <c r="K5344">
        <v>0.2</v>
      </c>
      <c r="L5344">
        <v>8733</v>
      </c>
      <c r="M5344">
        <v>2372</v>
      </c>
      <c r="N5344" t="s">
        <v>16393</v>
      </c>
      <c r="O5344" s="4">
        <v>45278</v>
      </c>
      <c r="P5344" s="4">
        <v>72352</v>
      </c>
      <c r="Q5344" s="4">
        <v>117630</v>
      </c>
      <c r="R5344" s="4">
        <v>352890</v>
      </c>
      <c r="S5344" t="s">
        <v>21608</v>
      </c>
      <c r="T5344" s="6">
        <v>30987</v>
      </c>
      <c r="U5344" s="4">
        <v>83600</v>
      </c>
      <c r="X5344" t="s">
        <v>3</v>
      </c>
      <c r="AA5344" s="5" t="str">
        <f>HYPERLINK("https://www.zillow.com/homes/580-KENSINGTON-CT-ROSELLE-IL-60172_rb/","check listing")</f>
        <v>check listing</v>
      </c>
      <c r="AB5344" s="5" t="str">
        <f>HYPERLINK("https://propertylookup.dupagecounty.gov/Datalets/Datalet.aspx?UseSearch=no&amp;mode=sales&amp;pin=0208204007","sales record")</f>
        <v>sales record</v>
      </c>
      <c r="AC5344" t="s">
        <v>3</v>
      </c>
      <c r="AD5344">
        <v>41.972004</v>
      </c>
      <c r="AE5344">
        <v>-88.113275</v>
      </c>
      <c r="AF5344" s="5" t="str">
        <f>HYPERLINK("https://www.google.com/maps/search/?api=1&amp;query=41.972004,-88.113275","map")</f>
        <v>map</v>
      </c>
    </row>
    <row r="5345" spans="1:32">
      <c r="A5345" t="s">
        <v>5395</v>
      </c>
      <c r="B5345" t="s">
        <v>12920</v>
      </c>
      <c r="C5345" t="s">
        <v>15875</v>
      </c>
      <c r="D5345" t="s">
        <v>16207</v>
      </c>
      <c r="E5345" t="s">
        <v>16218</v>
      </c>
      <c r="F5345" t="s">
        <v>16221</v>
      </c>
      <c r="G5345" t="s">
        <v>16241</v>
      </c>
      <c r="H5345" t="s">
        <v>16241</v>
      </c>
      <c r="I5345" t="s">
        <v>16355</v>
      </c>
      <c r="J5345" t="s">
        <v>16385</v>
      </c>
      <c r="K5345">
        <v>0.2</v>
      </c>
      <c r="L5345">
        <v>8730</v>
      </c>
      <c r="M5345">
        <v>1815</v>
      </c>
      <c r="N5345" t="s">
        <v>16393</v>
      </c>
      <c r="O5345" s="4">
        <v>38692</v>
      </c>
      <c r="P5345" s="4">
        <v>84197</v>
      </c>
      <c r="Q5345" s="4">
        <v>122889</v>
      </c>
      <c r="R5345" s="4">
        <v>368667</v>
      </c>
      <c r="S5345" t="s">
        <v>21609</v>
      </c>
      <c r="T5345" s="6">
        <v>36739</v>
      </c>
      <c r="U5345" s="4">
        <v>177000</v>
      </c>
      <c r="V5345" t="s">
        <v>23739</v>
      </c>
      <c r="W5345" t="s">
        <v>26741</v>
      </c>
      <c r="X5345" t="s">
        <v>3</v>
      </c>
      <c r="AA5345" s="5" t="str">
        <f>HYPERLINK("https://www.zillow.com/homes/985-WOODSIDE-DR-ROSELLE-IL-601722727_rb/","check listing")</f>
        <v>check listing</v>
      </c>
      <c r="AB5345" s="5" t="str">
        <f>HYPERLINK("https://propertylookup.dupagecounty.gov/Datalets/Datalet.aspx?UseSearch=no&amp;mode=sales&amp;pin=0209305011","sales record")</f>
        <v>sales record</v>
      </c>
      <c r="AC5345" t="s">
        <v>3</v>
      </c>
      <c r="AD5345">
        <v>41.96731</v>
      </c>
      <c r="AE5345">
        <v>-88.104984</v>
      </c>
      <c r="AF5345" s="5" t="str">
        <f>HYPERLINK("https://www.google.com/maps/search/?api=1&amp;query=41.96731,-88.104984","map")</f>
        <v>map</v>
      </c>
    </row>
    <row r="5346" spans="1:32">
      <c r="A5346" t="s">
        <v>5396</v>
      </c>
      <c r="B5346" t="s">
        <v>12921</v>
      </c>
      <c r="C5346" t="s">
        <v>15876</v>
      </c>
      <c r="D5346" t="s">
        <v>16207</v>
      </c>
      <c r="E5346" t="s">
        <v>16218</v>
      </c>
      <c r="F5346" t="s">
        <v>16221</v>
      </c>
      <c r="G5346" t="s">
        <v>16241</v>
      </c>
      <c r="H5346" t="s">
        <v>16241</v>
      </c>
      <c r="I5346" t="s">
        <v>16355</v>
      </c>
      <c r="J5346" t="s">
        <v>16385</v>
      </c>
      <c r="K5346">
        <v>0.2</v>
      </c>
      <c r="L5346">
        <v>8702</v>
      </c>
      <c r="M5346">
        <v>2510</v>
      </c>
      <c r="N5346" t="s">
        <v>16393</v>
      </c>
      <c r="O5346" s="4">
        <v>45278</v>
      </c>
      <c r="P5346" s="4">
        <v>84855</v>
      </c>
      <c r="Q5346" s="4">
        <v>130133</v>
      </c>
      <c r="R5346" s="4">
        <v>390399</v>
      </c>
      <c r="S5346" t="s">
        <v>21610</v>
      </c>
      <c r="T5346" s="6">
        <v>44440</v>
      </c>
      <c r="U5346" s="4">
        <v>335000</v>
      </c>
      <c r="V5346" t="s">
        <v>23739</v>
      </c>
      <c r="W5346" t="s">
        <v>26742</v>
      </c>
      <c r="X5346" t="s">
        <v>3</v>
      </c>
      <c r="AA5346" s="5" t="str">
        <f>HYPERLINK("https://www.zillow.com/homes/485-RIDGEFIELD-DR-ROSELLE-IL-601722830_rb/","check listing")</f>
        <v>check listing</v>
      </c>
      <c r="AB5346" s="5" t="str">
        <f>HYPERLINK("https://propertylookup.dupagecounty.gov/Datalets/Datalet.aspx?UseSearch=no&amp;mode=sales&amp;pin=0209202027","sales record")</f>
        <v>sales record</v>
      </c>
      <c r="AC5346" t="s">
        <v>3</v>
      </c>
      <c r="AD5346">
        <v>41.974193</v>
      </c>
      <c r="AE5346">
        <v>-88.097364</v>
      </c>
      <c r="AF5346" s="5" t="str">
        <f>HYPERLINK("https://www.google.com/maps/search/?api=1&amp;query=41.974193,-88.097364","map")</f>
        <v>map</v>
      </c>
    </row>
    <row r="5347" spans="1:32">
      <c r="A5347" t="s">
        <v>5397</v>
      </c>
      <c r="B5347" t="s">
        <v>12922</v>
      </c>
      <c r="C5347" t="s">
        <v>15830</v>
      </c>
      <c r="D5347" t="s">
        <v>16207</v>
      </c>
      <c r="E5347" t="s">
        <v>16218</v>
      </c>
      <c r="F5347" t="s">
        <v>16221</v>
      </c>
      <c r="G5347" t="s">
        <v>16241</v>
      </c>
      <c r="H5347" t="s">
        <v>16241</v>
      </c>
      <c r="I5347" t="s">
        <v>16355</v>
      </c>
      <c r="J5347" t="s">
        <v>16385</v>
      </c>
      <c r="K5347">
        <v>0.2</v>
      </c>
      <c r="L5347">
        <v>8696</v>
      </c>
      <c r="M5347">
        <v>1979</v>
      </c>
      <c r="N5347" t="s">
        <v>16393</v>
      </c>
      <c r="O5347" s="4">
        <v>45278</v>
      </c>
      <c r="P5347" s="4">
        <v>77575</v>
      </c>
      <c r="Q5347" s="4">
        <v>122853</v>
      </c>
      <c r="R5347" s="4">
        <v>368559</v>
      </c>
      <c r="S5347" t="s">
        <v>21611</v>
      </c>
      <c r="T5347" s="6">
        <v>30834</v>
      </c>
      <c r="U5347" s="4">
        <v>86805</v>
      </c>
      <c r="X5347" t="s">
        <v>3</v>
      </c>
      <c r="AA5347" s="5" t="str">
        <f>HYPERLINK("https://www.zillow.com/homes/1130-MENSCHING-RD-ROSELLE-IL-60172_rb/","check listing")</f>
        <v>check listing</v>
      </c>
      <c r="AB5347" s="5" t="str">
        <f>HYPERLINK("https://propertylookup.dupagecounty.gov/Datalets/Datalet.aspx?UseSearch=no&amp;mode=sales&amp;pin=0204311016","sales record")</f>
        <v>sales record</v>
      </c>
      <c r="AC5347" t="s">
        <v>3</v>
      </c>
      <c r="AD5347">
        <v>41.981553</v>
      </c>
      <c r="AE5347">
        <v>-88.10879199999999</v>
      </c>
      <c r="AF5347" s="5" t="str">
        <f>HYPERLINK("https://www.google.com/maps/search/?api=1&amp;query=41.981553,-88.108792","map")</f>
        <v>map</v>
      </c>
    </row>
    <row r="5348" spans="1:32">
      <c r="A5348" t="s">
        <v>5398</v>
      </c>
      <c r="B5348" t="s">
        <v>12923</v>
      </c>
      <c r="C5348" t="s">
        <v>15830</v>
      </c>
      <c r="D5348" t="s">
        <v>16207</v>
      </c>
      <c r="E5348" t="s">
        <v>16218</v>
      </c>
      <c r="F5348" t="s">
        <v>16221</v>
      </c>
      <c r="G5348" t="s">
        <v>16241</v>
      </c>
      <c r="H5348" t="s">
        <v>16241</v>
      </c>
      <c r="I5348" t="s">
        <v>16355</v>
      </c>
      <c r="J5348" t="s">
        <v>16385</v>
      </c>
      <c r="K5348">
        <v>0.199</v>
      </c>
      <c r="L5348">
        <v>8680</v>
      </c>
      <c r="M5348">
        <v>1622</v>
      </c>
      <c r="N5348" t="s">
        <v>16393</v>
      </c>
      <c r="O5348" s="4">
        <v>38692</v>
      </c>
      <c r="P5348" s="4">
        <v>77599</v>
      </c>
      <c r="Q5348" s="4">
        <v>116291</v>
      </c>
      <c r="R5348" s="4">
        <v>348873</v>
      </c>
      <c r="S5348" t="s">
        <v>21612</v>
      </c>
      <c r="T5348" s="6">
        <v>36800</v>
      </c>
      <c r="U5348" s="4">
        <v>155500</v>
      </c>
      <c r="V5348" t="s">
        <v>23739</v>
      </c>
      <c r="W5348" t="s">
        <v>21612</v>
      </c>
      <c r="X5348" t="s">
        <v>3</v>
      </c>
      <c r="AA5348" s="5" t="str">
        <f>HYPERLINK("https://www.zillow.com/homes/825-STONEFIELD-PL-ROSELLE-IL-60172_rb/","check listing")</f>
        <v>check listing</v>
      </c>
      <c r="AB5348" s="5" t="str">
        <f>HYPERLINK("https://propertylookup.dupagecounty.gov/Datalets/Datalet.aspx?UseSearch=no&amp;mode=sales&amp;pin=0209102017","sales record")</f>
        <v>sales record</v>
      </c>
      <c r="AC5348" t="s">
        <v>3</v>
      </c>
      <c r="AD5348">
        <v>41.972033</v>
      </c>
      <c r="AE5348">
        <v>-88.10100300000001</v>
      </c>
      <c r="AF5348" s="5" t="str">
        <f>HYPERLINK("https://www.google.com/maps/search/?api=1&amp;query=41.972033,-88.101003","map")</f>
        <v>map</v>
      </c>
    </row>
    <row r="5349" spans="1:32">
      <c r="A5349" t="s">
        <v>5399</v>
      </c>
      <c r="B5349" t="s">
        <v>12924</v>
      </c>
      <c r="C5349" t="s">
        <v>15830</v>
      </c>
      <c r="D5349" t="s">
        <v>16207</v>
      </c>
      <c r="E5349" t="s">
        <v>16218</v>
      </c>
      <c r="F5349" t="s">
        <v>16221</v>
      </c>
      <c r="G5349" t="s">
        <v>16241</v>
      </c>
      <c r="H5349" t="s">
        <v>16241</v>
      </c>
      <c r="I5349" t="s">
        <v>16355</v>
      </c>
      <c r="J5349" t="s">
        <v>16385</v>
      </c>
      <c r="K5349">
        <v>0.199</v>
      </c>
      <c r="L5349">
        <v>8662</v>
      </c>
      <c r="M5349">
        <v>3232</v>
      </c>
      <c r="N5349" t="s">
        <v>16393</v>
      </c>
      <c r="O5349" s="4">
        <v>51351</v>
      </c>
      <c r="P5349" s="4">
        <v>175614</v>
      </c>
      <c r="Q5349" s="4">
        <v>226965</v>
      </c>
      <c r="R5349" s="4">
        <v>680895</v>
      </c>
      <c r="S5349" t="s">
        <v>21613</v>
      </c>
      <c r="T5349" s="6">
        <v>42948</v>
      </c>
      <c r="U5349" s="4">
        <v>505000</v>
      </c>
      <c r="V5349" t="s">
        <v>23739</v>
      </c>
      <c r="W5349" t="s">
        <v>26743</v>
      </c>
      <c r="X5349" t="s">
        <v>3</v>
      </c>
      <c r="AA5349" s="5" t="str">
        <f>HYPERLINK("https://www.zillow.com/homes/50-PELICAN-BAY-ROSELLE-IL-60172_rb/","check listing")</f>
        <v>check listing</v>
      </c>
      <c r="AB5349" s="5" t="str">
        <f>HYPERLINK("https://propertylookup.dupagecounty.gov/Datalets/Datalet.aspx?UseSearch=no&amp;mode=sales&amp;pin=0204103013","sales record")</f>
        <v>sales record</v>
      </c>
      <c r="AC5349" t="s">
        <v>3</v>
      </c>
      <c r="AD5349">
        <v>41.984109</v>
      </c>
      <c r="AE5349">
        <v>-88.107243</v>
      </c>
      <c r="AF5349" s="5" t="str">
        <f>HYPERLINK("https://www.google.com/maps/search/?api=1&amp;query=41.984109,-88.107243","map")</f>
        <v>map</v>
      </c>
    </row>
    <row r="5350" spans="1:32">
      <c r="A5350" t="s">
        <v>5400</v>
      </c>
      <c r="B5350" t="s">
        <v>12925</v>
      </c>
      <c r="C5350" t="s">
        <v>15830</v>
      </c>
      <c r="D5350" t="s">
        <v>16207</v>
      </c>
      <c r="E5350" t="s">
        <v>16218</v>
      </c>
      <c r="F5350" t="s">
        <v>16221</v>
      </c>
      <c r="G5350" t="s">
        <v>16241</v>
      </c>
      <c r="H5350" t="s">
        <v>16241</v>
      </c>
      <c r="I5350" t="s">
        <v>16355</v>
      </c>
      <c r="J5350" t="s">
        <v>16385</v>
      </c>
      <c r="K5350">
        <v>0.199</v>
      </c>
      <c r="L5350">
        <v>8658</v>
      </c>
      <c r="M5350">
        <v>3233</v>
      </c>
      <c r="N5350" t="s">
        <v>16393</v>
      </c>
      <c r="O5350" s="4">
        <v>51351</v>
      </c>
      <c r="P5350" s="4">
        <v>180921</v>
      </c>
      <c r="Q5350" s="4">
        <v>232272</v>
      </c>
      <c r="R5350" s="4">
        <v>696816</v>
      </c>
      <c r="S5350" t="s">
        <v>21614</v>
      </c>
      <c r="T5350" s="6">
        <v>38657</v>
      </c>
      <c r="U5350" s="4">
        <v>770000</v>
      </c>
      <c r="V5350" t="s">
        <v>23739</v>
      </c>
      <c r="W5350" t="s">
        <v>26744</v>
      </c>
      <c r="X5350" t="s">
        <v>3</v>
      </c>
      <c r="AA5350" s="5" t="str">
        <f>HYPERLINK("https://www.zillow.com/homes/40-PELICAN-BAY-ROSELLE-IL-60172_rb/","check listing")</f>
        <v>check listing</v>
      </c>
      <c r="AB5350" s="5" t="str">
        <f>HYPERLINK("https://propertylookup.dupagecounty.gov/Datalets/Datalet.aspx?UseSearch=no&amp;mode=sales&amp;pin=0204103012","sales record")</f>
        <v>sales record</v>
      </c>
      <c r="AC5350" t="s">
        <v>3</v>
      </c>
      <c r="AD5350">
        <v>41.983997</v>
      </c>
      <c r="AE5350">
        <v>-88.107024</v>
      </c>
      <c r="AF5350" s="5" t="str">
        <f>HYPERLINK("https://www.google.com/maps/search/?api=1&amp;query=41.983997,-88.107024","map")</f>
        <v>map</v>
      </c>
    </row>
    <row r="5351" spans="1:32">
      <c r="A5351" t="s">
        <v>5401</v>
      </c>
      <c r="B5351" t="s">
        <v>12926</v>
      </c>
      <c r="C5351" t="s">
        <v>15830</v>
      </c>
      <c r="D5351" t="s">
        <v>16207</v>
      </c>
      <c r="E5351" t="s">
        <v>16218</v>
      </c>
      <c r="F5351" t="s">
        <v>16221</v>
      </c>
      <c r="G5351" t="s">
        <v>16241</v>
      </c>
      <c r="H5351" t="s">
        <v>16241</v>
      </c>
      <c r="I5351" t="s">
        <v>16355</v>
      </c>
      <c r="J5351" t="s">
        <v>16385</v>
      </c>
      <c r="K5351">
        <v>0.198</v>
      </c>
      <c r="L5351">
        <v>8636</v>
      </c>
      <c r="M5351">
        <v>1583</v>
      </c>
      <c r="N5351" t="s">
        <v>16393</v>
      </c>
      <c r="O5351" s="4">
        <v>45278</v>
      </c>
      <c r="P5351" s="4">
        <v>104959</v>
      </c>
      <c r="Q5351" s="4">
        <v>150237</v>
      </c>
      <c r="R5351" s="4">
        <v>450711</v>
      </c>
      <c r="S5351" t="s">
        <v>21615</v>
      </c>
      <c r="T5351" s="6">
        <v>37165</v>
      </c>
      <c r="U5351" s="4">
        <v>272000</v>
      </c>
      <c r="V5351" t="s">
        <v>23739</v>
      </c>
      <c r="W5351" t="s">
        <v>26745</v>
      </c>
      <c r="X5351" t="s">
        <v>3</v>
      </c>
      <c r="AA5351" s="5" t="str">
        <f>HYPERLINK("https://www.zillow.com/homes/1140-COLONY-LN-ROSELLE-IL-60172_rb/","check listing")</f>
        <v>check listing</v>
      </c>
      <c r="AB5351" s="5" t="str">
        <f>HYPERLINK("https://propertylookup.dupagecounty.gov/Datalets/Datalet.aspx?UseSearch=no&amp;mode=sales&amp;pin=0204312015","sales record")</f>
        <v>sales record</v>
      </c>
      <c r="AC5351" t="s">
        <v>3</v>
      </c>
      <c r="AD5351">
        <v>41.980071</v>
      </c>
      <c r="AE5351">
        <v>-88.108867</v>
      </c>
      <c r="AF5351" s="5" t="str">
        <f>HYPERLINK("https://www.google.com/maps/search/?api=1&amp;query=41.980071,-88.108867","map")</f>
        <v>map</v>
      </c>
    </row>
    <row r="5352" spans="1:32">
      <c r="A5352" t="s">
        <v>5402</v>
      </c>
      <c r="B5352" t="s">
        <v>12927</v>
      </c>
      <c r="C5352" t="s">
        <v>15830</v>
      </c>
      <c r="D5352" t="s">
        <v>16207</v>
      </c>
      <c r="E5352" t="s">
        <v>16218</v>
      </c>
      <c r="F5352" t="s">
        <v>16221</v>
      </c>
      <c r="G5352" t="s">
        <v>16241</v>
      </c>
      <c r="H5352" t="s">
        <v>16241</v>
      </c>
      <c r="I5352" t="s">
        <v>16355</v>
      </c>
      <c r="J5352" t="s">
        <v>16385</v>
      </c>
      <c r="K5352">
        <v>0.198</v>
      </c>
      <c r="L5352">
        <v>8616</v>
      </c>
      <c r="M5352">
        <v>1716</v>
      </c>
      <c r="N5352" t="s">
        <v>16393</v>
      </c>
      <c r="O5352" s="4">
        <v>45278</v>
      </c>
      <c r="P5352" s="4">
        <v>84485</v>
      </c>
      <c r="Q5352" s="4">
        <v>129763</v>
      </c>
      <c r="R5352" s="4">
        <v>389289</v>
      </c>
      <c r="S5352" t="s">
        <v>21616</v>
      </c>
      <c r="T5352" s="6">
        <v>37653</v>
      </c>
      <c r="U5352" s="4">
        <v>225000</v>
      </c>
      <c r="V5352" t="s">
        <v>23739</v>
      </c>
      <c r="W5352" t="s">
        <v>26746</v>
      </c>
      <c r="X5352" t="s">
        <v>3</v>
      </c>
      <c r="AA5352" s="5" t="str">
        <f>HYPERLINK("https://www.zillow.com/homes/448-FORDHAM-PL-ROSELLE-IL-60172_rb/","check listing")</f>
        <v>check listing</v>
      </c>
      <c r="AB5352" s="5" t="str">
        <f>HYPERLINK("https://propertylookup.dupagecounty.gov/Datalets/Datalet.aspx?UseSearch=no&amp;mode=sales&amp;pin=0209115012","sales record")</f>
        <v>sales record</v>
      </c>
      <c r="AC5352" t="s">
        <v>3</v>
      </c>
      <c r="AD5352">
        <v>41.97457</v>
      </c>
      <c r="AE5352">
        <v>-88.10303999999999</v>
      </c>
      <c r="AF5352" s="5" t="str">
        <f>HYPERLINK("https://www.google.com/maps/search/?api=1&amp;query=41.97457,-88.10304","map")</f>
        <v>map</v>
      </c>
    </row>
    <row r="5353" spans="1:32">
      <c r="A5353" t="s">
        <v>5403</v>
      </c>
      <c r="B5353" t="s">
        <v>12928</v>
      </c>
      <c r="C5353" t="s">
        <v>15860</v>
      </c>
      <c r="D5353" t="s">
        <v>16207</v>
      </c>
      <c r="E5353" t="s">
        <v>16218</v>
      </c>
      <c r="F5353" t="s">
        <v>16221</v>
      </c>
      <c r="G5353" t="s">
        <v>16241</v>
      </c>
      <c r="H5353" t="s">
        <v>16241</v>
      </c>
      <c r="I5353" t="s">
        <v>16355</v>
      </c>
      <c r="J5353" t="s">
        <v>16385</v>
      </c>
      <c r="K5353">
        <v>0.198</v>
      </c>
      <c r="L5353">
        <v>8608</v>
      </c>
      <c r="M5353">
        <v>1815</v>
      </c>
      <c r="N5353" t="s">
        <v>16393</v>
      </c>
      <c r="O5353" s="4">
        <v>38692</v>
      </c>
      <c r="P5353" s="4">
        <v>104947</v>
      </c>
      <c r="Q5353" s="4">
        <v>143639</v>
      </c>
      <c r="R5353" s="4">
        <v>430917</v>
      </c>
      <c r="S5353" t="s">
        <v>21617</v>
      </c>
      <c r="T5353" s="6">
        <v>32203</v>
      </c>
      <c r="U5353" s="4">
        <v>112000</v>
      </c>
      <c r="X5353" t="s">
        <v>3</v>
      </c>
      <c r="AA5353" s="5" t="str">
        <f>HYPERLINK("https://www.zillow.com/homes/683-RODENBURG-RD-ROSELLE-IL-601722758_rb/","check listing")</f>
        <v>check listing</v>
      </c>
      <c r="AB5353" s="5" t="str">
        <f>HYPERLINK("https://propertylookup.dupagecounty.gov/Datalets/Datalet.aspx?UseSearch=no&amp;mode=sales&amp;pin=0209120015","sales record")</f>
        <v>sales record</v>
      </c>
      <c r="AC5353" t="s">
        <v>3</v>
      </c>
      <c r="AD5353">
        <v>41.970891</v>
      </c>
      <c r="AE5353">
        <v>-88.10945599999999</v>
      </c>
      <c r="AF5353" s="5" t="str">
        <f>HYPERLINK("https://www.google.com/maps/search/?api=1&amp;query=41.970891,-88.109456","map")</f>
        <v>map</v>
      </c>
    </row>
    <row r="5354" spans="1:32">
      <c r="A5354" t="s">
        <v>5404</v>
      </c>
      <c r="B5354" t="s">
        <v>12929</v>
      </c>
      <c r="C5354" t="s">
        <v>15877</v>
      </c>
      <c r="D5354" t="s">
        <v>16207</v>
      </c>
      <c r="E5354" t="s">
        <v>16218</v>
      </c>
      <c r="F5354" t="s">
        <v>16221</v>
      </c>
      <c r="G5354" t="s">
        <v>16241</v>
      </c>
      <c r="H5354" t="s">
        <v>16241</v>
      </c>
      <c r="I5354" t="s">
        <v>16355</v>
      </c>
      <c r="J5354" t="s">
        <v>16385</v>
      </c>
      <c r="K5354">
        <v>0.197</v>
      </c>
      <c r="L5354">
        <v>8600</v>
      </c>
      <c r="M5354">
        <v>1979</v>
      </c>
      <c r="N5354" t="s">
        <v>16393</v>
      </c>
      <c r="O5354" s="4">
        <v>45278</v>
      </c>
      <c r="P5354" s="4">
        <v>96438</v>
      </c>
      <c r="Q5354" s="4">
        <v>141716</v>
      </c>
      <c r="R5354" s="4">
        <v>425148</v>
      </c>
      <c r="S5354" t="s">
        <v>21618</v>
      </c>
      <c r="T5354" s="6">
        <v>33055</v>
      </c>
      <c r="U5354" s="4">
        <v>146000</v>
      </c>
      <c r="X5354" t="s">
        <v>3</v>
      </c>
      <c r="AA5354" s="5" t="str">
        <f>HYPERLINK("https://www.zillow.com/homes/330-CHATHAM-LN-ROSELLE-IL-601721619_rb/","check listing")</f>
        <v>check listing</v>
      </c>
      <c r="AB5354" s="5" t="str">
        <f>HYPERLINK("https://propertylookup.dupagecounty.gov/Datalets/Datalet.aspx?UseSearch=no&amp;mode=sales&amp;pin=0205401041","sales record")</f>
        <v>sales record</v>
      </c>
      <c r="AC5354" t="s">
        <v>3</v>
      </c>
      <c r="AD5354">
        <v>41.976553</v>
      </c>
      <c r="AE5354">
        <v>-88.114028</v>
      </c>
      <c r="AF5354" s="5" t="str">
        <f>HYPERLINK("https://www.google.com/maps/search/?api=1&amp;query=41.976553,-88.114028","map")</f>
        <v>map</v>
      </c>
    </row>
    <row r="5355" spans="1:32">
      <c r="A5355" t="s">
        <v>5405</v>
      </c>
      <c r="B5355" t="s">
        <v>12930</v>
      </c>
      <c r="C5355" t="s">
        <v>15844</v>
      </c>
      <c r="D5355" t="s">
        <v>16207</v>
      </c>
      <c r="E5355" t="s">
        <v>16218</v>
      </c>
      <c r="F5355" t="s">
        <v>16221</v>
      </c>
      <c r="G5355" t="s">
        <v>16241</v>
      </c>
      <c r="H5355" t="s">
        <v>16241</v>
      </c>
      <c r="I5355" t="s">
        <v>16355</v>
      </c>
      <c r="J5355" t="s">
        <v>16385</v>
      </c>
      <c r="K5355">
        <v>0.197</v>
      </c>
      <c r="L5355">
        <v>8592</v>
      </c>
      <c r="M5355">
        <v>3232</v>
      </c>
      <c r="N5355" t="s">
        <v>16393</v>
      </c>
      <c r="O5355" s="4">
        <v>48577</v>
      </c>
      <c r="P5355" s="4">
        <v>174347</v>
      </c>
      <c r="Q5355" s="4">
        <v>222924</v>
      </c>
      <c r="R5355" s="4">
        <v>668772</v>
      </c>
      <c r="S5355" t="s">
        <v>21619</v>
      </c>
      <c r="T5355" s="6">
        <v>38200</v>
      </c>
      <c r="U5355" s="4">
        <v>615000</v>
      </c>
      <c r="V5355" t="s">
        <v>23739</v>
      </c>
      <c r="W5355" t="s">
        <v>21619</v>
      </c>
      <c r="X5355" t="s">
        <v>3</v>
      </c>
      <c r="AA5355" s="5" t="str">
        <f>HYPERLINK("https://www.zillow.com/homes/95-FLAMINGO-DR-ROSELLE-IL-601724733_rb/","check listing")</f>
        <v>check listing</v>
      </c>
      <c r="AB5355" s="5" t="str">
        <f>HYPERLINK("https://propertylookup.dupagecounty.gov/Datalets/Datalet.aspx?UseSearch=no&amp;mode=sales&amp;pin=0204101052","sales record")</f>
        <v>sales record</v>
      </c>
      <c r="AC5355" t="s">
        <v>3</v>
      </c>
      <c r="AD5355">
        <v>41.985068</v>
      </c>
      <c r="AE5355">
        <v>-88.10518399999999</v>
      </c>
      <c r="AF5355" s="5" t="str">
        <f>HYPERLINK("https://www.google.com/maps/search/?api=1&amp;query=41.985068,-88.105184","map")</f>
        <v>map</v>
      </c>
    </row>
    <row r="5356" spans="1:32">
      <c r="A5356" t="s">
        <v>5406</v>
      </c>
      <c r="B5356" t="s">
        <v>12931</v>
      </c>
      <c r="C5356" t="s">
        <v>15830</v>
      </c>
      <c r="D5356" t="s">
        <v>16207</v>
      </c>
      <c r="E5356" t="s">
        <v>16218</v>
      </c>
      <c r="F5356" t="s">
        <v>16221</v>
      </c>
      <c r="G5356" t="s">
        <v>16241</v>
      </c>
      <c r="H5356" t="s">
        <v>16241</v>
      </c>
      <c r="I5356" t="s">
        <v>16355</v>
      </c>
      <c r="J5356" t="s">
        <v>16385</v>
      </c>
      <c r="K5356">
        <v>0.197</v>
      </c>
      <c r="L5356">
        <v>8591</v>
      </c>
      <c r="M5356">
        <v>2771</v>
      </c>
      <c r="N5356" t="s">
        <v>16393</v>
      </c>
      <c r="O5356" s="4">
        <v>48577</v>
      </c>
      <c r="P5356" s="4">
        <v>177945</v>
      </c>
      <c r="Q5356" s="4">
        <v>226522</v>
      </c>
      <c r="R5356" s="4">
        <v>679566</v>
      </c>
      <c r="S5356" t="s">
        <v>21620</v>
      </c>
      <c r="T5356" s="6">
        <v>39234</v>
      </c>
      <c r="U5356" s="4">
        <v>580000</v>
      </c>
      <c r="V5356" t="s">
        <v>23740</v>
      </c>
      <c r="W5356" t="s">
        <v>21620</v>
      </c>
      <c r="X5356" t="s">
        <v>3</v>
      </c>
      <c r="AA5356" s="5" t="str">
        <f>HYPERLINK("https://www.zillow.com/homes/85-FLAMINGO-DR-ROSELLE-IL-60172_rb/","check listing")</f>
        <v>check listing</v>
      </c>
      <c r="AB5356" s="5" t="str">
        <f>HYPERLINK("https://propertylookup.dupagecounty.gov/Datalets/Datalet.aspx?UseSearch=no&amp;mode=sales&amp;pin=0204101051","sales record")</f>
        <v>sales record</v>
      </c>
      <c r="AC5356" t="s">
        <v>3</v>
      </c>
      <c r="AD5356">
        <v>41.984853</v>
      </c>
      <c r="AE5356">
        <v>-88.10518999999999</v>
      </c>
      <c r="AF5356" s="5" t="str">
        <f>HYPERLINK("https://www.google.com/maps/search/?api=1&amp;query=41.984853,-88.10519","map")</f>
        <v>map</v>
      </c>
    </row>
    <row r="5357" spans="1:32">
      <c r="A5357" t="s">
        <v>5407</v>
      </c>
      <c r="B5357" t="s">
        <v>12932</v>
      </c>
      <c r="C5357" t="s">
        <v>15830</v>
      </c>
      <c r="D5357" t="s">
        <v>16207</v>
      </c>
      <c r="E5357" t="s">
        <v>16218</v>
      </c>
      <c r="F5357" t="s">
        <v>16221</v>
      </c>
      <c r="G5357" t="s">
        <v>16241</v>
      </c>
      <c r="H5357" t="s">
        <v>16241</v>
      </c>
      <c r="I5357" t="s">
        <v>16355</v>
      </c>
      <c r="J5357" t="s">
        <v>16385</v>
      </c>
      <c r="K5357">
        <v>0.197</v>
      </c>
      <c r="L5357">
        <v>8591</v>
      </c>
      <c r="M5357">
        <v>3227</v>
      </c>
      <c r="N5357" t="s">
        <v>16393</v>
      </c>
      <c r="O5357" s="4">
        <v>48577</v>
      </c>
      <c r="P5357" s="4">
        <v>209584</v>
      </c>
      <c r="Q5357" s="4">
        <v>258161</v>
      </c>
      <c r="R5357" s="4">
        <v>774483</v>
      </c>
      <c r="S5357" t="s">
        <v>21621</v>
      </c>
      <c r="T5357" s="6">
        <v>42095</v>
      </c>
      <c r="U5357" s="4">
        <v>420000</v>
      </c>
      <c r="V5357" t="s">
        <v>16232</v>
      </c>
      <c r="W5357" t="s">
        <v>26747</v>
      </c>
      <c r="X5357" t="s">
        <v>3</v>
      </c>
      <c r="AA5357" s="5" t="str">
        <f>HYPERLINK("https://www.zillow.com/homes/125-FLAMINGO-DR-ROSELLE-IL-60172_rb/","check listing")</f>
        <v>check listing</v>
      </c>
      <c r="AB5357" s="5" t="str">
        <f>HYPERLINK("https://propertylookup.dupagecounty.gov/Datalets/Datalet.aspx?UseSearch=no&amp;mode=sales&amp;pin=0204101055","sales record")</f>
        <v>sales record</v>
      </c>
      <c r="AC5357" t="s">
        <v>3</v>
      </c>
      <c r="AD5357">
        <v>41.985632</v>
      </c>
      <c r="AE5357">
        <v>-88.10516800000001</v>
      </c>
      <c r="AF5357" s="5" t="str">
        <f>HYPERLINK("https://www.google.com/maps/search/?api=1&amp;query=41.985632,-88.105168","map")</f>
        <v>map</v>
      </c>
    </row>
    <row r="5358" spans="1:32">
      <c r="A5358" t="s">
        <v>5408</v>
      </c>
      <c r="B5358" t="s">
        <v>12933</v>
      </c>
      <c r="C5358" t="s">
        <v>15878</v>
      </c>
      <c r="D5358" t="s">
        <v>16207</v>
      </c>
      <c r="E5358" t="s">
        <v>16218</v>
      </c>
      <c r="F5358" t="s">
        <v>16221</v>
      </c>
      <c r="G5358" t="s">
        <v>16241</v>
      </c>
      <c r="H5358" t="s">
        <v>16241</v>
      </c>
      <c r="I5358" t="s">
        <v>16355</v>
      </c>
      <c r="J5358" t="s">
        <v>16385</v>
      </c>
      <c r="K5358">
        <v>0.197</v>
      </c>
      <c r="L5358">
        <v>8591</v>
      </c>
      <c r="M5358">
        <v>2771</v>
      </c>
      <c r="N5358" t="s">
        <v>16393</v>
      </c>
      <c r="O5358" s="4">
        <v>48577</v>
      </c>
      <c r="P5358" s="4">
        <v>179332</v>
      </c>
      <c r="Q5358" s="4">
        <v>227909</v>
      </c>
      <c r="R5358" s="4">
        <v>683727</v>
      </c>
      <c r="S5358" t="s">
        <v>21622</v>
      </c>
      <c r="T5358" s="6">
        <v>43101</v>
      </c>
      <c r="U5358" s="4">
        <v>445001</v>
      </c>
      <c r="V5358" t="s">
        <v>23739</v>
      </c>
      <c r="W5358" t="s">
        <v>26748</v>
      </c>
      <c r="X5358" t="s">
        <v>3</v>
      </c>
      <c r="AA5358" s="5" t="str">
        <f>HYPERLINK("https://www.zillow.com/homes/105-FLAMINGO-DR-ROSELLE-IL-601724060_rb/","check listing")</f>
        <v>check listing</v>
      </c>
      <c r="AB5358" s="5" t="str">
        <f>HYPERLINK("https://propertylookup.dupagecounty.gov/Datalets/Datalet.aspx?UseSearch=no&amp;mode=sales&amp;pin=0204101053","sales record")</f>
        <v>sales record</v>
      </c>
      <c r="AC5358" t="s">
        <v>3</v>
      </c>
      <c r="AD5358">
        <v>41.985243</v>
      </c>
      <c r="AE5358">
        <v>-88.10517900000001</v>
      </c>
      <c r="AF5358" s="5" t="str">
        <f>HYPERLINK("https://www.google.com/maps/search/?api=1&amp;query=41.985243,-88.105179","map")</f>
        <v>map</v>
      </c>
    </row>
    <row r="5359" spans="1:32">
      <c r="A5359" t="s">
        <v>5409</v>
      </c>
      <c r="B5359" t="s">
        <v>12934</v>
      </c>
      <c r="C5359" t="s">
        <v>15878</v>
      </c>
      <c r="D5359" t="s">
        <v>16207</v>
      </c>
      <c r="E5359" t="s">
        <v>16218</v>
      </c>
      <c r="F5359" t="s">
        <v>16221</v>
      </c>
      <c r="G5359" t="s">
        <v>16241</v>
      </c>
      <c r="H5359" t="s">
        <v>16241</v>
      </c>
      <c r="I5359" t="s">
        <v>16355</v>
      </c>
      <c r="J5359" t="s">
        <v>16385</v>
      </c>
      <c r="K5359">
        <v>0.197</v>
      </c>
      <c r="L5359">
        <v>8591</v>
      </c>
      <c r="M5359">
        <v>2374</v>
      </c>
      <c r="N5359" t="s">
        <v>16393</v>
      </c>
      <c r="O5359" s="4">
        <v>48577</v>
      </c>
      <c r="P5359" s="4">
        <v>164630</v>
      </c>
      <c r="Q5359" s="4">
        <v>213207</v>
      </c>
      <c r="R5359" s="4">
        <v>639621</v>
      </c>
      <c r="S5359" t="s">
        <v>21623</v>
      </c>
      <c r="T5359" s="6">
        <v>35916</v>
      </c>
      <c r="U5359" s="4">
        <v>360000</v>
      </c>
      <c r="X5359" t="s">
        <v>3</v>
      </c>
      <c r="AA5359" s="5" t="str">
        <f>HYPERLINK("https://www.zillow.com/homes/115-FLAMINGO-DR-ROSELLE-IL-601724060_rb/","check listing")</f>
        <v>check listing</v>
      </c>
      <c r="AB5359" s="5" t="str">
        <f>HYPERLINK("https://propertylookup.dupagecounty.gov/Datalets/Datalet.aspx?UseSearch=no&amp;mode=sales&amp;pin=0204101054","sales record")</f>
        <v>sales record</v>
      </c>
      <c r="AC5359" t="s">
        <v>3</v>
      </c>
      <c r="AD5359">
        <v>41.985437</v>
      </c>
      <c r="AE5359">
        <v>-88.10517299999999</v>
      </c>
      <c r="AF5359" s="5" t="str">
        <f>HYPERLINK("https://www.google.com/maps/search/?api=1&amp;query=41.985437,-88.105173","map")</f>
        <v>map</v>
      </c>
    </row>
    <row r="5360" spans="1:32">
      <c r="A5360" t="s">
        <v>5410</v>
      </c>
      <c r="B5360" t="s">
        <v>12935</v>
      </c>
      <c r="C5360" t="s">
        <v>15830</v>
      </c>
      <c r="D5360" t="s">
        <v>16207</v>
      </c>
      <c r="E5360" t="s">
        <v>16218</v>
      </c>
      <c r="F5360" t="s">
        <v>16221</v>
      </c>
      <c r="G5360" t="s">
        <v>16241</v>
      </c>
      <c r="H5360" t="s">
        <v>16241</v>
      </c>
      <c r="I5360" t="s">
        <v>16355</v>
      </c>
      <c r="J5360" t="s">
        <v>16385</v>
      </c>
      <c r="K5360">
        <v>0.197</v>
      </c>
      <c r="L5360">
        <v>8590</v>
      </c>
      <c r="M5360">
        <v>3694</v>
      </c>
      <c r="N5360" t="s">
        <v>16393</v>
      </c>
      <c r="O5360" s="4">
        <v>48577</v>
      </c>
      <c r="P5360" s="4">
        <v>191691</v>
      </c>
      <c r="Q5360" s="4">
        <v>240268</v>
      </c>
      <c r="R5360" s="4">
        <v>720804</v>
      </c>
      <c r="S5360" t="s">
        <v>21624</v>
      </c>
      <c r="T5360" s="6">
        <v>41640</v>
      </c>
      <c r="U5360" s="4">
        <v>510000</v>
      </c>
      <c r="V5360" t="s">
        <v>23740</v>
      </c>
      <c r="W5360" t="s">
        <v>26749</v>
      </c>
      <c r="X5360" t="s">
        <v>3</v>
      </c>
      <c r="AA5360" s="5" t="str">
        <f>HYPERLINK("https://www.zillow.com/homes/75-FLAMINGO-DR-ROSELLE-IL-60172_rb/","check listing")</f>
        <v>check listing</v>
      </c>
      <c r="AB5360" s="5" t="str">
        <f>HYPERLINK("https://propertylookup.dupagecounty.gov/Datalets/Datalet.aspx?UseSearch=no&amp;mode=sales&amp;pin=0204101050","sales record")</f>
        <v>sales record</v>
      </c>
      <c r="AC5360" t="s">
        <v>3</v>
      </c>
      <c r="AD5360">
        <v>41.984658</v>
      </c>
      <c r="AE5360">
        <v>-88.10519600000001</v>
      </c>
      <c r="AF5360" s="5" t="str">
        <f>HYPERLINK("https://www.google.com/maps/search/?api=1&amp;query=41.984658,-88.105196","map")</f>
        <v>map</v>
      </c>
    </row>
    <row r="5361" spans="1:32">
      <c r="A5361" t="s">
        <v>5411</v>
      </c>
      <c r="B5361" t="s">
        <v>12936</v>
      </c>
      <c r="C5361" t="s">
        <v>15830</v>
      </c>
      <c r="D5361" t="s">
        <v>16207</v>
      </c>
      <c r="E5361" t="s">
        <v>16218</v>
      </c>
      <c r="F5361" t="s">
        <v>16221</v>
      </c>
      <c r="G5361" t="s">
        <v>16241</v>
      </c>
      <c r="H5361" t="s">
        <v>16241</v>
      </c>
      <c r="I5361" t="s">
        <v>16355</v>
      </c>
      <c r="J5361" t="s">
        <v>16385</v>
      </c>
      <c r="K5361">
        <v>0.197</v>
      </c>
      <c r="L5361">
        <v>8587</v>
      </c>
      <c r="M5361">
        <v>1814</v>
      </c>
      <c r="N5361" t="s">
        <v>16393</v>
      </c>
      <c r="O5361" s="4">
        <v>45278</v>
      </c>
      <c r="P5361" s="4">
        <v>110147</v>
      </c>
      <c r="Q5361" s="4">
        <v>155425</v>
      </c>
      <c r="R5361" s="4">
        <v>466275</v>
      </c>
      <c r="S5361" t="s">
        <v>21625</v>
      </c>
      <c r="T5361" s="6">
        <v>41487</v>
      </c>
      <c r="U5361" s="4">
        <v>320000</v>
      </c>
      <c r="V5361" t="s">
        <v>23740</v>
      </c>
      <c r="W5361" t="s">
        <v>26750</v>
      </c>
      <c r="X5361" t="s">
        <v>3</v>
      </c>
      <c r="AA5361" s="5" t="str">
        <f>HYPERLINK("https://www.zillow.com/homes/1285-COVENTRY-CT-ROSELLE-IL-60172_rb/","check listing")</f>
        <v>check listing</v>
      </c>
      <c r="AB5361" s="5" t="str">
        <f>HYPERLINK("https://propertylookup.dupagecounty.gov/Datalets/Datalet.aspx?UseSearch=no&amp;mode=sales&amp;pin=0205401060","sales record")</f>
        <v>sales record</v>
      </c>
      <c r="AC5361" t="s">
        <v>3</v>
      </c>
      <c r="AD5361">
        <v>41.981879</v>
      </c>
      <c r="AE5361">
        <v>-88.113041</v>
      </c>
      <c r="AF5361" s="5" t="str">
        <f>HYPERLINK("https://www.google.com/maps/search/?api=1&amp;query=41.981879,-88.113041","map")</f>
        <v>map</v>
      </c>
    </row>
    <row r="5362" spans="1:32">
      <c r="A5362" t="s">
        <v>5412</v>
      </c>
      <c r="B5362" t="s">
        <v>12937</v>
      </c>
      <c r="C5362" t="s">
        <v>15830</v>
      </c>
      <c r="D5362" t="s">
        <v>16207</v>
      </c>
      <c r="E5362" t="s">
        <v>16218</v>
      </c>
      <c r="F5362" t="s">
        <v>16221</v>
      </c>
      <c r="G5362" t="s">
        <v>16241</v>
      </c>
      <c r="H5362" t="s">
        <v>16241</v>
      </c>
      <c r="I5362" t="s">
        <v>16355</v>
      </c>
      <c r="J5362" t="s">
        <v>16385</v>
      </c>
      <c r="K5362">
        <v>0.197</v>
      </c>
      <c r="L5362">
        <v>8582</v>
      </c>
      <c r="M5362">
        <v>2078</v>
      </c>
      <c r="N5362" t="s">
        <v>16393</v>
      </c>
      <c r="O5362" s="4">
        <v>45278</v>
      </c>
      <c r="P5362" s="4">
        <v>86014</v>
      </c>
      <c r="Q5362" s="4">
        <v>131292</v>
      </c>
      <c r="R5362" s="4">
        <v>393876</v>
      </c>
      <c r="S5362" t="s">
        <v>21626</v>
      </c>
      <c r="T5362" s="6">
        <v>34486</v>
      </c>
      <c r="U5362" s="4">
        <v>146500</v>
      </c>
      <c r="X5362" t="s">
        <v>3</v>
      </c>
      <c r="AA5362" s="5" t="str">
        <f>HYPERLINK("https://www.zillow.com/homes/355-HAMSTEAD-CT-ROSELLE-IL-60172_rb/","check listing")</f>
        <v>check listing</v>
      </c>
      <c r="AB5362" s="5" t="str">
        <f>HYPERLINK("https://propertylookup.dupagecounty.gov/Datalets/Datalet.aspx?UseSearch=no&amp;mode=sales&amp;pin=0205406016","sales record")</f>
        <v>sales record</v>
      </c>
      <c r="AC5362" t="s">
        <v>3</v>
      </c>
      <c r="AD5362">
        <v>41.976365</v>
      </c>
      <c r="AE5362">
        <v>-88.113164</v>
      </c>
      <c r="AF5362" s="5" t="str">
        <f>HYPERLINK("https://www.google.com/maps/search/?api=1&amp;query=41.976365,-88.113164","map")</f>
        <v>map</v>
      </c>
    </row>
    <row r="5363" spans="1:32">
      <c r="A5363" t="s">
        <v>5413</v>
      </c>
      <c r="B5363" t="s">
        <v>12938</v>
      </c>
      <c r="C5363" t="s">
        <v>15830</v>
      </c>
      <c r="D5363" t="s">
        <v>16207</v>
      </c>
      <c r="E5363" t="s">
        <v>16218</v>
      </c>
      <c r="F5363" t="s">
        <v>16221</v>
      </c>
      <c r="G5363" t="s">
        <v>16241</v>
      </c>
      <c r="H5363" t="s">
        <v>16241</v>
      </c>
      <c r="I5363" t="s">
        <v>16355</v>
      </c>
      <c r="J5363" t="s">
        <v>16385</v>
      </c>
      <c r="K5363">
        <v>0.197</v>
      </c>
      <c r="L5363">
        <v>8581</v>
      </c>
      <c r="M5363">
        <v>1501</v>
      </c>
      <c r="N5363" t="s">
        <v>16393</v>
      </c>
      <c r="O5363" s="4">
        <v>45278</v>
      </c>
      <c r="P5363" s="4">
        <v>93258</v>
      </c>
      <c r="Q5363" s="4">
        <v>138536</v>
      </c>
      <c r="R5363" s="4">
        <v>415608</v>
      </c>
      <c r="S5363" t="s">
        <v>21627</v>
      </c>
      <c r="X5363" t="s">
        <v>3</v>
      </c>
      <c r="AA5363" s="5" t="str">
        <f>HYPERLINK("https://www.zillow.com/homes/175-CHATHAM-LN-ROSELLE-IL-60172_rb/","check listing")</f>
        <v>check listing</v>
      </c>
      <c r="AB5363" s="5" t="str">
        <f>HYPERLINK("https://propertylookup.dupagecounty.gov/Datalets/Datalet.aspx?UseSearch=no&amp;mode=sales&amp;pin=0205404001","sales record")</f>
        <v>sales record</v>
      </c>
      <c r="AC5363" t="s">
        <v>3</v>
      </c>
      <c r="AD5363">
        <v>41.97936</v>
      </c>
      <c r="AE5363">
        <v>-88.114476</v>
      </c>
      <c r="AF5363" s="5" t="str">
        <f>HYPERLINK("https://www.google.com/maps/search/?api=1&amp;query=41.97936,-88.114476","map")</f>
        <v>map</v>
      </c>
    </row>
    <row r="5364" spans="1:32">
      <c r="A5364" t="s">
        <v>5414</v>
      </c>
      <c r="B5364" t="s">
        <v>12939</v>
      </c>
      <c r="C5364" t="s">
        <v>15830</v>
      </c>
      <c r="D5364" t="s">
        <v>16207</v>
      </c>
      <c r="E5364" t="s">
        <v>16218</v>
      </c>
      <c r="F5364" t="s">
        <v>16221</v>
      </c>
      <c r="G5364" t="s">
        <v>16241</v>
      </c>
      <c r="H5364" t="s">
        <v>16241</v>
      </c>
      <c r="I5364" t="s">
        <v>16355</v>
      </c>
      <c r="J5364" t="s">
        <v>16385</v>
      </c>
      <c r="K5364">
        <v>0.197</v>
      </c>
      <c r="L5364">
        <v>8580</v>
      </c>
      <c r="M5364">
        <v>1451</v>
      </c>
      <c r="N5364" t="s">
        <v>16393</v>
      </c>
      <c r="O5364" s="4">
        <v>45278</v>
      </c>
      <c r="P5364" s="4">
        <v>77886</v>
      </c>
      <c r="Q5364" s="4">
        <v>123164</v>
      </c>
      <c r="R5364" s="4">
        <v>369492</v>
      </c>
      <c r="S5364" t="s">
        <v>21628</v>
      </c>
      <c r="T5364" s="6">
        <v>38687</v>
      </c>
      <c r="U5364" s="4">
        <v>318000</v>
      </c>
      <c r="V5364" t="s">
        <v>23739</v>
      </c>
      <c r="W5364" t="s">
        <v>26751</v>
      </c>
      <c r="X5364" t="s">
        <v>3</v>
      </c>
      <c r="AA5364" s="5" t="str">
        <f>HYPERLINK("https://www.zillow.com/homes/550-AVEBURY-LN-ROSELLE-IL-60172_rb/","check listing")</f>
        <v>check listing</v>
      </c>
      <c r="AB5364" s="5" t="str">
        <f>HYPERLINK("https://propertylookup.dupagecounty.gov/Datalets/Datalet.aspx?UseSearch=no&amp;mode=sales&amp;pin=0209213007","sales record")</f>
        <v>sales record</v>
      </c>
      <c r="AC5364" t="s">
        <v>3</v>
      </c>
      <c r="AD5364">
        <v>41.972841</v>
      </c>
      <c r="AE5364">
        <v>-88.097983</v>
      </c>
      <c r="AF5364" s="5" t="str">
        <f>HYPERLINK("https://www.google.com/maps/search/?api=1&amp;query=41.972841,-88.097983","map")</f>
        <v>map</v>
      </c>
    </row>
    <row r="5365" spans="1:32">
      <c r="A5365" t="s">
        <v>5415</v>
      </c>
      <c r="B5365" t="s">
        <v>12940</v>
      </c>
      <c r="C5365" t="s">
        <v>15879</v>
      </c>
      <c r="D5365" t="s">
        <v>16207</v>
      </c>
      <c r="E5365" t="s">
        <v>16218</v>
      </c>
      <c r="F5365" t="s">
        <v>16221</v>
      </c>
      <c r="G5365" t="s">
        <v>16241</v>
      </c>
      <c r="H5365" t="s">
        <v>16241</v>
      </c>
      <c r="I5365" t="s">
        <v>16355</v>
      </c>
      <c r="J5365" t="s">
        <v>16385</v>
      </c>
      <c r="K5365">
        <v>0.197</v>
      </c>
      <c r="L5365">
        <v>8573</v>
      </c>
      <c r="M5365">
        <v>1432</v>
      </c>
      <c r="N5365" t="s">
        <v>16393</v>
      </c>
      <c r="O5365" s="4">
        <v>49558</v>
      </c>
      <c r="P5365" s="4">
        <v>58068</v>
      </c>
      <c r="Q5365" s="4">
        <v>107626</v>
      </c>
      <c r="R5365" s="4">
        <v>322878</v>
      </c>
      <c r="S5365" t="s">
        <v>21629</v>
      </c>
      <c r="T5365" s="6">
        <v>38869</v>
      </c>
      <c r="U5365" s="4">
        <v>285000</v>
      </c>
      <c r="V5365" t="s">
        <v>23739</v>
      </c>
      <c r="W5365" t="s">
        <v>26752</v>
      </c>
      <c r="X5365" t="s">
        <v>3</v>
      </c>
      <c r="AA5365" s="5" t="str">
        <f>HYPERLINK("https://www.zillow.com/homes/54-E-HATTENDORF-AVE-ROSELLE-IL-601721526_rb/","check listing")</f>
        <v>check listing</v>
      </c>
      <c r="AB5365" s="5" t="str">
        <f>HYPERLINK("https://propertylookup.dupagecounty.gov/Datalets/Datalet.aspx?UseSearch=no&amp;mode=sales&amp;pin=0203206006","sales record")</f>
        <v>sales record</v>
      </c>
      <c r="AC5365" t="s">
        <v>3</v>
      </c>
      <c r="AD5365">
        <v>41.985495</v>
      </c>
      <c r="AE5365">
        <v>-88.077769</v>
      </c>
      <c r="AF5365" s="5" t="str">
        <f>HYPERLINK("https://www.google.com/maps/search/?api=1&amp;query=41.985495,-88.077769","map")</f>
        <v>map</v>
      </c>
    </row>
    <row r="5366" spans="1:32">
      <c r="A5366" t="s">
        <v>5416</v>
      </c>
      <c r="B5366" t="s">
        <v>12941</v>
      </c>
      <c r="C5366" t="s">
        <v>15830</v>
      </c>
      <c r="D5366" t="s">
        <v>16207</v>
      </c>
      <c r="E5366" t="s">
        <v>16218</v>
      </c>
      <c r="F5366" t="s">
        <v>16221</v>
      </c>
      <c r="G5366" t="s">
        <v>16241</v>
      </c>
      <c r="H5366" t="s">
        <v>16241</v>
      </c>
      <c r="I5366" t="s">
        <v>16355</v>
      </c>
      <c r="J5366" t="s">
        <v>16385</v>
      </c>
      <c r="K5366">
        <v>0.196</v>
      </c>
      <c r="L5366">
        <v>8543</v>
      </c>
      <c r="M5366">
        <v>1979</v>
      </c>
      <c r="N5366" t="s">
        <v>16393</v>
      </c>
      <c r="O5366" s="4">
        <v>45278</v>
      </c>
      <c r="P5366" s="4">
        <v>85297</v>
      </c>
      <c r="Q5366" s="4">
        <v>130575</v>
      </c>
      <c r="R5366" s="4">
        <v>391725</v>
      </c>
      <c r="S5366" t="s">
        <v>21630</v>
      </c>
      <c r="T5366" s="6">
        <v>40878</v>
      </c>
      <c r="U5366" s="4">
        <v>220000</v>
      </c>
      <c r="V5366" t="s">
        <v>23740</v>
      </c>
      <c r="W5366" t="s">
        <v>26753</v>
      </c>
      <c r="X5366" t="s">
        <v>3</v>
      </c>
      <c r="AA5366" s="5" t="str">
        <f>HYPERLINK("https://www.zillow.com/homes/310-BRIGHTON-BAY-ROSELLE-IL-60172_rb/","check listing")</f>
        <v>check listing</v>
      </c>
      <c r="AB5366" s="5" t="str">
        <f>HYPERLINK("https://propertylookup.dupagecounty.gov/Datalets/Datalet.aspx?UseSearch=no&amp;mode=sales&amp;pin=0205401025","sales record")</f>
        <v>sales record</v>
      </c>
      <c r="AC5366" t="s">
        <v>3</v>
      </c>
      <c r="AD5366">
        <v>41.977072</v>
      </c>
      <c r="AE5366">
        <v>-88.11526000000001</v>
      </c>
      <c r="AF5366" s="5" t="str">
        <f>HYPERLINK("https://www.google.com/maps/search/?api=1&amp;query=41.977072,-88.11526","map")</f>
        <v>map</v>
      </c>
    </row>
    <row r="5367" spans="1:32">
      <c r="A5367" t="s">
        <v>5417</v>
      </c>
      <c r="B5367" t="s">
        <v>12942</v>
      </c>
      <c r="C5367" t="s">
        <v>15830</v>
      </c>
      <c r="D5367" t="s">
        <v>16207</v>
      </c>
      <c r="E5367" t="s">
        <v>16218</v>
      </c>
      <c r="F5367" t="s">
        <v>16221</v>
      </c>
      <c r="G5367" t="s">
        <v>16241</v>
      </c>
      <c r="H5367" t="s">
        <v>16241</v>
      </c>
      <c r="I5367" t="s">
        <v>16355</v>
      </c>
      <c r="J5367" t="s">
        <v>16385</v>
      </c>
      <c r="K5367">
        <v>0.196</v>
      </c>
      <c r="L5367">
        <v>8535</v>
      </c>
      <c r="M5367">
        <v>1633</v>
      </c>
      <c r="N5367" t="s">
        <v>16393</v>
      </c>
      <c r="O5367" s="4">
        <v>45278</v>
      </c>
      <c r="P5367" s="4">
        <v>90915</v>
      </c>
      <c r="Q5367" s="4">
        <v>136193</v>
      </c>
      <c r="R5367" s="4">
        <v>408579</v>
      </c>
      <c r="S5367" t="s">
        <v>21631</v>
      </c>
      <c r="T5367" s="6">
        <v>38078</v>
      </c>
      <c r="U5367" s="4">
        <v>277000</v>
      </c>
      <c r="V5367" t="s">
        <v>23739</v>
      </c>
      <c r="W5367" t="s">
        <v>26754</v>
      </c>
      <c r="X5367" t="s">
        <v>3</v>
      </c>
      <c r="AA5367" s="5" t="str">
        <f>HYPERLINK("https://www.zillow.com/homes/249-CHATHAM-CT-ROSELLE-IL-60172_rb/","check listing")</f>
        <v>check listing</v>
      </c>
      <c r="AB5367" s="5" t="str">
        <f>HYPERLINK("https://propertylookup.dupagecounty.gov/Datalets/Datalet.aspx?UseSearch=no&amp;mode=sales&amp;pin=0205405003","sales record")</f>
        <v>sales record</v>
      </c>
      <c r="AC5367" t="s">
        <v>3</v>
      </c>
      <c r="AD5367">
        <v>41.978238</v>
      </c>
      <c r="AE5367">
        <v>-88.11397700000001</v>
      </c>
      <c r="AF5367" s="5" t="str">
        <f>HYPERLINK("https://www.google.com/maps/search/?api=1&amp;query=41.978238,-88.113977","map")</f>
        <v>map</v>
      </c>
    </row>
    <row r="5368" spans="1:32">
      <c r="A5368" t="s">
        <v>5418</v>
      </c>
      <c r="B5368" t="s">
        <v>12943</v>
      </c>
      <c r="C5368" t="s">
        <v>15830</v>
      </c>
      <c r="D5368" t="s">
        <v>16207</v>
      </c>
      <c r="E5368" t="s">
        <v>16218</v>
      </c>
      <c r="F5368" t="s">
        <v>16221</v>
      </c>
      <c r="G5368" t="s">
        <v>16241</v>
      </c>
      <c r="H5368" t="s">
        <v>16241</v>
      </c>
      <c r="I5368" t="s">
        <v>16355</v>
      </c>
      <c r="J5368" t="s">
        <v>16385</v>
      </c>
      <c r="K5368">
        <v>0.196</v>
      </c>
      <c r="L5368">
        <v>8531</v>
      </c>
      <c r="M5368">
        <v>1996</v>
      </c>
      <c r="N5368" t="s">
        <v>16393</v>
      </c>
      <c r="O5368" s="4">
        <v>38692</v>
      </c>
      <c r="P5368" s="4">
        <v>55546</v>
      </c>
      <c r="Q5368" s="4">
        <v>94238</v>
      </c>
      <c r="R5368" s="4">
        <v>282714</v>
      </c>
      <c r="S5368" t="s">
        <v>21632</v>
      </c>
      <c r="T5368" s="6">
        <v>44838</v>
      </c>
      <c r="U5368" s="4">
        <v>282000</v>
      </c>
      <c r="V5368" t="s">
        <v>23739</v>
      </c>
      <c r="W5368" t="s">
        <v>26755</v>
      </c>
      <c r="X5368" t="s">
        <v>3</v>
      </c>
      <c r="AA5368" s="5" t="str">
        <f>HYPERLINK("https://www.zillow.com/homes/697-FOXDALE-CT-ROSELLE-IL-60172_rb/","check listing")</f>
        <v>check listing</v>
      </c>
      <c r="AB5368" s="5" t="str">
        <f>HYPERLINK("https://propertylookup.dupagecounty.gov/Datalets/Datalet.aspx?UseSearch=no&amp;mode=sales&amp;pin=0209123001","sales record")</f>
        <v>sales record</v>
      </c>
      <c r="AC5368" t="s">
        <v>3</v>
      </c>
      <c r="AD5368">
        <v>41.969952</v>
      </c>
      <c r="AE5368">
        <v>-88.11051500000001</v>
      </c>
      <c r="AF5368" s="5" t="str">
        <f>HYPERLINK("https://www.google.com/maps/search/?api=1&amp;query=41.969952,-88.110515","map")</f>
        <v>map</v>
      </c>
    </row>
    <row r="5369" spans="1:32">
      <c r="A5369" t="s">
        <v>5419</v>
      </c>
      <c r="B5369" t="s">
        <v>12944</v>
      </c>
      <c r="C5369" t="s">
        <v>15830</v>
      </c>
      <c r="D5369" t="s">
        <v>16207</v>
      </c>
      <c r="E5369" t="s">
        <v>16218</v>
      </c>
      <c r="F5369" t="s">
        <v>16221</v>
      </c>
      <c r="G5369" t="s">
        <v>16241</v>
      </c>
      <c r="H5369" t="s">
        <v>16241</v>
      </c>
      <c r="I5369" t="s">
        <v>16355</v>
      </c>
      <c r="J5369" t="s">
        <v>16385</v>
      </c>
      <c r="K5369">
        <v>0.195</v>
      </c>
      <c r="L5369">
        <v>8504</v>
      </c>
      <c r="M5369">
        <v>2309</v>
      </c>
      <c r="N5369" t="s">
        <v>16393</v>
      </c>
      <c r="O5369" s="4">
        <v>45278</v>
      </c>
      <c r="P5369" s="4">
        <v>109084</v>
      </c>
      <c r="Q5369" s="4">
        <v>154362</v>
      </c>
      <c r="R5369" s="4">
        <v>463086</v>
      </c>
      <c r="S5369" t="s">
        <v>21633</v>
      </c>
      <c r="T5369" s="6">
        <v>39295</v>
      </c>
      <c r="U5369" s="4">
        <v>360000</v>
      </c>
      <c r="V5369" t="s">
        <v>23739</v>
      </c>
      <c r="W5369" t="s">
        <v>26756</v>
      </c>
      <c r="X5369" t="s">
        <v>3</v>
      </c>
      <c r="AA5369" s="5" t="str">
        <f>HYPERLINK("https://www.zillow.com/homes/90-CHATHAM-LN-ROSELLE-IL-60172_rb/","check listing")</f>
        <v>check listing</v>
      </c>
      <c r="AB5369" s="5" t="str">
        <f>HYPERLINK("https://propertylookup.dupagecounty.gov/Datalets/Datalet.aspx?UseSearch=no&amp;mode=sales&amp;pin=0205401003","sales record")</f>
        <v>sales record</v>
      </c>
      <c r="AC5369" t="s">
        <v>3</v>
      </c>
      <c r="AD5369">
        <v>41.980897</v>
      </c>
      <c r="AE5369">
        <v>-88.115104</v>
      </c>
      <c r="AF5369" s="5" t="str">
        <f>HYPERLINK("https://www.google.com/maps/search/?api=1&amp;query=41.980897,-88.115104","map")</f>
        <v>map</v>
      </c>
    </row>
    <row r="5370" spans="1:32">
      <c r="A5370" t="s">
        <v>5420</v>
      </c>
      <c r="B5370" t="s">
        <v>12945</v>
      </c>
      <c r="C5370" t="s">
        <v>15830</v>
      </c>
      <c r="D5370" t="s">
        <v>16207</v>
      </c>
      <c r="E5370" t="s">
        <v>16218</v>
      </c>
      <c r="F5370" t="s">
        <v>16221</v>
      </c>
      <c r="G5370" t="s">
        <v>16241</v>
      </c>
      <c r="H5370" t="s">
        <v>16241</v>
      </c>
      <c r="I5370" t="s">
        <v>16355</v>
      </c>
      <c r="J5370" t="s">
        <v>16385</v>
      </c>
      <c r="K5370">
        <v>0.195</v>
      </c>
      <c r="L5370">
        <v>8485</v>
      </c>
      <c r="M5370">
        <v>3002</v>
      </c>
      <c r="N5370" t="s">
        <v>16393</v>
      </c>
      <c r="O5370" s="4">
        <v>51278</v>
      </c>
      <c r="P5370" s="4">
        <v>181793</v>
      </c>
      <c r="Q5370" s="4">
        <v>233071</v>
      </c>
      <c r="R5370" s="4">
        <v>699213</v>
      </c>
      <c r="S5370" t="s">
        <v>21634</v>
      </c>
      <c r="T5370" s="6">
        <v>39203</v>
      </c>
      <c r="U5370" s="4">
        <v>710000</v>
      </c>
      <c r="V5370" t="s">
        <v>23739</v>
      </c>
      <c r="W5370" t="s">
        <v>26757</v>
      </c>
      <c r="X5370" t="s">
        <v>3</v>
      </c>
      <c r="AA5370" s="5" t="str">
        <f>HYPERLINK("https://www.zillow.com/homes/1090-FLAMINGO-DR-ROSELLE-IL-60172_rb/","check listing")</f>
        <v>check listing</v>
      </c>
      <c r="AB5370" s="5" t="str">
        <f>HYPERLINK("https://propertylookup.dupagecounty.gov/Datalets/Datalet.aspx?UseSearch=no&amp;mode=sales&amp;pin=0204103008","sales record")</f>
        <v>sales record</v>
      </c>
      <c r="AC5370" t="s">
        <v>3</v>
      </c>
      <c r="AD5370">
        <v>41.983849</v>
      </c>
      <c r="AE5370">
        <v>-88.107418</v>
      </c>
      <c r="AF5370" s="5" t="str">
        <f>HYPERLINK("https://www.google.com/maps/search/?api=1&amp;query=41.983849,-88.107418","map")</f>
        <v>map</v>
      </c>
    </row>
    <row r="5371" spans="1:32">
      <c r="A5371" t="s">
        <v>5421</v>
      </c>
      <c r="B5371" t="s">
        <v>12946</v>
      </c>
      <c r="C5371" t="s">
        <v>15830</v>
      </c>
      <c r="D5371" t="s">
        <v>16207</v>
      </c>
      <c r="E5371" t="s">
        <v>16218</v>
      </c>
      <c r="F5371" t="s">
        <v>16221</v>
      </c>
      <c r="G5371" t="s">
        <v>16241</v>
      </c>
      <c r="H5371" t="s">
        <v>16241</v>
      </c>
      <c r="I5371" t="s">
        <v>16355</v>
      </c>
      <c r="J5371" t="s">
        <v>16385</v>
      </c>
      <c r="K5371">
        <v>0.194</v>
      </c>
      <c r="L5371">
        <v>8464</v>
      </c>
      <c r="M5371">
        <v>1813</v>
      </c>
      <c r="N5371" t="s">
        <v>16393</v>
      </c>
      <c r="O5371" s="4">
        <v>38692</v>
      </c>
      <c r="P5371" s="4">
        <v>81365</v>
      </c>
      <c r="Q5371" s="4">
        <v>120057</v>
      </c>
      <c r="R5371" s="4">
        <v>360171</v>
      </c>
      <c r="S5371" t="s">
        <v>21635</v>
      </c>
      <c r="T5371" s="6">
        <v>45316</v>
      </c>
      <c r="U5371" s="4">
        <v>345000</v>
      </c>
      <c r="V5371" t="s">
        <v>23739</v>
      </c>
      <c r="W5371" t="s">
        <v>26758</v>
      </c>
      <c r="X5371" t="s">
        <v>3</v>
      </c>
      <c r="AA5371" s="5" t="str">
        <f>HYPERLINK("https://www.zillow.com/homes/1200-SINGLETON-DR-ROSELLE-IL-60172_rb/","check listing")</f>
        <v>check listing</v>
      </c>
      <c r="AB5371" s="5" t="str">
        <f>HYPERLINK("https://propertylookup.dupagecounty.gov/Datalets/Datalet.aspx?UseSearch=no&amp;mode=sales&amp;pin=0204309050","sales record")</f>
        <v>sales record</v>
      </c>
      <c r="AC5371" t="s">
        <v>3</v>
      </c>
      <c r="AD5371">
        <v>41.97942</v>
      </c>
      <c r="AE5371">
        <v>-88.110457</v>
      </c>
      <c r="AF5371" s="5" t="str">
        <f>HYPERLINK("https://www.google.com/maps/search/?api=1&amp;query=41.97942,-88.110457","map")</f>
        <v>map</v>
      </c>
    </row>
    <row r="5372" spans="1:32">
      <c r="A5372" t="s">
        <v>5422</v>
      </c>
      <c r="B5372" t="s">
        <v>12947</v>
      </c>
      <c r="C5372" t="s">
        <v>15830</v>
      </c>
      <c r="D5372" t="s">
        <v>16207</v>
      </c>
      <c r="E5372" t="s">
        <v>16218</v>
      </c>
      <c r="F5372" t="s">
        <v>16221</v>
      </c>
      <c r="G5372" t="s">
        <v>16241</v>
      </c>
      <c r="H5372" t="s">
        <v>16241</v>
      </c>
      <c r="I5372" t="s">
        <v>16355</v>
      </c>
      <c r="J5372" t="s">
        <v>16385</v>
      </c>
      <c r="K5372">
        <v>0.194</v>
      </c>
      <c r="L5372">
        <v>8446</v>
      </c>
      <c r="M5372">
        <v>2595</v>
      </c>
      <c r="N5372" t="s">
        <v>16393</v>
      </c>
      <c r="O5372" s="4">
        <v>45278</v>
      </c>
      <c r="P5372" s="4">
        <v>79237</v>
      </c>
      <c r="Q5372" s="4">
        <v>124515</v>
      </c>
      <c r="R5372" s="4">
        <v>373545</v>
      </c>
      <c r="S5372" t="s">
        <v>21636</v>
      </c>
      <c r="T5372" s="6">
        <v>36039</v>
      </c>
      <c r="U5372" s="4">
        <v>159500</v>
      </c>
      <c r="X5372" t="s">
        <v>3</v>
      </c>
      <c r="AA5372" s="5" t="str">
        <f>HYPERLINK("https://www.zillow.com/homes/1230-ANDOVER-DR-ROSELLE-IL-60172_rb/","check listing")</f>
        <v>check listing</v>
      </c>
      <c r="AB5372" s="5" t="str">
        <f>HYPERLINK("https://propertylookup.dupagecounty.gov/Datalets/Datalet.aspx?UseSearch=no&amp;mode=sales&amp;pin=0205409012","sales record")</f>
        <v>sales record</v>
      </c>
      <c r="AC5372" t="s">
        <v>3</v>
      </c>
      <c r="AD5372">
        <v>41.980712</v>
      </c>
      <c r="AE5372">
        <v>-88.11144899999999</v>
      </c>
      <c r="AF5372" s="5" t="str">
        <f>HYPERLINK("https://www.google.com/maps/search/?api=1&amp;query=41.980712,-88.111449","map")</f>
        <v>map</v>
      </c>
    </row>
    <row r="5373" spans="1:32">
      <c r="A5373" t="s">
        <v>5423</v>
      </c>
      <c r="B5373" t="s">
        <v>12948</v>
      </c>
      <c r="C5373" t="s">
        <v>15830</v>
      </c>
      <c r="D5373" t="s">
        <v>16207</v>
      </c>
      <c r="E5373" t="s">
        <v>16218</v>
      </c>
      <c r="F5373" t="s">
        <v>16221</v>
      </c>
      <c r="G5373" t="s">
        <v>16241</v>
      </c>
      <c r="H5373" t="s">
        <v>16241</v>
      </c>
      <c r="I5373" t="s">
        <v>16355</v>
      </c>
      <c r="J5373" t="s">
        <v>16385</v>
      </c>
      <c r="K5373">
        <v>0.194</v>
      </c>
      <c r="L5373">
        <v>8445</v>
      </c>
      <c r="M5373">
        <v>1649</v>
      </c>
      <c r="N5373" t="s">
        <v>16393</v>
      </c>
      <c r="O5373" s="4">
        <v>38692</v>
      </c>
      <c r="P5373" s="4">
        <v>86791</v>
      </c>
      <c r="Q5373" s="4">
        <v>125483</v>
      </c>
      <c r="R5373" s="4">
        <v>376449</v>
      </c>
      <c r="S5373" t="s">
        <v>21637</v>
      </c>
      <c r="T5373" s="6">
        <v>32905</v>
      </c>
      <c r="U5373" s="4">
        <v>115000</v>
      </c>
      <c r="X5373" t="s">
        <v>3</v>
      </c>
      <c r="AA5373" s="5" t="str">
        <f>HYPERLINK("https://www.zillow.com/homes/709-BERWICK-PLACE-ROSELLE-IL-60172_rb/","check listing")</f>
        <v>check listing</v>
      </c>
      <c r="AB5373" s="5" t="str">
        <f>HYPERLINK("https://propertylookup.dupagecounty.gov/Datalets/Datalet.aspx?UseSearch=no&amp;mode=sales&amp;pin=0208215006","sales record")</f>
        <v>sales record</v>
      </c>
      <c r="AC5373" t="s">
        <v>3</v>
      </c>
      <c r="AD5373">
        <v>41.970037</v>
      </c>
      <c r="AE5373">
        <v>-88.111396</v>
      </c>
      <c r="AF5373" s="5" t="str">
        <f>HYPERLINK("https://www.google.com/maps/search/?api=1&amp;query=41.970037,-88.111396","map")</f>
        <v>map</v>
      </c>
    </row>
    <row r="5374" spans="1:32">
      <c r="A5374" t="s">
        <v>5424</v>
      </c>
      <c r="B5374" t="s">
        <v>12949</v>
      </c>
      <c r="C5374" t="s">
        <v>15873</v>
      </c>
      <c r="D5374" t="s">
        <v>16207</v>
      </c>
      <c r="E5374" t="s">
        <v>16218</v>
      </c>
      <c r="F5374" t="s">
        <v>16221</v>
      </c>
      <c r="G5374" t="s">
        <v>16241</v>
      </c>
      <c r="H5374" t="s">
        <v>16241</v>
      </c>
      <c r="I5374" t="s">
        <v>16355</v>
      </c>
      <c r="J5374" t="s">
        <v>16385</v>
      </c>
      <c r="K5374">
        <v>0.194</v>
      </c>
      <c r="L5374">
        <v>8439</v>
      </c>
      <c r="M5374">
        <v>1810</v>
      </c>
      <c r="N5374" t="s">
        <v>16393</v>
      </c>
      <c r="O5374" s="4">
        <v>45278</v>
      </c>
      <c r="P5374" s="4">
        <v>104709</v>
      </c>
      <c r="Q5374" s="4">
        <v>149987</v>
      </c>
      <c r="R5374" s="4">
        <v>449961</v>
      </c>
      <c r="S5374" t="s">
        <v>21638</v>
      </c>
      <c r="T5374" s="6">
        <v>44197</v>
      </c>
      <c r="U5374" s="4">
        <v>323000</v>
      </c>
      <c r="V5374" t="s">
        <v>23739</v>
      </c>
      <c r="W5374" t="s">
        <v>26759</v>
      </c>
      <c r="X5374" t="s">
        <v>3</v>
      </c>
      <c r="AA5374" s="5" t="str">
        <f>HYPERLINK("https://www.zillow.com/homes/200-CHATHAM-LN-ROSELLE-IL-601721617_rb/","check listing")</f>
        <v>check listing</v>
      </c>
      <c r="AB5374" s="5" t="str">
        <f>HYPERLINK("https://propertylookup.dupagecounty.gov/Datalets/Datalet.aspx?UseSearch=no&amp;mode=sales&amp;pin=0205401014","sales record")</f>
        <v>sales record</v>
      </c>
      <c r="AC5374" t="s">
        <v>3</v>
      </c>
      <c r="AD5374">
        <v>41.978853</v>
      </c>
      <c r="AE5374">
        <v>-88.11511299999999</v>
      </c>
      <c r="AF5374" s="5" t="str">
        <f>HYPERLINK("https://www.google.com/maps/search/?api=1&amp;query=41.978853,-88.115113","map")</f>
        <v>map</v>
      </c>
    </row>
    <row r="5375" spans="1:32">
      <c r="A5375" t="s">
        <v>5425</v>
      </c>
      <c r="B5375" t="s">
        <v>12950</v>
      </c>
      <c r="C5375" t="s">
        <v>15830</v>
      </c>
      <c r="D5375" t="s">
        <v>16207</v>
      </c>
      <c r="E5375" t="s">
        <v>16218</v>
      </c>
      <c r="F5375" t="s">
        <v>16221</v>
      </c>
      <c r="G5375" t="s">
        <v>16241</v>
      </c>
      <c r="H5375" t="s">
        <v>16241</v>
      </c>
      <c r="I5375" t="s">
        <v>16355</v>
      </c>
      <c r="J5375" t="s">
        <v>16385</v>
      </c>
      <c r="K5375">
        <v>0.194</v>
      </c>
      <c r="L5375">
        <v>8429</v>
      </c>
      <c r="M5375">
        <v>2310</v>
      </c>
      <c r="N5375" t="s">
        <v>16393</v>
      </c>
      <c r="O5375" s="4">
        <v>45278</v>
      </c>
      <c r="P5375" s="4">
        <v>97824</v>
      </c>
      <c r="Q5375" s="4">
        <v>143102</v>
      </c>
      <c r="R5375" s="4">
        <v>429306</v>
      </c>
      <c r="S5375" t="s">
        <v>21639</v>
      </c>
      <c r="T5375" s="6">
        <v>35855</v>
      </c>
      <c r="U5375" s="4">
        <v>166275</v>
      </c>
      <c r="X5375" t="s">
        <v>3</v>
      </c>
      <c r="AA5375" s="5" t="str">
        <f>HYPERLINK("https://www.zillow.com/homes/1250-WATERBURY-LN-ROSELLE-IL-60172_rb/","check listing")</f>
        <v>check listing</v>
      </c>
      <c r="AB5375" s="5" t="str">
        <f>HYPERLINK("https://propertylookup.dupagecounty.gov/Datalets/Datalet.aspx?UseSearch=no&amp;mode=sales&amp;pin=0205407016","sales record")</f>
        <v>sales record</v>
      </c>
      <c r="AC5375" t="s">
        <v>3</v>
      </c>
      <c r="AD5375">
        <v>41.975602</v>
      </c>
      <c r="AE5375">
        <v>-88.112712</v>
      </c>
      <c r="AF5375" s="5" t="str">
        <f>HYPERLINK("https://www.google.com/maps/search/?api=1&amp;query=41.975602,-88.112712","map")</f>
        <v>map</v>
      </c>
    </row>
    <row r="5376" spans="1:32">
      <c r="A5376" t="s">
        <v>5426</v>
      </c>
      <c r="B5376" t="s">
        <v>12951</v>
      </c>
      <c r="C5376" t="s">
        <v>15880</v>
      </c>
      <c r="D5376" t="s">
        <v>16207</v>
      </c>
      <c r="E5376" t="s">
        <v>16218</v>
      </c>
      <c r="F5376" t="s">
        <v>16221</v>
      </c>
      <c r="G5376" t="s">
        <v>16241</v>
      </c>
      <c r="H5376" t="s">
        <v>16241</v>
      </c>
      <c r="I5376" t="s">
        <v>16355</v>
      </c>
      <c r="J5376" t="s">
        <v>16385</v>
      </c>
      <c r="K5376">
        <v>0.193</v>
      </c>
      <c r="L5376">
        <v>8406</v>
      </c>
      <c r="M5376">
        <v>1847</v>
      </c>
      <c r="N5376" t="s">
        <v>16393</v>
      </c>
      <c r="O5376" s="4">
        <v>45278</v>
      </c>
      <c r="P5376" s="4">
        <v>98230</v>
      </c>
      <c r="Q5376" s="4">
        <v>143508</v>
      </c>
      <c r="R5376" s="4">
        <v>430524</v>
      </c>
      <c r="S5376" t="s">
        <v>21640</v>
      </c>
      <c r="T5376" s="6">
        <v>39995</v>
      </c>
      <c r="U5376" s="4">
        <v>250000</v>
      </c>
      <c r="V5376" t="s">
        <v>16232</v>
      </c>
      <c r="W5376" t="s">
        <v>26760</v>
      </c>
      <c r="X5376" t="s">
        <v>3</v>
      </c>
      <c r="AA5376" s="5" t="str">
        <f>HYPERLINK("https://www.zillow.com/homes/370-HAMSTEAD-CT-ROSELLE-IL-601721633_rb/","check listing")</f>
        <v>check listing</v>
      </c>
      <c r="AB5376" s="5" t="str">
        <f>HYPERLINK("https://propertylookup.dupagecounty.gov/Datalets/Datalet.aspx?UseSearch=no&amp;mode=sales&amp;pin=0205407012","sales record")</f>
        <v>sales record</v>
      </c>
      <c r="AC5376" t="s">
        <v>3</v>
      </c>
      <c r="AD5376">
        <v>41.975897</v>
      </c>
      <c r="AE5376">
        <v>-88.113437</v>
      </c>
      <c r="AF5376" s="5" t="str">
        <f>HYPERLINK("https://www.google.com/maps/search/?api=1&amp;query=41.975897,-88.113437","map")</f>
        <v>map</v>
      </c>
    </row>
    <row r="5377" spans="1:32">
      <c r="A5377" t="s">
        <v>5427</v>
      </c>
      <c r="B5377" t="s">
        <v>12952</v>
      </c>
      <c r="C5377" t="s">
        <v>15830</v>
      </c>
      <c r="D5377" t="s">
        <v>16207</v>
      </c>
      <c r="E5377" t="s">
        <v>16218</v>
      </c>
      <c r="F5377" t="s">
        <v>16221</v>
      </c>
      <c r="G5377" t="s">
        <v>16241</v>
      </c>
      <c r="H5377" t="s">
        <v>16241</v>
      </c>
      <c r="I5377" t="s">
        <v>16355</v>
      </c>
      <c r="J5377" t="s">
        <v>16385</v>
      </c>
      <c r="K5377">
        <v>0.193</v>
      </c>
      <c r="L5377">
        <v>8404</v>
      </c>
      <c r="M5377">
        <v>1814</v>
      </c>
      <c r="N5377" t="s">
        <v>16393</v>
      </c>
      <c r="O5377" s="4">
        <v>38692</v>
      </c>
      <c r="P5377" s="4">
        <v>77599</v>
      </c>
      <c r="Q5377" s="4">
        <v>116291</v>
      </c>
      <c r="R5377" s="4">
        <v>348873</v>
      </c>
      <c r="S5377" t="s">
        <v>21641</v>
      </c>
      <c r="T5377" s="6">
        <v>37561</v>
      </c>
      <c r="U5377" s="4">
        <v>220000</v>
      </c>
      <c r="V5377" t="s">
        <v>23739</v>
      </c>
      <c r="W5377" t="s">
        <v>26761</v>
      </c>
      <c r="X5377" t="s">
        <v>3</v>
      </c>
      <c r="AA5377" s="5" t="str">
        <f>HYPERLINK("https://www.zillow.com/homes/733-BERWICK-PL-ROSELLE-IL-60172_rb/","check listing")</f>
        <v>check listing</v>
      </c>
      <c r="AB5377" s="5" t="str">
        <f>HYPERLINK("https://propertylookup.dupagecounty.gov/Datalets/Datalet.aspx?UseSearch=no&amp;mode=sales&amp;pin=0209123007","sales record")</f>
        <v>sales record</v>
      </c>
      <c r="AC5377" t="s">
        <v>3</v>
      </c>
      <c r="AD5377">
        <v>41.969485</v>
      </c>
      <c r="AE5377">
        <v>-88.110167</v>
      </c>
      <c r="AF5377" s="5" t="str">
        <f>HYPERLINK("https://www.google.com/maps/search/?api=1&amp;query=41.969485,-88.110167","map")</f>
        <v>map</v>
      </c>
    </row>
    <row r="5378" spans="1:32">
      <c r="A5378" t="s">
        <v>5428</v>
      </c>
      <c r="B5378" t="s">
        <v>12953</v>
      </c>
      <c r="C5378" t="s">
        <v>15881</v>
      </c>
      <c r="D5378" t="s">
        <v>16207</v>
      </c>
      <c r="E5378" t="s">
        <v>16218</v>
      </c>
      <c r="F5378" t="s">
        <v>16221</v>
      </c>
      <c r="G5378" t="s">
        <v>16241</v>
      </c>
      <c r="H5378" t="s">
        <v>16241</v>
      </c>
      <c r="I5378" t="s">
        <v>16355</v>
      </c>
      <c r="J5378" t="s">
        <v>16385</v>
      </c>
      <c r="K5378">
        <v>0.193</v>
      </c>
      <c r="L5378">
        <v>8395</v>
      </c>
      <c r="M5378">
        <v>2308</v>
      </c>
      <c r="N5378" t="s">
        <v>16393</v>
      </c>
      <c r="O5378" s="4">
        <v>45278</v>
      </c>
      <c r="P5378" s="4">
        <v>116076</v>
      </c>
      <c r="Q5378" s="4">
        <v>161354</v>
      </c>
      <c r="R5378" s="4">
        <v>484062</v>
      </c>
      <c r="S5378" t="s">
        <v>21642</v>
      </c>
      <c r="T5378" s="6">
        <v>44753</v>
      </c>
      <c r="U5378" s="4">
        <v>420000</v>
      </c>
      <c r="V5378" t="s">
        <v>23739</v>
      </c>
      <c r="W5378" t="s">
        <v>26762</v>
      </c>
      <c r="X5378" t="s">
        <v>3</v>
      </c>
      <c r="AA5378" s="5" t="str">
        <f>HYPERLINK("https://www.zillow.com/homes/15-ANDOVER-DR-ROSELLE-IL-601721603_rb/","check listing")</f>
        <v>check listing</v>
      </c>
      <c r="AB5378" s="5" t="str">
        <f>HYPERLINK("https://propertylookup.dupagecounty.gov/Datalets/Datalet.aspx?UseSearch=no&amp;mode=sales&amp;pin=0205409001","sales record")</f>
        <v>sales record</v>
      </c>
      <c r="AC5378" t="s">
        <v>3</v>
      </c>
      <c r="AD5378">
        <v>41.982342</v>
      </c>
      <c r="AE5378">
        <v>-88.11223699999999</v>
      </c>
      <c r="AF5378" s="5" t="str">
        <f>HYPERLINK("https://www.google.com/maps/search/?api=1&amp;query=41.982342,-88.112237","map")</f>
        <v>map</v>
      </c>
    </row>
    <row r="5379" spans="1:32">
      <c r="A5379" t="s">
        <v>5429</v>
      </c>
      <c r="B5379" t="s">
        <v>12954</v>
      </c>
      <c r="C5379" t="s">
        <v>15882</v>
      </c>
      <c r="D5379" t="s">
        <v>16207</v>
      </c>
      <c r="E5379" t="s">
        <v>16218</v>
      </c>
      <c r="F5379" t="s">
        <v>16221</v>
      </c>
      <c r="G5379" t="s">
        <v>16241</v>
      </c>
      <c r="H5379" t="s">
        <v>16241</v>
      </c>
      <c r="I5379" t="s">
        <v>16355</v>
      </c>
      <c r="J5379" t="s">
        <v>16385</v>
      </c>
      <c r="K5379">
        <v>0.193</v>
      </c>
      <c r="L5379">
        <v>8390</v>
      </c>
      <c r="M5379">
        <v>1650</v>
      </c>
      <c r="N5379" t="s">
        <v>16393</v>
      </c>
      <c r="O5379" s="4">
        <v>45278</v>
      </c>
      <c r="P5379" s="4">
        <v>83623</v>
      </c>
      <c r="Q5379" s="4">
        <v>128901</v>
      </c>
      <c r="R5379" s="4">
        <v>386703</v>
      </c>
      <c r="S5379" t="s">
        <v>21643</v>
      </c>
      <c r="T5379" s="6">
        <v>44348</v>
      </c>
      <c r="U5379" s="4">
        <v>333333</v>
      </c>
      <c r="V5379" t="s">
        <v>23739</v>
      </c>
      <c r="W5379" t="s">
        <v>26763</v>
      </c>
      <c r="X5379" t="s">
        <v>3</v>
      </c>
      <c r="AA5379" s="5" t="str">
        <f>HYPERLINK("https://www.zillow.com/homes/1107-HYGATE-DR-ROSELLE-IL-601721723_rb/","check listing")</f>
        <v>check listing</v>
      </c>
      <c r="AB5379" s="5" t="str">
        <f>HYPERLINK("https://propertylookup.dupagecounty.gov/Datalets/Datalet.aspx?UseSearch=no&amp;mode=sales&amp;pin=0204309037","sales record")</f>
        <v>sales record</v>
      </c>
      <c r="AC5379" t="s">
        <v>3</v>
      </c>
      <c r="AD5379">
        <v>41.980546</v>
      </c>
      <c r="AE5379">
        <v>-88.108176</v>
      </c>
      <c r="AF5379" s="5" t="str">
        <f>HYPERLINK("https://www.google.com/maps/search/?api=1&amp;query=41.980546,-88.108176","map")</f>
        <v>map</v>
      </c>
    </row>
    <row r="5380" spans="1:32">
      <c r="A5380" t="s">
        <v>5430</v>
      </c>
      <c r="B5380" t="s">
        <v>12955</v>
      </c>
      <c r="C5380" t="s">
        <v>15830</v>
      </c>
      <c r="D5380" t="s">
        <v>16207</v>
      </c>
      <c r="E5380" t="s">
        <v>16218</v>
      </c>
      <c r="F5380" t="s">
        <v>16221</v>
      </c>
      <c r="G5380" t="s">
        <v>16241</v>
      </c>
      <c r="H5380" t="s">
        <v>16241</v>
      </c>
      <c r="I5380" t="s">
        <v>16355</v>
      </c>
      <c r="J5380" t="s">
        <v>16385</v>
      </c>
      <c r="K5380">
        <v>0.193</v>
      </c>
      <c r="L5380">
        <v>8388</v>
      </c>
      <c r="M5380">
        <v>1715</v>
      </c>
      <c r="N5380" t="s">
        <v>16393</v>
      </c>
      <c r="O5380" s="4">
        <v>38692</v>
      </c>
      <c r="P5380" s="4">
        <v>55534</v>
      </c>
      <c r="Q5380" s="4">
        <v>94226</v>
      </c>
      <c r="R5380" s="4">
        <v>282678</v>
      </c>
      <c r="S5380" t="s">
        <v>21644</v>
      </c>
      <c r="T5380" s="6">
        <v>45120</v>
      </c>
      <c r="U5380" s="4">
        <v>290000</v>
      </c>
      <c r="V5380" t="s">
        <v>23739</v>
      </c>
      <c r="W5380" t="s">
        <v>26764</v>
      </c>
      <c r="X5380" t="s">
        <v>3</v>
      </c>
      <c r="AA5380" s="5" t="str">
        <f>HYPERLINK("https://www.zillow.com/homes/595-ROMFORD-CT-ROSELLE-IL-60172_rb/","check listing")</f>
        <v>check listing</v>
      </c>
      <c r="AB5380" s="5" t="str">
        <f>HYPERLINK("https://propertylookup.dupagecounty.gov/Datalets/Datalet.aspx?UseSearch=no&amp;mode=sales&amp;pin=0209101027","sales record")</f>
        <v>sales record</v>
      </c>
      <c r="AC5380" t="s">
        <v>3</v>
      </c>
      <c r="AD5380">
        <v>41.972007</v>
      </c>
      <c r="AE5380">
        <v>-88.103545</v>
      </c>
      <c r="AF5380" s="5" t="str">
        <f>HYPERLINK("https://www.google.com/maps/search/?api=1&amp;query=41.972007,-88.103545","map")</f>
        <v>map</v>
      </c>
    </row>
    <row r="5381" spans="1:32">
      <c r="A5381" t="s">
        <v>5431</v>
      </c>
      <c r="B5381" t="s">
        <v>12956</v>
      </c>
      <c r="C5381" t="s">
        <v>15846</v>
      </c>
      <c r="D5381" t="s">
        <v>16207</v>
      </c>
      <c r="E5381" t="s">
        <v>16218</v>
      </c>
      <c r="F5381" t="s">
        <v>16221</v>
      </c>
      <c r="G5381" t="s">
        <v>16241</v>
      </c>
      <c r="H5381" t="s">
        <v>16241</v>
      </c>
      <c r="I5381" t="s">
        <v>16355</v>
      </c>
      <c r="J5381" t="s">
        <v>16385</v>
      </c>
      <c r="K5381">
        <v>0.192</v>
      </c>
      <c r="L5381">
        <v>8377</v>
      </c>
      <c r="M5381">
        <v>3000</v>
      </c>
      <c r="N5381" t="s">
        <v>16393</v>
      </c>
      <c r="O5381" s="4">
        <v>51327</v>
      </c>
      <c r="P5381" s="4">
        <v>175028</v>
      </c>
      <c r="Q5381" s="4">
        <v>226355</v>
      </c>
      <c r="R5381" s="4">
        <v>679065</v>
      </c>
      <c r="S5381" t="s">
        <v>21645</v>
      </c>
      <c r="T5381" s="6">
        <v>42979</v>
      </c>
      <c r="U5381" s="4">
        <v>455000</v>
      </c>
      <c r="V5381" t="s">
        <v>23740</v>
      </c>
      <c r="W5381" t="s">
        <v>26765</v>
      </c>
      <c r="X5381" t="s">
        <v>3</v>
      </c>
      <c r="AA5381" s="5" t="str">
        <f>HYPERLINK("https://www.zillow.com/homes/1080-FLAMINGO-DR-ROSELLE-IL-601724730_rb/","check listing")</f>
        <v>check listing</v>
      </c>
      <c r="AB5381" s="5" t="str">
        <f>HYPERLINK("https://propertylookup.dupagecounty.gov/Datalets/Datalet.aspx?UseSearch=no&amp;mode=sales&amp;pin=0204103009","sales record")</f>
        <v>sales record</v>
      </c>
      <c r="AC5381" t="s">
        <v>3</v>
      </c>
      <c r="AD5381">
        <v>41.983734</v>
      </c>
      <c r="AE5381">
        <v>-88.107203</v>
      </c>
      <c r="AF5381" s="5" t="str">
        <f>HYPERLINK("https://www.google.com/maps/search/?api=1&amp;query=41.983734,-88.107203","map")</f>
        <v>map</v>
      </c>
    </row>
    <row r="5382" spans="1:32">
      <c r="A5382" t="s">
        <v>5432</v>
      </c>
      <c r="B5382" t="s">
        <v>12957</v>
      </c>
      <c r="C5382" t="s">
        <v>15830</v>
      </c>
      <c r="D5382" t="s">
        <v>16207</v>
      </c>
      <c r="E5382" t="s">
        <v>16218</v>
      </c>
      <c r="F5382" t="s">
        <v>16221</v>
      </c>
      <c r="G5382" t="s">
        <v>16241</v>
      </c>
      <c r="H5382" t="s">
        <v>16241</v>
      </c>
      <c r="I5382" t="s">
        <v>16355</v>
      </c>
      <c r="J5382" t="s">
        <v>16385</v>
      </c>
      <c r="K5382">
        <v>0.192</v>
      </c>
      <c r="L5382">
        <v>8376</v>
      </c>
      <c r="M5382">
        <v>1716</v>
      </c>
      <c r="N5382" t="s">
        <v>16393</v>
      </c>
      <c r="O5382" s="4">
        <v>38692</v>
      </c>
      <c r="P5382" s="4">
        <v>77599</v>
      </c>
      <c r="Q5382" s="4">
        <v>116291</v>
      </c>
      <c r="R5382" s="4">
        <v>348873</v>
      </c>
      <c r="S5382" t="s">
        <v>21646</v>
      </c>
      <c r="T5382" s="6">
        <v>32752</v>
      </c>
      <c r="U5382" s="4">
        <v>108750</v>
      </c>
      <c r="X5382" t="s">
        <v>3</v>
      </c>
      <c r="AA5382" s="5" t="str">
        <f>HYPERLINK("https://www.zillow.com/homes/461-GLENMORE-PL-ROSELLE-IL-60172_rb/","check listing")</f>
        <v>check listing</v>
      </c>
      <c r="AB5382" s="5" t="str">
        <f>HYPERLINK("https://propertylookup.dupagecounty.gov/Datalets/Datalet.aspx?UseSearch=no&amp;mode=sales&amp;pin=0209109010","sales record")</f>
        <v>sales record</v>
      </c>
      <c r="AC5382" t="s">
        <v>3</v>
      </c>
      <c r="AD5382">
        <v>41.974149</v>
      </c>
      <c r="AE5382">
        <v>-88.10364300000001</v>
      </c>
      <c r="AF5382" s="5" t="str">
        <f>HYPERLINK("https://www.google.com/maps/search/?api=1&amp;query=41.974149,-88.103643","map")</f>
        <v>map</v>
      </c>
    </row>
    <row r="5383" spans="1:32">
      <c r="A5383" t="s">
        <v>5433</v>
      </c>
      <c r="B5383" t="s">
        <v>12958</v>
      </c>
      <c r="C5383" t="s">
        <v>15883</v>
      </c>
      <c r="D5383" t="s">
        <v>16207</v>
      </c>
      <c r="E5383" t="s">
        <v>16218</v>
      </c>
      <c r="F5383" t="s">
        <v>16221</v>
      </c>
      <c r="G5383" t="s">
        <v>16241</v>
      </c>
      <c r="H5383" t="s">
        <v>16241</v>
      </c>
      <c r="I5383" t="s">
        <v>16355</v>
      </c>
      <c r="J5383" t="s">
        <v>16385</v>
      </c>
      <c r="K5383">
        <v>0.192</v>
      </c>
      <c r="L5383">
        <v>8363</v>
      </c>
      <c r="M5383">
        <v>2178</v>
      </c>
      <c r="N5383" t="s">
        <v>16393</v>
      </c>
      <c r="O5383" s="4">
        <v>38692</v>
      </c>
      <c r="P5383" s="4">
        <v>110530</v>
      </c>
      <c r="Q5383" s="4">
        <v>149222</v>
      </c>
      <c r="R5383" s="4">
        <v>447666</v>
      </c>
      <c r="S5383" t="s">
        <v>21647</v>
      </c>
      <c r="T5383" s="6">
        <v>45897</v>
      </c>
      <c r="U5383" s="4">
        <v>275000</v>
      </c>
      <c r="V5383" t="s">
        <v>23739</v>
      </c>
      <c r="W5383" t="s">
        <v>26766</v>
      </c>
      <c r="X5383" t="s">
        <v>3</v>
      </c>
      <c r="AA5383" s="5" t="str">
        <f>HYPERLINK("https://www.zillow.com/homes/620-RODENBURG-RD-ROSELLE-IL-601722747_rb/","check listing")</f>
        <v>check listing</v>
      </c>
      <c r="AB5383" s="5" t="str">
        <f>HYPERLINK("https://propertylookup.dupagecounty.gov/Datalets/Datalet.aspx?UseSearch=no&amp;mode=sales&amp;pin=0208205015","sales record")</f>
        <v>sales record</v>
      </c>
      <c r="AC5383" t="s">
        <v>3</v>
      </c>
      <c r="AD5383">
        <v>41.97149</v>
      </c>
      <c r="AE5383">
        <v>-88.11148300000001</v>
      </c>
      <c r="AF5383" s="5" t="str">
        <f>HYPERLINK("https://www.google.com/maps/search/?api=1&amp;query=41.97149,-88.111483","map")</f>
        <v>map</v>
      </c>
    </row>
    <row r="5384" spans="1:32">
      <c r="A5384" t="s">
        <v>5434</v>
      </c>
      <c r="B5384" t="s">
        <v>12959</v>
      </c>
      <c r="C5384" t="s">
        <v>15884</v>
      </c>
      <c r="D5384" t="s">
        <v>16207</v>
      </c>
      <c r="E5384" t="s">
        <v>16218</v>
      </c>
      <c r="F5384" t="s">
        <v>16221</v>
      </c>
      <c r="G5384" t="s">
        <v>16241</v>
      </c>
      <c r="H5384" t="s">
        <v>16241</v>
      </c>
      <c r="I5384" t="s">
        <v>16355</v>
      </c>
      <c r="J5384" t="s">
        <v>16385</v>
      </c>
      <c r="K5384">
        <v>0.192</v>
      </c>
      <c r="L5384">
        <v>8356</v>
      </c>
      <c r="M5384">
        <v>2406</v>
      </c>
      <c r="N5384" t="s">
        <v>16393</v>
      </c>
      <c r="O5384" s="4">
        <v>45278</v>
      </c>
      <c r="P5384" s="4">
        <v>109525</v>
      </c>
      <c r="Q5384" s="4">
        <v>154803</v>
      </c>
      <c r="R5384" s="4">
        <v>464409</v>
      </c>
      <c r="S5384" t="s">
        <v>21648</v>
      </c>
      <c r="T5384" s="6">
        <v>44105</v>
      </c>
      <c r="U5384" s="4">
        <v>355000</v>
      </c>
      <c r="V5384" t="s">
        <v>23739</v>
      </c>
      <c r="W5384" t="s">
        <v>21648</v>
      </c>
      <c r="X5384" t="s">
        <v>3</v>
      </c>
      <c r="AA5384" s="5" t="str">
        <f>HYPERLINK("https://www.zillow.com/homes/620-KENSINGTON-CT-ROSELLE-IL-601722625_rb/","check listing")</f>
        <v>check listing</v>
      </c>
      <c r="AB5384" s="5" t="str">
        <f>HYPERLINK("https://propertylookup.dupagecounty.gov/Datalets/Datalet.aspx?UseSearch=no&amp;mode=sales&amp;pin=0208204003","sales record")</f>
        <v>sales record</v>
      </c>
      <c r="AC5384" t="s">
        <v>3</v>
      </c>
      <c r="AD5384">
        <v>41.971428</v>
      </c>
      <c r="AE5384">
        <v>-88.112737</v>
      </c>
      <c r="AF5384" s="5" t="str">
        <f>HYPERLINK("https://www.google.com/maps/search/?api=1&amp;query=41.971428,-88.112737","map")</f>
        <v>map</v>
      </c>
    </row>
    <row r="5385" spans="1:32">
      <c r="A5385" t="s">
        <v>5435</v>
      </c>
      <c r="B5385" t="s">
        <v>12960</v>
      </c>
      <c r="C5385" t="s">
        <v>15830</v>
      </c>
      <c r="D5385" t="s">
        <v>16207</v>
      </c>
      <c r="E5385" t="s">
        <v>16218</v>
      </c>
      <c r="F5385" t="s">
        <v>16221</v>
      </c>
      <c r="G5385" t="s">
        <v>16241</v>
      </c>
      <c r="H5385" t="s">
        <v>16241</v>
      </c>
      <c r="I5385" t="s">
        <v>16355</v>
      </c>
      <c r="J5385" t="s">
        <v>16385</v>
      </c>
      <c r="K5385">
        <v>0.192</v>
      </c>
      <c r="L5385">
        <v>8356</v>
      </c>
      <c r="M5385">
        <v>1714</v>
      </c>
      <c r="N5385" t="s">
        <v>16393</v>
      </c>
      <c r="O5385" s="4">
        <v>45278</v>
      </c>
      <c r="P5385" s="4">
        <v>85811</v>
      </c>
      <c r="Q5385" s="4">
        <v>131089</v>
      </c>
      <c r="R5385" s="4">
        <v>393267</v>
      </c>
      <c r="S5385" t="s">
        <v>21649</v>
      </c>
      <c r="T5385" s="6">
        <v>43952</v>
      </c>
      <c r="U5385" s="4">
        <v>304000</v>
      </c>
      <c r="V5385" t="s">
        <v>23739</v>
      </c>
      <c r="W5385" t="s">
        <v>26767</v>
      </c>
      <c r="X5385" t="s">
        <v>3</v>
      </c>
      <c r="AA5385" s="5" t="str">
        <f>HYPERLINK("https://www.zillow.com/homes/1205-COLONY-LN-ROSELLE-IL-60172_rb/","check listing")</f>
        <v>check listing</v>
      </c>
      <c r="AB5385" s="5" t="str">
        <f>HYPERLINK("https://propertylookup.dupagecounty.gov/Datalets/Datalet.aspx?UseSearch=no&amp;mode=sales&amp;pin=0204309041","sales record")</f>
        <v>sales record</v>
      </c>
      <c r="AC5385" t="s">
        <v>3</v>
      </c>
      <c r="AD5385">
        <v>41.979708</v>
      </c>
      <c r="AE5385">
        <v>-88.110491</v>
      </c>
      <c r="AF5385" s="5" t="str">
        <f>HYPERLINK("https://www.google.com/maps/search/?api=1&amp;query=41.979708,-88.110491","map")</f>
        <v>map</v>
      </c>
    </row>
    <row r="5386" spans="1:32">
      <c r="A5386" t="s">
        <v>5436</v>
      </c>
      <c r="B5386" t="s">
        <v>12961</v>
      </c>
      <c r="C5386" t="s">
        <v>15830</v>
      </c>
      <c r="D5386" t="s">
        <v>16207</v>
      </c>
      <c r="E5386" t="s">
        <v>16218</v>
      </c>
      <c r="F5386" t="s">
        <v>16221</v>
      </c>
      <c r="G5386" t="s">
        <v>16241</v>
      </c>
      <c r="H5386" t="s">
        <v>16241</v>
      </c>
      <c r="I5386" t="s">
        <v>16355</v>
      </c>
      <c r="J5386" t="s">
        <v>16385</v>
      </c>
      <c r="K5386">
        <v>0.192</v>
      </c>
      <c r="L5386">
        <v>8348</v>
      </c>
      <c r="M5386">
        <v>2144</v>
      </c>
      <c r="N5386" t="s">
        <v>16393</v>
      </c>
      <c r="O5386" s="4">
        <v>45278</v>
      </c>
      <c r="P5386" s="4">
        <v>106371</v>
      </c>
      <c r="Q5386" s="4">
        <v>151649</v>
      </c>
      <c r="R5386" s="4">
        <v>454947</v>
      </c>
      <c r="S5386" t="s">
        <v>21650</v>
      </c>
      <c r="T5386" s="6">
        <v>43252</v>
      </c>
      <c r="U5386" s="4">
        <v>330000</v>
      </c>
      <c r="V5386" t="s">
        <v>23739</v>
      </c>
      <c r="W5386" t="s">
        <v>26768</v>
      </c>
      <c r="X5386" t="s">
        <v>3</v>
      </c>
      <c r="AA5386" s="5" t="str">
        <f>HYPERLINK("https://www.zillow.com/homes/110-RODENBURG-RD-ROSELLE-IL-60172_rb/","check listing")</f>
        <v>check listing</v>
      </c>
      <c r="AB5386" s="5" t="str">
        <f>HYPERLINK("https://propertylookup.dupagecounty.gov/Datalets/Datalet.aspx?UseSearch=no&amp;mode=sales&amp;pin=0205409015","sales record")</f>
        <v>sales record</v>
      </c>
      <c r="AC5386" t="s">
        <v>3</v>
      </c>
      <c r="AD5386">
        <v>41.980603</v>
      </c>
      <c r="AE5386">
        <v>-88.11088700000001</v>
      </c>
      <c r="AF5386" s="5" t="str">
        <f>HYPERLINK("https://www.google.com/maps/search/?api=1&amp;query=41.980603,-88.110887","map")</f>
        <v>map</v>
      </c>
    </row>
    <row r="5387" spans="1:32">
      <c r="A5387" t="s">
        <v>5437</v>
      </c>
      <c r="B5387" t="s">
        <v>12962</v>
      </c>
      <c r="C5387" t="s">
        <v>15830</v>
      </c>
      <c r="D5387" t="s">
        <v>16207</v>
      </c>
      <c r="E5387" t="s">
        <v>16218</v>
      </c>
      <c r="F5387" t="s">
        <v>16221</v>
      </c>
      <c r="G5387" t="s">
        <v>16241</v>
      </c>
      <c r="H5387" t="s">
        <v>16241</v>
      </c>
      <c r="I5387" t="s">
        <v>16355</v>
      </c>
      <c r="J5387" t="s">
        <v>16385</v>
      </c>
      <c r="K5387">
        <v>0.191</v>
      </c>
      <c r="L5387">
        <v>8325</v>
      </c>
      <c r="M5387">
        <v>1716</v>
      </c>
      <c r="N5387" t="s">
        <v>16393</v>
      </c>
      <c r="O5387" s="4">
        <v>45278</v>
      </c>
      <c r="P5387" s="4">
        <v>109825</v>
      </c>
      <c r="Q5387" s="4">
        <v>155103</v>
      </c>
      <c r="R5387" s="4">
        <v>465309</v>
      </c>
      <c r="S5387" t="s">
        <v>21651</v>
      </c>
      <c r="T5387" s="6">
        <v>42217</v>
      </c>
      <c r="U5387" s="4">
        <v>295000</v>
      </c>
      <c r="V5387" t="s">
        <v>23739</v>
      </c>
      <c r="W5387" t="s">
        <v>26769</v>
      </c>
      <c r="X5387" t="s">
        <v>3</v>
      </c>
      <c r="AA5387" s="5" t="str">
        <f>HYPERLINK("https://www.zillow.com/homes/1350-WATERBURY-LN-ROSELLE-IL-60172_rb/","check listing")</f>
        <v>check listing</v>
      </c>
      <c r="AB5387" s="5" t="str">
        <f>HYPERLINK("https://propertylookup.dupagecounty.gov/Datalets/Datalet.aspx?UseSearch=no&amp;mode=sales&amp;pin=0205401046","sales record")</f>
        <v>sales record</v>
      </c>
      <c r="AC5387" t="s">
        <v>3</v>
      </c>
      <c r="AD5387">
        <v>41.975576</v>
      </c>
      <c r="AE5387">
        <v>-88.11523699999999</v>
      </c>
      <c r="AF5387" s="5" t="str">
        <f>HYPERLINK("https://www.google.com/maps/search/?api=1&amp;query=41.975576,-88.115237","map")</f>
        <v>map</v>
      </c>
    </row>
    <row r="5388" spans="1:32">
      <c r="A5388" t="s">
        <v>5438</v>
      </c>
      <c r="B5388" t="s">
        <v>12963</v>
      </c>
      <c r="C5388" t="s">
        <v>15830</v>
      </c>
      <c r="D5388" t="s">
        <v>16207</v>
      </c>
      <c r="E5388" t="s">
        <v>16218</v>
      </c>
      <c r="F5388" t="s">
        <v>16221</v>
      </c>
      <c r="G5388" t="s">
        <v>16241</v>
      </c>
      <c r="H5388" t="s">
        <v>16241</v>
      </c>
      <c r="I5388" t="s">
        <v>16355</v>
      </c>
      <c r="J5388" t="s">
        <v>16385</v>
      </c>
      <c r="K5388">
        <v>0.19</v>
      </c>
      <c r="L5388">
        <v>8275</v>
      </c>
      <c r="M5388">
        <v>1927</v>
      </c>
      <c r="N5388" t="s">
        <v>16393</v>
      </c>
      <c r="O5388" s="4">
        <v>45278</v>
      </c>
      <c r="P5388" s="4">
        <v>86815</v>
      </c>
      <c r="Q5388" s="4">
        <v>132093</v>
      </c>
      <c r="R5388" s="4">
        <v>396279</v>
      </c>
      <c r="S5388" t="s">
        <v>21652</v>
      </c>
      <c r="T5388" s="6">
        <v>37895</v>
      </c>
      <c r="U5388" s="4">
        <v>250000</v>
      </c>
      <c r="V5388" t="s">
        <v>23739</v>
      </c>
      <c r="W5388" t="s">
        <v>26770</v>
      </c>
      <c r="X5388" t="s">
        <v>3</v>
      </c>
      <c r="AA5388" s="5" t="str">
        <f>HYPERLINK("https://www.zillow.com/homes/180-CHATHAM-LN-ROSELLE-IL-60172_rb/","check listing")</f>
        <v>check listing</v>
      </c>
      <c r="AB5388" s="5" t="str">
        <f>HYPERLINK("https://propertylookup.dupagecounty.gov/Datalets/Datalet.aspx?UseSearch=no&amp;mode=sales&amp;pin=0205401012","sales record")</f>
        <v>sales record</v>
      </c>
      <c r="AC5388" t="s">
        <v>3</v>
      </c>
      <c r="AD5388">
        <v>41.979236</v>
      </c>
      <c r="AE5388">
        <v>-88.115103</v>
      </c>
      <c r="AF5388" s="5" t="str">
        <f>HYPERLINK("https://www.google.com/maps/search/?api=1&amp;query=41.979236,-88.115103","map")</f>
        <v>map</v>
      </c>
    </row>
    <row r="5389" spans="1:32">
      <c r="A5389" t="s">
        <v>5439</v>
      </c>
      <c r="B5389" t="s">
        <v>12964</v>
      </c>
      <c r="C5389" t="s">
        <v>15830</v>
      </c>
      <c r="D5389" t="s">
        <v>16207</v>
      </c>
      <c r="E5389" t="s">
        <v>16218</v>
      </c>
      <c r="F5389" t="s">
        <v>16221</v>
      </c>
      <c r="G5389" t="s">
        <v>16241</v>
      </c>
      <c r="H5389" t="s">
        <v>16241</v>
      </c>
      <c r="I5389" t="s">
        <v>16355</v>
      </c>
      <c r="J5389" t="s">
        <v>16385</v>
      </c>
      <c r="K5389">
        <v>0.19</v>
      </c>
      <c r="L5389">
        <v>8272</v>
      </c>
      <c r="M5389">
        <v>1974</v>
      </c>
      <c r="N5389" t="s">
        <v>16393</v>
      </c>
      <c r="O5389" s="4">
        <v>38692</v>
      </c>
      <c r="P5389" s="4">
        <v>89182</v>
      </c>
      <c r="Q5389" s="4">
        <v>127874</v>
      </c>
      <c r="R5389" s="4">
        <v>383622</v>
      </c>
      <c r="S5389" t="s">
        <v>21653</v>
      </c>
      <c r="T5389" s="6">
        <v>42522</v>
      </c>
      <c r="U5389" s="4">
        <v>287000</v>
      </c>
      <c r="V5389" t="s">
        <v>23739</v>
      </c>
      <c r="W5389" t="s">
        <v>26771</v>
      </c>
      <c r="X5389" t="s">
        <v>3</v>
      </c>
      <c r="AA5389" s="5" t="str">
        <f>HYPERLINK("https://www.zillow.com/homes/660-BRIARWOOD-LN-ROSELLE-IL-60172_rb/","check listing")</f>
        <v>check listing</v>
      </c>
      <c r="AB5389" s="5" t="str">
        <f>HYPERLINK("https://propertylookup.dupagecounty.gov/Datalets/Datalet.aspx?UseSearch=no&amp;mode=sales&amp;pin=0209120008","sales record")</f>
        <v>sales record</v>
      </c>
      <c r="AC5389" t="s">
        <v>3</v>
      </c>
      <c r="AD5389">
        <v>41.971013</v>
      </c>
      <c r="AE5389">
        <v>-88.10885500000001</v>
      </c>
      <c r="AF5389" s="5" t="str">
        <f>HYPERLINK("https://www.google.com/maps/search/?api=1&amp;query=41.971013,-88.108855","map")</f>
        <v>map</v>
      </c>
    </row>
    <row r="5390" spans="1:32">
      <c r="A5390" t="s">
        <v>5440</v>
      </c>
      <c r="B5390" t="s">
        <v>12965</v>
      </c>
      <c r="C5390" t="s">
        <v>15830</v>
      </c>
      <c r="D5390" t="s">
        <v>16207</v>
      </c>
      <c r="E5390" t="s">
        <v>16218</v>
      </c>
      <c r="F5390" t="s">
        <v>16221</v>
      </c>
      <c r="G5390" t="s">
        <v>16241</v>
      </c>
      <c r="H5390" t="s">
        <v>16241</v>
      </c>
      <c r="I5390" t="s">
        <v>16355</v>
      </c>
      <c r="J5390" t="s">
        <v>16385</v>
      </c>
      <c r="K5390">
        <v>0.19</v>
      </c>
      <c r="L5390">
        <v>8262</v>
      </c>
      <c r="N5390" t="s">
        <v>16393</v>
      </c>
      <c r="O5390" s="4">
        <v>45278</v>
      </c>
      <c r="P5390" s="4">
        <v>98230</v>
      </c>
      <c r="Q5390" s="4">
        <v>143508</v>
      </c>
      <c r="R5390" s="4">
        <v>430524</v>
      </c>
      <c r="S5390" t="s">
        <v>21654</v>
      </c>
      <c r="T5390" s="6">
        <v>34121</v>
      </c>
      <c r="U5390" s="4">
        <v>157000</v>
      </c>
      <c r="X5390" t="s">
        <v>3</v>
      </c>
      <c r="AA5390" s="5" t="str">
        <f>HYPERLINK("https://www.zillow.com/homes/190-CHATHAM-LN-ROSELLE-IL-60172_rb/","check listing")</f>
        <v>check listing</v>
      </c>
      <c r="AB5390" s="5" t="str">
        <f>HYPERLINK("https://propertylookup.dupagecounty.gov/Datalets/Datalet.aspx?UseSearch=no&amp;mode=sales&amp;pin=0205401013","sales record")</f>
        <v>sales record</v>
      </c>
      <c r="AC5390" t="s">
        <v>3</v>
      </c>
      <c r="AD5390">
        <v>41.979065</v>
      </c>
      <c r="AE5390">
        <v>-88.115106</v>
      </c>
      <c r="AF5390" s="5" t="str">
        <f>HYPERLINK("https://www.google.com/maps/search/?api=1&amp;query=41.979065,-88.115106","map")</f>
        <v>map</v>
      </c>
    </row>
    <row r="5391" spans="1:32">
      <c r="A5391" t="s">
        <v>5441</v>
      </c>
      <c r="B5391" t="s">
        <v>12966</v>
      </c>
      <c r="C5391" t="s">
        <v>15830</v>
      </c>
      <c r="D5391" t="s">
        <v>16207</v>
      </c>
      <c r="E5391" t="s">
        <v>16218</v>
      </c>
      <c r="F5391" t="s">
        <v>16221</v>
      </c>
      <c r="G5391" t="s">
        <v>16241</v>
      </c>
      <c r="H5391" t="s">
        <v>16241</v>
      </c>
      <c r="I5391" t="s">
        <v>16355</v>
      </c>
      <c r="J5391" t="s">
        <v>16385</v>
      </c>
      <c r="K5391">
        <v>0.189</v>
      </c>
      <c r="L5391">
        <v>8239</v>
      </c>
      <c r="M5391">
        <v>2770</v>
      </c>
      <c r="N5391" t="s">
        <v>16393</v>
      </c>
      <c r="O5391" s="4">
        <v>51327</v>
      </c>
      <c r="P5391" s="4">
        <v>161307</v>
      </c>
      <c r="Q5391" s="4">
        <v>212634</v>
      </c>
      <c r="R5391" s="4">
        <v>637902</v>
      </c>
      <c r="S5391" t="s">
        <v>21655</v>
      </c>
      <c r="T5391" s="6">
        <v>44013</v>
      </c>
      <c r="U5391" s="4">
        <v>530000</v>
      </c>
      <c r="V5391" t="s">
        <v>23740</v>
      </c>
      <c r="W5391" t="s">
        <v>26772</v>
      </c>
      <c r="X5391" t="s">
        <v>3</v>
      </c>
      <c r="AA5391" s="5" t="str">
        <f>HYPERLINK("https://www.zillow.com/homes/1145-BLUEBIRD-LN-ROSELLE-IL-60172_rb/","check listing")</f>
        <v>check listing</v>
      </c>
      <c r="AB5391" s="5" t="str">
        <f>HYPERLINK("https://propertylookup.dupagecounty.gov/Datalets/Datalet.aspx?UseSearch=no&amp;mode=sales&amp;pin=0204104006","sales record")</f>
        <v>sales record</v>
      </c>
      <c r="AC5391" t="s">
        <v>3</v>
      </c>
      <c r="AD5391">
        <v>41.985484</v>
      </c>
      <c r="AE5391">
        <v>-88.10854500000001</v>
      </c>
      <c r="AF5391" s="5" t="str">
        <f>HYPERLINK("https://www.google.com/maps/search/?api=1&amp;query=41.985484,-88.108545","map")</f>
        <v>map</v>
      </c>
    </row>
    <row r="5392" spans="1:32">
      <c r="A5392" t="s">
        <v>5442</v>
      </c>
      <c r="B5392" t="s">
        <v>12967</v>
      </c>
      <c r="C5392" t="s">
        <v>15830</v>
      </c>
      <c r="D5392" t="s">
        <v>16207</v>
      </c>
      <c r="E5392" t="s">
        <v>16218</v>
      </c>
      <c r="F5392" t="s">
        <v>16221</v>
      </c>
      <c r="G5392" t="s">
        <v>16241</v>
      </c>
      <c r="H5392" t="s">
        <v>16241</v>
      </c>
      <c r="I5392" t="s">
        <v>16355</v>
      </c>
      <c r="J5392" t="s">
        <v>16385</v>
      </c>
      <c r="K5392">
        <v>0.189</v>
      </c>
      <c r="L5392">
        <v>8238</v>
      </c>
      <c r="M5392">
        <v>2176</v>
      </c>
      <c r="N5392" t="s">
        <v>16393</v>
      </c>
      <c r="O5392" s="4">
        <v>45278</v>
      </c>
      <c r="P5392" s="4">
        <v>80157</v>
      </c>
      <c r="Q5392" s="4">
        <v>125435</v>
      </c>
      <c r="R5392" s="4">
        <v>376305</v>
      </c>
      <c r="S5392" t="s">
        <v>21656</v>
      </c>
      <c r="T5392" s="6">
        <v>40940</v>
      </c>
      <c r="U5392" s="4">
        <v>195000</v>
      </c>
      <c r="V5392" t="s">
        <v>23739</v>
      </c>
      <c r="W5392" t="s">
        <v>26773</v>
      </c>
      <c r="X5392" t="s">
        <v>3</v>
      </c>
      <c r="AA5392" s="5" t="str">
        <f>HYPERLINK("https://www.zillow.com/homes/915-BRANDYWINE-DR-ROSELLE-IL-60172_rb/","check listing")</f>
        <v>check listing</v>
      </c>
      <c r="AB5392" s="5" t="str">
        <f>HYPERLINK("https://propertylookup.dupagecounty.gov/Datalets/Datalet.aspx?UseSearch=no&amp;mode=sales&amp;pin=0209115003","sales record")</f>
        <v>sales record</v>
      </c>
      <c r="AC5392" t="s">
        <v>3</v>
      </c>
      <c r="AD5392">
        <v>41.974937</v>
      </c>
      <c r="AE5392">
        <v>-88.103392</v>
      </c>
      <c r="AF5392" s="5" t="str">
        <f>HYPERLINK("https://www.google.com/maps/search/?api=1&amp;query=41.974937,-88.103392","map")</f>
        <v>map</v>
      </c>
    </row>
    <row r="5393" spans="1:32">
      <c r="A5393" t="s">
        <v>5443</v>
      </c>
      <c r="B5393" t="s">
        <v>12968</v>
      </c>
      <c r="C5393" t="s">
        <v>15830</v>
      </c>
      <c r="D5393" t="s">
        <v>16207</v>
      </c>
      <c r="E5393" t="s">
        <v>16218</v>
      </c>
      <c r="F5393" t="s">
        <v>16221</v>
      </c>
      <c r="G5393" t="s">
        <v>16241</v>
      </c>
      <c r="H5393" t="s">
        <v>16241</v>
      </c>
      <c r="I5393" t="s">
        <v>16355</v>
      </c>
      <c r="J5393" t="s">
        <v>16385</v>
      </c>
      <c r="K5393">
        <v>0.189</v>
      </c>
      <c r="L5393">
        <v>8229</v>
      </c>
      <c r="M5393">
        <v>2953</v>
      </c>
      <c r="N5393" t="s">
        <v>16393</v>
      </c>
      <c r="O5393" s="4">
        <v>51351</v>
      </c>
      <c r="P5393" s="4">
        <v>158773</v>
      </c>
      <c r="Q5393" s="4">
        <v>210124</v>
      </c>
      <c r="R5393" s="4">
        <v>630372</v>
      </c>
      <c r="S5393" t="s">
        <v>21657</v>
      </c>
      <c r="T5393" s="6">
        <v>36800</v>
      </c>
      <c r="U5393" s="4">
        <v>420000</v>
      </c>
      <c r="V5393" t="s">
        <v>23739</v>
      </c>
      <c r="W5393" t="s">
        <v>26774</v>
      </c>
      <c r="X5393" t="s">
        <v>3</v>
      </c>
      <c r="AA5393" s="5" t="str">
        <f>HYPERLINK("https://www.zillow.com/homes/1125-BLUEBIRD-LN-ROSELLE-IL-60172_rb/","check listing")</f>
        <v>check listing</v>
      </c>
      <c r="AB5393" s="5" t="str">
        <f>HYPERLINK("https://propertylookup.dupagecounty.gov/Datalets/Datalet.aspx?UseSearch=no&amp;mode=sales&amp;pin=0204104008","sales record")</f>
        <v>sales record</v>
      </c>
      <c r="AC5393" t="s">
        <v>3</v>
      </c>
      <c r="AD5393">
        <v>41.985551</v>
      </c>
      <c r="AE5393">
        <v>-88.10803199999999</v>
      </c>
      <c r="AF5393" s="5" t="str">
        <f>HYPERLINK("https://www.google.com/maps/search/?api=1&amp;query=41.985551,-88.108032","map")</f>
        <v>map</v>
      </c>
    </row>
    <row r="5394" spans="1:32">
      <c r="A5394" t="s">
        <v>5444</v>
      </c>
      <c r="B5394" t="s">
        <v>12969</v>
      </c>
      <c r="C5394" t="s">
        <v>15830</v>
      </c>
      <c r="D5394" t="s">
        <v>16207</v>
      </c>
      <c r="E5394" t="s">
        <v>16218</v>
      </c>
      <c r="F5394" t="s">
        <v>16221</v>
      </c>
      <c r="G5394" t="s">
        <v>16241</v>
      </c>
      <c r="H5394" t="s">
        <v>16241</v>
      </c>
      <c r="I5394" t="s">
        <v>16355</v>
      </c>
      <c r="J5394" t="s">
        <v>16385</v>
      </c>
      <c r="K5394">
        <v>0.189</v>
      </c>
      <c r="L5394">
        <v>8229</v>
      </c>
      <c r="M5394">
        <v>1452</v>
      </c>
      <c r="N5394" t="s">
        <v>16393</v>
      </c>
      <c r="O5394" s="4">
        <v>38692</v>
      </c>
      <c r="P5394" s="4">
        <v>80097</v>
      </c>
      <c r="Q5394" s="4">
        <v>118789</v>
      </c>
      <c r="R5394" s="4">
        <v>356367</v>
      </c>
      <c r="S5394" t="s">
        <v>21658</v>
      </c>
      <c r="T5394" s="6">
        <v>33725</v>
      </c>
      <c r="U5394" s="4">
        <v>121000</v>
      </c>
      <c r="X5394" t="s">
        <v>3</v>
      </c>
      <c r="AA5394" s="5" t="str">
        <f>HYPERLINK("https://www.zillow.com/homes/530-GLENMORE-PL-ROSELLE-IL-60172_rb/","check listing")</f>
        <v>check listing</v>
      </c>
      <c r="AB5394" s="5" t="str">
        <f>HYPERLINK("https://propertylookup.dupagecounty.gov/Datalets/Datalet.aspx?UseSearch=no&amp;mode=sales&amp;pin=0209108021","sales record")</f>
        <v>sales record</v>
      </c>
      <c r="AC5394" t="s">
        <v>3</v>
      </c>
      <c r="AD5394">
        <v>41.9732</v>
      </c>
      <c r="AE5394">
        <v>-88.105847</v>
      </c>
      <c r="AF5394" s="5" t="str">
        <f>HYPERLINK("https://www.google.com/maps/search/?api=1&amp;query=41.9732,-88.105847","map")</f>
        <v>map</v>
      </c>
    </row>
    <row r="5395" spans="1:32">
      <c r="A5395" t="s">
        <v>5445</v>
      </c>
      <c r="B5395" t="s">
        <v>12970</v>
      </c>
      <c r="C5395" t="s">
        <v>15880</v>
      </c>
      <c r="D5395" t="s">
        <v>16207</v>
      </c>
      <c r="E5395" t="s">
        <v>16218</v>
      </c>
      <c r="F5395" t="s">
        <v>16221</v>
      </c>
      <c r="G5395" t="s">
        <v>16241</v>
      </c>
      <c r="H5395" t="s">
        <v>16241</v>
      </c>
      <c r="I5395" t="s">
        <v>16355</v>
      </c>
      <c r="J5395" t="s">
        <v>16385</v>
      </c>
      <c r="K5395">
        <v>0.189</v>
      </c>
      <c r="L5395">
        <v>8212</v>
      </c>
      <c r="M5395">
        <v>2309</v>
      </c>
      <c r="N5395" t="s">
        <v>16393</v>
      </c>
      <c r="O5395" s="4">
        <v>45278</v>
      </c>
      <c r="P5395" s="4">
        <v>102605</v>
      </c>
      <c r="Q5395" s="4">
        <v>147883</v>
      </c>
      <c r="R5395" s="4">
        <v>443649</v>
      </c>
      <c r="S5395" t="s">
        <v>21659</v>
      </c>
      <c r="T5395" s="6">
        <v>39995</v>
      </c>
      <c r="U5395" s="4">
        <v>280000</v>
      </c>
      <c r="V5395" t="s">
        <v>23739</v>
      </c>
      <c r="W5395" t="s">
        <v>21659</v>
      </c>
      <c r="X5395" t="s">
        <v>3</v>
      </c>
      <c r="AA5395" s="5" t="str">
        <f>HYPERLINK("https://www.zillow.com/homes/354-HAMSTEAD-CT-ROSELLE-IL-601721633_rb/","check listing")</f>
        <v>check listing</v>
      </c>
      <c r="AB5395" s="5" t="str">
        <f>HYPERLINK("https://propertylookup.dupagecounty.gov/Datalets/Datalet.aspx?UseSearch=no&amp;mode=sales&amp;pin=0205407010","sales record")</f>
        <v>sales record</v>
      </c>
      <c r="AC5395" t="s">
        <v>3</v>
      </c>
      <c r="AD5395">
        <v>41.975967</v>
      </c>
      <c r="AE5395">
        <v>-88.11289499999999</v>
      </c>
      <c r="AF5395" s="5" t="str">
        <f>HYPERLINK("https://www.google.com/maps/search/?api=1&amp;query=41.975967,-88.112895","map")</f>
        <v>map</v>
      </c>
    </row>
    <row r="5396" spans="1:32">
      <c r="A5396" t="s">
        <v>5446</v>
      </c>
      <c r="B5396" t="s">
        <v>12971</v>
      </c>
      <c r="C5396" t="s">
        <v>15830</v>
      </c>
      <c r="D5396" t="s">
        <v>16207</v>
      </c>
      <c r="E5396" t="s">
        <v>16218</v>
      </c>
      <c r="F5396" t="s">
        <v>16221</v>
      </c>
      <c r="G5396" t="s">
        <v>16241</v>
      </c>
      <c r="H5396" t="s">
        <v>16241</v>
      </c>
      <c r="I5396" t="s">
        <v>16355</v>
      </c>
      <c r="J5396" t="s">
        <v>16385</v>
      </c>
      <c r="K5396">
        <v>0.188</v>
      </c>
      <c r="L5396">
        <v>8208</v>
      </c>
      <c r="M5396">
        <v>1979</v>
      </c>
      <c r="N5396" t="s">
        <v>16393</v>
      </c>
      <c r="O5396" s="4">
        <v>45278</v>
      </c>
      <c r="P5396" s="4">
        <v>68228</v>
      </c>
      <c r="Q5396" s="4">
        <v>113506</v>
      </c>
      <c r="R5396" s="4">
        <v>340518</v>
      </c>
      <c r="S5396" t="s">
        <v>21660</v>
      </c>
      <c r="T5396" s="6">
        <v>43983</v>
      </c>
      <c r="U5396" s="4">
        <v>255500</v>
      </c>
      <c r="V5396" t="s">
        <v>23739</v>
      </c>
      <c r="W5396" t="s">
        <v>21660</v>
      </c>
      <c r="X5396" t="s">
        <v>3</v>
      </c>
      <c r="AA5396" s="5" t="str">
        <f>HYPERLINK("https://www.zillow.com/homes/595-KENSINGTON-CT-ROSELLE-IL-60172_rb/","check listing")</f>
        <v>check listing</v>
      </c>
      <c r="AB5396" s="5" t="str">
        <f>HYPERLINK("https://propertylookup.dupagecounty.gov/Datalets/Datalet.aspx?UseSearch=no&amp;mode=sales&amp;pin=0208204012","sales record")</f>
        <v>sales record</v>
      </c>
      <c r="AC5396" t="s">
        <v>3</v>
      </c>
      <c r="AD5396">
        <v>41.971456</v>
      </c>
      <c r="AE5396">
        <v>-88.113726</v>
      </c>
      <c r="AF5396" s="5" t="str">
        <f>HYPERLINK("https://www.google.com/maps/search/?api=1&amp;query=41.971456,-88.113726","map")</f>
        <v>map</v>
      </c>
    </row>
    <row r="5397" spans="1:32">
      <c r="A5397" t="s">
        <v>5447</v>
      </c>
      <c r="B5397" t="s">
        <v>12972</v>
      </c>
      <c r="C5397" t="s">
        <v>15830</v>
      </c>
      <c r="D5397" t="s">
        <v>16207</v>
      </c>
      <c r="E5397" t="s">
        <v>16218</v>
      </c>
      <c r="F5397" t="s">
        <v>16221</v>
      </c>
      <c r="G5397" t="s">
        <v>16241</v>
      </c>
      <c r="H5397" t="s">
        <v>16241</v>
      </c>
      <c r="I5397" t="s">
        <v>16355</v>
      </c>
      <c r="J5397" t="s">
        <v>16385</v>
      </c>
      <c r="K5397">
        <v>0.188</v>
      </c>
      <c r="L5397">
        <v>8205</v>
      </c>
      <c r="M5397">
        <v>1814</v>
      </c>
      <c r="N5397" t="s">
        <v>16393</v>
      </c>
      <c r="O5397" s="4">
        <v>45278</v>
      </c>
      <c r="P5397" s="4">
        <v>83241</v>
      </c>
      <c r="Q5397" s="4">
        <v>128519</v>
      </c>
      <c r="R5397" s="4">
        <v>385557</v>
      </c>
      <c r="S5397" t="s">
        <v>21661</v>
      </c>
      <c r="T5397" s="6">
        <v>37742</v>
      </c>
      <c r="U5397" s="4">
        <v>242900</v>
      </c>
      <c r="V5397" t="s">
        <v>23739</v>
      </c>
      <c r="W5397" t="s">
        <v>26775</v>
      </c>
      <c r="X5397" t="s">
        <v>3</v>
      </c>
      <c r="AA5397" s="5" t="str">
        <f>HYPERLINK("https://www.zillow.com/homes/590-KENSINGTON-CT-ROSELLE-IL-60172_rb/","check listing")</f>
        <v>check listing</v>
      </c>
      <c r="AB5397" s="5" t="str">
        <f>HYPERLINK("https://propertylookup.dupagecounty.gov/Datalets/Datalet.aspx?UseSearch=no&amp;mode=sales&amp;pin=0208204006","sales record")</f>
        <v>sales record</v>
      </c>
      <c r="AC5397" t="s">
        <v>3</v>
      </c>
      <c r="AD5397">
        <v>41.971753</v>
      </c>
      <c r="AE5397">
        <v>-88.113231</v>
      </c>
      <c r="AF5397" s="5" t="str">
        <f>HYPERLINK("https://www.google.com/maps/search/?api=1&amp;query=41.971753,-88.113231","map")</f>
        <v>map</v>
      </c>
    </row>
    <row r="5398" spans="1:32">
      <c r="A5398" t="s">
        <v>5448</v>
      </c>
      <c r="B5398" t="s">
        <v>12973</v>
      </c>
      <c r="C5398" t="s">
        <v>15830</v>
      </c>
      <c r="D5398" t="s">
        <v>16207</v>
      </c>
      <c r="E5398" t="s">
        <v>16218</v>
      </c>
      <c r="F5398" t="s">
        <v>16221</v>
      </c>
      <c r="G5398" t="s">
        <v>16241</v>
      </c>
      <c r="H5398" t="s">
        <v>16241</v>
      </c>
      <c r="I5398" t="s">
        <v>16355</v>
      </c>
      <c r="J5398" t="s">
        <v>16385</v>
      </c>
      <c r="K5398">
        <v>0.188</v>
      </c>
      <c r="L5398">
        <v>8178</v>
      </c>
      <c r="M5398">
        <v>1978</v>
      </c>
      <c r="N5398" t="s">
        <v>16393</v>
      </c>
      <c r="O5398" s="4">
        <v>45278</v>
      </c>
      <c r="P5398" s="4">
        <v>76296</v>
      </c>
      <c r="Q5398" s="4">
        <v>121574</v>
      </c>
      <c r="R5398" s="4">
        <v>364722</v>
      </c>
      <c r="S5398" t="s">
        <v>21662</v>
      </c>
      <c r="T5398" s="6">
        <v>42552</v>
      </c>
      <c r="U5398" s="4">
        <v>272900</v>
      </c>
      <c r="V5398" t="s">
        <v>23739</v>
      </c>
      <c r="W5398" t="s">
        <v>26776</v>
      </c>
      <c r="X5398" t="s">
        <v>3</v>
      </c>
      <c r="AA5398" s="5" t="str">
        <f>HYPERLINK("https://www.zillow.com/homes/1120-MENSCHING-RD-ROSELLE-IL-60172_rb/","check listing")</f>
        <v>check listing</v>
      </c>
      <c r="AB5398" s="5" t="str">
        <f>HYPERLINK("https://propertylookup.dupagecounty.gov/Datalets/Datalet.aspx?UseSearch=no&amp;mode=sales&amp;pin=0204311017","sales record")</f>
        <v>sales record</v>
      </c>
      <c r="AC5398" t="s">
        <v>3</v>
      </c>
      <c r="AD5398">
        <v>41.981552</v>
      </c>
      <c r="AE5398">
        <v>-88.108538</v>
      </c>
      <c r="AF5398" s="5" t="str">
        <f>HYPERLINK("https://www.google.com/maps/search/?api=1&amp;query=41.981552,-88.108538","map")</f>
        <v>map</v>
      </c>
    </row>
    <row r="5399" spans="1:32">
      <c r="A5399" t="s">
        <v>5449</v>
      </c>
      <c r="B5399" t="s">
        <v>12974</v>
      </c>
      <c r="C5399" t="s">
        <v>15830</v>
      </c>
      <c r="D5399" t="s">
        <v>16207</v>
      </c>
      <c r="E5399" t="s">
        <v>16218</v>
      </c>
      <c r="F5399" t="s">
        <v>16221</v>
      </c>
      <c r="G5399" t="s">
        <v>16241</v>
      </c>
      <c r="H5399" t="s">
        <v>16241</v>
      </c>
      <c r="I5399" t="s">
        <v>16355</v>
      </c>
      <c r="J5399" t="s">
        <v>16385</v>
      </c>
      <c r="K5399">
        <v>0.188</v>
      </c>
      <c r="L5399">
        <v>8176</v>
      </c>
      <c r="M5399">
        <v>2144</v>
      </c>
      <c r="N5399" t="s">
        <v>16393</v>
      </c>
      <c r="O5399" s="4">
        <v>45278</v>
      </c>
      <c r="P5399" s="4">
        <v>69902</v>
      </c>
      <c r="Q5399" s="4">
        <v>115180</v>
      </c>
      <c r="R5399" s="4">
        <v>345540</v>
      </c>
      <c r="S5399" t="s">
        <v>21663</v>
      </c>
      <c r="T5399" s="6">
        <v>37742</v>
      </c>
      <c r="U5399" s="4">
        <v>233450</v>
      </c>
      <c r="V5399" t="s">
        <v>23739</v>
      </c>
      <c r="W5399" t="s">
        <v>26777</v>
      </c>
      <c r="X5399" t="s">
        <v>3</v>
      </c>
      <c r="AA5399" s="5" t="str">
        <f>HYPERLINK("https://www.zillow.com/homes/1130-HYGATE-DR-ROSELLE-IL-60172_rb/","check listing")</f>
        <v>check listing</v>
      </c>
      <c r="AB5399" s="5" t="str">
        <f>HYPERLINK("https://propertylookup.dupagecounty.gov/Datalets/Datalet.aspx?UseSearch=no&amp;mode=sales&amp;pin=0204309034","sales record")</f>
        <v>sales record</v>
      </c>
      <c r="AC5399" t="s">
        <v>3</v>
      </c>
      <c r="AD5399">
        <v>41.980802</v>
      </c>
      <c r="AE5399">
        <v>-88.108842</v>
      </c>
      <c r="AF5399" s="5" t="str">
        <f>HYPERLINK("https://www.google.com/maps/search/?api=1&amp;query=41.980802,-88.108842","map")</f>
        <v>map</v>
      </c>
    </row>
    <row r="5400" spans="1:32">
      <c r="A5400" t="s">
        <v>5450</v>
      </c>
      <c r="B5400" t="s">
        <v>12975</v>
      </c>
      <c r="C5400" t="s">
        <v>15868</v>
      </c>
      <c r="D5400" t="s">
        <v>16207</v>
      </c>
      <c r="E5400" t="s">
        <v>16218</v>
      </c>
      <c r="F5400" t="s">
        <v>16221</v>
      </c>
      <c r="G5400" t="s">
        <v>16241</v>
      </c>
      <c r="H5400" t="s">
        <v>16241</v>
      </c>
      <c r="I5400" t="s">
        <v>16355</v>
      </c>
      <c r="J5400" t="s">
        <v>16385</v>
      </c>
      <c r="K5400">
        <v>0.188</v>
      </c>
      <c r="L5400">
        <v>8174</v>
      </c>
      <c r="M5400">
        <v>1731</v>
      </c>
      <c r="N5400" t="s">
        <v>16393</v>
      </c>
      <c r="O5400" s="4">
        <v>45278</v>
      </c>
      <c r="P5400" s="4">
        <v>81915</v>
      </c>
      <c r="Q5400" s="4">
        <v>127193</v>
      </c>
      <c r="R5400" s="4">
        <v>381579</v>
      </c>
      <c r="S5400" t="s">
        <v>21664</v>
      </c>
      <c r="T5400" s="6">
        <v>42552</v>
      </c>
      <c r="U5400" s="4">
        <v>240000</v>
      </c>
      <c r="V5400" t="s">
        <v>23739</v>
      </c>
      <c r="W5400" t="s">
        <v>26778</v>
      </c>
      <c r="X5400" t="s">
        <v>3</v>
      </c>
      <c r="AA5400" s="5" t="str">
        <f>HYPERLINK("https://www.zillow.com/homes/801-BRANDYWINE-DR-ROSELLE-IL-601722804_rb/","check listing")</f>
        <v>check listing</v>
      </c>
      <c r="AB5400" s="5" t="str">
        <f>HYPERLINK("https://propertylookup.dupagecounty.gov/Datalets/Datalet.aspx?UseSearch=no&amp;mode=sales&amp;pin=0209116020","sales record")</f>
        <v>sales record</v>
      </c>
      <c r="AC5400" t="s">
        <v>3</v>
      </c>
      <c r="AD5400">
        <v>41.974548</v>
      </c>
      <c r="AE5400">
        <v>-88.10097</v>
      </c>
      <c r="AF5400" s="5" t="str">
        <f>HYPERLINK("https://www.google.com/maps/search/?api=1&amp;query=41.974548,-88.10097","map")</f>
        <v>map</v>
      </c>
    </row>
    <row r="5401" spans="1:32">
      <c r="A5401" t="s">
        <v>5451</v>
      </c>
      <c r="B5401" t="s">
        <v>12976</v>
      </c>
      <c r="C5401" t="s">
        <v>15830</v>
      </c>
      <c r="D5401" t="s">
        <v>16207</v>
      </c>
      <c r="E5401" t="s">
        <v>16218</v>
      </c>
      <c r="F5401" t="s">
        <v>16221</v>
      </c>
      <c r="G5401" t="s">
        <v>16241</v>
      </c>
      <c r="H5401" t="s">
        <v>16241</v>
      </c>
      <c r="I5401" t="s">
        <v>16355</v>
      </c>
      <c r="J5401" t="s">
        <v>16385</v>
      </c>
      <c r="K5401">
        <v>0.188</v>
      </c>
      <c r="L5401">
        <v>8171</v>
      </c>
      <c r="M5401">
        <v>2771</v>
      </c>
      <c r="N5401" t="s">
        <v>16393</v>
      </c>
      <c r="O5401" s="4">
        <v>51351</v>
      </c>
      <c r="P5401" s="4">
        <v>161689</v>
      </c>
      <c r="Q5401" s="4">
        <v>213040</v>
      </c>
      <c r="R5401" s="4">
        <v>639120</v>
      </c>
      <c r="S5401" t="s">
        <v>21665</v>
      </c>
      <c r="T5401" s="6">
        <v>35339</v>
      </c>
      <c r="U5401" s="4">
        <v>334000</v>
      </c>
      <c r="X5401" t="s">
        <v>3</v>
      </c>
      <c r="AA5401" s="5" t="str">
        <f>HYPERLINK("https://www.zillow.com/homes/70-PELICAN-BAY-ROSELLE-IL-60172_rb/","check listing")</f>
        <v>check listing</v>
      </c>
      <c r="AB5401" s="5" t="str">
        <f>HYPERLINK("https://propertylookup.dupagecounty.gov/Datalets/Datalet.aspx?UseSearch=no&amp;mode=sales&amp;pin=0204103015","sales record")</f>
        <v>sales record</v>
      </c>
      <c r="AC5401" t="s">
        <v>3</v>
      </c>
      <c r="AD5401">
        <v>41.984559</v>
      </c>
      <c r="AE5401">
        <v>-88.107432</v>
      </c>
      <c r="AF5401" s="5" t="str">
        <f>HYPERLINK("https://www.google.com/maps/search/?api=1&amp;query=41.984559,-88.107432","map")</f>
        <v>map</v>
      </c>
    </row>
    <row r="5402" spans="1:32">
      <c r="A5402" t="s">
        <v>5452</v>
      </c>
      <c r="B5402" t="s">
        <v>12977</v>
      </c>
      <c r="C5402" t="s">
        <v>15830</v>
      </c>
      <c r="D5402" t="s">
        <v>16207</v>
      </c>
      <c r="E5402" t="s">
        <v>16218</v>
      </c>
      <c r="F5402" t="s">
        <v>16221</v>
      </c>
      <c r="G5402" t="s">
        <v>16241</v>
      </c>
      <c r="H5402" t="s">
        <v>16241</v>
      </c>
      <c r="I5402" t="s">
        <v>16355</v>
      </c>
      <c r="J5402" t="s">
        <v>16385</v>
      </c>
      <c r="K5402">
        <v>0.188</v>
      </c>
      <c r="L5402">
        <v>8168</v>
      </c>
      <c r="M5402">
        <v>2287</v>
      </c>
      <c r="N5402" t="s">
        <v>16393</v>
      </c>
      <c r="O5402" s="4">
        <v>45278</v>
      </c>
      <c r="P5402" s="4">
        <v>95051</v>
      </c>
      <c r="Q5402" s="4">
        <v>140329</v>
      </c>
      <c r="R5402" s="4">
        <v>420987</v>
      </c>
      <c r="S5402" t="s">
        <v>21666</v>
      </c>
      <c r="T5402" s="6">
        <v>33147</v>
      </c>
      <c r="U5402" s="4">
        <v>152000</v>
      </c>
      <c r="X5402" t="s">
        <v>3</v>
      </c>
      <c r="AA5402" s="5" t="str">
        <f>HYPERLINK("https://www.zillow.com/homes/1310-BRISTOL-CT-ROSELLE-IL-60172_rb/","check listing")</f>
        <v>check listing</v>
      </c>
      <c r="AB5402" s="5" t="str">
        <f>HYPERLINK("https://propertylookup.dupagecounty.gov/Datalets/Datalet.aspx?UseSearch=no&amp;mode=sales&amp;pin=0205403011","sales record")</f>
        <v>sales record</v>
      </c>
      <c r="AC5402" t="s">
        <v>3</v>
      </c>
      <c r="AD5402">
        <v>41.979856</v>
      </c>
      <c r="AE5402">
        <v>-88.11399900000001</v>
      </c>
      <c r="AF5402" s="5" t="str">
        <f>HYPERLINK("https://www.google.com/maps/search/?api=1&amp;query=41.979856,-88.113999","map")</f>
        <v>map</v>
      </c>
    </row>
    <row r="5403" spans="1:32">
      <c r="A5403" t="s">
        <v>5453</v>
      </c>
      <c r="B5403" t="s">
        <v>12978</v>
      </c>
      <c r="C5403" t="s">
        <v>15885</v>
      </c>
      <c r="D5403" t="s">
        <v>16207</v>
      </c>
      <c r="E5403" t="s">
        <v>16218</v>
      </c>
      <c r="F5403" t="s">
        <v>16221</v>
      </c>
      <c r="G5403" t="s">
        <v>16241</v>
      </c>
      <c r="H5403" t="s">
        <v>16241</v>
      </c>
      <c r="I5403" t="s">
        <v>16355</v>
      </c>
      <c r="J5403" t="s">
        <v>16385</v>
      </c>
      <c r="K5403">
        <v>0.187</v>
      </c>
      <c r="L5403">
        <v>8164</v>
      </c>
      <c r="M5403">
        <v>1615</v>
      </c>
      <c r="N5403" t="s">
        <v>16393</v>
      </c>
      <c r="O5403" s="4">
        <v>38692</v>
      </c>
      <c r="P5403" s="4">
        <v>58176</v>
      </c>
      <c r="Q5403" s="4">
        <v>96868</v>
      </c>
      <c r="R5403" s="4">
        <v>290604</v>
      </c>
      <c r="S5403" t="s">
        <v>21667</v>
      </c>
      <c r="T5403" s="6">
        <v>43617</v>
      </c>
      <c r="U5403" s="4">
        <v>233600</v>
      </c>
      <c r="V5403" t="s">
        <v>23739</v>
      </c>
      <c r="W5403" t="s">
        <v>26779</v>
      </c>
      <c r="X5403" t="s">
        <v>3</v>
      </c>
      <c r="AA5403" s="5" t="str">
        <f>HYPERLINK("https://www.zillow.com/homes/1019-WOODSIDE-DR-ROSELLE-IL-601722729_rb/","check listing")</f>
        <v>check listing</v>
      </c>
      <c r="AB5403" s="5" t="str">
        <f>HYPERLINK("https://propertylookup.dupagecounty.gov/Datalets/Datalet.aspx?UseSearch=no&amp;mode=sales&amp;pin=0209305006","sales record")</f>
        <v>sales record</v>
      </c>
      <c r="AC5403" t="s">
        <v>3</v>
      </c>
      <c r="AD5403">
        <v>41.967354</v>
      </c>
      <c r="AE5403">
        <v>-88.106092</v>
      </c>
      <c r="AF5403" s="5" t="str">
        <f>HYPERLINK("https://www.google.com/maps/search/?api=1&amp;query=41.967354,-88.106092","map")</f>
        <v>map</v>
      </c>
    </row>
    <row r="5404" spans="1:32">
      <c r="A5404" t="s">
        <v>5454</v>
      </c>
      <c r="B5404" t="s">
        <v>12979</v>
      </c>
      <c r="C5404" t="s">
        <v>15830</v>
      </c>
      <c r="D5404" t="s">
        <v>16207</v>
      </c>
      <c r="E5404" t="s">
        <v>16218</v>
      </c>
      <c r="F5404" t="s">
        <v>16221</v>
      </c>
      <c r="G5404" t="s">
        <v>16241</v>
      </c>
      <c r="H5404" t="s">
        <v>16241</v>
      </c>
      <c r="I5404" t="s">
        <v>16355</v>
      </c>
      <c r="J5404" t="s">
        <v>16385</v>
      </c>
      <c r="K5404">
        <v>0.187</v>
      </c>
      <c r="L5404">
        <v>8163</v>
      </c>
      <c r="M5404">
        <v>1929</v>
      </c>
      <c r="N5404" t="s">
        <v>16393</v>
      </c>
      <c r="O5404" s="4">
        <v>45278</v>
      </c>
      <c r="P5404" s="4">
        <v>109693</v>
      </c>
      <c r="Q5404" s="4">
        <v>154971</v>
      </c>
      <c r="R5404" s="4">
        <v>464913</v>
      </c>
      <c r="S5404" t="s">
        <v>21668</v>
      </c>
      <c r="T5404" s="6">
        <v>33786</v>
      </c>
      <c r="U5404" s="4">
        <v>153000</v>
      </c>
      <c r="X5404" t="s">
        <v>3</v>
      </c>
      <c r="AA5404" s="5" t="str">
        <f>HYPERLINK("https://www.zillow.com/homes/721-EDENWOOD-DR-ROSELLE-IL-60172_rb/","check listing")</f>
        <v>check listing</v>
      </c>
      <c r="AB5404" s="5" t="str">
        <f>HYPERLINK("https://propertylookup.dupagecounty.gov/Datalets/Datalet.aspx?UseSearch=no&amp;mode=sales&amp;pin=0209203033","sales record")</f>
        <v>sales record</v>
      </c>
      <c r="AC5404" t="s">
        <v>3</v>
      </c>
      <c r="AD5404">
        <v>41.972119</v>
      </c>
      <c r="AE5404">
        <v>-88.09859</v>
      </c>
      <c r="AF5404" s="5" t="str">
        <f>HYPERLINK("https://www.google.com/maps/search/?api=1&amp;query=41.972119,-88.09859","map")</f>
        <v>map</v>
      </c>
    </row>
    <row r="5405" spans="1:32">
      <c r="A5405" t="s">
        <v>5455</v>
      </c>
      <c r="B5405" t="s">
        <v>12980</v>
      </c>
      <c r="C5405" t="s">
        <v>15830</v>
      </c>
      <c r="D5405" t="s">
        <v>16207</v>
      </c>
      <c r="E5405" t="s">
        <v>16218</v>
      </c>
      <c r="F5405" t="s">
        <v>16221</v>
      </c>
      <c r="G5405" t="s">
        <v>16241</v>
      </c>
      <c r="H5405" t="s">
        <v>16241</v>
      </c>
      <c r="I5405" t="s">
        <v>16355</v>
      </c>
      <c r="J5405" t="s">
        <v>16385</v>
      </c>
      <c r="K5405">
        <v>0.187</v>
      </c>
      <c r="L5405">
        <v>8146</v>
      </c>
      <c r="M5405">
        <v>2358</v>
      </c>
      <c r="N5405" t="s">
        <v>16393</v>
      </c>
      <c r="O5405" s="4">
        <v>45278</v>
      </c>
      <c r="P5405" s="4">
        <v>108222</v>
      </c>
      <c r="Q5405" s="4">
        <v>153500</v>
      </c>
      <c r="R5405" s="4">
        <v>460500</v>
      </c>
      <c r="S5405" t="s">
        <v>21669</v>
      </c>
      <c r="T5405" s="6">
        <v>42156</v>
      </c>
      <c r="U5405" s="4">
        <v>300000</v>
      </c>
      <c r="V5405" t="s">
        <v>23739</v>
      </c>
      <c r="W5405" t="s">
        <v>26780</v>
      </c>
      <c r="X5405" t="s">
        <v>3</v>
      </c>
      <c r="AA5405" s="5" t="str">
        <f>HYPERLINK("https://www.zillow.com/homes/780-BRANDYWINE-DR-ROSELLE-IL-60172_rb/","check listing")</f>
        <v>check listing</v>
      </c>
      <c r="AB5405" s="5" t="str">
        <f>HYPERLINK("https://propertylookup.dupagecounty.gov/Datalets/Datalet.aspx?UseSearch=no&amp;mode=sales&amp;pin=0209211004","sales record")</f>
        <v>sales record</v>
      </c>
      <c r="AC5405" t="s">
        <v>3</v>
      </c>
      <c r="AD5405">
        <v>41.974581</v>
      </c>
      <c r="AE5405">
        <v>-88.100298</v>
      </c>
      <c r="AF5405" s="5" t="str">
        <f>HYPERLINK("https://www.google.com/maps/search/?api=1&amp;query=41.974581,-88.100298","map")</f>
        <v>map</v>
      </c>
    </row>
    <row r="5406" spans="1:32">
      <c r="A5406" t="s">
        <v>5456</v>
      </c>
      <c r="B5406" t="s">
        <v>12981</v>
      </c>
      <c r="C5406" t="s">
        <v>15830</v>
      </c>
      <c r="D5406" t="s">
        <v>16207</v>
      </c>
      <c r="E5406" t="s">
        <v>16218</v>
      </c>
      <c r="F5406" t="s">
        <v>16221</v>
      </c>
      <c r="G5406" t="s">
        <v>16241</v>
      </c>
      <c r="H5406" t="s">
        <v>16241</v>
      </c>
      <c r="I5406" t="s">
        <v>16355</v>
      </c>
      <c r="J5406" t="s">
        <v>16385</v>
      </c>
      <c r="K5406">
        <v>0.187</v>
      </c>
      <c r="L5406">
        <v>8142</v>
      </c>
      <c r="M5406">
        <v>2078</v>
      </c>
      <c r="N5406" t="s">
        <v>16393</v>
      </c>
      <c r="O5406" s="4">
        <v>45278</v>
      </c>
      <c r="P5406" s="4">
        <v>103441</v>
      </c>
      <c r="Q5406" s="4">
        <v>148719</v>
      </c>
      <c r="R5406" s="4">
        <v>446157</v>
      </c>
      <c r="S5406" t="s">
        <v>21670</v>
      </c>
      <c r="T5406" s="6">
        <v>33725</v>
      </c>
      <c r="U5406" s="4">
        <v>168000</v>
      </c>
      <c r="X5406" t="s">
        <v>3</v>
      </c>
      <c r="AA5406" s="5" t="str">
        <f>HYPERLINK("https://www.zillow.com/homes/1285-CHATHAM-LN-ROSELLE-IL-60172_rb/","check listing")</f>
        <v>check listing</v>
      </c>
      <c r="AB5406" s="5" t="str">
        <f>HYPERLINK("https://propertylookup.dupagecounty.gov/Datalets/Datalet.aspx?UseSearch=no&amp;mode=sales&amp;pin=0205402013","sales record")</f>
        <v>sales record</v>
      </c>
      <c r="AC5406" t="s">
        <v>3</v>
      </c>
      <c r="AD5406">
        <v>41.980965</v>
      </c>
      <c r="AE5406">
        <v>-88.113366</v>
      </c>
      <c r="AF5406" s="5" t="str">
        <f>HYPERLINK("https://www.google.com/maps/search/?api=1&amp;query=41.980965,-88.113366","map")</f>
        <v>map</v>
      </c>
    </row>
    <row r="5407" spans="1:32">
      <c r="A5407" t="s">
        <v>5457</v>
      </c>
      <c r="B5407" t="s">
        <v>12982</v>
      </c>
      <c r="C5407" t="s">
        <v>15830</v>
      </c>
      <c r="D5407" t="s">
        <v>16207</v>
      </c>
      <c r="E5407" t="s">
        <v>16218</v>
      </c>
      <c r="F5407" t="s">
        <v>16221</v>
      </c>
      <c r="G5407" t="s">
        <v>16241</v>
      </c>
      <c r="H5407" t="s">
        <v>16241</v>
      </c>
      <c r="I5407" t="s">
        <v>16355</v>
      </c>
      <c r="J5407" t="s">
        <v>16385</v>
      </c>
      <c r="K5407">
        <v>0.187</v>
      </c>
      <c r="L5407">
        <v>8137</v>
      </c>
      <c r="M5407">
        <v>1583</v>
      </c>
      <c r="N5407" t="s">
        <v>16393</v>
      </c>
      <c r="O5407" s="4">
        <v>45278</v>
      </c>
      <c r="P5407" s="4">
        <v>86588</v>
      </c>
      <c r="Q5407" s="4">
        <v>131866</v>
      </c>
      <c r="R5407" s="4">
        <v>395598</v>
      </c>
      <c r="S5407" t="s">
        <v>21671</v>
      </c>
      <c r="T5407" s="6">
        <v>42917</v>
      </c>
      <c r="U5407" s="4">
        <v>320000</v>
      </c>
      <c r="V5407" t="s">
        <v>23739</v>
      </c>
      <c r="W5407" t="s">
        <v>21671</v>
      </c>
      <c r="X5407" t="s">
        <v>3</v>
      </c>
      <c r="AA5407" s="5" t="str">
        <f>HYPERLINK("https://www.zillow.com/homes/420-AVEBURY-CT-ROSELLE-IL-60172_rb/","check listing")</f>
        <v>check listing</v>
      </c>
      <c r="AB5407" s="5" t="str">
        <f>HYPERLINK("https://propertylookup.dupagecounty.gov/Datalets/Datalet.aspx?UseSearch=no&amp;mode=sales&amp;pin=0209211006","sales record")</f>
        <v>sales record</v>
      </c>
      <c r="AC5407" t="s">
        <v>3</v>
      </c>
      <c r="AD5407">
        <v>41.975137</v>
      </c>
      <c r="AE5407">
        <v>-88.100228</v>
      </c>
      <c r="AF5407" s="5" t="str">
        <f>HYPERLINK("https://www.google.com/maps/search/?api=1&amp;query=41.975137,-88.100228","map")</f>
        <v>map</v>
      </c>
    </row>
    <row r="5408" spans="1:32">
      <c r="A5408" t="s">
        <v>5458</v>
      </c>
      <c r="B5408" t="s">
        <v>12983</v>
      </c>
      <c r="C5408" t="s">
        <v>15830</v>
      </c>
      <c r="D5408" t="s">
        <v>16207</v>
      </c>
      <c r="E5408" t="s">
        <v>16218</v>
      </c>
      <c r="F5408" t="s">
        <v>16221</v>
      </c>
      <c r="G5408" t="s">
        <v>16241</v>
      </c>
      <c r="H5408" t="s">
        <v>16241</v>
      </c>
      <c r="I5408" t="s">
        <v>16355</v>
      </c>
      <c r="J5408" t="s">
        <v>16385</v>
      </c>
      <c r="K5408">
        <v>0.187</v>
      </c>
      <c r="L5408">
        <v>8132</v>
      </c>
      <c r="M5408">
        <v>1583</v>
      </c>
      <c r="N5408" t="s">
        <v>16393</v>
      </c>
      <c r="O5408" s="4">
        <v>45278</v>
      </c>
      <c r="P5408" s="4">
        <v>86815</v>
      </c>
      <c r="Q5408" s="4">
        <v>132093</v>
      </c>
      <c r="R5408" s="4">
        <v>396279</v>
      </c>
      <c r="S5408" t="s">
        <v>21672</v>
      </c>
      <c r="X5408" t="s">
        <v>3</v>
      </c>
      <c r="AA5408" s="5" t="str">
        <f>HYPERLINK("https://www.zillow.com/homes/660-EDENWOOD-DR-ROSELLE-IL-60172_rb/","check listing")</f>
        <v>check listing</v>
      </c>
      <c r="AB5408" s="5" t="str">
        <f>HYPERLINK("https://propertylookup.dupagecounty.gov/Datalets/Datalet.aspx?UseSearch=no&amp;mode=sales&amp;pin=0209202036","sales record")</f>
        <v>sales record</v>
      </c>
      <c r="AC5408" t="s">
        <v>3</v>
      </c>
      <c r="AD5408">
        <v>41.972664</v>
      </c>
      <c r="AE5408">
        <v>-88.097195</v>
      </c>
      <c r="AF5408" s="5" t="str">
        <f>HYPERLINK("https://www.google.com/maps/search/?api=1&amp;query=41.972664,-88.097195","map")</f>
        <v>map</v>
      </c>
    </row>
    <row r="5409" spans="1:32">
      <c r="A5409" t="s">
        <v>5459</v>
      </c>
      <c r="B5409" t="s">
        <v>12984</v>
      </c>
      <c r="C5409" t="s">
        <v>15886</v>
      </c>
      <c r="D5409" t="s">
        <v>16207</v>
      </c>
      <c r="E5409" t="s">
        <v>16218</v>
      </c>
      <c r="F5409" t="s">
        <v>16221</v>
      </c>
      <c r="G5409" t="s">
        <v>16241</v>
      </c>
      <c r="H5409" t="s">
        <v>16241</v>
      </c>
      <c r="I5409" t="s">
        <v>16355</v>
      </c>
      <c r="J5409" t="s">
        <v>16385</v>
      </c>
      <c r="K5409">
        <v>0.186</v>
      </c>
      <c r="L5409">
        <v>8107</v>
      </c>
      <c r="M5409">
        <v>1980</v>
      </c>
      <c r="N5409" t="s">
        <v>16393</v>
      </c>
      <c r="O5409" s="4">
        <v>38692</v>
      </c>
      <c r="P5409" s="4">
        <v>90090</v>
      </c>
      <c r="Q5409" s="4">
        <v>128782</v>
      </c>
      <c r="R5409" s="4">
        <v>386346</v>
      </c>
      <c r="S5409" t="s">
        <v>21673</v>
      </c>
      <c r="T5409" s="6">
        <v>43678</v>
      </c>
      <c r="U5409" s="4">
        <v>270000</v>
      </c>
      <c r="V5409" t="s">
        <v>23739</v>
      </c>
      <c r="W5409" t="s">
        <v>26781</v>
      </c>
      <c r="X5409" t="s">
        <v>3</v>
      </c>
      <c r="AA5409" s="5" t="str">
        <f>HYPERLINK("https://www.zillow.com/homes/723-RADNOR-DR-ROSELLE-IL-601722744_rb/","check listing")</f>
        <v>check listing</v>
      </c>
      <c r="AB5409" s="5" t="str">
        <f>HYPERLINK("https://propertylookup.dupagecounty.gov/Datalets/Datalet.aspx?UseSearch=no&amp;mode=sales&amp;pin=0209110053","sales record")</f>
        <v>sales record</v>
      </c>
      <c r="AC5409" t="s">
        <v>3</v>
      </c>
      <c r="AD5409">
        <v>41.969776</v>
      </c>
      <c r="AE5409">
        <v>-88.107017</v>
      </c>
      <c r="AF5409" s="5" t="str">
        <f>HYPERLINK("https://www.google.com/maps/search/?api=1&amp;query=41.969776,-88.107017","map")</f>
        <v>map</v>
      </c>
    </row>
    <row r="5410" spans="1:32">
      <c r="A5410" t="s">
        <v>5460</v>
      </c>
      <c r="B5410" t="s">
        <v>12985</v>
      </c>
      <c r="C5410" t="s">
        <v>15830</v>
      </c>
      <c r="D5410" t="s">
        <v>16207</v>
      </c>
      <c r="E5410" t="s">
        <v>16218</v>
      </c>
      <c r="F5410" t="s">
        <v>16221</v>
      </c>
      <c r="G5410" t="s">
        <v>16241</v>
      </c>
      <c r="H5410" t="s">
        <v>16241</v>
      </c>
      <c r="I5410" t="s">
        <v>16355</v>
      </c>
      <c r="J5410" t="s">
        <v>16385</v>
      </c>
      <c r="K5410">
        <v>0.186</v>
      </c>
      <c r="L5410">
        <v>8104</v>
      </c>
      <c r="M5410">
        <v>2559</v>
      </c>
      <c r="N5410" t="s">
        <v>16393</v>
      </c>
      <c r="O5410" s="4">
        <v>38692</v>
      </c>
      <c r="P5410" s="4">
        <v>90030</v>
      </c>
      <c r="Q5410" s="4">
        <v>128722</v>
      </c>
      <c r="R5410" s="4">
        <v>386166</v>
      </c>
      <c r="S5410" t="s">
        <v>21674</v>
      </c>
      <c r="T5410" s="6">
        <v>35551</v>
      </c>
      <c r="U5410" s="4">
        <v>152000</v>
      </c>
      <c r="X5410" t="s">
        <v>3</v>
      </c>
      <c r="AA5410" s="5" t="str">
        <f>HYPERLINK("https://www.zillow.com/homes/719-RADNOR-DR-ROSELLE-IL-60172_rb/","check listing")</f>
        <v>check listing</v>
      </c>
      <c r="AB5410" s="5" t="str">
        <f>HYPERLINK("https://propertylookup.dupagecounty.gov/Datalets/Datalet.aspx?UseSearch=no&amp;mode=sales&amp;pin=0209110052","sales record")</f>
        <v>sales record</v>
      </c>
      <c r="AC5410" t="s">
        <v>3</v>
      </c>
      <c r="AD5410">
        <v>41.970005</v>
      </c>
      <c r="AE5410">
        <v>-88.106982</v>
      </c>
      <c r="AF5410" s="5" t="str">
        <f>HYPERLINK("https://www.google.com/maps/search/?api=1&amp;query=41.970005,-88.106982","map")</f>
        <v>map</v>
      </c>
    </row>
    <row r="5411" spans="1:32">
      <c r="A5411" t="s">
        <v>5461</v>
      </c>
      <c r="B5411" t="s">
        <v>12986</v>
      </c>
      <c r="C5411" t="s">
        <v>15887</v>
      </c>
      <c r="D5411" t="s">
        <v>16207</v>
      </c>
      <c r="E5411" t="s">
        <v>16218</v>
      </c>
      <c r="F5411" t="s">
        <v>16221</v>
      </c>
      <c r="G5411" t="s">
        <v>16241</v>
      </c>
      <c r="H5411" t="s">
        <v>16241</v>
      </c>
      <c r="I5411" t="s">
        <v>16355</v>
      </c>
      <c r="J5411" t="s">
        <v>16385</v>
      </c>
      <c r="K5411">
        <v>0.186</v>
      </c>
      <c r="L5411">
        <v>8091</v>
      </c>
      <c r="M5411">
        <v>2355</v>
      </c>
      <c r="N5411" t="s">
        <v>16393</v>
      </c>
      <c r="O5411" s="4">
        <v>45278</v>
      </c>
      <c r="P5411" s="4">
        <v>114594</v>
      </c>
      <c r="Q5411" s="4">
        <v>159872</v>
      </c>
      <c r="R5411" s="4">
        <v>479616</v>
      </c>
      <c r="S5411" t="s">
        <v>21675</v>
      </c>
      <c r="T5411" s="6">
        <v>29160</v>
      </c>
      <c r="U5411" s="4">
        <v>74000</v>
      </c>
      <c r="X5411" t="s">
        <v>3</v>
      </c>
      <c r="AA5411" s="5" t="str">
        <f>HYPERLINK("https://www.zillow.com/homes/695-EDENWOOD-DR-ROSELLE-IL-601722876_rb/","check listing")</f>
        <v>check listing</v>
      </c>
      <c r="AB5411" s="5" t="str">
        <f>HYPERLINK("https://propertylookup.dupagecounty.gov/Datalets/Datalet.aspx?UseSearch=no&amp;mode=sales&amp;pin=0209206026","sales record")</f>
        <v>sales record</v>
      </c>
      <c r="AC5411" t="s">
        <v>3</v>
      </c>
      <c r="AD5411">
        <v>41.97213</v>
      </c>
      <c r="AE5411">
        <v>-88.098054</v>
      </c>
      <c r="AF5411" s="5" t="str">
        <f>HYPERLINK("https://www.google.com/maps/search/?api=1&amp;query=41.97213,-88.098054","map")</f>
        <v>map</v>
      </c>
    </row>
    <row r="5412" spans="1:32">
      <c r="A5412" t="s">
        <v>5462</v>
      </c>
      <c r="B5412" t="s">
        <v>12987</v>
      </c>
      <c r="C5412" t="s">
        <v>15830</v>
      </c>
      <c r="D5412" t="s">
        <v>16207</v>
      </c>
      <c r="E5412" t="s">
        <v>16218</v>
      </c>
      <c r="F5412" t="s">
        <v>16221</v>
      </c>
      <c r="G5412" t="s">
        <v>16241</v>
      </c>
      <c r="H5412" t="s">
        <v>16241</v>
      </c>
      <c r="I5412" t="s">
        <v>16355</v>
      </c>
      <c r="J5412" t="s">
        <v>16385</v>
      </c>
      <c r="K5412">
        <v>0.186</v>
      </c>
      <c r="L5412">
        <v>8089</v>
      </c>
      <c r="M5412">
        <v>1715</v>
      </c>
      <c r="N5412" t="s">
        <v>16393</v>
      </c>
      <c r="O5412" s="4">
        <v>45278</v>
      </c>
      <c r="P5412" s="4">
        <v>84485</v>
      </c>
      <c r="Q5412" s="4">
        <v>129763</v>
      </c>
      <c r="R5412" s="4">
        <v>389289</v>
      </c>
      <c r="S5412" t="s">
        <v>21676</v>
      </c>
      <c r="T5412" s="6">
        <v>37865</v>
      </c>
      <c r="U5412" s="4">
        <v>265000</v>
      </c>
      <c r="V5412" t="s">
        <v>23739</v>
      </c>
      <c r="W5412" t="s">
        <v>26782</v>
      </c>
      <c r="X5412" t="s">
        <v>3</v>
      </c>
      <c r="AA5412" s="5" t="str">
        <f>HYPERLINK("https://www.zillow.com/homes/1290-CHATHAM-LN-ROSELLE-IL-60172_rb/","check listing")</f>
        <v>check listing</v>
      </c>
      <c r="AB5412" s="5" t="str">
        <f>HYPERLINK("https://propertylookup.dupagecounty.gov/Datalets/Datalet.aspx?UseSearch=no&amp;mode=sales&amp;pin=0205401065","sales record")</f>
        <v>sales record</v>
      </c>
      <c r="AC5412" t="s">
        <v>3</v>
      </c>
      <c r="AD5412">
        <v>41.981429</v>
      </c>
      <c r="AE5412">
        <v>-88.113525</v>
      </c>
      <c r="AF5412" s="5" t="str">
        <f>HYPERLINK("https://www.google.com/maps/search/?api=1&amp;query=41.981429,-88.113525","map")</f>
        <v>map</v>
      </c>
    </row>
    <row r="5413" spans="1:32">
      <c r="A5413" t="s">
        <v>5463</v>
      </c>
      <c r="B5413" t="s">
        <v>12988</v>
      </c>
      <c r="C5413" t="s">
        <v>15888</v>
      </c>
      <c r="D5413" t="s">
        <v>16207</v>
      </c>
      <c r="E5413" t="s">
        <v>16218</v>
      </c>
      <c r="F5413" t="s">
        <v>16221</v>
      </c>
      <c r="G5413" t="s">
        <v>16241</v>
      </c>
      <c r="H5413" t="s">
        <v>16241</v>
      </c>
      <c r="I5413" t="s">
        <v>16355</v>
      </c>
      <c r="J5413" t="s">
        <v>16385</v>
      </c>
      <c r="K5413">
        <v>0.185</v>
      </c>
      <c r="L5413">
        <v>8074</v>
      </c>
      <c r="M5413">
        <v>2145</v>
      </c>
      <c r="N5413" t="s">
        <v>16393</v>
      </c>
      <c r="O5413" s="4">
        <v>45278</v>
      </c>
      <c r="P5413" s="4">
        <v>71658</v>
      </c>
      <c r="Q5413" s="4">
        <v>116936</v>
      </c>
      <c r="R5413" s="4">
        <v>350808</v>
      </c>
      <c r="S5413" t="s">
        <v>21677</v>
      </c>
      <c r="T5413" s="6">
        <v>44075</v>
      </c>
      <c r="U5413" s="4">
        <v>298900</v>
      </c>
      <c r="V5413" t="s">
        <v>23739</v>
      </c>
      <c r="W5413" t="s">
        <v>26783</v>
      </c>
      <c r="X5413" t="s">
        <v>3</v>
      </c>
      <c r="AA5413" s="5" t="str">
        <f>HYPERLINK("https://www.zillow.com/homes/575-DALTON-LN-ROSELLE-IL-601722820_rb/","check listing")</f>
        <v>check listing</v>
      </c>
      <c r="AB5413" s="5" t="str">
        <f>HYPERLINK("https://propertylookup.dupagecounty.gov/Datalets/Datalet.aspx?UseSearch=no&amp;mode=sales&amp;pin=0209213014","sales record")</f>
        <v>sales record</v>
      </c>
      <c r="AC5413" t="s">
        <v>3</v>
      </c>
      <c r="AD5413">
        <v>41.972497</v>
      </c>
      <c r="AE5413">
        <v>-88.099014</v>
      </c>
      <c r="AF5413" s="5" t="str">
        <f>HYPERLINK("https://www.google.com/maps/search/?api=1&amp;query=41.972497,-88.099014","map")</f>
        <v>map</v>
      </c>
    </row>
    <row r="5414" spans="1:32">
      <c r="A5414" t="s">
        <v>5464</v>
      </c>
      <c r="B5414" t="s">
        <v>12989</v>
      </c>
      <c r="C5414" t="s">
        <v>15856</v>
      </c>
      <c r="D5414" t="s">
        <v>16207</v>
      </c>
      <c r="E5414" t="s">
        <v>16218</v>
      </c>
      <c r="F5414" t="s">
        <v>16221</v>
      </c>
      <c r="G5414" t="s">
        <v>16241</v>
      </c>
      <c r="H5414" t="s">
        <v>16241</v>
      </c>
      <c r="I5414" t="s">
        <v>16355</v>
      </c>
      <c r="J5414" t="s">
        <v>16385</v>
      </c>
      <c r="K5414">
        <v>0.185</v>
      </c>
      <c r="L5414">
        <v>8073</v>
      </c>
      <c r="M5414">
        <v>1715</v>
      </c>
      <c r="N5414" t="s">
        <v>16393</v>
      </c>
      <c r="O5414" s="4">
        <v>38692</v>
      </c>
      <c r="P5414" s="4">
        <v>77599</v>
      </c>
      <c r="Q5414" s="4">
        <v>116291</v>
      </c>
      <c r="R5414" s="4">
        <v>348873</v>
      </c>
      <c r="S5414" t="s">
        <v>21678</v>
      </c>
      <c r="X5414" t="s">
        <v>3</v>
      </c>
      <c r="AA5414" s="5" t="str">
        <f>HYPERLINK("https://www.zillow.com/homes/1120-NORMAN-LN-ROSELLE-IL-601722630_rb/","check listing")</f>
        <v>check listing</v>
      </c>
      <c r="AB5414" s="5" t="str">
        <f>HYPERLINK("https://propertylookup.dupagecounty.gov/Datalets/Datalet.aspx?UseSearch=no&amp;mode=sales&amp;pin=0204302010","sales record")</f>
        <v>sales record</v>
      </c>
      <c r="AC5414" t="s">
        <v>3</v>
      </c>
      <c r="AD5414">
        <v>41.97566</v>
      </c>
      <c r="AE5414">
        <v>-88.10839900000001</v>
      </c>
      <c r="AF5414" s="5" t="str">
        <f>HYPERLINK("https://www.google.com/maps/search/?api=1&amp;query=41.97566,-88.108399","map")</f>
        <v>map</v>
      </c>
    </row>
    <row r="5415" spans="1:32">
      <c r="A5415" t="s">
        <v>5465</v>
      </c>
      <c r="B5415" t="s">
        <v>12990</v>
      </c>
      <c r="C5415" t="s">
        <v>15830</v>
      </c>
      <c r="D5415" t="s">
        <v>16207</v>
      </c>
      <c r="E5415" t="s">
        <v>16218</v>
      </c>
      <c r="F5415" t="s">
        <v>16221</v>
      </c>
      <c r="G5415" t="s">
        <v>16241</v>
      </c>
      <c r="H5415" t="s">
        <v>16241</v>
      </c>
      <c r="I5415" t="s">
        <v>16355</v>
      </c>
      <c r="J5415" t="s">
        <v>16385</v>
      </c>
      <c r="K5415">
        <v>0.185</v>
      </c>
      <c r="L5415">
        <v>8069</v>
      </c>
      <c r="M5415">
        <v>3003</v>
      </c>
      <c r="N5415" t="s">
        <v>16393</v>
      </c>
      <c r="O5415" s="4">
        <v>51351</v>
      </c>
      <c r="P5415" s="4">
        <v>149616</v>
      </c>
      <c r="Q5415" s="4">
        <v>200967</v>
      </c>
      <c r="R5415" s="4">
        <v>602901</v>
      </c>
      <c r="S5415" t="s">
        <v>21679</v>
      </c>
      <c r="T5415" s="6">
        <v>36312</v>
      </c>
      <c r="U5415" s="4">
        <v>339000</v>
      </c>
      <c r="X5415" t="s">
        <v>3</v>
      </c>
      <c r="AA5415" s="5" t="str">
        <f>HYPERLINK("https://www.zillow.com/homes/1135-BLUEBIRD-ROSELLE-IL-60172_rb/","check listing")</f>
        <v>check listing</v>
      </c>
      <c r="AB5415" s="5" t="str">
        <f>HYPERLINK("https://propertylookup.dupagecounty.gov/Datalets/Datalet.aspx?UseSearch=no&amp;mode=sales&amp;pin=0204104007","sales record")</f>
        <v>sales record</v>
      </c>
      <c r="AC5415" t="s">
        <v>3</v>
      </c>
      <c r="AD5415">
        <v>41.985487</v>
      </c>
      <c r="AE5415">
        <v>-88.108287</v>
      </c>
      <c r="AF5415" s="5" t="str">
        <f>HYPERLINK("https://www.google.com/maps/search/?api=1&amp;query=41.985487,-88.108287","map")</f>
        <v>map</v>
      </c>
    </row>
    <row r="5416" spans="1:32">
      <c r="A5416" t="s">
        <v>5466</v>
      </c>
      <c r="B5416" t="s">
        <v>12991</v>
      </c>
      <c r="C5416" t="s">
        <v>15830</v>
      </c>
      <c r="D5416" t="s">
        <v>16207</v>
      </c>
      <c r="E5416" t="s">
        <v>16218</v>
      </c>
      <c r="F5416" t="s">
        <v>16221</v>
      </c>
      <c r="G5416" t="s">
        <v>16241</v>
      </c>
      <c r="H5416" t="s">
        <v>16241</v>
      </c>
      <c r="I5416" t="s">
        <v>16355</v>
      </c>
      <c r="J5416" t="s">
        <v>16385</v>
      </c>
      <c r="K5416">
        <v>0.185</v>
      </c>
      <c r="L5416">
        <v>8067</v>
      </c>
      <c r="M5416">
        <v>1715</v>
      </c>
      <c r="N5416" t="s">
        <v>16393</v>
      </c>
      <c r="O5416" s="4">
        <v>45278</v>
      </c>
      <c r="P5416" s="4">
        <v>69902</v>
      </c>
      <c r="Q5416" s="4">
        <v>115180</v>
      </c>
      <c r="R5416" s="4">
        <v>345540</v>
      </c>
      <c r="S5416" t="s">
        <v>21680</v>
      </c>
      <c r="T5416" s="6">
        <v>32660</v>
      </c>
      <c r="U5416" s="4">
        <v>127000</v>
      </c>
      <c r="X5416" t="s">
        <v>3</v>
      </c>
      <c r="AA5416" s="5" t="str">
        <f>HYPERLINK("https://www.zillow.com/homes/170-CHATHAM-LN-ROSELLE-IL-60172_rb/","check listing")</f>
        <v>check listing</v>
      </c>
      <c r="AB5416" s="5" t="str">
        <f>HYPERLINK("https://propertylookup.dupagecounty.gov/Datalets/Datalet.aspx?UseSearch=no&amp;mode=sales&amp;pin=0205401011","sales record")</f>
        <v>sales record</v>
      </c>
      <c r="AC5416" t="s">
        <v>3</v>
      </c>
      <c r="AD5416">
        <v>41.979417</v>
      </c>
      <c r="AE5416">
        <v>-88.115104</v>
      </c>
      <c r="AF5416" s="5" t="str">
        <f>HYPERLINK("https://www.google.com/maps/search/?api=1&amp;query=41.979417,-88.115104","map")</f>
        <v>map</v>
      </c>
    </row>
    <row r="5417" spans="1:32">
      <c r="A5417" t="s">
        <v>5467</v>
      </c>
      <c r="B5417" t="s">
        <v>12992</v>
      </c>
      <c r="C5417" t="s">
        <v>15830</v>
      </c>
      <c r="D5417" t="s">
        <v>16207</v>
      </c>
      <c r="E5417" t="s">
        <v>16218</v>
      </c>
      <c r="F5417" t="s">
        <v>16221</v>
      </c>
      <c r="G5417" t="s">
        <v>16241</v>
      </c>
      <c r="H5417" t="s">
        <v>16241</v>
      </c>
      <c r="I5417" t="s">
        <v>16355</v>
      </c>
      <c r="J5417" t="s">
        <v>16385</v>
      </c>
      <c r="K5417">
        <v>0.185</v>
      </c>
      <c r="L5417">
        <v>8067</v>
      </c>
      <c r="M5417">
        <v>1677</v>
      </c>
      <c r="N5417" t="s">
        <v>16393</v>
      </c>
      <c r="O5417" s="4">
        <v>38692</v>
      </c>
      <c r="P5417" s="4">
        <v>77599</v>
      </c>
      <c r="Q5417" s="4">
        <v>116291</v>
      </c>
      <c r="R5417" s="4">
        <v>348873</v>
      </c>
      <c r="S5417" t="s">
        <v>21681</v>
      </c>
      <c r="T5417" s="6">
        <v>35977</v>
      </c>
      <c r="U5417" s="4">
        <v>129000</v>
      </c>
      <c r="X5417" t="s">
        <v>3</v>
      </c>
      <c r="AA5417" s="5" t="str">
        <f>HYPERLINK("https://www.zillow.com/homes/771-W-BRYN-MAWR-AVE-ROSELLE-IL-60172_rb/","check listing")</f>
        <v>check listing</v>
      </c>
      <c r="AB5417" s="5" t="str">
        <f>HYPERLINK("https://propertylookup.dupagecounty.gov/Datalets/Datalet.aspx?UseSearch=no&amp;mode=sales&amp;pin=0209209006","sales record")</f>
        <v>sales record</v>
      </c>
      <c r="AC5417" t="s">
        <v>3</v>
      </c>
      <c r="AD5417">
        <v>41.974164</v>
      </c>
      <c r="AE5417">
        <v>-88.099744</v>
      </c>
      <c r="AF5417" s="5" t="str">
        <f>HYPERLINK("https://www.google.com/maps/search/?api=1&amp;query=41.974164,-88.099744","map")</f>
        <v>map</v>
      </c>
    </row>
    <row r="5418" spans="1:32">
      <c r="A5418" t="s">
        <v>5468</v>
      </c>
      <c r="B5418" t="s">
        <v>12993</v>
      </c>
      <c r="C5418" t="s">
        <v>15830</v>
      </c>
      <c r="D5418" t="s">
        <v>16207</v>
      </c>
      <c r="E5418" t="s">
        <v>16218</v>
      </c>
      <c r="F5418" t="s">
        <v>16221</v>
      </c>
      <c r="G5418" t="s">
        <v>16241</v>
      </c>
      <c r="H5418" t="s">
        <v>16241</v>
      </c>
      <c r="I5418" t="s">
        <v>16355</v>
      </c>
      <c r="J5418" t="s">
        <v>16385</v>
      </c>
      <c r="K5418">
        <v>0.185</v>
      </c>
      <c r="L5418">
        <v>8060</v>
      </c>
      <c r="M5418">
        <v>2072</v>
      </c>
      <c r="N5418" t="s">
        <v>16393</v>
      </c>
      <c r="O5418" s="4">
        <v>45278</v>
      </c>
      <c r="P5418" s="4">
        <v>71670</v>
      </c>
      <c r="Q5418" s="4">
        <v>116948</v>
      </c>
      <c r="R5418" s="4">
        <v>350844</v>
      </c>
      <c r="S5418" t="s">
        <v>21682</v>
      </c>
      <c r="T5418" s="6">
        <v>31656</v>
      </c>
      <c r="U5418" s="4">
        <v>92000</v>
      </c>
      <c r="X5418" t="s">
        <v>3</v>
      </c>
      <c r="AA5418" s="5" t="str">
        <f>HYPERLINK("https://www.zillow.com/homes/895-BRANDYWINE-DR-ROSELLE-IL-60172_rb/","check listing")</f>
        <v>check listing</v>
      </c>
      <c r="AB5418" s="5" t="str">
        <f>HYPERLINK("https://propertylookup.dupagecounty.gov/Datalets/Datalet.aspx?UseSearch=no&amp;mode=sales&amp;pin=0209115005","sales record")</f>
        <v>sales record</v>
      </c>
      <c r="AC5418" t="s">
        <v>3</v>
      </c>
      <c r="AD5418">
        <v>41.974945</v>
      </c>
      <c r="AE5418">
        <v>-88.102914</v>
      </c>
      <c r="AF5418" s="5" t="str">
        <f>HYPERLINK("https://www.google.com/maps/search/?api=1&amp;query=41.974945,-88.102914","map")</f>
        <v>map</v>
      </c>
    </row>
    <row r="5419" spans="1:32">
      <c r="A5419" t="s">
        <v>5469</v>
      </c>
      <c r="B5419" t="s">
        <v>12994</v>
      </c>
      <c r="C5419" t="s">
        <v>15830</v>
      </c>
      <c r="D5419" t="s">
        <v>16207</v>
      </c>
      <c r="E5419" t="s">
        <v>16218</v>
      </c>
      <c r="F5419" t="s">
        <v>16221</v>
      </c>
      <c r="G5419" t="s">
        <v>16241</v>
      </c>
      <c r="H5419" t="s">
        <v>16241</v>
      </c>
      <c r="I5419" t="s">
        <v>16355</v>
      </c>
      <c r="J5419" t="s">
        <v>16385</v>
      </c>
      <c r="K5419">
        <v>0.185</v>
      </c>
      <c r="L5419">
        <v>8057</v>
      </c>
      <c r="M5419">
        <v>1632</v>
      </c>
      <c r="N5419" t="s">
        <v>16393</v>
      </c>
      <c r="O5419" s="4">
        <v>38692</v>
      </c>
      <c r="P5419" s="4">
        <v>77599</v>
      </c>
      <c r="Q5419" s="4">
        <v>116291</v>
      </c>
      <c r="R5419" s="4">
        <v>348873</v>
      </c>
      <c r="S5419" t="s">
        <v>21683</v>
      </c>
      <c r="T5419" s="6">
        <v>30590</v>
      </c>
      <c r="U5419" s="4">
        <v>75000</v>
      </c>
      <c r="X5419" t="s">
        <v>3</v>
      </c>
      <c r="AA5419" s="5" t="str">
        <f>HYPERLINK("https://www.zillow.com/homes/985-EDENWOOD-DR-ROSELLE-IL-60172_rb/","check listing")</f>
        <v>check listing</v>
      </c>
      <c r="AB5419" s="5" t="str">
        <f>HYPERLINK("https://propertylookup.dupagecounty.gov/Datalets/Datalet.aspx?UseSearch=no&amp;mode=sales&amp;pin=0209101007","sales record")</f>
        <v>sales record</v>
      </c>
      <c r="AC5419" t="s">
        <v>3</v>
      </c>
      <c r="AD5419">
        <v>41.972267</v>
      </c>
      <c r="AE5419">
        <v>-88.10448599999999</v>
      </c>
      <c r="AF5419" s="5" t="str">
        <f>HYPERLINK("https://www.google.com/maps/search/?api=1&amp;query=41.972267,-88.104486","map")</f>
        <v>map</v>
      </c>
    </row>
    <row r="5420" spans="1:32">
      <c r="A5420" t="s">
        <v>5470</v>
      </c>
      <c r="B5420" t="s">
        <v>12995</v>
      </c>
      <c r="C5420" t="s">
        <v>15830</v>
      </c>
      <c r="D5420" t="s">
        <v>16207</v>
      </c>
      <c r="E5420" t="s">
        <v>16218</v>
      </c>
      <c r="F5420" t="s">
        <v>16221</v>
      </c>
      <c r="G5420" t="s">
        <v>16241</v>
      </c>
      <c r="H5420" t="s">
        <v>16241</v>
      </c>
      <c r="I5420" t="s">
        <v>16355</v>
      </c>
      <c r="J5420" t="s">
        <v>16385</v>
      </c>
      <c r="K5420">
        <v>0.185</v>
      </c>
      <c r="L5420">
        <v>8051</v>
      </c>
      <c r="M5420">
        <v>2540</v>
      </c>
      <c r="N5420" t="s">
        <v>16393</v>
      </c>
      <c r="O5420" s="4">
        <v>45278</v>
      </c>
      <c r="P5420" s="4">
        <v>71312</v>
      </c>
      <c r="Q5420" s="4">
        <v>116590</v>
      </c>
      <c r="R5420" s="4">
        <v>349770</v>
      </c>
      <c r="S5420" t="s">
        <v>21684</v>
      </c>
      <c r="X5420" t="s">
        <v>3</v>
      </c>
      <c r="AA5420" s="5" t="str">
        <f>HYPERLINK("https://www.zillow.com/homes/365-HAMSTEAD-CT-ROSELLE-IL-60172_rb/","check listing")</f>
        <v>check listing</v>
      </c>
      <c r="AB5420" s="5" t="str">
        <f>HYPERLINK("https://propertylookup.dupagecounty.gov/Datalets/Datalet.aspx?UseSearch=no&amp;mode=sales&amp;pin=0205406017","sales record")</f>
        <v>sales record</v>
      </c>
      <c r="AC5420" t="s">
        <v>3</v>
      </c>
      <c r="AD5420">
        <v>41.976251</v>
      </c>
      <c r="AE5420">
        <v>-88.113427</v>
      </c>
      <c r="AF5420" s="5" t="str">
        <f>HYPERLINK("https://www.google.com/maps/search/?api=1&amp;query=41.976251,-88.113427","map")</f>
        <v>map</v>
      </c>
    </row>
    <row r="5421" spans="1:32">
      <c r="A5421" t="s">
        <v>5471</v>
      </c>
      <c r="B5421" t="s">
        <v>12996</v>
      </c>
      <c r="C5421" t="s">
        <v>15830</v>
      </c>
      <c r="D5421" t="s">
        <v>16207</v>
      </c>
      <c r="E5421" t="s">
        <v>16218</v>
      </c>
      <c r="F5421" t="s">
        <v>16221</v>
      </c>
      <c r="G5421" t="s">
        <v>16241</v>
      </c>
      <c r="H5421" t="s">
        <v>16241</v>
      </c>
      <c r="I5421" t="s">
        <v>16355</v>
      </c>
      <c r="J5421" t="s">
        <v>16385</v>
      </c>
      <c r="K5421">
        <v>0.185</v>
      </c>
      <c r="L5421">
        <v>8048</v>
      </c>
      <c r="M5421">
        <v>2310</v>
      </c>
      <c r="N5421" t="s">
        <v>16393</v>
      </c>
      <c r="O5421" s="4">
        <v>45278</v>
      </c>
      <c r="P5421" s="4">
        <v>108355</v>
      </c>
      <c r="Q5421" s="4">
        <v>153633</v>
      </c>
      <c r="R5421" s="4">
        <v>460899</v>
      </c>
      <c r="S5421" t="s">
        <v>21685</v>
      </c>
      <c r="T5421" s="6">
        <v>32599</v>
      </c>
      <c r="U5421" s="4">
        <v>145000</v>
      </c>
      <c r="X5421" t="s">
        <v>3</v>
      </c>
      <c r="AA5421" s="5" t="str">
        <f>HYPERLINK("https://www.zillow.com/homes/1240-ANDOVER-DR-ROSELLE-IL-60172_rb/","check listing")</f>
        <v>check listing</v>
      </c>
      <c r="AB5421" s="5" t="str">
        <f>HYPERLINK("https://propertylookup.dupagecounty.gov/Datalets/Datalet.aspx?UseSearch=no&amp;mode=sales&amp;pin=0205409010","sales record")</f>
        <v>sales record</v>
      </c>
      <c r="AC5421" t="s">
        <v>3</v>
      </c>
      <c r="AD5421">
        <v>41.980753</v>
      </c>
      <c r="AE5421">
        <v>-88.111952</v>
      </c>
      <c r="AF5421" s="5" t="str">
        <f>HYPERLINK("https://www.google.com/maps/search/?api=1&amp;query=41.980753,-88.111952","map")</f>
        <v>map</v>
      </c>
    </row>
    <row r="5422" spans="1:32">
      <c r="A5422" t="s">
        <v>5472</v>
      </c>
      <c r="B5422" t="s">
        <v>12997</v>
      </c>
      <c r="C5422" t="s">
        <v>15830</v>
      </c>
      <c r="D5422" t="s">
        <v>16207</v>
      </c>
      <c r="E5422" t="s">
        <v>16218</v>
      </c>
      <c r="F5422" t="s">
        <v>16221</v>
      </c>
      <c r="G5422" t="s">
        <v>16241</v>
      </c>
      <c r="H5422" t="s">
        <v>16241</v>
      </c>
      <c r="I5422" t="s">
        <v>16355</v>
      </c>
      <c r="J5422" t="s">
        <v>16385</v>
      </c>
      <c r="K5422">
        <v>0.185</v>
      </c>
      <c r="L5422">
        <v>8037</v>
      </c>
      <c r="M5422">
        <v>2878</v>
      </c>
      <c r="N5422" t="s">
        <v>16393</v>
      </c>
      <c r="O5422" s="4">
        <v>45278</v>
      </c>
      <c r="P5422" s="4">
        <v>95792</v>
      </c>
      <c r="Q5422" s="4">
        <v>141070</v>
      </c>
      <c r="R5422" s="4">
        <v>423210</v>
      </c>
      <c r="S5422" t="s">
        <v>21686</v>
      </c>
      <c r="T5422" s="6">
        <v>33298</v>
      </c>
      <c r="U5422" s="4">
        <v>136500</v>
      </c>
      <c r="X5422" t="s">
        <v>3</v>
      </c>
      <c r="AA5422" s="5" t="str">
        <f>HYPERLINK("https://www.zillow.com/homes/80-CHATHAM-LN-ROSELLE-IL-60172_rb/","check listing")</f>
        <v>check listing</v>
      </c>
      <c r="AB5422" s="5" t="str">
        <f>HYPERLINK("https://propertylookup.dupagecounty.gov/Datalets/Datalet.aspx?UseSearch=no&amp;mode=sales&amp;pin=0205401002","sales record")</f>
        <v>sales record</v>
      </c>
      <c r="AC5422" t="s">
        <v>3</v>
      </c>
      <c r="AD5422">
        <v>41.981036</v>
      </c>
      <c r="AE5422">
        <v>-88.115036</v>
      </c>
      <c r="AF5422" s="5" t="str">
        <f>HYPERLINK("https://www.google.com/maps/search/?api=1&amp;query=41.981036,-88.115036","map")</f>
        <v>map</v>
      </c>
    </row>
    <row r="5423" spans="1:32">
      <c r="A5423" t="s">
        <v>5473</v>
      </c>
      <c r="B5423" t="s">
        <v>12998</v>
      </c>
      <c r="C5423" t="s">
        <v>15830</v>
      </c>
      <c r="D5423" t="s">
        <v>16207</v>
      </c>
      <c r="E5423" t="s">
        <v>16218</v>
      </c>
      <c r="F5423" t="s">
        <v>16221</v>
      </c>
      <c r="G5423" t="s">
        <v>16241</v>
      </c>
      <c r="H5423" t="s">
        <v>16241</v>
      </c>
      <c r="I5423" t="s">
        <v>16355</v>
      </c>
      <c r="J5423" t="s">
        <v>16385</v>
      </c>
      <c r="K5423">
        <v>0.184</v>
      </c>
      <c r="L5423">
        <v>8029</v>
      </c>
      <c r="M5423">
        <v>1847</v>
      </c>
      <c r="N5423" t="s">
        <v>16393</v>
      </c>
      <c r="O5423" s="4">
        <v>45278</v>
      </c>
      <c r="P5423" s="4">
        <v>97441</v>
      </c>
      <c r="Q5423" s="4">
        <v>142719</v>
      </c>
      <c r="R5423" s="4">
        <v>428157</v>
      </c>
      <c r="S5423" t="s">
        <v>21687</v>
      </c>
      <c r="X5423" t="s">
        <v>3</v>
      </c>
      <c r="AA5423" s="5" t="str">
        <f>HYPERLINK("https://www.zillow.com/homes/1275-CHATHAM-LN-ROSELLE-IL-60172_rb/","check listing")</f>
        <v>check listing</v>
      </c>
      <c r="AB5423" s="5" t="str">
        <f>HYPERLINK("https://propertylookup.dupagecounty.gov/Datalets/Datalet.aspx?UseSearch=no&amp;mode=sales&amp;pin=0205402014","sales record")</f>
        <v>sales record</v>
      </c>
      <c r="AC5423" t="s">
        <v>3</v>
      </c>
      <c r="AD5423">
        <v>41.980999</v>
      </c>
      <c r="AE5423">
        <v>-88.11308699999999</v>
      </c>
      <c r="AF5423" s="5" t="str">
        <f>HYPERLINK("https://www.google.com/maps/search/?api=1&amp;query=41.980999,-88.113087","map")</f>
        <v>map</v>
      </c>
    </row>
    <row r="5424" spans="1:32">
      <c r="A5424" t="s">
        <v>5474</v>
      </c>
      <c r="B5424" t="s">
        <v>12999</v>
      </c>
      <c r="C5424" t="s">
        <v>15830</v>
      </c>
      <c r="D5424" t="s">
        <v>16207</v>
      </c>
      <c r="E5424" t="s">
        <v>16218</v>
      </c>
      <c r="F5424" t="s">
        <v>16221</v>
      </c>
      <c r="G5424" t="s">
        <v>16241</v>
      </c>
      <c r="H5424" t="s">
        <v>16241</v>
      </c>
      <c r="I5424" t="s">
        <v>16355</v>
      </c>
      <c r="J5424" t="s">
        <v>16385</v>
      </c>
      <c r="K5424">
        <v>0.184</v>
      </c>
      <c r="L5424">
        <v>8026</v>
      </c>
      <c r="M5424">
        <v>2144</v>
      </c>
      <c r="N5424" t="s">
        <v>16393</v>
      </c>
      <c r="O5424" s="4">
        <v>45278</v>
      </c>
      <c r="P5424" s="4">
        <v>96521</v>
      </c>
      <c r="Q5424" s="4">
        <v>141799</v>
      </c>
      <c r="R5424" s="4">
        <v>425397</v>
      </c>
      <c r="S5424" t="s">
        <v>21688</v>
      </c>
      <c r="T5424" s="6">
        <v>44739</v>
      </c>
      <c r="U5424" s="4">
        <v>360000</v>
      </c>
      <c r="V5424" t="s">
        <v>23739</v>
      </c>
      <c r="W5424" t="s">
        <v>26784</v>
      </c>
      <c r="X5424" t="s">
        <v>3</v>
      </c>
      <c r="AA5424" s="5" t="str">
        <f>HYPERLINK("https://www.zillow.com/homes/430-RIDGEFIELD-DR-ROSELLE-IL-60172_rb/","check listing")</f>
        <v>check listing</v>
      </c>
      <c r="AB5424" s="5" t="str">
        <f>HYPERLINK("https://propertylookup.dupagecounty.gov/Datalets/Datalet.aspx?UseSearch=no&amp;mode=sales&amp;pin=0209212001","sales record")</f>
        <v>sales record</v>
      </c>
      <c r="AC5424" t="s">
        <v>3</v>
      </c>
      <c r="AD5424">
        <v>41.974882</v>
      </c>
      <c r="AE5424">
        <v>-88.09892000000001</v>
      </c>
      <c r="AF5424" s="5" t="str">
        <f>HYPERLINK("https://www.google.com/maps/search/?api=1&amp;query=41.974882,-88.09892","map")</f>
        <v>map</v>
      </c>
    </row>
    <row r="5425" spans="1:32">
      <c r="A5425" t="s">
        <v>5475</v>
      </c>
      <c r="B5425" t="s">
        <v>13000</v>
      </c>
      <c r="C5425" t="s">
        <v>15830</v>
      </c>
      <c r="D5425" t="s">
        <v>16207</v>
      </c>
      <c r="E5425" t="s">
        <v>16218</v>
      </c>
      <c r="F5425" t="s">
        <v>16221</v>
      </c>
      <c r="G5425" t="s">
        <v>16241</v>
      </c>
      <c r="H5425" t="s">
        <v>16241</v>
      </c>
      <c r="I5425" t="s">
        <v>16355</v>
      </c>
      <c r="J5425" t="s">
        <v>16385</v>
      </c>
      <c r="K5425">
        <v>0.184</v>
      </c>
      <c r="L5425">
        <v>8026</v>
      </c>
      <c r="M5425">
        <v>1848</v>
      </c>
      <c r="N5425" t="s">
        <v>16393</v>
      </c>
      <c r="O5425" s="4">
        <v>45278</v>
      </c>
      <c r="P5425" s="4">
        <v>86815</v>
      </c>
      <c r="Q5425" s="4">
        <v>132093</v>
      </c>
      <c r="R5425" s="4">
        <v>396279</v>
      </c>
      <c r="S5425" t="s">
        <v>21689</v>
      </c>
      <c r="T5425" s="6">
        <v>34881</v>
      </c>
      <c r="U5425" s="4">
        <v>155000</v>
      </c>
      <c r="X5425" t="s">
        <v>3</v>
      </c>
      <c r="AA5425" s="5" t="str">
        <f>HYPERLINK("https://www.zillow.com/homes/285-HAMSTEAD-CT-ROSELLE-IL-60172_rb/","check listing")</f>
        <v>check listing</v>
      </c>
      <c r="AB5425" s="5" t="str">
        <f>HYPERLINK("https://propertylookup.dupagecounty.gov/Datalets/Datalet.aspx?UseSearch=no&amp;mode=sales&amp;pin=0205406009","sales record")</f>
        <v>sales record</v>
      </c>
      <c r="AC5425" t="s">
        <v>3</v>
      </c>
      <c r="AD5425">
        <v>41.977427</v>
      </c>
      <c r="AE5425">
        <v>-88.112148</v>
      </c>
      <c r="AF5425" s="5" t="str">
        <f>HYPERLINK("https://www.google.com/maps/search/?api=1&amp;query=41.977427,-88.112148","map")</f>
        <v>map</v>
      </c>
    </row>
    <row r="5426" spans="1:32">
      <c r="A5426" t="s">
        <v>5476</v>
      </c>
      <c r="B5426" t="s">
        <v>13001</v>
      </c>
      <c r="C5426" t="s">
        <v>15830</v>
      </c>
      <c r="D5426" t="s">
        <v>16207</v>
      </c>
      <c r="E5426" t="s">
        <v>16218</v>
      </c>
      <c r="F5426" t="s">
        <v>16221</v>
      </c>
      <c r="G5426" t="s">
        <v>16241</v>
      </c>
      <c r="H5426" t="s">
        <v>16241</v>
      </c>
      <c r="I5426" t="s">
        <v>16355</v>
      </c>
      <c r="J5426" t="s">
        <v>16385</v>
      </c>
      <c r="K5426">
        <v>0.184</v>
      </c>
      <c r="L5426">
        <v>8016</v>
      </c>
      <c r="M5426">
        <v>1978</v>
      </c>
      <c r="N5426" t="s">
        <v>16393</v>
      </c>
      <c r="O5426" s="4">
        <v>45278</v>
      </c>
      <c r="P5426" s="4">
        <v>85955</v>
      </c>
      <c r="Q5426" s="4">
        <v>131233</v>
      </c>
      <c r="R5426" s="4">
        <v>393699</v>
      </c>
      <c r="S5426" t="s">
        <v>21690</v>
      </c>
      <c r="T5426" s="6">
        <v>37196</v>
      </c>
      <c r="U5426" s="4">
        <v>220000</v>
      </c>
      <c r="V5426" t="s">
        <v>23739</v>
      </c>
      <c r="W5426" t="s">
        <v>26785</v>
      </c>
      <c r="X5426" t="s">
        <v>3</v>
      </c>
      <c r="AA5426" s="5" t="str">
        <f>HYPERLINK("https://www.zillow.com/homes/445-AVEBURY-LN-ROSELLE-IL-60172_rb/","check listing")</f>
        <v>check listing</v>
      </c>
      <c r="AB5426" s="5" t="str">
        <f>HYPERLINK("https://propertylookup.dupagecounty.gov/Datalets/Datalet.aspx?UseSearch=no&amp;mode=sales&amp;pin=0209212012","sales record")</f>
        <v>sales record</v>
      </c>
      <c r="AC5426" t="s">
        <v>3</v>
      </c>
      <c r="AD5426">
        <v>41.9747</v>
      </c>
      <c r="AE5426">
        <v>-88.099188</v>
      </c>
      <c r="AF5426" s="5" t="str">
        <f>HYPERLINK("https://www.google.com/maps/search/?api=1&amp;query=41.9747,-88.099188","map")</f>
        <v>map</v>
      </c>
    </row>
    <row r="5427" spans="1:32">
      <c r="A5427" t="s">
        <v>5477</v>
      </c>
      <c r="B5427" t="s">
        <v>13002</v>
      </c>
      <c r="C5427" t="s">
        <v>15889</v>
      </c>
      <c r="D5427" t="s">
        <v>16207</v>
      </c>
      <c r="E5427" t="s">
        <v>16218</v>
      </c>
      <c r="F5427" t="s">
        <v>16221</v>
      </c>
      <c r="G5427" t="s">
        <v>16241</v>
      </c>
      <c r="H5427" t="s">
        <v>16241</v>
      </c>
      <c r="I5427" t="s">
        <v>16355</v>
      </c>
      <c r="J5427" t="s">
        <v>16385</v>
      </c>
      <c r="K5427">
        <v>0.184</v>
      </c>
      <c r="L5427">
        <v>8015</v>
      </c>
      <c r="M5427">
        <v>2088</v>
      </c>
      <c r="N5427" t="s">
        <v>16393</v>
      </c>
      <c r="O5427" s="4">
        <v>38692</v>
      </c>
      <c r="P5427" s="4">
        <v>88847</v>
      </c>
      <c r="Q5427" s="4">
        <v>127539</v>
      </c>
      <c r="R5427" s="4">
        <v>382617</v>
      </c>
      <c r="S5427" t="s">
        <v>21691</v>
      </c>
      <c r="T5427" s="6">
        <v>44317</v>
      </c>
      <c r="U5427" s="4">
        <v>335000</v>
      </c>
      <c r="V5427" t="s">
        <v>23739</v>
      </c>
      <c r="W5427" t="s">
        <v>26786</v>
      </c>
      <c r="X5427" t="s">
        <v>3</v>
      </c>
      <c r="AA5427" s="5" t="str">
        <f>HYPERLINK("https://www.zillow.com/homes/1107-DARBY-LN-ROSELLE-IL-601721721_rb/","check listing")</f>
        <v>check listing</v>
      </c>
      <c r="AB5427" s="5" t="str">
        <f>HYPERLINK("https://propertylookup.dupagecounty.gov/Datalets/Datalet.aspx?UseSearch=no&amp;mode=sales&amp;pin=0204309077","sales record")</f>
        <v>sales record</v>
      </c>
      <c r="AC5427" t="s">
        <v>3</v>
      </c>
      <c r="AD5427">
        <v>41.978213</v>
      </c>
      <c r="AE5427">
        <v>-88.108265</v>
      </c>
      <c r="AF5427" s="5" t="str">
        <f>HYPERLINK("https://www.google.com/maps/search/?api=1&amp;query=41.978213,-88.108265","map")</f>
        <v>map</v>
      </c>
    </row>
    <row r="5428" spans="1:32">
      <c r="A5428" t="s">
        <v>5478</v>
      </c>
      <c r="B5428" t="s">
        <v>13003</v>
      </c>
      <c r="C5428" t="s">
        <v>15890</v>
      </c>
      <c r="D5428" t="s">
        <v>16207</v>
      </c>
      <c r="E5428" t="s">
        <v>16218</v>
      </c>
      <c r="F5428" t="s">
        <v>16221</v>
      </c>
      <c r="G5428" t="s">
        <v>16241</v>
      </c>
      <c r="H5428" t="s">
        <v>16241</v>
      </c>
      <c r="I5428" t="s">
        <v>16355</v>
      </c>
      <c r="J5428" t="s">
        <v>16385</v>
      </c>
      <c r="K5428">
        <v>0.184</v>
      </c>
      <c r="L5428">
        <v>8010</v>
      </c>
      <c r="M5428">
        <v>1705</v>
      </c>
      <c r="N5428" t="s">
        <v>16393</v>
      </c>
      <c r="O5428" s="4">
        <v>45278</v>
      </c>
      <c r="P5428" s="4">
        <v>110123</v>
      </c>
      <c r="Q5428" s="4">
        <v>155401</v>
      </c>
      <c r="R5428" s="4">
        <v>466203</v>
      </c>
      <c r="S5428" t="s">
        <v>21692</v>
      </c>
      <c r="T5428" s="6">
        <v>31686</v>
      </c>
      <c r="U5428" s="4">
        <v>117500</v>
      </c>
      <c r="X5428" t="s">
        <v>3</v>
      </c>
      <c r="AA5428" s="5" t="str">
        <f>HYPERLINK("https://www.zillow.com/homes/1310-PEMBROOK-CIR-ROSELLE-IL-601721637_rb/","check listing")</f>
        <v>check listing</v>
      </c>
      <c r="AB5428" s="5" t="str">
        <f>HYPERLINK("https://propertylookup.dupagecounty.gov/Datalets/Datalet.aspx?UseSearch=no&amp;mode=sales&amp;pin=0205402005","sales record")</f>
        <v>sales record</v>
      </c>
      <c r="AC5428" t="s">
        <v>3</v>
      </c>
      <c r="AD5428">
        <v>41.980676</v>
      </c>
      <c r="AE5428">
        <v>-88.114051</v>
      </c>
      <c r="AF5428" s="5" t="str">
        <f>HYPERLINK("https://www.google.com/maps/search/?api=1&amp;query=41.980676,-88.114051","map")</f>
        <v>map</v>
      </c>
    </row>
    <row r="5429" spans="1:32">
      <c r="A5429" t="s">
        <v>5479</v>
      </c>
      <c r="B5429" t="s">
        <v>13004</v>
      </c>
      <c r="C5429" t="s">
        <v>15830</v>
      </c>
      <c r="D5429" t="s">
        <v>16207</v>
      </c>
      <c r="E5429" t="s">
        <v>16218</v>
      </c>
      <c r="F5429" t="s">
        <v>16221</v>
      </c>
      <c r="G5429" t="s">
        <v>16241</v>
      </c>
      <c r="H5429" t="s">
        <v>16241</v>
      </c>
      <c r="I5429" t="s">
        <v>16355</v>
      </c>
      <c r="J5429" t="s">
        <v>16385</v>
      </c>
      <c r="K5429">
        <v>0.184</v>
      </c>
      <c r="L5429">
        <v>8008</v>
      </c>
      <c r="M5429">
        <v>2527</v>
      </c>
      <c r="N5429" t="s">
        <v>16393</v>
      </c>
      <c r="O5429" s="4">
        <v>45278</v>
      </c>
      <c r="P5429" s="4">
        <v>72101</v>
      </c>
      <c r="Q5429" s="4">
        <v>117379</v>
      </c>
      <c r="R5429" s="4">
        <v>352137</v>
      </c>
      <c r="S5429" t="s">
        <v>21693</v>
      </c>
      <c r="T5429" s="6">
        <v>42826</v>
      </c>
      <c r="U5429" s="4">
        <v>257000</v>
      </c>
      <c r="V5429" t="s">
        <v>23739</v>
      </c>
      <c r="W5429" t="s">
        <v>21693</v>
      </c>
      <c r="X5429" t="s">
        <v>3</v>
      </c>
      <c r="AA5429" s="5" t="str">
        <f>HYPERLINK("https://www.zillow.com/homes/241-CHATHAM-LN-ROSELLE-IL-60172_rb/","check listing")</f>
        <v>check listing</v>
      </c>
      <c r="AB5429" s="5" t="str">
        <f>HYPERLINK("https://propertylookup.dupagecounty.gov/Datalets/Datalet.aspx?UseSearch=no&amp;mode=sales&amp;pin=0205405001","sales record")</f>
        <v>sales record</v>
      </c>
      <c r="AC5429" t="s">
        <v>3</v>
      </c>
      <c r="AD5429">
        <v>41.978318</v>
      </c>
      <c r="AE5429">
        <v>-88.114553</v>
      </c>
      <c r="AF5429" s="5" t="str">
        <f>HYPERLINK("https://www.google.com/maps/search/?api=1&amp;query=41.978318,-88.114553","map")</f>
        <v>map</v>
      </c>
    </row>
    <row r="5430" spans="1:32">
      <c r="A5430" t="s">
        <v>5480</v>
      </c>
      <c r="B5430" t="s">
        <v>13005</v>
      </c>
      <c r="C5430" t="s">
        <v>15830</v>
      </c>
      <c r="D5430" t="s">
        <v>16207</v>
      </c>
      <c r="E5430" t="s">
        <v>16218</v>
      </c>
      <c r="F5430" t="s">
        <v>16221</v>
      </c>
      <c r="G5430" t="s">
        <v>16241</v>
      </c>
      <c r="H5430" t="s">
        <v>16241</v>
      </c>
      <c r="I5430" t="s">
        <v>16355</v>
      </c>
      <c r="J5430" t="s">
        <v>16385</v>
      </c>
      <c r="K5430">
        <v>0.184</v>
      </c>
      <c r="L5430">
        <v>8007</v>
      </c>
      <c r="M5430">
        <v>2077</v>
      </c>
      <c r="N5430" t="s">
        <v>16393</v>
      </c>
      <c r="O5430" s="4">
        <v>38692</v>
      </c>
      <c r="P5430" s="4">
        <v>86791</v>
      </c>
      <c r="Q5430" s="4">
        <v>125483</v>
      </c>
      <c r="R5430" s="4">
        <v>376449</v>
      </c>
      <c r="S5430" t="s">
        <v>21694</v>
      </c>
      <c r="T5430" s="6">
        <v>37438</v>
      </c>
      <c r="U5430" s="4">
        <v>206500</v>
      </c>
      <c r="V5430" t="s">
        <v>23739</v>
      </c>
      <c r="W5430" t="s">
        <v>26787</v>
      </c>
      <c r="X5430" t="s">
        <v>3</v>
      </c>
      <c r="AA5430" s="5" t="str">
        <f>HYPERLINK("https://www.zillow.com/homes/692-FOXDALE-CT-ROSELLE-IL-60172_rb/","check listing")</f>
        <v>check listing</v>
      </c>
      <c r="AB5430" s="5" t="str">
        <f>HYPERLINK("https://propertylookup.dupagecounty.gov/Datalets/Datalet.aspx?UseSearch=no&amp;mode=sales&amp;pin=0208215013","sales record")</f>
        <v>sales record</v>
      </c>
      <c r="AC5430" t="s">
        <v>3</v>
      </c>
      <c r="AD5430">
        <v>41.97001</v>
      </c>
      <c r="AE5430">
        <v>-88.110821</v>
      </c>
      <c r="AF5430" s="5" t="str">
        <f>HYPERLINK("https://www.google.com/maps/search/?api=1&amp;query=41.97001,-88.110821","map")</f>
        <v>map</v>
      </c>
    </row>
    <row r="5431" spans="1:32">
      <c r="A5431" t="s">
        <v>5481</v>
      </c>
      <c r="B5431" t="s">
        <v>13006</v>
      </c>
      <c r="C5431" t="s">
        <v>15830</v>
      </c>
      <c r="D5431" t="s">
        <v>16207</v>
      </c>
      <c r="E5431" t="s">
        <v>16218</v>
      </c>
      <c r="F5431" t="s">
        <v>16221</v>
      </c>
      <c r="G5431" t="s">
        <v>16241</v>
      </c>
      <c r="H5431" t="s">
        <v>16241</v>
      </c>
      <c r="I5431" t="s">
        <v>16355</v>
      </c>
      <c r="J5431" t="s">
        <v>16385</v>
      </c>
      <c r="K5431">
        <v>0.184</v>
      </c>
      <c r="L5431">
        <v>8004</v>
      </c>
      <c r="M5431">
        <v>1714</v>
      </c>
      <c r="N5431" t="s">
        <v>16393</v>
      </c>
      <c r="O5431" s="4">
        <v>38692</v>
      </c>
      <c r="P5431" s="4">
        <v>77599</v>
      </c>
      <c r="Q5431" s="4">
        <v>116291</v>
      </c>
      <c r="R5431" s="4">
        <v>348873</v>
      </c>
      <c r="S5431" t="s">
        <v>21695</v>
      </c>
      <c r="T5431" s="6">
        <v>44256</v>
      </c>
      <c r="U5431" s="4">
        <v>249000</v>
      </c>
      <c r="V5431" t="s">
        <v>23739</v>
      </c>
      <c r="W5431" t="s">
        <v>26788</v>
      </c>
      <c r="X5431" t="s">
        <v>3</v>
      </c>
      <c r="AA5431" s="5" t="str">
        <f>HYPERLINK("https://www.zillow.com/homes/545-WATERBURY-LN-ROSELLE-IL-60172_rb/","check listing")</f>
        <v>check listing</v>
      </c>
      <c r="AB5431" s="5" t="str">
        <f>HYPERLINK("https://propertylookup.dupagecounty.gov/Datalets/Datalet.aspx?UseSearch=no&amp;mode=sales&amp;pin=0209107018","sales record")</f>
        <v>sales record</v>
      </c>
      <c r="AC5431" t="s">
        <v>3</v>
      </c>
      <c r="AD5431">
        <v>41.973046</v>
      </c>
      <c r="AE5431">
        <v>-88.10878700000001</v>
      </c>
      <c r="AF5431" s="5" t="str">
        <f>HYPERLINK("https://www.google.com/maps/search/?api=1&amp;query=41.973046,-88.108787","map")</f>
        <v>map</v>
      </c>
    </row>
    <row r="5432" spans="1:32">
      <c r="A5432" t="s">
        <v>5482</v>
      </c>
      <c r="B5432" t="s">
        <v>13007</v>
      </c>
      <c r="C5432" t="s">
        <v>15891</v>
      </c>
      <c r="D5432" t="s">
        <v>16207</v>
      </c>
      <c r="E5432" t="s">
        <v>16218</v>
      </c>
      <c r="F5432" t="s">
        <v>16221</v>
      </c>
      <c r="G5432" t="s">
        <v>16241</v>
      </c>
      <c r="H5432" t="s">
        <v>16241</v>
      </c>
      <c r="I5432" t="s">
        <v>16355</v>
      </c>
      <c r="J5432" t="s">
        <v>16385</v>
      </c>
      <c r="K5432">
        <v>0.184</v>
      </c>
      <c r="L5432">
        <v>8002</v>
      </c>
      <c r="M5432">
        <v>1715</v>
      </c>
      <c r="N5432" t="s">
        <v>16393</v>
      </c>
      <c r="O5432" s="4">
        <v>45278</v>
      </c>
      <c r="P5432" s="4">
        <v>72711</v>
      </c>
      <c r="Q5432" s="4">
        <v>117989</v>
      </c>
      <c r="R5432" s="4">
        <v>353967</v>
      </c>
      <c r="S5432" t="s">
        <v>21696</v>
      </c>
      <c r="T5432" s="6">
        <v>39569</v>
      </c>
      <c r="U5432" s="4">
        <v>300000</v>
      </c>
      <c r="V5432" t="s">
        <v>23739</v>
      </c>
      <c r="W5432" t="s">
        <v>26789</v>
      </c>
      <c r="X5432" t="s">
        <v>3</v>
      </c>
      <c r="AA5432" s="5" t="str">
        <f>HYPERLINK("https://www.zillow.com/homes/690-EDENWOOD-DR-ROSELLE-IL-601722825_rb/","check listing")</f>
        <v>check listing</v>
      </c>
      <c r="AB5432" s="5" t="str">
        <f>HYPERLINK("https://propertylookup.dupagecounty.gov/Datalets/Datalet.aspx?UseSearch=no&amp;mode=sales&amp;pin=0209213018","sales record")</f>
        <v>sales record</v>
      </c>
      <c r="AC5432" t="s">
        <v>3</v>
      </c>
      <c r="AD5432">
        <v>41.972572</v>
      </c>
      <c r="AE5432">
        <v>-88.09796799999999</v>
      </c>
      <c r="AF5432" s="5" t="str">
        <f>HYPERLINK("https://www.google.com/maps/search/?api=1&amp;query=41.972572,-88.097968","map")</f>
        <v>map</v>
      </c>
    </row>
    <row r="5433" spans="1:32">
      <c r="A5433" t="s">
        <v>5483</v>
      </c>
      <c r="B5433" t="s">
        <v>13008</v>
      </c>
      <c r="C5433" t="s">
        <v>15830</v>
      </c>
      <c r="D5433" t="s">
        <v>16207</v>
      </c>
      <c r="E5433" t="s">
        <v>16218</v>
      </c>
      <c r="F5433" t="s">
        <v>16221</v>
      </c>
      <c r="G5433" t="s">
        <v>16241</v>
      </c>
      <c r="H5433" t="s">
        <v>16241</v>
      </c>
      <c r="I5433" t="s">
        <v>16355</v>
      </c>
      <c r="J5433" t="s">
        <v>16385</v>
      </c>
      <c r="K5433">
        <v>0.184</v>
      </c>
      <c r="L5433">
        <v>8001</v>
      </c>
      <c r="M5433">
        <v>1847</v>
      </c>
      <c r="N5433" t="s">
        <v>16393</v>
      </c>
      <c r="O5433" s="4">
        <v>45278</v>
      </c>
      <c r="P5433" s="4">
        <v>77336</v>
      </c>
      <c r="Q5433" s="4">
        <v>122614</v>
      </c>
      <c r="R5433" s="4">
        <v>367842</v>
      </c>
      <c r="S5433" t="s">
        <v>21697</v>
      </c>
      <c r="T5433" s="6">
        <v>41456</v>
      </c>
      <c r="U5433" s="4">
        <v>256000</v>
      </c>
      <c r="V5433" t="s">
        <v>23739</v>
      </c>
      <c r="W5433" t="s">
        <v>26790</v>
      </c>
      <c r="X5433" t="s">
        <v>3</v>
      </c>
      <c r="AA5433" s="5" t="str">
        <f>HYPERLINK("https://www.zillow.com/homes/1275-COVENTRY-CT-ROSELLE-IL-60172_rb/","check listing")</f>
        <v>check listing</v>
      </c>
      <c r="AB5433" s="5" t="str">
        <f>HYPERLINK("https://propertylookup.dupagecounty.gov/Datalets/Datalet.aspx?UseSearch=no&amp;mode=sales&amp;pin=0205401061","sales record")</f>
        <v>sales record</v>
      </c>
      <c r="AC5433" t="s">
        <v>3</v>
      </c>
      <c r="AD5433">
        <v>41.981887</v>
      </c>
      <c r="AE5433">
        <v>-88.112774</v>
      </c>
      <c r="AF5433" s="5" t="str">
        <f>HYPERLINK("https://www.google.com/maps/search/?api=1&amp;query=41.981887,-88.112774","map")</f>
        <v>map</v>
      </c>
    </row>
    <row r="5434" spans="1:32">
      <c r="A5434" t="s">
        <v>5484</v>
      </c>
      <c r="B5434" t="s">
        <v>13009</v>
      </c>
      <c r="C5434" t="s">
        <v>15892</v>
      </c>
      <c r="D5434" t="s">
        <v>16207</v>
      </c>
      <c r="E5434" t="s">
        <v>16218</v>
      </c>
      <c r="F5434" t="s">
        <v>16221</v>
      </c>
      <c r="G5434" t="s">
        <v>16241</v>
      </c>
      <c r="H5434" t="s">
        <v>16241</v>
      </c>
      <c r="I5434" t="s">
        <v>16355</v>
      </c>
      <c r="J5434" t="s">
        <v>16385</v>
      </c>
      <c r="K5434">
        <v>0.184</v>
      </c>
      <c r="L5434">
        <v>8001</v>
      </c>
      <c r="M5434">
        <v>1583</v>
      </c>
      <c r="N5434" t="s">
        <v>16393</v>
      </c>
      <c r="O5434" s="4">
        <v>45278</v>
      </c>
      <c r="P5434" s="4">
        <v>92720</v>
      </c>
      <c r="Q5434" s="4">
        <v>137998</v>
      </c>
      <c r="R5434" s="4">
        <v>413994</v>
      </c>
      <c r="S5434" t="s">
        <v>21698</v>
      </c>
      <c r="T5434" s="6">
        <v>43617</v>
      </c>
      <c r="U5434" s="4">
        <v>300000</v>
      </c>
      <c r="V5434" t="s">
        <v>23739</v>
      </c>
      <c r="W5434" t="s">
        <v>26791</v>
      </c>
      <c r="X5434" t="s">
        <v>3</v>
      </c>
      <c r="AA5434" s="5" t="str">
        <f>HYPERLINK("https://www.zillow.com/homes/940-BRANDYWINE-DR-ROSELLE-IL-601722807_rb/","check listing")</f>
        <v>check listing</v>
      </c>
      <c r="AB5434" s="5" t="str">
        <f>HYPERLINK("https://propertylookup.dupagecounty.gov/Datalets/Datalet.aspx?UseSearch=no&amp;mode=sales&amp;pin=0209114001","sales record")</f>
        <v>sales record</v>
      </c>
      <c r="AC5434" t="s">
        <v>3</v>
      </c>
      <c r="AD5434">
        <v>41.975382</v>
      </c>
      <c r="AE5434">
        <v>-88.104028</v>
      </c>
      <c r="AF5434" s="5" t="str">
        <f>HYPERLINK("https://www.google.com/maps/search/?api=1&amp;query=41.975382,-88.104028","map")</f>
        <v>map</v>
      </c>
    </row>
    <row r="5435" spans="1:32">
      <c r="A5435" t="s">
        <v>5485</v>
      </c>
      <c r="B5435" t="s">
        <v>13010</v>
      </c>
      <c r="C5435" t="s">
        <v>15830</v>
      </c>
      <c r="D5435" t="s">
        <v>16207</v>
      </c>
      <c r="E5435" t="s">
        <v>16218</v>
      </c>
      <c r="F5435" t="s">
        <v>16221</v>
      </c>
      <c r="G5435" t="s">
        <v>16241</v>
      </c>
      <c r="H5435" t="s">
        <v>16241</v>
      </c>
      <c r="I5435" t="s">
        <v>16355</v>
      </c>
      <c r="J5435" t="s">
        <v>16385</v>
      </c>
      <c r="K5435">
        <v>0.184</v>
      </c>
      <c r="L5435">
        <v>7999</v>
      </c>
      <c r="M5435">
        <v>1583</v>
      </c>
      <c r="N5435" t="s">
        <v>16393</v>
      </c>
      <c r="O5435" s="4">
        <v>45278</v>
      </c>
      <c r="P5435" s="4">
        <v>98911</v>
      </c>
      <c r="Q5435" s="4">
        <v>144189</v>
      </c>
      <c r="R5435" s="4">
        <v>432567</v>
      </c>
      <c r="S5435" t="s">
        <v>21699</v>
      </c>
      <c r="T5435" s="6">
        <v>35612</v>
      </c>
      <c r="U5435" s="4">
        <v>182500</v>
      </c>
      <c r="X5435" t="s">
        <v>3</v>
      </c>
      <c r="AA5435" s="5" t="str">
        <f>HYPERLINK("https://www.zillow.com/homes/80-ANDOVER-DR-ROSELLE-IL-60172_rb/","check listing")</f>
        <v>check listing</v>
      </c>
      <c r="AB5435" s="5" t="str">
        <f>HYPERLINK("https://propertylookup.dupagecounty.gov/Datalets/Datalet.aspx?UseSearch=no&amp;mode=sales&amp;pin=0205402015","sales record")</f>
        <v>sales record</v>
      </c>
      <c r="AC5435" t="s">
        <v>3</v>
      </c>
      <c r="AD5435">
        <v>41.981008</v>
      </c>
      <c r="AE5435">
        <v>-88.112765</v>
      </c>
      <c r="AF5435" s="5" t="str">
        <f>HYPERLINK("https://www.google.com/maps/search/?api=1&amp;query=41.981008,-88.112765","map")</f>
        <v>map</v>
      </c>
    </row>
    <row r="5436" spans="1:32">
      <c r="A5436" t="s">
        <v>5486</v>
      </c>
      <c r="B5436" t="s">
        <v>13011</v>
      </c>
      <c r="C5436" t="s">
        <v>15830</v>
      </c>
      <c r="D5436" t="s">
        <v>16207</v>
      </c>
      <c r="E5436" t="s">
        <v>16218</v>
      </c>
      <c r="F5436" t="s">
        <v>16221</v>
      </c>
      <c r="G5436" t="s">
        <v>16241</v>
      </c>
      <c r="H5436" t="s">
        <v>16241</v>
      </c>
      <c r="I5436" t="s">
        <v>16355</v>
      </c>
      <c r="J5436" t="s">
        <v>16385</v>
      </c>
      <c r="K5436">
        <v>0.184</v>
      </c>
      <c r="L5436">
        <v>7999</v>
      </c>
      <c r="M5436">
        <v>1847</v>
      </c>
      <c r="N5436" t="s">
        <v>16393</v>
      </c>
      <c r="O5436" s="4">
        <v>45278</v>
      </c>
      <c r="P5436" s="4">
        <v>94249</v>
      </c>
      <c r="Q5436" s="4">
        <v>139527</v>
      </c>
      <c r="R5436" s="4">
        <v>418581</v>
      </c>
      <c r="S5436" t="s">
        <v>21700</v>
      </c>
      <c r="T5436" s="6">
        <v>41852</v>
      </c>
      <c r="U5436" s="4">
        <v>215000</v>
      </c>
      <c r="V5436" t="s">
        <v>23739</v>
      </c>
      <c r="W5436" t="s">
        <v>26792</v>
      </c>
      <c r="X5436" t="s">
        <v>3</v>
      </c>
      <c r="AA5436" s="5" t="str">
        <f>HYPERLINK("https://www.zillow.com/homes/1270-COVENTRY-LN-ROSELLE-IL-60172_rb/","check listing")</f>
        <v>check listing</v>
      </c>
      <c r="AB5436" s="5" t="str">
        <f>HYPERLINK("https://propertylookup.dupagecounty.gov/Datalets/Datalet.aspx?UseSearch=no&amp;mode=sales&amp;pin=0205401056","sales record")</f>
        <v>sales record</v>
      </c>
      <c r="AC5436" t="s">
        <v>3</v>
      </c>
      <c r="AD5436">
        <v>41.982298</v>
      </c>
      <c r="AE5436">
        <v>-88.112796</v>
      </c>
      <c r="AF5436" s="5" t="str">
        <f>HYPERLINK("https://www.google.com/maps/search/?api=1&amp;query=41.982298,-88.112796","map")</f>
        <v>map</v>
      </c>
    </row>
    <row r="5437" spans="1:32">
      <c r="A5437" t="s">
        <v>5487</v>
      </c>
      <c r="B5437" t="s">
        <v>13012</v>
      </c>
      <c r="C5437" t="s">
        <v>15830</v>
      </c>
      <c r="D5437" t="s">
        <v>16207</v>
      </c>
      <c r="E5437" t="s">
        <v>16218</v>
      </c>
      <c r="F5437" t="s">
        <v>16221</v>
      </c>
      <c r="G5437" t="s">
        <v>16241</v>
      </c>
      <c r="H5437" t="s">
        <v>16241</v>
      </c>
      <c r="I5437" t="s">
        <v>16355</v>
      </c>
      <c r="J5437" t="s">
        <v>16385</v>
      </c>
      <c r="K5437">
        <v>0.184</v>
      </c>
      <c r="L5437">
        <v>7998</v>
      </c>
      <c r="M5437">
        <v>2144</v>
      </c>
      <c r="N5437" t="s">
        <v>16393</v>
      </c>
      <c r="O5437" s="4">
        <v>45278</v>
      </c>
      <c r="P5437" s="4">
        <v>86588</v>
      </c>
      <c r="Q5437" s="4">
        <v>131866</v>
      </c>
      <c r="R5437" s="4">
        <v>395598</v>
      </c>
      <c r="S5437" t="s">
        <v>21701</v>
      </c>
      <c r="T5437" s="6">
        <v>37803</v>
      </c>
      <c r="U5437" s="4">
        <v>251000</v>
      </c>
      <c r="V5437" t="s">
        <v>23739</v>
      </c>
      <c r="W5437" t="s">
        <v>26793</v>
      </c>
      <c r="X5437" t="s">
        <v>3</v>
      </c>
      <c r="AA5437" s="5" t="str">
        <f>HYPERLINK("https://www.zillow.com/homes/1270-CHATHAM-LN-ROSELLE-IL-60172_rb/","check listing")</f>
        <v>check listing</v>
      </c>
      <c r="AB5437" s="5" t="str">
        <f>HYPERLINK("https://propertylookup.dupagecounty.gov/Datalets/Datalet.aspx?UseSearch=no&amp;mode=sales&amp;pin=0205401068","sales record")</f>
        <v>sales record</v>
      </c>
      <c r="AC5437" t="s">
        <v>3</v>
      </c>
      <c r="AD5437">
        <v>41.98142</v>
      </c>
      <c r="AE5437">
        <v>-88.11275000000001</v>
      </c>
      <c r="AF5437" s="5" t="str">
        <f>HYPERLINK("https://www.google.com/maps/search/?api=1&amp;query=41.98142,-88.11275","map")</f>
        <v>map</v>
      </c>
    </row>
    <row r="5438" spans="1:32">
      <c r="A5438" t="s">
        <v>5488</v>
      </c>
      <c r="B5438" t="s">
        <v>13013</v>
      </c>
      <c r="C5438" t="s">
        <v>15830</v>
      </c>
      <c r="D5438" t="s">
        <v>16207</v>
      </c>
      <c r="E5438" t="s">
        <v>16218</v>
      </c>
      <c r="F5438" t="s">
        <v>16221</v>
      </c>
      <c r="G5438" t="s">
        <v>16241</v>
      </c>
      <c r="H5438" t="s">
        <v>16241</v>
      </c>
      <c r="I5438" t="s">
        <v>16355</v>
      </c>
      <c r="J5438" t="s">
        <v>16385</v>
      </c>
      <c r="K5438">
        <v>0.184</v>
      </c>
      <c r="L5438">
        <v>7994</v>
      </c>
      <c r="M5438">
        <v>2160</v>
      </c>
      <c r="N5438" t="s">
        <v>16393</v>
      </c>
      <c r="O5438" s="4">
        <v>45278</v>
      </c>
      <c r="P5438" s="4">
        <v>91333</v>
      </c>
      <c r="Q5438" s="4">
        <v>136611</v>
      </c>
      <c r="R5438" s="4">
        <v>409833</v>
      </c>
      <c r="S5438" t="s">
        <v>21702</v>
      </c>
      <c r="T5438" s="6">
        <v>43405</v>
      </c>
      <c r="U5438" s="4">
        <v>303000</v>
      </c>
      <c r="V5438" t="s">
        <v>23739</v>
      </c>
      <c r="W5438" t="s">
        <v>26794</v>
      </c>
      <c r="X5438" t="s">
        <v>3</v>
      </c>
      <c r="AA5438" s="5" t="str">
        <f>HYPERLINK("https://www.zillow.com/homes/425-RIDGEFIELD-DR-ROSELLE-IL-60172_rb/","check listing")</f>
        <v>check listing</v>
      </c>
      <c r="AB5438" s="5" t="str">
        <f>HYPERLINK("https://propertylookup.dupagecounty.gov/Datalets/Datalet.aspx?UseSearch=no&amp;mode=sales&amp;pin=0209202020","sales record")</f>
        <v>sales record</v>
      </c>
      <c r="AC5438" t="s">
        <v>3</v>
      </c>
      <c r="AD5438">
        <v>41.975185</v>
      </c>
      <c r="AE5438">
        <v>-88.09849199999999</v>
      </c>
      <c r="AF5438" s="5" t="str">
        <f>HYPERLINK("https://www.google.com/maps/search/?api=1&amp;query=41.975185,-88.098492","map")</f>
        <v>map</v>
      </c>
    </row>
    <row r="5439" spans="1:32">
      <c r="A5439" t="s">
        <v>5489</v>
      </c>
      <c r="B5439" t="s">
        <v>13014</v>
      </c>
      <c r="C5439" t="s">
        <v>15830</v>
      </c>
      <c r="D5439" t="s">
        <v>16207</v>
      </c>
      <c r="E5439" t="s">
        <v>16218</v>
      </c>
      <c r="F5439" t="s">
        <v>16221</v>
      </c>
      <c r="G5439" t="s">
        <v>16241</v>
      </c>
      <c r="H5439" t="s">
        <v>16241</v>
      </c>
      <c r="I5439" t="s">
        <v>16355</v>
      </c>
      <c r="J5439" t="s">
        <v>16385</v>
      </c>
      <c r="K5439">
        <v>0.183</v>
      </c>
      <c r="L5439">
        <v>7988</v>
      </c>
      <c r="M5439">
        <v>2373</v>
      </c>
      <c r="N5439" t="s">
        <v>16393</v>
      </c>
      <c r="O5439" s="4">
        <v>38692</v>
      </c>
      <c r="P5439" s="4">
        <v>100095</v>
      </c>
      <c r="Q5439" s="4">
        <v>138787</v>
      </c>
      <c r="R5439" s="4">
        <v>416361</v>
      </c>
      <c r="S5439" t="s">
        <v>21703</v>
      </c>
      <c r="T5439" s="6">
        <v>33970</v>
      </c>
      <c r="U5439" s="4">
        <v>130250</v>
      </c>
      <c r="X5439" t="s">
        <v>3</v>
      </c>
      <c r="AA5439" s="5" t="str">
        <f>HYPERLINK("https://www.zillow.com/homes/835-STONFIELD-PL-ROSELLE-IL-60172_rb/","check listing")</f>
        <v>check listing</v>
      </c>
      <c r="AB5439" s="5" t="str">
        <f>HYPERLINK("https://propertylookup.dupagecounty.gov/Datalets/Datalet.aspx?UseSearch=no&amp;mode=sales&amp;pin=0209102016","sales record")</f>
        <v>sales record</v>
      </c>
      <c r="AC5439" t="s">
        <v>3</v>
      </c>
      <c r="AD5439">
        <v>41.972072</v>
      </c>
      <c r="AE5439">
        <v>-88.101258</v>
      </c>
      <c r="AF5439" s="5" t="str">
        <f>HYPERLINK("https://www.google.com/maps/search/?api=1&amp;query=41.972072,-88.101258","map")</f>
        <v>map</v>
      </c>
    </row>
    <row r="5440" spans="1:32">
      <c r="A5440" t="s">
        <v>5490</v>
      </c>
      <c r="B5440" t="s">
        <v>13015</v>
      </c>
      <c r="C5440" t="s">
        <v>15830</v>
      </c>
      <c r="D5440" t="s">
        <v>16207</v>
      </c>
      <c r="E5440" t="s">
        <v>16218</v>
      </c>
      <c r="F5440" t="s">
        <v>16221</v>
      </c>
      <c r="G5440" t="s">
        <v>16241</v>
      </c>
      <c r="H5440" t="s">
        <v>16241</v>
      </c>
      <c r="I5440" t="s">
        <v>16355</v>
      </c>
      <c r="J5440" t="s">
        <v>16385</v>
      </c>
      <c r="K5440">
        <v>0.183</v>
      </c>
      <c r="L5440">
        <v>7978</v>
      </c>
      <c r="M5440">
        <v>1979</v>
      </c>
      <c r="N5440" t="s">
        <v>16393</v>
      </c>
      <c r="O5440" s="4">
        <v>45278</v>
      </c>
      <c r="P5440" s="4">
        <v>74073</v>
      </c>
      <c r="Q5440" s="4">
        <v>119351</v>
      </c>
      <c r="R5440" s="4">
        <v>358053</v>
      </c>
      <c r="S5440" t="s">
        <v>21704</v>
      </c>
      <c r="T5440" s="6">
        <v>40940</v>
      </c>
      <c r="U5440" s="4">
        <v>216000</v>
      </c>
      <c r="V5440" t="s">
        <v>23740</v>
      </c>
      <c r="W5440" t="s">
        <v>26795</v>
      </c>
      <c r="X5440" t="s">
        <v>3</v>
      </c>
      <c r="AA5440" s="5" t="str">
        <f>HYPERLINK("https://www.zillow.com/homes/304-HAMSTEAD-CT-ROSELLE-IL-60172_rb/","check listing")</f>
        <v>check listing</v>
      </c>
      <c r="AB5440" s="5" t="str">
        <f>HYPERLINK("https://propertylookup.dupagecounty.gov/Datalets/Datalet.aspx?UseSearch=no&amp;mode=sales&amp;pin=0205407002","sales record")</f>
        <v>sales record</v>
      </c>
      <c r="AC5440" t="s">
        <v>3</v>
      </c>
      <c r="AD5440">
        <v>41.977153</v>
      </c>
      <c r="AE5440">
        <v>-88.111732</v>
      </c>
      <c r="AF5440" s="5" t="str">
        <f>HYPERLINK("https://www.google.com/maps/search/?api=1&amp;query=41.977153,-88.111732","map")</f>
        <v>map</v>
      </c>
    </row>
    <row r="5441" spans="1:32">
      <c r="A5441" t="s">
        <v>5491</v>
      </c>
      <c r="B5441" t="s">
        <v>13016</v>
      </c>
      <c r="C5441" t="s">
        <v>15830</v>
      </c>
      <c r="D5441" t="s">
        <v>16207</v>
      </c>
      <c r="E5441" t="s">
        <v>16218</v>
      </c>
      <c r="F5441" t="s">
        <v>16221</v>
      </c>
      <c r="G5441" t="s">
        <v>16241</v>
      </c>
      <c r="H5441" t="s">
        <v>16241</v>
      </c>
      <c r="I5441" t="s">
        <v>16355</v>
      </c>
      <c r="J5441" t="s">
        <v>16385</v>
      </c>
      <c r="K5441">
        <v>0.183</v>
      </c>
      <c r="L5441">
        <v>7969</v>
      </c>
      <c r="M5441">
        <v>1320</v>
      </c>
      <c r="N5441" t="s">
        <v>16393</v>
      </c>
      <c r="O5441" s="4">
        <v>38692</v>
      </c>
      <c r="P5441" s="4">
        <v>77599</v>
      </c>
      <c r="Q5441" s="4">
        <v>116291</v>
      </c>
      <c r="R5441" s="4">
        <v>348873</v>
      </c>
      <c r="S5441" t="s">
        <v>21705</v>
      </c>
      <c r="T5441" s="6">
        <v>33878</v>
      </c>
      <c r="U5441" s="4">
        <v>119800</v>
      </c>
      <c r="X5441" t="s">
        <v>3</v>
      </c>
      <c r="AA5441" s="5" t="str">
        <f>HYPERLINK("https://www.zillow.com/homes/560-HAMPTON-LN-ROSELLE-IL-60172_rb/","check listing")</f>
        <v>check listing</v>
      </c>
      <c r="AB5441" s="5" t="str">
        <f>HYPERLINK("https://propertylookup.dupagecounty.gov/Datalets/Datalet.aspx?UseSearch=no&amp;mode=sales&amp;pin=0209103007","sales record")</f>
        <v>sales record</v>
      </c>
      <c r="AC5441" t="s">
        <v>3</v>
      </c>
      <c r="AD5441">
        <v>41.9727</v>
      </c>
      <c r="AE5441">
        <v>-88.11021599999999</v>
      </c>
      <c r="AF5441" s="5" t="str">
        <f>HYPERLINK("https://www.google.com/maps/search/?api=1&amp;query=41.9727,-88.110216","map")</f>
        <v>map</v>
      </c>
    </row>
    <row r="5442" spans="1:32">
      <c r="A5442" t="s">
        <v>5492</v>
      </c>
      <c r="B5442" t="s">
        <v>13017</v>
      </c>
      <c r="C5442" t="s">
        <v>15830</v>
      </c>
      <c r="D5442" t="s">
        <v>16207</v>
      </c>
      <c r="E5442" t="s">
        <v>16218</v>
      </c>
      <c r="F5442" t="s">
        <v>16221</v>
      </c>
      <c r="G5442" t="s">
        <v>16241</v>
      </c>
      <c r="H5442" t="s">
        <v>16241</v>
      </c>
      <c r="I5442" t="s">
        <v>16355</v>
      </c>
      <c r="J5442" t="s">
        <v>16385</v>
      </c>
      <c r="K5442">
        <v>0.183</v>
      </c>
      <c r="L5442">
        <v>7960</v>
      </c>
      <c r="M5442">
        <v>1923</v>
      </c>
      <c r="N5442" t="s">
        <v>16393</v>
      </c>
      <c r="O5442" s="4">
        <v>45278</v>
      </c>
      <c r="P5442" s="4">
        <v>81603</v>
      </c>
      <c r="Q5442" s="4">
        <v>126881</v>
      </c>
      <c r="R5442" s="4">
        <v>380643</v>
      </c>
      <c r="S5442" t="s">
        <v>21706</v>
      </c>
      <c r="T5442" s="6">
        <v>44013</v>
      </c>
      <c r="U5442" s="4">
        <v>340000</v>
      </c>
      <c r="V5442" t="s">
        <v>23739</v>
      </c>
      <c r="W5442" t="s">
        <v>26796</v>
      </c>
      <c r="X5442" t="s">
        <v>3</v>
      </c>
      <c r="AA5442" s="5" t="str">
        <f>HYPERLINK("https://www.zillow.com/homes/210-CHATHAM-LN-ROSELLE-IL-60172_rb/","check listing")</f>
        <v>check listing</v>
      </c>
      <c r="AB5442" s="5" t="str">
        <f>HYPERLINK("https://propertylookup.dupagecounty.gov/Datalets/Datalet.aspx?UseSearch=no&amp;mode=sales&amp;pin=0205401015","sales record")</f>
        <v>sales record</v>
      </c>
      <c r="AC5442" t="s">
        <v>3</v>
      </c>
      <c r="AD5442">
        <v>41.978699</v>
      </c>
      <c r="AE5442">
        <v>-88.11512</v>
      </c>
      <c r="AF5442" s="5" t="str">
        <f>HYPERLINK("https://www.google.com/maps/search/?api=1&amp;query=41.978699,-88.11512","map")</f>
        <v>map</v>
      </c>
    </row>
    <row r="5443" spans="1:32">
      <c r="A5443" t="s">
        <v>5493</v>
      </c>
      <c r="B5443" t="s">
        <v>13018</v>
      </c>
      <c r="C5443" t="s">
        <v>15830</v>
      </c>
      <c r="D5443" t="s">
        <v>16207</v>
      </c>
      <c r="E5443" t="s">
        <v>16218</v>
      </c>
      <c r="F5443" t="s">
        <v>16221</v>
      </c>
      <c r="G5443" t="s">
        <v>16241</v>
      </c>
      <c r="H5443" t="s">
        <v>16241</v>
      </c>
      <c r="I5443" t="s">
        <v>16355</v>
      </c>
      <c r="J5443" t="s">
        <v>16385</v>
      </c>
      <c r="K5443">
        <v>0.183</v>
      </c>
      <c r="L5443">
        <v>7960</v>
      </c>
      <c r="M5443">
        <v>1584</v>
      </c>
      <c r="N5443" t="s">
        <v>16393</v>
      </c>
      <c r="O5443" s="4">
        <v>45278</v>
      </c>
      <c r="P5443" s="4">
        <v>79237</v>
      </c>
      <c r="Q5443" s="4">
        <v>124515</v>
      </c>
      <c r="R5443" s="4">
        <v>373545</v>
      </c>
      <c r="S5443" t="s">
        <v>21707</v>
      </c>
      <c r="X5443" t="s">
        <v>3</v>
      </c>
      <c r="AA5443" s="5" t="str">
        <f>HYPERLINK("https://www.zillow.com/homes/320-STOCKPORT-CT-ROSELLE-IL-60172_rb/","check listing")</f>
        <v>check listing</v>
      </c>
      <c r="AB5443" s="5" t="str">
        <f>HYPERLINK("https://propertylookup.dupagecounty.gov/Datalets/Datalet.aspx?UseSearch=no&amp;mode=sales&amp;pin=0205406006","sales record")</f>
        <v>sales record</v>
      </c>
      <c r="AC5443" t="s">
        <v>3</v>
      </c>
      <c r="AD5443">
        <v>41.976763</v>
      </c>
      <c r="AE5443">
        <v>-88.11311499999999</v>
      </c>
      <c r="AF5443" s="5" t="str">
        <f>HYPERLINK("https://www.google.com/maps/search/?api=1&amp;query=41.976763,-88.113115","map")</f>
        <v>map</v>
      </c>
    </row>
    <row r="5444" spans="1:32">
      <c r="A5444" t="s">
        <v>5494</v>
      </c>
      <c r="B5444" t="s">
        <v>13019</v>
      </c>
      <c r="C5444" t="s">
        <v>15830</v>
      </c>
      <c r="D5444" t="s">
        <v>16207</v>
      </c>
      <c r="E5444" t="s">
        <v>16218</v>
      </c>
      <c r="F5444" t="s">
        <v>16221</v>
      </c>
      <c r="G5444" t="s">
        <v>16241</v>
      </c>
      <c r="H5444" t="s">
        <v>16241</v>
      </c>
      <c r="I5444" t="s">
        <v>16355</v>
      </c>
      <c r="J5444" t="s">
        <v>16385</v>
      </c>
      <c r="K5444">
        <v>0.183</v>
      </c>
      <c r="L5444">
        <v>7958</v>
      </c>
      <c r="M5444">
        <v>2269</v>
      </c>
      <c r="N5444" t="s">
        <v>16393</v>
      </c>
      <c r="O5444" s="4">
        <v>45278</v>
      </c>
      <c r="P5444" s="4">
        <v>95051</v>
      </c>
      <c r="Q5444" s="4">
        <v>140329</v>
      </c>
      <c r="R5444" s="4">
        <v>420987</v>
      </c>
      <c r="S5444" t="s">
        <v>21708</v>
      </c>
      <c r="X5444" t="s">
        <v>3</v>
      </c>
      <c r="AA5444" s="5" t="str">
        <f>HYPERLINK("https://www.zillow.com/homes/160-CHATHAM-LN-ROSELLE-IL-60172_rb/","check listing")</f>
        <v>check listing</v>
      </c>
      <c r="AB5444" s="5" t="str">
        <f>HYPERLINK("https://propertylookup.dupagecounty.gov/Datalets/Datalet.aspx?UseSearch=no&amp;mode=sales&amp;pin=0205401010","sales record")</f>
        <v>sales record</v>
      </c>
      <c r="AC5444" t="s">
        <v>3</v>
      </c>
      <c r="AD5444">
        <v>41.979596</v>
      </c>
      <c r="AE5444">
        <v>-88.11510699999999</v>
      </c>
      <c r="AF5444" s="5" t="str">
        <f>HYPERLINK("https://www.google.com/maps/search/?api=1&amp;query=41.979596,-88.115107","map")</f>
        <v>map</v>
      </c>
    </row>
    <row r="5445" spans="1:32">
      <c r="A5445" t="s">
        <v>5495</v>
      </c>
      <c r="B5445" t="s">
        <v>13020</v>
      </c>
      <c r="C5445" t="s">
        <v>15887</v>
      </c>
      <c r="D5445" t="s">
        <v>16207</v>
      </c>
      <c r="E5445" t="s">
        <v>16218</v>
      </c>
      <c r="F5445" t="s">
        <v>16221</v>
      </c>
      <c r="G5445" t="s">
        <v>16241</v>
      </c>
      <c r="H5445" t="s">
        <v>16241</v>
      </c>
      <c r="I5445" t="s">
        <v>16355</v>
      </c>
      <c r="J5445" t="s">
        <v>16385</v>
      </c>
      <c r="K5445">
        <v>0.182</v>
      </c>
      <c r="L5445">
        <v>7943</v>
      </c>
      <c r="M5445">
        <v>2572</v>
      </c>
      <c r="N5445" t="s">
        <v>16393</v>
      </c>
      <c r="O5445" s="4">
        <v>45278</v>
      </c>
      <c r="P5445" s="4">
        <v>104003</v>
      </c>
      <c r="Q5445" s="4">
        <v>149281</v>
      </c>
      <c r="R5445" s="4">
        <v>447843</v>
      </c>
      <c r="S5445" t="s">
        <v>21709</v>
      </c>
      <c r="T5445" s="6">
        <v>41091</v>
      </c>
      <c r="U5445" s="4">
        <v>275000</v>
      </c>
      <c r="V5445" t="s">
        <v>23739</v>
      </c>
      <c r="W5445" t="s">
        <v>26797</v>
      </c>
      <c r="X5445" t="s">
        <v>3</v>
      </c>
      <c r="AA5445" s="5" t="str">
        <f>HYPERLINK("https://www.zillow.com/homes/675-EDENWOOD-DR-ROSELLE-IL-601722876_rb/","check listing")</f>
        <v>check listing</v>
      </c>
      <c r="AB5445" s="5" t="str">
        <f>HYPERLINK("https://propertylookup.dupagecounty.gov/Datalets/Datalet.aspx?UseSearch=no&amp;mode=sales&amp;pin=0209206028","sales record")</f>
        <v>sales record</v>
      </c>
      <c r="AC5445" t="s">
        <v>3</v>
      </c>
      <c r="AD5445">
        <v>41.972143</v>
      </c>
      <c r="AE5445">
        <v>-88.09748999999999</v>
      </c>
      <c r="AF5445" s="5" t="str">
        <f>HYPERLINK("https://www.google.com/maps/search/?api=1&amp;query=41.972143,-88.09749","map")</f>
        <v>map</v>
      </c>
    </row>
    <row r="5446" spans="1:32">
      <c r="A5446" t="s">
        <v>5496</v>
      </c>
      <c r="B5446" t="s">
        <v>13021</v>
      </c>
      <c r="C5446" t="s">
        <v>15830</v>
      </c>
      <c r="D5446" t="s">
        <v>16207</v>
      </c>
      <c r="E5446" t="s">
        <v>16218</v>
      </c>
      <c r="F5446" t="s">
        <v>16221</v>
      </c>
      <c r="G5446" t="s">
        <v>16241</v>
      </c>
      <c r="H5446" t="s">
        <v>16241</v>
      </c>
      <c r="I5446" t="s">
        <v>16355</v>
      </c>
      <c r="J5446" t="s">
        <v>16385</v>
      </c>
      <c r="K5446">
        <v>0.182</v>
      </c>
      <c r="L5446">
        <v>7938</v>
      </c>
      <c r="M5446">
        <v>1996</v>
      </c>
      <c r="N5446" t="s">
        <v>16393</v>
      </c>
      <c r="O5446" s="4">
        <v>38692</v>
      </c>
      <c r="P5446" s="4">
        <v>80097</v>
      </c>
      <c r="Q5446" s="4">
        <v>118789</v>
      </c>
      <c r="R5446" s="4">
        <v>356367</v>
      </c>
      <c r="S5446" t="s">
        <v>21710</v>
      </c>
      <c r="T5446" s="6">
        <v>36342</v>
      </c>
      <c r="U5446" s="4">
        <v>159000</v>
      </c>
      <c r="X5446" t="s">
        <v>3</v>
      </c>
      <c r="AA5446" s="5" t="str">
        <f>HYPERLINK("https://www.zillow.com/homes/720-BERWICK-PL-ROSELLE-IL-60172_rb/","check listing")</f>
        <v>check listing</v>
      </c>
      <c r="AB5446" s="5" t="str">
        <f>HYPERLINK("https://propertylookup.dupagecounty.gov/Datalets/Datalet.aspx?UseSearch=no&amp;mode=sales&amp;pin=0208205028","sales record")</f>
        <v>sales record</v>
      </c>
      <c r="AC5446" t="s">
        <v>3</v>
      </c>
      <c r="AD5446">
        <v>41.969807</v>
      </c>
      <c r="AE5446">
        <v>-88.111966</v>
      </c>
      <c r="AF5446" s="5" t="str">
        <f>HYPERLINK("https://www.google.com/maps/search/?api=1&amp;query=41.969807,-88.111966","map")</f>
        <v>map</v>
      </c>
    </row>
    <row r="5447" spans="1:32">
      <c r="A5447" t="s">
        <v>5497</v>
      </c>
      <c r="B5447" t="s">
        <v>13022</v>
      </c>
      <c r="C5447" t="s">
        <v>15893</v>
      </c>
      <c r="D5447" t="s">
        <v>16207</v>
      </c>
      <c r="E5447" t="s">
        <v>16218</v>
      </c>
      <c r="F5447" t="s">
        <v>16221</v>
      </c>
      <c r="G5447" t="s">
        <v>16241</v>
      </c>
      <c r="H5447" t="s">
        <v>16241</v>
      </c>
      <c r="I5447" t="s">
        <v>16355</v>
      </c>
      <c r="J5447" t="s">
        <v>16385</v>
      </c>
      <c r="K5447">
        <v>0.182</v>
      </c>
      <c r="L5447">
        <v>7930</v>
      </c>
      <c r="M5447">
        <v>1319</v>
      </c>
      <c r="N5447" t="s">
        <v>16393</v>
      </c>
      <c r="O5447" s="4">
        <v>38692</v>
      </c>
      <c r="P5447" s="4">
        <v>78173</v>
      </c>
      <c r="Q5447" s="4">
        <v>116865</v>
      </c>
      <c r="R5447" s="4">
        <v>350595</v>
      </c>
      <c r="S5447" t="s">
        <v>21711</v>
      </c>
      <c r="T5447" s="6">
        <v>43160</v>
      </c>
      <c r="U5447" s="4">
        <v>271500</v>
      </c>
      <c r="V5447" t="s">
        <v>23739</v>
      </c>
      <c r="W5447" t="s">
        <v>26798</v>
      </c>
      <c r="X5447" t="s">
        <v>3</v>
      </c>
      <c r="AA5447" s="5" t="str">
        <f>HYPERLINK("https://www.zillow.com/homes/835-EDENWOOD-DR-ROSELLE-IL-601722826_rb/","check listing")</f>
        <v>check listing</v>
      </c>
      <c r="AB5447" s="5" t="str">
        <f>HYPERLINK("https://propertylookup.dupagecounty.gov/Datalets/Datalet.aspx?UseSearch=no&amp;mode=sales&amp;pin=0209113005","sales record")</f>
        <v>sales record</v>
      </c>
      <c r="AC5447" t="s">
        <v>3</v>
      </c>
      <c r="AD5447">
        <v>41.972792</v>
      </c>
      <c r="AE5447">
        <v>-88.10158199999999</v>
      </c>
      <c r="AF5447" s="5" t="str">
        <f>HYPERLINK("https://www.google.com/maps/search/?api=1&amp;query=41.972792,-88.101582","map")</f>
        <v>map</v>
      </c>
    </row>
    <row r="5448" spans="1:32">
      <c r="A5448" t="s">
        <v>5498</v>
      </c>
      <c r="B5448" t="s">
        <v>13023</v>
      </c>
      <c r="C5448" t="s">
        <v>15830</v>
      </c>
      <c r="D5448" t="s">
        <v>16207</v>
      </c>
      <c r="E5448" t="s">
        <v>16218</v>
      </c>
      <c r="F5448" t="s">
        <v>16221</v>
      </c>
      <c r="G5448" t="s">
        <v>16241</v>
      </c>
      <c r="H5448" t="s">
        <v>16241</v>
      </c>
      <c r="I5448" t="s">
        <v>16355</v>
      </c>
      <c r="J5448" t="s">
        <v>16385</v>
      </c>
      <c r="K5448">
        <v>0.182</v>
      </c>
      <c r="L5448">
        <v>7926</v>
      </c>
      <c r="M5448">
        <v>1848</v>
      </c>
      <c r="N5448" t="s">
        <v>16393</v>
      </c>
      <c r="O5448" s="4">
        <v>62180</v>
      </c>
      <c r="P5448" s="4">
        <v>102712</v>
      </c>
      <c r="Q5448" s="4">
        <v>164892</v>
      </c>
      <c r="R5448" s="4">
        <v>494676</v>
      </c>
      <c r="S5448" t="s">
        <v>21712</v>
      </c>
      <c r="T5448" s="6">
        <v>36342</v>
      </c>
      <c r="U5448" s="4">
        <v>200000</v>
      </c>
      <c r="X5448" t="s">
        <v>3</v>
      </c>
      <c r="AA5448" s="5" t="str">
        <f>HYPERLINK("https://www.zillow.com/homes/820-W-BRYN-MAWR-AVE-ROSELLE-IL-60172_rb/","check listing")</f>
        <v>check listing</v>
      </c>
      <c r="AB5448" s="5" t="str">
        <f>HYPERLINK("https://propertylookup.dupagecounty.gov/Datalets/Datalet.aspx?UseSearch=no&amp;mode=sales&amp;pin=0209116017","sales record")</f>
        <v>sales record</v>
      </c>
      <c r="AC5448" t="s">
        <v>3</v>
      </c>
      <c r="AD5448">
        <v>41.974274</v>
      </c>
      <c r="AE5448">
        <v>-88.10114400000001</v>
      </c>
      <c r="AF5448" s="5" t="str">
        <f>HYPERLINK("https://www.google.com/maps/search/?api=1&amp;query=41.974274,-88.101144","map")</f>
        <v>map</v>
      </c>
    </row>
    <row r="5449" spans="1:32">
      <c r="A5449" t="s">
        <v>5499</v>
      </c>
      <c r="B5449" t="s">
        <v>13024</v>
      </c>
      <c r="C5449" t="s">
        <v>15830</v>
      </c>
      <c r="D5449" t="s">
        <v>16207</v>
      </c>
      <c r="E5449" t="s">
        <v>16218</v>
      </c>
      <c r="F5449" t="s">
        <v>16221</v>
      </c>
      <c r="G5449" t="s">
        <v>16241</v>
      </c>
      <c r="H5449" t="s">
        <v>16241</v>
      </c>
      <c r="I5449" t="s">
        <v>16355</v>
      </c>
      <c r="J5449" t="s">
        <v>16385</v>
      </c>
      <c r="K5449">
        <v>0.182</v>
      </c>
      <c r="L5449">
        <v>7919</v>
      </c>
      <c r="M5449">
        <v>1154</v>
      </c>
      <c r="N5449" t="s">
        <v>16393</v>
      </c>
      <c r="O5449" s="4">
        <v>38692</v>
      </c>
      <c r="P5449" s="4">
        <v>80097</v>
      </c>
      <c r="Q5449" s="4">
        <v>118789</v>
      </c>
      <c r="R5449" s="4">
        <v>356367</v>
      </c>
      <c r="S5449" t="s">
        <v>21713</v>
      </c>
      <c r="T5449" s="6">
        <v>38596</v>
      </c>
      <c r="U5449" s="4">
        <v>266500</v>
      </c>
      <c r="V5449" t="s">
        <v>23739</v>
      </c>
      <c r="W5449" t="s">
        <v>26799</v>
      </c>
      <c r="X5449" t="s">
        <v>3</v>
      </c>
      <c r="AA5449" s="5" t="str">
        <f>HYPERLINK("https://www.zillow.com/homes/501-GLENMORE-PL-ROSELLE-IL-60172_rb/","check listing")</f>
        <v>check listing</v>
      </c>
      <c r="AB5449" s="5" t="str">
        <f>HYPERLINK("https://propertylookup.dupagecounty.gov/Datalets/Datalet.aspx?UseSearch=no&amp;mode=sales&amp;pin=0209109001","sales record")</f>
        <v>sales record</v>
      </c>
      <c r="AC5449" t="s">
        <v>3</v>
      </c>
      <c r="AD5449">
        <v>41.973596</v>
      </c>
      <c r="AE5449">
        <v>-88.105345</v>
      </c>
      <c r="AF5449" s="5" t="str">
        <f>HYPERLINK("https://www.google.com/maps/search/?api=1&amp;query=41.973596,-88.105345","map")</f>
        <v>map</v>
      </c>
    </row>
    <row r="5450" spans="1:32">
      <c r="A5450" t="s">
        <v>5500</v>
      </c>
      <c r="B5450" t="s">
        <v>13025</v>
      </c>
      <c r="C5450" t="s">
        <v>15830</v>
      </c>
      <c r="D5450" t="s">
        <v>16207</v>
      </c>
      <c r="E5450" t="s">
        <v>16218</v>
      </c>
      <c r="F5450" t="s">
        <v>16221</v>
      </c>
      <c r="G5450" t="s">
        <v>16241</v>
      </c>
      <c r="H5450" t="s">
        <v>16241</v>
      </c>
      <c r="I5450" t="s">
        <v>16355</v>
      </c>
      <c r="J5450" t="s">
        <v>16385</v>
      </c>
      <c r="K5450">
        <v>0.182</v>
      </c>
      <c r="L5450">
        <v>7919</v>
      </c>
      <c r="M5450">
        <v>1617</v>
      </c>
      <c r="N5450" t="s">
        <v>16393</v>
      </c>
      <c r="O5450" s="4">
        <v>45278</v>
      </c>
      <c r="P5450" s="4">
        <v>95660</v>
      </c>
      <c r="Q5450" s="4">
        <v>140938</v>
      </c>
      <c r="R5450" s="4">
        <v>422814</v>
      </c>
      <c r="S5450" t="s">
        <v>21714</v>
      </c>
      <c r="T5450" s="6">
        <v>35796</v>
      </c>
      <c r="U5450" s="4">
        <v>161250</v>
      </c>
      <c r="X5450" t="s">
        <v>3</v>
      </c>
      <c r="AA5450" s="5" t="str">
        <f>HYPERLINK("https://www.zillow.com/homes/95-ANDOVER-DR-ROSELLE-IL-60172_rb/","check listing")</f>
        <v>check listing</v>
      </c>
      <c r="AB5450" s="5" t="str">
        <f>HYPERLINK("https://propertylookup.dupagecounty.gov/Datalets/Datalet.aspx?UseSearch=no&amp;mode=sales&amp;pin=0205409009","sales record")</f>
        <v>sales record</v>
      </c>
      <c r="AC5450" t="s">
        <v>3</v>
      </c>
      <c r="AD5450">
        <v>41.980794</v>
      </c>
      <c r="AE5450">
        <v>-88.112193</v>
      </c>
      <c r="AF5450" s="5" t="str">
        <f>HYPERLINK("https://www.google.com/maps/search/?api=1&amp;query=41.980794,-88.112193","map")</f>
        <v>map</v>
      </c>
    </row>
    <row r="5451" spans="1:32">
      <c r="A5451" t="s">
        <v>5501</v>
      </c>
      <c r="B5451" t="s">
        <v>13026</v>
      </c>
      <c r="C5451" t="s">
        <v>15830</v>
      </c>
      <c r="D5451" t="s">
        <v>16207</v>
      </c>
      <c r="E5451" t="s">
        <v>16218</v>
      </c>
      <c r="F5451" t="s">
        <v>16221</v>
      </c>
      <c r="G5451" t="s">
        <v>16241</v>
      </c>
      <c r="H5451" t="s">
        <v>16241</v>
      </c>
      <c r="I5451" t="s">
        <v>16355</v>
      </c>
      <c r="J5451" t="s">
        <v>16385</v>
      </c>
      <c r="K5451">
        <v>0.182</v>
      </c>
      <c r="L5451">
        <v>7916</v>
      </c>
      <c r="M5451">
        <v>2108</v>
      </c>
      <c r="N5451" t="s">
        <v>16393</v>
      </c>
      <c r="O5451" s="4">
        <v>38692</v>
      </c>
      <c r="P5451" s="4">
        <v>77599</v>
      </c>
      <c r="Q5451" s="4">
        <v>116291</v>
      </c>
      <c r="R5451" s="4">
        <v>348873</v>
      </c>
      <c r="S5451" t="s">
        <v>21715</v>
      </c>
      <c r="T5451" s="6">
        <v>36586</v>
      </c>
      <c r="U5451" s="4">
        <v>154000</v>
      </c>
      <c r="V5451" t="s">
        <v>23739</v>
      </c>
      <c r="W5451" t="s">
        <v>26800</v>
      </c>
      <c r="X5451" t="s">
        <v>3</v>
      </c>
      <c r="AA5451" s="5" t="str">
        <f>HYPERLINK("https://www.zillow.com/homes/900-BRYN-MAWR-AVE-ROSELLE-IL-60172_rb/","check listing")</f>
        <v>check listing</v>
      </c>
      <c r="AB5451" s="5" t="str">
        <f>HYPERLINK("https://propertylookup.dupagecounty.gov/Datalets/Datalet.aspx?UseSearch=no&amp;mode=sales&amp;pin=0209109023","sales record")</f>
        <v>sales record</v>
      </c>
      <c r="AC5451" t="s">
        <v>3</v>
      </c>
      <c r="AD5451">
        <v>41.973741</v>
      </c>
      <c r="AE5451">
        <v>-88.103346</v>
      </c>
      <c r="AF5451" s="5" t="str">
        <f>HYPERLINK("https://www.google.com/maps/search/?api=1&amp;query=41.973741,-88.103346","map")</f>
        <v>map</v>
      </c>
    </row>
    <row r="5452" spans="1:32">
      <c r="A5452" t="s">
        <v>5502</v>
      </c>
      <c r="B5452" t="s">
        <v>13027</v>
      </c>
      <c r="C5452" t="s">
        <v>15894</v>
      </c>
      <c r="D5452" t="s">
        <v>16207</v>
      </c>
      <c r="E5452" t="s">
        <v>16218</v>
      </c>
      <c r="F5452" t="s">
        <v>16221</v>
      </c>
      <c r="G5452" t="s">
        <v>16241</v>
      </c>
      <c r="H5452" t="s">
        <v>16241</v>
      </c>
      <c r="I5452" t="s">
        <v>16355</v>
      </c>
      <c r="J5452" t="s">
        <v>16385</v>
      </c>
      <c r="K5452">
        <v>0.182</v>
      </c>
      <c r="L5452">
        <v>7911</v>
      </c>
      <c r="M5452">
        <v>2308</v>
      </c>
      <c r="N5452" t="s">
        <v>16393</v>
      </c>
      <c r="O5452" s="4">
        <v>45278</v>
      </c>
      <c r="P5452" s="4">
        <v>101624</v>
      </c>
      <c r="Q5452" s="4">
        <v>146902</v>
      </c>
      <c r="R5452" s="4">
        <v>440706</v>
      </c>
      <c r="S5452" t="s">
        <v>21716</v>
      </c>
      <c r="T5452" s="6">
        <v>43040</v>
      </c>
      <c r="U5452" s="4">
        <v>315000</v>
      </c>
      <c r="V5452" t="s">
        <v>23739</v>
      </c>
      <c r="W5452" t="s">
        <v>21716</v>
      </c>
      <c r="X5452" t="s">
        <v>3</v>
      </c>
      <c r="AA5452" s="5" t="str">
        <f>HYPERLINK("https://www.zillow.com/homes/1280-WATERBURY-LN-ROSELLE-IL-601722655_rb/","check listing")</f>
        <v>check listing</v>
      </c>
      <c r="AB5452" s="5" t="str">
        <f>HYPERLINK("https://propertylookup.dupagecounty.gov/Datalets/Datalet.aspx?UseSearch=no&amp;mode=sales&amp;pin=0205407013","sales record")</f>
        <v>sales record</v>
      </c>
      <c r="AC5452" t="s">
        <v>3</v>
      </c>
      <c r="AD5452">
        <v>41.975616</v>
      </c>
      <c r="AE5452">
        <v>-88.113466</v>
      </c>
      <c r="AF5452" s="5" t="str">
        <f>HYPERLINK("https://www.google.com/maps/search/?api=1&amp;query=41.975616,-88.113466","map")</f>
        <v>map</v>
      </c>
    </row>
    <row r="5453" spans="1:32">
      <c r="A5453" t="s">
        <v>5503</v>
      </c>
      <c r="B5453" t="s">
        <v>13028</v>
      </c>
      <c r="C5453" t="s">
        <v>15830</v>
      </c>
      <c r="D5453" t="s">
        <v>16207</v>
      </c>
      <c r="E5453" t="s">
        <v>16218</v>
      </c>
      <c r="F5453" t="s">
        <v>16221</v>
      </c>
      <c r="G5453" t="s">
        <v>16241</v>
      </c>
      <c r="H5453" t="s">
        <v>16241</v>
      </c>
      <c r="I5453" t="s">
        <v>16355</v>
      </c>
      <c r="J5453" t="s">
        <v>16385</v>
      </c>
      <c r="K5453">
        <v>0.181</v>
      </c>
      <c r="L5453">
        <v>7906</v>
      </c>
      <c r="M5453">
        <v>2474</v>
      </c>
      <c r="N5453" t="s">
        <v>16393</v>
      </c>
      <c r="O5453" s="4">
        <v>45278</v>
      </c>
      <c r="P5453" s="4">
        <v>98637</v>
      </c>
      <c r="Q5453" s="4">
        <v>143915</v>
      </c>
      <c r="R5453" s="4">
        <v>431745</v>
      </c>
      <c r="S5453" t="s">
        <v>21717</v>
      </c>
      <c r="T5453" s="6">
        <v>35855</v>
      </c>
      <c r="U5453" s="4">
        <v>166000</v>
      </c>
      <c r="X5453" t="s">
        <v>3</v>
      </c>
      <c r="AA5453" s="5" t="str">
        <f>HYPERLINK("https://www.zillow.com/homes/485-GARDEN-AVE-ROSELLE-IL-60172_rb/","check listing")</f>
        <v>check listing</v>
      </c>
      <c r="AB5453" s="5" t="str">
        <f>HYPERLINK("https://propertylookup.dupagecounty.gov/Datalets/Datalet.aspx?UseSearch=no&amp;mode=sales&amp;pin=0209116001","sales record")</f>
        <v>sales record</v>
      </c>
      <c r="AC5453" t="s">
        <v>3</v>
      </c>
      <c r="AD5453">
        <v>41.974114</v>
      </c>
      <c r="AE5453">
        <v>-88.102946</v>
      </c>
      <c r="AF5453" s="5" t="str">
        <f>HYPERLINK("https://www.google.com/maps/search/?api=1&amp;query=41.974114,-88.102946","map")</f>
        <v>map</v>
      </c>
    </row>
    <row r="5454" spans="1:32">
      <c r="A5454" t="s">
        <v>5504</v>
      </c>
      <c r="B5454" t="s">
        <v>13029</v>
      </c>
      <c r="C5454" t="s">
        <v>15830</v>
      </c>
      <c r="D5454" t="s">
        <v>16207</v>
      </c>
      <c r="E5454" t="s">
        <v>16218</v>
      </c>
      <c r="F5454" t="s">
        <v>16221</v>
      </c>
      <c r="G5454" t="s">
        <v>16241</v>
      </c>
      <c r="H5454" t="s">
        <v>16241</v>
      </c>
      <c r="I5454" t="s">
        <v>16355</v>
      </c>
      <c r="J5454" t="s">
        <v>16385</v>
      </c>
      <c r="K5454">
        <v>0.181</v>
      </c>
      <c r="L5454">
        <v>7903</v>
      </c>
      <c r="M5454">
        <v>1583</v>
      </c>
      <c r="N5454" t="s">
        <v>16393</v>
      </c>
      <c r="O5454" s="4">
        <v>45278</v>
      </c>
      <c r="P5454" s="4">
        <v>100250</v>
      </c>
      <c r="Q5454" s="4">
        <v>145528</v>
      </c>
      <c r="R5454" s="4">
        <v>436584</v>
      </c>
      <c r="S5454" t="s">
        <v>21718</v>
      </c>
      <c r="T5454" s="6">
        <v>37530</v>
      </c>
      <c r="U5454" s="4">
        <v>280000</v>
      </c>
      <c r="V5454" t="s">
        <v>23739</v>
      </c>
      <c r="W5454" t="s">
        <v>21718</v>
      </c>
      <c r="X5454" t="s">
        <v>3</v>
      </c>
      <c r="AA5454" s="5" t="str">
        <f>HYPERLINK("https://www.zillow.com/homes/1300-BRISTOL-CT-ROSELLE-IL-60172_rb/","check listing")</f>
        <v>check listing</v>
      </c>
      <c r="AB5454" s="5" t="str">
        <f>HYPERLINK("https://propertylookup.dupagecounty.gov/Datalets/Datalet.aspx?UseSearch=no&amp;mode=sales&amp;pin=0205403012","sales record")</f>
        <v>sales record</v>
      </c>
      <c r="AC5454" t="s">
        <v>3</v>
      </c>
      <c r="AD5454">
        <v>41.979794</v>
      </c>
      <c r="AE5454">
        <v>-88.113732</v>
      </c>
      <c r="AF5454" s="5" t="str">
        <f>HYPERLINK("https://www.google.com/maps/search/?api=1&amp;query=41.979794,-88.113732","map")</f>
        <v>map</v>
      </c>
    </row>
    <row r="5455" spans="1:32">
      <c r="A5455" t="s">
        <v>5505</v>
      </c>
      <c r="B5455" t="s">
        <v>13030</v>
      </c>
      <c r="C5455" t="s">
        <v>15830</v>
      </c>
      <c r="D5455" t="s">
        <v>16207</v>
      </c>
      <c r="E5455" t="s">
        <v>16218</v>
      </c>
      <c r="F5455" t="s">
        <v>16221</v>
      </c>
      <c r="G5455" t="s">
        <v>16241</v>
      </c>
      <c r="H5455" t="s">
        <v>16241</v>
      </c>
      <c r="I5455" t="s">
        <v>16355</v>
      </c>
      <c r="J5455" t="s">
        <v>16385</v>
      </c>
      <c r="K5455">
        <v>0.181</v>
      </c>
      <c r="L5455">
        <v>7900</v>
      </c>
      <c r="M5455">
        <v>1632</v>
      </c>
      <c r="N5455" t="s">
        <v>16393</v>
      </c>
      <c r="O5455" s="4">
        <v>38692</v>
      </c>
      <c r="P5455" s="4">
        <v>86791</v>
      </c>
      <c r="Q5455" s="4">
        <v>125483</v>
      </c>
      <c r="R5455" s="4">
        <v>376449</v>
      </c>
      <c r="S5455" t="s">
        <v>21719</v>
      </c>
      <c r="T5455" s="6">
        <v>38108</v>
      </c>
      <c r="U5455" s="4">
        <v>272000</v>
      </c>
      <c r="V5455" t="s">
        <v>23739</v>
      </c>
      <c r="W5455" t="s">
        <v>21719</v>
      </c>
      <c r="X5455" t="s">
        <v>3</v>
      </c>
      <c r="AA5455" s="5" t="str">
        <f>HYPERLINK("https://www.zillow.com/homes/670-BRIARWOOD-LN-ROSELLE-IL-60172_rb/","check listing")</f>
        <v>check listing</v>
      </c>
      <c r="AB5455" s="5" t="str">
        <f>HYPERLINK("https://propertylookup.dupagecounty.gov/Datalets/Datalet.aspx?UseSearch=no&amp;mode=sales&amp;pin=0209120009","sales record")</f>
        <v>sales record</v>
      </c>
      <c r="AC5455" t="s">
        <v>3</v>
      </c>
      <c r="AD5455">
        <v>41.970879</v>
      </c>
      <c r="AE5455">
        <v>-88.108754</v>
      </c>
      <c r="AF5455" s="5" t="str">
        <f>HYPERLINK("https://www.google.com/maps/search/?api=1&amp;query=41.970879,-88.108754","map")</f>
        <v>map</v>
      </c>
    </row>
    <row r="5456" spans="1:32">
      <c r="A5456" t="s">
        <v>5506</v>
      </c>
      <c r="B5456" t="s">
        <v>13031</v>
      </c>
      <c r="C5456" t="s">
        <v>15830</v>
      </c>
      <c r="D5456" t="s">
        <v>16207</v>
      </c>
      <c r="E5456" t="s">
        <v>16218</v>
      </c>
      <c r="F5456" t="s">
        <v>16221</v>
      </c>
      <c r="G5456" t="s">
        <v>16241</v>
      </c>
      <c r="H5456" t="s">
        <v>16241</v>
      </c>
      <c r="I5456" t="s">
        <v>16355</v>
      </c>
      <c r="J5456" t="s">
        <v>16385</v>
      </c>
      <c r="K5456">
        <v>0.181</v>
      </c>
      <c r="L5456">
        <v>7893</v>
      </c>
      <c r="M5456">
        <v>2308</v>
      </c>
      <c r="N5456" t="s">
        <v>16393</v>
      </c>
      <c r="O5456" s="4">
        <v>45278</v>
      </c>
      <c r="P5456" s="4">
        <v>108355</v>
      </c>
      <c r="Q5456" s="4">
        <v>153633</v>
      </c>
      <c r="R5456" s="4">
        <v>460899</v>
      </c>
      <c r="S5456" t="s">
        <v>21720</v>
      </c>
      <c r="T5456" s="6">
        <v>44967</v>
      </c>
      <c r="U5456" s="4">
        <v>445000</v>
      </c>
      <c r="V5456" t="s">
        <v>23739</v>
      </c>
      <c r="W5456" t="s">
        <v>26801</v>
      </c>
      <c r="X5456" t="s">
        <v>3</v>
      </c>
      <c r="AA5456" s="5" t="str">
        <f>HYPERLINK("https://www.zillow.com/homes/1300-PEMBROOK-CIR-ROSELLE-IL-60172_rb/","check listing")</f>
        <v>check listing</v>
      </c>
      <c r="AB5456" s="5" t="str">
        <f>HYPERLINK("https://propertylookup.dupagecounty.gov/Datalets/Datalet.aspx?UseSearch=no&amp;mode=sales&amp;pin=0205402006","sales record")</f>
        <v>sales record</v>
      </c>
      <c r="AC5456" t="s">
        <v>3</v>
      </c>
      <c r="AD5456">
        <v>41.9807</v>
      </c>
      <c r="AE5456">
        <v>-88.11380200000001</v>
      </c>
      <c r="AF5456" s="5" t="str">
        <f>HYPERLINK("https://www.google.com/maps/search/?api=1&amp;query=41.9807,-88.113802","map")</f>
        <v>map</v>
      </c>
    </row>
    <row r="5457" spans="1:32">
      <c r="A5457" t="s">
        <v>5507</v>
      </c>
      <c r="B5457" t="s">
        <v>13032</v>
      </c>
      <c r="C5457" t="s">
        <v>15895</v>
      </c>
      <c r="D5457" t="s">
        <v>16207</v>
      </c>
      <c r="E5457" t="s">
        <v>16218</v>
      </c>
      <c r="F5457" t="s">
        <v>16221</v>
      </c>
      <c r="G5457" t="s">
        <v>16241</v>
      </c>
      <c r="H5457" t="s">
        <v>16241</v>
      </c>
      <c r="I5457" t="s">
        <v>16355</v>
      </c>
      <c r="J5457" t="s">
        <v>16385</v>
      </c>
      <c r="K5457">
        <v>0.181</v>
      </c>
      <c r="L5457">
        <v>7890</v>
      </c>
      <c r="M5457">
        <v>1319</v>
      </c>
      <c r="N5457" t="s">
        <v>16393</v>
      </c>
      <c r="O5457" s="4">
        <v>38692</v>
      </c>
      <c r="P5457" s="4">
        <v>77539</v>
      </c>
      <c r="Q5457" s="4">
        <v>116231</v>
      </c>
      <c r="R5457" s="4">
        <v>348693</v>
      </c>
      <c r="S5457" t="s">
        <v>21721</v>
      </c>
      <c r="T5457" s="6">
        <v>45868</v>
      </c>
      <c r="U5457" s="4">
        <v>364500</v>
      </c>
      <c r="V5457" t="s">
        <v>23739</v>
      </c>
      <c r="W5457" t="s">
        <v>26802</v>
      </c>
      <c r="X5457" t="s">
        <v>3</v>
      </c>
      <c r="AA5457" s="5" t="str">
        <f>HYPERLINK("https://www.zillow.com/homes/1020-WOODSIDE-DR-ROSELLE-IL-601722730_rb/","check listing")</f>
        <v>check listing</v>
      </c>
      <c r="AB5457" s="5" t="str">
        <f>HYPERLINK("https://propertylookup.dupagecounty.gov/Datalets/Datalet.aspx?UseSearch=no&amp;mode=sales&amp;pin=0209304008","sales record")</f>
        <v>sales record</v>
      </c>
      <c r="AC5457" t="s">
        <v>3</v>
      </c>
      <c r="AD5457">
        <v>41.967761</v>
      </c>
      <c r="AE5457">
        <v>-88.106253</v>
      </c>
      <c r="AF5457" s="5" t="str">
        <f>HYPERLINK("https://www.google.com/maps/search/?api=1&amp;query=41.967761,-88.106253","map")</f>
        <v>map</v>
      </c>
    </row>
    <row r="5458" spans="1:32">
      <c r="A5458" t="s">
        <v>5508</v>
      </c>
      <c r="B5458" t="s">
        <v>13033</v>
      </c>
      <c r="C5458" t="s">
        <v>15887</v>
      </c>
      <c r="D5458" t="s">
        <v>16207</v>
      </c>
      <c r="E5458" t="s">
        <v>16218</v>
      </c>
      <c r="F5458" t="s">
        <v>16221</v>
      </c>
      <c r="G5458" t="s">
        <v>16241</v>
      </c>
      <c r="H5458" t="s">
        <v>16241</v>
      </c>
      <c r="I5458" t="s">
        <v>16355</v>
      </c>
      <c r="J5458" t="s">
        <v>16385</v>
      </c>
      <c r="K5458">
        <v>0.181</v>
      </c>
      <c r="L5458">
        <v>7887</v>
      </c>
      <c r="M5458">
        <v>1846</v>
      </c>
      <c r="N5458" t="s">
        <v>16393</v>
      </c>
      <c r="O5458" s="4">
        <v>45278</v>
      </c>
      <c r="P5458" s="4">
        <v>105115</v>
      </c>
      <c r="Q5458" s="4">
        <v>150393</v>
      </c>
      <c r="R5458" s="4">
        <v>451179</v>
      </c>
      <c r="S5458" t="s">
        <v>21722</v>
      </c>
      <c r="T5458" s="6">
        <v>44718</v>
      </c>
      <c r="U5458" s="4">
        <v>450000</v>
      </c>
      <c r="V5458" t="s">
        <v>23739</v>
      </c>
      <c r="W5458" t="s">
        <v>26803</v>
      </c>
      <c r="X5458" t="s">
        <v>3</v>
      </c>
      <c r="AA5458" s="5" t="str">
        <f>HYPERLINK("https://www.zillow.com/homes/665-EDENWOOD-DR-ROSELLE-IL-601722876_rb/","check listing")</f>
        <v>check listing</v>
      </c>
      <c r="AB5458" s="5" t="str">
        <f>HYPERLINK("https://propertylookup.dupagecounty.gov/Datalets/Datalet.aspx?UseSearch=no&amp;mode=sales&amp;pin=0209206029","sales record")</f>
        <v>sales record</v>
      </c>
      <c r="AC5458" t="s">
        <v>3</v>
      </c>
      <c r="AD5458">
        <v>41.972159</v>
      </c>
      <c r="AE5458">
        <v>-88.097222</v>
      </c>
      <c r="AF5458" s="5" t="str">
        <f>HYPERLINK("https://www.google.com/maps/search/?api=1&amp;query=41.972159,-88.097222","map")</f>
        <v>map</v>
      </c>
    </row>
    <row r="5459" spans="1:32">
      <c r="A5459" t="s">
        <v>5509</v>
      </c>
      <c r="B5459" t="s">
        <v>13034</v>
      </c>
      <c r="C5459" t="s">
        <v>15830</v>
      </c>
      <c r="D5459" t="s">
        <v>16207</v>
      </c>
      <c r="E5459" t="s">
        <v>16218</v>
      </c>
      <c r="F5459" t="s">
        <v>16221</v>
      </c>
      <c r="G5459" t="s">
        <v>16241</v>
      </c>
      <c r="H5459" t="s">
        <v>16241</v>
      </c>
      <c r="I5459" t="s">
        <v>16355</v>
      </c>
      <c r="J5459" t="s">
        <v>16385</v>
      </c>
      <c r="K5459">
        <v>0.181</v>
      </c>
      <c r="L5459">
        <v>7878</v>
      </c>
      <c r="M5459">
        <v>1715</v>
      </c>
      <c r="N5459" t="s">
        <v>16393</v>
      </c>
      <c r="O5459" s="4">
        <v>38692</v>
      </c>
      <c r="P5459" s="4">
        <v>77599</v>
      </c>
      <c r="Q5459" s="4">
        <v>116291</v>
      </c>
      <c r="R5459" s="4">
        <v>348873</v>
      </c>
      <c r="S5459" t="s">
        <v>21723</v>
      </c>
      <c r="T5459" s="6">
        <v>37926</v>
      </c>
      <c r="U5459" s="4">
        <v>220000</v>
      </c>
      <c r="V5459" t="s">
        <v>23739</v>
      </c>
      <c r="W5459" t="s">
        <v>26804</v>
      </c>
      <c r="X5459" t="s">
        <v>3</v>
      </c>
      <c r="AA5459" s="5" t="str">
        <f>HYPERLINK("https://www.zillow.com/homes/890-EDENWOOD-DR-ROSELLE-IL-60172_rb/","check listing")</f>
        <v>check listing</v>
      </c>
      <c r="AB5459" s="5" t="str">
        <f>HYPERLINK("https://propertylookup.dupagecounty.gov/Datalets/Datalet.aspx?UseSearch=no&amp;mode=sales&amp;pin=0209111018","sales record")</f>
        <v>sales record</v>
      </c>
      <c r="AC5459" t="s">
        <v>3</v>
      </c>
      <c r="AD5459">
        <v>41.973008</v>
      </c>
      <c r="AE5459">
        <v>-88.103082</v>
      </c>
      <c r="AF5459" s="5" t="str">
        <f>HYPERLINK("https://www.google.com/maps/search/?api=1&amp;query=41.973008,-88.103082","map")</f>
        <v>map</v>
      </c>
    </row>
    <row r="5460" spans="1:32">
      <c r="A5460" t="s">
        <v>5510</v>
      </c>
      <c r="B5460" t="s">
        <v>13035</v>
      </c>
      <c r="C5460" t="s">
        <v>15830</v>
      </c>
      <c r="D5460" t="s">
        <v>16207</v>
      </c>
      <c r="E5460" t="s">
        <v>16218</v>
      </c>
      <c r="F5460" t="s">
        <v>16221</v>
      </c>
      <c r="G5460" t="s">
        <v>16241</v>
      </c>
      <c r="H5460" t="s">
        <v>16241</v>
      </c>
      <c r="I5460" t="s">
        <v>16355</v>
      </c>
      <c r="J5460" t="s">
        <v>16385</v>
      </c>
      <c r="K5460">
        <v>0.181</v>
      </c>
      <c r="L5460">
        <v>7876</v>
      </c>
      <c r="M5460">
        <v>1583</v>
      </c>
      <c r="N5460" t="s">
        <v>16393</v>
      </c>
      <c r="O5460" s="4">
        <v>45278</v>
      </c>
      <c r="P5460" s="4">
        <v>82703</v>
      </c>
      <c r="Q5460" s="4">
        <v>127981</v>
      </c>
      <c r="R5460" s="4">
        <v>383943</v>
      </c>
      <c r="S5460" t="s">
        <v>21724</v>
      </c>
      <c r="T5460" s="6">
        <v>45554</v>
      </c>
      <c r="U5460" s="4">
        <v>354900</v>
      </c>
      <c r="V5460" t="s">
        <v>23739</v>
      </c>
      <c r="W5460" t="s">
        <v>26805</v>
      </c>
      <c r="X5460" t="s">
        <v>3</v>
      </c>
      <c r="AA5460" s="5" t="str">
        <f>HYPERLINK("https://www.zillow.com/homes/50-ANDOVER-DR-ROSELLE-IL-60172_rb/","check listing")</f>
        <v>check listing</v>
      </c>
      <c r="AB5460" s="5" t="str">
        <f>HYPERLINK("https://propertylookup.dupagecounty.gov/Datalets/Datalet.aspx?UseSearch=no&amp;mode=sales&amp;pin=0205401062","sales record")</f>
        <v>sales record</v>
      </c>
      <c r="AC5460" t="s">
        <v>3</v>
      </c>
      <c r="AD5460">
        <v>41.981654</v>
      </c>
      <c r="AE5460">
        <v>-88.11282199999999</v>
      </c>
      <c r="AF5460" s="5" t="str">
        <f>HYPERLINK("https://www.google.com/maps/search/?api=1&amp;query=41.981654,-88.112822","map")</f>
        <v>map</v>
      </c>
    </row>
    <row r="5461" spans="1:32">
      <c r="A5461" t="s">
        <v>5511</v>
      </c>
      <c r="B5461" t="s">
        <v>13036</v>
      </c>
      <c r="C5461" t="s">
        <v>15830</v>
      </c>
      <c r="D5461" t="s">
        <v>16207</v>
      </c>
      <c r="E5461" t="s">
        <v>16218</v>
      </c>
      <c r="F5461" t="s">
        <v>16221</v>
      </c>
      <c r="G5461" t="s">
        <v>16241</v>
      </c>
      <c r="H5461" t="s">
        <v>16241</v>
      </c>
      <c r="I5461" t="s">
        <v>16355</v>
      </c>
      <c r="J5461" t="s">
        <v>16385</v>
      </c>
      <c r="K5461">
        <v>0.181</v>
      </c>
      <c r="L5461">
        <v>7875</v>
      </c>
      <c r="M5461">
        <v>1584</v>
      </c>
      <c r="N5461" t="s">
        <v>16393</v>
      </c>
      <c r="O5461" s="4">
        <v>38692</v>
      </c>
      <c r="P5461" s="4">
        <v>78663</v>
      </c>
      <c r="Q5461" s="4">
        <v>117355</v>
      </c>
      <c r="R5461" s="4">
        <v>352065</v>
      </c>
      <c r="S5461" t="s">
        <v>21725</v>
      </c>
      <c r="T5461" s="6">
        <v>32843</v>
      </c>
      <c r="U5461" s="4">
        <v>114500</v>
      </c>
      <c r="X5461" t="s">
        <v>3</v>
      </c>
      <c r="AA5461" s="5" t="str">
        <f>HYPERLINK("https://www.zillow.com/homes/905-W-BRYN-MAWR-AVE-ROSELLE-IL-60172_rb/","check listing")</f>
        <v>check listing</v>
      </c>
      <c r="AB5461" s="5" t="str">
        <f>HYPERLINK("https://propertylookup.dupagecounty.gov/Datalets/Datalet.aspx?UseSearch=no&amp;mode=sales&amp;pin=0209111009","sales record")</f>
        <v>sales record</v>
      </c>
      <c r="AC5461" t="s">
        <v>3</v>
      </c>
      <c r="AD5461">
        <v>41.973287</v>
      </c>
      <c r="AE5461">
        <v>-88.10318100000001</v>
      </c>
      <c r="AF5461" s="5" t="str">
        <f>HYPERLINK("https://www.google.com/maps/search/?api=1&amp;query=41.973287,-88.103181","map")</f>
        <v>map</v>
      </c>
    </row>
    <row r="5462" spans="1:32">
      <c r="A5462" t="s">
        <v>5512</v>
      </c>
      <c r="B5462" t="s">
        <v>13037</v>
      </c>
      <c r="C5462" t="s">
        <v>15830</v>
      </c>
      <c r="D5462" t="s">
        <v>16207</v>
      </c>
      <c r="E5462" t="s">
        <v>16218</v>
      </c>
      <c r="F5462" t="s">
        <v>16221</v>
      </c>
      <c r="G5462" t="s">
        <v>16241</v>
      </c>
      <c r="H5462" t="s">
        <v>16241</v>
      </c>
      <c r="I5462" t="s">
        <v>16355</v>
      </c>
      <c r="J5462" t="s">
        <v>16385</v>
      </c>
      <c r="K5462">
        <v>0.181</v>
      </c>
      <c r="L5462">
        <v>7874</v>
      </c>
      <c r="M5462">
        <v>1780</v>
      </c>
      <c r="N5462" t="s">
        <v>16393</v>
      </c>
      <c r="O5462" s="4">
        <v>45278</v>
      </c>
      <c r="P5462" s="4">
        <v>69650</v>
      </c>
      <c r="Q5462" s="4">
        <v>114928</v>
      </c>
      <c r="R5462" s="4">
        <v>344784</v>
      </c>
      <c r="S5462" t="s">
        <v>21726</v>
      </c>
      <c r="X5462" t="s">
        <v>3</v>
      </c>
      <c r="AA5462" s="5" t="str">
        <f>HYPERLINK("https://www.zillow.com/homes/615-EDENWOOD-DR-ROSELLE-IL-60172_rb/","check listing")</f>
        <v>check listing</v>
      </c>
      <c r="AB5462" s="5" t="str">
        <f>HYPERLINK("https://propertylookup.dupagecounty.gov/Datalets/Datalet.aspx?UseSearch=no&amp;mode=sales&amp;pin=0209206034","sales record")</f>
        <v>sales record</v>
      </c>
      <c r="AC5462" t="s">
        <v>3</v>
      </c>
      <c r="AD5462">
        <v>41.97219</v>
      </c>
      <c r="AE5462">
        <v>-88.095973</v>
      </c>
      <c r="AF5462" s="5" t="str">
        <f>HYPERLINK("https://www.google.com/maps/search/?api=1&amp;query=41.97219,-88.095973","map")</f>
        <v>map</v>
      </c>
    </row>
    <row r="5463" spans="1:32">
      <c r="A5463" t="s">
        <v>5513</v>
      </c>
      <c r="B5463" t="s">
        <v>13038</v>
      </c>
      <c r="C5463" t="s">
        <v>15850</v>
      </c>
      <c r="D5463" t="s">
        <v>16207</v>
      </c>
      <c r="E5463" t="s">
        <v>16218</v>
      </c>
      <c r="F5463" t="s">
        <v>16221</v>
      </c>
      <c r="G5463" t="s">
        <v>16241</v>
      </c>
      <c r="H5463" t="s">
        <v>16241</v>
      </c>
      <c r="I5463" t="s">
        <v>16355</v>
      </c>
      <c r="J5463" t="s">
        <v>16385</v>
      </c>
      <c r="K5463">
        <v>0.181</v>
      </c>
      <c r="L5463">
        <v>7873</v>
      </c>
      <c r="M5463">
        <v>1583</v>
      </c>
      <c r="N5463" t="s">
        <v>16393</v>
      </c>
      <c r="O5463" s="4">
        <v>45278</v>
      </c>
      <c r="P5463" s="4">
        <v>101075</v>
      </c>
      <c r="Q5463" s="4">
        <v>146353</v>
      </c>
      <c r="R5463" s="4">
        <v>439059</v>
      </c>
      <c r="S5463" t="s">
        <v>21727</v>
      </c>
      <c r="X5463" t="s">
        <v>3</v>
      </c>
      <c r="AA5463" s="5" t="str">
        <f>HYPERLINK("https://www.zillow.com/homes/650-EDENWOOD-DR-ROSELLE-IL-601722823_rb/","check listing")</f>
        <v>check listing</v>
      </c>
      <c r="AB5463" s="5" t="str">
        <f>HYPERLINK("https://propertylookup.dupagecounty.gov/Datalets/Datalet.aspx?UseSearch=no&amp;mode=sales&amp;pin=0209202037","sales record")</f>
        <v>sales record</v>
      </c>
      <c r="AC5463" t="s">
        <v>3</v>
      </c>
      <c r="AD5463">
        <v>41.972672</v>
      </c>
      <c r="AE5463">
        <v>-88.09694399999999</v>
      </c>
      <c r="AF5463" s="5" t="str">
        <f>HYPERLINK("https://www.google.com/maps/search/?api=1&amp;query=41.972672,-88.096944","map")</f>
        <v>map</v>
      </c>
    </row>
    <row r="5464" spans="1:32">
      <c r="A5464" t="s">
        <v>5514</v>
      </c>
      <c r="B5464" t="s">
        <v>13039</v>
      </c>
      <c r="C5464" t="s">
        <v>15830</v>
      </c>
      <c r="D5464" t="s">
        <v>16207</v>
      </c>
      <c r="E5464" t="s">
        <v>16218</v>
      </c>
      <c r="F5464" t="s">
        <v>16221</v>
      </c>
      <c r="G5464" t="s">
        <v>16241</v>
      </c>
      <c r="H5464" t="s">
        <v>16241</v>
      </c>
      <c r="I5464" t="s">
        <v>16355</v>
      </c>
      <c r="J5464" t="s">
        <v>16385</v>
      </c>
      <c r="K5464">
        <v>0.181</v>
      </c>
      <c r="L5464">
        <v>7872</v>
      </c>
      <c r="M5464">
        <v>1484</v>
      </c>
      <c r="N5464" t="s">
        <v>16393</v>
      </c>
      <c r="O5464" s="4">
        <v>45278</v>
      </c>
      <c r="P5464" s="4">
        <v>63638</v>
      </c>
      <c r="Q5464" s="4">
        <v>108916</v>
      </c>
      <c r="R5464" s="4">
        <v>326748</v>
      </c>
      <c r="S5464" t="s">
        <v>21728</v>
      </c>
      <c r="T5464" s="6">
        <v>42248</v>
      </c>
      <c r="U5464" s="4">
        <v>212500</v>
      </c>
      <c r="V5464" t="s">
        <v>23739</v>
      </c>
      <c r="W5464" t="s">
        <v>21728</v>
      </c>
      <c r="X5464" t="s">
        <v>3</v>
      </c>
      <c r="AA5464" s="5" t="str">
        <f>HYPERLINK("https://www.zillow.com/homes/605-KENSINGTON-CT-ROSELLE-IL-60172_rb/","check listing")</f>
        <v>check listing</v>
      </c>
      <c r="AB5464" s="5" t="str">
        <f>HYPERLINK("https://propertylookup.dupagecounty.gov/Datalets/Datalet.aspx?UseSearch=no&amp;mode=sales&amp;pin=0208204013","sales record")</f>
        <v>sales record</v>
      </c>
      <c r="AC5464" t="s">
        <v>3</v>
      </c>
      <c r="AD5464">
        <v>41.971321</v>
      </c>
      <c r="AE5464">
        <v>-88.113544</v>
      </c>
      <c r="AF5464" s="5" t="str">
        <f>HYPERLINK("https://www.google.com/maps/search/?api=1&amp;query=41.971321,-88.113544","map")</f>
        <v>map</v>
      </c>
    </row>
    <row r="5465" spans="1:32">
      <c r="A5465" t="s">
        <v>5515</v>
      </c>
      <c r="B5465" t="s">
        <v>13040</v>
      </c>
      <c r="C5465" t="s">
        <v>15837</v>
      </c>
      <c r="D5465" t="s">
        <v>16207</v>
      </c>
      <c r="E5465" t="s">
        <v>16218</v>
      </c>
      <c r="F5465" t="s">
        <v>16221</v>
      </c>
      <c r="G5465" t="s">
        <v>16241</v>
      </c>
      <c r="H5465" t="s">
        <v>16241</v>
      </c>
      <c r="I5465" t="s">
        <v>16355</v>
      </c>
      <c r="J5465" t="s">
        <v>16385</v>
      </c>
      <c r="K5465">
        <v>0.181</v>
      </c>
      <c r="L5465">
        <v>7868</v>
      </c>
      <c r="M5465">
        <v>2078</v>
      </c>
      <c r="N5465" t="s">
        <v>16393</v>
      </c>
      <c r="O5465" s="4">
        <v>45278</v>
      </c>
      <c r="P5465" s="4">
        <v>109120</v>
      </c>
      <c r="Q5465" s="4">
        <v>154398</v>
      </c>
      <c r="R5465" s="4">
        <v>463194</v>
      </c>
      <c r="S5465" t="s">
        <v>21729</v>
      </c>
      <c r="T5465" s="6">
        <v>42856</v>
      </c>
      <c r="U5465" s="4">
        <v>283000</v>
      </c>
      <c r="V5465" t="s">
        <v>23739</v>
      </c>
      <c r="W5465" t="s">
        <v>26806</v>
      </c>
      <c r="X5465" t="s">
        <v>3</v>
      </c>
      <c r="AA5465" s="5" t="str">
        <f>HYPERLINK("https://www.zillow.com/homes/447-FORDHAM-PL-ROSELLE-IL-601722810_rb/","check listing")</f>
        <v>check listing</v>
      </c>
      <c r="AB5465" s="5" t="str">
        <f>HYPERLINK("https://propertylookup.dupagecounty.gov/Datalets/Datalet.aspx?UseSearch=no&amp;mode=sales&amp;pin=0209116002","sales record")</f>
        <v>sales record</v>
      </c>
      <c r="AC5465" t="s">
        <v>3</v>
      </c>
      <c r="AD5465">
        <v>41.97415</v>
      </c>
      <c r="AE5465">
        <v>-88.102666</v>
      </c>
      <c r="AF5465" s="5" t="str">
        <f>HYPERLINK("https://www.google.com/maps/search/?api=1&amp;query=41.97415,-88.102666","map")</f>
        <v>map</v>
      </c>
    </row>
    <row r="5466" spans="1:32">
      <c r="A5466" t="s">
        <v>5516</v>
      </c>
      <c r="B5466" t="s">
        <v>13041</v>
      </c>
      <c r="C5466" t="s">
        <v>15830</v>
      </c>
      <c r="D5466" t="s">
        <v>16207</v>
      </c>
      <c r="E5466" t="s">
        <v>16218</v>
      </c>
      <c r="F5466" t="s">
        <v>16221</v>
      </c>
      <c r="G5466" t="s">
        <v>16241</v>
      </c>
      <c r="H5466" t="s">
        <v>16241</v>
      </c>
      <c r="I5466" t="s">
        <v>16355</v>
      </c>
      <c r="J5466" t="s">
        <v>16385</v>
      </c>
      <c r="K5466">
        <v>0.181</v>
      </c>
      <c r="L5466">
        <v>7868</v>
      </c>
      <c r="M5466">
        <v>1848</v>
      </c>
      <c r="N5466" t="s">
        <v>16393</v>
      </c>
      <c r="O5466" s="4">
        <v>45278</v>
      </c>
      <c r="P5466" s="4">
        <v>69902</v>
      </c>
      <c r="Q5466" s="4">
        <v>115180</v>
      </c>
      <c r="R5466" s="4">
        <v>345540</v>
      </c>
      <c r="S5466" t="s">
        <v>21730</v>
      </c>
      <c r="T5466" s="6">
        <v>30864</v>
      </c>
      <c r="U5466" s="4">
        <v>85000</v>
      </c>
      <c r="X5466" t="s">
        <v>3</v>
      </c>
      <c r="AA5466" s="5" t="str">
        <f>HYPERLINK("https://www.zillow.com/homes/1291-PEMBROOK-CIR-ROSELLE-IL-60172_rb/","check listing")</f>
        <v>check listing</v>
      </c>
      <c r="AB5466" s="5" t="str">
        <f>HYPERLINK("https://propertylookup.dupagecounty.gov/Datalets/Datalet.aspx?UseSearch=no&amp;mode=sales&amp;pin=0205403006","sales record")</f>
        <v>sales record</v>
      </c>
      <c r="AC5466" t="s">
        <v>3</v>
      </c>
      <c r="AD5466">
        <v>41.980091</v>
      </c>
      <c r="AE5466">
        <v>-88.113292</v>
      </c>
      <c r="AF5466" s="5" t="str">
        <f>HYPERLINK("https://www.google.com/maps/search/?api=1&amp;query=41.980091,-88.113292","map")</f>
        <v>map</v>
      </c>
    </row>
    <row r="5467" spans="1:32">
      <c r="A5467" t="s">
        <v>5517</v>
      </c>
      <c r="B5467" t="s">
        <v>13042</v>
      </c>
      <c r="C5467" t="s">
        <v>15830</v>
      </c>
      <c r="D5467" t="s">
        <v>16207</v>
      </c>
      <c r="E5467" t="s">
        <v>16218</v>
      </c>
      <c r="F5467" t="s">
        <v>16221</v>
      </c>
      <c r="G5467" t="s">
        <v>16241</v>
      </c>
      <c r="H5467" t="s">
        <v>16241</v>
      </c>
      <c r="I5467" t="s">
        <v>16355</v>
      </c>
      <c r="J5467" t="s">
        <v>16385</v>
      </c>
      <c r="K5467">
        <v>0.181</v>
      </c>
      <c r="L5467">
        <v>7864</v>
      </c>
      <c r="M5467">
        <v>2031</v>
      </c>
      <c r="N5467" t="s">
        <v>16393</v>
      </c>
      <c r="O5467" s="4">
        <v>45278</v>
      </c>
      <c r="P5467" s="4">
        <v>110673</v>
      </c>
      <c r="Q5467" s="4">
        <v>155951</v>
      </c>
      <c r="R5467" s="4">
        <v>467853</v>
      </c>
      <c r="S5467" t="s">
        <v>21731</v>
      </c>
      <c r="T5467" s="6">
        <v>38200</v>
      </c>
      <c r="U5467" s="4">
        <v>320000</v>
      </c>
      <c r="V5467" t="s">
        <v>23739</v>
      </c>
      <c r="W5467" t="s">
        <v>21731</v>
      </c>
      <c r="X5467" t="s">
        <v>3</v>
      </c>
      <c r="AA5467" s="5" t="str">
        <f>HYPERLINK("https://www.zillow.com/homes/645-EDENWOOD-DR-ROSELLE-IL-60172_rb/","check listing")</f>
        <v>check listing</v>
      </c>
      <c r="AB5467" s="5" t="str">
        <f>HYPERLINK("https://propertylookup.dupagecounty.gov/Datalets/Datalet.aspx?UseSearch=no&amp;mode=sales&amp;pin=0209206031","sales record")</f>
        <v>sales record</v>
      </c>
      <c r="AC5467" t="s">
        <v>3</v>
      </c>
      <c r="AD5467">
        <v>41.972189</v>
      </c>
      <c r="AE5467">
        <v>-88.096699</v>
      </c>
      <c r="AF5467" s="5" t="str">
        <f>HYPERLINK("https://www.google.com/maps/search/?api=1&amp;query=41.972189,-88.096699","map")</f>
        <v>map</v>
      </c>
    </row>
    <row r="5468" spans="1:32">
      <c r="A5468" t="s">
        <v>5518</v>
      </c>
      <c r="B5468" t="s">
        <v>13043</v>
      </c>
      <c r="C5468" t="s">
        <v>15896</v>
      </c>
      <c r="D5468" t="s">
        <v>16207</v>
      </c>
      <c r="E5468" t="s">
        <v>16218</v>
      </c>
      <c r="F5468" t="s">
        <v>16221</v>
      </c>
      <c r="G5468" t="s">
        <v>16241</v>
      </c>
      <c r="H5468" t="s">
        <v>16241</v>
      </c>
      <c r="I5468" t="s">
        <v>16355</v>
      </c>
      <c r="J5468" t="s">
        <v>16385</v>
      </c>
      <c r="K5468">
        <v>0.18</v>
      </c>
      <c r="L5468">
        <v>7861</v>
      </c>
      <c r="N5468" t="s">
        <v>16393</v>
      </c>
      <c r="O5468" s="4">
        <v>39684</v>
      </c>
      <c r="P5468" s="4">
        <v>173819</v>
      </c>
      <c r="Q5468" s="4">
        <v>213503</v>
      </c>
      <c r="R5468" s="4">
        <v>640509</v>
      </c>
      <c r="S5468" t="s">
        <v>21732</v>
      </c>
      <c r="T5468" s="6">
        <v>44593</v>
      </c>
      <c r="U5468" s="4">
        <v>640508</v>
      </c>
      <c r="V5468" t="s">
        <v>23739</v>
      </c>
      <c r="W5468" t="s">
        <v>26807</v>
      </c>
      <c r="X5468" t="s">
        <v>3</v>
      </c>
      <c r="AA5468" s="5" t="str">
        <f>HYPERLINK("https://www.zillow.com/homes/530-FRANCESCA-LN-ROSELLE-IL-601722759_rb/","check listing")</f>
        <v>check listing</v>
      </c>
      <c r="AB5468" s="5" t="str">
        <f>HYPERLINK("https://propertylookup.dupagecounty.gov/Datalets/Datalet.aspx?UseSearch=no&amp;mode=sales&amp;pin=0208204047","sales record")</f>
        <v>sales record</v>
      </c>
      <c r="AC5468" t="s">
        <v>3</v>
      </c>
      <c r="AD5468">
        <v>41.971407</v>
      </c>
      <c r="AE5468">
        <v>-88.115251</v>
      </c>
      <c r="AF5468" s="5" t="str">
        <f>HYPERLINK("https://www.google.com/maps/search/?api=1&amp;query=41.971407,-88.115251","map")</f>
        <v>map</v>
      </c>
    </row>
    <row r="5469" spans="1:32">
      <c r="A5469" t="s">
        <v>5519</v>
      </c>
      <c r="B5469" t="s">
        <v>13044</v>
      </c>
      <c r="C5469" t="s">
        <v>15830</v>
      </c>
      <c r="D5469" t="s">
        <v>16207</v>
      </c>
      <c r="E5469" t="s">
        <v>16218</v>
      </c>
      <c r="F5469" t="s">
        <v>16221</v>
      </c>
      <c r="G5469" t="s">
        <v>16241</v>
      </c>
      <c r="H5469" t="s">
        <v>16241</v>
      </c>
      <c r="I5469" t="s">
        <v>16355</v>
      </c>
      <c r="J5469" t="s">
        <v>16385</v>
      </c>
      <c r="K5469">
        <v>0.18</v>
      </c>
      <c r="L5469">
        <v>7861</v>
      </c>
      <c r="M5469">
        <v>1967</v>
      </c>
      <c r="N5469" t="s">
        <v>16393</v>
      </c>
      <c r="O5469" s="4">
        <v>38692</v>
      </c>
      <c r="P5469" s="4">
        <v>79607</v>
      </c>
      <c r="Q5469" s="4">
        <v>118299</v>
      </c>
      <c r="R5469" s="4">
        <v>354897</v>
      </c>
      <c r="S5469" t="s">
        <v>21733</v>
      </c>
      <c r="T5469" s="6">
        <v>45415</v>
      </c>
      <c r="U5469" s="4">
        <v>280000</v>
      </c>
      <c r="V5469" t="s">
        <v>23739</v>
      </c>
      <c r="W5469" t="s">
        <v>26808</v>
      </c>
      <c r="X5469" t="s">
        <v>3</v>
      </c>
      <c r="AA5469" s="5" t="str">
        <f>HYPERLINK("https://www.zillow.com/homes/679-RODENBURG-RD-ROSELLE-IL-60172_rb/","check listing")</f>
        <v>check listing</v>
      </c>
      <c r="AB5469" s="5" t="str">
        <f>HYPERLINK("https://propertylookup.dupagecounty.gov/Datalets/Datalet.aspx?UseSearch=no&amp;mode=sales&amp;pin=0209120014","sales record")</f>
        <v>sales record</v>
      </c>
      <c r="AC5469" t="s">
        <v>3</v>
      </c>
      <c r="AD5469">
        <v>41.970901</v>
      </c>
      <c r="AE5469">
        <v>-88.109742</v>
      </c>
      <c r="AF5469" s="5" t="str">
        <f>HYPERLINK("https://www.google.com/maps/search/?api=1&amp;query=41.970901,-88.109742","map")</f>
        <v>map</v>
      </c>
    </row>
    <row r="5470" spans="1:32">
      <c r="A5470" t="s">
        <v>5520</v>
      </c>
      <c r="B5470" t="s">
        <v>13045</v>
      </c>
      <c r="C5470" t="s">
        <v>15897</v>
      </c>
      <c r="D5470" t="s">
        <v>16207</v>
      </c>
      <c r="E5470" t="s">
        <v>16218</v>
      </c>
      <c r="F5470" t="s">
        <v>16221</v>
      </c>
      <c r="G5470" t="s">
        <v>16241</v>
      </c>
      <c r="H5470" t="s">
        <v>16241</v>
      </c>
      <c r="I5470" t="s">
        <v>16355</v>
      </c>
      <c r="J5470" t="s">
        <v>16385</v>
      </c>
      <c r="K5470">
        <v>0.18</v>
      </c>
      <c r="L5470">
        <v>7855</v>
      </c>
      <c r="M5470">
        <v>924</v>
      </c>
      <c r="N5470" t="s">
        <v>16393</v>
      </c>
      <c r="O5470" s="4">
        <v>45278</v>
      </c>
      <c r="P5470" s="4">
        <v>70296</v>
      </c>
      <c r="Q5470" s="4">
        <v>115574</v>
      </c>
      <c r="R5470" s="4">
        <v>346722</v>
      </c>
      <c r="S5470" t="s">
        <v>21734</v>
      </c>
      <c r="T5470" s="6">
        <v>42522</v>
      </c>
      <c r="U5470" s="4">
        <v>216000</v>
      </c>
      <c r="V5470" t="s">
        <v>23739</v>
      </c>
      <c r="W5470" t="s">
        <v>26809</v>
      </c>
      <c r="X5470" t="s">
        <v>3</v>
      </c>
      <c r="AA5470" s="5" t="str">
        <f>HYPERLINK("https://www.zillow.com/homes/625-KENSINGTON-CT-ROSELLE-IL-601722624_rb/","check listing")</f>
        <v>check listing</v>
      </c>
      <c r="AB5470" s="5" t="str">
        <f>HYPERLINK("https://propertylookup.dupagecounty.gov/Datalets/Datalet.aspx?UseSearch=no&amp;mode=sales&amp;pin=0208204015","sales record")</f>
        <v>sales record</v>
      </c>
      <c r="AC5470" t="s">
        <v>3</v>
      </c>
      <c r="AD5470">
        <v>41.971044</v>
      </c>
      <c r="AE5470">
        <v>-88.11317200000001</v>
      </c>
      <c r="AF5470" s="5" t="str">
        <f>HYPERLINK("https://www.google.com/maps/search/?api=1&amp;query=41.971044,-88.113172","map")</f>
        <v>map</v>
      </c>
    </row>
    <row r="5471" spans="1:32">
      <c r="A5471" t="s">
        <v>5521</v>
      </c>
      <c r="B5471" t="s">
        <v>13046</v>
      </c>
      <c r="C5471" t="s">
        <v>15830</v>
      </c>
      <c r="D5471" t="s">
        <v>16207</v>
      </c>
      <c r="E5471" t="s">
        <v>16218</v>
      </c>
      <c r="F5471" t="s">
        <v>16221</v>
      </c>
      <c r="G5471" t="s">
        <v>16241</v>
      </c>
      <c r="H5471" t="s">
        <v>16241</v>
      </c>
      <c r="I5471" t="s">
        <v>16355</v>
      </c>
      <c r="J5471" t="s">
        <v>16385</v>
      </c>
      <c r="K5471">
        <v>0.18</v>
      </c>
      <c r="L5471">
        <v>7849</v>
      </c>
      <c r="M5471">
        <v>1583</v>
      </c>
      <c r="N5471" t="s">
        <v>16393</v>
      </c>
      <c r="O5471" s="4">
        <v>45278</v>
      </c>
      <c r="P5471" s="4">
        <v>86815</v>
      </c>
      <c r="Q5471" s="4">
        <v>132093</v>
      </c>
      <c r="R5471" s="4">
        <v>396279</v>
      </c>
      <c r="S5471" t="s">
        <v>21735</v>
      </c>
      <c r="T5471" s="6">
        <v>38108</v>
      </c>
      <c r="U5471" s="4">
        <v>275000</v>
      </c>
      <c r="V5471" t="s">
        <v>23739</v>
      </c>
      <c r="W5471" t="s">
        <v>26810</v>
      </c>
      <c r="X5471" t="s">
        <v>3</v>
      </c>
      <c r="AA5471" s="5" t="str">
        <f>HYPERLINK("https://www.zillow.com/homes/455-GARDEN-AVE-ROSELLE-IL-60172_rb/","check listing")</f>
        <v>check listing</v>
      </c>
      <c r="AB5471" s="5" t="str">
        <f>HYPERLINK("https://propertylookup.dupagecounty.gov/Datalets/Datalet.aspx?UseSearch=no&amp;mode=sales&amp;pin=0209115009","sales record")</f>
        <v>sales record</v>
      </c>
      <c r="AC5471" t="s">
        <v>3</v>
      </c>
      <c r="AD5471">
        <v>41.974712</v>
      </c>
      <c r="AE5471">
        <v>-88.10373199999999</v>
      </c>
      <c r="AF5471" s="5" t="str">
        <f>HYPERLINK("https://www.google.com/maps/search/?api=1&amp;query=41.974712,-88.103732","map")</f>
        <v>map</v>
      </c>
    </row>
    <row r="5472" spans="1:32">
      <c r="A5472" t="s">
        <v>5522</v>
      </c>
      <c r="B5472" t="s">
        <v>13047</v>
      </c>
      <c r="C5472" t="s">
        <v>15898</v>
      </c>
      <c r="D5472" t="s">
        <v>16207</v>
      </c>
      <c r="E5472" t="s">
        <v>16218</v>
      </c>
      <c r="F5472" t="s">
        <v>16221</v>
      </c>
      <c r="G5472" t="s">
        <v>16241</v>
      </c>
      <c r="H5472" t="s">
        <v>16241</v>
      </c>
      <c r="I5472" t="s">
        <v>16355</v>
      </c>
      <c r="J5472" t="s">
        <v>16385</v>
      </c>
      <c r="K5472">
        <v>0.18</v>
      </c>
      <c r="L5472">
        <v>7843</v>
      </c>
      <c r="M5472">
        <v>2308</v>
      </c>
      <c r="N5472" t="s">
        <v>16393</v>
      </c>
      <c r="O5472" s="4">
        <v>45278</v>
      </c>
      <c r="P5472" s="4">
        <v>93401</v>
      </c>
      <c r="Q5472" s="4">
        <v>138679</v>
      </c>
      <c r="R5472" s="4">
        <v>416037</v>
      </c>
      <c r="S5472" t="s">
        <v>21736</v>
      </c>
      <c r="X5472" t="s">
        <v>3</v>
      </c>
      <c r="AA5472" s="5" t="str">
        <f>HYPERLINK("https://www.zillow.com/homes/500-DALTON-LN-ROSELLE-IL-601722821_rb/","check listing")</f>
        <v>check listing</v>
      </c>
      <c r="AB5472" s="5" t="str">
        <f>HYPERLINK("https://propertylookup.dupagecounty.gov/Datalets/Datalet.aspx?UseSearch=no&amp;mode=sales&amp;pin=0209209012","sales record")</f>
        <v>sales record</v>
      </c>
      <c r="AC5472" t="s">
        <v>3</v>
      </c>
      <c r="AD5472">
        <v>41.973917</v>
      </c>
      <c r="AE5472">
        <v>-88.099648</v>
      </c>
      <c r="AF5472" s="5" t="str">
        <f>HYPERLINK("https://www.google.com/maps/search/?api=1&amp;query=41.973917,-88.099648","map")</f>
        <v>map</v>
      </c>
    </row>
    <row r="5473" spans="1:32">
      <c r="A5473" t="s">
        <v>5523</v>
      </c>
      <c r="B5473" t="s">
        <v>13048</v>
      </c>
      <c r="C5473" t="s">
        <v>15899</v>
      </c>
      <c r="D5473" t="s">
        <v>16207</v>
      </c>
      <c r="E5473" t="s">
        <v>16218</v>
      </c>
      <c r="F5473" t="s">
        <v>16221</v>
      </c>
      <c r="G5473" t="s">
        <v>16241</v>
      </c>
      <c r="H5473" t="s">
        <v>16241</v>
      </c>
      <c r="I5473" t="s">
        <v>16355</v>
      </c>
      <c r="J5473" t="s">
        <v>16385</v>
      </c>
      <c r="K5473">
        <v>0.18</v>
      </c>
      <c r="L5473">
        <v>7830</v>
      </c>
      <c r="M5473">
        <v>1270</v>
      </c>
      <c r="N5473" t="s">
        <v>16393</v>
      </c>
      <c r="O5473" s="4">
        <v>38692</v>
      </c>
      <c r="P5473" s="4">
        <v>80241</v>
      </c>
      <c r="Q5473" s="4">
        <v>118933</v>
      </c>
      <c r="R5473" s="4">
        <v>356799</v>
      </c>
      <c r="S5473" t="s">
        <v>21737</v>
      </c>
      <c r="T5473" s="6">
        <v>43952</v>
      </c>
      <c r="U5473" s="4">
        <v>297000</v>
      </c>
      <c r="V5473" t="s">
        <v>23739</v>
      </c>
      <c r="W5473" t="s">
        <v>26811</v>
      </c>
      <c r="X5473" t="s">
        <v>3</v>
      </c>
      <c r="AA5473" s="5" t="str">
        <f>HYPERLINK("https://www.zillow.com/homes/970-EDENWOOD-DR-ROSELLE-IL-601722756_rb/","check listing")</f>
        <v>check listing</v>
      </c>
      <c r="AB5473" s="5" t="str">
        <f>HYPERLINK("https://propertylookup.dupagecounty.gov/Datalets/Datalet.aspx?UseSearch=no&amp;mode=sales&amp;pin=0209111010","sales record")</f>
        <v>sales record</v>
      </c>
      <c r="AC5473" t="s">
        <v>3</v>
      </c>
      <c r="AD5473">
        <v>41.972719</v>
      </c>
      <c r="AE5473">
        <v>-88.10459400000001</v>
      </c>
      <c r="AF5473" s="5" t="str">
        <f>HYPERLINK("https://www.google.com/maps/search/?api=1&amp;query=41.972719,-88.104594","map")</f>
        <v>map</v>
      </c>
    </row>
    <row r="5474" spans="1:32">
      <c r="A5474" t="s">
        <v>5524</v>
      </c>
      <c r="B5474" t="s">
        <v>13049</v>
      </c>
      <c r="C5474" t="s">
        <v>15830</v>
      </c>
      <c r="D5474" t="s">
        <v>16207</v>
      </c>
      <c r="E5474" t="s">
        <v>16218</v>
      </c>
      <c r="F5474" t="s">
        <v>16221</v>
      </c>
      <c r="G5474" t="s">
        <v>16241</v>
      </c>
      <c r="H5474" t="s">
        <v>16241</v>
      </c>
      <c r="I5474" t="s">
        <v>16355</v>
      </c>
      <c r="J5474" t="s">
        <v>16385</v>
      </c>
      <c r="K5474">
        <v>0.18</v>
      </c>
      <c r="L5474">
        <v>7828</v>
      </c>
      <c r="M5474">
        <v>1979</v>
      </c>
      <c r="N5474" t="s">
        <v>16393</v>
      </c>
      <c r="O5474" s="4">
        <v>45278</v>
      </c>
      <c r="P5474" s="4">
        <v>76965</v>
      </c>
      <c r="Q5474" s="4">
        <v>122243</v>
      </c>
      <c r="R5474" s="4">
        <v>366729</v>
      </c>
      <c r="S5474" t="s">
        <v>21738</v>
      </c>
      <c r="T5474" s="6">
        <v>40940</v>
      </c>
      <c r="U5474" s="4">
        <v>180000</v>
      </c>
      <c r="V5474" t="s">
        <v>23739</v>
      </c>
      <c r="W5474" t="s">
        <v>21738</v>
      </c>
      <c r="X5474" t="s">
        <v>3</v>
      </c>
      <c r="AA5474" s="5" t="str">
        <f>HYPERLINK("https://www.zillow.com/homes/1170-MENSCHING-RD-ROSELLE-IL-60172_rb/","check listing")</f>
        <v>check listing</v>
      </c>
      <c r="AB5474" s="5" t="str">
        <f>HYPERLINK("https://propertylookup.dupagecounty.gov/Datalets/Datalet.aspx?UseSearch=no&amp;mode=sales&amp;pin=0204311002","sales record")</f>
        <v>sales record</v>
      </c>
      <c r="AC5474" t="s">
        <v>3</v>
      </c>
      <c r="AD5474">
        <v>41.981599</v>
      </c>
      <c r="AE5474">
        <v>-88.10977200000001</v>
      </c>
      <c r="AF5474" s="5" t="str">
        <f>HYPERLINK("https://www.google.com/maps/search/?api=1&amp;query=41.981599,-88.109772","map")</f>
        <v>map</v>
      </c>
    </row>
    <row r="5475" spans="1:32">
      <c r="A5475" t="s">
        <v>5525</v>
      </c>
      <c r="B5475" t="s">
        <v>13050</v>
      </c>
      <c r="C5475" t="s">
        <v>15830</v>
      </c>
      <c r="D5475" t="s">
        <v>16207</v>
      </c>
      <c r="E5475" t="s">
        <v>16218</v>
      </c>
      <c r="F5475" t="s">
        <v>16221</v>
      </c>
      <c r="G5475" t="s">
        <v>16241</v>
      </c>
      <c r="H5475" t="s">
        <v>16241</v>
      </c>
      <c r="I5475" t="s">
        <v>16355</v>
      </c>
      <c r="J5475" t="s">
        <v>16385</v>
      </c>
      <c r="K5475">
        <v>0.18</v>
      </c>
      <c r="L5475">
        <v>7821</v>
      </c>
      <c r="M5475">
        <v>1583</v>
      </c>
      <c r="N5475" t="s">
        <v>16393</v>
      </c>
      <c r="O5475" s="4">
        <v>38692</v>
      </c>
      <c r="P5475" s="4">
        <v>86791</v>
      </c>
      <c r="Q5475" s="4">
        <v>125483</v>
      </c>
      <c r="R5475" s="4">
        <v>376449</v>
      </c>
      <c r="S5475" t="s">
        <v>21739</v>
      </c>
      <c r="T5475" s="6">
        <v>36647</v>
      </c>
      <c r="U5475" s="4">
        <v>182000</v>
      </c>
      <c r="V5475" t="s">
        <v>23739</v>
      </c>
      <c r="W5475" t="s">
        <v>21739</v>
      </c>
      <c r="X5475" t="s">
        <v>3</v>
      </c>
      <c r="AA5475" s="5" t="str">
        <f>HYPERLINK("https://www.zillow.com/homes/636-STAFFORD-DR-ROSELLE-IL-60172_rb/","check listing")</f>
        <v>check listing</v>
      </c>
      <c r="AB5475" s="5" t="str">
        <f>HYPERLINK("https://propertylookup.dupagecounty.gov/Datalets/Datalet.aspx?UseSearch=no&amp;mode=sales&amp;pin=0209119029","sales record")</f>
        <v>sales record</v>
      </c>
      <c r="AC5475" t="s">
        <v>3</v>
      </c>
      <c r="AD5475">
        <v>41.971896</v>
      </c>
      <c r="AE5475">
        <v>-88.109988</v>
      </c>
      <c r="AF5475" s="5" t="str">
        <f>HYPERLINK("https://www.google.com/maps/search/?api=1&amp;query=41.971896,-88.109988","map")</f>
        <v>map</v>
      </c>
    </row>
    <row r="5476" spans="1:32">
      <c r="A5476" t="s">
        <v>5526</v>
      </c>
      <c r="B5476" t="s">
        <v>13051</v>
      </c>
      <c r="C5476" t="s">
        <v>15900</v>
      </c>
      <c r="D5476" t="s">
        <v>16207</v>
      </c>
      <c r="E5476" t="s">
        <v>16218</v>
      </c>
      <c r="F5476" t="s">
        <v>16221</v>
      </c>
      <c r="G5476" t="s">
        <v>16241</v>
      </c>
      <c r="H5476" t="s">
        <v>16241</v>
      </c>
      <c r="I5476" t="s">
        <v>16355</v>
      </c>
      <c r="J5476" t="s">
        <v>16385</v>
      </c>
      <c r="K5476">
        <v>0.179</v>
      </c>
      <c r="L5476">
        <v>7819</v>
      </c>
      <c r="M5476">
        <v>1319</v>
      </c>
      <c r="N5476" t="s">
        <v>16393</v>
      </c>
      <c r="O5476" s="4">
        <v>38692</v>
      </c>
      <c r="P5476" s="4">
        <v>77156</v>
      </c>
      <c r="Q5476" s="4">
        <v>115848</v>
      </c>
      <c r="R5476" s="4">
        <v>347544</v>
      </c>
      <c r="S5476" t="s">
        <v>21740</v>
      </c>
      <c r="T5476" s="6">
        <v>42705</v>
      </c>
      <c r="U5476" s="4">
        <v>280000</v>
      </c>
      <c r="V5476" t="s">
        <v>23739</v>
      </c>
      <c r="W5476" t="s">
        <v>21740</v>
      </c>
      <c r="X5476" t="s">
        <v>3</v>
      </c>
      <c r="AA5476" s="5" t="str">
        <f>HYPERLINK("https://www.zillow.com/homes/790-MEADE-LN-ROSELLE-IL-601722711_rb/","check listing")</f>
        <v>check listing</v>
      </c>
      <c r="AB5476" s="5" t="str">
        <f>HYPERLINK("https://propertylookup.dupagecounty.gov/Datalets/Datalet.aspx?UseSearch=no&amp;mode=sales&amp;pin=0209117017","sales record")</f>
        <v>sales record</v>
      </c>
      <c r="AC5476" t="s">
        <v>3</v>
      </c>
      <c r="AD5476">
        <v>41.968503</v>
      </c>
      <c r="AE5476">
        <v>-88.106188</v>
      </c>
      <c r="AF5476" s="5" t="str">
        <f>HYPERLINK("https://www.google.com/maps/search/?api=1&amp;query=41.968503,-88.106188","map")</f>
        <v>map</v>
      </c>
    </row>
    <row r="5477" spans="1:32">
      <c r="A5477" t="s">
        <v>5527</v>
      </c>
      <c r="B5477" t="s">
        <v>13052</v>
      </c>
      <c r="C5477" t="s">
        <v>15830</v>
      </c>
      <c r="D5477" t="s">
        <v>16207</v>
      </c>
      <c r="E5477" t="s">
        <v>16218</v>
      </c>
      <c r="F5477" t="s">
        <v>16221</v>
      </c>
      <c r="G5477" t="s">
        <v>16241</v>
      </c>
      <c r="H5477" t="s">
        <v>16241</v>
      </c>
      <c r="I5477" t="s">
        <v>16355</v>
      </c>
      <c r="J5477" t="s">
        <v>16385</v>
      </c>
      <c r="K5477">
        <v>0.179</v>
      </c>
      <c r="L5477">
        <v>7815</v>
      </c>
      <c r="M5477">
        <v>1715</v>
      </c>
      <c r="N5477" t="s">
        <v>16393</v>
      </c>
      <c r="O5477" s="4">
        <v>45278</v>
      </c>
      <c r="P5477" s="4">
        <v>100740</v>
      </c>
      <c r="Q5477" s="4">
        <v>146018</v>
      </c>
      <c r="R5477" s="4">
        <v>438054</v>
      </c>
      <c r="S5477" t="s">
        <v>21741</v>
      </c>
      <c r="T5477" s="6">
        <v>36434</v>
      </c>
      <c r="U5477" s="4">
        <v>178500</v>
      </c>
      <c r="X5477" t="s">
        <v>3</v>
      </c>
      <c r="AA5477" s="5" t="str">
        <f>HYPERLINK("https://www.zillow.com/homes/255-CHATHAM-LN-ROSELLE-IL-60172_rb/","check listing")</f>
        <v>check listing</v>
      </c>
      <c r="AB5477" s="5" t="str">
        <f>HYPERLINK("https://propertylookup.dupagecounty.gov/Datalets/Datalet.aspx?UseSearch=no&amp;mode=sales&amp;pin=0205405004","sales record")</f>
        <v>sales record</v>
      </c>
      <c r="AC5477" t="s">
        <v>3</v>
      </c>
      <c r="AD5477">
        <v>41.978026</v>
      </c>
      <c r="AE5477">
        <v>-88.113888</v>
      </c>
      <c r="AF5477" s="5" t="str">
        <f>HYPERLINK("https://www.google.com/maps/search/?api=1&amp;query=41.978026,-88.113888","map")</f>
        <v>map</v>
      </c>
    </row>
    <row r="5478" spans="1:32">
      <c r="A5478" t="s">
        <v>5528</v>
      </c>
      <c r="B5478" t="s">
        <v>13053</v>
      </c>
      <c r="C5478" t="s">
        <v>15830</v>
      </c>
      <c r="D5478" t="s">
        <v>16207</v>
      </c>
      <c r="E5478" t="s">
        <v>16218</v>
      </c>
      <c r="F5478" t="s">
        <v>16221</v>
      </c>
      <c r="G5478" t="s">
        <v>16241</v>
      </c>
      <c r="H5478" t="s">
        <v>16241</v>
      </c>
      <c r="I5478" t="s">
        <v>16355</v>
      </c>
      <c r="J5478" t="s">
        <v>16385</v>
      </c>
      <c r="K5478">
        <v>0.179</v>
      </c>
      <c r="L5478">
        <v>7812</v>
      </c>
      <c r="M5478">
        <v>1451</v>
      </c>
      <c r="N5478" t="s">
        <v>16393</v>
      </c>
      <c r="O5478" s="4">
        <v>38692</v>
      </c>
      <c r="P5478" s="4">
        <v>77599</v>
      </c>
      <c r="Q5478" s="4">
        <v>116291</v>
      </c>
      <c r="R5478" s="4">
        <v>348873</v>
      </c>
      <c r="S5478" t="s">
        <v>21742</v>
      </c>
      <c r="X5478" t="s">
        <v>3</v>
      </c>
      <c r="AA5478" s="5" t="str">
        <f>HYPERLINK("https://www.zillow.com/homes/985-W-BRYN-MAWR-AVE-ROSELLE-IL-60172_rb/","check listing")</f>
        <v>check listing</v>
      </c>
      <c r="AB5478" s="5" t="str">
        <f>HYPERLINK("https://propertylookup.dupagecounty.gov/Datalets/Datalet.aspx?UseSearch=no&amp;mode=sales&amp;pin=0209111001","sales record")</f>
        <v>sales record</v>
      </c>
      <c r="AC5478" t="s">
        <v>3</v>
      </c>
      <c r="AD5478">
        <v>41.972982</v>
      </c>
      <c r="AE5478">
        <v>-88.104687</v>
      </c>
      <c r="AF5478" s="5" t="str">
        <f>HYPERLINK("https://www.google.com/maps/search/?api=1&amp;query=41.972982,-88.104687","map")</f>
        <v>map</v>
      </c>
    </row>
    <row r="5479" spans="1:32">
      <c r="A5479" t="s">
        <v>5529</v>
      </c>
      <c r="B5479" t="s">
        <v>13054</v>
      </c>
      <c r="C5479" t="s">
        <v>15830</v>
      </c>
      <c r="D5479" t="s">
        <v>16207</v>
      </c>
      <c r="E5479" t="s">
        <v>16218</v>
      </c>
      <c r="F5479" t="s">
        <v>16221</v>
      </c>
      <c r="G5479" t="s">
        <v>16241</v>
      </c>
      <c r="H5479" t="s">
        <v>16241</v>
      </c>
      <c r="I5479" t="s">
        <v>16355</v>
      </c>
      <c r="J5479" t="s">
        <v>16385</v>
      </c>
      <c r="K5479">
        <v>0.179</v>
      </c>
      <c r="L5479">
        <v>7799</v>
      </c>
      <c r="M5479">
        <v>1582</v>
      </c>
      <c r="N5479" t="s">
        <v>16393</v>
      </c>
      <c r="O5479" s="4">
        <v>45278</v>
      </c>
      <c r="P5479" s="4">
        <v>84711</v>
      </c>
      <c r="Q5479" s="4">
        <v>129989</v>
      </c>
      <c r="R5479" s="4">
        <v>389967</v>
      </c>
      <c r="S5479" t="s">
        <v>21743</v>
      </c>
      <c r="T5479" s="6">
        <v>37773</v>
      </c>
      <c r="U5479" s="4">
        <v>250000</v>
      </c>
      <c r="V5479" t="s">
        <v>23739</v>
      </c>
      <c r="W5479" t="s">
        <v>26812</v>
      </c>
      <c r="X5479" t="s">
        <v>3</v>
      </c>
      <c r="AA5479" s="5" t="str">
        <f>HYPERLINK("https://www.zillow.com/homes/350-BRIGHTON-BAY-ROSELLE-IL-60172_rb/","check listing")</f>
        <v>check listing</v>
      </c>
      <c r="AB5479" s="5" t="str">
        <f>HYPERLINK("https://propertylookup.dupagecounty.gov/Datalets/Datalet.aspx?UseSearch=no&amp;mode=sales&amp;pin=0205401029","sales record")</f>
        <v>sales record</v>
      </c>
      <c r="AC5479" t="s">
        <v>3</v>
      </c>
      <c r="AD5479">
        <v>41.976126</v>
      </c>
      <c r="AE5479">
        <v>-88.115193</v>
      </c>
      <c r="AF5479" s="5" t="str">
        <f>HYPERLINK("https://www.google.com/maps/search/?api=1&amp;query=41.976126,-88.115193","map")</f>
        <v>map</v>
      </c>
    </row>
    <row r="5480" spans="1:32">
      <c r="A5480" t="s">
        <v>5530</v>
      </c>
      <c r="B5480" t="s">
        <v>13055</v>
      </c>
      <c r="C5480" t="s">
        <v>15830</v>
      </c>
      <c r="D5480" t="s">
        <v>16207</v>
      </c>
      <c r="E5480" t="s">
        <v>16218</v>
      </c>
      <c r="F5480" t="s">
        <v>16221</v>
      </c>
      <c r="G5480" t="s">
        <v>16241</v>
      </c>
      <c r="H5480" t="s">
        <v>16241</v>
      </c>
      <c r="I5480" t="s">
        <v>16355</v>
      </c>
      <c r="J5480" t="s">
        <v>16385</v>
      </c>
      <c r="K5480">
        <v>0.179</v>
      </c>
      <c r="L5480">
        <v>7793</v>
      </c>
      <c r="M5480">
        <v>2880</v>
      </c>
      <c r="N5480" t="s">
        <v>16393</v>
      </c>
      <c r="O5480" s="4">
        <v>45278</v>
      </c>
      <c r="P5480" s="4">
        <v>66567</v>
      </c>
      <c r="Q5480" s="4">
        <v>111845</v>
      </c>
      <c r="R5480" s="4">
        <v>335535</v>
      </c>
      <c r="S5480" t="s">
        <v>21744</v>
      </c>
      <c r="T5480" s="6">
        <v>33604</v>
      </c>
      <c r="U5480" s="4">
        <v>105000</v>
      </c>
      <c r="X5480" t="s">
        <v>3</v>
      </c>
      <c r="AA5480" s="5" t="str">
        <f>HYPERLINK("https://www.zillow.com/homes/1310-CHATHAM-LN-ROSELLE-IL-60172_rb/","check listing")</f>
        <v>check listing</v>
      </c>
      <c r="AB5480" s="5" t="str">
        <f>HYPERLINK("https://propertylookup.dupagecounty.gov/Datalets/Datalet.aspx?UseSearch=no&amp;mode=sales&amp;pin=0205401063","sales record")</f>
        <v>sales record</v>
      </c>
      <c r="AC5480" t="s">
        <v>3</v>
      </c>
      <c r="AD5480">
        <v>41.981456</v>
      </c>
      <c r="AE5480">
        <v>-88.11405499999999</v>
      </c>
      <c r="AF5480" s="5" t="str">
        <f>HYPERLINK("https://www.google.com/maps/search/?api=1&amp;query=41.981456,-88.114055","map")</f>
        <v>map</v>
      </c>
    </row>
    <row r="5481" spans="1:32">
      <c r="A5481" t="s">
        <v>5531</v>
      </c>
      <c r="B5481" t="s">
        <v>13056</v>
      </c>
      <c r="C5481" t="s">
        <v>15901</v>
      </c>
      <c r="D5481" t="s">
        <v>16207</v>
      </c>
      <c r="E5481" t="s">
        <v>16218</v>
      </c>
      <c r="F5481" t="s">
        <v>16221</v>
      </c>
      <c r="G5481" t="s">
        <v>16241</v>
      </c>
      <c r="H5481" t="s">
        <v>16241</v>
      </c>
      <c r="I5481" t="s">
        <v>16355</v>
      </c>
      <c r="J5481" t="s">
        <v>16385</v>
      </c>
      <c r="K5481">
        <v>0.179</v>
      </c>
      <c r="L5481">
        <v>7791</v>
      </c>
      <c r="M5481">
        <v>1979</v>
      </c>
      <c r="N5481" t="s">
        <v>16393</v>
      </c>
      <c r="O5481" s="4">
        <v>38692</v>
      </c>
      <c r="P5481" s="4">
        <v>77599</v>
      </c>
      <c r="Q5481" s="4">
        <v>116291</v>
      </c>
      <c r="R5481" s="4">
        <v>348873</v>
      </c>
      <c r="S5481" t="s">
        <v>21745</v>
      </c>
      <c r="T5481" s="6">
        <v>38108</v>
      </c>
      <c r="U5481" s="4">
        <v>239000</v>
      </c>
      <c r="V5481" t="s">
        <v>23739</v>
      </c>
      <c r="W5481" t="s">
        <v>26813</v>
      </c>
      <c r="X5481" t="s">
        <v>3</v>
      </c>
      <c r="AA5481" s="5" t="str">
        <f>HYPERLINK("https://www.zillow.com/homes/621-STAFFORD-DR-ROSELLE-IL-601722748_rb/","check listing")</f>
        <v>check listing</v>
      </c>
      <c r="AB5481" s="5" t="str">
        <f>HYPERLINK("https://propertylookup.dupagecounty.gov/Datalets/Datalet.aspx?UseSearch=no&amp;mode=sales&amp;pin=0209121010","sales record")</f>
        <v>sales record</v>
      </c>
      <c r="AC5481" t="s">
        <v>3</v>
      </c>
      <c r="AD5481">
        <v>41.971412</v>
      </c>
      <c r="AE5481">
        <v>-88.108431</v>
      </c>
      <c r="AF5481" s="5" t="str">
        <f>HYPERLINK("https://www.google.com/maps/search/?api=1&amp;query=41.971412,-88.108431","map")</f>
        <v>map</v>
      </c>
    </row>
    <row r="5482" spans="1:32">
      <c r="A5482" t="s">
        <v>5532</v>
      </c>
      <c r="B5482" t="s">
        <v>13057</v>
      </c>
      <c r="C5482" t="s">
        <v>15830</v>
      </c>
      <c r="D5482" t="s">
        <v>16207</v>
      </c>
      <c r="E5482" t="s">
        <v>16218</v>
      </c>
      <c r="F5482" t="s">
        <v>16221</v>
      </c>
      <c r="G5482" t="s">
        <v>16241</v>
      </c>
      <c r="H5482" t="s">
        <v>16241</v>
      </c>
      <c r="I5482" t="s">
        <v>16355</v>
      </c>
      <c r="J5482" t="s">
        <v>16385</v>
      </c>
      <c r="K5482">
        <v>0.179</v>
      </c>
      <c r="L5482">
        <v>7788</v>
      </c>
      <c r="M5482">
        <v>2275</v>
      </c>
      <c r="N5482" t="s">
        <v>16393</v>
      </c>
      <c r="O5482" s="4">
        <v>45278</v>
      </c>
      <c r="P5482" s="4">
        <v>90341</v>
      </c>
      <c r="Q5482" s="4">
        <v>135619</v>
      </c>
      <c r="R5482" s="4">
        <v>406857</v>
      </c>
      <c r="S5482" t="s">
        <v>21746</v>
      </c>
      <c r="T5482" s="6">
        <v>31929</v>
      </c>
      <c r="U5482" s="4">
        <v>115000</v>
      </c>
      <c r="X5482" t="s">
        <v>3</v>
      </c>
      <c r="AA5482" s="5" t="str">
        <f>HYPERLINK("https://www.zillow.com/homes/220-CHATHAM-LN-ROSELLE-IL-60172_rb/","check listing")</f>
        <v>check listing</v>
      </c>
      <c r="AB5482" s="5" t="str">
        <f>HYPERLINK("https://propertylookup.dupagecounty.gov/Datalets/Datalet.aspx?UseSearch=no&amp;mode=sales&amp;pin=0205401016","sales record")</f>
        <v>sales record</v>
      </c>
      <c r="AC5482" t="s">
        <v>3</v>
      </c>
      <c r="AD5482">
        <v>41.97852</v>
      </c>
      <c r="AE5482">
        <v>-88.115127</v>
      </c>
      <c r="AF5482" s="5" t="str">
        <f>HYPERLINK("https://www.google.com/maps/search/?api=1&amp;query=41.97852,-88.115127","map")</f>
        <v>map</v>
      </c>
    </row>
    <row r="5483" spans="1:32">
      <c r="A5483" t="s">
        <v>5533</v>
      </c>
      <c r="B5483" t="s">
        <v>13058</v>
      </c>
      <c r="C5483" t="s">
        <v>15830</v>
      </c>
      <c r="D5483" t="s">
        <v>16207</v>
      </c>
      <c r="E5483" t="s">
        <v>16218</v>
      </c>
      <c r="F5483" t="s">
        <v>16221</v>
      </c>
      <c r="G5483" t="s">
        <v>16241</v>
      </c>
      <c r="H5483" t="s">
        <v>16241</v>
      </c>
      <c r="I5483" t="s">
        <v>16355</v>
      </c>
      <c r="J5483" t="s">
        <v>16385</v>
      </c>
      <c r="K5483">
        <v>0.179</v>
      </c>
      <c r="L5483">
        <v>7778</v>
      </c>
      <c r="M5483">
        <v>1930</v>
      </c>
      <c r="N5483" t="s">
        <v>16393</v>
      </c>
      <c r="O5483" s="4">
        <v>45278</v>
      </c>
      <c r="P5483" s="4">
        <v>77599</v>
      </c>
      <c r="Q5483" s="4">
        <v>122877</v>
      </c>
      <c r="R5483" s="4">
        <v>368631</v>
      </c>
      <c r="S5483" t="s">
        <v>21747</v>
      </c>
      <c r="T5483" s="6">
        <v>41518</v>
      </c>
      <c r="U5483" s="4">
        <v>237500</v>
      </c>
      <c r="V5483" t="s">
        <v>23739</v>
      </c>
      <c r="W5483" t="s">
        <v>26814</v>
      </c>
      <c r="X5483" t="s">
        <v>3</v>
      </c>
      <c r="AA5483" s="5" t="str">
        <f>HYPERLINK("https://www.zillow.com/homes/1236-ANDOVER-DR-ROSELLE-IL-60172_rb/","check listing")</f>
        <v>check listing</v>
      </c>
      <c r="AB5483" s="5" t="str">
        <f>HYPERLINK("https://propertylookup.dupagecounty.gov/Datalets/Datalet.aspx?UseSearch=no&amp;mode=sales&amp;pin=0205409011","sales record")</f>
        <v>sales record</v>
      </c>
      <c r="AC5483" t="s">
        <v>3</v>
      </c>
      <c r="AD5483">
        <v>41.980718</v>
      </c>
      <c r="AE5483">
        <v>-88.11169599999999</v>
      </c>
      <c r="AF5483" s="5" t="str">
        <f>HYPERLINK("https://www.google.com/maps/search/?api=1&amp;query=41.980718,-88.111696","map")</f>
        <v>map</v>
      </c>
    </row>
    <row r="5484" spans="1:32">
      <c r="A5484" t="s">
        <v>5534</v>
      </c>
      <c r="B5484" t="s">
        <v>13059</v>
      </c>
      <c r="C5484" t="s">
        <v>15830</v>
      </c>
      <c r="D5484" t="s">
        <v>16207</v>
      </c>
      <c r="E5484" t="s">
        <v>16218</v>
      </c>
      <c r="F5484" t="s">
        <v>16221</v>
      </c>
      <c r="G5484" t="s">
        <v>16241</v>
      </c>
      <c r="H5484" t="s">
        <v>16241</v>
      </c>
      <c r="I5484" t="s">
        <v>16355</v>
      </c>
      <c r="J5484" t="s">
        <v>16385</v>
      </c>
      <c r="K5484">
        <v>0.179</v>
      </c>
      <c r="L5484">
        <v>7777</v>
      </c>
      <c r="M5484">
        <v>1846</v>
      </c>
      <c r="N5484" t="s">
        <v>16393</v>
      </c>
      <c r="O5484" s="4">
        <v>45278</v>
      </c>
      <c r="P5484" s="4">
        <v>83911</v>
      </c>
      <c r="Q5484" s="4">
        <v>129189</v>
      </c>
      <c r="R5484" s="4">
        <v>387567</v>
      </c>
      <c r="S5484" t="s">
        <v>21748</v>
      </c>
      <c r="T5484" s="6">
        <v>31352</v>
      </c>
      <c r="U5484" s="4">
        <v>87000</v>
      </c>
      <c r="X5484" t="s">
        <v>3</v>
      </c>
      <c r="AA5484" s="5" t="str">
        <f>HYPERLINK("https://www.zillow.com/homes/1290-PEMBROOK-CIR-ROSELLE-IL-60172_rb/","check listing")</f>
        <v>check listing</v>
      </c>
      <c r="AB5484" s="5" t="str">
        <f>HYPERLINK("https://propertylookup.dupagecounty.gov/Datalets/Datalet.aspx?UseSearch=no&amp;mode=sales&amp;pin=0205402007","sales record")</f>
        <v>sales record</v>
      </c>
      <c r="AC5484" t="s">
        <v>3</v>
      </c>
      <c r="AD5484">
        <v>41.980683</v>
      </c>
      <c r="AE5484">
        <v>-88.113535</v>
      </c>
      <c r="AF5484" s="5" t="str">
        <f>HYPERLINK("https://www.google.com/maps/search/?api=1&amp;query=41.980683,-88.113535","map")</f>
        <v>map</v>
      </c>
    </row>
    <row r="5485" spans="1:32">
      <c r="A5485" t="s">
        <v>5535</v>
      </c>
      <c r="B5485" t="s">
        <v>13060</v>
      </c>
      <c r="C5485" t="s">
        <v>15830</v>
      </c>
      <c r="D5485" t="s">
        <v>16207</v>
      </c>
      <c r="E5485" t="s">
        <v>16218</v>
      </c>
      <c r="F5485" t="s">
        <v>16221</v>
      </c>
      <c r="G5485" t="s">
        <v>16241</v>
      </c>
      <c r="H5485" t="s">
        <v>16241</v>
      </c>
      <c r="I5485" t="s">
        <v>16355</v>
      </c>
      <c r="J5485" t="s">
        <v>16385</v>
      </c>
      <c r="K5485">
        <v>0.178</v>
      </c>
      <c r="L5485">
        <v>7751</v>
      </c>
      <c r="M5485">
        <v>1847</v>
      </c>
      <c r="N5485" t="s">
        <v>16393</v>
      </c>
      <c r="O5485" s="4">
        <v>45278</v>
      </c>
      <c r="P5485" s="4">
        <v>105521</v>
      </c>
      <c r="Q5485" s="4">
        <v>150799</v>
      </c>
      <c r="R5485" s="4">
        <v>452397</v>
      </c>
      <c r="S5485" t="s">
        <v>21749</v>
      </c>
      <c r="T5485" s="6">
        <v>45007</v>
      </c>
      <c r="U5485" s="4">
        <v>465000</v>
      </c>
      <c r="V5485" t="s">
        <v>23739</v>
      </c>
      <c r="W5485" t="s">
        <v>26815</v>
      </c>
      <c r="X5485" t="s">
        <v>3</v>
      </c>
      <c r="AA5485" s="5" t="str">
        <f>HYPERLINK("https://www.zillow.com/homes/1105-COLONY-LN-ROSELLE-IL-60172_rb/","check listing")</f>
        <v>check listing</v>
      </c>
      <c r="AB5485" s="5" t="str">
        <f>HYPERLINK("https://propertylookup.dupagecounty.gov/Datalets/Datalet.aspx?UseSearch=no&amp;mode=sales&amp;pin=0204309039","sales record")</f>
        <v>sales record</v>
      </c>
      <c r="AC5485" t="s">
        <v>3</v>
      </c>
      <c r="AD5485">
        <v>41.980037</v>
      </c>
      <c r="AE5485">
        <v>-88.108276</v>
      </c>
      <c r="AF5485" s="5" t="str">
        <f>HYPERLINK("https://www.google.com/maps/search/?api=1&amp;query=41.980037,-88.108276","map")</f>
        <v>map</v>
      </c>
    </row>
    <row r="5486" spans="1:32">
      <c r="A5486" t="s">
        <v>5536</v>
      </c>
      <c r="B5486" t="s">
        <v>13061</v>
      </c>
      <c r="C5486" t="s">
        <v>15902</v>
      </c>
      <c r="D5486" t="s">
        <v>16207</v>
      </c>
      <c r="E5486" t="s">
        <v>16218</v>
      </c>
      <c r="F5486" t="s">
        <v>16221</v>
      </c>
      <c r="G5486" t="s">
        <v>16241</v>
      </c>
      <c r="H5486" t="s">
        <v>16241</v>
      </c>
      <c r="I5486" t="s">
        <v>16355</v>
      </c>
      <c r="J5486" t="s">
        <v>16385</v>
      </c>
      <c r="K5486">
        <v>0.178</v>
      </c>
      <c r="L5486">
        <v>7750</v>
      </c>
      <c r="M5486">
        <v>2188</v>
      </c>
      <c r="N5486" t="s">
        <v>16393</v>
      </c>
      <c r="O5486" s="4">
        <v>45278</v>
      </c>
      <c r="P5486" s="4">
        <v>94309</v>
      </c>
      <c r="Q5486" s="4">
        <v>139587</v>
      </c>
      <c r="R5486" s="4">
        <v>418761</v>
      </c>
      <c r="S5486" t="s">
        <v>21750</v>
      </c>
      <c r="T5486" s="6">
        <v>44348</v>
      </c>
      <c r="U5486" s="4">
        <v>240303</v>
      </c>
      <c r="V5486" t="s">
        <v>23742</v>
      </c>
      <c r="W5486" t="s">
        <v>21750</v>
      </c>
      <c r="X5486" t="s">
        <v>3</v>
      </c>
      <c r="AA5486" s="5" t="str">
        <f>HYPERLINK("https://www.zillow.com/homes/430-FORDHAM-PL-ROSELLE-IL-601722811_rb/","check listing")</f>
        <v>check listing</v>
      </c>
      <c r="AB5486" s="5" t="str">
        <f>HYPERLINK("https://propertylookup.dupagecounty.gov/Datalets/Datalet.aspx?UseSearch=no&amp;mode=sales&amp;pin=0209115008","sales record")</f>
        <v>sales record</v>
      </c>
      <c r="AC5486" t="s">
        <v>3</v>
      </c>
      <c r="AD5486">
        <v>41.97505</v>
      </c>
      <c r="AE5486">
        <v>-88.10211099999999</v>
      </c>
      <c r="AF5486" s="5" t="str">
        <f>HYPERLINK("https://www.google.com/maps/search/?api=1&amp;query=41.97505,-88.102111","map")</f>
        <v>map</v>
      </c>
    </row>
    <row r="5487" spans="1:32">
      <c r="A5487" t="s">
        <v>5537</v>
      </c>
      <c r="B5487" t="s">
        <v>13062</v>
      </c>
      <c r="C5487" t="s">
        <v>15830</v>
      </c>
      <c r="D5487" t="s">
        <v>16207</v>
      </c>
      <c r="E5487" t="s">
        <v>16218</v>
      </c>
      <c r="F5487" t="s">
        <v>16221</v>
      </c>
      <c r="G5487" t="s">
        <v>16241</v>
      </c>
      <c r="H5487" t="s">
        <v>16241</v>
      </c>
      <c r="I5487" t="s">
        <v>16355</v>
      </c>
      <c r="J5487" t="s">
        <v>16385</v>
      </c>
      <c r="K5487">
        <v>0.178</v>
      </c>
      <c r="L5487">
        <v>7738</v>
      </c>
      <c r="M5487">
        <v>2568</v>
      </c>
      <c r="N5487" t="s">
        <v>16393</v>
      </c>
      <c r="O5487" s="4">
        <v>45278</v>
      </c>
      <c r="P5487" s="4">
        <v>111319</v>
      </c>
      <c r="Q5487" s="4">
        <v>156597</v>
      </c>
      <c r="R5487" s="4">
        <v>469791</v>
      </c>
      <c r="S5487" t="s">
        <v>21751</v>
      </c>
      <c r="X5487" t="s">
        <v>3</v>
      </c>
      <c r="AA5487" s="5" t="str">
        <f>HYPERLINK("https://www.zillow.com/homes/150-CHATHAM-LN-ROSELLE-IL-60172_rb/","check listing")</f>
        <v>check listing</v>
      </c>
      <c r="AB5487" s="5" t="str">
        <f>HYPERLINK("https://propertylookup.dupagecounty.gov/Datalets/Datalet.aspx?UseSearch=no&amp;mode=sales&amp;pin=0205401009","sales record")</f>
        <v>sales record</v>
      </c>
      <c r="AC5487" t="s">
        <v>3</v>
      </c>
      <c r="AD5487">
        <v>41.979775</v>
      </c>
      <c r="AE5487">
        <v>-88.115111</v>
      </c>
      <c r="AF5487" s="5" t="str">
        <f>HYPERLINK("https://www.google.com/maps/search/?api=1&amp;query=41.979775,-88.115111","map")</f>
        <v>map</v>
      </c>
    </row>
    <row r="5488" spans="1:32">
      <c r="A5488" t="s">
        <v>5538</v>
      </c>
      <c r="B5488" t="s">
        <v>13063</v>
      </c>
      <c r="C5488" t="s">
        <v>15830</v>
      </c>
      <c r="D5488" t="s">
        <v>16207</v>
      </c>
      <c r="E5488" t="s">
        <v>16218</v>
      </c>
      <c r="F5488" t="s">
        <v>16221</v>
      </c>
      <c r="G5488" t="s">
        <v>16241</v>
      </c>
      <c r="H5488" t="s">
        <v>16241</v>
      </c>
      <c r="I5488" t="s">
        <v>16355</v>
      </c>
      <c r="J5488" t="s">
        <v>16385</v>
      </c>
      <c r="K5488">
        <v>0.178</v>
      </c>
      <c r="L5488">
        <v>7737</v>
      </c>
      <c r="M5488">
        <v>1845</v>
      </c>
      <c r="N5488" t="s">
        <v>16393</v>
      </c>
      <c r="O5488" s="4">
        <v>45278</v>
      </c>
      <c r="P5488" s="4">
        <v>104959</v>
      </c>
      <c r="Q5488" s="4">
        <v>150237</v>
      </c>
      <c r="R5488" s="4">
        <v>450711</v>
      </c>
      <c r="S5488" t="s">
        <v>21752</v>
      </c>
      <c r="T5488" s="6">
        <v>31533</v>
      </c>
      <c r="U5488" s="4">
        <v>117900</v>
      </c>
      <c r="X5488" t="s">
        <v>3</v>
      </c>
      <c r="AA5488" s="5" t="str">
        <f>HYPERLINK("https://www.zillow.com/homes/610-EDENWOOD-DR-ROSELLE-IL-60172_rb/","check listing")</f>
        <v>check listing</v>
      </c>
      <c r="AB5488" s="5" t="str">
        <f>HYPERLINK("https://propertylookup.dupagecounty.gov/Datalets/Datalet.aspx?UseSearch=no&amp;mode=sales&amp;pin=0209202041","sales record")</f>
        <v>sales record</v>
      </c>
      <c r="AC5488" t="s">
        <v>3</v>
      </c>
      <c r="AD5488">
        <v>41.972668</v>
      </c>
      <c r="AE5488">
        <v>-88.095968</v>
      </c>
      <c r="AF5488" s="5" t="str">
        <f>HYPERLINK("https://www.google.com/maps/search/?api=1&amp;query=41.972668,-88.095968","map")</f>
        <v>map</v>
      </c>
    </row>
    <row r="5489" spans="1:32">
      <c r="A5489" t="s">
        <v>5539</v>
      </c>
      <c r="B5489" t="s">
        <v>13064</v>
      </c>
      <c r="C5489" t="s">
        <v>15830</v>
      </c>
      <c r="D5489" t="s">
        <v>16207</v>
      </c>
      <c r="E5489" t="s">
        <v>16218</v>
      </c>
      <c r="F5489" t="s">
        <v>16221</v>
      </c>
      <c r="G5489" t="s">
        <v>16241</v>
      </c>
      <c r="H5489" t="s">
        <v>16241</v>
      </c>
      <c r="I5489" t="s">
        <v>16355</v>
      </c>
      <c r="J5489" t="s">
        <v>16385</v>
      </c>
      <c r="K5489">
        <v>0.178</v>
      </c>
      <c r="L5489">
        <v>7736</v>
      </c>
      <c r="M5489">
        <v>1847</v>
      </c>
      <c r="N5489" t="s">
        <v>16393</v>
      </c>
      <c r="O5489" s="4">
        <v>45278</v>
      </c>
      <c r="P5489" s="4">
        <v>87210</v>
      </c>
      <c r="Q5489" s="4">
        <v>132488</v>
      </c>
      <c r="R5489" s="4">
        <v>397464</v>
      </c>
      <c r="S5489" t="s">
        <v>21753</v>
      </c>
      <c r="X5489" t="s">
        <v>3</v>
      </c>
      <c r="AA5489" s="5" t="str">
        <f>HYPERLINK("https://www.zillow.com/homes/340-HAMSTEAD-CT-ROSELLE-IL-60172_rb/","check listing")</f>
        <v>check listing</v>
      </c>
      <c r="AB5489" s="5" t="str">
        <f>HYPERLINK("https://propertylookup.dupagecounty.gov/Datalets/Datalet.aspx?UseSearch=no&amp;mode=sales&amp;pin=0205407007","sales record")</f>
        <v>sales record</v>
      </c>
      <c r="AC5489" t="s">
        <v>3</v>
      </c>
      <c r="AD5489">
        <v>41.976274</v>
      </c>
      <c r="AE5489">
        <v>-88.11228</v>
      </c>
      <c r="AF5489" s="5" t="str">
        <f>HYPERLINK("https://www.google.com/maps/search/?api=1&amp;query=41.976274,-88.11228","map")</f>
        <v>map</v>
      </c>
    </row>
    <row r="5490" spans="1:32">
      <c r="A5490" t="s">
        <v>5540</v>
      </c>
      <c r="B5490" t="s">
        <v>13065</v>
      </c>
      <c r="C5490" t="s">
        <v>15830</v>
      </c>
      <c r="D5490" t="s">
        <v>16207</v>
      </c>
      <c r="E5490" t="s">
        <v>16218</v>
      </c>
      <c r="F5490" t="s">
        <v>16221</v>
      </c>
      <c r="G5490" t="s">
        <v>16241</v>
      </c>
      <c r="H5490" t="s">
        <v>16241</v>
      </c>
      <c r="I5490" t="s">
        <v>16355</v>
      </c>
      <c r="J5490" t="s">
        <v>16385</v>
      </c>
      <c r="K5490">
        <v>0.178</v>
      </c>
      <c r="L5490">
        <v>7734</v>
      </c>
      <c r="M5490">
        <v>1979</v>
      </c>
      <c r="N5490" t="s">
        <v>16393</v>
      </c>
      <c r="O5490" s="4">
        <v>45278</v>
      </c>
      <c r="P5490" s="4">
        <v>95660</v>
      </c>
      <c r="Q5490" s="4">
        <v>140938</v>
      </c>
      <c r="R5490" s="4">
        <v>422814</v>
      </c>
      <c r="S5490" t="s">
        <v>21754</v>
      </c>
      <c r="T5490" s="6">
        <v>37104</v>
      </c>
      <c r="U5490" s="4">
        <v>255000</v>
      </c>
      <c r="V5490" t="s">
        <v>23739</v>
      </c>
      <c r="W5490" t="s">
        <v>26816</v>
      </c>
      <c r="X5490" t="s">
        <v>3</v>
      </c>
      <c r="AA5490" s="5" t="str">
        <f>HYPERLINK("https://www.zillow.com/homes/290-HAMSTEAD-CT-ROSELLE-IL-60172_rb/","check listing")</f>
        <v>check listing</v>
      </c>
      <c r="AB5490" s="5" t="str">
        <f>HYPERLINK("https://propertylookup.dupagecounty.gov/Datalets/Datalet.aspx?UseSearch=no&amp;mode=sales&amp;pin=0205407001","sales record")</f>
        <v>sales record</v>
      </c>
      <c r="AC5490" t="s">
        <v>3</v>
      </c>
      <c r="AD5490">
        <v>41.977393</v>
      </c>
      <c r="AE5490">
        <v>-88.111846</v>
      </c>
      <c r="AF5490" s="5" t="str">
        <f>HYPERLINK("https://www.google.com/maps/search/?api=1&amp;query=41.977393,-88.111846","map")</f>
        <v>map</v>
      </c>
    </row>
    <row r="5491" spans="1:32">
      <c r="A5491" t="s">
        <v>5541</v>
      </c>
      <c r="B5491" t="s">
        <v>13066</v>
      </c>
      <c r="C5491" t="s">
        <v>15873</v>
      </c>
      <c r="D5491" t="s">
        <v>16207</v>
      </c>
      <c r="E5491" t="s">
        <v>16218</v>
      </c>
      <c r="F5491" t="s">
        <v>16221</v>
      </c>
      <c r="G5491" t="s">
        <v>16241</v>
      </c>
      <c r="H5491" t="s">
        <v>16241</v>
      </c>
      <c r="I5491" t="s">
        <v>16355</v>
      </c>
      <c r="J5491" t="s">
        <v>16385</v>
      </c>
      <c r="K5491">
        <v>0.178</v>
      </c>
      <c r="L5491">
        <v>7734</v>
      </c>
      <c r="M5491">
        <v>2359</v>
      </c>
      <c r="N5491" t="s">
        <v>16393</v>
      </c>
      <c r="O5491" s="4">
        <v>45278</v>
      </c>
      <c r="P5491" s="4">
        <v>115144</v>
      </c>
      <c r="Q5491" s="4">
        <v>160422</v>
      </c>
      <c r="R5491" s="4">
        <v>481266</v>
      </c>
      <c r="S5491" t="s">
        <v>21755</v>
      </c>
      <c r="T5491" s="6">
        <v>35186</v>
      </c>
      <c r="U5491" s="4">
        <v>169500</v>
      </c>
      <c r="X5491" t="s">
        <v>3</v>
      </c>
      <c r="AA5491" s="5" t="str">
        <f>HYPERLINK("https://www.zillow.com/homes/260-CHATHAM-LN-ROSELLE-IL-601721617_rb/","check listing")</f>
        <v>check listing</v>
      </c>
      <c r="AB5491" s="5" t="str">
        <f>HYPERLINK("https://propertylookup.dupagecounty.gov/Datalets/Datalet.aspx?UseSearch=no&amp;mode=sales&amp;pin=0205401020","sales record")</f>
        <v>sales record</v>
      </c>
      <c r="AC5491" t="s">
        <v>3</v>
      </c>
      <c r="AD5491">
        <v>41.977829</v>
      </c>
      <c r="AE5491">
        <v>-88.115156</v>
      </c>
      <c r="AF5491" s="5" t="str">
        <f>HYPERLINK("https://www.google.com/maps/search/?api=1&amp;query=41.977829,-88.115156","map")</f>
        <v>map</v>
      </c>
    </row>
    <row r="5492" spans="1:32">
      <c r="A5492" t="s">
        <v>5542</v>
      </c>
      <c r="B5492" t="s">
        <v>13067</v>
      </c>
      <c r="C5492" t="s">
        <v>15830</v>
      </c>
      <c r="D5492" t="s">
        <v>16207</v>
      </c>
      <c r="E5492" t="s">
        <v>16218</v>
      </c>
      <c r="F5492" t="s">
        <v>16221</v>
      </c>
      <c r="G5492" t="s">
        <v>16241</v>
      </c>
      <c r="H5492" t="s">
        <v>16241</v>
      </c>
      <c r="I5492" t="s">
        <v>16355</v>
      </c>
      <c r="J5492" t="s">
        <v>16385</v>
      </c>
      <c r="K5492">
        <v>0.177</v>
      </c>
      <c r="L5492">
        <v>7730</v>
      </c>
      <c r="M5492">
        <v>528</v>
      </c>
      <c r="N5492" t="s">
        <v>16393</v>
      </c>
      <c r="O5492" s="4">
        <v>45278</v>
      </c>
      <c r="P5492" s="4">
        <v>95719</v>
      </c>
      <c r="Q5492" s="4">
        <v>140997</v>
      </c>
      <c r="R5492" s="4">
        <v>422991</v>
      </c>
      <c r="S5492" t="s">
        <v>21756</v>
      </c>
      <c r="X5492" t="s">
        <v>3</v>
      </c>
      <c r="AA5492" s="5" t="str">
        <f>HYPERLINK("https://www.zillow.com/homes/530-DALTON-LN-ROSELLE-IL-60172_rb/","check listing")</f>
        <v>check listing</v>
      </c>
      <c r="AB5492" s="5" t="str">
        <f>HYPERLINK("https://propertylookup.dupagecounty.gov/Datalets/Datalet.aspx?UseSearch=no&amp;mode=sales&amp;pin=0209209015","sales record")</f>
        <v>sales record</v>
      </c>
      <c r="AC5492" t="s">
        <v>3</v>
      </c>
      <c r="AD5492">
        <v>41.973271</v>
      </c>
      <c r="AE5492">
        <v>-88.099829</v>
      </c>
      <c r="AF5492" s="5" t="str">
        <f>HYPERLINK("https://www.google.com/maps/search/?api=1&amp;query=41.973271,-88.099829","map")</f>
        <v>map</v>
      </c>
    </row>
    <row r="5493" spans="1:32">
      <c r="A5493" t="s">
        <v>5543</v>
      </c>
      <c r="B5493" t="s">
        <v>13068</v>
      </c>
      <c r="C5493" t="s">
        <v>15830</v>
      </c>
      <c r="D5493" t="s">
        <v>16207</v>
      </c>
      <c r="E5493" t="s">
        <v>16218</v>
      </c>
      <c r="F5493" t="s">
        <v>16221</v>
      </c>
      <c r="G5493" t="s">
        <v>16241</v>
      </c>
      <c r="H5493" t="s">
        <v>16241</v>
      </c>
      <c r="I5493" t="s">
        <v>16355</v>
      </c>
      <c r="J5493" t="s">
        <v>16385</v>
      </c>
      <c r="K5493">
        <v>0.177</v>
      </c>
      <c r="L5493">
        <v>7726</v>
      </c>
      <c r="M5493">
        <v>1583</v>
      </c>
      <c r="N5493" t="s">
        <v>16393</v>
      </c>
      <c r="O5493" s="4">
        <v>38692</v>
      </c>
      <c r="P5493" s="4">
        <v>78878</v>
      </c>
      <c r="Q5493" s="4">
        <v>117570</v>
      </c>
      <c r="R5493" s="4">
        <v>352710</v>
      </c>
      <c r="S5493" t="s">
        <v>21757</v>
      </c>
      <c r="T5493" s="6">
        <v>40848</v>
      </c>
      <c r="U5493" s="4">
        <v>152000</v>
      </c>
      <c r="V5493" t="s">
        <v>16232</v>
      </c>
      <c r="W5493" t="s">
        <v>21757</v>
      </c>
      <c r="X5493" t="s">
        <v>3</v>
      </c>
      <c r="AA5493" s="5" t="str">
        <f>HYPERLINK("https://www.zillow.com/homes/1195-DARBY-LN-ROSELLE-IL-60172_rb/","check listing")</f>
        <v>check listing</v>
      </c>
      <c r="AB5493" s="5" t="str">
        <f>HYPERLINK("https://propertylookup.dupagecounty.gov/Datalets/Datalet.aspx?UseSearch=no&amp;mode=sales&amp;pin=0204309067","sales record")</f>
        <v>sales record</v>
      </c>
      <c r="AC5493" t="s">
        <v>3</v>
      </c>
      <c r="AD5493">
        <v>41.977582</v>
      </c>
      <c r="AE5493">
        <v>-88.110068</v>
      </c>
      <c r="AF5493" s="5" t="str">
        <f>HYPERLINK("https://www.google.com/maps/search/?api=1&amp;query=41.977582,-88.110068","map")</f>
        <v>map</v>
      </c>
    </row>
    <row r="5494" spans="1:32">
      <c r="A5494" t="s">
        <v>5544</v>
      </c>
      <c r="B5494" t="s">
        <v>13069</v>
      </c>
      <c r="C5494" t="s">
        <v>15903</v>
      </c>
      <c r="D5494" t="s">
        <v>16207</v>
      </c>
      <c r="E5494" t="s">
        <v>16218</v>
      </c>
      <c r="F5494" t="s">
        <v>16221</v>
      </c>
      <c r="G5494" t="s">
        <v>16241</v>
      </c>
      <c r="H5494" t="s">
        <v>16241</v>
      </c>
      <c r="I5494" t="s">
        <v>16355</v>
      </c>
      <c r="J5494" t="s">
        <v>16385</v>
      </c>
      <c r="K5494">
        <v>0.177</v>
      </c>
      <c r="L5494">
        <v>7716</v>
      </c>
      <c r="N5494" t="s">
        <v>16393</v>
      </c>
      <c r="O5494" s="4">
        <v>39672</v>
      </c>
      <c r="P5494" s="4">
        <v>180041</v>
      </c>
      <c r="Q5494" s="4">
        <v>219713</v>
      </c>
      <c r="R5494" s="4">
        <v>659139</v>
      </c>
      <c r="S5494" t="s">
        <v>21758</v>
      </c>
      <c r="T5494" s="6">
        <v>45769</v>
      </c>
      <c r="U5494" s="4">
        <v>710000</v>
      </c>
      <c r="V5494" t="s">
        <v>23739</v>
      </c>
      <c r="W5494" t="s">
        <v>26817</v>
      </c>
      <c r="X5494" t="s">
        <v>3</v>
      </c>
      <c r="AA5494" s="5" t="str">
        <f>HYPERLINK("https://www.zillow.com/homes/570-FRANCESCA-LN-ROSELLE-IL-601722808_rb/","check listing")</f>
        <v>check listing</v>
      </c>
      <c r="AB5494" s="5" t="str">
        <f>HYPERLINK("https://propertylookup.dupagecounty.gov/Datalets/Datalet.aspx?UseSearch=no&amp;mode=sales&amp;pin=0208204043","sales record")</f>
        <v>sales record</v>
      </c>
      <c r="AC5494" t="s">
        <v>3</v>
      </c>
      <c r="AD5494">
        <v>41.971313</v>
      </c>
      <c r="AE5494">
        <v>-88.11421300000001</v>
      </c>
      <c r="AF5494" s="5" t="str">
        <f>HYPERLINK("https://www.google.com/maps/search/?api=1&amp;query=41.971313,-88.114213","map")</f>
        <v>map</v>
      </c>
    </row>
    <row r="5495" spans="1:32">
      <c r="A5495" t="s">
        <v>5545</v>
      </c>
      <c r="B5495" t="s">
        <v>13070</v>
      </c>
      <c r="C5495" t="s">
        <v>15830</v>
      </c>
      <c r="D5495" t="s">
        <v>16207</v>
      </c>
      <c r="E5495" t="s">
        <v>16218</v>
      </c>
      <c r="F5495" t="s">
        <v>16221</v>
      </c>
      <c r="G5495" t="s">
        <v>16241</v>
      </c>
      <c r="H5495" t="s">
        <v>16241</v>
      </c>
      <c r="I5495" t="s">
        <v>16355</v>
      </c>
      <c r="J5495" t="s">
        <v>16385</v>
      </c>
      <c r="K5495">
        <v>0.177</v>
      </c>
      <c r="L5495">
        <v>7706</v>
      </c>
      <c r="M5495">
        <v>1502</v>
      </c>
      <c r="N5495" t="s">
        <v>16393</v>
      </c>
      <c r="O5495" s="4">
        <v>45278</v>
      </c>
      <c r="P5495" s="4">
        <v>109155</v>
      </c>
      <c r="Q5495" s="4">
        <v>154433</v>
      </c>
      <c r="R5495" s="4">
        <v>463299</v>
      </c>
      <c r="S5495" t="s">
        <v>21759</v>
      </c>
      <c r="T5495" s="6">
        <v>31260</v>
      </c>
      <c r="U5495" s="4">
        <v>106000</v>
      </c>
      <c r="X5495" t="s">
        <v>3</v>
      </c>
      <c r="AA5495" s="5" t="str">
        <f>HYPERLINK("https://www.zillow.com/homes/275-STOCKPORT-CT-ROSELLE-IL-60172_rb/","check listing")</f>
        <v>check listing</v>
      </c>
      <c r="AB5495" s="5" t="str">
        <f>HYPERLINK("https://propertylookup.dupagecounty.gov/Datalets/Datalet.aspx?UseSearch=no&amp;mode=sales&amp;pin=0205405010","sales record")</f>
        <v>sales record</v>
      </c>
      <c r="AC5495" t="s">
        <v>3</v>
      </c>
      <c r="AD5495">
        <v>41.977719</v>
      </c>
      <c r="AE5495">
        <v>-88.113601</v>
      </c>
      <c r="AF5495" s="5" t="str">
        <f>HYPERLINK("https://www.google.com/maps/search/?api=1&amp;query=41.977719,-88.113601","map")</f>
        <v>map</v>
      </c>
    </row>
    <row r="5496" spans="1:32">
      <c r="A5496" t="s">
        <v>5546</v>
      </c>
      <c r="B5496" t="s">
        <v>13071</v>
      </c>
      <c r="C5496" t="s">
        <v>15830</v>
      </c>
      <c r="D5496" t="s">
        <v>16207</v>
      </c>
      <c r="E5496" t="s">
        <v>16218</v>
      </c>
      <c r="F5496" t="s">
        <v>16221</v>
      </c>
      <c r="G5496" t="s">
        <v>16241</v>
      </c>
      <c r="H5496" t="s">
        <v>16241</v>
      </c>
      <c r="I5496" t="s">
        <v>16355</v>
      </c>
      <c r="J5496" t="s">
        <v>16385</v>
      </c>
      <c r="K5496">
        <v>0.177</v>
      </c>
      <c r="L5496">
        <v>7691</v>
      </c>
      <c r="M5496">
        <v>1187</v>
      </c>
      <c r="N5496" t="s">
        <v>16393</v>
      </c>
      <c r="O5496" s="4">
        <v>38692</v>
      </c>
      <c r="P5496" s="4">
        <v>81687</v>
      </c>
      <c r="Q5496" s="4">
        <v>120379</v>
      </c>
      <c r="R5496" s="4">
        <v>361137</v>
      </c>
      <c r="S5496" t="s">
        <v>21760</v>
      </c>
      <c r="X5496" t="s">
        <v>3</v>
      </c>
      <c r="AA5496" s="5" t="str">
        <f>HYPERLINK("https://www.zillow.com/homes/820-STONEFIELD-PL-ROSELLE-IL-60172_rb/","check listing")</f>
        <v>check listing</v>
      </c>
      <c r="AB5496" s="5" t="str">
        <f>HYPERLINK("https://propertylookup.dupagecounty.gov/Datalets/Datalet.aspx?UseSearch=no&amp;mode=sales&amp;pin=0209113011","sales record")</f>
        <v>sales record</v>
      </c>
      <c r="AC5496" t="s">
        <v>3</v>
      </c>
      <c r="AD5496">
        <v>41.972705</v>
      </c>
      <c r="AE5496">
        <v>-88.101285</v>
      </c>
      <c r="AF5496" s="5" t="str">
        <f>HYPERLINK("https://www.google.com/maps/search/?api=1&amp;query=41.972705,-88.101285","map")</f>
        <v>map</v>
      </c>
    </row>
    <row r="5497" spans="1:32">
      <c r="A5497" t="s">
        <v>5547</v>
      </c>
      <c r="B5497" t="s">
        <v>13072</v>
      </c>
      <c r="C5497" t="s">
        <v>15830</v>
      </c>
      <c r="D5497" t="s">
        <v>16207</v>
      </c>
      <c r="E5497" t="s">
        <v>16218</v>
      </c>
      <c r="F5497" t="s">
        <v>16221</v>
      </c>
      <c r="G5497" t="s">
        <v>16241</v>
      </c>
      <c r="H5497" t="s">
        <v>16241</v>
      </c>
      <c r="I5497" t="s">
        <v>16355</v>
      </c>
      <c r="J5497" t="s">
        <v>16385</v>
      </c>
      <c r="K5497">
        <v>0.176</v>
      </c>
      <c r="L5497">
        <v>7686</v>
      </c>
      <c r="M5497">
        <v>1715</v>
      </c>
      <c r="N5497" t="s">
        <v>16393</v>
      </c>
      <c r="O5497" s="4">
        <v>45278</v>
      </c>
      <c r="P5497" s="4">
        <v>79057</v>
      </c>
      <c r="Q5497" s="4">
        <v>124335</v>
      </c>
      <c r="R5497" s="4">
        <v>373005</v>
      </c>
      <c r="S5497" t="s">
        <v>21761</v>
      </c>
      <c r="T5497" s="6">
        <v>39326</v>
      </c>
      <c r="U5497" s="4">
        <v>301000</v>
      </c>
      <c r="V5497" t="s">
        <v>23739</v>
      </c>
      <c r="W5497" t="s">
        <v>21761</v>
      </c>
      <c r="X5497" t="s">
        <v>3</v>
      </c>
      <c r="AA5497" s="5" t="str">
        <f>HYPERLINK("https://www.zillow.com/homes/635-EDENWOOD-DR-ROSELLE-IL-60172_rb/","check listing")</f>
        <v>check listing</v>
      </c>
      <c r="AB5497" s="5" t="str">
        <f>HYPERLINK("https://propertylookup.dupagecounty.gov/Datalets/Datalet.aspx?UseSearch=no&amp;mode=sales&amp;pin=0209206032","sales record")</f>
        <v>sales record</v>
      </c>
      <c r="AC5497" t="s">
        <v>3</v>
      </c>
      <c r="AD5497">
        <v>41.972191</v>
      </c>
      <c r="AE5497">
        <v>-88.09645999999999</v>
      </c>
      <c r="AF5497" s="5" t="str">
        <f>HYPERLINK("https://www.google.com/maps/search/?api=1&amp;query=41.972191,-88.09646","map")</f>
        <v>map</v>
      </c>
    </row>
    <row r="5498" spans="1:32">
      <c r="A5498" t="s">
        <v>5548</v>
      </c>
      <c r="B5498" t="s">
        <v>13073</v>
      </c>
      <c r="C5498" t="s">
        <v>15904</v>
      </c>
      <c r="D5498" t="s">
        <v>16207</v>
      </c>
      <c r="E5498" t="s">
        <v>16218</v>
      </c>
      <c r="F5498" t="s">
        <v>16221</v>
      </c>
      <c r="G5498" t="s">
        <v>16241</v>
      </c>
      <c r="H5498" t="s">
        <v>16241</v>
      </c>
      <c r="I5498" t="s">
        <v>16355</v>
      </c>
      <c r="J5498" t="s">
        <v>16385</v>
      </c>
      <c r="K5498">
        <v>0.176</v>
      </c>
      <c r="L5498">
        <v>7681</v>
      </c>
      <c r="M5498">
        <v>1649</v>
      </c>
      <c r="N5498" t="s">
        <v>16393</v>
      </c>
      <c r="O5498" s="4">
        <v>38692</v>
      </c>
      <c r="P5498" s="4">
        <v>89480</v>
      </c>
      <c r="Q5498" s="4">
        <v>128172</v>
      </c>
      <c r="R5498" s="4">
        <v>384516</v>
      </c>
      <c r="S5498" t="s">
        <v>21762</v>
      </c>
      <c r="T5498" s="6">
        <v>43556</v>
      </c>
      <c r="U5498" s="4">
        <v>270000</v>
      </c>
      <c r="V5498" t="s">
        <v>23739</v>
      </c>
      <c r="W5498" t="s">
        <v>26818</v>
      </c>
      <c r="X5498" t="s">
        <v>3</v>
      </c>
      <c r="AA5498" s="5" t="str">
        <f>HYPERLINK("https://www.zillow.com/homes/584-KINGSTON-CT-ROSELLE-IL-601722662_rb/","check listing")</f>
        <v>check listing</v>
      </c>
      <c r="AB5498" s="5" t="str">
        <f>HYPERLINK("https://propertylookup.dupagecounty.gov/Datalets/Datalet.aspx?UseSearch=no&amp;mode=sales&amp;pin=0209119008","sales record")</f>
        <v>sales record</v>
      </c>
      <c r="AC5498" t="s">
        <v>3</v>
      </c>
      <c r="AD5498">
        <v>41.971962</v>
      </c>
      <c r="AE5498">
        <v>-88.10947299999999</v>
      </c>
      <c r="AF5498" s="5" t="str">
        <f>HYPERLINK("https://www.google.com/maps/search/?api=1&amp;query=41.971962,-88.109473","map")</f>
        <v>map</v>
      </c>
    </row>
    <row r="5499" spans="1:32">
      <c r="A5499" t="s">
        <v>5549</v>
      </c>
      <c r="B5499" t="s">
        <v>13074</v>
      </c>
      <c r="C5499" t="s">
        <v>15898</v>
      </c>
      <c r="D5499" t="s">
        <v>16207</v>
      </c>
      <c r="E5499" t="s">
        <v>16218</v>
      </c>
      <c r="F5499" t="s">
        <v>16221</v>
      </c>
      <c r="G5499" t="s">
        <v>16241</v>
      </c>
      <c r="H5499" t="s">
        <v>16241</v>
      </c>
      <c r="I5499" t="s">
        <v>16355</v>
      </c>
      <c r="J5499" t="s">
        <v>16385</v>
      </c>
      <c r="K5499">
        <v>0.176</v>
      </c>
      <c r="L5499">
        <v>7677</v>
      </c>
      <c r="M5499">
        <v>1848</v>
      </c>
      <c r="N5499" t="s">
        <v>16393</v>
      </c>
      <c r="O5499" s="4">
        <v>45278</v>
      </c>
      <c r="P5499" s="4">
        <v>92325</v>
      </c>
      <c r="Q5499" s="4">
        <v>137603</v>
      </c>
      <c r="R5499" s="4">
        <v>412809</v>
      </c>
      <c r="S5499" t="s">
        <v>21763</v>
      </c>
      <c r="T5499" s="6">
        <v>38869</v>
      </c>
      <c r="U5499" s="4">
        <v>363500</v>
      </c>
      <c r="V5499" t="s">
        <v>23739</v>
      </c>
      <c r="W5499" t="s">
        <v>26819</v>
      </c>
      <c r="X5499" t="s">
        <v>3</v>
      </c>
      <c r="AA5499" s="5" t="str">
        <f>HYPERLINK("https://www.zillow.com/homes/560-DALTON-LN-ROSELLE-IL-601722821_rb/","check listing")</f>
        <v>check listing</v>
      </c>
      <c r="AB5499" s="5" t="str">
        <f>HYPERLINK("https://propertylookup.dupagecounty.gov/Datalets/Datalet.aspx?UseSearch=no&amp;mode=sales&amp;pin=0209209018","sales record")</f>
        <v>sales record</v>
      </c>
      <c r="AC5499" t="s">
        <v>3</v>
      </c>
      <c r="AD5499">
        <v>41.972712</v>
      </c>
      <c r="AE5499">
        <v>-88.09965200000001</v>
      </c>
      <c r="AF5499" s="5" t="str">
        <f>HYPERLINK("https://www.google.com/maps/search/?api=1&amp;query=41.972712,-88.099652","map")</f>
        <v>map</v>
      </c>
    </row>
    <row r="5500" spans="1:32">
      <c r="A5500" t="s">
        <v>5550</v>
      </c>
      <c r="B5500" t="s">
        <v>13075</v>
      </c>
      <c r="C5500" t="s">
        <v>15830</v>
      </c>
      <c r="D5500" t="s">
        <v>16207</v>
      </c>
      <c r="E5500" t="s">
        <v>16218</v>
      </c>
      <c r="F5500" t="s">
        <v>16221</v>
      </c>
      <c r="G5500" t="s">
        <v>16241</v>
      </c>
      <c r="H5500" t="s">
        <v>16241</v>
      </c>
      <c r="I5500" t="s">
        <v>16355</v>
      </c>
      <c r="J5500" t="s">
        <v>16385</v>
      </c>
      <c r="K5500">
        <v>0.176</v>
      </c>
      <c r="L5500">
        <v>7677</v>
      </c>
      <c r="M5500">
        <v>1846</v>
      </c>
      <c r="N5500" t="s">
        <v>16393</v>
      </c>
      <c r="O5500" s="4">
        <v>45278</v>
      </c>
      <c r="P5500" s="4">
        <v>108593</v>
      </c>
      <c r="Q5500" s="4">
        <v>153871</v>
      </c>
      <c r="R5500" s="4">
        <v>461613</v>
      </c>
      <c r="S5500" t="s">
        <v>21764</v>
      </c>
      <c r="T5500" s="6">
        <v>32325</v>
      </c>
      <c r="U5500" s="4">
        <v>131000</v>
      </c>
      <c r="X5500" t="s">
        <v>3</v>
      </c>
      <c r="AA5500" s="5" t="str">
        <f>HYPERLINK("https://www.zillow.com/homes/1295-CHATHAM-LN-ROSELLE-IL-60172_rb/","check listing")</f>
        <v>check listing</v>
      </c>
      <c r="AB5500" s="5" t="str">
        <f>HYPERLINK("https://propertylookup.dupagecounty.gov/Datalets/Datalet.aspx?UseSearch=no&amp;mode=sales&amp;pin=0205402012","sales record")</f>
        <v>sales record</v>
      </c>
      <c r="AC5500" t="s">
        <v>3</v>
      </c>
      <c r="AD5500">
        <v>41.980981</v>
      </c>
      <c r="AE5500">
        <v>-88.113648</v>
      </c>
      <c r="AF5500" s="5" t="str">
        <f>HYPERLINK("https://www.google.com/maps/search/?api=1&amp;query=41.980981,-88.113648","map")</f>
        <v>map</v>
      </c>
    </row>
    <row r="5501" spans="1:32">
      <c r="A5501" t="s">
        <v>5551</v>
      </c>
      <c r="B5501" t="s">
        <v>13076</v>
      </c>
      <c r="C5501" t="s">
        <v>15830</v>
      </c>
      <c r="D5501" t="s">
        <v>16207</v>
      </c>
      <c r="E5501" t="s">
        <v>16218</v>
      </c>
      <c r="F5501" t="s">
        <v>16221</v>
      </c>
      <c r="G5501" t="s">
        <v>16241</v>
      </c>
      <c r="H5501" t="s">
        <v>16241</v>
      </c>
      <c r="I5501" t="s">
        <v>16355</v>
      </c>
      <c r="J5501" t="s">
        <v>16385</v>
      </c>
      <c r="K5501">
        <v>0.176</v>
      </c>
      <c r="L5501">
        <v>7664</v>
      </c>
      <c r="M5501">
        <v>1500</v>
      </c>
      <c r="N5501" t="s">
        <v>16393</v>
      </c>
      <c r="O5501" s="4">
        <v>39601</v>
      </c>
      <c r="P5501" s="4">
        <v>62562</v>
      </c>
      <c r="Q5501" s="4">
        <v>102163</v>
      </c>
      <c r="R5501" s="4">
        <v>306489</v>
      </c>
      <c r="S5501" t="s">
        <v>21765</v>
      </c>
      <c r="T5501" s="6">
        <v>41306</v>
      </c>
      <c r="U5501" s="4">
        <v>115000</v>
      </c>
      <c r="V5501" t="s">
        <v>16232</v>
      </c>
      <c r="W5501" t="s">
        <v>26820</v>
      </c>
      <c r="X5501" t="s">
        <v>3</v>
      </c>
      <c r="AA5501" s="5" t="str">
        <f>HYPERLINK("https://www.zillow.com/homes/43-W-CENTRAL-ROSELLE-IL-60172_rb/","check listing")</f>
        <v>check listing</v>
      </c>
      <c r="AB5501" s="5" t="str">
        <f>HYPERLINK("https://propertylookup.dupagecounty.gov/Datalets/Datalet.aspx?UseSearch=no&amp;mode=sales&amp;pin=0203303007","sales record")</f>
        <v>sales record</v>
      </c>
      <c r="AC5501" t="s">
        <v>3</v>
      </c>
      <c r="AD5501">
        <v>41.9832</v>
      </c>
      <c r="AE5501">
        <v>-88.082322</v>
      </c>
      <c r="AF5501" s="5" t="str">
        <f>HYPERLINK("https://www.google.com/maps/search/?api=1&amp;query=41.9832,-88.082322","map")</f>
        <v>map</v>
      </c>
    </row>
    <row r="5502" spans="1:32">
      <c r="A5502" t="s">
        <v>5552</v>
      </c>
      <c r="B5502" t="s">
        <v>13077</v>
      </c>
      <c r="C5502" t="s">
        <v>15900</v>
      </c>
      <c r="D5502" t="s">
        <v>16207</v>
      </c>
      <c r="E5502" t="s">
        <v>16218</v>
      </c>
      <c r="F5502" t="s">
        <v>16221</v>
      </c>
      <c r="G5502" t="s">
        <v>16241</v>
      </c>
      <c r="H5502" t="s">
        <v>16241</v>
      </c>
      <c r="I5502" t="s">
        <v>16355</v>
      </c>
      <c r="J5502" t="s">
        <v>16385</v>
      </c>
      <c r="K5502">
        <v>0.176</v>
      </c>
      <c r="L5502">
        <v>7648</v>
      </c>
      <c r="M5502">
        <v>1583</v>
      </c>
      <c r="N5502" t="s">
        <v>16393</v>
      </c>
      <c r="O5502" s="4">
        <v>38692</v>
      </c>
      <c r="P5502" s="4">
        <v>79786</v>
      </c>
      <c r="Q5502" s="4">
        <v>118478</v>
      </c>
      <c r="R5502" s="4">
        <v>355434</v>
      </c>
      <c r="S5502" t="s">
        <v>21766</v>
      </c>
      <c r="T5502" s="6">
        <v>45492</v>
      </c>
      <c r="U5502" s="4">
        <v>475000</v>
      </c>
      <c r="V5502" t="s">
        <v>23741</v>
      </c>
      <c r="W5502" t="s">
        <v>26821</v>
      </c>
      <c r="X5502" t="s">
        <v>3</v>
      </c>
      <c r="AA5502" s="5" t="str">
        <f>HYPERLINK("https://www.zillow.com/homes/794-MEADE-LN-ROSELLE-IL-601722711_rb/","check listing")</f>
        <v>check listing</v>
      </c>
      <c r="AB5502" s="5" t="str">
        <f>HYPERLINK("https://propertylookup.dupagecounty.gov/Datalets/Datalet.aspx?UseSearch=no&amp;mode=sales&amp;pin=0209117018","sales record")</f>
        <v>sales record</v>
      </c>
      <c r="AC5502" t="s">
        <v>3</v>
      </c>
      <c r="AD5502">
        <v>41.968175</v>
      </c>
      <c r="AE5502">
        <v>-88.10610800000001</v>
      </c>
      <c r="AF5502" s="5" t="str">
        <f>HYPERLINK("https://www.google.com/maps/search/?api=1&amp;query=41.968175,-88.106108","map")</f>
        <v>map</v>
      </c>
    </row>
    <row r="5503" spans="1:32">
      <c r="A5503" t="s">
        <v>5553</v>
      </c>
      <c r="B5503" t="s">
        <v>13078</v>
      </c>
      <c r="C5503" t="s">
        <v>15830</v>
      </c>
      <c r="D5503" t="s">
        <v>16207</v>
      </c>
      <c r="E5503" t="s">
        <v>16218</v>
      </c>
      <c r="F5503" t="s">
        <v>16221</v>
      </c>
      <c r="G5503" t="s">
        <v>16241</v>
      </c>
      <c r="H5503" t="s">
        <v>16241</v>
      </c>
      <c r="I5503" t="s">
        <v>16355</v>
      </c>
      <c r="J5503" t="s">
        <v>16385</v>
      </c>
      <c r="K5503">
        <v>0.175</v>
      </c>
      <c r="L5503">
        <v>7640</v>
      </c>
      <c r="M5503">
        <v>1839</v>
      </c>
      <c r="N5503" t="s">
        <v>16393</v>
      </c>
      <c r="O5503" s="4">
        <v>45278</v>
      </c>
      <c r="P5503" s="4">
        <v>85811</v>
      </c>
      <c r="Q5503" s="4">
        <v>131089</v>
      </c>
      <c r="R5503" s="4">
        <v>393267</v>
      </c>
      <c r="S5503" t="s">
        <v>21767</v>
      </c>
      <c r="T5503" s="6">
        <v>33117</v>
      </c>
      <c r="U5503" s="4">
        <v>128000</v>
      </c>
      <c r="X5503" t="s">
        <v>3</v>
      </c>
      <c r="AA5503" s="5" t="str">
        <f>HYPERLINK("https://www.zillow.com/homes/1284-PEMBROOK-CIR-ROSELLE-IL-60172_rb/","check listing")</f>
        <v>check listing</v>
      </c>
      <c r="AB5503" s="5" t="str">
        <f>HYPERLINK("https://propertylookup.dupagecounty.gov/Datalets/Datalet.aspx?UseSearch=no&amp;mode=sales&amp;pin=0205403007","sales record")</f>
        <v>sales record</v>
      </c>
      <c r="AC5503" t="s">
        <v>3</v>
      </c>
      <c r="AD5503">
        <v>41.980324</v>
      </c>
      <c r="AE5503">
        <v>-88.113176</v>
      </c>
      <c r="AF5503" s="5" t="str">
        <f>HYPERLINK("https://www.google.com/maps/search/?api=1&amp;query=41.980324,-88.113176","map")</f>
        <v>map</v>
      </c>
    </row>
    <row r="5504" spans="1:32">
      <c r="A5504" t="s">
        <v>5554</v>
      </c>
      <c r="B5504" t="s">
        <v>13079</v>
      </c>
      <c r="C5504" t="s">
        <v>15830</v>
      </c>
      <c r="D5504" t="s">
        <v>16207</v>
      </c>
      <c r="E5504" t="s">
        <v>16218</v>
      </c>
      <c r="F5504" t="s">
        <v>16221</v>
      </c>
      <c r="G5504" t="s">
        <v>16241</v>
      </c>
      <c r="H5504" t="s">
        <v>16241</v>
      </c>
      <c r="I5504" t="s">
        <v>16355</v>
      </c>
      <c r="J5504" t="s">
        <v>16385</v>
      </c>
      <c r="K5504">
        <v>0.175</v>
      </c>
      <c r="L5504">
        <v>7638</v>
      </c>
      <c r="M5504">
        <v>2375</v>
      </c>
      <c r="N5504" t="s">
        <v>16393</v>
      </c>
      <c r="O5504" s="4">
        <v>38692</v>
      </c>
      <c r="P5504" s="4">
        <v>112167</v>
      </c>
      <c r="Q5504" s="4">
        <v>150859</v>
      </c>
      <c r="R5504" s="4">
        <v>452577</v>
      </c>
      <c r="S5504" t="s">
        <v>21768</v>
      </c>
      <c r="X5504" t="s">
        <v>3</v>
      </c>
      <c r="AA5504" s="5" t="str">
        <f>HYPERLINK("https://www.zillow.com/homes/834-EDENWOOD-DR-ROSELLE-IL-60172_rb/","check listing")</f>
        <v>check listing</v>
      </c>
      <c r="AB5504" s="5" t="str">
        <f>HYPERLINK("https://propertylookup.dupagecounty.gov/Datalets/Datalet.aspx?UseSearch=no&amp;mode=sales&amp;pin=0209112018","sales record")</f>
        <v>sales record</v>
      </c>
      <c r="AC5504" t="s">
        <v>3</v>
      </c>
      <c r="AD5504">
        <v>41.973255</v>
      </c>
      <c r="AE5504">
        <v>-88.101589</v>
      </c>
      <c r="AF5504" s="5" t="str">
        <f>HYPERLINK("https://www.google.com/maps/search/?api=1&amp;query=41.973255,-88.101589","map")</f>
        <v>map</v>
      </c>
    </row>
    <row r="5505" spans="1:32">
      <c r="A5505" t="s">
        <v>5555</v>
      </c>
      <c r="B5505" t="s">
        <v>13080</v>
      </c>
      <c r="C5505" t="s">
        <v>15905</v>
      </c>
      <c r="D5505" t="s">
        <v>16207</v>
      </c>
      <c r="E5505" t="s">
        <v>16218</v>
      </c>
      <c r="F5505" t="s">
        <v>16221</v>
      </c>
      <c r="G5505" t="s">
        <v>16241</v>
      </c>
      <c r="H5505" t="s">
        <v>16241</v>
      </c>
      <c r="I5505" t="s">
        <v>16355</v>
      </c>
      <c r="J5505" t="s">
        <v>16385</v>
      </c>
      <c r="K5505">
        <v>0.175</v>
      </c>
      <c r="L5505">
        <v>7636</v>
      </c>
      <c r="M5505">
        <v>1187</v>
      </c>
      <c r="N5505" t="s">
        <v>16393</v>
      </c>
      <c r="O5505" s="4">
        <v>38692</v>
      </c>
      <c r="P5505" s="4">
        <v>82596</v>
      </c>
      <c r="Q5505" s="4">
        <v>121288</v>
      </c>
      <c r="R5505" s="4">
        <v>363864</v>
      </c>
      <c r="S5505" t="s">
        <v>21769</v>
      </c>
      <c r="T5505" s="6">
        <v>44317</v>
      </c>
      <c r="U5505" s="4">
        <v>389900</v>
      </c>
      <c r="V5505" t="s">
        <v>23739</v>
      </c>
      <c r="W5505" t="s">
        <v>21769</v>
      </c>
      <c r="X5505" t="s">
        <v>3</v>
      </c>
      <c r="AA5505" s="5" t="str">
        <f>HYPERLINK("https://www.zillow.com/homes/540-MIDDLETON-DR-ROSELLE-IL-601722714_rb/","check listing")</f>
        <v>check listing</v>
      </c>
      <c r="AB5505" s="5" t="str">
        <f>HYPERLINK("https://propertylookup.dupagecounty.gov/Datalets/Datalet.aspx?UseSearch=no&amp;mode=sales&amp;pin=0209110001","sales record")</f>
        <v>sales record</v>
      </c>
      <c r="AC5505" t="s">
        <v>3</v>
      </c>
      <c r="AD5505">
        <v>41.972922</v>
      </c>
      <c r="AE5505">
        <v>-88.105191</v>
      </c>
      <c r="AF5505" s="5" t="str">
        <f>HYPERLINK("https://www.google.com/maps/search/?api=1&amp;query=41.972922,-88.105191","map")</f>
        <v>map</v>
      </c>
    </row>
    <row r="5506" spans="1:32">
      <c r="A5506" t="s">
        <v>5556</v>
      </c>
      <c r="B5506" t="s">
        <v>13081</v>
      </c>
      <c r="C5506" t="s">
        <v>15830</v>
      </c>
      <c r="D5506" t="s">
        <v>16207</v>
      </c>
      <c r="E5506" t="s">
        <v>16218</v>
      </c>
      <c r="F5506" t="s">
        <v>16221</v>
      </c>
      <c r="G5506" t="s">
        <v>16241</v>
      </c>
      <c r="H5506" t="s">
        <v>16241</v>
      </c>
      <c r="I5506" t="s">
        <v>16355</v>
      </c>
      <c r="J5506" t="s">
        <v>16385</v>
      </c>
      <c r="K5506">
        <v>0.175</v>
      </c>
      <c r="L5506">
        <v>7627</v>
      </c>
      <c r="M5506">
        <v>2773</v>
      </c>
      <c r="N5506" t="s">
        <v>16393</v>
      </c>
      <c r="O5506" s="4">
        <v>51351</v>
      </c>
      <c r="P5506" s="4">
        <v>170020</v>
      </c>
      <c r="Q5506" s="4">
        <v>221371</v>
      </c>
      <c r="R5506" s="4">
        <v>664113</v>
      </c>
      <c r="S5506" t="s">
        <v>21770</v>
      </c>
      <c r="T5506" s="6">
        <v>36739</v>
      </c>
      <c r="U5506" s="4">
        <v>440000</v>
      </c>
      <c r="V5506" t="s">
        <v>23739</v>
      </c>
      <c r="W5506" t="s">
        <v>26822</v>
      </c>
      <c r="X5506" t="s">
        <v>3</v>
      </c>
      <c r="AA5506" s="5" t="str">
        <f>HYPERLINK("https://www.zillow.com/homes/110-PELICAN-BAY-ROSELLE-IL-60172_rb/","check listing")</f>
        <v>check listing</v>
      </c>
      <c r="AB5506" s="5" t="str">
        <f>HYPERLINK("https://propertylookup.dupagecounty.gov/Datalets/Datalet.aspx?UseSearch=no&amp;mode=sales&amp;pin=0204104010","sales record")</f>
        <v>sales record</v>
      </c>
      <c r="AC5506" t="s">
        <v>3</v>
      </c>
      <c r="AD5506">
        <v>41.985395</v>
      </c>
      <c r="AE5506">
        <v>-88.10768</v>
      </c>
      <c r="AF5506" s="5" t="str">
        <f>HYPERLINK("https://www.google.com/maps/search/?api=1&amp;query=41.985395,-88.10768","map")</f>
        <v>map</v>
      </c>
    </row>
    <row r="5507" spans="1:32">
      <c r="A5507" t="s">
        <v>5557</v>
      </c>
      <c r="B5507" t="s">
        <v>13082</v>
      </c>
      <c r="C5507" t="s">
        <v>15830</v>
      </c>
      <c r="D5507" t="s">
        <v>16207</v>
      </c>
      <c r="E5507" t="s">
        <v>16218</v>
      </c>
      <c r="F5507" t="s">
        <v>16221</v>
      </c>
      <c r="G5507" t="s">
        <v>16241</v>
      </c>
      <c r="H5507" t="s">
        <v>16241</v>
      </c>
      <c r="I5507" t="s">
        <v>16355</v>
      </c>
      <c r="J5507" t="s">
        <v>16385</v>
      </c>
      <c r="K5507">
        <v>0.175</v>
      </c>
      <c r="L5507">
        <v>7615</v>
      </c>
      <c r="M5507">
        <v>462</v>
      </c>
      <c r="N5507" t="s">
        <v>16393</v>
      </c>
      <c r="O5507" s="4">
        <v>45278</v>
      </c>
      <c r="P5507" s="4">
        <v>72567</v>
      </c>
      <c r="Q5507" s="4">
        <v>117845</v>
      </c>
      <c r="R5507" s="4">
        <v>353535</v>
      </c>
      <c r="S5507" t="s">
        <v>21771</v>
      </c>
      <c r="X5507" t="s">
        <v>3</v>
      </c>
      <c r="AA5507" s="5" t="str">
        <f>HYPERLINK("https://www.zillow.com/homes/263-CHATHAM-LN-ROSELLE-IL-60172_rb/","check listing")</f>
        <v>check listing</v>
      </c>
      <c r="AB5507" s="5" t="str">
        <f>HYPERLINK("https://propertylookup.dupagecounty.gov/Datalets/Datalet.aspx?UseSearch=no&amp;mode=sales&amp;pin=0205405006","sales record")</f>
        <v>sales record</v>
      </c>
      <c r="AC5507" t="s">
        <v>3</v>
      </c>
      <c r="AD5507">
        <v>41.9777</v>
      </c>
      <c r="AE5507">
        <v>-88.114178</v>
      </c>
      <c r="AF5507" s="5" t="str">
        <f>HYPERLINK("https://www.google.com/maps/search/?api=1&amp;query=41.9777,-88.114178","map")</f>
        <v>map</v>
      </c>
    </row>
    <row r="5508" spans="1:32">
      <c r="A5508" t="s">
        <v>5558</v>
      </c>
      <c r="B5508" t="s">
        <v>13083</v>
      </c>
      <c r="C5508" t="s">
        <v>15830</v>
      </c>
      <c r="D5508" t="s">
        <v>16207</v>
      </c>
      <c r="E5508" t="s">
        <v>16218</v>
      </c>
      <c r="F5508" t="s">
        <v>16221</v>
      </c>
      <c r="G5508" t="s">
        <v>16241</v>
      </c>
      <c r="H5508" t="s">
        <v>16241</v>
      </c>
      <c r="I5508" t="s">
        <v>16355</v>
      </c>
      <c r="J5508" t="s">
        <v>16385</v>
      </c>
      <c r="K5508">
        <v>0.175</v>
      </c>
      <c r="L5508">
        <v>7611</v>
      </c>
      <c r="M5508">
        <v>2127</v>
      </c>
      <c r="N5508" t="s">
        <v>16393</v>
      </c>
      <c r="O5508" s="4">
        <v>45278</v>
      </c>
      <c r="P5508" s="4">
        <v>90365</v>
      </c>
      <c r="Q5508" s="4">
        <v>135643</v>
      </c>
      <c r="R5508" s="4">
        <v>406929</v>
      </c>
      <c r="S5508" t="s">
        <v>21772</v>
      </c>
      <c r="T5508" s="6">
        <v>42125</v>
      </c>
      <c r="U5508" s="4">
        <v>275000</v>
      </c>
      <c r="V5508" t="s">
        <v>23739</v>
      </c>
      <c r="W5508" t="s">
        <v>26823</v>
      </c>
      <c r="X5508" t="s">
        <v>3</v>
      </c>
      <c r="AA5508" s="5" t="str">
        <f>HYPERLINK("https://www.zillow.com/homes/230-CHATHAM-LN-ROSELLE-IL-60172_rb/","check listing")</f>
        <v>check listing</v>
      </c>
      <c r="AB5508" s="5" t="str">
        <f>HYPERLINK("https://propertylookup.dupagecounty.gov/Datalets/Datalet.aspx?UseSearch=no&amp;mode=sales&amp;pin=0205401017","sales record")</f>
        <v>sales record</v>
      </c>
      <c r="AC5508" t="s">
        <v>3</v>
      </c>
      <c r="AD5508">
        <v>41.978381</v>
      </c>
      <c r="AE5508">
        <v>-88.115133</v>
      </c>
      <c r="AF5508" s="5" t="str">
        <f>HYPERLINK("https://www.google.com/maps/search/?api=1&amp;query=41.978381,-88.115133","map")</f>
        <v>map</v>
      </c>
    </row>
    <row r="5509" spans="1:32">
      <c r="A5509" t="s">
        <v>5559</v>
      </c>
      <c r="B5509" t="s">
        <v>13084</v>
      </c>
      <c r="C5509" t="s">
        <v>15906</v>
      </c>
      <c r="D5509" t="s">
        <v>16207</v>
      </c>
      <c r="E5509" t="s">
        <v>16218</v>
      </c>
      <c r="F5509" t="s">
        <v>16221</v>
      </c>
      <c r="G5509" t="s">
        <v>16241</v>
      </c>
      <c r="H5509" t="s">
        <v>16241</v>
      </c>
      <c r="I5509" t="s">
        <v>16355</v>
      </c>
      <c r="J5509" t="s">
        <v>16385</v>
      </c>
      <c r="K5509">
        <v>0.174</v>
      </c>
      <c r="L5509">
        <v>7601</v>
      </c>
      <c r="M5509">
        <v>1714</v>
      </c>
      <c r="N5509" t="s">
        <v>16393</v>
      </c>
      <c r="O5509" s="4">
        <v>38692</v>
      </c>
      <c r="P5509" s="4">
        <v>77599</v>
      </c>
      <c r="Q5509" s="4">
        <v>116291</v>
      </c>
      <c r="R5509" s="4">
        <v>348873</v>
      </c>
      <c r="S5509" t="s">
        <v>21773</v>
      </c>
      <c r="T5509" s="6">
        <v>44256</v>
      </c>
      <c r="U5509" s="4">
        <v>270000</v>
      </c>
      <c r="V5509" t="s">
        <v>23739</v>
      </c>
      <c r="W5509" t="s">
        <v>26824</v>
      </c>
      <c r="X5509" t="s">
        <v>3</v>
      </c>
      <c r="AA5509" s="5" t="str">
        <f>HYPERLINK("https://www.zillow.com/homes/680-BRIARWOOD-LN-ROSELLE-IL-601722736_rb/","check listing")</f>
        <v>check listing</v>
      </c>
      <c r="AB5509" s="5" t="str">
        <f>HYPERLINK("https://propertylookup.dupagecounty.gov/Datalets/Datalet.aspx?UseSearch=no&amp;mode=sales&amp;pin=0209120010","sales record")</f>
        <v>sales record</v>
      </c>
      <c r="AC5509" t="s">
        <v>3</v>
      </c>
      <c r="AD5509">
        <v>41.970743</v>
      </c>
      <c r="AE5509">
        <v>-88.10874699999999</v>
      </c>
      <c r="AF5509" s="5" t="str">
        <f>HYPERLINK("https://www.google.com/maps/search/?api=1&amp;query=41.970743,-88.108747","map")</f>
        <v>map</v>
      </c>
    </row>
    <row r="5510" spans="1:32">
      <c r="A5510" t="s">
        <v>5560</v>
      </c>
      <c r="B5510" t="s">
        <v>13085</v>
      </c>
      <c r="C5510" t="s">
        <v>15830</v>
      </c>
      <c r="D5510" t="s">
        <v>16207</v>
      </c>
      <c r="E5510" t="s">
        <v>16218</v>
      </c>
      <c r="F5510" t="s">
        <v>16221</v>
      </c>
      <c r="G5510" t="s">
        <v>16241</v>
      </c>
      <c r="H5510" t="s">
        <v>16241</v>
      </c>
      <c r="I5510" t="s">
        <v>16355</v>
      </c>
      <c r="J5510" t="s">
        <v>16385</v>
      </c>
      <c r="K5510">
        <v>0.174</v>
      </c>
      <c r="L5510">
        <v>7596</v>
      </c>
      <c r="M5510">
        <v>2309</v>
      </c>
      <c r="N5510" t="s">
        <v>16393</v>
      </c>
      <c r="O5510" s="4">
        <v>45278</v>
      </c>
      <c r="P5510" s="4">
        <v>115551</v>
      </c>
      <c r="Q5510" s="4">
        <v>160829</v>
      </c>
      <c r="R5510" s="4">
        <v>482487</v>
      </c>
      <c r="S5510" t="s">
        <v>21774</v>
      </c>
      <c r="T5510" s="6">
        <v>39295</v>
      </c>
      <c r="U5510" s="4">
        <v>340000</v>
      </c>
      <c r="V5510" t="s">
        <v>23739</v>
      </c>
      <c r="W5510" t="s">
        <v>26825</v>
      </c>
      <c r="X5510" t="s">
        <v>3</v>
      </c>
      <c r="AA5510" s="5" t="str">
        <f>HYPERLINK("https://www.zillow.com/homes/710-EDENWOOD-DR-ROSELLE-IL-60172_rb/","check listing")</f>
        <v>check listing</v>
      </c>
      <c r="AB5510" s="5" t="str">
        <f>HYPERLINK("https://propertylookup.dupagecounty.gov/Datalets/Datalet.aspx?UseSearch=no&amp;mode=sales&amp;pin=0209213016","sales record")</f>
        <v>sales record</v>
      </c>
      <c r="AC5510" t="s">
        <v>3</v>
      </c>
      <c r="AD5510">
        <v>41.972566</v>
      </c>
      <c r="AE5510">
        <v>-88.098474</v>
      </c>
      <c r="AF5510" s="5" t="str">
        <f>HYPERLINK("https://www.google.com/maps/search/?api=1&amp;query=41.972566,-88.098474","map")</f>
        <v>map</v>
      </c>
    </row>
    <row r="5511" spans="1:32">
      <c r="A5511" t="s">
        <v>5561</v>
      </c>
      <c r="B5511" t="s">
        <v>13086</v>
      </c>
      <c r="C5511" t="s">
        <v>15830</v>
      </c>
      <c r="D5511" t="s">
        <v>16207</v>
      </c>
      <c r="E5511" t="s">
        <v>16218</v>
      </c>
      <c r="F5511" t="s">
        <v>16221</v>
      </c>
      <c r="G5511" t="s">
        <v>16241</v>
      </c>
      <c r="H5511" t="s">
        <v>16241</v>
      </c>
      <c r="I5511" t="s">
        <v>16355</v>
      </c>
      <c r="J5511" t="s">
        <v>16385</v>
      </c>
      <c r="K5511">
        <v>0.174</v>
      </c>
      <c r="L5511">
        <v>7594</v>
      </c>
      <c r="M5511">
        <v>2078</v>
      </c>
      <c r="N5511" t="s">
        <v>16393</v>
      </c>
      <c r="O5511" s="4">
        <v>45278</v>
      </c>
      <c r="P5511" s="4">
        <v>108784</v>
      </c>
      <c r="Q5511" s="4">
        <v>154062</v>
      </c>
      <c r="R5511" s="4">
        <v>462186</v>
      </c>
      <c r="S5511" t="s">
        <v>21775</v>
      </c>
      <c r="X5511" t="s">
        <v>3</v>
      </c>
      <c r="AA5511" s="5" t="str">
        <f>HYPERLINK("https://www.zillow.com/homes/520-DALTON-LN-ROSELLE-IL-60172_rb/","check listing")</f>
        <v>check listing</v>
      </c>
      <c r="AB5511" s="5" t="str">
        <f>HYPERLINK("https://propertylookup.dupagecounty.gov/Datalets/Datalet.aspx?UseSearch=no&amp;mode=sales&amp;pin=0209209014","sales record")</f>
        <v>sales record</v>
      </c>
      <c r="AC5511" t="s">
        <v>3</v>
      </c>
      <c r="AD5511">
        <v>41.973491</v>
      </c>
      <c r="AE5511">
        <v>-88.099824</v>
      </c>
      <c r="AF5511" s="5" t="str">
        <f>HYPERLINK("https://www.google.com/maps/search/?api=1&amp;query=41.973491,-88.099824","map")</f>
        <v>map</v>
      </c>
    </row>
    <row r="5512" spans="1:32">
      <c r="A5512" t="s">
        <v>5562</v>
      </c>
      <c r="B5512" t="s">
        <v>13087</v>
      </c>
      <c r="C5512" t="s">
        <v>15830</v>
      </c>
      <c r="D5512" t="s">
        <v>16207</v>
      </c>
      <c r="E5512" t="s">
        <v>16218</v>
      </c>
      <c r="F5512" t="s">
        <v>16221</v>
      </c>
      <c r="G5512" t="s">
        <v>16241</v>
      </c>
      <c r="H5512" t="s">
        <v>16241</v>
      </c>
      <c r="I5512" t="s">
        <v>16355</v>
      </c>
      <c r="J5512" t="s">
        <v>16385</v>
      </c>
      <c r="K5512">
        <v>0.174</v>
      </c>
      <c r="L5512">
        <v>7590</v>
      </c>
      <c r="M5512">
        <v>1558</v>
      </c>
      <c r="N5512" t="s">
        <v>16393</v>
      </c>
      <c r="O5512" s="4">
        <v>38692</v>
      </c>
      <c r="P5512" s="4">
        <v>76189</v>
      </c>
      <c r="Q5512" s="4">
        <v>114881</v>
      </c>
      <c r="R5512" s="4">
        <v>344643</v>
      </c>
      <c r="S5512" t="s">
        <v>21776</v>
      </c>
      <c r="T5512" s="6">
        <v>36069</v>
      </c>
      <c r="U5512" s="4">
        <v>105000</v>
      </c>
      <c r="X5512" t="s">
        <v>3</v>
      </c>
      <c r="AA5512" s="5" t="str">
        <f>HYPERLINK("https://www.zillow.com/homes/1131-BRYN-MAWR-AVE-ROSELLE-IL-60172_rb/","check listing")</f>
        <v>check listing</v>
      </c>
      <c r="AB5512" s="5" t="str">
        <f>HYPERLINK("https://propertylookup.dupagecounty.gov/Datalets/Datalet.aspx?UseSearch=no&amp;mode=sales&amp;pin=0209119015","sales record")</f>
        <v>sales record</v>
      </c>
      <c r="AC5512" t="s">
        <v>3</v>
      </c>
      <c r="AD5512">
        <v>41.972458</v>
      </c>
      <c r="AE5512">
        <v>-88.10867399999999</v>
      </c>
      <c r="AF5512" s="5" t="str">
        <f>HYPERLINK("https://www.google.com/maps/search/?api=1&amp;query=41.972458,-88.108674","map")</f>
        <v>map</v>
      </c>
    </row>
    <row r="5513" spans="1:32">
      <c r="A5513" t="s">
        <v>5563</v>
      </c>
      <c r="B5513" t="s">
        <v>13088</v>
      </c>
      <c r="C5513" t="s">
        <v>15830</v>
      </c>
      <c r="D5513" t="s">
        <v>16207</v>
      </c>
      <c r="E5513" t="s">
        <v>16218</v>
      </c>
      <c r="F5513" t="s">
        <v>16221</v>
      </c>
      <c r="G5513" t="s">
        <v>16241</v>
      </c>
      <c r="H5513" t="s">
        <v>16241</v>
      </c>
      <c r="I5513" t="s">
        <v>16355</v>
      </c>
      <c r="J5513" t="s">
        <v>16385</v>
      </c>
      <c r="K5513">
        <v>0.174</v>
      </c>
      <c r="L5513">
        <v>7582</v>
      </c>
      <c r="M5513">
        <v>1709</v>
      </c>
      <c r="N5513" t="s">
        <v>16393</v>
      </c>
      <c r="O5513" s="4">
        <v>38692</v>
      </c>
      <c r="P5513" s="4">
        <v>55546</v>
      </c>
      <c r="Q5513" s="4">
        <v>94238</v>
      </c>
      <c r="R5513" s="4">
        <v>282714</v>
      </c>
      <c r="S5513" t="s">
        <v>21777</v>
      </c>
      <c r="T5513" s="6">
        <v>36465</v>
      </c>
      <c r="U5513" s="4">
        <v>128500</v>
      </c>
      <c r="X5513" t="s">
        <v>3</v>
      </c>
      <c r="AA5513" s="5" t="str">
        <f>HYPERLINK("https://www.zillow.com/homes/1160-DARBY-LN-ROSELLE-IL-60172_rb/","check listing")</f>
        <v>check listing</v>
      </c>
      <c r="AB5513" s="5" t="str">
        <f>HYPERLINK("https://propertylookup.dupagecounty.gov/Datalets/Datalet.aspx?UseSearch=no&amp;mode=sales&amp;pin=0204313019","sales record")</f>
        <v>sales record</v>
      </c>
      <c r="AC5513" t="s">
        <v>3</v>
      </c>
      <c r="AD5513">
        <v>41.978228</v>
      </c>
      <c r="AE5513">
        <v>-88.10948999999999</v>
      </c>
      <c r="AF5513" s="5" t="str">
        <f>HYPERLINK("https://www.google.com/maps/search/?api=1&amp;query=41.978228,-88.10949","map")</f>
        <v>map</v>
      </c>
    </row>
    <row r="5514" spans="1:32">
      <c r="A5514" t="s">
        <v>5564</v>
      </c>
      <c r="B5514" t="s">
        <v>13089</v>
      </c>
      <c r="C5514" t="s">
        <v>15887</v>
      </c>
      <c r="D5514" t="s">
        <v>16207</v>
      </c>
      <c r="E5514" t="s">
        <v>16218</v>
      </c>
      <c r="F5514" t="s">
        <v>16221</v>
      </c>
      <c r="G5514" t="s">
        <v>16241</v>
      </c>
      <c r="H5514" t="s">
        <v>16241</v>
      </c>
      <c r="I5514" t="s">
        <v>16355</v>
      </c>
      <c r="J5514" t="s">
        <v>16385</v>
      </c>
      <c r="K5514">
        <v>0.174</v>
      </c>
      <c r="L5514">
        <v>7581</v>
      </c>
      <c r="M5514">
        <v>2144</v>
      </c>
      <c r="N5514" t="s">
        <v>16393</v>
      </c>
      <c r="O5514" s="4">
        <v>45278</v>
      </c>
      <c r="P5514" s="4">
        <v>77336</v>
      </c>
      <c r="Q5514" s="4">
        <v>122614</v>
      </c>
      <c r="R5514" s="4">
        <v>367842</v>
      </c>
      <c r="S5514" t="s">
        <v>21778</v>
      </c>
      <c r="T5514" s="6">
        <v>44409</v>
      </c>
      <c r="U5514" s="4">
        <v>410000</v>
      </c>
      <c r="V5514" t="s">
        <v>23739</v>
      </c>
      <c r="W5514" t="s">
        <v>26826</v>
      </c>
      <c r="X5514" t="s">
        <v>3</v>
      </c>
      <c r="AA5514" s="5" t="str">
        <f>HYPERLINK("https://www.zillow.com/homes/685-EDENWOOD-DR-ROSELLE-IL-601722876_rb/","check listing")</f>
        <v>check listing</v>
      </c>
      <c r="AB5514" s="5" t="str">
        <f>HYPERLINK("https://propertylookup.dupagecounty.gov/Datalets/Datalet.aspx?UseSearch=no&amp;mode=sales&amp;pin=0209206027","sales record")</f>
        <v>sales record</v>
      </c>
      <c r="AC5514" t="s">
        <v>3</v>
      </c>
      <c r="AD5514">
        <v>41.972136</v>
      </c>
      <c r="AE5514">
        <v>-88.097768</v>
      </c>
      <c r="AF5514" s="5" t="str">
        <f>HYPERLINK("https://www.google.com/maps/search/?api=1&amp;query=41.972136,-88.097768","map")</f>
        <v>map</v>
      </c>
    </row>
    <row r="5515" spans="1:32">
      <c r="A5515" t="s">
        <v>5565</v>
      </c>
      <c r="B5515" t="s">
        <v>13090</v>
      </c>
      <c r="C5515" t="s">
        <v>15898</v>
      </c>
      <c r="D5515" t="s">
        <v>16207</v>
      </c>
      <c r="E5515" t="s">
        <v>16218</v>
      </c>
      <c r="F5515" t="s">
        <v>16221</v>
      </c>
      <c r="G5515" t="s">
        <v>16241</v>
      </c>
      <c r="H5515" t="s">
        <v>16241</v>
      </c>
      <c r="I5515" t="s">
        <v>16355</v>
      </c>
      <c r="J5515" t="s">
        <v>16385</v>
      </c>
      <c r="K5515">
        <v>0.174</v>
      </c>
      <c r="L5515">
        <v>7581</v>
      </c>
      <c r="M5515">
        <v>1716</v>
      </c>
      <c r="N5515" t="s">
        <v>16393</v>
      </c>
      <c r="O5515" s="4">
        <v>45278</v>
      </c>
      <c r="P5515" s="4">
        <v>86588</v>
      </c>
      <c r="Q5515" s="4">
        <v>131866</v>
      </c>
      <c r="R5515" s="4">
        <v>395598</v>
      </c>
      <c r="S5515" t="s">
        <v>21779</v>
      </c>
      <c r="T5515" s="6">
        <v>44197</v>
      </c>
      <c r="U5515" s="4">
        <v>322000</v>
      </c>
      <c r="V5515" t="s">
        <v>23739</v>
      </c>
      <c r="W5515" t="s">
        <v>26827</v>
      </c>
      <c r="X5515" t="s">
        <v>3</v>
      </c>
      <c r="AA5515" s="5" t="str">
        <f>HYPERLINK("https://www.zillow.com/homes/510-DALTON-LN-ROSELLE-IL-601722821_rb/","check listing")</f>
        <v>check listing</v>
      </c>
      <c r="AB5515" s="5" t="str">
        <f>HYPERLINK("https://propertylookup.dupagecounty.gov/Datalets/Datalet.aspx?UseSearch=no&amp;mode=sales&amp;pin=0209209013","sales record")</f>
        <v>sales record</v>
      </c>
      <c r="AC5515" t="s">
        <v>3</v>
      </c>
      <c r="AD5515">
        <v>41.973771</v>
      </c>
      <c r="AE5515">
        <v>-88.09981500000001</v>
      </c>
      <c r="AF5515" s="5" t="str">
        <f>HYPERLINK("https://www.google.com/maps/search/?api=1&amp;query=41.973771,-88.099815","map")</f>
        <v>map</v>
      </c>
    </row>
    <row r="5516" spans="1:32">
      <c r="A5516" t="s">
        <v>5566</v>
      </c>
      <c r="B5516" t="s">
        <v>13091</v>
      </c>
      <c r="C5516" t="s">
        <v>15830</v>
      </c>
      <c r="D5516" t="s">
        <v>16207</v>
      </c>
      <c r="E5516" t="s">
        <v>16218</v>
      </c>
      <c r="F5516" t="s">
        <v>16221</v>
      </c>
      <c r="G5516" t="s">
        <v>16241</v>
      </c>
      <c r="H5516" t="s">
        <v>16241</v>
      </c>
      <c r="I5516" t="s">
        <v>16355</v>
      </c>
      <c r="J5516" t="s">
        <v>16385</v>
      </c>
      <c r="K5516">
        <v>0.174</v>
      </c>
      <c r="L5516">
        <v>7577</v>
      </c>
      <c r="M5516">
        <v>1996</v>
      </c>
      <c r="N5516" t="s">
        <v>16393</v>
      </c>
      <c r="O5516" s="4">
        <v>38692</v>
      </c>
      <c r="P5516" s="4">
        <v>95099</v>
      </c>
      <c r="Q5516" s="4">
        <v>133791</v>
      </c>
      <c r="R5516" s="4">
        <v>401373</v>
      </c>
      <c r="S5516" t="s">
        <v>21780</v>
      </c>
      <c r="T5516" s="6">
        <v>36281</v>
      </c>
      <c r="U5516" s="4">
        <v>181000</v>
      </c>
      <c r="X5516" t="s">
        <v>3</v>
      </c>
      <c r="AA5516" s="5" t="str">
        <f>HYPERLINK("https://www.zillow.com/homes/895-EDENWOOD-DR-ROSELLE-IL-60172_rb/","check listing")</f>
        <v>check listing</v>
      </c>
      <c r="AB5516" s="5" t="str">
        <f>HYPERLINK("https://propertylookup.dupagecounty.gov/Datalets/Datalet.aspx?UseSearch=no&amp;mode=sales&amp;pin=0209101012","sales record")</f>
        <v>sales record</v>
      </c>
      <c r="AC5516" t="s">
        <v>3</v>
      </c>
      <c r="AD5516">
        <v>41.9726</v>
      </c>
      <c r="AE5516">
        <v>-88.10293900000001</v>
      </c>
      <c r="AF5516" s="5" t="str">
        <f>HYPERLINK("https://www.google.com/maps/search/?api=1&amp;query=41.9726,-88.102939","map")</f>
        <v>map</v>
      </c>
    </row>
    <row r="5517" spans="1:32">
      <c r="A5517" t="s">
        <v>5567</v>
      </c>
      <c r="B5517" t="s">
        <v>13092</v>
      </c>
      <c r="C5517" t="s">
        <v>15830</v>
      </c>
      <c r="D5517" t="s">
        <v>16207</v>
      </c>
      <c r="E5517" t="s">
        <v>16218</v>
      </c>
      <c r="F5517" t="s">
        <v>16221</v>
      </c>
      <c r="G5517" t="s">
        <v>16241</v>
      </c>
      <c r="H5517" t="s">
        <v>16241</v>
      </c>
      <c r="I5517" t="s">
        <v>16355</v>
      </c>
      <c r="J5517" t="s">
        <v>16385</v>
      </c>
      <c r="K5517">
        <v>0.174</v>
      </c>
      <c r="L5517">
        <v>7567</v>
      </c>
      <c r="M5517">
        <v>1187</v>
      </c>
      <c r="N5517" t="s">
        <v>16393</v>
      </c>
      <c r="O5517" s="4">
        <v>38692</v>
      </c>
      <c r="P5517" s="4">
        <v>90938</v>
      </c>
      <c r="Q5517" s="4">
        <v>129630</v>
      </c>
      <c r="R5517" s="4">
        <v>388890</v>
      </c>
      <c r="S5517" t="s">
        <v>21781</v>
      </c>
      <c r="T5517" s="6">
        <v>34182</v>
      </c>
      <c r="U5517" s="4">
        <v>136000</v>
      </c>
      <c r="X5517" t="s">
        <v>3</v>
      </c>
      <c r="AA5517" s="5" t="str">
        <f>HYPERLINK("https://www.zillow.com/homes/915-EDENWOOD-DR-ROSELLE-IL-60172_rb/","check listing")</f>
        <v>check listing</v>
      </c>
      <c r="AB5517" s="5" t="str">
        <f>HYPERLINK("https://propertylookup.dupagecounty.gov/Datalets/Datalet.aspx?UseSearch=no&amp;mode=sales&amp;pin=0209101010","sales record")</f>
        <v>sales record</v>
      </c>
      <c r="AC5517" t="s">
        <v>3</v>
      </c>
      <c r="AD5517">
        <v>41.972512</v>
      </c>
      <c r="AE5517">
        <v>-88.103382</v>
      </c>
      <c r="AF5517" s="5" t="str">
        <f>HYPERLINK("https://www.google.com/maps/search/?api=1&amp;query=41.972512,-88.103382","map")</f>
        <v>map</v>
      </c>
    </row>
    <row r="5518" spans="1:32">
      <c r="A5518" t="s">
        <v>5568</v>
      </c>
      <c r="B5518" t="s">
        <v>13093</v>
      </c>
      <c r="C5518" t="s">
        <v>15907</v>
      </c>
      <c r="D5518" t="s">
        <v>16207</v>
      </c>
      <c r="E5518" t="s">
        <v>16218</v>
      </c>
      <c r="F5518" t="s">
        <v>16221</v>
      </c>
      <c r="G5518" t="s">
        <v>16241</v>
      </c>
      <c r="H5518" t="s">
        <v>16241</v>
      </c>
      <c r="I5518" t="s">
        <v>16355</v>
      </c>
      <c r="J5518" t="s">
        <v>16385</v>
      </c>
      <c r="K5518">
        <v>0.174</v>
      </c>
      <c r="L5518">
        <v>7561</v>
      </c>
      <c r="M5518">
        <v>1979</v>
      </c>
      <c r="N5518" t="s">
        <v>16393</v>
      </c>
      <c r="O5518" s="4">
        <v>45278</v>
      </c>
      <c r="P5518" s="4">
        <v>102748</v>
      </c>
      <c r="Q5518" s="4">
        <v>148026</v>
      </c>
      <c r="R5518" s="4">
        <v>444078</v>
      </c>
      <c r="S5518" t="s">
        <v>21782</v>
      </c>
      <c r="T5518" s="6">
        <v>44075</v>
      </c>
      <c r="U5518" s="4">
        <v>355000</v>
      </c>
      <c r="V5518" t="s">
        <v>23740</v>
      </c>
      <c r="W5518" t="s">
        <v>26828</v>
      </c>
      <c r="X5518" t="s">
        <v>3</v>
      </c>
      <c r="AA5518" s="5" t="str">
        <f>HYPERLINK("https://www.zillow.com/homes/784-BRANDYWINE-DR-ROSELLE-IL-601722803_rb/","check listing")</f>
        <v>check listing</v>
      </c>
      <c r="AB5518" s="5" t="str">
        <f>HYPERLINK("https://propertylookup.dupagecounty.gov/Datalets/Datalet.aspx?UseSearch=no&amp;mode=sales&amp;pin=0209211003","sales record")</f>
        <v>sales record</v>
      </c>
      <c r="AC5518" t="s">
        <v>3</v>
      </c>
      <c r="AD5518">
        <v>41.974761</v>
      </c>
      <c r="AE5518">
        <v>-88.10043899999999</v>
      </c>
      <c r="AF5518" s="5" t="str">
        <f>HYPERLINK("https://www.google.com/maps/search/?api=1&amp;query=41.974761,-88.100439","map")</f>
        <v>map</v>
      </c>
    </row>
    <row r="5519" spans="1:32">
      <c r="A5519" t="s">
        <v>5569</v>
      </c>
      <c r="B5519" t="s">
        <v>13094</v>
      </c>
      <c r="C5519" t="s">
        <v>15830</v>
      </c>
      <c r="D5519" t="s">
        <v>16207</v>
      </c>
      <c r="E5519" t="s">
        <v>16218</v>
      </c>
      <c r="F5519" t="s">
        <v>16221</v>
      </c>
      <c r="G5519" t="s">
        <v>16241</v>
      </c>
      <c r="H5519" t="s">
        <v>16241</v>
      </c>
      <c r="I5519" t="s">
        <v>16355</v>
      </c>
      <c r="J5519" t="s">
        <v>16385</v>
      </c>
      <c r="K5519">
        <v>0.174</v>
      </c>
      <c r="L5519">
        <v>7558</v>
      </c>
      <c r="M5519">
        <v>1929</v>
      </c>
      <c r="N5519" t="s">
        <v>16393</v>
      </c>
      <c r="O5519" s="4">
        <v>38692</v>
      </c>
      <c r="P5519" s="4">
        <v>89552</v>
      </c>
      <c r="Q5519" s="4">
        <v>128244</v>
      </c>
      <c r="R5519" s="4">
        <v>384732</v>
      </c>
      <c r="S5519" t="s">
        <v>21783</v>
      </c>
      <c r="T5519" s="6">
        <v>31898</v>
      </c>
      <c r="U5519" s="4">
        <v>107900</v>
      </c>
      <c r="X5519" t="s">
        <v>3</v>
      </c>
      <c r="AA5519" s="5" t="str">
        <f>HYPERLINK("https://www.zillow.com/homes/654-BERWICK-PL-ROSELLE-IL-60172_rb/","check listing")</f>
        <v>check listing</v>
      </c>
      <c r="AB5519" s="5" t="str">
        <f>HYPERLINK("https://propertylookup.dupagecounty.gov/Datalets/Datalet.aspx?UseSearch=no&amp;mode=sales&amp;pin=0208205019","sales record")</f>
        <v>sales record</v>
      </c>
      <c r="AC5519" t="s">
        <v>3</v>
      </c>
      <c r="AD5519">
        <v>41.970954</v>
      </c>
      <c r="AE5519">
        <v>-88.111357</v>
      </c>
      <c r="AF5519" s="5" t="str">
        <f>HYPERLINK("https://www.google.com/maps/search/?api=1&amp;query=41.970954,-88.111357","map")</f>
        <v>map</v>
      </c>
    </row>
    <row r="5520" spans="1:32">
      <c r="A5520" t="s">
        <v>5570</v>
      </c>
      <c r="B5520" t="s">
        <v>13095</v>
      </c>
      <c r="C5520" t="s">
        <v>15830</v>
      </c>
      <c r="D5520" t="s">
        <v>16207</v>
      </c>
      <c r="E5520" t="s">
        <v>16218</v>
      </c>
      <c r="F5520" t="s">
        <v>16221</v>
      </c>
      <c r="G5520" t="s">
        <v>16241</v>
      </c>
      <c r="H5520" t="s">
        <v>16241</v>
      </c>
      <c r="I5520" t="s">
        <v>16355</v>
      </c>
      <c r="J5520" t="s">
        <v>16385</v>
      </c>
      <c r="K5520">
        <v>0.174</v>
      </c>
      <c r="L5520">
        <v>7558</v>
      </c>
      <c r="M5520">
        <v>1930</v>
      </c>
      <c r="N5520" t="s">
        <v>16393</v>
      </c>
      <c r="O5520" s="4">
        <v>45278</v>
      </c>
      <c r="P5520" s="4">
        <v>99342</v>
      </c>
      <c r="Q5520" s="4">
        <v>144620</v>
      </c>
      <c r="R5520" s="4">
        <v>433860</v>
      </c>
      <c r="S5520" t="s">
        <v>21784</v>
      </c>
      <c r="T5520" s="6">
        <v>36342</v>
      </c>
      <c r="U5520" s="4">
        <v>185000</v>
      </c>
      <c r="X5520" t="s">
        <v>3</v>
      </c>
      <c r="AA5520" s="5" t="str">
        <f>HYPERLINK("https://www.zillow.com/homes/830-W-BRYN-MAWR-AVE-ROSELLE-IL-60172_rb/","check listing")</f>
        <v>check listing</v>
      </c>
      <c r="AB5520" s="5" t="str">
        <f>HYPERLINK("https://propertylookup.dupagecounty.gov/Datalets/Datalet.aspx?UseSearch=no&amp;mode=sales&amp;pin=0209116016","sales record")</f>
        <v>sales record</v>
      </c>
      <c r="AC5520" t="s">
        <v>3</v>
      </c>
      <c r="AD5520">
        <v>41.974199</v>
      </c>
      <c r="AE5520">
        <v>-88.101364</v>
      </c>
      <c r="AF5520" s="5" t="str">
        <f>HYPERLINK("https://www.google.com/maps/search/?api=1&amp;query=41.974199,-88.101364","map")</f>
        <v>map</v>
      </c>
    </row>
    <row r="5521" spans="1:32">
      <c r="A5521" t="s">
        <v>5571</v>
      </c>
      <c r="B5521" t="s">
        <v>13096</v>
      </c>
      <c r="C5521" t="s">
        <v>15830</v>
      </c>
      <c r="D5521" t="s">
        <v>16207</v>
      </c>
      <c r="E5521" t="s">
        <v>16218</v>
      </c>
      <c r="F5521" t="s">
        <v>16221</v>
      </c>
      <c r="G5521" t="s">
        <v>16241</v>
      </c>
      <c r="H5521" t="s">
        <v>16241</v>
      </c>
      <c r="I5521" t="s">
        <v>16355</v>
      </c>
      <c r="J5521" t="s">
        <v>16385</v>
      </c>
      <c r="K5521">
        <v>0.173</v>
      </c>
      <c r="L5521">
        <v>7553</v>
      </c>
      <c r="M5521">
        <v>528</v>
      </c>
      <c r="N5521" t="s">
        <v>16393</v>
      </c>
      <c r="O5521" s="4">
        <v>38692</v>
      </c>
      <c r="P5521" s="4">
        <v>79189</v>
      </c>
      <c r="Q5521" s="4">
        <v>117881</v>
      </c>
      <c r="R5521" s="4">
        <v>353643</v>
      </c>
      <c r="S5521" t="s">
        <v>21785</v>
      </c>
      <c r="T5521" s="6">
        <v>37073</v>
      </c>
      <c r="U5521" s="4">
        <v>212500</v>
      </c>
      <c r="V5521" t="s">
        <v>23739</v>
      </c>
      <c r="W5521" t="s">
        <v>26829</v>
      </c>
      <c r="X5521" t="s">
        <v>3</v>
      </c>
      <c r="AA5521" s="5" t="str">
        <f>HYPERLINK("https://www.zillow.com/homes/555-HAMPTON-LN-ROSELLE-IL-60172_rb/","check listing")</f>
        <v>check listing</v>
      </c>
      <c r="AB5521" s="5" t="str">
        <f>HYPERLINK("https://propertylookup.dupagecounty.gov/Datalets/Datalet.aspx?UseSearch=no&amp;mode=sales&amp;pin=0209104009","sales record")</f>
        <v>sales record</v>
      </c>
      <c r="AC5521" t="s">
        <v>3</v>
      </c>
      <c r="AD5521">
        <v>41.972864</v>
      </c>
      <c r="AE5521">
        <v>-88.109689</v>
      </c>
      <c r="AF5521" s="5" t="str">
        <f>HYPERLINK("https://www.google.com/maps/search/?api=1&amp;query=41.972864,-88.109689","map")</f>
        <v>map</v>
      </c>
    </row>
    <row r="5522" spans="1:32">
      <c r="A5522" t="s">
        <v>5572</v>
      </c>
      <c r="B5522" t="s">
        <v>13097</v>
      </c>
      <c r="C5522" t="s">
        <v>15830</v>
      </c>
      <c r="D5522" t="s">
        <v>16207</v>
      </c>
      <c r="E5522" t="s">
        <v>16218</v>
      </c>
      <c r="F5522" t="s">
        <v>16221</v>
      </c>
      <c r="G5522" t="s">
        <v>16241</v>
      </c>
      <c r="H5522" t="s">
        <v>16241</v>
      </c>
      <c r="I5522" t="s">
        <v>16355</v>
      </c>
      <c r="J5522" t="s">
        <v>16385</v>
      </c>
      <c r="K5522">
        <v>0.173</v>
      </c>
      <c r="L5522">
        <v>7547</v>
      </c>
      <c r="M5522">
        <v>1270</v>
      </c>
      <c r="N5522" t="s">
        <v>16393</v>
      </c>
      <c r="O5522" s="4">
        <v>38907</v>
      </c>
      <c r="P5522" s="4">
        <v>80097</v>
      </c>
      <c r="Q5522" s="4">
        <v>119004</v>
      </c>
      <c r="R5522" s="4">
        <v>357012</v>
      </c>
      <c r="S5522" t="s">
        <v>21786</v>
      </c>
      <c r="T5522" s="6">
        <v>41183</v>
      </c>
      <c r="U5522" s="4">
        <v>159900</v>
      </c>
      <c r="V5522" t="s">
        <v>16232</v>
      </c>
      <c r="W5522" t="s">
        <v>26830</v>
      </c>
      <c r="X5522" t="s">
        <v>3</v>
      </c>
      <c r="AA5522" s="5" t="str">
        <f>HYPERLINK("https://www.zillow.com/homes/665-BERWICK-PL-ROSELLE-IL-60172_rb/","check listing")</f>
        <v>check listing</v>
      </c>
      <c r="AB5522" s="5" t="str">
        <f>HYPERLINK("https://propertylookup.dupagecounty.gov/Datalets/Datalet.aspx?UseSearch=no&amp;mode=sales&amp;pin=0208215001","sales record")</f>
        <v>sales record</v>
      </c>
      <c r="AC5522" t="s">
        <v>3</v>
      </c>
      <c r="AD5522">
        <v>41.970774</v>
      </c>
      <c r="AE5522">
        <v>-88.11072900000001</v>
      </c>
      <c r="AF5522" s="5" t="str">
        <f>HYPERLINK("https://www.google.com/maps/search/?api=1&amp;query=41.970774,-88.110729","map")</f>
        <v>map</v>
      </c>
    </row>
    <row r="5523" spans="1:32">
      <c r="A5523" t="s">
        <v>5573</v>
      </c>
      <c r="B5523" t="s">
        <v>13098</v>
      </c>
      <c r="C5523" t="s">
        <v>15830</v>
      </c>
      <c r="D5523" t="s">
        <v>16207</v>
      </c>
      <c r="E5523" t="s">
        <v>16218</v>
      </c>
      <c r="F5523" t="s">
        <v>16221</v>
      </c>
      <c r="G5523" t="s">
        <v>16241</v>
      </c>
      <c r="H5523" t="s">
        <v>16241</v>
      </c>
      <c r="I5523" t="s">
        <v>16355</v>
      </c>
      <c r="J5523" t="s">
        <v>16385</v>
      </c>
      <c r="K5523">
        <v>0.173</v>
      </c>
      <c r="L5523">
        <v>7544</v>
      </c>
      <c r="M5523">
        <v>2286</v>
      </c>
      <c r="N5523" t="s">
        <v>16393</v>
      </c>
      <c r="O5523" s="4">
        <v>45278</v>
      </c>
      <c r="P5523" s="4">
        <v>66567</v>
      </c>
      <c r="Q5523" s="4">
        <v>111845</v>
      </c>
      <c r="R5523" s="4">
        <v>335535</v>
      </c>
      <c r="S5523" t="s">
        <v>21787</v>
      </c>
      <c r="T5523" s="6">
        <v>35156</v>
      </c>
      <c r="U5523" s="4">
        <v>141000</v>
      </c>
      <c r="X5523" t="s">
        <v>3</v>
      </c>
      <c r="AA5523" s="5" t="str">
        <f>HYPERLINK("https://www.zillow.com/homes/555-RIDGEFIELD-DR-ROSELLE-IL-60172_rb/","check listing")</f>
        <v>check listing</v>
      </c>
      <c r="AB5523" s="5" t="str">
        <f>HYPERLINK("https://propertylookup.dupagecounty.gov/Datalets/Datalet.aspx?UseSearch=no&amp;mode=sales&amp;pin=0209202034","sales record")</f>
        <v>sales record</v>
      </c>
      <c r="AC5523" t="s">
        <v>3</v>
      </c>
      <c r="AD5523">
        <v>41.972902</v>
      </c>
      <c r="AE5523">
        <v>-88.09738</v>
      </c>
      <c r="AF5523" s="5" t="str">
        <f>HYPERLINK("https://www.google.com/maps/search/?api=1&amp;query=41.972902,-88.09738","map")</f>
        <v>map</v>
      </c>
    </row>
    <row r="5524" spans="1:32">
      <c r="A5524" t="s">
        <v>5574</v>
      </c>
      <c r="B5524" t="s">
        <v>13099</v>
      </c>
      <c r="C5524" t="s">
        <v>15908</v>
      </c>
      <c r="D5524" t="s">
        <v>16207</v>
      </c>
      <c r="E5524" t="s">
        <v>16218</v>
      </c>
      <c r="F5524" t="s">
        <v>16221</v>
      </c>
      <c r="G5524" t="s">
        <v>16241</v>
      </c>
      <c r="H5524" t="s">
        <v>16241</v>
      </c>
      <c r="I5524" t="s">
        <v>16355</v>
      </c>
      <c r="J5524" t="s">
        <v>16385</v>
      </c>
      <c r="K5524">
        <v>0.173</v>
      </c>
      <c r="L5524">
        <v>7541</v>
      </c>
      <c r="M5524">
        <v>1320</v>
      </c>
      <c r="N5524" t="s">
        <v>16393</v>
      </c>
      <c r="O5524" s="4">
        <v>38692</v>
      </c>
      <c r="P5524" s="4">
        <v>74934</v>
      </c>
      <c r="Q5524" s="4">
        <v>113626</v>
      </c>
      <c r="R5524" s="4">
        <v>340878</v>
      </c>
      <c r="S5524" t="s">
        <v>18476</v>
      </c>
      <c r="T5524" s="6">
        <v>44166</v>
      </c>
      <c r="U5524" s="4">
        <v>275000</v>
      </c>
      <c r="V5524" t="s">
        <v>23740</v>
      </c>
      <c r="W5524" t="s">
        <v>18476</v>
      </c>
      <c r="X5524" t="s">
        <v>3</v>
      </c>
      <c r="AA5524" s="5" t="str">
        <f>HYPERLINK("https://www.zillow.com/homes/685-MIDDLETON-DR-ROSELLE-IL-601722715_rb/","check listing")</f>
        <v>check listing</v>
      </c>
      <c r="AB5524" s="5" t="str">
        <f>HYPERLINK("https://propertylookup.dupagecounty.gov/Datalets/Datalet.aspx?UseSearch=no&amp;mode=sales&amp;pin=0209101035","sales record")</f>
        <v>sales record</v>
      </c>
      <c r="AC5524" t="s">
        <v>3</v>
      </c>
      <c r="AD5524">
        <v>41.970148</v>
      </c>
      <c r="AE5524">
        <v>-88.104457</v>
      </c>
      <c r="AF5524" s="5" t="str">
        <f>HYPERLINK("https://www.google.com/maps/search/?api=1&amp;query=41.970148,-88.104457","map")</f>
        <v>map</v>
      </c>
    </row>
    <row r="5525" spans="1:32">
      <c r="A5525" t="s">
        <v>5575</v>
      </c>
      <c r="B5525" t="s">
        <v>13100</v>
      </c>
      <c r="C5525" t="s">
        <v>15909</v>
      </c>
      <c r="D5525" t="s">
        <v>16207</v>
      </c>
      <c r="E5525" t="s">
        <v>16218</v>
      </c>
      <c r="F5525" t="s">
        <v>16221</v>
      </c>
      <c r="G5525" t="s">
        <v>16241</v>
      </c>
      <c r="H5525" t="s">
        <v>16241</v>
      </c>
      <c r="I5525" t="s">
        <v>16355</v>
      </c>
      <c r="J5525" t="s">
        <v>16385</v>
      </c>
      <c r="K5525">
        <v>0.173</v>
      </c>
      <c r="L5525">
        <v>7536</v>
      </c>
      <c r="M5525">
        <v>2144</v>
      </c>
      <c r="N5525" t="s">
        <v>16393</v>
      </c>
      <c r="O5525" s="4">
        <v>45278</v>
      </c>
      <c r="P5525" s="4">
        <v>72675</v>
      </c>
      <c r="Q5525" s="4">
        <v>117953</v>
      </c>
      <c r="R5525" s="4">
        <v>353859</v>
      </c>
      <c r="S5525" t="s">
        <v>21788</v>
      </c>
      <c r="T5525" s="6">
        <v>39295</v>
      </c>
      <c r="U5525" s="4">
        <v>288000</v>
      </c>
      <c r="V5525" t="s">
        <v>23739</v>
      </c>
      <c r="W5525" t="s">
        <v>26831</v>
      </c>
      <c r="X5525" t="s">
        <v>3</v>
      </c>
      <c r="AA5525" s="5" t="str">
        <f>HYPERLINK("https://www.zillow.com/homes/545-AVEBURY-LN-ROSELLE-IL-601722816_rb/","check listing")</f>
        <v>check listing</v>
      </c>
      <c r="AB5525" s="5" t="str">
        <f>HYPERLINK("https://propertylookup.dupagecounty.gov/Datalets/Datalet.aspx?UseSearch=no&amp;mode=sales&amp;pin=0209212011","sales record")</f>
        <v>sales record</v>
      </c>
      <c r="AC5525" t="s">
        <v>3</v>
      </c>
      <c r="AD5525">
        <v>41.973301</v>
      </c>
      <c r="AE5525">
        <v>-88.09787900000001</v>
      </c>
      <c r="AF5525" s="5" t="str">
        <f>HYPERLINK("https://www.google.com/maps/search/?api=1&amp;query=41.973301,-88.097879","map")</f>
        <v>map</v>
      </c>
    </row>
    <row r="5526" spans="1:32">
      <c r="A5526" t="s">
        <v>5576</v>
      </c>
      <c r="B5526" t="s">
        <v>13101</v>
      </c>
      <c r="C5526" t="s">
        <v>15888</v>
      </c>
      <c r="D5526" t="s">
        <v>16207</v>
      </c>
      <c r="E5526" t="s">
        <v>16218</v>
      </c>
      <c r="F5526" t="s">
        <v>16221</v>
      </c>
      <c r="G5526" t="s">
        <v>16241</v>
      </c>
      <c r="H5526" t="s">
        <v>16241</v>
      </c>
      <c r="I5526" t="s">
        <v>16355</v>
      </c>
      <c r="J5526" t="s">
        <v>16385</v>
      </c>
      <c r="K5526">
        <v>0.173</v>
      </c>
      <c r="L5526">
        <v>7525</v>
      </c>
      <c r="M5526">
        <v>1287</v>
      </c>
      <c r="N5526" t="s">
        <v>16393</v>
      </c>
      <c r="O5526" s="4">
        <v>45278</v>
      </c>
      <c r="P5526" s="4">
        <v>71264</v>
      </c>
      <c r="Q5526" s="4">
        <v>116542</v>
      </c>
      <c r="R5526" s="4">
        <v>349626</v>
      </c>
      <c r="S5526" t="s">
        <v>21789</v>
      </c>
      <c r="T5526" s="6">
        <v>44944</v>
      </c>
      <c r="U5526" s="4">
        <v>305000</v>
      </c>
      <c r="V5526" t="s">
        <v>23739</v>
      </c>
      <c r="W5526" t="s">
        <v>26832</v>
      </c>
      <c r="X5526" t="s">
        <v>3</v>
      </c>
      <c r="AA5526" s="5" t="str">
        <f>HYPERLINK("https://www.zillow.com/homes/565-DALTON-LN-ROSELLE-IL-601722820_rb/","check listing")</f>
        <v>check listing</v>
      </c>
      <c r="AB5526" s="5" t="str">
        <f>HYPERLINK("https://propertylookup.dupagecounty.gov/Datalets/Datalet.aspx?UseSearch=no&amp;mode=sales&amp;pin=0209213013","sales record")</f>
        <v>sales record</v>
      </c>
      <c r="AC5526" t="s">
        <v>3</v>
      </c>
      <c r="AD5526">
        <v>41.972759</v>
      </c>
      <c r="AE5526">
        <v>-88.099039</v>
      </c>
      <c r="AF5526" s="5" t="str">
        <f>HYPERLINK("https://www.google.com/maps/search/?api=1&amp;query=41.972759,-88.099039","map")</f>
        <v>map</v>
      </c>
    </row>
    <row r="5527" spans="1:32">
      <c r="A5527" t="s">
        <v>5577</v>
      </c>
      <c r="B5527" t="s">
        <v>13102</v>
      </c>
      <c r="C5527" t="s">
        <v>15876</v>
      </c>
      <c r="D5527" t="s">
        <v>16207</v>
      </c>
      <c r="E5527" t="s">
        <v>16218</v>
      </c>
      <c r="F5527" t="s">
        <v>16221</v>
      </c>
      <c r="G5527" t="s">
        <v>16241</v>
      </c>
      <c r="H5527" t="s">
        <v>16241</v>
      </c>
      <c r="I5527" t="s">
        <v>16355</v>
      </c>
      <c r="J5527" t="s">
        <v>16385</v>
      </c>
      <c r="K5527">
        <v>0.173</v>
      </c>
      <c r="L5527">
        <v>7523</v>
      </c>
      <c r="M5527">
        <v>1930</v>
      </c>
      <c r="N5527" t="s">
        <v>16393</v>
      </c>
      <c r="O5527" s="4">
        <v>45278</v>
      </c>
      <c r="P5527" s="4">
        <v>92589</v>
      </c>
      <c r="Q5527" s="4">
        <v>137867</v>
      </c>
      <c r="R5527" s="4">
        <v>413601</v>
      </c>
      <c r="S5527" t="s">
        <v>21790</v>
      </c>
      <c r="T5527" s="6">
        <v>37104</v>
      </c>
      <c r="U5527" s="4">
        <v>238000</v>
      </c>
      <c r="V5527" t="s">
        <v>23739</v>
      </c>
      <c r="W5527" t="s">
        <v>26833</v>
      </c>
      <c r="X5527" t="s">
        <v>3</v>
      </c>
      <c r="AA5527" s="5" t="str">
        <f>HYPERLINK("https://www.zillow.com/homes/495-RIDGEFIELD-DR-ROSELLE-IL-601722830_rb/","check listing")</f>
        <v>check listing</v>
      </c>
      <c r="AB5527" s="5" t="str">
        <f>HYPERLINK("https://propertylookup.dupagecounty.gov/Datalets/Datalet.aspx?UseSearch=no&amp;mode=sales&amp;pin=0209202028","sales record")</f>
        <v>sales record</v>
      </c>
      <c r="AC5527" t="s">
        <v>3</v>
      </c>
      <c r="AD5527">
        <v>41.974032</v>
      </c>
      <c r="AE5527">
        <v>-88.097335</v>
      </c>
      <c r="AF5527" s="5" t="str">
        <f>HYPERLINK("https://www.google.com/maps/search/?api=1&amp;query=41.974032,-88.097335","map")</f>
        <v>map</v>
      </c>
    </row>
    <row r="5528" spans="1:32">
      <c r="A5528" t="s">
        <v>5578</v>
      </c>
      <c r="B5528" t="s">
        <v>13103</v>
      </c>
      <c r="C5528" t="s">
        <v>15830</v>
      </c>
      <c r="D5528" t="s">
        <v>16207</v>
      </c>
      <c r="E5528" t="s">
        <v>16218</v>
      </c>
      <c r="F5528" t="s">
        <v>16221</v>
      </c>
      <c r="G5528" t="s">
        <v>16241</v>
      </c>
      <c r="H5528" t="s">
        <v>16241</v>
      </c>
      <c r="I5528" t="s">
        <v>16355</v>
      </c>
      <c r="J5528" t="s">
        <v>16385</v>
      </c>
      <c r="K5528">
        <v>0.173</v>
      </c>
      <c r="L5528">
        <v>7522</v>
      </c>
      <c r="M5528">
        <v>1648</v>
      </c>
      <c r="N5528" t="s">
        <v>16393</v>
      </c>
      <c r="O5528" s="4">
        <v>45278</v>
      </c>
      <c r="P5528" s="4">
        <v>73511</v>
      </c>
      <c r="Q5528" s="4">
        <v>118789</v>
      </c>
      <c r="R5528" s="4">
        <v>356367</v>
      </c>
      <c r="S5528" t="s">
        <v>21791</v>
      </c>
      <c r="T5528" s="6">
        <v>30956</v>
      </c>
      <c r="U5528" s="4">
        <v>85800</v>
      </c>
      <c r="X5528" t="s">
        <v>3</v>
      </c>
      <c r="AA5528" s="5" t="str">
        <f>HYPERLINK("https://www.zillow.com/homes/615-KENSINGTON-CT-ROSELLE-IL-60172_rb/","check listing")</f>
        <v>check listing</v>
      </c>
      <c r="AB5528" s="5" t="str">
        <f>HYPERLINK("https://propertylookup.dupagecounty.gov/Datalets/Datalet.aspx?UseSearch=no&amp;mode=sales&amp;pin=0208204014","sales record")</f>
        <v>sales record</v>
      </c>
      <c r="AC5528" t="s">
        <v>3</v>
      </c>
      <c r="AD5528">
        <v>41.971185</v>
      </c>
      <c r="AE5528">
        <v>-88.113362</v>
      </c>
      <c r="AF5528" s="5" t="str">
        <f>HYPERLINK("https://www.google.com/maps/search/?api=1&amp;query=41.971185,-88.113362","map")</f>
        <v>map</v>
      </c>
    </row>
    <row r="5529" spans="1:32">
      <c r="A5529" t="s">
        <v>5579</v>
      </c>
      <c r="B5529" t="s">
        <v>13104</v>
      </c>
      <c r="C5529" t="s">
        <v>15830</v>
      </c>
      <c r="D5529" t="s">
        <v>16207</v>
      </c>
      <c r="E5529" t="s">
        <v>16218</v>
      </c>
      <c r="F5529" t="s">
        <v>16221</v>
      </c>
      <c r="G5529" t="s">
        <v>16241</v>
      </c>
      <c r="H5529" t="s">
        <v>16241</v>
      </c>
      <c r="I5529" t="s">
        <v>16355</v>
      </c>
      <c r="J5529" t="s">
        <v>16385</v>
      </c>
      <c r="K5529">
        <v>0.172</v>
      </c>
      <c r="L5529">
        <v>7514</v>
      </c>
      <c r="M5529">
        <v>1574</v>
      </c>
      <c r="N5529" t="s">
        <v>16393</v>
      </c>
      <c r="O5529" s="4">
        <v>45278</v>
      </c>
      <c r="P5529" s="4">
        <v>92122</v>
      </c>
      <c r="Q5529" s="4">
        <v>137400</v>
      </c>
      <c r="R5529" s="4">
        <v>412200</v>
      </c>
      <c r="S5529" t="s">
        <v>21792</v>
      </c>
      <c r="X5529" t="s">
        <v>3</v>
      </c>
      <c r="AA5529" s="5" t="str">
        <f>HYPERLINK("https://www.zillow.com/homes/140-CHATHAM-LN-ROSELLE-IL-60172_rb/","check listing")</f>
        <v>check listing</v>
      </c>
      <c r="AB5529" s="5" t="str">
        <f>HYPERLINK("https://propertylookup.dupagecounty.gov/Datalets/Datalet.aspx?UseSearch=no&amp;mode=sales&amp;pin=0205401008","sales record")</f>
        <v>sales record</v>
      </c>
      <c r="AC5529" t="s">
        <v>3</v>
      </c>
      <c r="AD5529">
        <v>41.979953</v>
      </c>
      <c r="AE5529">
        <v>-88.11511400000001</v>
      </c>
      <c r="AF5529" s="5" t="str">
        <f>HYPERLINK("https://www.google.com/maps/search/?api=1&amp;query=41.979953,-88.115114","map")</f>
        <v>map</v>
      </c>
    </row>
    <row r="5530" spans="1:32">
      <c r="A5530" t="s">
        <v>5580</v>
      </c>
      <c r="B5530" t="s">
        <v>13105</v>
      </c>
      <c r="C5530" t="s">
        <v>15830</v>
      </c>
      <c r="D5530" t="s">
        <v>16207</v>
      </c>
      <c r="E5530" t="s">
        <v>16218</v>
      </c>
      <c r="F5530" t="s">
        <v>16221</v>
      </c>
      <c r="G5530" t="s">
        <v>16241</v>
      </c>
      <c r="H5530" t="s">
        <v>16241</v>
      </c>
      <c r="I5530" t="s">
        <v>16355</v>
      </c>
      <c r="J5530" t="s">
        <v>16385</v>
      </c>
      <c r="K5530">
        <v>0.172</v>
      </c>
      <c r="L5530">
        <v>7507</v>
      </c>
      <c r="M5530">
        <v>2395</v>
      </c>
      <c r="N5530" t="s">
        <v>16393</v>
      </c>
      <c r="O5530" s="4">
        <v>45278</v>
      </c>
      <c r="P5530" s="4">
        <v>75305</v>
      </c>
      <c r="Q5530" s="4">
        <v>120583</v>
      </c>
      <c r="R5530" s="4">
        <v>361749</v>
      </c>
      <c r="S5530" t="s">
        <v>21793</v>
      </c>
      <c r="T5530" s="6">
        <v>38657</v>
      </c>
      <c r="U5530" s="4">
        <v>325000</v>
      </c>
      <c r="V5530" t="s">
        <v>23739</v>
      </c>
      <c r="W5530" t="s">
        <v>26834</v>
      </c>
      <c r="X5530" t="s">
        <v>3</v>
      </c>
      <c r="AA5530" s="5" t="str">
        <f>HYPERLINK("https://www.zillow.com/homes/625-EDENWOOD-DR-ROSELLE-IL-60172_rb/","check listing")</f>
        <v>check listing</v>
      </c>
      <c r="AB5530" s="5" t="str">
        <f>HYPERLINK("https://propertylookup.dupagecounty.gov/Datalets/Datalet.aspx?UseSearch=no&amp;mode=sales&amp;pin=0209206033","sales record")</f>
        <v>sales record</v>
      </c>
      <c r="AC5530" t="s">
        <v>3</v>
      </c>
      <c r="AD5530">
        <v>41.972193</v>
      </c>
      <c r="AE5530">
        <v>-88.096221</v>
      </c>
      <c r="AF5530" s="5" t="str">
        <f>HYPERLINK("https://www.google.com/maps/search/?api=1&amp;query=41.972193,-88.096221","map")</f>
        <v>map</v>
      </c>
    </row>
    <row r="5531" spans="1:32">
      <c r="A5531" t="s">
        <v>5581</v>
      </c>
      <c r="B5531" t="s">
        <v>13106</v>
      </c>
      <c r="C5531" t="s">
        <v>15830</v>
      </c>
      <c r="D5531" t="s">
        <v>16207</v>
      </c>
      <c r="E5531" t="s">
        <v>16218</v>
      </c>
      <c r="F5531" t="s">
        <v>16221</v>
      </c>
      <c r="G5531" t="s">
        <v>16241</v>
      </c>
      <c r="H5531" t="s">
        <v>16241</v>
      </c>
      <c r="I5531" t="s">
        <v>16355</v>
      </c>
      <c r="J5531" t="s">
        <v>16385</v>
      </c>
      <c r="K5531">
        <v>0.172</v>
      </c>
      <c r="L5531">
        <v>7499</v>
      </c>
      <c r="M5531">
        <v>1269</v>
      </c>
      <c r="N5531" t="s">
        <v>16393</v>
      </c>
      <c r="O5531" s="4">
        <v>38692</v>
      </c>
      <c r="P5531" s="4">
        <v>77444</v>
      </c>
      <c r="Q5531" s="4">
        <v>116136</v>
      </c>
      <c r="R5531" s="4">
        <v>348408</v>
      </c>
      <c r="S5531" t="s">
        <v>21794</v>
      </c>
      <c r="T5531" s="6">
        <v>44044</v>
      </c>
      <c r="U5531" s="4">
        <v>277000</v>
      </c>
      <c r="V5531" t="s">
        <v>23739</v>
      </c>
      <c r="W5531" t="s">
        <v>26835</v>
      </c>
      <c r="X5531" t="s">
        <v>3</v>
      </c>
      <c r="AA5531" s="5" t="str">
        <f>HYPERLINK("https://www.zillow.com/homes/490-S-GARDEN-AVE-ROSELLE-IL-60172_rb/","check listing")</f>
        <v>check listing</v>
      </c>
      <c r="AB5531" s="5" t="str">
        <f>HYPERLINK("https://propertylookup.dupagecounty.gov/Datalets/Datalet.aspx?UseSearch=no&amp;mode=sales&amp;pin=0209109011","sales record")</f>
        <v>sales record</v>
      </c>
      <c r="AC5531" t="s">
        <v>3</v>
      </c>
      <c r="AD5531">
        <v>41.973937</v>
      </c>
      <c r="AE5531">
        <v>-88.10347299999999</v>
      </c>
      <c r="AF5531" s="5" t="str">
        <f>HYPERLINK("https://www.google.com/maps/search/?api=1&amp;query=41.973937,-88.103473","map")</f>
        <v>map</v>
      </c>
    </row>
    <row r="5532" spans="1:32">
      <c r="A5532" t="s">
        <v>5582</v>
      </c>
      <c r="B5532" t="s">
        <v>13107</v>
      </c>
      <c r="C5532" t="s">
        <v>15830</v>
      </c>
      <c r="D5532" t="s">
        <v>16207</v>
      </c>
      <c r="E5532" t="s">
        <v>16218</v>
      </c>
      <c r="F5532" t="s">
        <v>16221</v>
      </c>
      <c r="G5532" t="s">
        <v>16241</v>
      </c>
      <c r="H5532" t="s">
        <v>16241</v>
      </c>
      <c r="I5532" t="s">
        <v>16355</v>
      </c>
      <c r="J5532" t="s">
        <v>16385</v>
      </c>
      <c r="K5532">
        <v>0.172</v>
      </c>
      <c r="L5532">
        <v>7496</v>
      </c>
      <c r="M5532">
        <v>1188</v>
      </c>
      <c r="N5532" t="s">
        <v>16393</v>
      </c>
      <c r="O5532" s="4">
        <v>38692</v>
      </c>
      <c r="P5532" s="4">
        <v>80097</v>
      </c>
      <c r="Q5532" s="4">
        <v>118789</v>
      </c>
      <c r="R5532" s="4">
        <v>356367</v>
      </c>
      <c r="S5532" t="s">
        <v>21795</v>
      </c>
      <c r="X5532" t="s">
        <v>3</v>
      </c>
      <c r="AA5532" s="5" t="str">
        <f>HYPERLINK("https://www.zillow.com/homes/850-STONEFIELD-PL-ROSELLE-IL-60172_rb/","check listing")</f>
        <v>check listing</v>
      </c>
      <c r="AB5532" s="5" t="str">
        <f>HYPERLINK("https://propertylookup.dupagecounty.gov/Datalets/Datalet.aspx?UseSearch=no&amp;mode=sales&amp;pin=0209113008","sales record")</f>
        <v>sales record</v>
      </c>
      <c r="AC5532" t="s">
        <v>3</v>
      </c>
      <c r="AD5532">
        <v>41.972477</v>
      </c>
      <c r="AE5532">
        <v>-88.10190900000001</v>
      </c>
      <c r="AF5532" s="5" t="str">
        <f>HYPERLINK("https://www.google.com/maps/search/?api=1&amp;query=41.972477,-88.101909","map")</f>
        <v>map</v>
      </c>
    </row>
    <row r="5533" spans="1:32">
      <c r="A5533" t="s">
        <v>5583</v>
      </c>
      <c r="B5533" t="s">
        <v>13108</v>
      </c>
      <c r="C5533" t="s">
        <v>15830</v>
      </c>
      <c r="D5533" t="s">
        <v>16207</v>
      </c>
      <c r="E5533" t="s">
        <v>16218</v>
      </c>
      <c r="F5533" t="s">
        <v>16221</v>
      </c>
      <c r="G5533" t="s">
        <v>16241</v>
      </c>
      <c r="H5533" t="s">
        <v>16241</v>
      </c>
      <c r="I5533" t="s">
        <v>16355</v>
      </c>
      <c r="J5533" t="s">
        <v>16385</v>
      </c>
      <c r="K5533">
        <v>0.172</v>
      </c>
      <c r="L5533">
        <v>7495</v>
      </c>
      <c r="M5533">
        <v>1842</v>
      </c>
      <c r="N5533" t="s">
        <v>16393</v>
      </c>
      <c r="O5533" s="4">
        <v>45278</v>
      </c>
      <c r="P5533" s="4">
        <v>95051</v>
      </c>
      <c r="Q5533" s="4">
        <v>140329</v>
      </c>
      <c r="R5533" s="4">
        <v>420987</v>
      </c>
      <c r="S5533" t="s">
        <v>21796</v>
      </c>
      <c r="T5533" s="6">
        <v>34213</v>
      </c>
      <c r="U5533" s="4">
        <v>155000</v>
      </c>
      <c r="X5533" t="s">
        <v>3</v>
      </c>
      <c r="AA5533" s="5" t="str">
        <f>HYPERLINK("https://www.zillow.com/homes/520-AVEBURY-LN-ROSELLE-IL-60172_rb/","check listing")</f>
        <v>check listing</v>
      </c>
      <c r="AB5533" s="5" t="str">
        <f>HYPERLINK("https://propertylookup.dupagecounty.gov/Datalets/Datalet.aspx?UseSearch=no&amp;mode=sales&amp;pin=0209213003","sales record")</f>
        <v>sales record</v>
      </c>
      <c r="AC5533" t="s">
        <v>3</v>
      </c>
      <c r="AD5533">
        <v>41.973289</v>
      </c>
      <c r="AE5533">
        <v>-88.098833</v>
      </c>
      <c r="AF5533" s="5" t="str">
        <f>HYPERLINK("https://www.google.com/maps/search/?api=1&amp;query=41.973289,-88.098833","map")</f>
        <v>map</v>
      </c>
    </row>
    <row r="5534" spans="1:32">
      <c r="A5534" t="s">
        <v>5584</v>
      </c>
      <c r="B5534" t="s">
        <v>13109</v>
      </c>
      <c r="C5534" t="s">
        <v>15830</v>
      </c>
      <c r="D5534" t="s">
        <v>16207</v>
      </c>
      <c r="E5534" t="s">
        <v>16218</v>
      </c>
      <c r="F5534" t="s">
        <v>16221</v>
      </c>
      <c r="G5534" t="s">
        <v>16241</v>
      </c>
      <c r="H5534" t="s">
        <v>16241</v>
      </c>
      <c r="I5534" t="s">
        <v>16355</v>
      </c>
      <c r="J5534" t="s">
        <v>16385</v>
      </c>
      <c r="K5534">
        <v>0.172</v>
      </c>
      <c r="L5534">
        <v>7491</v>
      </c>
      <c r="M5534">
        <v>1815</v>
      </c>
      <c r="N5534" t="s">
        <v>16393</v>
      </c>
      <c r="O5534" s="4">
        <v>28556</v>
      </c>
      <c r="P5534" s="4">
        <v>94035</v>
      </c>
      <c r="Q5534" s="4">
        <v>122591</v>
      </c>
      <c r="R5534" s="4">
        <v>367773</v>
      </c>
      <c r="S5534" t="s">
        <v>21797</v>
      </c>
      <c r="T5534" s="6">
        <v>43160</v>
      </c>
      <c r="U5534" s="4">
        <v>125000</v>
      </c>
      <c r="V5534" t="s">
        <v>23739</v>
      </c>
      <c r="W5534" t="s">
        <v>21797</v>
      </c>
      <c r="X5534" t="s">
        <v>3</v>
      </c>
      <c r="AA5534" s="5" t="str">
        <f>HYPERLINK("https://www.zillow.com/homes/19-S-ROSELLE-RD-ROSELLE-IL-60172_rb/","check listing")</f>
        <v>check listing</v>
      </c>
      <c r="AB5534" s="5" t="str">
        <f>HYPERLINK("https://propertylookup.dupagecounty.gov/Datalets/Datalet.aspx?UseSearch=no&amp;mode=sales&amp;pin=0203400021","sales record")</f>
        <v>sales record</v>
      </c>
      <c r="AC5534" t="s">
        <v>3</v>
      </c>
      <c r="AD5534">
        <v>41.983024</v>
      </c>
      <c r="AE5534">
        <v>-88.07988</v>
      </c>
      <c r="AF5534" s="5" t="str">
        <f>HYPERLINK("https://www.google.com/maps/search/?api=1&amp;query=41.983024,-88.07988","map")</f>
        <v>map</v>
      </c>
    </row>
    <row r="5535" spans="1:32">
      <c r="A5535" t="s">
        <v>5585</v>
      </c>
      <c r="B5535" t="s">
        <v>13110</v>
      </c>
      <c r="C5535" t="s">
        <v>15830</v>
      </c>
      <c r="D5535" t="s">
        <v>16207</v>
      </c>
      <c r="E5535" t="s">
        <v>16218</v>
      </c>
      <c r="F5535" t="s">
        <v>16221</v>
      </c>
      <c r="G5535" t="s">
        <v>16241</v>
      </c>
      <c r="H5535" t="s">
        <v>16241</v>
      </c>
      <c r="I5535" t="s">
        <v>16355</v>
      </c>
      <c r="J5535" t="s">
        <v>16385</v>
      </c>
      <c r="K5535">
        <v>0.172</v>
      </c>
      <c r="L5535">
        <v>7486</v>
      </c>
      <c r="M5535">
        <v>1715</v>
      </c>
      <c r="N5535" t="s">
        <v>16393</v>
      </c>
      <c r="O5535" s="4">
        <v>45278</v>
      </c>
      <c r="P5535" s="4">
        <v>69902</v>
      </c>
      <c r="Q5535" s="4">
        <v>115180</v>
      </c>
      <c r="R5535" s="4">
        <v>345540</v>
      </c>
      <c r="S5535" t="s">
        <v>21798</v>
      </c>
      <c r="T5535" s="6">
        <v>40664</v>
      </c>
      <c r="U5535" s="4">
        <v>220000</v>
      </c>
      <c r="V5535" t="s">
        <v>23739</v>
      </c>
      <c r="W5535" t="s">
        <v>26836</v>
      </c>
      <c r="X5535" t="s">
        <v>3</v>
      </c>
      <c r="AA5535" s="5" t="str">
        <f>HYPERLINK("https://www.zillow.com/homes/340-CHATHAM-LN-ROSELLE-IL-60172_rb/","check listing")</f>
        <v>check listing</v>
      </c>
      <c r="AB5535" s="5" t="str">
        <f>HYPERLINK("https://propertylookup.dupagecounty.gov/Datalets/Datalet.aspx?UseSearch=no&amp;mode=sales&amp;pin=0205401042","sales record")</f>
        <v>sales record</v>
      </c>
      <c r="AC5535" t="s">
        <v>3</v>
      </c>
      <c r="AD5535">
        <v>41.976368</v>
      </c>
      <c r="AE5535">
        <v>-88.114001</v>
      </c>
      <c r="AF5535" s="5" t="str">
        <f>HYPERLINK("https://www.google.com/maps/search/?api=1&amp;query=41.976368,-88.114001","map")</f>
        <v>map</v>
      </c>
    </row>
    <row r="5536" spans="1:32">
      <c r="A5536" t="s">
        <v>5586</v>
      </c>
      <c r="B5536" t="s">
        <v>13111</v>
      </c>
      <c r="C5536" t="s">
        <v>15830</v>
      </c>
      <c r="D5536" t="s">
        <v>16207</v>
      </c>
      <c r="E5536" t="s">
        <v>16218</v>
      </c>
      <c r="F5536" t="s">
        <v>16221</v>
      </c>
      <c r="G5536" t="s">
        <v>16241</v>
      </c>
      <c r="H5536" t="s">
        <v>16241</v>
      </c>
      <c r="I5536" t="s">
        <v>16355</v>
      </c>
      <c r="J5536" t="s">
        <v>16385</v>
      </c>
      <c r="K5536">
        <v>0.172</v>
      </c>
      <c r="L5536">
        <v>7476</v>
      </c>
      <c r="M5536">
        <v>1712</v>
      </c>
      <c r="N5536" t="s">
        <v>16393</v>
      </c>
      <c r="O5536" s="4">
        <v>45278</v>
      </c>
      <c r="P5536" s="4">
        <v>86588</v>
      </c>
      <c r="Q5536" s="4">
        <v>131866</v>
      </c>
      <c r="R5536" s="4">
        <v>395598</v>
      </c>
      <c r="S5536" t="s">
        <v>21473</v>
      </c>
      <c r="T5536" s="6">
        <v>37165</v>
      </c>
      <c r="U5536" s="4">
        <v>221500</v>
      </c>
      <c r="V5536" t="s">
        <v>23739</v>
      </c>
      <c r="W5536" t="s">
        <v>26663</v>
      </c>
      <c r="X5536" t="s">
        <v>3</v>
      </c>
      <c r="AA5536" s="5" t="str">
        <f>HYPERLINK("https://www.zillow.com/homes/475-RIDGEFIELD-DR-ROSELLE-IL-60172_rb/","check listing")</f>
        <v>check listing</v>
      </c>
      <c r="AB5536" s="5" t="str">
        <f>HYPERLINK("https://propertylookup.dupagecounty.gov/Datalets/Datalet.aspx?UseSearch=no&amp;mode=sales&amp;pin=0209202026","sales record")</f>
        <v>sales record</v>
      </c>
      <c r="AC5536" t="s">
        <v>3</v>
      </c>
      <c r="AD5536">
        <v>41.974452</v>
      </c>
      <c r="AE5536">
        <v>-88.097449</v>
      </c>
      <c r="AF5536" s="5" t="str">
        <f>HYPERLINK("https://www.google.com/maps/search/?api=1&amp;query=41.974452,-88.097449","map")</f>
        <v>map</v>
      </c>
    </row>
    <row r="5537" spans="1:32">
      <c r="A5537" t="s">
        <v>5587</v>
      </c>
      <c r="B5537" t="s">
        <v>13112</v>
      </c>
      <c r="C5537" t="s">
        <v>15830</v>
      </c>
      <c r="D5537" t="s">
        <v>16207</v>
      </c>
      <c r="E5537" t="s">
        <v>16218</v>
      </c>
      <c r="F5537" t="s">
        <v>16221</v>
      </c>
      <c r="G5537" t="s">
        <v>16241</v>
      </c>
      <c r="H5537" t="s">
        <v>16241</v>
      </c>
      <c r="I5537" t="s">
        <v>16355</v>
      </c>
      <c r="J5537" t="s">
        <v>16385</v>
      </c>
      <c r="K5537">
        <v>0.171</v>
      </c>
      <c r="L5537">
        <v>7455</v>
      </c>
      <c r="M5537">
        <v>2310</v>
      </c>
      <c r="N5537" t="s">
        <v>16393</v>
      </c>
      <c r="O5537" s="4">
        <v>45278</v>
      </c>
      <c r="P5537" s="4">
        <v>106657</v>
      </c>
      <c r="Q5537" s="4">
        <v>151935</v>
      </c>
      <c r="R5537" s="4">
        <v>455805</v>
      </c>
      <c r="S5537" t="s">
        <v>21799</v>
      </c>
      <c r="T5537" s="6">
        <v>36923</v>
      </c>
      <c r="U5537" s="4">
        <v>245000</v>
      </c>
      <c r="V5537" t="s">
        <v>23739</v>
      </c>
      <c r="W5537" t="s">
        <v>26837</v>
      </c>
      <c r="X5537" t="s">
        <v>3</v>
      </c>
      <c r="AA5537" s="5" t="str">
        <f>HYPERLINK("https://www.zillow.com/homes/830-BRANDYWINE-DR-ROSELLE-IL-60172_rb/","check listing")</f>
        <v>check listing</v>
      </c>
      <c r="AB5537" s="5" t="str">
        <f>HYPERLINK("https://propertylookup.dupagecounty.gov/Datalets/Datalet.aspx?UseSearch=no&amp;mode=sales&amp;pin=0209114012","sales record")</f>
        <v>sales record</v>
      </c>
      <c r="AC5537" t="s">
        <v>3</v>
      </c>
      <c r="AD5537">
        <v>41.975447</v>
      </c>
      <c r="AE5537">
        <v>-88.101356</v>
      </c>
      <c r="AF5537" s="5" t="str">
        <f>HYPERLINK("https://www.google.com/maps/search/?api=1&amp;query=41.975447,-88.101356","map")</f>
        <v>map</v>
      </c>
    </row>
    <row r="5538" spans="1:32">
      <c r="A5538" t="s">
        <v>5588</v>
      </c>
      <c r="B5538" t="s">
        <v>13113</v>
      </c>
      <c r="C5538" t="s">
        <v>15830</v>
      </c>
      <c r="D5538" t="s">
        <v>16207</v>
      </c>
      <c r="E5538" t="s">
        <v>16218</v>
      </c>
      <c r="F5538" t="s">
        <v>16221</v>
      </c>
      <c r="G5538" t="s">
        <v>16241</v>
      </c>
      <c r="H5538" t="s">
        <v>16241</v>
      </c>
      <c r="I5538" t="s">
        <v>16355</v>
      </c>
      <c r="J5538" t="s">
        <v>16385</v>
      </c>
      <c r="K5538">
        <v>0.171</v>
      </c>
      <c r="L5538">
        <v>7455</v>
      </c>
      <c r="M5538">
        <v>1056</v>
      </c>
      <c r="N5538" t="s">
        <v>16393</v>
      </c>
      <c r="O5538" s="4">
        <v>38692</v>
      </c>
      <c r="P5538" s="4">
        <v>75974</v>
      </c>
      <c r="Q5538" s="4">
        <v>114666</v>
      </c>
      <c r="R5538" s="4">
        <v>343998</v>
      </c>
      <c r="S5538" t="s">
        <v>21800</v>
      </c>
      <c r="T5538" s="6">
        <v>42156</v>
      </c>
      <c r="U5538" s="4">
        <v>240000</v>
      </c>
      <c r="V5538" t="s">
        <v>23739</v>
      </c>
      <c r="W5538" t="s">
        <v>26838</v>
      </c>
      <c r="X5538" t="s">
        <v>3</v>
      </c>
      <c r="AA5538" s="5" t="str">
        <f>HYPERLINK("https://www.zillow.com/homes/840-STONEFIELD-PL-ROSELLE-IL-60172_rb/","check listing")</f>
        <v>check listing</v>
      </c>
      <c r="AB5538" s="5" t="str">
        <f>HYPERLINK("https://propertylookup.dupagecounty.gov/Datalets/Datalet.aspx?UseSearch=no&amp;mode=sales&amp;pin=0209113009","sales record")</f>
        <v>sales record</v>
      </c>
      <c r="AC5538" t="s">
        <v>3</v>
      </c>
      <c r="AD5538">
        <v>41.972496</v>
      </c>
      <c r="AE5538">
        <v>-88.101677</v>
      </c>
      <c r="AF5538" s="5" t="str">
        <f>HYPERLINK("https://www.google.com/maps/search/?api=1&amp;query=41.972496,-88.101677","map")</f>
        <v>map</v>
      </c>
    </row>
    <row r="5539" spans="1:32">
      <c r="A5539" t="s">
        <v>5589</v>
      </c>
      <c r="B5539" t="s">
        <v>13114</v>
      </c>
      <c r="C5539" t="s">
        <v>15830</v>
      </c>
      <c r="D5539" t="s">
        <v>16207</v>
      </c>
      <c r="E5539" t="s">
        <v>16218</v>
      </c>
      <c r="F5539" t="s">
        <v>16221</v>
      </c>
      <c r="G5539" t="s">
        <v>16241</v>
      </c>
      <c r="H5539" t="s">
        <v>16241</v>
      </c>
      <c r="I5539" t="s">
        <v>16355</v>
      </c>
      <c r="J5539" t="s">
        <v>16385</v>
      </c>
      <c r="K5539">
        <v>0.171</v>
      </c>
      <c r="L5539">
        <v>7454</v>
      </c>
      <c r="M5539">
        <v>1584</v>
      </c>
      <c r="N5539" t="s">
        <v>16393</v>
      </c>
      <c r="O5539" s="4">
        <v>45278</v>
      </c>
      <c r="P5539" s="4">
        <v>86815</v>
      </c>
      <c r="Q5539" s="4">
        <v>132093</v>
      </c>
      <c r="R5539" s="4">
        <v>396279</v>
      </c>
      <c r="S5539" t="s">
        <v>21801</v>
      </c>
      <c r="T5539" s="6">
        <v>34851</v>
      </c>
      <c r="U5539" s="4">
        <v>152000</v>
      </c>
      <c r="X5539" t="s">
        <v>3</v>
      </c>
      <c r="AA5539" s="5" t="str">
        <f>HYPERLINK("https://www.zillow.com/homes/100-CHATHAM-LN-ROSELLE-IL-60172_rb/","check listing")</f>
        <v>check listing</v>
      </c>
      <c r="AB5539" s="5" t="str">
        <f>HYPERLINK("https://propertylookup.dupagecounty.gov/Datalets/Datalet.aspx?UseSearch=no&amp;mode=sales&amp;pin=0205401004","sales record")</f>
        <v>sales record</v>
      </c>
      <c r="AC5539" t="s">
        <v>3</v>
      </c>
      <c r="AD5539">
        <v>41.98069</v>
      </c>
      <c r="AE5539">
        <v>-88.115129</v>
      </c>
      <c r="AF5539" s="5" t="str">
        <f>HYPERLINK("https://www.google.com/maps/search/?api=1&amp;query=41.98069,-88.115129","map")</f>
        <v>map</v>
      </c>
    </row>
    <row r="5540" spans="1:32">
      <c r="A5540" t="s">
        <v>5590</v>
      </c>
      <c r="B5540" t="s">
        <v>13115</v>
      </c>
      <c r="C5540" t="s">
        <v>15830</v>
      </c>
      <c r="D5540" t="s">
        <v>16207</v>
      </c>
      <c r="E5540" t="s">
        <v>16218</v>
      </c>
      <c r="F5540" t="s">
        <v>16221</v>
      </c>
      <c r="G5540" t="s">
        <v>16241</v>
      </c>
      <c r="H5540" t="s">
        <v>16241</v>
      </c>
      <c r="I5540" t="s">
        <v>16355</v>
      </c>
      <c r="J5540" t="s">
        <v>16385</v>
      </c>
      <c r="K5540">
        <v>0.171</v>
      </c>
      <c r="L5540">
        <v>7451</v>
      </c>
      <c r="M5540">
        <v>1056</v>
      </c>
      <c r="N5540" t="s">
        <v>16393</v>
      </c>
      <c r="O5540" s="4">
        <v>45278</v>
      </c>
      <c r="P5540" s="4">
        <v>93736</v>
      </c>
      <c r="Q5540" s="4">
        <v>139014</v>
      </c>
      <c r="R5540" s="4">
        <v>417042</v>
      </c>
      <c r="S5540" t="s">
        <v>21802</v>
      </c>
      <c r="T5540" s="6">
        <v>41030</v>
      </c>
      <c r="U5540" s="4">
        <v>253000</v>
      </c>
      <c r="V5540" t="s">
        <v>23739</v>
      </c>
      <c r="W5540" t="s">
        <v>26839</v>
      </c>
      <c r="X5540" t="s">
        <v>3</v>
      </c>
      <c r="AA5540" s="5" t="str">
        <f>HYPERLINK("https://www.zillow.com/homes/1125-HYGATE-DR-ROSELLE-IL-60172_rb/","check listing")</f>
        <v>check listing</v>
      </c>
      <c r="AB5540" s="5" t="str">
        <f>HYPERLINK("https://propertylookup.dupagecounty.gov/Datalets/Datalet.aspx?UseSearch=no&amp;mode=sales&amp;pin=0204312009","sales record")</f>
        <v>sales record</v>
      </c>
      <c r="AC5540" t="s">
        <v>3</v>
      </c>
      <c r="AD5540">
        <v>41.980357</v>
      </c>
      <c r="AE5540">
        <v>-88.10883699999999</v>
      </c>
      <c r="AF5540" s="5" t="str">
        <f>HYPERLINK("https://www.google.com/maps/search/?api=1&amp;query=41.980357,-88.108837","map")</f>
        <v>map</v>
      </c>
    </row>
    <row r="5541" spans="1:32">
      <c r="A5541" t="s">
        <v>5591</v>
      </c>
      <c r="B5541" t="s">
        <v>13116</v>
      </c>
      <c r="C5541" t="s">
        <v>15830</v>
      </c>
      <c r="D5541" t="s">
        <v>16207</v>
      </c>
      <c r="E5541" t="s">
        <v>16218</v>
      </c>
      <c r="F5541" t="s">
        <v>16221</v>
      </c>
      <c r="G5541" t="s">
        <v>16241</v>
      </c>
      <c r="H5541" t="s">
        <v>16241</v>
      </c>
      <c r="I5541" t="s">
        <v>16355</v>
      </c>
      <c r="J5541" t="s">
        <v>16385</v>
      </c>
      <c r="K5541">
        <v>0.171</v>
      </c>
      <c r="L5541">
        <v>7451</v>
      </c>
      <c r="M5541">
        <v>1715</v>
      </c>
      <c r="N5541" t="s">
        <v>16393</v>
      </c>
      <c r="O5541" s="4">
        <v>45278</v>
      </c>
      <c r="P5541" s="4">
        <v>92325</v>
      </c>
      <c r="Q5541" s="4">
        <v>137603</v>
      </c>
      <c r="R5541" s="4">
        <v>412809</v>
      </c>
      <c r="S5541" t="s">
        <v>21803</v>
      </c>
      <c r="T5541" s="6">
        <v>35947</v>
      </c>
      <c r="U5541" s="4">
        <v>176000</v>
      </c>
      <c r="X5541" t="s">
        <v>3</v>
      </c>
      <c r="AA5541" s="5" t="str">
        <f>HYPERLINK("https://www.zillow.com/homes/430-AVEBURY-CT-ROSELLE-IL-60172_rb/","check listing")</f>
        <v>check listing</v>
      </c>
      <c r="AB5541" s="5" t="str">
        <f>HYPERLINK("https://propertylookup.dupagecounty.gov/Datalets/Datalet.aspx?UseSearch=no&amp;mode=sales&amp;pin=0209211007","sales record")</f>
        <v>sales record</v>
      </c>
      <c r="AC5541" t="s">
        <v>3</v>
      </c>
      <c r="AD5541">
        <v>41.974941</v>
      </c>
      <c r="AE5541">
        <v>-88.100159</v>
      </c>
      <c r="AF5541" s="5" t="str">
        <f>HYPERLINK("https://www.google.com/maps/search/?api=1&amp;query=41.974941,-88.100159","map")</f>
        <v>map</v>
      </c>
    </row>
    <row r="5542" spans="1:32">
      <c r="A5542" t="s">
        <v>5592</v>
      </c>
      <c r="B5542" t="s">
        <v>13117</v>
      </c>
      <c r="C5542" t="s">
        <v>15830</v>
      </c>
      <c r="D5542" t="s">
        <v>16207</v>
      </c>
      <c r="E5542" t="s">
        <v>16218</v>
      </c>
      <c r="F5542" t="s">
        <v>16221</v>
      </c>
      <c r="G5542" t="s">
        <v>16241</v>
      </c>
      <c r="H5542" t="s">
        <v>16241</v>
      </c>
      <c r="I5542" t="s">
        <v>16355</v>
      </c>
      <c r="J5542" t="s">
        <v>16385</v>
      </c>
      <c r="K5542">
        <v>0.171</v>
      </c>
      <c r="L5542">
        <v>7446</v>
      </c>
      <c r="M5542">
        <v>1320</v>
      </c>
      <c r="N5542" t="s">
        <v>16393</v>
      </c>
      <c r="O5542" s="4">
        <v>38692</v>
      </c>
      <c r="P5542" s="4">
        <v>78663</v>
      </c>
      <c r="Q5542" s="4">
        <v>117355</v>
      </c>
      <c r="R5542" s="4">
        <v>352065</v>
      </c>
      <c r="S5542" t="s">
        <v>21804</v>
      </c>
      <c r="T5542" s="6">
        <v>31107</v>
      </c>
      <c r="U5542" s="4">
        <v>72000</v>
      </c>
      <c r="X5542" t="s">
        <v>3</v>
      </c>
      <c r="AA5542" s="5" t="str">
        <f>HYPERLINK("https://www.zillow.com/homes/401-RODENBURG-RD-ROSELLE-IL-60172_rb/","check listing")</f>
        <v>check listing</v>
      </c>
      <c r="AB5542" s="5" t="str">
        <f>HYPERLINK("https://propertylookup.dupagecounty.gov/Datalets/Datalet.aspx?UseSearch=no&amp;mode=sales&amp;pin=0208210003","sales record")</f>
        <v>sales record</v>
      </c>
      <c r="AC5542" t="s">
        <v>3</v>
      </c>
      <c r="AD5542">
        <v>41.975174</v>
      </c>
      <c r="AE5542">
        <v>-88.111571</v>
      </c>
      <c r="AF5542" s="5" t="str">
        <f>HYPERLINK("https://www.google.com/maps/search/?api=1&amp;query=41.975174,-88.111571","map")</f>
        <v>map</v>
      </c>
    </row>
    <row r="5543" spans="1:32">
      <c r="A5543" t="s">
        <v>5593</v>
      </c>
      <c r="B5543" t="s">
        <v>13118</v>
      </c>
      <c r="C5543" t="s">
        <v>15830</v>
      </c>
      <c r="D5543" t="s">
        <v>16207</v>
      </c>
      <c r="E5543" t="s">
        <v>16218</v>
      </c>
      <c r="F5543" t="s">
        <v>16221</v>
      </c>
      <c r="G5543" t="s">
        <v>16241</v>
      </c>
      <c r="H5543" t="s">
        <v>16241</v>
      </c>
      <c r="I5543" t="s">
        <v>16355</v>
      </c>
      <c r="J5543" t="s">
        <v>16385</v>
      </c>
      <c r="K5543">
        <v>0.171</v>
      </c>
      <c r="L5543">
        <v>7445</v>
      </c>
      <c r="M5543">
        <v>1651</v>
      </c>
      <c r="N5543" t="s">
        <v>16393</v>
      </c>
      <c r="O5543" s="4">
        <v>38692</v>
      </c>
      <c r="P5543" s="4">
        <v>80097</v>
      </c>
      <c r="Q5543" s="4">
        <v>118789</v>
      </c>
      <c r="R5543" s="4">
        <v>356367</v>
      </c>
      <c r="S5543" t="s">
        <v>21805</v>
      </c>
      <c r="T5543" s="6">
        <v>28976</v>
      </c>
      <c r="U5543" s="4">
        <v>70490</v>
      </c>
      <c r="X5543" t="s">
        <v>3</v>
      </c>
      <c r="AA5543" s="5" t="str">
        <f>HYPERLINK("https://www.zillow.com/homes/629-STAFFORD-DR-ROSELLE-IL-60172_rb/","check listing")</f>
        <v>check listing</v>
      </c>
      <c r="AB5543" s="5" t="str">
        <f>HYPERLINK("https://propertylookup.dupagecounty.gov/Datalets/Datalet.aspx?UseSearch=no&amp;mode=sales&amp;pin=0209120006","sales record")</f>
        <v>sales record</v>
      </c>
      <c r="AC5543" t="s">
        <v>3</v>
      </c>
      <c r="AD5543">
        <v>41.971237</v>
      </c>
      <c r="AE5543">
        <v>-88.10904499999999</v>
      </c>
      <c r="AF5543" s="5" t="str">
        <f>HYPERLINK("https://www.google.com/maps/search/?api=1&amp;query=41.971237,-88.109045","map")</f>
        <v>map</v>
      </c>
    </row>
    <row r="5544" spans="1:32">
      <c r="A5544" t="s">
        <v>5594</v>
      </c>
      <c r="B5544" t="s">
        <v>13119</v>
      </c>
      <c r="C5544" t="s">
        <v>15830</v>
      </c>
      <c r="D5544" t="s">
        <v>16207</v>
      </c>
      <c r="E5544" t="s">
        <v>16218</v>
      </c>
      <c r="F5544" t="s">
        <v>16221</v>
      </c>
      <c r="G5544" t="s">
        <v>16241</v>
      </c>
      <c r="H5544" t="s">
        <v>16241</v>
      </c>
      <c r="I5544" t="s">
        <v>16355</v>
      </c>
      <c r="J5544" t="s">
        <v>16385</v>
      </c>
      <c r="K5544">
        <v>0.171</v>
      </c>
      <c r="L5544">
        <v>7443</v>
      </c>
      <c r="M5544">
        <v>1188</v>
      </c>
      <c r="N5544" t="s">
        <v>16393</v>
      </c>
      <c r="O5544" s="4">
        <v>45278</v>
      </c>
      <c r="P5544" s="4">
        <v>86815</v>
      </c>
      <c r="Q5544" s="4">
        <v>132093</v>
      </c>
      <c r="R5544" s="4">
        <v>396279</v>
      </c>
      <c r="S5544" t="s">
        <v>21806</v>
      </c>
      <c r="X5544" t="s">
        <v>3</v>
      </c>
      <c r="AA5544" s="5" t="str">
        <f>HYPERLINK("https://www.zillow.com/homes/540-DALTON-LN-ROSELLE-IL-60172_rb/","check listing")</f>
        <v>check listing</v>
      </c>
      <c r="AB5544" s="5" t="str">
        <f>HYPERLINK("https://propertylookup.dupagecounty.gov/Datalets/Datalet.aspx?UseSearch=no&amp;mode=sales&amp;pin=0209209016","sales record")</f>
        <v>sales record</v>
      </c>
      <c r="AC5544" t="s">
        <v>3</v>
      </c>
      <c r="AD5544">
        <v>41.973054</v>
      </c>
      <c r="AE5544">
        <v>-88.099782</v>
      </c>
      <c r="AF5544" s="5" t="str">
        <f>HYPERLINK("https://www.google.com/maps/search/?api=1&amp;query=41.973054,-88.099782","map")</f>
        <v>map</v>
      </c>
    </row>
    <row r="5545" spans="1:32">
      <c r="A5545" t="s">
        <v>5595</v>
      </c>
      <c r="B5545" t="s">
        <v>13120</v>
      </c>
      <c r="C5545" t="s">
        <v>15830</v>
      </c>
      <c r="D5545" t="s">
        <v>16207</v>
      </c>
      <c r="E5545" t="s">
        <v>16218</v>
      </c>
      <c r="F5545" t="s">
        <v>16221</v>
      </c>
      <c r="G5545" t="s">
        <v>16241</v>
      </c>
      <c r="H5545" t="s">
        <v>16241</v>
      </c>
      <c r="I5545" t="s">
        <v>16355</v>
      </c>
      <c r="J5545" t="s">
        <v>16385</v>
      </c>
      <c r="K5545">
        <v>0.171</v>
      </c>
      <c r="L5545">
        <v>7439</v>
      </c>
      <c r="M5545">
        <v>1848</v>
      </c>
      <c r="N5545" t="s">
        <v>16393</v>
      </c>
      <c r="O5545" s="4">
        <v>45278</v>
      </c>
      <c r="P5545" s="4">
        <v>90341</v>
      </c>
      <c r="Q5545" s="4">
        <v>135619</v>
      </c>
      <c r="R5545" s="4">
        <v>406857</v>
      </c>
      <c r="S5545" t="s">
        <v>21807</v>
      </c>
      <c r="T5545" s="6">
        <v>31809</v>
      </c>
      <c r="U5545" s="4">
        <v>123600</v>
      </c>
      <c r="X5545" t="s">
        <v>3</v>
      </c>
      <c r="AA5545" s="5" t="str">
        <f>HYPERLINK("https://www.zillow.com/homes/240-CHATHAM-LN-ROSELLE-IL-60172_rb/","check listing")</f>
        <v>check listing</v>
      </c>
      <c r="AB5545" s="5" t="str">
        <f>HYPERLINK("https://propertylookup.dupagecounty.gov/Datalets/Datalet.aspx?UseSearch=no&amp;mode=sales&amp;pin=0205401018","sales record")</f>
        <v>sales record</v>
      </c>
      <c r="AC5545" t="s">
        <v>3</v>
      </c>
      <c r="AD5545">
        <v>41.978163</v>
      </c>
      <c r="AE5545">
        <v>-88.11514200000001</v>
      </c>
      <c r="AF5545" s="5" t="str">
        <f>HYPERLINK("https://www.google.com/maps/search/?api=1&amp;query=41.978163,-88.115142","map")</f>
        <v>map</v>
      </c>
    </row>
    <row r="5546" spans="1:32">
      <c r="A5546" t="s">
        <v>5596</v>
      </c>
      <c r="B5546" t="s">
        <v>13121</v>
      </c>
      <c r="C5546" t="s">
        <v>15830</v>
      </c>
      <c r="D5546" t="s">
        <v>16207</v>
      </c>
      <c r="E5546" t="s">
        <v>16218</v>
      </c>
      <c r="F5546" t="s">
        <v>16221</v>
      </c>
      <c r="G5546" t="s">
        <v>16241</v>
      </c>
      <c r="H5546" t="s">
        <v>16241</v>
      </c>
      <c r="I5546" t="s">
        <v>16355</v>
      </c>
      <c r="J5546" t="s">
        <v>16385</v>
      </c>
      <c r="K5546">
        <v>0.171</v>
      </c>
      <c r="L5546">
        <v>7431</v>
      </c>
      <c r="M5546">
        <v>1583</v>
      </c>
      <c r="N5546" t="s">
        <v>16393</v>
      </c>
      <c r="O5546" s="4">
        <v>45278</v>
      </c>
      <c r="P5546" s="4">
        <v>86815</v>
      </c>
      <c r="Q5546" s="4">
        <v>132093</v>
      </c>
      <c r="R5546" s="4">
        <v>396279</v>
      </c>
      <c r="S5546" t="s">
        <v>21808</v>
      </c>
      <c r="T5546" s="6">
        <v>45394</v>
      </c>
      <c r="U5546" s="4">
        <v>406000</v>
      </c>
      <c r="V5546" t="s">
        <v>23739</v>
      </c>
      <c r="W5546" t="s">
        <v>21808</v>
      </c>
      <c r="X5546" t="s">
        <v>3</v>
      </c>
      <c r="AA5546" s="5" t="str">
        <f>HYPERLINK("https://www.zillow.com/homes/335-BRIGHTON-BAY-ROSELLE-IL-60172_rb/","check listing")</f>
        <v>check listing</v>
      </c>
      <c r="AB5546" s="5" t="str">
        <f>HYPERLINK("https://propertylookup.dupagecounty.gov/Datalets/Datalet.aspx?UseSearch=no&amp;mode=sales&amp;pin=0205401035","sales record")</f>
        <v>sales record</v>
      </c>
      <c r="AC5546" t="s">
        <v>3</v>
      </c>
      <c r="AD5546">
        <v>41.976512</v>
      </c>
      <c r="AE5546">
        <v>-88.114503</v>
      </c>
      <c r="AF5546" s="5" t="str">
        <f>HYPERLINK("https://www.google.com/maps/search/?api=1&amp;query=41.976512,-88.114503","map")</f>
        <v>map</v>
      </c>
    </row>
    <row r="5547" spans="1:32">
      <c r="A5547" t="s">
        <v>5597</v>
      </c>
      <c r="B5547" t="s">
        <v>13122</v>
      </c>
      <c r="C5547" t="s">
        <v>15830</v>
      </c>
      <c r="D5547" t="s">
        <v>16207</v>
      </c>
      <c r="E5547" t="s">
        <v>16218</v>
      </c>
      <c r="F5547" t="s">
        <v>16221</v>
      </c>
      <c r="G5547" t="s">
        <v>16241</v>
      </c>
      <c r="H5547" t="s">
        <v>16241</v>
      </c>
      <c r="I5547" t="s">
        <v>16355</v>
      </c>
      <c r="J5547" t="s">
        <v>16385</v>
      </c>
      <c r="K5547">
        <v>0.17</v>
      </c>
      <c r="L5547">
        <v>7418</v>
      </c>
      <c r="M5547">
        <v>1847</v>
      </c>
      <c r="N5547" t="s">
        <v>16393</v>
      </c>
      <c r="O5547" s="4">
        <v>45278</v>
      </c>
      <c r="P5547" s="4">
        <v>86014</v>
      </c>
      <c r="Q5547" s="4">
        <v>131292</v>
      </c>
      <c r="R5547" s="4">
        <v>393876</v>
      </c>
      <c r="S5547" t="s">
        <v>21809</v>
      </c>
      <c r="T5547" s="6">
        <v>34547</v>
      </c>
      <c r="U5547" s="4">
        <v>142500</v>
      </c>
      <c r="X5547" t="s">
        <v>3</v>
      </c>
      <c r="AA5547" s="5" t="str">
        <f>HYPERLINK("https://www.zillow.com/homes/344-HAMSTEAD-CT-ROSELLE-IL-60172_rb/","check listing")</f>
        <v>check listing</v>
      </c>
      <c r="AB5547" s="5" t="str">
        <f>HYPERLINK("https://propertylookup.dupagecounty.gov/Datalets/Datalet.aspx?UseSearch=no&amp;mode=sales&amp;pin=0205407008","sales record")</f>
        <v>sales record</v>
      </c>
      <c r="AC5547" t="s">
        <v>3</v>
      </c>
      <c r="AD5547">
        <v>41.9762</v>
      </c>
      <c r="AE5547">
        <v>-88.112467</v>
      </c>
      <c r="AF5547" s="5" t="str">
        <f>HYPERLINK("https://www.google.com/maps/search/?api=1&amp;query=41.9762,-88.112467","map")</f>
        <v>map</v>
      </c>
    </row>
    <row r="5548" spans="1:32">
      <c r="A5548" t="s">
        <v>5598</v>
      </c>
      <c r="B5548" t="s">
        <v>13123</v>
      </c>
      <c r="C5548" t="s">
        <v>15830</v>
      </c>
      <c r="D5548" t="s">
        <v>16207</v>
      </c>
      <c r="E5548" t="s">
        <v>16218</v>
      </c>
      <c r="F5548" t="s">
        <v>16221</v>
      </c>
      <c r="G5548" t="s">
        <v>16241</v>
      </c>
      <c r="H5548" t="s">
        <v>16241</v>
      </c>
      <c r="I5548" t="s">
        <v>16355</v>
      </c>
      <c r="J5548" t="s">
        <v>16385</v>
      </c>
      <c r="K5548">
        <v>0.17</v>
      </c>
      <c r="L5548">
        <v>7416</v>
      </c>
      <c r="M5548">
        <v>1788</v>
      </c>
      <c r="N5548" t="s">
        <v>16393</v>
      </c>
      <c r="O5548" s="4">
        <v>45278</v>
      </c>
      <c r="P5548" s="4">
        <v>86815</v>
      </c>
      <c r="Q5548" s="4">
        <v>132093</v>
      </c>
      <c r="R5548" s="4">
        <v>396279</v>
      </c>
      <c r="S5548" t="s">
        <v>21810</v>
      </c>
      <c r="T5548" s="6">
        <v>36434</v>
      </c>
      <c r="U5548" s="4">
        <v>166000</v>
      </c>
      <c r="X5548" t="s">
        <v>3</v>
      </c>
      <c r="AA5548" s="5" t="str">
        <f>HYPERLINK("https://www.zillow.com/homes/125-EXETER-CT-ROSELLE-IL-60172_rb/","check listing")</f>
        <v>check listing</v>
      </c>
      <c r="AB5548" s="5" t="str">
        <f>HYPERLINK("https://propertylookup.dupagecounty.gov/Datalets/Datalet.aspx?UseSearch=no&amp;mode=sales&amp;pin=0205403019","sales record")</f>
        <v>sales record</v>
      </c>
      <c r="AC5548" t="s">
        <v>3</v>
      </c>
      <c r="AD5548">
        <v>41.980278</v>
      </c>
      <c r="AE5548">
        <v>-88.112054</v>
      </c>
      <c r="AF5548" s="5" t="str">
        <f>HYPERLINK("https://www.google.com/maps/search/?api=1&amp;query=41.980278,-88.112054","map")</f>
        <v>map</v>
      </c>
    </row>
    <row r="5549" spans="1:32">
      <c r="A5549" t="s">
        <v>5599</v>
      </c>
      <c r="B5549" t="s">
        <v>13124</v>
      </c>
      <c r="C5549" t="s">
        <v>15830</v>
      </c>
      <c r="D5549" t="s">
        <v>16207</v>
      </c>
      <c r="E5549" t="s">
        <v>16218</v>
      </c>
      <c r="F5549" t="s">
        <v>16221</v>
      </c>
      <c r="G5549" t="s">
        <v>16241</v>
      </c>
      <c r="H5549" t="s">
        <v>16241</v>
      </c>
      <c r="I5549" t="s">
        <v>16355</v>
      </c>
      <c r="J5549" t="s">
        <v>16385</v>
      </c>
      <c r="K5549">
        <v>0.17</v>
      </c>
      <c r="L5549">
        <v>7407</v>
      </c>
      <c r="M5549">
        <v>1632</v>
      </c>
      <c r="N5549" t="s">
        <v>16393</v>
      </c>
      <c r="O5549" s="4">
        <v>38692</v>
      </c>
      <c r="P5549" s="4">
        <v>77599</v>
      </c>
      <c r="Q5549" s="4">
        <v>116291</v>
      </c>
      <c r="R5549" s="4">
        <v>348873</v>
      </c>
      <c r="S5549" t="s">
        <v>21811</v>
      </c>
      <c r="T5549" s="6">
        <v>28825</v>
      </c>
      <c r="U5549" s="4">
        <v>64005</v>
      </c>
      <c r="X5549" t="s">
        <v>3</v>
      </c>
      <c r="AA5549" s="5" t="str">
        <f>HYPERLINK("https://www.zillow.com/homes/1251-W-BRYN-MAWR-AVE-ROSELLE-IL-60172_rb/","check listing")</f>
        <v>check listing</v>
      </c>
      <c r="AB5549" s="5" t="str">
        <f>HYPERLINK("https://propertylookup.dupagecounty.gov/Datalets/Datalet.aspx?UseSearch=no&amp;mode=sales&amp;pin=0208205012","sales record")</f>
        <v>sales record</v>
      </c>
      <c r="AC5549" t="s">
        <v>3</v>
      </c>
      <c r="AD5549">
        <v>41.971129</v>
      </c>
      <c r="AE5549">
        <v>-88.11210199999999</v>
      </c>
      <c r="AF5549" s="5" t="str">
        <f>HYPERLINK("https://www.google.com/maps/search/?api=1&amp;query=41.971129,-88.112102","map")</f>
        <v>map</v>
      </c>
    </row>
    <row r="5550" spans="1:32">
      <c r="A5550" t="s">
        <v>5600</v>
      </c>
      <c r="B5550" t="s">
        <v>13125</v>
      </c>
      <c r="C5550" t="s">
        <v>15830</v>
      </c>
      <c r="D5550" t="s">
        <v>16207</v>
      </c>
      <c r="E5550" t="s">
        <v>16218</v>
      </c>
      <c r="F5550" t="s">
        <v>16221</v>
      </c>
      <c r="G5550" t="s">
        <v>16241</v>
      </c>
      <c r="H5550" t="s">
        <v>16241</v>
      </c>
      <c r="I5550" t="s">
        <v>16355</v>
      </c>
      <c r="J5550" t="s">
        <v>16385</v>
      </c>
      <c r="K5550">
        <v>0.17</v>
      </c>
      <c r="L5550">
        <v>7407</v>
      </c>
      <c r="M5550">
        <v>2309</v>
      </c>
      <c r="N5550" t="s">
        <v>16393</v>
      </c>
      <c r="O5550" s="4">
        <v>45278</v>
      </c>
      <c r="P5550" s="4">
        <v>78651</v>
      </c>
      <c r="Q5550" s="4">
        <v>123929</v>
      </c>
      <c r="R5550" s="4">
        <v>371787</v>
      </c>
      <c r="S5550" t="s">
        <v>21812</v>
      </c>
      <c r="T5550" s="6">
        <v>36982</v>
      </c>
      <c r="U5550" s="4">
        <v>197000</v>
      </c>
      <c r="V5550" t="s">
        <v>23739</v>
      </c>
      <c r="W5550" t="s">
        <v>21812</v>
      </c>
      <c r="X5550" t="s">
        <v>3</v>
      </c>
      <c r="AA5550" s="5" t="str">
        <f>HYPERLINK("https://www.zillow.com/homes/335-HAMSTEAD-CT-ROSELLE-IL-60172_rb/","check listing")</f>
        <v>check listing</v>
      </c>
      <c r="AB5550" s="5" t="str">
        <f>HYPERLINK("https://propertylookup.dupagecounty.gov/Datalets/Datalet.aspx?UseSearch=no&amp;mode=sales&amp;pin=0205406014","sales record")</f>
        <v>sales record</v>
      </c>
      <c r="AC5550" t="s">
        <v>3</v>
      </c>
      <c r="AD5550">
        <v>41.976573</v>
      </c>
      <c r="AE5550">
        <v>-88.112775</v>
      </c>
      <c r="AF5550" s="5" t="str">
        <f>HYPERLINK("https://www.google.com/maps/search/?api=1&amp;query=41.976573,-88.112775","map")</f>
        <v>map</v>
      </c>
    </row>
    <row r="5551" spans="1:32">
      <c r="A5551" t="s">
        <v>5601</v>
      </c>
      <c r="B5551" t="s">
        <v>13126</v>
      </c>
      <c r="C5551" t="s">
        <v>15910</v>
      </c>
      <c r="D5551" t="s">
        <v>16207</v>
      </c>
      <c r="E5551" t="s">
        <v>16218</v>
      </c>
      <c r="F5551" t="s">
        <v>16221</v>
      </c>
      <c r="G5551" t="s">
        <v>16241</v>
      </c>
      <c r="H5551" t="s">
        <v>16241</v>
      </c>
      <c r="I5551" t="s">
        <v>16355</v>
      </c>
      <c r="J5551" t="s">
        <v>16385</v>
      </c>
      <c r="K5551">
        <v>0.17</v>
      </c>
      <c r="L5551">
        <v>7406</v>
      </c>
      <c r="M5551">
        <v>1814</v>
      </c>
      <c r="N5551" t="s">
        <v>16393</v>
      </c>
      <c r="O5551" s="4">
        <v>38692</v>
      </c>
      <c r="P5551" s="4">
        <v>58092</v>
      </c>
      <c r="Q5551" s="4">
        <v>96784</v>
      </c>
      <c r="R5551" s="4">
        <v>290352</v>
      </c>
      <c r="S5551" t="s">
        <v>21813</v>
      </c>
      <c r="T5551" s="6">
        <v>35096</v>
      </c>
      <c r="U5551" s="4">
        <v>115400</v>
      </c>
      <c r="X5551" t="s">
        <v>3</v>
      </c>
      <c r="AA5551" s="5" t="str">
        <f>HYPERLINK("https://www.zillow.com/homes/885-W-BRYN-MAWR-AVE-ROSELLE-IL-601722819_rb/","check listing")</f>
        <v>check listing</v>
      </c>
      <c r="AB5551" s="5" t="str">
        <f>HYPERLINK("https://propertylookup.dupagecounty.gov/Datalets/Datalet.aspx?UseSearch=no&amp;mode=sales&amp;pin=0209112001","sales record")</f>
        <v>sales record</v>
      </c>
      <c r="AC5551" t="s">
        <v>3</v>
      </c>
      <c r="AD5551">
        <v>41.973384</v>
      </c>
      <c r="AE5551">
        <v>-88.102689</v>
      </c>
      <c r="AF5551" s="5" t="str">
        <f>HYPERLINK("https://www.google.com/maps/search/?api=1&amp;query=41.973384,-88.102689","map")</f>
        <v>map</v>
      </c>
    </row>
    <row r="5552" spans="1:32">
      <c r="A5552" t="s">
        <v>5602</v>
      </c>
      <c r="B5552" t="s">
        <v>13127</v>
      </c>
      <c r="C5552" t="s">
        <v>15830</v>
      </c>
      <c r="D5552" t="s">
        <v>16207</v>
      </c>
      <c r="E5552" t="s">
        <v>16218</v>
      </c>
      <c r="F5552" t="s">
        <v>16221</v>
      </c>
      <c r="G5552" t="s">
        <v>16241</v>
      </c>
      <c r="H5552" t="s">
        <v>16241</v>
      </c>
      <c r="I5552" t="s">
        <v>16355</v>
      </c>
      <c r="J5552" t="s">
        <v>16385</v>
      </c>
      <c r="K5552">
        <v>0.17</v>
      </c>
      <c r="L5552">
        <v>7397</v>
      </c>
      <c r="M5552">
        <v>1716</v>
      </c>
      <c r="N5552" t="s">
        <v>16393</v>
      </c>
      <c r="O5552" s="4">
        <v>45278</v>
      </c>
      <c r="P5552" s="4">
        <v>74802</v>
      </c>
      <c r="Q5552" s="4">
        <v>120080</v>
      </c>
      <c r="R5552" s="4">
        <v>360240</v>
      </c>
      <c r="S5552" t="s">
        <v>21814</v>
      </c>
      <c r="T5552" s="6">
        <v>37834</v>
      </c>
      <c r="U5552" s="4">
        <v>251000</v>
      </c>
      <c r="V5552" t="s">
        <v>23739</v>
      </c>
      <c r="W5552" t="s">
        <v>26840</v>
      </c>
      <c r="X5552" t="s">
        <v>3</v>
      </c>
      <c r="AA5552" s="5" t="str">
        <f>HYPERLINK("https://www.zillow.com/homes/1330-BRISTOL-CT-ROSELLE-IL-60172_rb/","check listing")</f>
        <v>check listing</v>
      </c>
      <c r="AB5552" s="5" t="str">
        <f>HYPERLINK("https://propertylookup.dupagecounty.gov/Datalets/Datalet.aspx?UseSearch=no&amp;mode=sales&amp;pin=0205403009","sales record")</f>
        <v>sales record</v>
      </c>
      <c r="AC5552" t="s">
        <v>3</v>
      </c>
      <c r="AD5552">
        <v>41.979785</v>
      </c>
      <c r="AE5552">
        <v>-88.114515</v>
      </c>
      <c r="AF5552" s="5" t="str">
        <f>HYPERLINK("https://www.google.com/maps/search/?api=1&amp;query=41.979785,-88.114515","map")</f>
        <v>map</v>
      </c>
    </row>
    <row r="5553" spans="1:32">
      <c r="A5553" t="s">
        <v>5603</v>
      </c>
      <c r="B5553" t="s">
        <v>13128</v>
      </c>
      <c r="C5553" t="s">
        <v>15911</v>
      </c>
      <c r="D5553" t="s">
        <v>16207</v>
      </c>
      <c r="E5553" t="s">
        <v>16218</v>
      </c>
      <c r="F5553" t="s">
        <v>16221</v>
      </c>
      <c r="G5553" t="s">
        <v>16241</v>
      </c>
      <c r="H5553" t="s">
        <v>16241</v>
      </c>
      <c r="I5553" t="s">
        <v>16355</v>
      </c>
      <c r="J5553" t="s">
        <v>16385</v>
      </c>
      <c r="K5553">
        <v>0.17</v>
      </c>
      <c r="L5553">
        <v>7393</v>
      </c>
      <c r="M5553">
        <v>693</v>
      </c>
      <c r="N5553" t="s">
        <v>16393</v>
      </c>
      <c r="O5553" s="4">
        <v>45278</v>
      </c>
      <c r="P5553" s="4">
        <v>106585</v>
      </c>
      <c r="Q5553" s="4">
        <v>151863</v>
      </c>
      <c r="R5553" s="4">
        <v>455589</v>
      </c>
      <c r="S5553" t="s">
        <v>21815</v>
      </c>
      <c r="T5553" s="6">
        <v>44105</v>
      </c>
      <c r="U5553" s="4">
        <v>329000</v>
      </c>
      <c r="V5553" t="s">
        <v>23739</v>
      </c>
      <c r="W5553" t="s">
        <v>26841</v>
      </c>
      <c r="X5553" t="s">
        <v>3</v>
      </c>
      <c r="AA5553" s="5" t="str">
        <f>HYPERLINK("https://www.zillow.com/homes/1295-COVENTRY-CT-ROSELLE-IL-601721624_rb/","check listing")</f>
        <v>check listing</v>
      </c>
      <c r="AB5553" s="5" t="str">
        <f>HYPERLINK("https://propertylookup.dupagecounty.gov/Datalets/Datalet.aspx?UseSearch=no&amp;mode=sales&amp;pin=0205401059","sales record")</f>
        <v>sales record</v>
      </c>
      <c r="AC5553" t="s">
        <v>3</v>
      </c>
      <c r="AD5553">
        <v>41.981693</v>
      </c>
      <c r="AE5553">
        <v>-88.113269</v>
      </c>
      <c r="AF5553" s="5" t="str">
        <f>HYPERLINK("https://www.google.com/maps/search/?api=1&amp;query=41.981693,-88.113269","map")</f>
        <v>map</v>
      </c>
    </row>
    <row r="5554" spans="1:32">
      <c r="A5554" t="s">
        <v>5604</v>
      </c>
      <c r="B5554" t="s">
        <v>13129</v>
      </c>
      <c r="C5554" t="s">
        <v>15912</v>
      </c>
      <c r="D5554" t="s">
        <v>16207</v>
      </c>
      <c r="E5554" t="s">
        <v>16218</v>
      </c>
      <c r="F5554" t="s">
        <v>16221</v>
      </c>
      <c r="G5554" t="s">
        <v>16241</v>
      </c>
      <c r="H5554" t="s">
        <v>16241</v>
      </c>
      <c r="I5554" t="s">
        <v>16355</v>
      </c>
      <c r="J5554" t="s">
        <v>16385</v>
      </c>
      <c r="K5554">
        <v>0.17</v>
      </c>
      <c r="L5554">
        <v>7393</v>
      </c>
      <c r="M5554">
        <v>1649</v>
      </c>
      <c r="N5554" t="s">
        <v>16393</v>
      </c>
      <c r="O5554" s="4">
        <v>38692</v>
      </c>
      <c r="P5554" s="4">
        <v>80097</v>
      </c>
      <c r="Q5554" s="4">
        <v>118789</v>
      </c>
      <c r="R5554" s="4">
        <v>356367</v>
      </c>
      <c r="S5554" t="s">
        <v>21816</v>
      </c>
      <c r="T5554" s="6">
        <v>43709</v>
      </c>
      <c r="U5554" s="4">
        <v>262500</v>
      </c>
      <c r="V5554" t="s">
        <v>23739</v>
      </c>
      <c r="W5554" t="s">
        <v>26842</v>
      </c>
      <c r="X5554" t="s">
        <v>3</v>
      </c>
      <c r="AA5554" s="5" t="str">
        <f>HYPERLINK("https://www.zillow.com/homes/870-STONEFIELD-PL-ROSELLE-IL-601722835_rb/","check listing")</f>
        <v>check listing</v>
      </c>
      <c r="AB5554" s="5" t="str">
        <f>HYPERLINK("https://propertylookup.dupagecounty.gov/Datalets/Datalet.aspx?UseSearch=no&amp;mode=sales&amp;pin=0209113006","sales record")</f>
        <v>sales record</v>
      </c>
      <c r="AC5554" t="s">
        <v>3</v>
      </c>
      <c r="AD5554">
        <v>41.972423</v>
      </c>
      <c r="AE5554">
        <v>-88.10234800000001</v>
      </c>
      <c r="AF5554" s="5" t="str">
        <f>HYPERLINK("https://www.google.com/maps/search/?api=1&amp;query=41.972423,-88.102348","map")</f>
        <v>map</v>
      </c>
    </row>
    <row r="5555" spans="1:32">
      <c r="A5555" t="s">
        <v>5605</v>
      </c>
      <c r="B5555" t="s">
        <v>13130</v>
      </c>
      <c r="C5555" t="s">
        <v>15830</v>
      </c>
      <c r="D5555" t="s">
        <v>16207</v>
      </c>
      <c r="E5555" t="s">
        <v>16218</v>
      </c>
      <c r="F5555" t="s">
        <v>16221</v>
      </c>
      <c r="G5555" t="s">
        <v>16241</v>
      </c>
      <c r="H5555" t="s">
        <v>16241</v>
      </c>
      <c r="I5555" t="s">
        <v>16355</v>
      </c>
      <c r="J5555" t="s">
        <v>16385</v>
      </c>
      <c r="K5555">
        <v>0.17</v>
      </c>
      <c r="L5555">
        <v>7390</v>
      </c>
      <c r="M5555">
        <v>1979</v>
      </c>
      <c r="N5555" t="s">
        <v>16393</v>
      </c>
      <c r="O5555" s="4">
        <v>38692</v>
      </c>
      <c r="P5555" s="4">
        <v>86791</v>
      </c>
      <c r="Q5555" s="4">
        <v>125483</v>
      </c>
      <c r="R5555" s="4">
        <v>376449</v>
      </c>
      <c r="S5555" t="s">
        <v>21817</v>
      </c>
      <c r="T5555" s="6">
        <v>43647</v>
      </c>
      <c r="U5555" s="4">
        <v>203000</v>
      </c>
      <c r="V5555" t="s">
        <v>23739</v>
      </c>
      <c r="W5555" t="s">
        <v>26843</v>
      </c>
      <c r="X5555" t="s">
        <v>3</v>
      </c>
      <c r="AA5555" s="5" t="str">
        <f>HYPERLINK("https://www.zillow.com/homes/689-FOXDALE-CT-ROSELLE-IL-60172_rb/","check listing")</f>
        <v>check listing</v>
      </c>
      <c r="AB5555" s="5" t="str">
        <f>HYPERLINK("https://propertylookup.dupagecounty.gov/Datalets/Datalet.aspx?UseSearch=no&amp;mode=sales&amp;pin=0209123003","sales record")</f>
        <v>sales record</v>
      </c>
      <c r="AC5555" t="s">
        <v>3</v>
      </c>
      <c r="AD5555">
        <v>41.970094</v>
      </c>
      <c r="AE5555">
        <v>-88.11009</v>
      </c>
      <c r="AF5555" s="5" t="str">
        <f>HYPERLINK("https://www.google.com/maps/search/?api=1&amp;query=41.970094,-88.11009","map")</f>
        <v>map</v>
      </c>
    </row>
    <row r="5556" spans="1:32">
      <c r="A5556" t="s">
        <v>5606</v>
      </c>
      <c r="B5556" t="s">
        <v>13131</v>
      </c>
      <c r="C5556" t="s">
        <v>15830</v>
      </c>
      <c r="D5556" t="s">
        <v>16207</v>
      </c>
      <c r="E5556" t="s">
        <v>16218</v>
      </c>
      <c r="F5556" t="s">
        <v>16221</v>
      </c>
      <c r="G5556" t="s">
        <v>16241</v>
      </c>
      <c r="H5556" t="s">
        <v>16241</v>
      </c>
      <c r="I5556" t="s">
        <v>16355</v>
      </c>
      <c r="J5556" t="s">
        <v>16385</v>
      </c>
      <c r="K5556">
        <v>0.17</v>
      </c>
      <c r="L5556">
        <v>7388</v>
      </c>
      <c r="M5556">
        <v>1929</v>
      </c>
      <c r="N5556" t="s">
        <v>16393</v>
      </c>
      <c r="O5556" s="4">
        <v>38692</v>
      </c>
      <c r="P5556" s="4">
        <v>55546</v>
      </c>
      <c r="Q5556" s="4">
        <v>94238</v>
      </c>
      <c r="R5556" s="4">
        <v>282714</v>
      </c>
      <c r="S5556" t="s">
        <v>21818</v>
      </c>
      <c r="T5556" s="6">
        <v>45883</v>
      </c>
      <c r="U5556" s="4">
        <v>270000</v>
      </c>
      <c r="V5556" t="s">
        <v>23739</v>
      </c>
      <c r="W5556" t="s">
        <v>26844</v>
      </c>
      <c r="X5556" t="s">
        <v>3</v>
      </c>
      <c r="AA5556" s="5" t="str">
        <f>HYPERLINK("https://www.zillow.com/homes/662-BERWICK-PL-ROSELLE-IL-60172_rb/","check listing")</f>
        <v>check listing</v>
      </c>
      <c r="AB5556" s="5" t="str">
        <f>HYPERLINK("https://propertylookup.dupagecounty.gov/Datalets/Datalet.aspx?UseSearch=no&amp;mode=sales&amp;pin=0208205021","sales record")</f>
        <v>sales record</v>
      </c>
      <c r="AC5556" t="s">
        <v>3</v>
      </c>
      <c r="AD5556">
        <v>41.970938</v>
      </c>
      <c r="AE5556">
        <v>-88.111901</v>
      </c>
      <c r="AF5556" s="5" t="str">
        <f>HYPERLINK("https://www.google.com/maps/search/?api=1&amp;query=41.970938,-88.111901","map")</f>
        <v>map</v>
      </c>
    </row>
    <row r="5557" spans="1:32">
      <c r="A5557" t="s">
        <v>5607</v>
      </c>
      <c r="B5557" t="s">
        <v>13132</v>
      </c>
      <c r="C5557" t="s">
        <v>15830</v>
      </c>
      <c r="D5557" t="s">
        <v>16207</v>
      </c>
      <c r="E5557" t="s">
        <v>16218</v>
      </c>
      <c r="F5557" t="s">
        <v>16221</v>
      </c>
      <c r="G5557" t="s">
        <v>16241</v>
      </c>
      <c r="H5557" t="s">
        <v>16241</v>
      </c>
      <c r="I5557" t="s">
        <v>16355</v>
      </c>
      <c r="J5557" t="s">
        <v>16385</v>
      </c>
      <c r="K5557">
        <v>0.17</v>
      </c>
      <c r="L5557">
        <v>7386</v>
      </c>
      <c r="M5557">
        <v>1848</v>
      </c>
      <c r="N5557" t="s">
        <v>16393</v>
      </c>
      <c r="O5557" s="4">
        <v>45278</v>
      </c>
      <c r="P5557" s="4">
        <v>99306</v>
      </c>
      <c r="Q5557" s="4">
        <v>144584</v>
      </c>
      <c r="R5557" s="4">
        <v>433752</v>
      </c>
      <c r="S5557" t="s">
        <v>21819</v>
      </c>
      <c r="T5557" s="6">
        <v>44854</v>
      </c>
      <c r="U5557" s="4">
        <v>365000</v>
      </c>
      <c r="V5557" t="s">
        <v>23739</v>
      </c>
      <c r="W5557" t="s">
        <v>26845</v>
      </c>
      <c r="X5557" t="s">
        <v>3</v>
      </c>
      <c r="AA5557" s="5" t="str">
        <f>HYPERLINK("https://www.zillow.com/homes/259-CHATHAM-CT-ROSELLE-IL-60172_rb/","check listing")</f>
        <v>check listing</v>
      </c>
      <c r="AB5557" s="5" t="str">
        <f>HYPERLINK("https://propertylookup.dupagecounty.gov/Datalets/Datalet.aspx?UseSearch=no&amp;mode=sales&amp;pin=0205405005","sales record")</f>
        <v>sales record</v>
      </c>
      <c r="AC5557" t="s">
        <v>3</v>
      </c>
      <c r="AD5557">
        <v>41.977755</v>
      </c>
      <c r="AE5557">
        <v>-88.11393700000001</v>
      </c>
      <c r="AF5557" s="5" t="str">
        <f>HYPERLINK("https://www.google.com/maps/search/?api=1&amp;query=41.977755,-88.113937","map")</f>
        <v>map</v>
      </c>
    </row>
    <row r="5558" spans="1:32">
      <c r="A5558" t="s">
        <v>5608</v>
      </c>
      <c r="B5558" t="s">
        <v>13133</v>
      </c>
      <c r="C5558" t="s">
        <v>15830</v>
      </c>
      <c r="D5558" t="s">
        <v>16207</v>
      </c>
      <c r="E5558" t="s">
        <v>16218</v>
      </c>
      <c r="F5558" t="s">
        <v>16221</v>
      </c>
      <c r="G5558" t="s">
        <v>16241</v>
      </c>
      <c r="H5558" t="s">
        <v>16241</v>
      </c>
      <c r="I5558" t="s">
        <v>16355</v>
      </c>
      <c r="J5558" t="s">
        <v>16385</v>
      </c>
      <c r="K5558">
        <v>0.169</v>
      </c>
      <c r="L5558">
        <v>7382</v>
      </c>
      <c r="M5558">
        <v>2176</v>
      </c>
      <c r="N5558" t="s">
        <v>16393</v>
      </c>
      <c r="O5558" s="4">
        <v>45278</v>
      </c>
      <c r="P5558" s="4">
        <v>117809</v>
      </c>
      <c r="Q5558" s="4">
        <v>163087</v>
      </c>
      <c r="R5558" s="4">
        <v>489261</v>
      </c>
      <c r="S5558" t="s">
        <v>21820</v>
      </c>
      <c r="T5558" s="6">
        <v>35551</v>
      </c>
      <c r="U5558" s="4">
        <v>183750</v>
      </c>
      <c r="X5558" t="s">
        <v>3</v>
      </c>
      <c r="AA5558" s="5" t="str">
        <f>HYPERLINK("https://www.zillow.com/homes/805-BRANDYWINE-DR-ROSELLE-IL-60172_rb/","check listing")</f>
        <v>check listing</v>
      </c>
      <c r="AB5558" s="5" t="str">
        <f>HYPERLINK("https://propertylookup.dupagecounty.gov/Datalets/Datalet.aspx?UseSearch=no&amp;mode=sales&amp;pin=0209116019","sales record")</f>
        <v>sales record</v>
      </c>
      <c r="AC5558" t="s">
        <v>3</v>
      </c>
      <c r="AD5558">
        <v>41.974734</v>
      </c>
      <c r="AE5558">
        <v>-88.10107000000001</v>
      </c>
      <c r="AF5558" s="5" t="str">
        <f>HYPERLINK("https://www.google.com/maps/search/?api=1&amp;query=41.974734,-88.10107","map")</f>
        <v>map</v>
      </c>
    </row>
    <row r="5559" spans="1:32">
      <c r="A5559" t="s">
        <v>5609</v>
      </c>
      <c r="B5559" t="s">
        <v>13134</v>
      </c>
      <c r="C5559" t="s">
        <v>15830</v>
      </c>
      <c r="D5559" t="s">
        <v>16207</v>
      </c>
      <c r="E5559" t="s">
        <v>16218</v>
      </c>
      <c r="F5559" t="s">
        <v>16221</v>
      </c>
      <c r="G5559" t="s">
        <v>16241</v>
      </c>
      <c r="H5559" t="s">
        <v>16241</v>
      </c>
      <c r="I5559" t="s">
        <v>16355</v>
      </c>
      <c r="J5559" t="s">
        <v>16385</v>
      </c>
      <c r="K5559">
        <v>0.169</v>
      </c>
      <c r="L5559">
        <v>7381</v>
      </c>
      <c r="M5559">
        <v>1583</v>
      </c>
      <c r="N5559" t="s">
        <v>16393</v>
      </c>
      <c r="O5559" s="4">
        <v>45278</v>
      </c>
      <c r="P5559" s="4">
        <v>111354</v>
      </c>
      <c r="Q5559" s="4">
        <v>156632</v>
      </c>
      <c r="R5559" s="4">
        <v>469896</v>
      </c>
      <c r="S5559" t="s">
        <v>21821</v>
      </c>
      <c r="T5559" s="6">
        <v>35855</v>
      </c>
      <c r="U5559" s="4">
        <v>160000</v>
      </c>
      <c r="X5559" t="s">
        <v>3</v>
      </c>
      <c r="AA5559" s="5" t="str">
        <f>HYPERLINK("https://www.zillow.com/homes/443-FORDHAM-PL-ROSELLE-IL-60172_rb/","check listing")</f>
        <v>check listing</v>
      </c>
      <c r="AB5559" s="5" t="str">
        <f>HYPERLINK("https://propertylookup.dupagecounty.gov/Datalets/Datalet.aspx?UseSearch=no&amp;mode=sales&amp;pin=0209116004","sales record")</f>
        <v>sales record</v>
      </c>
      <c r="AC5559" t="s">
        <v>3</v>
      </c>
      <c r="AD5559">
        <v>41.974272</v>
      </c>
      <c r="AE5559">
        <v>-88.102193</v>
      </c>
      <c r="AF5559" s="5" t="str">
        <f>HYPERLINK("https://www.google.com/maps/search/?api=1&amp;query=41.974272,-88.102193","map")</f>
        <v>map</v>
      </c>
    </row>
    <row r="5560" spans="1:32">
      <c r="A5560" t="s">
        <v>5610</v>
      </c>
      <c r="B5560" t="s">
        <v>13135</v>
      </c>
      <c r="C5560" t="s">
        <v>15830</v>
      </c>
      <c r="D5560" t="s">
        <v>16207</v>
      </c>
      <c r="E5560" t="s">
        <v>16218</v>
      </c>
      <c r="F5560" t="s">
        <v>16221</v>
      </c>
      <c r="G5560" t="s">
        <v>16241</v>
      </c>
      <c r="H5560" t="s">
        <v>16241</v>
      </c>
      <c r="I5560" t="s">
        <v>16355</v>
      </c>
      <c r="J5560" t="s">
        <v>16385</v>
      </c>
      <c r="K5560">
        <v>0.169</v>
      </c>
      <c r="L5560">
        <v>7376</v>
      </c>
      <c r="M5560">
        <v>1484</v>
      </c>
      <c r="N5560" t="s">
        <v>16393</v>
      </c>
      <c r="O5560" s="4">
        <v>38692</v>
      </c>
      <c r="P5560" s="4">
        <v>77599</v>
      </c>
      <c r="Q5560" s="4">
        <v>116291</v>
      </c>
      <c r="R5560" s="4">
        <v>348873</v>
      </c>
      <c r="S5560" t="s">
        <v>21822</v>
      </c>
      <c r="T5560" s="6">
        <v>36039</v>
      </c>
      <c r="U5560" s="4">
        <v>144000</v>
      </c>
      <c r="X5560" t="s">
        <v>3</v>
      </c>
      <c r="AA5560" s="5" t="str">
        <f>HYPERLINK("https://www.zillow.com/homes/1195-SINGLETON-DR-ROSELLE-IL-60172_rb/","check listing")</f>
        <v>check listing</v>
      </c>
      <c r="AB5560" s="5" t="str">
        <f>HYPERLINK("https://propertylookup.dupagecounty.gov/Datalets/Datalet.aspx?UseSearch=no&amp;mode=sales&amp;pin=0204313001","sales record")</f>
        <v>sales record</v>
      </c>
      <c r="AC5560" t="s">
        <v>3</v>
      </c>
      <c r="AD5560">
        <v>41.978995</v>
      </c>
      <c r="AE5560">
        <v>-88.110381</v>
      </c>
      <c r="AF5560" s="5" t="str">
        <f>HYPERLINK("https://www.google.com/maps/search/?api=1&amp;query=41.978995,-88.110381","map")</f>
        <v>map</v>
      </c>
    </row>
    <row r="5561" spans="1:32">
      <c r="A5561" t="s">
        <v>5611</v>
      </c>
      <c r="B5561" t="s">
        <v>13136</v>
      </c>
      <c r="C5561" t="s">
        <v>15830</v>
      </c>
      <c r="D5561" t="s">
        <v>16207</v>
      </c>
      <c r="E5561" t="s">
        <v>16218</v>
      </c>
      <c r="F5561" t="s">
        <v>16221</v>
      </c>
      <c r="G5561" t="s">
        <v>16241</v>
      </c>
      <c r="H5561" t="s">
        <v>16241</v>
      </c>
      <c r="I5561" t="s">
        <v>16355</v>
      </c>
      <c r="J5561" t="s">
        <v>16385</v>
      </c>
      <c r="K5561">
        <v>0.169</v>
      </c>
      <c r="L5561">
        <v>7368</v>
      </c>
      <c r="M5561">
        <v>1055</v>
      </c>
      <c r="N5561" t="s">
        <v>16393</v>
      </c>
      <c r="O5561" s="4">
        <v>38692</v>
      </c>
      <c r="P5561" s="4">
        <v>61499</v>
      </c>
      <c r="Q5561" s="4">
        <v>100191</v>
      </c>
      <c r="R5561" s="4">
        <v>300573</v>
      </c>
      <c r="S5561" t="s">
        <v>21823</v>
      </c>
      <c r="T5561" s="6">
        <v>35247</v>
      </c>
      <c r="U5561" s="4">
        <v>141000</v>
      </c>
      <c r="X5561" t="s">
        <v>3</v>
      </c>
      <c r="AA5561" s="5" t="str">
        <f>HYPERLINK("https://www.zillow.com/homes/1165-DARBY-LN-ROSELLE-IL-60172_rb/","check listing")</f>
        <v>check listing</v>
      </c>
      <c r="AB5561" s="5" t="str">
        <f>HYPERLINK("https://propertylookup.dupagecounty.gov/Datalets/Datalet.aspx?UseSearch=no&amp;mode=sales&amp;pin=0204309070","sales record")</f>
        <v>sales record</v>
      </c>
      <c r="AC5561" t="s">
        <v>3</v>
      </c>
      <c r="AD5561">
        <v>41.977716</v>
      </c>
      <c r="AE5561">
        <v>-88.10950200000001</v>
      </c>
      <c r="AF5561" s="5" t="str">
        <f>HYPERLINK("https://www.google.com/maps/search/?api=1&amp;query=41.977716,-88.109502","map")</f>
        <v>map</v>
      </c>
    </row>
    <row r="5562" spans="1:32">
      <c r="A5562" t="s">
        <v>5612</v>
      </c>
      <c r="B5562" t="s">
        <v>13137</v>
      </c>
      <c r="C5562" t="s">
        <v>15830</v>
      </c>
      <c r="D5562" t="s">
        <v>16207</v>
      </c>
      <c r="E5562" t="s">
        <v>16218</v>
      </c>
      <c r="F5562" t="s">
        <v>16221</v>
      </c>
      <c r="G5562" t="s">
        <v>16241</v>
      </c>
      <c r="H5562" t="s">
        <v>16241</v>
      </c>
      <c r="I5562" t="s">
        <v>16355</v>
      </c>
      <c r="J5562" t="s">
        <v>16385</v>
      </c>
      <c r="K5562">
        <v>0.169</v>
      </c>
      <c r="L5562">
        <v>7366</v>
      </c>
      <c r="M5562">
        <v>1583</v>
      </c>
      <c r="N5562" t="s">
        <v>16393</v>
      </c>
      <c r="O5562" s="4">
        <v>45278</v>
      </c>
      <c r="P5562" s="4">
        <v>86408</v>
      </c>
      <c r="Q5562" s="4">
        <v>131686</v>
      </c>
      <c r="R5562" s="4">
        <v>395058</v>
      </c>
      <c r="S5562" t="s">
        <v>21824</v>
      </c>
      <c r="X5562" t="s">
        <v>3</v>
      </c>
      <c r="AA5562" s="5" t="str">
        <f>HYPERLINK("https://www.zillow.com/homes/885-BRANDYWINE-DR-ROSELLE-IL-60172_rb/","check listing")</f>
        <v>check listing</v>
      </c>
      <c r="AB5562" s="5" t="str">
        <f>HYPERLINK("https://propertylookup.dupagecounty.gov/Datalets/Datalet.aspx?UseSearch=no&amp;mode=sales&amp;pin=0209115006","sales record")</f>
        <v>sales record</v>
      </c>
      <c r="AC5562" t="s">
        <v>3</v>
      </c>
      <c r="AD5562">
        <v>41.974966</v>
      </c>
      <c r="AE5562">
        <v>-88.102676</v>
      </c>
      <c r="AF5562" s="5" t="str">
        <f>HYPERLINK("https://www.google.com/maps/search/?api=1&amp;query=41.974966,-88.102676","map")</f>
        <v>map</v>
      </c>
    </row>
    <row r="5563" spans="1:32">
      <c r="A5563" t="s">
        <v>5613</v>
      </c>
      <c r="B5563" t="s">
        <v>13138</v>
      </c>
      <c r="C5563" t="s">
        <v>15830</v>
      </c>
      <c r="D5563" t="s">
        <v>16207</v>
      </c>
      <c r="E5563" t="s">
        <v>16218</v>
      </c>
      <c r="F5563" t="s">
        <v>16221</v>
      </c>
      <c r="G5563" t="s">
        <v>16241</v>
      </c>
      <c r="H5563" t="s">
        <v>16241</v>
      </c>
      <c r="I5563" t="s">
        <v>16355</v>
      </c>
      <c r="J5563" t="s">
        <v>16385</v>
      </c>
      <c r="K5563">
        <v>0.169</v>
      </c>
      <c r="L5563">
        <v>7360</v>
      </c>
      <c r="M5563">
        <v>1847</v>
      </c>
      <c r="N5563" t="s">
        <v>16393</v>
      </c>
      <c r="O5563" s="4">
        <v>45278</v>
      </c>
      <c r="P5563" s="4">
        <v>88548</v>
      </c>
      <c r="Q5563" s="4">
        <v>133826</v>
      </c>
      <c r="R5563" s="4">
        <v>401478</v>
      </c>
      <c r="S5563" t="s">
        <v>21825</v>
      </c>
      <c r="T5563" s="6">
        <v>42156</v>
      </c>
      <c r="U5563" s="4">
        <v>213500</v>
      </c>
      <c r="V5563" t="s">
        <v>23739</v>
      </c>
      <c r="W5563" t="s">
        <v>21825</v>
      </c>
      <c r="X5563" t="s">
        <v>3</v>
      </c>
      <c r="AA5563" s="5" t="str">
        <f>HYPERLINK("https://www.zillow.com/homes/320-BRIGHTON-BAY-ROSELLE-IL-60172_rb/","check listing")</f>
        <v>check listing</v>
      </c>
      <c r="AB5563" s="5" t="str">
        <f>HYPERLINK("https://propertylookup.dupagecounty.gov/Datalets/Datalet.aspx?UseSearch=no&amp;mode=sales&amp;pin=0205401026","sales record")</f>
        <v>sales record</v>
      </c>
      <c r="AC5563" t="s">
        <v>3</v>
      </c>
      <c r="AD5563">
        <v>41.976767</v>
      </c>
      <c r="AE5563">
        <v>-88.11519</v>
      </c>
      <c r="AF5563" s="5" t="str">
        <f>HYPERLINK("https://www.google.com/maps/search/?api=1&amp;query=41.976767,-88.11519","map")</f>
        <v>map</v>
      </c>
    </row>
    <row r="5564" spans="1:32">
      <c r="A5564" t="s">
        <v>5614</v>
      </c>
      <c r="B5564" t="s">
        <v>13139</v>
      </c>
      <c r="C5564" t="s">
        <v>15830</v>
      </c>
      <c r="D5564" t="s">
        <v>16207</v>
      </c>
      <c r="E5564" t="s">
        <v>16218</v>
      </c>
      <c r="F5564" t="s">
        <v>16221</v>
      </c>
      <c r="G5564" t="s">
        <v>16241</v>
      </c>
      <c r="H5564" t="s">
        <v>16241</v>
      </c>
      <c r="I5564" t="s">
        <v>16355</v>
      </c>
      <c r="J5564" t="s">
        <v>16385</v>
      </c>
      <c r="K5564">
        <v>0.169</v>
      </c>
      <c r="L5564">
        <v>7355</v>
      </c>
      <c r="M5564">
        <v>1846</v>
      </c>
      <c r="N5564" t="s">
        <v>16393</v>
      </c>
      <c r="O5564" s="4">
        <v>45278</v>
      </c>
      <c r="P5564" s="4">
        <v>85786</v>
      </c>
      <c r="Q5564" s="4">
        <v>131064</v>
      </c>
      <c r="R5564" s="4">
        <v>393192</v>
      </c>
      <c r="S5564" t="s">
        <v>21826</v>
      </c>
      <c r="T5564" s="6">
        <v>42552</v>
      </c>
      <c r="U5564" s="4">
        <v>251000</v>
      </c>
      <c r="V5564" t="s">
        <v>23739</v>
      </c>
      <c r="W5564" t="s">
        <v>21826</v>
      </c>
      <c r="X5564" t="s">
        <v>3</v>
      </c>
      <c r="AA5564" s="5" t="str">
        <f>HYPERLINK("https://www.zillow.com/homes/85-CHATHAM-LN-ROSELLE-IL-60172_rb/","check listing")</f>
        <v>check listing</v>
      </c>
      <c r="AB5564" s="5" t="str">
        <f>HYPERLINK("https://propertylookup.dupagecounty.gov/Datalets/Datalet.aspx?UseSearch=no&amp;mode=sales&amp;pin=0205402001","sales record")</f>
        <v>sales record</v>
      </c>
      <c r="AC5564" t="s">
        <v>3</v>
      </c>
      <c r="AD5564">
        <v>41.980952</v>
      </c>
      <c r="AE5564">
        <v>-88.114441</v>
      </c>
      <c r="AF5564" s="5" t="str">
        <f>HYPERLINK("https://www.google.com/maps/search/?api=1&amp;query=41.980952,-88.114441","map")</f>
        <v>map</v>
      </c>
    </row>
    <row r="5565" spans="1:32">
      <c r="A5565" t="s">
        <v>5615</v>
      </c>
      <c r="B5565" t="s">
        <v>13140</v>
      </c>
      <c r="C5565" t="s">
        <v>15830</v>
      </c>
      <c r="D5565" t="s">
        <v>16207</v>
      </c>
      <c r="E5565" t="s">
        <v>16218</v>
      </c>
      <c r="F5565" t="s">
        <v>16221</v>
      </c>
      <c r="G5565" t="s">
        <v>16241</v>
      </c>
      <c r="H5565" t="s">
        <v>16241</v>
      </c>
      <c r="I5565" t="s">
        <v>16355</v>
      </c>
      <c r="J5565" t="s">
        <v>16385</v>
      </c>
      <c r="K5565">
        <v>0.169</v>
      </c>
      <c r="L5565">
        <v>7355</v>
      </c>
      <c r="M5565">
        <v>1583</v>
      </c>
      <c r="N5565" t="s">
        <v>16393</v>
      </c>
      <c r="O5565" s="4">
        <v>38692</v>
      </c>
      <c r="P5565" s="4">
        <v>58104</v>
      </c>
      <c r="Q5565" s="4">
        <v>96796</v>
      </c>
      <c r="R5565" s="4">
        <v>290388</v>
      </c>
      <c r="S5565" t="s">
        <v>21827</v>
      </c>
      <c r="X5565" t="s">
        <v>3</v>
      </c>
      <c r="AA5565" s="5" t="str">
        <f>HYPERLINK("https://www.zillow.com/homes/575-ROMFORD-CT-ROSELLE-IL-60172_rb/","check listing")</f>
        <v>check listing</v>
      </c>
      <c r="AB5565" s="5" t="str">
        <f>HYPERLINK("https://propertylookup.dupagecounty.gov/Datalets/Datalet.aspx?UseSearch=no&amp;mode=sales&amp;pin=0209101029","sales record")</f>
        <v>sales record</v>
      </c>
      <c r="AC5565" t="s">
        <v>3</v>
      </c>
      <c r="AD5565">
        <v>41.972278</v>
      </c>
      <c r="AE5565">
        <v>-88.103252</v>
      </c>
      <c r="AF5565" s="5" t="str">
        <f>HYPERLINK("https://www.google.com/maps/search/?api=1&amp;query=41.972278,-88.103252","map")</f>
        <v>map</v>
      </c>
    </row>
    <row r="5566" spans="1:32">
      <c r="A5566" t="s">
        <v>5616</v>
      </c>
      <c r="B5566" t="s">
        <v>13141</v>
      </c>
      <c r="C5566" t="s">
        <v>15830</v>
      </c>
      <c r="D5566" t="s">
        <v>16207</v>
      </c>
      <c r="E5566" t="s">
        <v>16218</v>
      </c>
      <c r="F5566" t="s">
        <v>16221</v>
      </c>
      <c r="G5566" t="s">
        <v>16241</v>
      </c>
      <c r="H5566" t="s">
        <v>16241</v>
      </c>
      <c r="I5566" t="s">
        <v>16355</v>
      </c>
      <c r="J5566" t="s">
        <v>16385</v>
      </c>
      <c r="K5566">
        <v>0.169</v>
      </c>
      <c r="L5566">
        <v>7352</v>
      </c>
      <c r="M5566">
        <v>1811</v>
      </c>
      <c r="N5566" t="s">
        <v>16393</v>
      </c>
      <c r="O5566" s="4">
        <v>38692</v>
      </c>
      <c r="P5566" s="4">
        <v>55546</v>
      </c>
      <c r="Q5566" s="4">
        <v>94238</v>
      </c>
      <c r="R5566" s="4">
        <v>282714</v>
      </c>
      <c r="S5566" t="s">
        <v>21828</v>
      </c>
      <c r="T5566" s="6">
        <v>36373</v>
      </c>
      <c r="U5566" s="4">
        <v>110001</v>
      </c>
      <c r="X5566" t="s">
        <v>3</v>
      </c>
      <c r="AA5566" s="5" t="str">
        <f>HYPERLINK("https://www.zillow.com/homes/1271-W-BRYN-MAWR-AVE-ROSELLE-IL-60172_rb/","check listing")</f>
        <v>check listing</v>
      </c>
      <c r="AB5566" s="5" t="str">
        <f>HYPERLINK("https://propertylookup.dupagecounty.gov/Datalets/Datalet.aspx?UseSearch=no&amp;mode=sales&amp;pin=0208205010","sales record")</f>
        <v>sales record</v>
      </c>
      <c r="AC5566" t="s">
        <v>3</v>
      </c>
      <c r="AD5566">
        <v>41.970876</v>
      </c>
      <c r="AE5566">
        <v>-88.11243</v>
      </c>
      <c r="AF5566" s="5" t="str">
        <f>HYPERLINK("https://www.google.com/maps/search/?api=1&amp;query=41.970876,-88.11243","map")</f>
        <v>map</v>
      </c>
    </row>
    <row r="5567" spans="1:32">
      <c r="A5567" t="s">
        <v>5617</v>
      </c>
      <c r="B5567" t="s">
        <v>13142</v>
      </c>
      <c r="C5567" t="s">
        <v>15830</v>
      </c>
      <c r="D5567" t="s">
        <v>16207</v>
      </c>
      <c r="E5567" t="s">
        <v>16218</v>
      </c>
      <c r="F5567" t="s">
        <v>16221</v>
      </c>
      <c r="G5567" t="s">
        <v>16241</v>
      </c>
      <c r="H5567" t="s">
        <v>16241</v>
      </c>
      <c r="I5567" t="s">
        <v>16355</v>
      </c>
      <c r="J5567" t="s">
        <v>16385</v>
      </c>
      <c r="K5567">
        <v>0.169</v>
      </c>
      <c r="L5567">
        <v>7343</v>
      </c>
      <c r="M5567">
        <v>1930</v>
      </c>
      <c r="N5567" t="s">
        <v>16393</v>
      </c>
      <c r="O5567" s="4">
        <v>45278</v>
      </c>
      <c r="P5567" s="4">
        <v>95026</v>
      </c>
      <c r="Q5567" s="4">
        <v>140304</v>
      </c>
      <c r="R5567" s="4">
        <v>420912</v>
      </c>
      <c r="S5567" t="s">
        <v>21829</v>
      </c>
      <c r="T5567" s="6">
        <v>30834</v>
      </c>
      <c r="U5567" s="4">
        <v>97500</v>
      </c>
      <c r="X5567" t="s">
        <v>3</v>
      </c>
      <c r="AA5567" s="5" t="str">
        <f>HYPERLINK("https://www.zillow.com/homes/245-CHATHAM-LN-ROSELLE-IL-60172_rb/","check listing")</f>
        <v>check listing</v>
      </c>
      <c r="AB5567" s="5" t="str">
        <f>HYPERLINK("https://propertylookup.dupagecounty.gov/Datalets/Datalet.aspx?UseSearch=no&amp;mode=sales&amp;pin=0205405002","sales record")</f>
        <v>sales record</v>
      </c>
      <c r="AC5567" t="s">
        <v>3</v>
      </c>
      <c r="AD5567">
        <v>41.978287</v>
      </c>
      <c r="AE5567">
        <v>-88.114273</v>
      </c>
      <c r="AF5567" s="5" t="str">
        <f>HYPERLINK("https://www.google.com/maps/search/?api=1&amp;query=41.978287,-88.114273","map")</f>
        <v>map</v>
      </c>
    </row>
    <row r="5568" spans="1:32">
      <c r="A5568" t="s">
        <v>5618</v>
      </c>
      <c r="B5568" t="s">
        <v>13143</v>
      </c>
      <c r="C5568" t="s">
        <v>15830</v>
      </c>
      <c r="D5568" t="s">
        <v>16207</v>
      </c>
      <c r="E5568" t="s">
        <v>16218</v>
      </c>
      <c r="F5568" t="s">
        <v>16221</v>
      </c>
      <c r="G5568" t="s">
        <v>16241</v>
      </c>
      <c r="H5568" t="s">
        <v>16241</v>
      </c>
      <c r="I5568" t="s">
        <v>16355</v>
      </c>
      <c r="J5568" t="s">
        <v>16385</v>
      </c>
      <c r="K5568">
        <v>0.168</v>
      </c>
      <c r="L5568">
        <v>7333</v>
      </c>
      <c r="M5568">
        <v>2358</v>
      </c>
      <c r="N5568" t="s">
        <v>16393</v>
      </c>
      <c r="O5568" s="4">
        <v>45278</v>
      </c>
      <c r="P5568" s="4">
        <v>96867</v>
      </c>
      <c r="Q5568" s="4">
        <v>142145</v>
      </c>
      <c r="R5568" s="4">
        <v>426435</v>
      </c>
      <c r="S5568" t="s">
        <v>21830</v>
      </c>
      <c r="T5568" s="6">
        <v>32752</v>
      </c>
      <c r="U5568" s="4">
        <v>135000</v>
      </c>
      <c r="X5568" t="s">
        <v>3</v>
      </c>
      <c r="AA5568" s="5" t="str">
        <f>HYPERLINK("https://www.zillow.com/homes/1300-CHATHAM-LN-ROSELLE-IL-60172_rb/","check listing")</f>
        <v>check listing</v>
      </c>
      <c r="AB5568" s="5" t="str">
        <f>HYPERLINK("https://propertylookup.dupagecounty.gov/Datalets/Datalet.aspx?UseSearch=no&amp;mode=sales&amp;pin=0205401064","sales record")</f>
        <v>sales record</v>
      </c>
      <c r="AC5568" t="s">
        <v>3</v>
      </c>
      <c r="AD5568">
        <v>41.981446</v>
      </c>
      <c r="AE5568">
        <v>-88.113787</v>
      </c>
      <c r="AF5568" s="5" t="str">
        <f>HYPERLINK("https://www.google.com/maps/search/?api=1&amp;query=41.981446,-88.113787","map")</f>
        <v>map</v>
      </c>
    </row>
    <row r="5569" spans="1:32">
      <c r="A5569" t="s">
        <v>5619</v>
      </c>
      <c r="B5569" t="s">
        <v>13144</v>
      </c>
      <c r="C5569" t="s">
        <v>15830</v>
      </c>
      <c r="D5569" t="s">
        <v>16207</v>
      </c>
      <c r="E5569" t="s">
        <v>16218</v>
      </c>
      <c r="F5569" t="s">
        <v>16221</v>
      </c>
      <c r="G5569" t="s">
        <v>16241</v>
      </c>
      <c r="H5569" t="s">
        <v>16241</v>
      </c>
      <c r="I5569" t="s">
        <v>16355</v>
      </c>
      <c r="J5569" t="s">
        <v>16385</v>
      </c>
      <c r="K5569">
        <v>0.168</v>
      </c>
      <c r="L5569">
        <v>7332</v>
      </c>
      <c r="M5569">
        <v>1715</v>
      </c>
      <c r="N5569" t="s">
        <v>16393</v>
      </c>
      <c r="O5569" s="4">
        <v>45278</v>
      </c>
      <c r="P5569" s="4">
        <v>97991</v>
      </c>
      <c r="Q5569" s="4">
        <v>143269</v>
      </c>
      <c r="R5569" s="4">
        <v>429807</v>
      </c>
      <c r="S5569" t="s">
        <v>21831</v>
      </c>
      <c r="T5569" s="6">
        <v>44740</v>
      </c>
      <c r="U5569" s="4">
        <v>360000</v>
      </c>
      <c r="V5569" t="s">
        <v>23739</v>
      </c>
      <c r="W5569" t="s">
        <v>26846</v>
      </c>
      <c r="X5569" t="s">
        <v>3</v>
      </c>
      <c r="AA5569" s="5" t="str">
        <f>HYPERLINK("https://www.zillow.com/homes/1200-COLONY-LN-ROSELLE-IL-60172_rb/","check listing")</f>
        <v>check listing</v>
      </c>
      <c r="AB5569" s="5" t="str">
        <f>HYPERLINK("https://propertylookup.dupagecounty.gov/Datalets/Datalet.aspx?UseSearch=no&amp;mode=sales&amp;pin=0204312003","sales record")</f>
        <v>sales record</v>
      </c>
      <c r="AC5569" t="s">
        <v>3</v>
      </c>
      <c r="AD5569">
        <v>41.980089</v>
      </c>
      <c r="AE5569">
        <v>-88.11043600000001</v>
      </c>
      <c r="AF5569" s="5" t="str">
        <f>HYPERLINK("https://www.google.com/maps/search/?api=1&amp;query=41.980089,-88.110436","map")</f>
        <v>map</v>
      </c>
    </row>
    <row r="5570" spans="1:32">
      <c r="A5570" t="s">
        <v>5620</v>
      </c>
      <c r="B5570" t="s">
        <v>13145</v>
      </c>
      <c r="C5570" t="s">
        <v>15830</v>
      </c>
      <c r="D5570" t="s">
        <v>16207</v>
      </c>
      <c r="E5570" t="s">
        <v>16218</v>
      </c>
      <c r="F5570" t="s">
        <v>16221</v>
      </c>
      <c r="G5570" t="s">
        <v>16241</v>
      </c>
      <c r="H5570" t="s">
        <v>16241</v>
      </c>
      <c r="I5570" t="s">
        <v>16355</v>
      </c>
      <c r="J5570" t="s">
        <v>16385</v>
      </c>
      <c r="K5570">
        <v>0.168</v>
      </c>
      <c r="L5570">
        <v>7327</v>
      </c>
      <c r="M5570">
        <v>1583</v>
      </c>
      <c r="N5570" t="s">
        <v>16393</v>
      </c>
      <c r="O5570" s="4">
        <v>38692</v>
      </c>
      <c r="P5570" s="4">
        <v>55546</v>
      </c>
      <c r="Q5570" s="4">
        <v>94238</v>
      </c>
      <c r="R5570" s="4">
        <v>282714</v>
      </c>
      <c r="S5570" t="s">
        <v>21832</v>
      </c>
      <c r="T5570" s="6">
        <v>41456</v>
      </c>
      <c r="U5570" s="4">
        <v>167500</v>
      </c>
      <c r="V5570" t="s">
        <v>23738</v>
      </c>
      <c r="W5570" t="s">
        <v>26847</v>
      </c>
      <c r="X5570" t="s">
        <v>3</v>
      </c>
      <c r="AA5570" s="5" t="str">
        <f>HYPERLINK("https://www.zillow.com/homes/580-KINGSTON-CT-ROSELLE-IL-60172_rb/","check listing")</f>
        <v>check listing</v>
      </c>
      <c r="AB5570" s="5" t="str">
        <f>HYPERLINK("https://propertylookup.dupagecounty.gov/Datalets/Datalet.aspx?UseSearch=no&amp;mode=sales&amp;pin=0209119007","sales record")</f>
        <v>sales record</v>
      </c>
      <c r="AC5570" t="s">
        <v>3</v>
      </c>
      <c r="AD5570">
        <v>41.97219</v>
      </c>
      <c r="AE5570">
        <v>-88.109527</v>
      </c>
      <c r="AF5570" s="5" t="str">
        <f>HYPERLINK("https://www.google.com/maps/search/?api=1&amp;query=41.97219,-88.109527","map")</f>
        <v>map</v>
      </c>
    </row>
    <row r="5571" spans="1:32">
      <c r="A5571" t="s">
        <v>5621</v>
      </c>
      <c r="B5571" t="s">
        <v>13146</v>
      </c>
      <c r="C5571" t="s">
        <v>15903</v>
      </c>
      <c r="D5571" t="s">
        <v>16207</v>
      </c>
      <c r="E5571" t="s">
        <v>16218</v>
      </c>
      <c r="F5571" t="s">
        <v>16221</v>
      </c>
      <c r="G5571" t="s">
        <v>16241</v>
      </c>
      <c r="H5571" t="s">
        <v>16241</v>
      </c>
      <c r="I5571" t="s">
        <v>16355</v>
      </c>
      <c r="J5571" t="s">
        <v>16385</v>
      </c>
      <c r="K5571">
        <v>0.168</v>
      </c>
      <c r="L5571">
        <v>7326</v>
      </c>
      <c r="N5571" t="s">
        <v>16393</v>
      </c>
      <c r="O5571" s="4">
        <v>39672</v>
      </c>
      <c r="P5571" s="4">
        <v>168661</v>
      </c>
      <c r="Q5571" s="4">
        <v>208333</v>
      </c>
      <c r="R5571" s="4">
        <v>624999</v>
      </c>
      <c r="S5571" t="s">
        <v>21833</v>
      </c>
      <c r="T5571" s="6">
        <v>45491</v>
      </c>
      <c r="U5571" s="4">
        <v>625000</v>
      </c>
      <c r="V5571" t="s">
        <v>23739</v>
      </c>
      <c r="W5571" t="s">
        <v>26848</v>
      </c>
      <c r="X5571" t="s">
        <v>3</v>
      </c>
      <c r="AA5571" s="5" t="str">
        <f>HYPERLINK("https://www.zillow.com/homes/620-FRANCESCA-LN-ROSELLE-IL-601722808_rb/","check listing")</f>
        <v>check listing</v>
      </c>
      <c r="AB5571" s="5" t="str">
        <f>HYPERLINK("https://propertylookup.dupagecounty.gov/Datalets/Datalet.aspx?UseSearch=no&amp;mode=sales&amp;pin=0208204038","sales record")</f>
        <v>sales record</v>
      </c>
      <c r="AC5571" t="s">
        <v>3</v>
      </c>
      <c r="AD5571">
        <v>41.97082</v>
      </c>
      <c r="AE5571">
        <v>-88.11342500000001</v>
      </c>
      <c r="AF5571" s="5" t="str">
        <f>HYPERLINK("https://www.google.com/maps/search/?api=1&amp;query=41.97082,-88.113425","map")</f>
        <v>map</v>
      </c>
    </row>
    <row r="5572" spans="1:32">
      <c r="A5572" t="s">
        <v>5622</v>
      </c>
      <c r="B5572" t="s">
        <v>13147</v>
      </c>
      <c r="C5572" t="s">
        <v>15830</v>
      </c>
      <c r="D5572" t="s">
        <v>16207</v>
      </c>
      <c r="E5572" t="s">
        <v>16218</v>
      </c>
      <c r="F5572" t="s">
        <v>16221</v>
      </c>
      <c r="G5572" t="s">
        <v>16241</v>
      </c>
      <c r="H5572" t="s">
        <v>16241</v>
      </c>
      <c r="I5572" t="s">
        <v>16355</v>
      </c>
      <c r="J5572" t="s">
        <v>16385</v>
      </c>
      <c r="K5572">
        <v>0.168</v>
      </c>
      <c r="L5572">
        <v>7324</v>
      </c>
      <c r="M5572">
        <v>1715</v>
      </c>
      <c r="N5572" t="s">
        <v>16393</v>
      </c>
      <c r="O5572" s="4">
        <v>45278</v>
      </c>
      <c r="P5572" s="4">
        <v>105916</v>
      </c>
      <c r="Q5572" s="4">
        <v>151194</v>
      </c>
      <c r="R5572" s="4">
        <v>453582</v>
      </c>
      <c r="S5572" t="s">
        <v>21834</v>
      </c>
      <c r="T5572" s="6">
        <v>38473</v>
      </c>
      <c r="U5572" s="4">
        <v>332000</v>
      </c>
      <c r="V5572" t="s">
        <v>23739</v>
      </c>
      <c r="W5572" t="s">
        <v>21834</v>
      </c>
      <c r="X5572" t="s">
        <v>3</v>
      </c>
      <c r="AA5572" s="5" t="str">
        <f>HYPERLINK("https://www.zillow.com/homes/505-AVEBURY-LN-ROSELLE-IL-60172_rb/","check listing")</f>
        <v>check listing</v>
      </c>
      <c r="AB5572" s="5" t="str">
        <f>HYPERLINK("https://propertylookup.dupagecounty.gov/Datalets/Datalet.aspx?UseSearch=no&amp;mode=sales&amp;pin=0209212018","sales record")</f>
        <v>sales record</v>
      </c>
      <c r="AC5572" t="s">
        <v>3</v>
      </c>
      <c r="AD5572">
        <v>41.973842</v>
      </c>
      <c r="AE5572">
        <v>-88.098309</v>
      </c>
      <c r="AF5572" s="5" t="str">
        <f>HYPERLINK("https://www.google.com/maps/search/?api=1&amp;query=41.973842,-88.098309","map")</f>
        <v>map</v>
      </c>
    </row>
    <row r="5573" spans="1:32">
      <c r="A5573" t="s">
        <v>5623</v>
      </c>
      <c r="B5573" t="s">
        <v>13148</v>
      </c>
      <c r="C5573" t="s">
        <v>15830</v>
      </c>
      <c r="D5573" t="s">
        <v>16207</v>
      </c>
      <c r="E5573" t="s">
        <v>16218</v>
      </c>
      <c r="F5573" t="s">
        <v>16221</v>
      </c>
      <c r="G5573" t="s">
        <v>16241</v>
      </c>
      <c r="H5573" t="s">
        <v>16241</v>
      </c>
      <c r="I5573" t="s">
        <v>16355</v>
      </c>
      <c r="J5573" t="s">
        <v>16385</v>
      </c>
      <c r="K5573">
        <v>0.168</v>
      </c>
      <c r="L5573">
        <v>7312</v>
      </c>
      <c r="M5573">
        <v>1764</v>
      </c>
      <c r="N5573" t="s">
        <v>16393</v>
      </c>
      <c r="O5573" s="4">
        <v>38692</v>
      </c>
      <c r="P5573" s="4">
        <v>75974</v>
      </c>
      <c r="Q5573" s="4">
        <v>114666</v>
      </c>
      <c r="R5573" s="4">
        <v>343998</v>
      </c>
      <c r="S5573" t="s">
        <v>21835</v>
      </c>
      <c r="X5573" t="s">
        <v>3</v>
      </c>
      <c r="AA5573" s="5" t="str">
        <f>HYPERLINK("https://www.zillow.com/homes/805-STONEFIELD-PL-ROSELLE-IL-60172_rb/","check listing")</f>
        <v>check listing</v>
      </c>
      <c r="AB5573" s="5" t="str">
        <f>HYPERLINK("https://propertylookup.dupagecounty.gov/Datalets/Datalet.aspx?UseSearch=no&amp;mode=sales&amp;pin=0209102019","sales record")</f>
        <v>sales record</v>
      </c>
      <c r="AC5573" t="s">
        <v>3</v>
      </c>
      <c r="AD5573">
        <v>41.972445</v>
      </c>
      <c r="AE5573">
        <v>-88.100843</v>
      </c>
      <c r="AF5573" s="5" t="str">
        <f>HYPERLINK("https://www.google.com/maps/search/?api=1&amp;query=41.972445,-88.100843","map")</f>
        <v>map</v>
      </c>
    </row>
    <row r="5574" spans="1:32">
      <c r="A5574" t="s">
        <v>5624</v>
      </c>
      <c r="B5574" t="s">
        <v>13149</v>
      </c>
      <c r="C5574" t="s">
        <v>15830</v>
      </c>
      <c r="D5574" t="s">
        <v>16207</v>
      </c>
      <c r="E5574" t="s">
        <v>16218</v>
      </c>
      <c r="F5574" t="s">
        <v>16221</v>
      </c>
      <c r="G5574" t="s">
        <v>16241</v>
      </c>
      <c r="H5574" t="s">
        <v>16241</v>
      </c>
      <c r="I5574" t="s">
        <v>16355</v>
      </c>
      <c r="J5574" t="s">
        <v>16385</v>
      </c>
      <c r="K5574">
        <v>0.168</v>
      </c>
      <c r="L5574">
        <v>7310</v>
      </c>
      <c r="M5574">
        <v>1675</v>
      </c>
      <c r="N5574" t="s">
        <v>16393</v>
      </c>
      <c r="O5574" s="4">
        <v>45278</v>
      </c>
      <c r="P5574" s="4">
        <v>97848</v>
      </c>
      <c r="Q5574" s="4">
        <v>143126</v>
      </c>
      <c r="R5574" s="4">
        <v>429378</v>
      </c>
      <c r="S5574" t="s">
        <v>21836</v>
      </c>
      <c r="T5574" s="6">
        <v>38565</v>
      </c>
      <c r="U5574" s="4">
        <v>349500</v>
      </c>
      <c r="V5574" t="s">
        <v>23739</v>
      </c>
      <c r="W5574" t="s">
        <v>21836</v>
      </c>
      <c r="X5574" t="s">
        <v>3</v>
      </c>
      <c r="AA5574" s="5" t="str">
        <f>HYPERLINK("https://www.zillow.com/homes/135-CHATHAM-LN-ROSELLE-IL-60172_rb/","check listing")</f>
        <v>check listing</v>
      </c>
      <c r="AB5574" s="5" t="str">
        <f>HYPERLINK("https://propertylookup.dupagecounty.gov/Datalets/Datalet.aspx?UseSearch=no&amp;mode=sales&amp;pin=0205403008","sales record")</f>
        <v>sales record</v>
      </c>
      <c r="AC5574" t="s">
        <v>3</v>
      </c>
      <c r="AD5574">
        <v>41.979985</v>
      </c>
      <c r="AE5574">
        <v>-88.114481</v>
      </c>
      <c r="AF5574" s="5" t="str">
        <f>HYPERLINK("https://www.google.com/maps/search/?api=1&amp;query=41.979985,-88.114481","map")</f>
        <v>map</v>
      </c>
    </row>
    <row r="5575" spans="1:32">
      <c r="A5575" t="s">
        <v>5625</v>
      </c>
      <c r="B5575" t="s">
        <v>13150</v>
      </c>
      <c r="C5575" t="s">
        <v>15830</v>
      </c>
      <c r="D5575" t="s">
        <v>16207</v>
      </c>
      <c r="E5575" t="s">
        <v>16218</v>
      </c>
      <c r="F5575" t="s">
        <v>16221</v>
      </c>
      <c r="G5575" t="s">
        <v>16241</v>
      </c>
      <c r="H5575" t="s">
        <v>16241</v>
      </c>
      <c r="I5575" t="s">
        <v>16355</v>
      </c>
      <c r="J5575" t="s">
        <v>16385</v>
      </c>
      <c r="K5575">
        <v>0.167</v>
      </c>
      <c r="L5575">
        <v>7292</v>
      </c>
      <c r="M5575">
        <v>1703</v>
      </c>
      <c r="N5575" t="s">
        <v>16393</v>
      </c>
      <c r="O5575" s="4">
        <v>45278</v>
      </c>
      <c r="P5575" s="4">
        <v>93258</v>
      </c>
      <c r="Q5575" s="4">
        <v>138536</v>
      </c>
      <c r="R5575" s="4">
        <v>415608</v>
      </c>
      <c r="S5575" t="s">
        <v>21837</v>
      </c>
      <c r="T5575" s="6">
        <v>32629</v>
      </c>
      <c r="U5575" s="4">
        <v>133500</v>
      </c>
      <c r="X5575" t="s">
        <v>3</v>
      </c>
      <c r="AA5575" s="5" t="str">
        <f>HYPERLINK("https://www.zillow.com/homes/130-CHATHAM-LN-ROSELLE-IL-60172_rb/","check listing")</f>
        <v>check listing</v>
      </c>
      <c r="AB5575" s="5" t="str">
        <f>HYPERLINK("https://propertylookup.dupagecounty.gov/Datalets/Datalet.aspx?UseSearch=no&amp;mode=sales&amp;pin=0205401007","sales record")</f>
        <v>sales record</v>
      </c>
      <c r="AC5575" t="s">
        <v>3</v>
      </c>
      <c r="AD5575">
        <v>41.980131</v>
      </c>
      <c r="AE5575">
        <v>-88.115118</v>
      </c>
      <c r="AF5575" s="5" t="str">
        <f>HYPERLINK("https://www.google.com/maps/search/?api=1&amp;query=41.980131,-88.115118","map")</f>
        <v>map</v>
      </c>
    </row>
    <row r="5576" spans="1:32">
      <c r="A5576" t="s">
        <v>5626</v>
      </c>
      <c r="B5576" t="s">
        <v>13151</v>
      </c>
      <c r="C5576" t="s">
        <v>15913</v>
      </c>
      <c r="D5576" t="s">
        <v>16207</v>
      </c>
      <c r="E5576" t="s">
        <v>16218</v>
      </c>
      <c r="F5576" t="s">
        <v>16221</v>
      </c>
      <c r="G5576" t="s">
        <v>16241</v>
      </c>
      <c r="H5576" t="s">
        <v>16241</v>
      </c>
      <c r="I5576" t="s">
        <v>16355</v>
      </c>
      <c r="J5576" t="s">
        <v>16385</v>
      </c>
      <c r="K5576">
        <v>0.167</v>
      </c>
      <c r="L5576">
        <v>7287</v>
      </c>
      <c r="M5576">
        <v>1632</v>
      </c>
      <c r="N5576" t="s">
        <v>16393</v>
      </c>
      <c r="O5576" s="4">
        <v>38692</v>
      </c>
      <c r="P5576" s="4">
        <v>69865</v>
      </c>
      <c r="Q5576" s="4">
        <v>108557</v>
      </c>
      <c r="R5576" s="4">
        <v>325671</v>
      </c>
      <c r="S5576" t="s">
        <v>21838</v>
      </c>
      <c r="T5576" s="6">
        <v>41306</v>
      </c>
      <c r="U5576" s="4">
        <v>140000</v>
      </c>
      <c r="V5576" t="s">
        <v>23739</v>
      </c>
      <c r="W5576" t="s">
        <v>26849</v>
      </c>
      <c r="X5576" t="s">
        <v>3</v>
      </c>
      <c r="AA5576" s="5" t="str">
        <f>HYPERLINK("https://www.zillow.com/homes/880-EDENWOOD-DR-ROSELLE-IL-601722877_rb/","check listing")</f>
        <v>check listing</v>
      </c>
      <c r="AB5576" s="5" t="str">
        <f>HYPERLINK("https://propertylookup.dupagecounty.gov/Datalets/Datalet.aspx?UseSearch=no&amp;mode=sales&amp;pin=0209112013","sales record")</f>
        <v>sales record</v>
      </c>
      <c r="AC5576" t="s">
        <v>3</v>
      </c>
      <c r="AD5576">
        <v>41.973107</v>
      </c>
      <c r="AE5576">
        <v>-88.102591</v>
      </c>
      <c r="AF5576" s="5" t="str">
        <f>HYPERLINK("https://www.google.com/maps/search/?api=1&amp;query=41.973107,-88.102591","map")</f>
        <v>map</v>
      </c>
    </row>
    <row r="5577" spans="1:32">
      <c r="A5577" t="s">
        <v>5627</v>
      </c>
      <c r="B5577" t="s">
        <v>13152</v>
      </c>
      <c r="C5577" t="s">
        <v>15830</v>
      </c>
      <c r="D5577" t="s">
        <v>16207</v>
      </c>
      <c r="E5577" t="s">
        <v>16218</v>
      </c>
      <c r="F5577" t="s">
        <v>16221</v>
      </c>
      <c r="G5577" t="s">
        <v>16241</v>
      </c>
      <c r="H5577" t="s">
        <v>16241</v>
      </c>
      <c r="I5577" t="s">
        <v>16355</v>
      </c>
      <c r="J5577" t="s">
        <v>16385</v>
      </c>
      <c r="K5577">
        <v>0.167</v>
      </c>
      <c r="L5577">
        <v>7281</v>
      </c>
      <c r="M5577">
        <v>1484</v>
      </c>
      <c r="N5577" t="s">
        <v>16393</v>
      </c>
      <c r="O5577" s="4">
        <v>38692</v>
      </c>
      <c r="P5577" s="4">
        <v>77599</v>
      </c>
      <c r="Q5577" s="4">
        <v>116291</v>
      </c>
      <c r="R5577" s="4">
        <v>348873</v>
      </c>
      <c r="S5577" t="s">
        <v>21839</v>
      </c>
      <c r="T5577" s="6">
        <v>36192</v>
      </c>
      <c r="U5577" s="4">
        <v>154000</v>
      </c>
      <c r="X5577" t="s">
        <v>3</v>
      </c>
      <c r="AA5577" s="5" t="str">
        <f>HYPERLINK("https://www.zillow.com/homes/691-RODENBURG-RD-ROSELLE-IL-60172_rb/","check listing")</f>
        <v>check listing</v>
      </c>
      <c r="AB5577" s="5" t="str">
        <f>HYPERLINK("https://propertylookup.dupagecounty.gov/Datalets/Datalet.aspx?UseSearch=no&amp;mode=sales&amp;pin=0209120017","sales record")</f>
        <v>sales record</v>
      </c>
      <c r="AC5577" t="s">
        <v>3</v>
      </c>
      <c r="AD5577">
        <v>41.970565</v>
      </c>
      <c r="AE5577">
        <v>-88.109286</v>
      </c>
      <c r="AF5577" s="5" t="str">
        <f>HYPERLINK("https://www.google.com/maps/search/?api=1&amp;query=41.970565,-88.109286","map")</f>
        <v>map</v>
      </c>
    </row>
    <row r="5578" spans="1:32">
      <c r="A5578" t="s">
        <v>5628</v>
      </c>
      <c r="B5578" t="s">
        <v>13153</v>
      </c>
      <c r="C5578" t="s">
        <v>15914</v>
      </c>
      <c r="D5578" t="s">
        <v>16207</v>
      </c>
      <c r="E5578" t="s">
        <v>16218</v>
      </c>
      <c r="F5578" t="s">
        <v>16221</v>
      </c>
      <c r="G5578" t="s">
        <v>16241</v>
      </c>
      <c r="H5578" t="s">
        <v>16241</v>
      </c>
      <c r="I5578" t="s">
        <v>16355</v>
      </c>
      <c r="J5578" t="s">
        <v>16385</v>
      </c>
      <c r="K5578">
        <v>0.167</v>
      </c>
      <c r="L5578">
        <v>7274</v>
      </c>
      <c r="M5578">
        <v>1979</v>
      </c>
      <c r="N5578" t="s">
        <v>16393</v>
      </c>
      <c r="O5578" s="4">
        <v>38692</v>
      </c>
      <c r="P5578" s="4">
        <v>77444</v>
      </c>
      <c r="Q5578" s="4">
        <v>116136</v>
      </c>
      <c r="R5578" s="4">
        <v>348408</v>
      </c>
      <c r="S5578" t="s">
        <v>21840</v>
      </c>
      <c r="T5578" s="6">
        <v>41456</v>
      </c>
      <c r="U5578" s="4">
        <v>185000</v>
      </c>
      <c r="V5578" t="s">
        <v>16232</v>
      </c>
      <c r="W5578" t="s">
        <v>26850</v>
      </c>
      <c r="X5578" t="s">
        <v>3</v>
      </c>
      <c r="AA5578" s="5" t="str">
        <f>HYPERLINK("https://www.zillow.com/homes/1000-W-BRYN-MAWR-AVE-ROSELLE-IL-601723723_rb/","check listing")</f>
        <v>check listing</v>
      </c>
      <c r="AB5578" s="5" t="str">
        <f>HYPERLINK("https://propertylookup.dupagecounty.gov/Datalets/Datalet.aspx?UseSearch=no&amp;mode=sales&amp;pin=0209109012","sales record")</f>
        <v>sales record</v>
      </c>
      <c r="AC5578" t="s">
        <v>3</v>
      </c>
      <c r="AD5578">
        <v>41.973297</v>
      </c>
      <c r="AE5578">
        <v>-88.105366</v>
      </c>
      <c r="AF5578" s="5" t="str">
        <f>HYPERLINK("https://www.google.com/maps/search/?api=1&amp;query=41.973297,-88.105366","map")</f>
        <v>map</v>
      </c>
    </row>
    <row r="5579" spans="1:32">
      <c r="A5579" t="s">
        <v>5629</v>
      </c>
      <c r="B5579" t="s">
        <v>13154</v>
      </c>
      <c r="C5579" t="s">
        <v>15830</v>
      </c>
      <c r="D5579" t="s">
        <v>16207</v>
      </c>
      <c r="E5579" t="s">
        <v>16218</v>
      </c>
      <c r="F5579" t="s">
        <v>16221</v>
      </c>
      <c r="G5579" t="s">
        <v>16241</v>
      </c>
      <c r="H5579" t="s">
        <v>16241</v>
      </c>
      <c r="I5579" t="s">
        <v>16355</v>
      </c>
      <c r="J5579" t="s">
        <v>16385</v>
      </c>
      <c r="K5579">
        <v>0.167</v>
      </c>
      <c r="L5579">
        <v>7270</v>
      </c>
      <c r="M5579">
        <v>1979</v>
      </c>
      <c r="N5579" t="s">
        <v>16393</v>
      </c>
      <c r="O5579" s="4">
        <v>45278</v>
      </c>
      <c r="P5579" s="4">
        <v>71861</v>
      </c>
      <c r="Q5579" s="4">
        <v>117139</v>
      </c>
      <c r="R5579" s="4">
        <v>351417</v>
      </c>
      <c r="S5579" t="s">
        <v>21841</v>
      </c>
      <c r="T5579" s="6">
        <v>29921</v>
      </c>
      <c r="U5579" s="4">
        <v>83854</v>
      </c>
      <c r="X5579" t="s">
        <v>3</v>
      </c>
      <c r="AA5579" s="5" t="str">
        <f>HYPERLINK("https://www.zillow.com/homes/600-KENSINGTON-CT-ROSELLE-IL-60172_rb/","check listing")</f>
        <v>check listing</v>
      </c>
      <c r="AB5579" s="5" t="str">
        <f>HYPERLINK("https://propertylookup.dupagecounty.gov/Datalets/Datalet.aspx?UseSearch=no&amp;mode=sales&amp;pin=0208204005","sales record")</f>
        <v>sales record</v>
      </c>
      <c r="AC5579" t="s">
        <v>3</v>
      </c>
      <c r="AD5579">
        <v>41.971619</v>
      </c>
      <c r="AE5579">
        <v>-88.113102</v>
      </c>
      <c r="AF5579" s="5" t="str">
        <f>HYPERLINK("https://www.google.com/maps/search/?api=1&amp;query=41.971619,-88.113102","map")</f>
        <v>map</v>
      </c>
    </row>
    <row r="5580" spans="1:32">
      <c r="A5580" t="s">
        <v>5630</v>
      </c>
      <c r="B5580" t="s">
        <v>13155</v>
      </c>
      <c r="C5580" t="s">
        <v>15830</v>
      </c>
      <c r="D5580" t="s">
        <v>16207</v>
      </c>
      <c r="E5580" t="s">
        <v>16218</v>
      </c>
      <c r="F5580" t="s">
        <v>16221</v>
      </c>
      <c r="G5580" t="s">
        <v>16241</v>
      </c>
      <c r="H5580" t="s">
        <v>16241</v>
      </c>
      <c r="I5580" t="s">
        <v>16355</v>
      </c>
      <c r="J5580" t="s">
        <v>16385</v>
      </c>
      <c r="K5580">
        <v>0.167</v>
      </c>
      <c r="L5580">
        <v>7264</v>
      </c>
      <c r="M5580">
        <v>2177</v>
      </c>
      <c r="N5580" t="s">
        <v>16393</v>
      </c>
      <c r="O5580" s="4">
        <v>45278</v>
      </c>
      <c r="P5580" s="4">
        <v>90974</v>
      </c>
      <c r="Q5580" s="4">
        <v>136252</v>
      </c>
      <c r="R5580" s="4">
        <v>408756</v>
      </c>
      <c r="S5580" t="s">
        <v>21842</v>
      </c>
      <c r="T5580" s="6">
        <v>36617</v>
      </c>
      <c r="U5580" s="4">
        <v>185000</v>
      </c>
      <c r="V5580" t="s">
        <v>23739</v>
      </c>
      <c r="W5580" t="s">
        <v>26851</v>
      </c>
      <c r="X5580" t="s">
        <v>3</v>
      </c>
      <c r="AA5580" s="5" t="str">
        <f>HYPERLINK("https://www.zillow.com/homes/250-CHATHAM-LN-ROSELLE-IL-60172_rb/","check listing")</f>
        <v>check listing</v>
      </c>
      <c r="AB5580" s="5" t="str">
        <f>HYPERLINK("https://propertylookup.dupagecounty.gov/Datalets/Datalet.aspx?UseSearch=no&amp;mode=sales&amp;pin=0205401019","sales record")</f>
        <v>sales record</v>
      </c>
      <c r="AC5580" t="s">
        <v>3</v>
      </c>
      <c r="AD5580">
        <v>41.977985</v>
      </c>
      <c r="AE5580">
        <v>-88.11515</v>
      </c>
      <c r="AF5580" s="5" t="str">
        <f>HYPERLINK("https://www.google.com/maps/search/?api=1&amp;query=41.977985,-88.11515","map")</f>
        <v>map</v>
      </c>
    </row>
    <row r="5581" spans="1:32">
      <c r="A5581" t="s">
        <v>5631</v>
      </c>
      <c r="B5581" t="s">
        <v>13156</v>
      </c>
      <c r="C5581" t="s">
        <v>15830</v>
      </c>
      <c r="D5581" t="s">
        <v>16207</v>
      </c>
      <c r="E5581" t="s">
        <v>16218</v>
      </c>
      <c r="F5581" t="s">
        <v>16221</v>
      </c>
      <c r="G5581" t="s">
        <v>16241</v>
      </c>
      <c r="H5581" t="s">
        <v>16241</v>
      </c>
      <c r="I5581" t="s">
        <v>16355</v>
      </c>
      <c r="J5581" t="s">
        <v>16385</v>
      </c>
      <c r="K5581">
        <v>0.167</v>
      </c>
      <c r="L5581">
        <v>7261</v>
      </c>
      <c r="M5581">
        <v>1781</v>
      </c>
      <c r="N5581" t="s">
        <v>16393</v>
      </c>
      <c r="O5581" s="4">
        <v>38692</v>
      </c>
      <c r="P5581" s="4">
        <v>55606</v>
      </c>
      <c r="Q5581" s="4">
        <v>94298</v>
      </c>
      <c r="R5581" s="4">
        <v>282894</v>
      </c>
      <c r="S5581" t="s">
        <v>21843</v>
      </c>
      <c r="X5581" t="s">
        <v>3</v>
      </c>
      <c r="AA5581" s="5" t="str">
        <f>HYPERLINK("https://www.zillow.com/homes/802-MEADE-LN-ROSELLE-IL-60172_rb/","check listing")</f>
        <v>check listing</v>
      </c>
      <c r="AB5581" s="5" t="str">
        <f>HYPERLINK("https://propertylookup.dupagecounty.gov/Datalets/Datalet.aspx?UseSearch=no&amp;mode=sales&amp;pin=0209304002","sales record")</f>
        <v>sales record</v>
      </c>
      <c r="AC5581" t="s">
        <v>3</v>
      </c>
      <c r="AD5581">
        <v>41.968042</v>
      </c>
      <c r="AE5581">
        <v>-88.105637</v>
      </c>
      <c r="AF5581" s="5" t="str">
        <f>HYPERLINK("https://www.google.com/maps/search/?api=1&amp;query=41.968042,-88.105637","map")</f>
        <v>map</v>
      </c>
    </row>
    <row r="5582" spans="1:32">
      <c r="A5582" t="s">
        <v>5632</v>
      </c>
      <c r="B5582" t="s">
        <v>13157</v>
      </c>
      <c r="C5582" t="s">
        <v>15830</v>
      </c>
      <c r="D5582" t="s">
        <v>16207</v>
      </c>
      <c r="E5582" t="s">
        <v>16218</v>
      </c>
      <c r="F5582" t="s">
        <v>16221</v>
      </c>
      <c r="G5582" t="s">
        <v>16241</v>
      </c>
      <c r="H5582" t="s">
        <v>16241</v>
      </c>
      <c r="I5582" t="s">
        <v>16355</v>
      </c>
      <c r="J5582" t="s">
        <v>16385</v>
      </c>
      <c r="K5582">
        <v>0.167</v>
      </c>
      <c r="L5582">
        <v>7257</v>
      </c>
      <c r="M5582">
        <v>1847</v>
      </c>
      <c r="N5582" t="s">
        <v>16393</v>
      </c>
      <c r="O5582" s="4">
        <v>45278</v>
      </c>
      <c r="P5582" s="4">
        <v>86815</v>
      </c>
      <c r="Q5582" s="4">
        <v>132093</v>
      </c>
      <c r="R5582" s="4">
        <v>396279</v>
      </c>
      <c r="S5582" t="s">
        <v>21844</v>
      </c>
      <c r="T5582" s="6">
        <v>35462</v>
      </c>
      <c r="U5582" s="4">
        <v>157000</v>
      </c>
      <c r="X5582" t="s">
        <v>3</v>
      </c>
      <c r="AA5582" s="5" t="str">
        <f>HYPERLINK("https://www.zillow.com/homes/432-FORDHAM-PLACE-ROSELLE-IL-60172_rb/","check listing")</f>
        <v>check listing</v>
      </c>
      <c r="AB5582" s="5" t="str">
        <f>HYPERLINK("https://propertylookup.dupagecounty.gov/Datalets/Datalet.aspx?UseSearch=no&amp;mode=sales&amp;pin=0209115016","sales record")</f>
        <v>sales record</v>
      </c>
      <c r="AC5582" t="s">
        <v>3</v>
      </c>
      <c r="AD5582">
        <v>41.974802</v>
      </c>
      <c r="AE5582">
        <v>-88.102138</v>
      </c>
      <c r="AF5582" s="5" t="str">
        <f>HYPERLINK("https://www.google.com/maps/search/?api=1&amp;query=41.974802,-88.102138","map")</f>
        <v>map</v>
      </c>
    </row>
    <row r="5583" spans="1:32">
      <c r="A5583" t="s">
        <v>5633</v>
      </c>
      <c r="B5583" t="s">
        <v>13158</v>
      </c>
      <c r="C5583" t="s">
        <v>15830</v>
      </c>
      <c r="D5583" t="s">
        <v>16207</v>
      </c>
      <c r="E5583" t="s">
        <v>16218</v>
      </c>
      <c r="F5583" t="s">
        <v>16221</v>
      </c>
      <c r="G5583" t="s">
        <v>16241</v>
      </c>
      <c r="H5583" t="s">
        <v>16241</v>
      </c>
      <c r="I5583" t="s">
        <v>16355</v>
      </c>
      <c r="J5583" t="s">
        <v>16385</v>
      </c>
      <c r="K5583">
        <v>0.167</v>
      </c>
      <c r="L5583">
        <v>7256</v>
      </c>
      <c r="M5583">
        <v>1716</v>
      </c>
      <c r="N5583" t="s">
        <v>16393</v>
      </c>
      <c r="O5583" s="4">
        <v>45278</v>
      </c>
      <c r="P5583" s="4">
        <v>95636</v>
      </c>
      <c r="Q5583" s="4">
        <v>140914</v>
      </c>
      <c r="R5583" s="4">
        <v>422742</v>
      </c>
      <c r="S5583" t="s">
        <v>21845</v>
      </c>
      <c r="X5583" t="s">
        <v>3</v>
      </c>
      <c r="AA5583" s="5" t="str">
        <f>HYPERLINK("https://www.zillow.com/homes/1280-CHATHAM-LN-ROSELLE-IL-60172_rb/","check listing")</f>
        <v>check listing</v>
      </c>
      <c r="AB5583" s="5" t="str">
        <f>HYPERLINK("https://propertylookup.dupagecounty.gov/Datalets/Datalet.aspx?UseSearch=no&amp;mode=sales&amp;pin=0205401066","sales record")</f>
        <v>sales record</v>
      </c>
      <c r="AC5583" t="s">
        <v>3</v>
      </c>
      <c r="AD5583">
        <v>41.981417</v>
      </c>
      <c r="AE5583">
        <v>-88.11326699999999</v>
      </c>
      <c r="AF5583" s="5" t="str">
        <f>HYPERLINK("https://www.google.com/maps/search/?api=1&amp;query=41.981417,-88.113267","map")</f>
        <v>map</v>
      </c>
    </row>
    <row r="5584" spans="1:32">
      <c r="A5584" t="s">
        <v>5634</v>
      </c>
      <c r="B5584" t="s">
        <v>13159</v>
      </c>
      <c r="C5584" t="s">
        <v>15880</v>
      </c>
      <c r="D5584" t="s">
        <v>16207</v>
      </c>
      <c r="E5584" t="s">
        <v>16218</v>
      </c>
      <c r="F5584" t="s">
        <v>16221</v>
      </c>
      <c r="G5584" t="s">
        <v>16241</v>
      </c>
      <c r="H5584" t="s">
        <v>16241</v>
      </c>
      <c r="I5584" t="s">
        <v>16355</v>
      </c>
      <c r="J5584" t="s">
        <v>16385</v>
      </c>
      <c r="K5584">
        <v>0.166</v>
      </c>
      <c r="L5584">
        <v>7248</v>
      </c>
      <c r="M5584">
        <v>2191</v>
      </c>
      <c r="N5584" t="s">
        <v>16393</v>
      </c>
      <c r="O5584" s="4">
        <v>45278</v>
      </c>
      <c r="P5584" s="4">
        <v>99652</v>
      </c>
      <c r="Q5584" s="4">
        <v>144930</v>
      </c>
      <c r="R5584" s="4">
        <v>434790</v>
      </c>
      <c r="S5584" t="s">
        <v>21846</v>
      </c>
      <c r="T5584" s="6">
        <v>43647</v>
      </c>
      <c r="U5584" s="4">
        <v>320000</v>
      </c>
      <c r="V5584" t="s">
        <v>23739</v>
      </c>
      <c r="W5584" t="s">
        <v>26852</v>
      </c>
      <c r="X5584" t="s">
        <v>3</v>
      </c>
      <c r="AA5584" s="5" t="str">
        <f>HYPERLINK("https://www.zillow.com/homes/350-HAMSTEAD-CT-ROSELLE-IL-601721633_rb/","check listing")</f>
        <v>check listing</v>
      </c>
      <c r="AB5584" s="5" t="str">
        <f>HYPERLINK("https://propertylookup.dupagecounty.gov/Datalets/Datalet.aspx?UseSearch=no&amp;mode=sales&amp;pin=0205407009","sales record")</f>
        <v>sales record</v>
      </c>
      <c r="AC5584" t="s">
        <v>3</v>
      </c>
      <c r="AD5584">
        <v>41.976076</v>
      </c>
      <c r="AE5584">
        <v>-88.112675</v>
      </c>
      <c r="AF5584" s="5" t="str">
        <f>HYPERLINK("https://www.google.com/maps/search/?api=1&amp;query=41.976076,-88.112675","map")</f>
        <v>map</v>
      </c>
    </row>
    <row r="5585" spans="1:32">
      <c r="A5585" t="s">
        <v>5635</v>
      </c>
      <c r="B5585" t="s">
        <v>13160</v>
      </c>
      <c r="C5585" t="s">
        <v>15830</v>
      </c>
      <c r="D5585" t="s">
        <v>16207</v>
      </c>
      <c r="E5585" t="s">
        <v>16218</v>
      </c>
      <c r="F5585" t="s">
        <v>16221</v>
      </c>
      <c r="G5585" t="s">
        <v>16241</v>
      </c>
      <c r="H5585" t="s">
        <v>16241</v>
      </c>
      <c r="I5585" t="s">
        <v>16355</v>
      </c>
      <c r="J5585" t="s">
        <v>16385</v>
      </c>
      <c r="K5585">
        <v>0.166</v>
      </c>
      <c r="L5585">
        <v>7243</v>
      </c>
      <c r="M5585">
        <v>1485</v>
      </c>
      <c r="N5585" t="s">
        <v>16393</v>
      </c>
      <c r="O5585" s="4">
        <v>38692</v>
      </c>
      <c r="P5585" s="4">
        <v>83289</v>
      </c>
      <c r="Q5585" s="4">
        <v>121981</v>
      </c>
      <c r="R5585" s="4">
        <v>365943</v>
      </c>
      <c r="S5585" t="s">
        <v>21847</v>
      </c>
      <c r="T5585" s="6">
        <v>36373</v>
      </c>
      <c r="U5585" s="4">
        <v>162000</v>
      </c>
      <c r="X5585" t="s">
        <v>3</v>
      </c>
      <c r="AA5585" s="5" t="str">
        <f>HYPERLINK("https://www.zillow.com/homes/715-BRIARWOOD-LN-ROSELLE-IL-60172_rb/","check listing")</f>
        <v>check listing</v>
      </c>
      <c r="AB5585" s="5" t="str">
        <f>HYPERLINK("https://propertylookup.dupagecounty.gov/Datalets/Datalet.aspx?UseSearch=no&amp;mode=sales&amp;pin=0209121019","sales record")</f>
        <v>sales record</v>
      </c>
      <c r="AC5585" t="s">
        <v>3</v>
      </c>
      <c r="AD5585">
        <v>41.970034</v>
      </c>
      <c r="AE5585">
        <v>-88.108334</v>
      </c>
      <c r="AF5585" s="5" t="str">
        <f>HYPERLINK("https://www.google.com/maps/search/?api=1&amp;query=41.970034,-88.108334","map")</f>
        <v>map</v>
      </c>
    </row>
    <row r="5586" spans="1:32">
      <c r="A5586" t="s">
        <v>5636</v>
      </c>
      <c r="B5586" t="s">
        <v>13161</v>
      </c>
      <c r="C5586" t="s">
        <v>15830</v>
      </c>
      <c r="D5586" t="s">
        <v>16207</v>
      </c>
      <c r="E5586" t="s">
        <v>16218</v>
      </c>
      <c r="F5586" t="s">
        <v>16221</v>
      </c>
      <c r="G5586" t="s">
        <v>16241</v>
      </c>
      <c r="H5586" t="s">
        <v>16241</v>
      </c>
      <c r="I5586" t="s">
        <v>16355</v>
      </c>
      <c r="J5586" t="s">
        <v>16385</v>
      </c>
      <c r="K5586">
        <v>0.166</v>
      </c>
      <c r="L5586">
        <v>7219</v>
      </c>
      <c r="M5586">
        <v>1286</v>
      </c>
      <c r="N5586" t="s">
        <v>16393</v>
      </c>
      <c r="O5586" s="4">
        <v>45278</v>
      </c>
      <c r="P5586" s="4">
        <v>72495</v>
      </c>
      <c r="Q5586" s="4">
        <v>117773</v>
      </c>
      <c r="R5586" s="4">
        <v>353319</v>
      </c>
      <c r="S5586" t="s">
        <v>21848</v>
      </c>
      <c r="T5586" s="6">
        <v>29252</v>
      </c>
      <c r="U5586" s="4">
        <v>78500</v>
      </c>
      <c r="X5586" t="s">
        <v>3</v>
      </c>
      <c r="AA5586" s="5" t="str">
        <f>HYPERLINK("https://www.zillow.com/homes/490-RIDGEFIELD-DR-ROSELLE-IL-60172_rb/","check listing")</f>
        <v>check listing</v>
      </c>
      <c r="AB5586" s="5" t="str">
        <f>HYPERLINK("https://propertylookup.dupagecounty.gov/Datalets/Datalet.aspx?UseSearch=no&amp;mode=sales&amp;pin=0209212007","sales record")</f>
        <v>sales record</v>
      </c>
      <c r="AC5586" t="s">
        <v>3</v>
      </c>
      <c r="AD5586">
        <v>41.974114</v>
      </c>
      <c r="AE5586">
        <v>-88.09792299999999</v>
      </c>
      <c r="AF5586" s="5" t="str">
        <f>HYPERLINK("https://www.google.com/maps/search/?api=1&amp;query=41.974114,-88.097923","map")</f>
        <v>map</v>
      </c>
    </row>
    <row r="5587" spans="1:32">
      <c r="A5587" t="s">
        <v>5637</v>
      </c>
      <c r="B5587" t="s">
        <v>13162</v>
      </c>
      <c r="C5587" t="s">
        <v>15907</v>
      </c>
      <c r="D5587" t="s">
        <v>16207</v>
      </c>
      <c r="E5587" t="s">
        <v>16218</v>
      </c>
      <c r="F5587" t="s">
        <v>16221</v>
      </c>
      <c r="G5587" t="s">
        <v>16241</v>
      </c>
      <c r="H5587" t="s">
        <v>16241</v>
      </c>
      <c r="I5587" t="s">
        <v>16355</v>
      </c>
      <c r="J5587" t="s">
        <v>16385</v>
      </c>
      <c r="K5587">
        <v>0.166</v>
      </c>
      <c r="L5587">
        <v>7219</v>
      </c>
      <c r="M5587">
        <v>2211</v>
      </c>
      <c r="N5587" t="s">
        <v>16393</v>
      </c>
      <c r="O5587" s="4">
        <v>45278</v>
      </c>
      <c r="P5587" s="4">
        <v>75305</v>
      </c>
      <c r="Q5587" s="4">
        <v>120583</v>
      </c>
      <c r="R5587" s="4">
        <v>361749</v>
      </c>
      <c r="S5587" t="s">
        <v>21849</v>
      </c>
      <c r="T5587" s="6">
        <v>43466</v>
      </c>
      <c r="U5587" s="4">
        <v>248500</v>
      </c>
      <c r="V5587" t="s">
        <v>23739</v>
      </c>
      <c r="W5587" t="s">
        <v>26853</v>
      </c>
      <c r="X5587" t="s">
        <v>3</v>
      </c>
      <c r="AA5587" s="5" t="str">
        <f>HYPERLINK("https://www.zillow.com/homes/790-BRANDYWINE-DR-ROSELLE-IL-601722803_rb/","check listing")</f>
        <v>check listing</v>
      </c>
      <c r="AB5587" s="5" t="str">
        <f>HYPERLINK("https://propertylookup.dupagecounty.gov/Datalets/Datalet.aspx?UseSearch=no&amp;mode=sales&amp;pin=0209211002","sales record")</f>
        <v>sales record</v>
      </c>
      <c r="AC5587" t="s">
        <v>3</v>
      </c>
      <c r="AD5587">
        <v>41.974937</v>
      </c>
      <c r="AE5587">
        <v>-88.100548</v>
      </c>
      <c r="AF5587" s="5" t="str">
        <f>HYPERLINK("https://www.google.com/maps/search/?api=1&amp;query=41.974937,-88.100548","map")</f>
        <v>map</v>
      </c>
    </row>
    <row r="5588" spans="1:32">
      <c r="A5588" t="s">
        <v>5638</v>
      </c>
      <c r="B5588" t="s">
        <v>13163</v>
      </c>
      <c r="C5588" t="s">
        <v>15915</v>
      </c>
      <c r="D5588" t="s">
        <v>16207</v>
      </c>
      <c r="E5588" t="s">
        <v>16218</v>
      </c>
      <c r="F5588" t="s">
        <v>16221</v>
      </c>
      <c r="G5588" t="s">
        <v>16241</v>
      </c>
      <c r="H5588" t="s">
        <v>16241</v>
      </c>
      <c r="I5588" t="s">
        <v>16355</v>
      </c>
      <c r="J5588" t="s">
        <v>16385</v>
      </c>
      <c r="K5588">
        <v>0.165</v>
      </c>
      <c r="L5588">
        <v>7208</v>
      </c>
      <c r="M5588">
        <v>1716</v>
      </c>
      <c r="N5588" t="s">
        <v>16393</v>
      </c>
      <c r="O5588" s="4">
        <v>45278</v>
      </c>
      <c r="P5588" s="4">
        <v>93258</v>
      </c>
      <c r="Q5588" s="4">
        <v>138536</v>
      </c>
      <c r="R5588" s="4">
        <v>415608</v>
      </c>
      <c r="S5588" t="s">
        <v>21850</v>
      </c>
      <c r="T5588" s="6">
        <v>31503</v>
      </c>
      <c r="U5588" s="4">
        <v>104000</v>
      </c>
      <c r="X5588" t="s">
        <v>3</v>
      </c>
      <c r="AA5588" s="5" t="str">
        <f>HYPERLINK("https://www.zillow.com/homes/1315-CHATHAM-LN-ROSELLE-IL-601721622_rb/","check listing")</f>
        <v>check listing</v>
      </c>
      <c r="AB5588" s="5" t="str">
        <f>HYPERLINK("https://propertylookup.dupagecounty.gov/Datalets/Datalet.aspx?UseSearch=no&amp;mode=sales&amp;pin=0205402010","sales record")</f>
        <v>sales record</v>
      </c>
      <c r="AC5588" t="s">
        <v>3</v>
      </c>
      <c r="AD5588">
        <v>41.980996</v>
      </c>
      <c r="AE5588">
        <v>-88.114172</v>
      </c>
      <c r="AF5588" s="5" t="str">
        <f>HYPERLINK("https://www.google.com/maps/search/?api=1&amp;query=41.980996,-88.114172","map")</f>
        <v>map</v>
      </c>
    </row>
    <row r="5589" spans="1:32">
      <c r="A5589" t="s">
        <v>5639</v>
      </c>
      <c r="B5589" t="s">
        <v>13164</v>
      </c>
      <c r="C5589" t="s">
        <v>15916</v>
      </c>
      <c r="D5589" t="s">
        <v>16207</v>
      </c>
      <c r="E5589" t="s">
        <v>16218</v>
      </c>
      <c r="F5589" t="s">
        <v>16221</v>
      </c>
      <c r="G5589" t="s">
        <v>16241</v>
      </c>
      <c r="H5589" t="s">
        <v>16241</v>
      </c>
      <c r="I5589" t="s">
        <v>16355</v>
      </c>
      <c r="J5589" t="s">
        <v>16385</v>
      </c>
      <c r="K5589">
        <v>0.165</v>
      </c>
      <c r="L5589">
        <v>7205</v>
      </c>
      <c r="M5589">
        <v>890</v>
      </c>
      <c r="N5589" t="s">
        <v>16393</v>
      </c>
      <c r="O5589" s="4">
        <v>38692</v>
      </c>
      <c r="P5589" s="4">
        <v>77599</v>
      </c>
      <c r="Q5589" s="4">
        <v>116291</v>
      </c>
      <c r="R5589" s="4">
        <v>348873</v>
      </c>
      <c r="S5589" t="s">
        <v>21851</v>
      </c>
      <c r="T5589" s="6">
        <v>43282</v>
      </c>
      <c r="U5589" s="4">
        <v>239000</v>
      </c>
      <c r="V5589" t="s">
        <v>23739</v>
      </c>
      <c r="W5589" t="s">
        <v>21851</v>
      </c>
      <c r="X5589" t="s">
        <v>3</v>
      </c>
      <c r="AA5589" s="5" t="str">
        <f>HYPERLINK("https://www.zillow.com/homes/585-DOVER-CT-ROSELLE-IL-601722607_rb/","check listing")</f>
        <v>check listing</v>
      </c>
      <c r="AB5589" s="5" t="str">
        <f>HYPERLINK("https://propertylookup.dupagecounty.gov/Datalets/Datalet.aspx?UseSearch=no&amp;mode=sales&amp;pin=0208209012","sales record")</f>
        <v>sales record</v>
      </c>
      <c r="AC5589" t="s">
        <v>3</v>
      </c>
      <c r="AD5589">
        <v>41.972513</v>
      </c>
      <c r="AE5589">
        <v>-88.110694</v>
      </c>
      <c r="AF5589" s="5" t="str">
        <f>HYPERLINK("https://www.google.com/maps/search/?api=1&amp;query=41.972513,-88.110694","map")</f>
        <v>map</v>
      </c>
    </row>
    <row r="5590" spans="1:32">
      <c r="A5590" t="s">
        <v>5640</v>
      </c>
      <c r="B5590" t="s">
        <v>13165</v>
      </c>
      <c r="C5590" t="s">
        <v>15830</v>
      </c>
      <c r="D5590" t="s">
        <v>16207</v>
      </c>
      <c r="E5590" t="s">
        <v>16218</v>
      </c>
      <c r="F5590" t="s">
        <v>16221</v>
      </c>
      <c r="G5590" t="s">
        <v>16241</v>
      </c>
      <c r="H5590" t="s">
        <v>16241</v>
      </c>
      <c r="I5590" t="s">
        <v>16355</v>
      </c>
      <c r="J5590" t="s">
        <v>16385</v>
      </c>
      <c r="K5590">
        <v>0.165</v>
      </c>
      <c r="L5590">
        <v>7205</v>
      </c>
      <c r="M5590">
        <v>1634</v>
      </c>
      <c r="N5590" t="s">
        <v>16393</v>
      </c>
      <c r="O5590" s="4">
        <v>38692</v>
      </c>
      <c r="P5590" s="4">
        <v>77599</v>
      </c>
      <c r="Q5590" s="4">
        <v>116291</v>
      </c>
      <c r="R5590" s="4">
        <v>348873</v>
      </c>
      <c r="S5590" t="s">
        <v>21852</v>
      </c>
      <c r="T5590" s="6">
        <v>36861</v>
      </c>
      <c r="U5590" s="4">
        <v>175000</v>
      </c>
      <c r="V5590" t="s">
        <v>23739</v>
      </c>
      <c r="W5590" t="s">
        <v>26854</v>
      </c>
      <c r="X5590" t="s">
        <v>3</v>
      </c>
      <c r="AA5590" s="5" t="str">
        <f>HYPERLINK("https://www.zillow.com/homes/830-STONEFIELD-PL-ROSELLE-IL-60172_rb/","check listing")</f>
        <v>check listing</v>
      </c>
      <c r="AB5590" s="5" t="str">
        <f>HYPERLINK("https://propertylookup.dupagecounty.gov/Datalets/Datalet.aspx?UseSearch=no&amp;mode=sales&amp;pin=0209113010","sales record")</f>
        <v>sales record</v>
      </c>
      <c r="AC5590" t="s">
        <v>3</v>
      </c>
      <c r="AD5590">
        <v>41.972582</v>
      </c>
      <c r="AE5590">
        <v>-88.10145300000001</v>
      </c>
      <c r="AF5590" s="5" t="str">
        <f>HYPERLINK("https://www.google.com/maps/search/?api=1&amp;query=41.972582,-88.101453","map")</f>
        <v>map</v>
      </c>
    </row>
    <row r="5591" spans="1:32">
      <c r="A5591" t="s">
        <v>5641</v>
      </c>
      <c r="B5591" t="s">
        <v>13166</v>
      </c>
      <c r="C5591" t="s">
        <v>15882</v>
      </c>
      <c r="D5591" t="s">
        <v>16207</v>
      </c>
      <c r="E5591" t="s">
        <v>16218</v>
      </c>
      <c r="F5591" t="s">
        <v>16221</v>
      </c>
      <c r="G5591" t="s">
        <v>16241</v>
      </c>
      <c r="H5591" t="s">
        <v>16241</v>
      </c>
      <c r="I5591" t="s">
        <v>16355</v>
      </c>
      <c r="J5591" t="s">
        <v>16385</v>
      </c>
      <c r="K5591">
        <v>0.165</v>
      </c>
      <c r="L5591">
        <v>7199</v>
      </c>
      <c r="M5591">
        <v>2358</v>
      </c>
      <c r="N5591" t="s">
        <v>16393</v>
      </c>
      <c r="O5591" s="4">
        <v>45278</v>
      </c>
      <c r="P5591" s="4">
        <v>92110</v>
      </c>
      <c r="Q5591" s="4">
        <v>137388</v>
      </c>
      <c r="R5591" s="4">
        <v>412164</v>
      </c>
      <c r="S5591" t="s">
        <v>21853</v>
      </c>
      <c r="T5591" s="6">
        <v>31929</v>
      </c>
      <c r="U5591" s="4">
        <v>119540</v>
      </c>
      <c r="X5591" t="s">
        <v>3</v>
      </c>
      <c r="AA5591" s="5" t="str">
        <f>HYPERLINK("https://www.zillow.com/homes/1185-HYGATE-DR-ROSELLE-IL-601721723_rb/","check listing")</f>
        <v>check listing</v>
      </c>
      <c r="AB5591" s="5" t="str">
        <f>HYPERLINK("https://propertylookup.dupagecounty.gov/Datalets/Datalet.aspx?UseSearch=no&amp;mode=sales&amp;pin=0204312001","sales record")</f>
        <v>sales record</v>
      </c>
      <c r="AC5591" t="s">
        <v>3</v>
      </c>
      <c r="AD5591">
        <v>41.980555</v>
      </c>
      <c r="AE5591">
        <v>-88.1103</v>
      </c>
      <c r="AF5591" s="5" t="str">
        <f>HYPERLINK("https://www.google.com/maps/search/?api=1&amp;query=41.980555,-88.1103","map")</f>
        <v>map</v>
      </c>
    </row>
    <row r="5592" spans="1:32">
      <c r="A5592" t="s">
        <v>5642</v>
      </c>
      <c r="B5592" t="s">
        <v>13167</v>
      </c>
      <c r="C5592" t="s">
        <v>15917</v>
      </c>
      <c r="D5592" t="s">
        <v>16207</v>
      </c>
      <c r="E5592" t="s">
        <v>16218</v>
      </c>
      <c r="F5592" t="s">
        <v>16221</v>
      </c>
      <c r="G5592" t="s">
        <v>16241</v>
      </c>
      <c r="H5592" t="s">
        <v>16241</v>
      </c>
      <c r="I5592" t="s">
        <v>16355</v>
      </c>
      <c r="J5592" t="s">
        <v>16385</v>
      </c>
      <c r="K5592">
        <v>0.165</v>
      </c>
      <c r="L5592">
        <v>7195</v>
      </c>
      <c r="M5592">
        <v>1287</v>
      </c>
      <c r="N5592" t="s">
        <v>16393</v>
      </c>
      <c r="O5592" s="4">
        <v>45278</v>
      </c>
      <c r="P5592" s="4">
        <v>76584</v>
      </c>
      <c r="Q5592" s="4">
        <v>121862</v>
      </c>
      <c r="R5592" s="4">
        <v>365586</v>
      </c>
      <c r="S5592" t="s">
        <v>21854</v>
      </c>
      <c r="T5592" s="6">
        <v>43556</v>
      </c>
      <c r="U5592" s="4">
        <v>0</v>
      </c>
      <c r="V5592" t="s">
        <v>23744</v>
      </c>
      <c r="W5592" t="s">
        <v>26855</v>
      </c>
      <c r="X5592" t="s">
        <v>3</v>
      </c>
      <c r="AA5592" s="5" t="str">
        <f>HYPERLINK("https://www.zillow.com/homes/125-CHATHAM-LN-ROSELLE-IL-601721675_rb/","check listing")</f>
        <v>check listing</v>
      </c>
      <c r="AB5592" s="5" t="str">
        <f>HYPERLINK("https://propertylookup.dupagecounty.gov/Datalets/Datalet.aspx?UseSearch=no&amp;mode=sales&amp;pin=0205403001","sales record")</f>
        <v>sales record</v>
      </c>
      <c r="AC5592" t="s">
        <v>3</v>
      </c>
      <c r="AD5592">
        <v>41.980197</v>
      </c>
      <c r="AE5592">
        <v>-88.114547</v>
      </c>
      <c r="AF5592" s="5" t="str">
        <f>HYPERLINK("https://www.google.com/maps/search/?api=1&amp;query=41.980197,-88.114547","map")</f>
        <v>map</v>
      </c>
    </row>
    <row r="5593" spans="1:32">
      <c r="A5593" t="s">
        <v>5643</v>
      </c>
      <c r="B5593" t="s">
        <v>13168</v>
      </c>
      <c r="C5593" t="s">
        <v>15830</v>
      </c>
      <c r="D5593" t="s">
        <v>16207</v>
      </c>
      <c r="E5593" t="s">
        <v>16218</v>
      </c>
      <c r="F5593" t="s">
        <v>16221</v>
      </c>
      <c r="G5593" t="s">
        <v>16241</v>
      </c>
      <c r="H5593" t="s">
        <v>16241</v>
      </c>
      <c r="I5593" t="s">
        <v>16355</v>
      </c>
      <c r="J5593" t="s">
        <v>16385</v>
      </c>
      <c r="K5593">
        <v>0.165</v>
      </c>
      <c r="L5593">
        <v>7194</v>
      </c>
      <c r="M5593">
        <v>1591</v>
      </c>
      <c r="N5593" t="s">
        <v>16393</v>
      </c>
      <c r="O5593" s="4">
        <v>38692</v>
      </c>
      <c r="P5593" s="4">
        <v>77599</v>
      </c>
      <c r="Q5593" s="4">
        <v>116291</v>
      </c>
      <c r="R5593" s="4">
        <v>348873</v>
      </c>
      <c r="S5593" t="s">
        <v>21855</v>
      </c>
      <c r="T5593" s="6">
        <v>36192</v>
      </c>
      <c r="U5593" s="4">
        <v>150500</v>
      </c>
      <c r="X5593" t="s">
        <v>3</v>
      </c>
      <c r="AA5593" s="5" t="str">
        <f>HYPERLINK("https://www.zillow.com/homes/625-STAFFORD-DR-ROSELLE-IL-60172_rb/","check listing")</f>
        <v>check listing</v>
      </c>
      <c r="AB5593" s="5" t="str">
        <f>HYPERLINK("https://propertylookup.dupagecounty.gov/Datalets/Datalet.aspx?UseSearch=no&amp;mode=sales&amp;pin=0209120007","sales record")</f>
        <v>sales record</v>
      </c>
      <c r="AC5593" t="s">
        <v>3</v>
      </c>
      <c r="AD5593">
        <v>41.971285</v>
      </c>
      <c r="AE5593">
        <v>-88.108834</v>
      </c>
      <c r="AF5593" s="5" t="str">
        <f>HYPERLINK("https://www.google.com/maps/search/?api=1&amp;query=41.971285,-88.108834","map")</f>
        <v>map</v>
      </c>
    </row>
    <row r="5594" spans="1:32">
      <c r="A5594" t="s">
        <v>5644</v>
      </c>
      <c r="B5594" t="s">
        <v>13169</v>
      </c>
      <c r="C5594" t="s">
        <v>15830</v>
      </c>
      <c r="D5594" t="s">
        <v>16207</v>
      </c>
      <c r="E5594" t="s">
        <v>16218</v>
      </c>
      <c r="F5594" t="s">
        <v>16221</v>
      </c>
      <c r="G5594" t="s">
        <v>16241</v>
      </c>
      <c r="H5594" t="s">
        <v>16241</v>
      </c>
      <c r="I5594" t="s">
        <v>16355</v>
      </c>
      <c r="J5594" t="s">
        <v>16385</v>
      </c>
      <c r="K5594">
        <v>0.165</v>
      </c>
      <c r="L5594">
        <v>7187</v>
      </c>
      <c r="M5594">
        <v>1930</v>
      </c>
      <c r="N5594" t="s">
        <v>16393</v>
      </c>
      <c r="O5594" s="4">
        <v>38692</v>
      </c>
      <c r="P5594" s="4">
        <v>89648</v>
      </c>
      <c r="Q5594" s="4">
        <v>128340</v>
      </c>
      <c r="R5594" s="4">
        <v>385020</v>
      </c>
      <c r="S5594" t="s">
        <v>21856</v>
      </c>
      <c r="T5594" s="6">
        <v>38504</v>
      </c>
      <c r="U5594" s="4">
        <v>287000</v>
      </c>
      <c r="V5594" t="s">
        <v>23739</v>
      </c>
      <c r="W5594" t="s">
        <v>26856</v>
      </c>
      <c r="X5594" t="s">
        <v>3</v>
      </c>
      <c r="AA5594" s="5" t="str">
        <f>HYPERLINK("https://www.zillow.com/homes/1175-DARBY-LN-ROSELLE-IL-60172_rb/","check listing")</f>
        <v>check listing</v>
      </c>
      <c r="AB5594" s="5" t="str">
        <f>HYPERLINK("https://propertylookup.dupagecounty.gov/Datalets/Datalet.aspx?UseSearch=no&amp;mode=sales&amp;pin=0204309069","sales record")</f>
        <v>sales record</v>
      </c>
      <c r="AC5594" t="s">
        <v>3</v>
      </c>
      <c r="AD5594">
        <v>41.977665</v>
      </c>
      <c r="AE5594">
        <v>-88.10970399999999</v>
      </c>
      <c r="AF5594" s="5" t="str">
        <f>HYPERLINK("https://www.google.com/maps/search/?api=1&amp;query=41.977665,-88.109704","map")</f>
        <v>map</v>
      </c>
    </row>
    <row r="5595" spans="1:32">
      <c r="A5595" t="s">
        <v>5645</v>
      </c>
      <c r="B5595" t="s">
        <v>13170</v>
      </c>
      <c r="C5595" t="s">
        <v>15830</v>
      </c>
      <c r="D5595" t="s">
        <v>16207</v>
      </c>
      <c r="E5595" t="s">
        <v>16218</v>
      </c>
      <c r="F5595" t="s">
        <v>16221</v>
      </c>
      <c r="G5595" t="s">
        <v>16241</v>
      </c>
      <c r="H5595" t="s">
        <v>16241</v>
      </c>
      <c r="I5595" t="s">
        <v>16355</v>
      </c>
      <c r="J5595" t="s">
        <v>16385</v>
      </c>
      <c r="K5595">
        <v>0.165</v>
      </c>
      <c r="L5595">
        <v>7185</v>
      </c>
      <c r="M5595">
        <v>1846</v>
      </c>
      <c r="N5595" t="s">
        <v>16393</v>
      </c>
      <c r="O5595" s="4">
        <v>45278</v>
      </c>
      <c r="P5595" s="4">
        <v>83911</v>
      </c>
      <c r="Q5595" s="4">
        <v>129189</v>
      </c>
      <c r="R5595" s="4">
        <v>387567</v>
      </c>
      <c r="S5595" t="s">
        <v>21857</v>
      </c>
      <c r="T5595" s="6">
        <v>38808</v>
      </c>
      <c r="U5595" s="4">
        <v>302500</v>
      </c>
      <c r="V5595" t="s">
        <v>23739</v>
      </c>
      <c r="W5595" t="s">
        <v>26857</v>
      </c>
      <c r="X5595" t="s">
        <v>3</v>
      </c>
      <c r="AA5595" s="5" t="str">
        <f>HYPERLINK("https://www.zillow.com/homes/620-EDENWOOD-DR-ROSELLE-IL-60172_rb/","check listing")</f>
        <v>check listing</v>
      </c>
      <c r="AB5595" s="5" t="str">
        <f>HYPERLINK("https://propertylookup.dupagecounty.gov/Datalets/Datalet.aspx?UseSearch=no&amp;mode=sales&amp;pin=0209202040","sales record")</f>
        <v>sales record</v>
      </c>
      <c r="AC5595" t="s">
        <v>3</v>
      </c>
      <c r="AD5595">
        <v>41.972667</v>
      </c>
      <c r="AE5595">
        <v>-88.096217</v>
      </c>
      <c r="AF5595" s="5" t="str">
        <f>HYPERLINK("https://www.google.com/maps/search/?api=1&amp;query=41.972667,-88.096217","map")</f>
        <v>map</v>
      </c>
    </row>
    <row r="5596" spans="1:32">
      <c r="A5596" t="s">
        <v>5646</v>
      </c>
      <c r="B5596" t="s">
        <v>13171</v>
      </c>
      <c r="C5596" t="s">
        <v>15918</v>
      </c>
      <c r="D5596" t="s">
        <v>16207</v>
      </c>
      <c r="E5596" t="s">
        <v>16218</v>
      </c>
      <c r="F5596" t="s">
        <v>16221</v>
      </c>
      <c r="G5596" t="s">
        <v>16241</v>
      </c>
      <c r="H5596" t="s">
        <v>16241</v>
      </c>
      <c r="I5596" t="s">
        <v>16355</v>
      </c>
      <c r="J5596" t="s">
        <v>16385</v>
      </c>
      <c r="K5596">
        <v>0.165</v>
      </c>
      <c r="L5596">
        <v>7184</v>
      </c>
      <c r="M5596">
        <v>1848</v>
      </c>
      <c r="N5596" t="s">
        <v>16393</v>
      </c>
      <c r="O5596" s="4">
        <v>45278</v>
      </c>
      <c r="P5596" s="4">
        <v>86815</v>
      </c>
      <c r="Q5596" s="4">
        <v>132093</v>
      </c>
      <c r="R5596" s="4">
        <v>396279</v>
      </c>
      <c r="S5596" t="s">
        <v>21858</v>
      </c>
      <c r="T5596" s="6">
        <v>42917</v>
      </c>
      <c r="U5596" s="4">
        <v>308000</v>
      </c>
      <c r="V5596" t="s">
        <v>23740</v>
      </c>
      <c r="W5596" t="s">
        <v>21858</v>
      </c>
      <c r="X5596" t="s">
        <v>3</v>
      </c>
      <c r="AA5596" s="5" t="str">
        <f>HYPERLINK("https://www.zillow.com/homes/1300-WATERBURY-LN-ROSELLE-IL-601722656_rb/","check listing")</f>
        <v>check listing</v>
      </c>
      <c r="AB5596" s="5" t="str">
        <f>HYPERLINK("https://propertylookup.dupagecounty.gov/Datalets/Datalet.aspx?UseSearch=no&amp;mode=sales&amp;pin=0205401051","sales record")</f>
        <v>sales record</v>
      </c>
      <c r="AC5596" t="s">
        <v>3</v>
      </c>
      <c r="AD5596">
        <v>41.975614</v>
      </c>
      <c r="AE5596">
        <v>-88.113981</v>
      </c>
      <c r="AF5596" s="5" t="str">
        <f>HYPERLINK("https://www.google.com/maps/search/?api=1&amp;query=41.975614,-88.113981","map")</f>
        <v>map</v>
      </c>
    </row>
    <row r="5597" spans="1:32">
      <c r="A5597" t="s">
        <v>5647</v>
      </c>
      <c r="B5597" t="s">
        <v>13172</v>
      </c>
      <c r="C5597" t="s">
        <v>15830</v>
      </c>
      <c r="D5597" t="s">
        <v>16207</v>
      </c>
      <c r="E5597" t="s">
        <v>16218</v>
      </c>
      <c r="F5597" t="s">
        <v>16221</v>
      </c>
      <c r="G5597" t="s">
        <v>16241</v>
      </c>
      <c r="H5597" t="s">
        <v>16241</v>
      </c>
      <c r="I5597" t="s">
        <v>16355</v>
      </c>
      <c r="J5597" t="s">
        <v>16385</v>
      </c>
      <c r="K5597">
        <v>0.165</v>
      </c>
      <c r="L5597">
        <v>7184</v>
      </c>
      <c r="M5597">
        <v>1848</v>
      </c>
      <c r="N5597" t="s">
        <v>16393</v>
      </c>
      <c r="O5597" s="4">
        <v>45278</v>
      </c>
      <c r="P5597" s="4">
        <v>106920</v>
      </c>
      <c r="Q5597" s="4">
        <v>152198</v>
      </c>
      <c r="R5597" s="4">
        <v>456594</v>
      </c>
      <c r="S5597" t="s">
        <v>21859</v>
      </c>
      <c r="T5597" s="6">
        <v>38412</v>
      </c>
      <c r="U5597" s="4">
        <v>340000</v>
      </c>
      <c r="V5597" t="s">
        <v>23739</v>
      </c>
      <c r="W5597" t="s">
        <v>21859</v>
      </c>
      <c r="X5597" t="s">
        <v>3</v>
      </c>
      <c r="AA5597" s="5" t="str">
        <f>HYPERLINK("https://www.zillow.com/homes/640-EDENWOOD-DR-ROSELLE-IL-60172_rb/","check listing")</f>
        <v>check listing</v>
      </c>
      <c r="AB5597" s="5" t="str">
        <f>HYPERLINK("https://propertylookup.dupagecounty.gov/Datalets/Datalet.aspx?UseSearch=no&amp;mode=sales&amp;pin=0209202038","sales record")</f>
        <v>sales record</v>
      </c>
      <c r="AC5597" t="s">
        <v>3</v>
      </c>
      <c r="AD5597">
        <v>41.97267</v>
      </c>
      <c r="AE5597">
        <v>-88.09669599999999</v>
      </c>
      <c r="AF5597" s="5" t="str">
        <f>HYPERLINK("https://www.google.com/maps/search/?api=1&amp;query=41.97267,-88.096696","map")</f>
        <v>map</v>
      </c>
    </row>
    <row r="5598" spans="1:32">
      <c r="A5598" t="s">
        <v>5648</v>
      </c>
      <c r="B5598" t="s">
        <v>13173</v>
      </c>
      <c r="C5598" t="s">
        <v>15830</v>
      </c>
      <c r="D5598" t="s">
        <v>16207</v>
      </c>
      <c r="E5598" t="s">
        <v>16218</v>
      </c>
      <c r="F5598" t="s">
        <v>16221</v>
      </c>
      <c r="G5598" t="s">
        <v>16241</v>
      </c>
      <c r="H5598" t="s">
        <v>16241</v>
      </c>
      <c r="I5598" t="s">
        <v>16355</v>
      </c>
      <c r="J5598" t="s">
        <v>16385</v>
      </c>
      <c r="K5598">
        <v>0.165</v>
      </c>
      <c r="L5598">
        <v>7183</v>
      </c>
      <c r="M5598">
        <v>1583</v>
      </c>
      <c r="N5598" t="s">
        <v>16393</v>
      </c>
      <c r="O5598" s="4">
        <v>45278</v>
      </c>
      <c r="P5598" s="4">
        <v>86815</v>
      </c>
      <c r="Q5598" s="4">
        <v>132093</v>
      </c>
      <c r="R5598" s="4">
        <v>396279</v>
      </c>
      <c r="S5598" t="s">
        <v>21860</v>
      </c>
      <c r="T5598" s="6">
        <v>30348</v>
      </c>
      <c r="U5598" s="4">
        <v>81900</v>
      </c>
      <c r="X5598" t="s">
        <v>3</v>
      </c>
      <c r="AA5598" s="5" t="str">
        <f>HYPERLINK("https://www.zillow.com/homes/630-EDENWOOD-DR-ROSELLE-IL-60172_rb/","check listing")</f>
        <v>check listing</v>
      </c>
      <c r="AB5598" s="5" t="str">
        <f>HYPERLINK("https://propertylookup.dupagecounty.gov/Datalets/Datalet.aspx?UseSearch=no&amp;mode=sales&amp;pin=0209202039","sales record")</f>
        <v>sales record</v>
      </c>
      <c r="AC5598" t="s">
        <v>3</v>
      </c>
      <c r="AD5598">
        <v>41.972669</v>
      </c>
      <c r="AE5598">
        <v>-88.096456</v>
      </c>
      <c r="AF5598" s="5" t="str">
        <f>HYPERLINK("https://www.google.com/maps/search/?api=1&amp;query=41.972669,-88.096456","map")</f>
        <v>map</v>
      </c>
    </row>
    <row r="5599" spans="1:32">
      <c r="A5599" t="s">
        <v>5649</v>
      </c>
      <c r="B5599" t="s">
        <v>13174</v>
      </c>
      <c r="C5599" t="s">
        <v>15919</v>
      </c>
      <c r="D5599" t="s">
        <v>16207</v>
      </c>
      <c r="E5599" t="s">
        <v>16218</v>
      </c>
      <c r="F5599" t="s">
        <v>16221</v>
      </c>
      <c r="G5599" t="s">
        <v>16241</v>
      </c>
      <c r="H5599" t="s">
        <v>16241</v>
      </c>
      <c r="I5599" t="s">
        <v>16355</v>
      </c>
      <c r="J5599" t="s">
        <v>16385</v>
      </c>
      <c r="K5599">
        <v>0.165</v>
      </c>
      <c r="L5599">
        <v>7179</v>
      </c>
      <c r="M5599">
        <v>2144</v>
      </c>
      <c r="N5599" t="s">
        <v>16393</v>
      </c>
      <c r="O5599" s="4">
        <v>38692</v>
      </c>
      <c r="P5599" s="4">
        <v>87592</v>
      </c>
      <c r="Q5599" s="4">
        <v>126284</v>
      </c>
      <c r="R5599" s="4">
        <v>378852</v>
      </c>
      <c r="S5599" t="s">
        <v>21861</v>
      </c>
      <c r="T5599" s="6">
        <v>43800</v>
      </c>
      <c r="U5599" s="4">
        <v>246500</v>
      </c>
      <c r="V5599" t="s">
        <v>23740</v>
      </c>
      <c r="W5599" t="s">
        <v>26858</v>
      </c>
      <c r="X5599" t="s">
        <v>3</v>
      </c>
      <c r="AA5599" s="5" t="str">
        <f>HYPERLINK("https://www.zillow.com/homes/714-BERWICK-PL-ROSELLE-IL-601722734_rb/","check listing")</f>
        <v>check listing</v>
      </c>
      <c r="AB5599" s="5" t="str">
        <f>HYPERLINK("https://propertylookup.dupagecounty.gov/Datalets/Datalet.aspx?UseSearch=no&amp;mode=sales&amp;pin=0209124011","sales record")</f>
        <v>sales record</v>
      </c>
      <c r="AC5599" t="s">
        <v>3</v>
      </c>
      <c r="AD5599">
        <v>41.970053</v>
      </c>
      <c r="AE5599">
        <v>-88.109103</v>
      </c>
      <c r="AF5599" s="5" t="str">
        <f>HYPERLINK("https://www.google.com/maps/search/?api=1&amp;query=41.970053,-88.109103","map")</f>
        <v>map</v>
      </c>
    </row>
    <row r="5600" spans="1:32">
      <c r="A5600" t="s">
        <v>5650</v>
      </c>
      <c r="B5600" t="s">
        <v>13175</v>
      </c>
      <c r="C5600" t="s">
        <v>15920</v>
      </c>
      <c r="D5600" t="s">
        <v>16207</v>
      </c>
      <c r="E5600" t="s">
        <v>16218</v>
      </c>
      <c r="F5600" t="s">
        <v>16221</v>
      </c>
      <c r="G5600" t="s">
        <v>16241</v>
      </c>
      <c r="H5600" t="s">
        <v>16241</v>
      </c>
      <c r="I5600" t="s">
        <v>16355</v>
      </c>
      <c r="J5600" t="s">
        <v>16385</v>
      </c>
      <c r="K5600">
        <v>0.165</v>
      </c>
      <c r="L5600">
        <v>7169</v>
      </c>
      <c r="M5600">
        <v>1583</v>
      </c>
      <c r="N5600" t="s">
        <v>16393</v>
      </c>
      <c r="O5600" s="4">
        <v>45278</v>
      </c>
      <c r="P5600" s="4">
        <v>86815</v>
      </c>
      <c r="Q5600" s="4">
        <v>132093</v>
      </c>
      <c r="R5600" s="4">
        <v>396279</v>
      </c>
      <c r="S5600" t="s">
        <v>21862</v>
      </c>
      <c r="T5600" s="6">
        <v>37043</v>
      </c>
      <c r="U5600" s="4">
        <v>235000</v>
      </c>
      <c r="V5600" t="s">
        <v>23739</v>
      </c>
      <c r="W5600" t="s">
        <v>26859</v>
      </c>
      <c r="X5600" t="s">
        <v>3</v>
      </c>
      <c r="AA5600" s="5" t="str">
        <f>HYPERLINK("https://www.zillow.com/homes/195-CHATHAM-LN-ROSELLE-IL-601721676_rb/","check listing")</f>
        <v>check listing</v>
      </c>
      <c r="AB5600" s="5" t="str">
        <f>HYPERLINK("https://propertylookup.dupagecounty.gov/Datalets/Datalet.aspx?UseSearch=no&amp;mode=sales&amp;pin=0205404003","sales record")</f>
        <v>sales record</v>
      </c>
      <c r="AC5600" t="s">
        <v>3</v>
      </c>
      <c r="AD5600">
        <v>41.978951</v>
      </c>
      <c r="AE5600">
        <v>-88.11447200000001</v>
      </c>
      <c r="AF5600" s="5" t="str">
        <f>HYPERLINK("https://www.google.com/maps/search/?api=1&amp;query=41.978951,-88.114472","map")</f>
        <v>map</v>
      </c>
    </row>
    <row r="5601" spans="1:32">
      <c r="A5601" t="s">
        <v>5651</v>
      </c>
      <c r="B5601" t="s">
        <v>13176</v>
      </c>
      <c r="C5601" t="s">
        <v>15830</v>
      </c>
      <c r="D5601" t="s">
        <v>16207</v>
      </c>
      <c r="E5601" t="s">
        <v>16218</v>
      </c>
      <c r="F5601" t="s">
        <v>16221</v>
      </c>
      <c r="G5601" t="s">
        <v>16241</v>
      </c>
      <c r="H5601" t="s">
        <v>16241</v>
      </c>
      <c r="I5601" t="s">
        <v>16355</v>
      </c>
      <c r="J5601" t="s">
        <v>16385</v>
      </c>
      <c r="K5601">
        <v>0.165</v>
      </c>
      <c r="L5601">
        <v>7167</v>
      </c>
      <c r="M5601">
        <v>2135</v>
      </c>
      <c r="N5601" t="s">
        <v>16393</v>
      </c>
      <c r="O5601" s="4">
        <v>45278</v>
      </c>
      <c r="P5601" s="4">
        <v>71910</v>
      </c>
      <c r="Q5601" s="4">
        <v>117188</v>
      </c>
      <c r="R5601" s="4">
        <v>351564</v>
      </c>
      <c r="S5601" t="s">
        <v>21863</v>
      </c>
      <c r="T5601" s="6">
        <v>45635</v>
      </c>
      <c r="U5601" s="4">
        <v>370000</v>
      </c>
      <c r="V5601" t="s">
        <v>23739</v>
      </c>
      <c r="W5601" t="s">
        <v>26860</v>
      </c>
      <c r="X5601" t="s">
        <v>3</v>
      </c>
      <c r="AA5601" s="5" t="str">
        <f>HYPERLINK("https://www.zillow.com/homes/312-HAMSTEAD-CT-ROSELLE-IL-60172_rb/","check listing")</f>
        <v>check listing</v>
      </c>
      <c r="AB5601" s="5" t="str">
        <f>HYPERLINK("https://propertylookup.dupagecounty.gov/Datalets/Datalet.aspx?UseSearch=no&amp;mode=sales&amp;pin=0205407004","sales record")</f>
        <v>sales record</v>
      </c>
      <c r="AC5601" t="s">
        <v>3</v>
      </c>
      <c r="AD5601">
        <v>41.976926</v>
      </c>
      <c r="AE5601">
        <v>-88.11213499999999</v>
      </c>
      <c r="AF5601" s="5" t="str">
        <f>HYPERLINK("https://www.google.com/maps/search/?api=1&amp;query=41.976926,-88.112135","map")</f>
        <v>map</v>
      </c>
    </row>
    <row r="5602" spans="1:32">
      <c r="A5602" t="s">
        <v>5652</v>
      </c>
      <c r="B5602" t="s">
        <v>13177</v>
      </c>
      <c r="C5602" t="s">
        <v>15888</v>
      </c>
      <c r="D5602" t="s">
        <v>16207</v>
      </c>
      <c r="E5602" t="s">
        <v>16218</v>
      </c>
      <c r="F5602" t="s">
        <v>16221</v>
      </c>
      <c r="G5602" t="s">
        <v>16241</v>
      </c>
      <c r="H5602" t="s">
        <v>16241</v>
      </c>
      <c r="I5602" t="s">
        <v>16355</v>
      </c>
      <c r="J5602" t="s">
        <v>16385</v>
      </c>
      <c r="K5602">
        <v>0.164</v>
      </c>
      <c r="L5602">
        <v>7153</v>
      </c>
      <c r="M5602">
        <v>1582</v>
      </c>
      <c r="N5602" t="s">
        <v>16393</v>
      </c>
      <c r="O5602" s="4">
        <v>45278</v>
      </c>
      <c r="P5602" s="4">
        <v>96102</v>
      </c>
      <c r="Q5602" s="4">
        <v>141380</v>
      </c>
      <c r="R5602" s="4">
        <v>424140</v>
      </c>
      <c r="S5602" t="s">
        <v>21864</v>
      </c>
      <c r="T5602" s="6">
        <v>44741</v>
      </c>
      <c r="U5602" s="4">
        <v>425000</v>
      </c>
      <c r="V5602" t="s">
        <v>23739</v>
      </c>
      <c r="W5602" t="s">
        <v>26861</v>
      </c>
      <c r="X5602" t="s">
        <v>3</v>
      </c>
      <c r="AA5602" s="5" t="str">
        <f>HYPERLINK("https://www.zillow.com/homes/555-DALTON-LN-ROSELLE-IL-601722820_rb/","check listing")</f>
        <v>check listing</v>
      </c>
      <c r="AB5602" s="5" t="str">
        <f>HYPERLINK("https://propertylookup.dupagecounty.gov/Datalets/Datalet.aspx?UseSearch=no&amp;mode=sales&amp;pin=0209213012","sales record")</f>
        <v>sales record</v>
      </c>
      <c r="AC5602" t="s">
        <v>3</v>
      </c>
      <c r="AD5602">
        <v>41.972915</v>
      </c>
      <c r="AE5602">
        <v>-88.09908</v>
      </c>
      <c r="AF5602" s="5" t="str">
        <f>HYPERLINK("https://www.google.com/maps/search/?api=1&amp;query=41.972915,-88.09908","map")</f>
        <v>map</v>
      </c>
    </row>
    <row r="5603" spans="1:32">
      <c r="A5603" t="s">
        <v>5653</v>
      </c>
      <c r="B5603" t="s">
        <v>13178</v>
      </c>
      <c r="C5603" t="s">
        <v>15830</v>
      </c>
      <c r="D5603" t="s">
        <v>16207</v>
      </c>
      <c r="E5603" t="s">
        <v>16218</v>
      </c>
      <c r="F5603" t="s">
        <v>16221</v>
      </c>
      <c r="G5603" t="s">
        <v>16241</v>
      </c>
      <c r="H5603" t="s">
        <v>16241</v>
      </c>
      <c r="I5603" t="s">
        <v>16355</v>
      </c>
      <c r="J5603" t="s">
        <v>16385</v>
      </c>
      <c r="K5603">
        <v>0.164</v>
      </c>
      <c r="L5603">
        <v>7147</v>
      </c>
      <c r="M5603">
        <v>1055</v>
      </c>
      <c r="N5603" t="s">
        <v>16393</v>
      </c>
      <c r="O5603" s="4">
        <v>38692</v>
      </c>
      <c r="P5603" s="4">
        <v>77599</v>
      </c>
      <c r="Q5603" s="4">
        <v>116291</v>
      </c>
      <c r="R5603" s="4">
        <v>348873</v>
      </c>
      <c r="S5603" t="s">
        <v>21865</v>
      </c>
      <c r="T5603" s="6">
        <v>41821</v>
      </c>
      <c r="U5603" s="4">
        <v>216000</v>
      </c>
      <c r="V5603" t="s">
        <v>23740</v>
      </c>
      <c r="W5603" t="s">
        <v>21865</v>
      </c>
      <c r="X5603" t="s">
        <v>3</v>
      </c>
      <c r="AA5603" s="5" t="str">
        <f>HYPERLINK("https://www.zillow.com/homes/1130-DARBY-LN-ROSELLE-IL-60172_rb/","check listing")</f>
        <v>check listing</v>
      </c>
      <c r="AB5603" s="5" t="str">
        <f>HYPERLINK("https://propertylookup.dupagecounty.gov/Datalets/Datalet.aspx?UseSearch=no&amp;mode=sales&amp;pin=0204313024","sales record")</f>
        <v>sales record</v>
      </c>
      <c r="AC5603" t="s">
        <v>3</v>
      </c>
      <c r="AD5603">
        <v>41.978353</v>
      </c>
      <c r="AE5603">
        <v>-88.10908499999999</v>
      </c>
      <c r="AF5603" s="5" t="str">
        <f>HYPERLINK("https://www.google.com/maps/search/?api=1&amp;query=41.978353,-88.109085","map")</f>
        <v>map</v>
      </c>
    </row>
    <row r="5604" spans="1:32">
      <c r="A5604" t="s">
        <v>5654</v>
      </c>
      <c r="B5604" t="s">
        <v>13179</v>
      </c>
      <c r="C5604" t="s">
        <v>15830</v>
      </c>
      <c r="D5604" t="s">
        <v>16207</v>
      </c>
      <c r="E5604" t="s">
        <v>16218</v>
      </c>
      <c r="F5604" t="s">
        <v>16221</v>
      </c>
      <c r="G5604" t="s">
        <v>16241</v>
      </c>
      <c r="H5604" t="s">
        <v>16241</v>
      </c>
      <c r="I5604" t="s">
        <v>16355</v>
      </c>
      <c r="J5604" t="s">
        <v>16385</v>
      </c>
      <c r="K5604">
        <v>0.164</v>
      </c>
      <c r="L5604">
        <v>7144</v>
      </c>
      <c r="M5604">
        <v>1319</v>
      </c>
      <c r="N5604" t="s">
        <v>16393</v>
      </c>
      <c r="O5604" s="4">
        <v>38692</v>
      </c>
      <c r="P5604" s="4">
        <v>75974</v>
      </c>
      <c r="Q5604" s="4">
        <v>114666</v>
      </c>
      <c r="R5604" s="4">
        <v>343998</v>
      </c>
      <c r="S5604" t="s">
        <v>21866</v>
      </c>
      <c r="T5604" s="6">
        <v>38200</v>
      </c>
      <c r="U5604" s="4">
        <v>243000</v>
      </c>
      <c r="V5604" t="s">
        <v>23739</v>
      </c>
      <c r="W5604" t="s">
        <v>26862</v>
      </c>
      <c r="X5604" t="s">
        <v>3</v>
      </c>
      <c r="AA5604" s="5" t="str">
        <f>HYPERLINK("https://www.zillow.com/homes/765-EDENWOOD-DR-ROSELLE-IL-60172_rb/","check listing")</f>
        <v>check listing</v>
      </c>
      <c r="AB5604" s="5" t="str">
        <f>HYPERLINK("https://propertylookup.dupagecounty.gov/Datalets/Datalet.aspx?UseSearch=no&amp;mode=sales&amp;pin=0209203027","sales record")</f>
        <v>sales record</v>
      </c>
      <c r="AC5604" t="s">
        <v>3</v>
      </c>
      <c r="AD5604">
        <v>41.972102</v>
      </c>
      <c r="AE5604">
        <v>-88.100295</v>
      </c>
      <c r="AF5604" s="5" t="str">
        <f>HYPERLINK("https://www.google.com/maps/search/?api=1&amp;query=41.972102,-88.100295","map")</f>
        <v>map</v>
      </c>
    </row>
    <row r="5605" spans="1:32">
      <c r="A5605" t="s">
        <v>5655</v>
      </c>
      <c r="B5605" t="s">
        <v>13180</v>
      </c>
      <c r="C5605" t="s">
        <v>15830</v>
      </c>
      <c r="D5605" t="s">
        <v>16207</v>
      </c>
      <c r="E5605" t="s">
        <v>16218</v>
      </c>
      <c r="F5605" t="s">
        <v>16221</v>
      </c>
      <c r="G5605" t="s">
        <v>16241</v>
      </c>
      <c r="H5605" t="s">
        <v>16241</v>
      </c>
      <c r="I5605" t="s">
        <v>16355</v>
      </c>
      <c r="J5605" t="s">
        <v>16385</v>
      </c>
      <c r="K5605">
        <v>0.164</v>
      </c>
      <c r="L5605">
        <v>7142</v>
      </c>
      <c r="M5605">
        <v>1485</v>
      </c>
      <c r="N5605" t="s">
        <v>16393</v>
      </c>
      <c r="O5605" s="4">
        <v>38692</v>
      </c>
      <c r="P5605" s="4">
        <v>57435</v>
      </c>
      <c r="Q5605" s="4">
        <v>96127</v>
      </c>
      <c r="R5605" s="4">
        <v>288381</v>
      </c>
      <c r="S5605" t="s">
        <v>21867</v>
      </c>
      <c r="T5605" s="6">
        <v>38139</v>
      </c>
      <c r="U5605" s="4">
        <v>213000</v>
      </c>
      <c r="V5605" t="s">
        <v>23739</v>
      </c>
      <c r="W5605" t="s">
        <v>26863</v>
      </c>
      <c r="X5605" t="s">
        <v>3</v>
      </c>
      <c r="AA5605" s="5" t="str">
        <f>HYPERLINK("https://www.zillow.com/homes/460-GLENMORE-PL-ROSELLE-IL-60172_rb/","check listing")</f>
        <v>check listing</v>
      </c>
      <c r="AB5605" s="5" t="str">
        <f>HYPERLINK("https://propertylookup.dupagecounty.gov/Datalets/Datalet.aspx?UseSearch=no&amp;mode=sales&amp;pin=0209108008","sales record")</f>
        <v>sales record</v>
      </c>
      <c r="AC5605" t="s">
        <v>3</v>
      </c>
      <c r="AD5605">
        <v>41.974442</v>
      </c>
      <c r="AE5605">
        <v>-88.104094</v>
      </c>
      <c r="AF5605" s="5" t="str">
        <f>HYPERLINK("https://www.google.com/maps/search/?api=1&amp;query=41.974442,-88.104094","map")</f>
        <v>map</v>
      </c>
    </row>
    <row r="5606" spans="1:32">
      <c r="A5606" t="s">
        <v>5656</v>
      </c>
      <c r="B5606" t="s">
        <v>13181</v>
      </c>
      <c r="C5606" t="s">
        <v>15921</v>
      </c>
      <c r="D5606" t="s">
        <v>16207</v>
      </c>
      <c r="E5606" t="s">
        <v>16218</v>
      </c>
      <c r="F5606" t="s">
        <v>16221</v>
      </c>
      <c r="G5606" t="s">
        <v>16241</v>
      </c>
      <c r="H5606" t="s">
        <v>16241</v>
      </c>
      <c r="I5606" t="s">
        <v>16355</v>
      </c>
      <c r="J5606" t="s">
        <v>16385</v>
      </c>
      <c r="K5606">
        <v>0.164</v>
      </c>
      <c r="L5606">
        <v>7137</v>
      </c>
      <c r="M5606">
        <v>1319</v>
      </c>
      <c r="N5606" t="s">
        <v>16393</v>
      </c>
      <c r="O5606" s="4">
        <v>38692</v>
      </c>
      <c r="P5606" s="4">
        <v>75758</v>
      </c>
      <c r="Q5606" s="4">
        <v>114450</v>
      </c>
      <c r="R5606" s="4">
        <v>343350</v>
      </c>
      <c r="S5606" t="s">
        <v>21868</v>
      </c>
      <c r="T5606" s="6">
        <v>44197</v>
      </c>
      <c r="U5606" s="4">
        <v>272500</v>
      </c>
      <c r="V5606" t="s">
        <v>23739</v>
      </c>
      <c r="W5606" t="s">
        <v>26864</v>
      </c>
      <c r="X5606" t="s">
        <v>3</v>
      </c>
      <c r="AA5606" s="5" t="str">
        <f>HYPERLINK("https://www.zillow.com/homes/550-HAMPTON-LN-ROSELLE-IL-601722621_rb/","check listing")</f>
        <v>check listing</v>
      </c>
      <c r="AB5606" s="5" t="str">
        <f>HYPERLINK("https://propertylookup.dupagecounty.gov/Datalets/Datalet.aspx?UseSearch=no&amp;mode=sales&amp;pin=0209103005","sales record")</f>
        <v>sales record</v>
      </c>
      <c r="AC5606" t="s">
        <v>3</v>
      </c>
      <c r="AD5606">
        <v>41.97286</v>
      </c>
      <c r="AE5606">
        <v>-88.110303</v>
      </c>
      <c r="AF5606" s="5" t="str">
        <f>HYPERLINK("https://www.google.com/maps/search/?api=1&amp;query=41.97286,-88.110303","map")</f>
        <v>map</v>
      </c>
    </row>
    <row r="5607" spans="1:32">
      <c r="A5607" t="s">
        <v>5657</v>
      </c>
      <c r="B5607" t="s">
        <v>13182</v>
      </c>
      <c r="C5607" t="s">
        <v>15830</v>
      </c>
      <c r="D5607" t="s">
        <v>16207</v>
      </c>
      <c r="E5607" t="s">
        <v>16218</v>
      </c>
      <c r="F5607" t="s">
        <v>16221</v>
      </c>
      <c r="G5607" t="s">
        <v>16241</v>
      </c>
      <c r="H5607" t="s">
        <v>16241</v>
      </c>
      <c r="I5607" t="s">
        <v>16355</v>
      </c>
      <c r="J5607" t="s">
        <v>16385</v>
      </c>
      <c r="K5607">
        <v>0.164</v>
      </c>
      <c r="L5607">
        <v>7136</v>
      </c>
      <c r="M5607">
        <v>1452</v>
      </c>
      <c r="N5607" t="s">
        <v>16393</v>
      </c>
      <c r="O5607" s="4">
        <v>45278</v>
      </c>
      <c r="P5607" s="4">
        <v>85955</v>
      </c>
      <c r="Q5607" s="4">
        <v>131233</v>
      </c>
      <c r="R5607" s="4">
        <v>393699</v>
      </c>
      <c r="S5607" t="s">
        <v>21869</v>
      </c>
      <c r="T5607" s="6">
        <v>30926</v>
      </c>
      <c r="U5607" s="4">
        <v>90900</v>
      </c>
      <c r="X5607" t="s">
        <v>3</v>
      </c>
      <c r="AA5607" s="5" t="str">
        <f>HYPERLINK("https://www.zillow.com/homes/360-HAMSTEAD-CT-ROSELLE-IL-60172_rb/","check listing")</f>
        <v>check listing</v>
      </c>
      <c r="AB5607" s="5" t="str">
        <f>HYPERLINK("https://propertylookup.dupagecounty.gov/Datalets/Datalet.aspx?UseSearch=no&amp;mode=sales&amp;pin=0205407011","sales record")</f>
        <v>sales record</v>
      </c>
      <c r="AC5607" t="s">
        <v>3</v>
      </c>
      <c r="AD5607">
        <v>41.975902</v>
      </c>
      <c r="AE5607">
        <v>-88.11314400000001</v>
      </c>
      <c r="AF5607" s="5" t="str">
        <f>HYPERLINK("https://www.google.com/maps/search/?api=1&amp;query=41.975902,-88.113144","map")</f>
        <v>map</v>
      </c>
    </row>
    <row r="5608" spans="1:32">
      <c r="A5608" t="s">
        <v>5658</v>
      </c>
      <c r="B5608" t="s">
        <v>13183</v>
      </c>
      <c r="C5608" t="s">
        <v>15893</v>
      </c>
      <c r="D5608" t="s">
        <v>16207</v>
      </c>
      <c r="E5608" t="s">
        <v>16218</v>
      </c>
      <c r="F5608" t="s">
        <v>16221</v>
      </c>
      <c r="G5608" t="s">
        <v>16241</v>
      </c>
      <c r="H5608" t="s">
        <v>16241</v>
      </c>
      <c r="I5608" t="s">
        <v>16355</v>
      </c>
      <c r="J5608" t="s">
        <v>16385</v>
      </c>
      <c r="K5608">
        <v>0.164</v>
      </c>
      <c r="L5608">
        <v>7132</v>
      </c>
      <c r="M5608">
        <v>1452</v>
      </c>
      <c r="N5608" t="s">
        <v>16393</v>
      </c>
      <c r="O5608" s="4">
        <v>38692</v>
      </c>
      <c r="P5608" s="4">
        <v>77599</v>
      </c>
      <c r="Q5608" s="4">
        <v>116291</v>
      </c>
      <c r="R5608" s="4">
        <v>348873</v>
      </c>
      <c r="S5608" t="s">
        <v>21870</v>
      </c>
      <c r="T5608" s="6">
        <v>45818</v>
      </c>
      <c r="U5608" s="4">
        <v>337000</v>
      </c>
      <c r="V5608" t="s">
        <v>23738</v>
      </c>
      <c r="W5608" t="s">
        <v>26865</v>
      </c>
      <c r="X5608" t="s">
        <v>3</v>
      </c>
      <c r="AA5608" s="5" t="str">
        <f>HYPERLINK("https://www.zillow.com/homes/885-EDENWOOD-DR-ROSELLE-IL-601722826_rb/","check listing")</f>
        <v>check listing</v>
      </c>
      <c r="AB5608" s="5" t="str">
        <f>HYPERLINK("https://propertylookup.dupagecounty.gov/Datalets/Datalet.aspx?UseSearch=no&amp;mode=sales&amp;pin=0209113001","sales record")</f>
        <v>sales record</v>
      </c>
      <c r="AC5608" t="s">
        <v>3</v>
      </c>
      <c r="AD5608">
        <v>41.972698</v>
      </c>
      <c r="AE5608">
        <v>-88.102446</v>
      </c>
      <c r="AF5608" s="5" t="str">
        <f>HYPERLINK("https://www.google.com/maps/search/?api=1&amp;query=41.972698,-88.102446","map")</f>
        <v>map</v>
      </c>
    </row>
    <row r="5609" spans="1:32">
      <c r="A5609" t="s">
        <v>5659</v>
      </c>
      <c r="B5609" t="s">
        <v>13184</v>
      </c>
      <c r="C5609" t="s">
        <v>15922</v>
      </c>
      <c r="D5609" t="s">
        <v>16207</v>
      </c>
      <c r="E5609" t="s">
        <v>16218</v>
      </c>
      <c r="F5609" t="s">
        <v>16221</v>
      </c>
      <c r="G5609" t="s">
        <v>16241</v>
      </c>
      <c r="H5609" t="s">
        <v>16241</v>
      </c>
      <c r="I5609" t="s">
        <v>16355</v>
      </c>
      <c r="J5609" t="s">
        <v>16385</v>
      </c>
      <c r="K5609">
        <v>0.164</v>
      </c>
      <c r="L5609">
        <v>7129</v>
      </c>
      <c r="M5609">
        <v>1385</v>
      </c>
      <c r="N5609" t="s">
        <v>16393</v>
      </c>
      <c r="O5609" s="4">
        <v>45278</v>
      </c>
      <c r="P5609" s="4">
        <v>103083</v>
      </c>
      <c r="Q5609" s="4">
        <v>148361</v>
      </c>
      <c r="R5609" s="4">
        <v>445083</v>
      </c>
      <c r="S5609" t="s">
        <v>21871</v>
      </c>
      <c r="T5609" s="6">
        <v>35125</v>
      </c>
      <c r="U5609" s="4">
        <v>171000</v>
      </c>
      <c r="X5609" t="s">
        <v>3</v>
      </c>
      <c r="AA5609" s="5" t="str">
        <f>HYPERLINK("https://www.zillow.com/homes/345-BRIGHTON-BAY-ROSELLE-IL-601721608_rb/","check listing")</f>
        <v>check listing</v>
      </c>
      <c r="AB5609" s="5" t="str">
        <f>HYPERLINK("https://propertylookup.dupagecounty.gov/Datalets/Datalet.aspx?UseSearch=no&amp;mode=sales&amp;pin=0205401034","sales record")</f>
        <v>sales record</v>
      </c>
      <c r="AC5609" t="s">
        <v>3</v>
      </c>
      <c r="AD5609">
        <v>41.976359</v>
      </c>
      <c r="AE5609">
        <v>-88.11443</v>
      </c>
      <c r="AF5609" s="5" t="str">
        <f>HYPERLINK("https://www.google.com/maps/search/?api=1&amp;query=41.976359,-88.11443","map")</f>
        <v>map</v>
      </c>
    </row>
    <row r="5610" spans="1:32">
      <c r="A5610" t="s">
        <v>5660</v>
      </c>
      <c r="B5610" t="s">
        <v>13185</v>
      </c>
      <c r="C5610" t="s">
        <v>15830</v>
      </c>
      <c r="D5610" t="s">
        <v>16207</v>
      </c>
      <c r="E5610" t="s">
        <v>16218</v>
      </c>
      <c r="F5610" t="s">
        <v>16221</v>
      </c>
      <c r="G5610" t="s">
        <v>16241</v>
      </c>
      <c r="H5610" t="s">
        <v>16241</v>
      </c>
      <c r="I5610" t="s">
        <v>16355</v>
      </c>
      <c r="J5610" t="s">
        <v>16385</v>
      </c>
      <c r="K5610">
        <v>0.164</v>
      </c>
      <c r="L5610">
        <v>7127</v>
      </c>
      <c r="M5610">
        <v>1089</v>
      </c>
      <c r="N5610" t="s">
        <v>16393</v>
      </c>
      <c r="O5610" s="4">
        <v>38692</v>
      </c>
      <c r="P5610" s="4">
        <v>76189</v>
      </c>
      <c r="Q5610" s="4">
        <v>114881</v>
      </c>
      <c r="R5610" s="4">
        <v>344643</v>
      </c>
      <c r="S5610" t="s">
        <v>21872</v>
      </c>
      <c r="T5610" s="6">
        <v>37742</v>
      </c>
      <c r="U5610" s="4">
        <v>211900</v>
      </c>
      <c r="V5610" t="s">
        <v>23739</v>
      </c>
      <c r="W5610" t="s">
        <v>26866</v>
      </c>
      <c r="X5610" t="s">
        <v>3</v>
      </c>
      <c r="AA5610" s="5" t="str">
        <f>HYPERLINK("https://www.zillow.com/homes/715-MIDDLETON-DR-ROSELLE-IL-60172_rb/","check listing")</f>
        <v>check listing</v>
      </c>
      <c r="AB5610" s="5" t="str">
        <f>HYPERLINK("https://propertylookup.dupagecounty.gov/Datalets/Datalet.aspx?UseSearch=no&amp;mode=sales&amp;pin=0209118003","sales record")</f>
        <v>sales record</v>
      </c>
      <c r="AC5610" t="s">
        <v>3</v>
      </c>
      <c r="AD5610">
        <v>41.969506</v>
      </c>
      <c r="AE5610">
        <v>-88.10558</v>
      </c>
      <c r="AF5610" s="5" t="str">
        <f>HYPERLINK("https://www.google.com/maps/search/?api=1&amp;query=41.969506,-88.10558","map")</f>
        <v>map</v>
      </c>
    </row>
    <row r="5611" spans="1:32">
      <c r="A5611" t="s">
        <v>5661</v>
      </c>
      <c r="B5611" t="s">
        <v>13186</v>
      </c>
      <c r="C5611" t="s">
        <v>15830</v>
      </c>
      <c r="D5611" t="s">
        <v>16207</v>
      </c>
      <c r="E5611" t="s">
        <v>16218</v>
      </c>
      <c r="F5611" t="s">
        <v>16221</v>
      </c>
      <c r="G5611" t="s">
        <v>16241</v>
      </c>
      <c r="H5611" t="s">
        <v>16241</v>
      </c>
      <c r="I5611" t="s">
        <v>16355</v>
      </c>
      <c r="J5611" t="s">
        <v>16385</v>
      </c>
      <c r="K5611">
        <v>0.163</v>
      </c>
      <c r="L5611">
        <v>7119</v>
      </c>
      <c r="M5611">
        <v>1584</v>
      </c>
      <c r="N5611" t="s">
        <v>16393</v>
      </c>
      <c r="O5611" s="4">
        <v>38692</v>
      </c>
      <c r="P5611" s="4">
        <v>75974</v>
      </c>
      <c r="Q5611" s="4">
        <v>114666</v>
      </c>
      <c r="R5611" s="4">
        <v>343998</v>
      </c>
      <c r="S5611" t="s">
        <v>21873</v>
      </c>
      <c r="X5611" t="s">
        <v>3</v>
      </c>
      <c r="AA5611" s="5" t="str">
        <f>HYPERLINK("https://www.zillow.com/homes/408-DOVER-DR-ROSELLE-IL-60172_rb/","check listing")</f>
        <v>check listing</v>
      </c>
      <c r="AB5611" s="5" t="str">
        <f>HYPERLINK("https://propertylookup.dupagecounty.gov/Datalets/Datalet.aspx?UseSearch=no&amp;mode=sales&amp;pin=0208210006","sales record")</f>
        <v>sales record</v>
      </c>
      <c r="AC5611" t="s">
        <v>3</v>
      </c>
      <c r="AD5611">
        <v>41.975026</v>
      </c>
      <c r="AE5611">
        <v>-88.111256</v>
      </c>
      <c r="AF5611" s="5" t="str">
        <f>HYPERLINK("https://www.google.com/maps/search/?api=1&amp;query=41.975026,-88.111256","map")</f>
        <v>map</v>
      </c>
    </row>
    <row r="5612" spans="1:32">
      <c r="A5612" t="s">
        <v>5662</v>
      </c>
      <c r="B5612" t="s">
        <v>13187</v>
      </c>
      <c r="C5612" t="s">
        <v>15830</v>
      </c>
      <c r="D5612" t="s">
        <v>16207</v>
      </c>
      <c r="E5612" t="s">
        <v>16218</v>
      </c>
      <c r="F5612" t="s">
        <v>16221</v>
      </c>
      <c r="G5612" t="s">
        <v>16241</v>
      </c>
      <c r="H5612" t="s">
        <v>16241</v>
      </c>
      <c r="I5612" t="s">
        <v>16355</v>
      </c>
      <c r="J5612" t="s">
        <v>16385</v>
      </c>
      <c r="K5612">
        <v>0.163</v>
      </c>
      <c r="L5612">
        <v>7101</v>
      </c>
      <c r="M5612">
        <v>2143</v>
      </c>
      <c r="N5612" t="s">
        <v>16393</v>
      </c>
      <c r="O5612" s="4">
        <v>45278</v>
      </c>
      <c r="P5612" s="4">
        <v>99437</v>
      </c>
      <c r="Q5612" s="4">
        <v>144715</v>
      </c>
      <c r="R5612" s="4">
        <v>434145</v>
      </c>
      <c r="S5612" t="s">
        <v>21874</v>
      </c>
      <c r="T5612" s="6">
        <v>38139</v>
      </c>
      <c r="U5612" s="4">
        <v>316500</v>
      </c>
      <c r="V5612" t="s">
        <v>23739</v>
      </c>
      <c r="W5612" t="s">
        <v>21874</v>
      </c>
      <c r="X5612" t="s">
        <v>3</v>
      </c>
      <c r="AA5612" s="5" t="str">
        <f>HYPERLINK("https://www.zillow.com/homes/516-AVEBURY-LN-ROSELLE-IL-60172_rb/","check listing")</f>
        <v>check listing</v>
      </c>
      <c r="AB5612" s="5" t="str">
        <f>HYPERLINK("https://propertylookup.dupagecounty.gov/Datalets/Datalet.aspx?UseSearch=no&amp;mode=sales&amp;pin=0209213002","sales record")</f>
        <v>sales record</v>
      </c>
      <c r="AC5612" t="s">
        <v>3</v>
      </c>
      <c r="AD5612">
        <v>41.973492</v>
      </c>
      <c r="AE5612">
        <v>-88.098865</v>
      </c>
      <c r="AF5612" s="5" t="str">
        <f>HYPERLINK("https://www.google.com/maps/search/?api=1&amp;query=41.973492,-88.098865","map")</f>
        <v>map</v>
      </c>
    </row>
    <row r="5613" spans="1:32">
      <c r="A5613" t="s">
        <v>5663</v>
      </c>
      <c r="B5613" t="s">
        <v>13188</v>
      </c>
      <c r="C5613" t="s">
        <v>15901</v>
      </c>
      <c r="D5613" t="s">
        <v>16207</v>
      </c>
      <c r="E5613" t="s">
        <v>16218</v>
      </c>
      <c r="F5613" t="s">
        <v>16221</v>
      </c>
      <c r="G5613" t="s">
        <v>16241</v>
      </c>
      <c r="H5613" t="s">
        <v>16241</v>
      </c>
      <c r="I5613" t="s">
        <v>16355</v>
      </c>
      <c r="J5613" t="s">
        <v>16385</v>
      </c>
      <c r="K5613">
        <v>0.163</v>
      </c>
      <c r="L5613">
        <v>7092</v>
      </c>
      <c r="M5613">
        <v>1783</v>
      </c>
      <c r="N5613" t="s">
        <v>16393</v>
      </c>
      <c r="O5613" s="4">
        <v>38692</v>
      </c>
      <c r="P5613" s="4">
        <v>58092</v>
      </c>
      <c r="Q5613" s="4">
        <v>96784</v>
      </c>
      <c r="R5613" s="4">
        <v>290352</v>
      </c>
      <c r="S5613" t="s">
        <v>21875</v>
      </c>
      <c r="T5613" s="6">
        <v>44287</v>
      </c>
      <c r="U5613" s="4">
        <v>210000</v>
      </c>
      <c r="V5613" t="s">
        <v>23739</v>
      </c>
      <c r="W5613" t="s">
        <v>26867</v>
      </c>
      <c r="X5613" t="s">
        <v>3</v>
      </c>
      <c r="AA5613" s="5" t="str">
        <f>HYPERLINK("https://www.zillow.com/homes/617-STAFFORD-DR-ROSELLE-IL-601722748_rb/","check listing")</f>
        <v>check listing</v>
      </c>
      <c r="AB5613" s="5" t="str">
        <f>HYPERLINK("https://propertylookup.dupagecounty.gov/Datalets/Datalet.aspx?UseSearch=no&amp;mode=sales&amp;pin=0209121009","sales record")</f>
        <v>sales record</v>
      </c>
      <c r="AC5613" t="s">
        <v>3</v>
      </c>
      <c r="AD5613">
        <v>41.971493</v>
      </c>
      <c r="AE5613">
        <v>-88.108216</v>
      </c>
      <c r="AF5613" s="5" t="str">
        <f>HYPERLINK("https://www.google.com/maps/search/?api=1&amp;query=41.971493,-88.108216","map")</f>
        <v>map</v>
      </c>
    </row>
    <row r="5614" spans="1:32">
      <c r="A5614" t="s">
        <v>5664</v>
      </c>
      <c r="B5614" t="s">
        <v>13189</v>
      </c>
      <c r="C5614" t="s">
        <v>15830</v>
      </c>
      <c r="D5614" t="s">
        <v>16207</v>
      </c>
      <c r="E5614" t="s">
        <v>16218</v>
      </c>
      <c r="F5614" t="s">
        <v>16221</v>
      </c>
      <c r="G5614" t="s">
        <v>16241</v>
      </c>
      <c r="H5614" t="s">
        <v>16241</v>
      </c>
      <c r="I5614" t="s">
        <v>16355</v>
      </c>
      <c r="J5614" t="s">
        <v>16385</v>
      </c>
      <c r="K5614">
        <v>0.163</v>
      </c>
      <c r="L5614">
        <v>7087</v>
      </c>
      <c r="M5614">
        <v>1813</v>
      </c>
      <c r="N5614" t="s">
        <v>16393</v>
      </c>
      <c r="O5614" s="4">
        <v>38692</v>
      </c>
      <c r="P5614" s="4">
        <v>82596</v>
      </c>
      <c r="Q5614" s="4">
        <v>121288</v>
      </c>
      <c r="R5614" s="4">
        <v>363864</v>
      </c>
      <c r="S5614" t="s">
        <v>21876</v>
      </c>
      <c r="T5614" s="6">
        <v>42826</v>
      </c>
      <c r="U5614" s="4">
        <v>265000</v>
      </c>
      <c r="V5614" t="s">
        <v>23739</v>
      </c>
      <c r="W5614" t="s">
        <v>26868</v>
      </c>
      <c r="X5614" t="s">
        <v>3</v>
      </c>
      <c r="AA5614" s="5" t="str">
        <f>HYPERLINK("https://www.zillow.com/homes/613-STAFFORD-DR-ROSELLE-IL-60172_rb/","check listing")</f>
        <v>check listing</v>
      </c>
      <c r="AB5614" s="5" t="str">
        <f>HYPERLINK("https://propertylookup.dupagecounty.gov/Datalets/Datalet.aspx?UseSearch=no&amp;mode=sales&amp;pin=0209121008","sales record")</f>
        <v>sales record</v>
      </c>
      <c r="AC5614" t="s">
        <v>3</v>
      </c>
      <c r="AD5614">
        <v>41.971501</v>
      </c>
      <c r="AE5614">
        <v>-88.107995</v>
      </c>
      <c r="AF5614" s="5" t="str">
        <f>HYPERLINK("https://www.google.com/maps/search/?api=1&amp;query=41.971501,-88.107995","map")</f>
        <v>map</v>
      </c>
    </row>
    <row r="5615" spans="1:32">
      <c r="A5615" t="s">
        <v>5665</v>
      </c>
      <c r="B5615" t="s">
        <v>13190</v>
      </c>
      <c r="C5615" t="s">
        <v>15830</v>
      </c>
      <c r="D5615" t="s">
        <v>16207</v>
      </c>
      <c r="E5615" t="s">
        <v>16218</v>
      </c>
      <c r="F5615" t="s">
        <v>16221</v>
      </c>
      <c r="G5615" t="s">
        <v>16241</v>
      </c>
      <c r="H5615" t="s">
        <v>16241</v>
      </c>
      <c r="I5615" t="s">
        <v>16355</v>
      </c>
      <c r="J5615" t="s">
        <v>16385</v>
      </c>
      <c r="K5615">
        <v>0.162</v>
      </c>
      <c r="L5615">
        <v>7077</v>
      </c>
      <c r="M5615">
        <v>1320</v>
      </c>
      <c r="N5615" t="s">
        <v>16393</v>
      </c>
      <c r="O5615" s="4">
        <v>38692</v>
      </c>
      <c r="P5615" s="4">
        <v>87246</v>
      </c>
      <c r="Q5615" s="4">
        <v>125938</v>
      </c>
      <c r="R5615" s="4">
        <v>377814</v>
      </c>
      <c r="S5615" t="s">
        <v>21877</v>
      </c>
      <c r="X5615" t="s">
        <v>3</v>
      </c>
      <c r="AA5615" s="5" t="str">
        <f>HYPERLINK("https://www.zillow.com/homes/734-MIDDLETON-DR-ROSELLE-IL-60172_rb/","check listing")</f>
        <v>check listing</v>
      </c>
      <c r="AB5615" s="5" t="str">
        <f>HYPERLINK("https://propertylookup.dupagecounty.gov/Datalets/Datalet.aspx?UseSearch=no&amp;mode=sales&amp;pin=0209110019","sales record")</f>
        <v>sales record</v>
      </c>
      <c r="AC5615" t="s">
        <v>3</v>
      </c>
      <c r="AD5615">
        <v>41.969742</v>
      </c>
      <c r="AE5615">
        <v>-88.10671000000001</v>
      </c>
      <c r="AF5615" s="5" t="str">
        <f>HYPERLINK("https://www.google.com/maps/search/?api=1&amp;query=41.969742,-88.10671","map")</f>
        <v>map</v>
      </c>
    </row>
    <row r="5616" spans="1:32">
      <c r="A5616" t="s">
        <v>5666</v>
      </c>
      <c r="B5616" t="s">
        <v>13191</v>
      </c>
      <c r="C5616" t="s">
        <v>15830</v>
      </c>
      <c r="D5616" t="s">
        <v>16207</v>
      </c>
      <c r="E5616" t="s">
        <v>16218</v>
      </c>
      <c r="F5616" t="s">
        <v>16221</v>
      </c>
      <c r="G5616" t="s">
        <v>16241</v>
      </c>
      <c r="H5616" t="s">
        <v>16241</v>
      </c>
      <c r="I5616" t="s">
        <v>16355</v>
      </c>
      <c r="J5616" t="s">
        <v>16385</v>
      </c>
      <c r="K5616">
        <v>0.162</v>
      </c>
      <c r="L5616">
        <v>7072</v>
      </c>
      <c r="M5616">
        <v>2421</v>
      </c>
      <c r="N5616" t="s">
        <v>16393</v>
      </c>
      <c r="O5616" s="4">
        <v>45278</v>
      </c>
      <c r="P5616" s="4">
        <v>74240</v>
      </c>
      <c r="Q5616" s="4">
        <v>119518</v>
      </c>
      <c r="R5616" s="4">
        <v>358554</v>
      </c>
      <c r="S5616" t="s">
        <v>21878</v>
      </c>
      <c r="T5616" s="6">
        <v>31079</v>
      </c>
      <c r="U5616" s="4">
        <v>83700</v>
      </c>
      <c r="X5616" t="s">
        <v>3</v>
      </c>
      <c r="AA5616" s="5" t="str">
        <f>HYPERLINK("https://www.zillow.com/homes/120-N-CHATHAM-LN-ROSELLE-IL-60172_rb/","check listing")</f>
        <v>check listing</v>
      </c>
      <c r="AB5616" s="5" t="str">
        <f>HYPERLINK("https://propertylookup.dupagecounty.gov/Datalets/Datalet.aspx?UseSearch=no&amp;mode=sales&amp;pin=0205401006","sales record")</f>
        <v>sales record</v>
      </c>
      <c r="AC5616" t="s">
        <v>3</v>
      </c>
      <c r="AD5616">
        <v>41.980346</v>
      </c>
      <c r="AE5616">
        <v>-88.115123</v>
      </c>
      <c r="AF5616" s="5" t="str">
        <f>HYPERLINK("https://www.google.com/maps/search/?api=1&amp;query=41.980346,-88.115123","map")</f>
        <v>map</v>
      </c>
    </row>
    <row r="5617" spans="1:32">
      <c r="A5617" t="s">
        <v>5667</v>
      </c>
      <c r="B5617" t="s">
        <v>13192</v>
      </c>
      <c r="C5617" t="s">
        <v>15830</v>
      </c>
      <c r="D5617" t="s">
        <v>16207</v>
      </c>
      <c r="E5617" t="s">
        <v>16218</v>
      </c>
      <c r="F5617" t="s">
        <v>16221</v>
      </c>
      <c r="G5617" t="s">
        <v>16241</v>
      </c>
      <c r="H5617" t="s">
        <v>16241</v>
      </c>
      <c r="I5617" t="s">
        <v>16355</v>
      </c>
      <c r="J5617" t="s">
        <v>16385</v>
      </c>
      <c r="K5617">
        <v>0.162</v>
      </c>
      <c r="L5617">
        <v>7068</v>
      </c>
      <c r="M5617">
        <v>2143</v>
      </c>
      <c r="N5617" t="s">
        <v>16393</v>
      </c>
      <c r="O5617" s="4">
        <v>45278</v>
      </c>
      <c r="P5617" s="4">
        <v>70081</v>
      </c>
      <c r="Q5617" s="4">
        <v>115359</v>
      </c>
      <c r="R5617" s="4">
        <v>346077</v>
      </c>
      <c r="S5617" t="s">
        <v>21879</v>
      </c>
      <c r="T5617" s="6">
        <v>45964</v>
      </c>
      <c r="U5617" s="4">
        <v>370000</v>
      </c>
      <c r="V5617" t="s">
        <v>23739</v>
      </c>
      <c r="W5617" t="s">
        <v>26869</v>
      </c>
      <c r="X5617" t="s">
        <v>3</v>
      </c>
      <c r="AA5617" s="5" t="str">
        <f>HYPERLINK("https://www.zillow.com/homes/445-FORDHAM-PL-ROSELLE-IL-60172_rb/","check listing")</f>
        <v>check listing</v>
      </c>
      <c r="AB5617" s="5" t="str">
        <f>HYPERLINK("https://propertylookup.dupagecounty.gov/Datalets/Datalet.aspx?UseSearch=no&amp;mode=sales&amp;pin=0209116003","sales record")</f>
        <v>sales record</v>
      </c>
      <c r="AC5617" t="s">
        <v>3</v>
      </c>
      <c r="AD5617">
        <v>41.974213</v>
      </c>
      <c r="AE5617">
        <v>-88.102428</v>
      </c>
      <c r="AF5617" s="5" t="str">
        <f>HYPERLINK("https://www.google.com/maps/search/?api=1&amp;query=41.974213,-88.102428","map")</f>
        <v>map</v>
      </c>
    </row>
    <row r="5618" spans="1:32">
      <c r="A5618" t="s">
        <v>5668</v>
      </c>
      <c r="B5618" t="s">
        <v>13193</v>
      </c>
      <c r="C5618" t="s">
        <v>15923</v>
      </c>
      <c r="D5618" t="s">
        <v>16207</v>
      </c>
      <c r="E5618" t="s">
        <v>16218</v>
      </c>
      <c r="F5618" t="s">
        <v>16221</v>
      </c>
      <c r="G5618" t="s">
        <v>16241</v>
      </c>
      <c r="H5618" t="s">
        <v>16241</v>
      </c>
      <c r="I5618" t="s">
        <v>16355</v>
      </c>
      <c r="J5618" t="s">
        <v>16385</v>
      </c>
      <c r="K5618">
        <v>0.162</v>
      </c>
      <c r="L5618">
        <v>7057</v>
      </c>
      <c r="M5618">
        <v>1583</v>
      </c>
      <c r="N5618" t="s">
        <v>16393</v>
      </c>
      <c r="O5618" s="4">
        <v>38692</v>
      </c>
      <c r="P5618" s="4">
        <v>76189</v>
      </c>
      <c r="Q5618" s="4">
        <v>114881</v>
      </c>
      <c r="R5618" s="4">
        <v>344643</v>
      </c>
      <c r="S5618" t="s">
        <v>21880</v>
      </c>
      <c r="T5618" s="6">
        <v>42614</v>
      </c>
      <c r="U5618" s="4">
        <v>250000</v>
      </c>
      <c r="V5618" t="s">
        <v>23739</v>
      </c>
      <c r="W5618" t="s">
        <v>26870</v>
      </c>
      <c r="X5618" t="s">
        <v>3</v>
      </c>
      <c r="AA5618" s="5" t="str">
        <f>HYPERLINK("https://www.zillow.com/homes/633-STAFFORD-DR-ROSELLE-IL-601722750_rb/","check listing")</f>
        <v>check listing</v>
      </c>
      <c r="AB5618" s="5" t="str">
        <f>HYPERLINK("https://propertylookup.dupagecounty.gov/Datalets/Datalet.aspx?UseSearch=no&amp;mode=sales&amp;pin=0209120005","sales record")</f>
        <v>sales record</v>
      </c>
      <c r="AC5618" t="s">
        <v>3</v>
      </c>
      <c r="AD5618">
        <v>41.971213</v>
      </c>
      <c r="AE5618">
        <v>-88.109241</v>
      </c>
      <c r="AF5618" s="5" t="str">
        <f>HYPERLINK("https://www.google.com/maps/search/?api=1&amp;query=41.971213,-88.109241","map")</f>
        <v>map</v>
      </c>
    </row>
    <row r="5619" spans="1:32">
      <c r="A5619" t="s">
        <v>5669</v>
      </c>
      <c r="B5619" t="s">
        <v>13194</v>
      </c>
      <c r="C5619" t="s">
        <v>15889</v>
      </c>
      <c r="D5619" t="s">
        <v>16207</v>
      </c>
      <c r="E5619" t="s">
        <v>16218</v>
      </c>
      <c r="F5619" t="s">
        <v>16221</v>
      </c>
      <c r="G5619" t="s">
        <v>16241</v>
      </c>
      <c r="H5619" t="s">
        <v>16241</v>
      </c>
      <c r="I5619" t="s">
        <v>16355</v>
      </c>
      <c r="J5619" t="s">
        <v>16385</v>
      </c>
      <c r="K5619">
        <v>0.162</v>
      </c>
      <c r="L5619">
        <v>7043</v>
      </c>
      <c r="M5619">
        <v>1649</v>
      </c>
      <c r="N5619" t="s">
        <v>16393</v>
      </c>
      <c r="O5619" s="4">
        <v>38692</v>
      </c>
      <c r="P5619" s="4">
        <v>77599</v>
      </c>
      <c r="Q5619" s="4">
        <v>116291</v>
      </c>
      <c r="R5619" s="4">
        <v>348873</v>
      </c>
      <c r="S5619" t="s">
        <v>21881</v>
      </c>
      <c r="T5619" s="6">
        <v>34213</v>
      </c>
      <c r="U5619" s="4">
        <v>128700</v>
      </c>
      <c r="X5619" t="s">
        <v>3</v>
      </c>
      <c r="AA5619" s="5" t="str">
        <f>HYPERLINK("https://www.zillow.com/homes/1111-DARBY-LN-ROSELLE-IL-601721721_rb/","check listing")</f>
        <v>check listing</v>
      </c>
      <c r="AB5619" s="5" t="str">
        <f>HYPERLINK("https://propertylookup.dupagecounty.gov/Datalets/Datalet.aspx?UseSearch=no&amp;mode=sales&amp;pin=0204309076","sales record")</f>
        <v>sales record</v>
      </c>
      <c r="AC5619" t="s">
        <v>3</v>
      </c>
      <c r="AD5619">
        <v>41.978165</v>
      </c>
      <c r="AE5619">
        <v>-88.108501</v>
      </c>
      <c r="AF5619" s="5" t="str">
        <f>HYPERLINK("https://www.google.com/maps/search/?api=1&amp;query=41.978165,-88.108501","map")</f>
        <v>map</v>
      </c>
    </row>
    <row r="5620" spans="1:32">
      <c r="A5620" t="s">
        <v>5670</v>
      </c>
      <c r="B5620" t="s">
        <v>13195</v>
      </c>
      <c r="C5620" t="s">
        <v>15830</v>
      </c>
      <c r="D5620" t="s">
        <v>16207</v>
      </c>
      <c r="E5620" t="s">
        <v>16218</v>
      </c>
      <c r="F5620" t="s">
        <v>16221</v>
      </c>
      <c r="G5620" t="s">
        <v>16241</v>
      </c>
      <c r="H5620" t="s">
        <v>16241</v>
      </c>
      <c r="I5620" t="s">
        <v>16355</v>
      </c>
      <c r="J5620" t="s">
        <v>16385</v>
      </c>
      <c r="K5620">
        <v>0.161</v>
      </c>
      <c r="L5620">
        <v>7031</v>
      </c>
      <c r="M5620">
        <v>1583</v>
      </c>
      <c r="N5620" t="s">
        <v>16393</v>
      </c>
      <c r="O5620" s="4">
        <v>45278</v>
      </c>
      <c r="P5620" s="4">
        <v>86815</v>
      </c>
      <c r="Q5620" s="4">
        <v>132093</v>
      </c>
      <c r="R5620" s="4">
        <v>396279</v>
      </c>
      <c r="S5620" t="s">
        <v>21882</v>
      </c>
      <c r="T5620" s="6">
        <v>32082</v>
      </c>
      <c r="U5620" s="4">
        <v>125000</v>
      </c>
      <c r="X5620" t="s">
        <v>3</v>
      </c>
      <c r="AA5620" s="5" t="str">
        <f>HYPERLINK("https://www.zillow.com/homes/285-CHATHAM-LN-ROSELLE-IL-60172_rb/","check listing")</f>
        <v>check listing</v>
      </c>
      <c r="AB5620" s="5" t="str">
        <f>HYPERLINK("https://propertylookup.dupagecounty.gov/Datalets/Datalet.aspx?UseSearch=no&amp;mode=sales&amp;pin=0205405008","sales record")</f>
        <v>sales record</v>
      </c>
      <c r="AC5620" t="s">
        <v>3</v>
      </c>
      <c r="AD5620">
        <v>41.97747</v>
      </c>
      <c r="AE5620">
        <v>-88.114301</v>
      </c>
      <c r="AF5620" s="5" t="str">
        <f>HYPERLINK("https://www.google.com/maps/search/?api=1&amp;query=41.97747,-88.114301","map")</f>
        <v>map</v>
      </c>
    </row>
    <row r="5621" spans="1:32">
      <c r="A5621" t="s">
        <v>5671</v>
      </c>
      <c r="B5621" t="s">
        <v>13196</v>
      </c>
      <c r="C5621" t="s">
        <v>15888</v>
      </c>
      <c r="D5621" t="s">
        <v>16207</v>
      </c>
      <c r="E5621" t="s">
        <v>16218</v>
      </c>
      <c r="F5621" t="s">
        <v>16221</v>
      </c>
      <c r="G5621" t="s">
        <v>16241</v>
      </c>
      <c r="H5621" t="s">
        <v>16241</v>
      </c>
      <c r="I5621" t="s">
        <v>16355</v>
      </c>
      <c r="J5621" t="s">
        <v>16385</v>
      </c>
      <c r="K5621">
        <v>0.161</v>
      </c>
      <c r="L5621">
        <v>7027</v>
      </c>
      <c r="M5621">
        <v>2196</v>
      </c>
      <c r="N5621" t="s">
        <v>16393</v>
      </c>
      <c r="O5621" s="4">
        <v>45278</v>
      </c>
      <c r="P5621" s="4">
        <v>74443</v>
      </c>
      <c r="Q5621" s="4">
        <v>119721</v>
      </c>
      <c r="R5621" s="4">
        <v>359163</v>
      </c>
      <c r="S5621" t="s">
        <v>21883</v>
      </c>
      <c r="T5621" s="6">
        <v>42095</v>
      </c>
      <c r="U5621" s="4">
        <v>229108</v>
      </c>
      <c r="V5621" t="s">
        <v>16232</v>
      </c>
      <c r="W5621" t="s">
        <v>26871</v>
      </c>
      <c r="X5621" t="s">
        <v>3</v>
      </c>
      <c r="AA5621" s="5" t="str">
        <f>HYPERLINK("https://www.zillow.com/homes/545-DALTON-LN-ROSELLE-IL-601722820_rb/","check listing")</f>
        <v>check listing</v>
      </c>
      <c r="AB5621" s="5" t="str">
        <f>HYPERLINK("https://propertylookup.dupagecounty.gov/Datalets/Datalet.aspx?UseSearch=no&amp;mode=sales&amp;pin=0209213011","sales record")</f>
        <v>sales record</v>
      </c>
      <c r="AC5621" t="s">
        <v>3</v>
      </c>
      <c r="AD5621">
        <v>41.973079</v>
      </c>
      <c r="AE5621">
        <v>-88.09915100000001</v>
      </c>
      <c r="AF5621" s="5" t="str">
        <f>HYPERLINK("https://www.google.com/maps/search/?api=1&amp;query=41.973079,-88.099151","map")</f>
        <v>map</v>
      </c>
    </row>
    <row r="5622" spans="1:32">
      <c r="A5622" t="s">
        <v>5672</v>
      </c>
      <c r="B5622" t="s">
        <v>13197</v>
      </c>
      <c r="C5622" t="s">
        <v>15830</v>
      </c>
      <c r="D5622" t="s">
        <v>16207</v>
      </c>
      <c r="E5622" t="s">
        <v>16218</v>
      </c>
      <c r="F5622" t="s">
        <v>16221</v>
      </c>
      <c r="G5622" t="s">
        <v>16241</v>
      </c>
      <c r="H5622" t="s">
        <v>16241</v>
      </c>
      <c r="I5622" t="s">
        <v>16355</v>
      </c>
      <c r="J5622" t="s">
        <v>16385</v>
      </c>
      <c r="K5622">
        <v>0.161</v>
      </c>
      <c r="L5622">
        <v>7027</v>
      </c>
      <c r="M5622">
        <v>989</v>
      </c>
      <c r="N5622" t="s">
        <v>16393</v>
      </c>
      <c r="O5622" s="4">
        <v>38692</v>
      </c>
      <c r="P5622" s="4">
        <v>80097</v>
      </c>
      <c r="Q5622" s="4">
        <v>118789</v>
      </c>
      <c r="R5622" s="4">
        <v>356367</v>
      </c>
      <c r="S5622" t="s">
        <v>21884</v>
      </c>
      <c r="T5622" s="6">
        <v>38231</v>
      </c>
      <c r="U5622" s="4">
        <v>260000</v>
      </c>
      <c r="V5622" t="s">
        <v>23739</v>
      </c>
      <c r="W5622" t="s">
        <v>26872</v>
      </c>
      <c r="X5622" t="s">
        <v>3</v>
      </c>
      <c r="AA5622" s="5" t="str">
        <f>HYPERLINK("https://www.zillow.com/homes/855-EDENWOOD-DR-ROSELLE-IL-60172_rb/","check listing")</f>
        <v>check listing</v>
      </c>
      <c r="AB5622" s="5" t="str">
        <f>HYPERLINK("https://propertylookup.dupagecounty.gov/Datalets/Datalet.aspx?UseSearch=no&amp;mode=sales&amp;pin=0209113004","sales record")</f>
        <v>sales record</v>
      </c>
      <c r="AC5622" t="s">
        <v>3</v>
      </c>
      <c r="AD5622">
        <v>41.972795</v>
      </c>
      <c r="AE5622">
        <v>-88.101848</v>
      </c>
      <c r="AF5622" s="5" t="str">
        <f>HYPERLINK("https://www.google.com/maps/search/?api=1&amp;query=41.972795,-88.101848","map")</f>
        <v>map</v>
      </c>
    </row>
    <row r="5623" spans="1:32">
      <c r="A5623" t="s">
        <v>5673</v>
      </c>
      <c r="B5623" t="s">
        <v>13198</v>
      </c>
      <c r="C5623" t="s">
        <v>15830</v>
      </c>
      <c r="D5623" t="s">
        <v>16207</v>
      </c>
      <c r="E5623" t="s">
        <v>16218</v>
      </c>
      <c r="F5623" t="s">
        <v>16221</v>
      </c>
      <c r="G5623" t="s">
        <v>16241</v>
      </c>
      <c r="H5623" t="s">
        <v>16241</v>
      </c>
      <c r="I5623" t="s">
        <v>16355</v>
      </c>
      <c r="J5623" t="s">
        <v>16385</v>
      </c>
      <c r="K5623">
        <v>0.161</v>
      </c>
      <c r="L5623">
        <v>7026</v>
      </c>
      <c r="M5623">
        <v>2143</v>
      </c>
      <c r="N5623" t="s">
        <v>16393</v>
      </c>
      <c r="O5623" s="4">
        <v>45278</v>
      </c>
      <c r="P5623" s="4">
        <v>98923</v>
      </c>
      <c r="Q5623" s="4">
        <v>144201</v>
      </c>
      <c r="R5623" s="4">
        <v>432603</v>
      </c>
      <c r="S5623" t="s">
        <v>21885</v>
      </c>
      <c r="T5623" s="6">
        <v>33270</v>
      </c>
      <c r="U5623" s="4">
        <v>159900</v>
      </c>
      <c r="X5623" t="s">
        <v>3</v>
      </c>
      <c r="AA5623" s="5" t="str">
        <f>HYPERLINK("https://www.zillow.com/homes/25-ANDOVER-DR-ROSELLE-IL-60172_rb/","check listing")</f>
        <v>check listing</v>
      </c>
      <c r="AB5623" s="5" t="str">
        <f>HYPERLINK("https://propertylookup.dupagecounty.gov/Datalets/Datalet.aspx?UseSearch=no&amp;mode=sales&amp;pin=0205409002","sales record")</f>
        <v>sales record</v>
      </c>
      <c r="AC5623" t="s">
        <v>3</v>
      </c>
      <c r="AD5623">
        <v>41.982126</v>
      </c>
      <c r="AE5623">
        <v>-88.11222600000001</v>
      </c>
      <c r="AF5623" s="5" t="str">
        <f>HYPERLINK("https://www.google.com/maps/search/?api=1&amp;query=41.982126,-88.112226","map")</f>
        <v>map</v>
      </c>
    </row>
    <row r="5624" spans="1:32">
      <c r="A5624" t="s">
        <v>5674</v>
      </c>
      <c r="B5624" t="s">
        <v>13199</v>
      </c>
      <c r="C5624" t="s">
        <v>15830</v>
      </c>
      <c r="D5624" t="s">
        <v>16207</v>
      </c>
      <c r="E5624" t="s">
        <v>16218</v>
      </c>
      <c r="F5624" t="s">
        <v>16221</v>
      </c>
      <c r="G5624" t="s">
        <v>16241</v>
      </c>
      <c r="H5624" t="s">
        <v>16241</v>
      </c>
      <c r="I5624" t="s">
        <v>16355</v>
      </c>
      <c r="J5624" t="s">
        <v>16385</v>
      </c>
      <c r="K5624">
        <v>0.161</v>
      </c>
      <c r="L5624">
        <v>7019</v>
      </c>
      <c r="M5624">
        <v>1813</v>
      </c>
      <c r="N5624" t="s">
        <v>16393</v>
      </c>
      <c r="O5624" s="4">
        <v>38692</v>
      </c>
      <c r="P5624" s="4">
        <v>77599</v>
      </c>
      <c r="Q5624" s="4">
        <v>116291</v>
      </c>
      <c r="R5624" s="4">
        <v>348873</v>
      </c>
      <c r="S5624" t="s">
        <v>21886</v>
      </c>
      <c r="T5624" s="6">
        <v>38322</v>
      </c>
      <c r="U5624" s="4">
        <v>250000</v>
      </c>
      <c r="V5624" t="s">
        <v>23739</v>
      </c>
      <c r="W5624" t="s">
        <v>26873</v>
      </c>
      <c r="X5624" t="s">
        <v>3</v>
      </c>
      <c r="AA5624" s="5" t="str">
        <f>HYPERLINK("https://www.zillow.com/homes/1015-WOODSIDE-DR-ROSELLE-IL-60172_rb/","check listing")</f>
        <v>check listing</v>
      </c>
      <c r="AB5624" s="5" t="str">
        <f>HYPERLINK("https://propertylookup.dupagecounty.gov/Datalets/Datalet.aspx?UseSearch=no&amp;mode=sales&amp;pin=0209305007","sales record")</f>
        <v>sales record</v>
      </c>
      <c r="AC5624" t="s">
        <v>3</v>
      </c>
      <c r="AD5624">
        <v>41.967326</v>
      </c>
      <c r="AE5624">
        <v>-88.10584299999999</v>
      </c>
      <c r="AF5624" s="5" t="str">
        <f>HYPERLINK("https://www.google.com/maps/search/?api=1&amp;query=41.967326,-88.105843","map")</f>
        <v>map</v>
      </c>
    </row>
    <row r="5625" spans="1:32">
      <c r="A5625" t="s">
        <v>5675</v>
      </c>
      <c r="B5625" t="s">
        <v>13200</v>
      </c>
      <c r="C5625" t="s">
        <v>15849</v>
      </c>
      <c r="D5625" t="s">
        <v>16207</v>
      </c>
      <c r="E5625" t="s">
        <v>16218</v>
      </c>
      <c r="F5625" t="s">
        <v>16221</v>
      </c>
      <c r="G5625" t="s">
        <v>16241</v>
      </c>
      <c r="H5625" t="s">
        <v>16241</v>
      </c>
      <c r="I5625" t="s">
        <v>16355</v>
      </c>
      <c r="J5625" t="s">
        <v>16385</v>
      </c>
      <c r="K5625">
        <v>0.161</v>
      </c>
      <c r="L5625">
        <v>7016</v>
      </c>
      <c r="M5625">
        <v>2308</v>
      </c>
      <c r="N5625" t="s">
        <v>16393</v>
      </c>
      <c r="O5625" s="4">
        <v>38692</v>
      </c>
      <c r="P5625" s="4">
        <v>84831</v>
      </c>
      <c r="Q5625" s="4">
        <v>123523</v>
      </c>
      <c r="R5625" s="4">
        <v>370569</v>
      </c>
      <c r="S5625" t="s">
        <v>21887</v>
      </c>
      <c r="T5625" s="6">
        <v>36465</v>
      </c>
      <c r="U5625" s="4">
        <v>132000</v>
      </c>
      <c r="X5625" t="s">
        <v>3</v>
      </c>
      <c r="AA5625" s="5" t="str">
        <f>HYPERLINK("https://www.zillow.com/homes/825-WOODSIDE-DR-ROSELLE-IL-601722725_rb/","check listing")</f>
        <v>check listing</v>
      </c>
      <c r="AB5625" s="5" t="str">
        <f>HYPERLINK("https://propertylookup.dupagecounty.gov/Datalets/Datalet.aspx?UseSearch=no&amp;mode=sales&amp;pin=0209305004","sales record")</f>
        <v>sales record</v>
      </c>
      <c r="AC5625" t="s">
        <v>3</v>
      </c>
      <c r="AD5625">
        <v>41.967633</v>
      </c>
      <c r="AE5625">
        <v>-88.10450400000001</v>
      </c>
      <c r="AF5625" s="5" t="str">
        <f>HYPERLINK("https://www.google.com/maps/search/?api=1&amp;query=41.967633,-88.104504","map")</f>
        <v>map</v>
      </c>
    </row>
    <row r="5626" spans="1:32">
      <c r="A5626" t="s">
        <v>5676</v>
      </c>
      <c r="B5626" t="s">
        <v>13201</v>
      </c>
      <c r="C5626" t="s">
        <v>15830</v>
      </c>
      <c r="D5626" t="s">
        <v>16207</v>
      </c>
      <c r="E5626" t="s">
        <v>16218</v>
      </c>
      <c r="F5626" t="s">
        <v>16221</v>
      </c>
      <c r="G5626" t="s">
        <v>16241</v>
      </c>
      <c r="H5626" t="s">
        <v>16241</v>
      </c>
      <c r="I5626" t="s">
        <v>16355</v>
      </c>
      <c r="J5626" t="s">
        <v>16385</v>
      </c>
      <c r="K5626">
        <v>0.161</v>
      </c>
      <c r="L5626">
        <v>7014</v>
      </c>
      <c r="M5626">
        <v>2309</v>
      </c>
      <c r="N5626" t="s">
        <v>16393</v>
      </c>
      <c r="O5626" s="4">
        <v>45278</v>
      </c>
      <c r="P5626" s="4">
        <v>108498</v>
      </c>
      <c r="Q5626" s="4">
        <v>153776</v>
      </c>
      <c r="R5626" s="4">
        <v>461328</v>
      </c>
      <c r="S5626" t="s">
        <v>21888</v>
      </c>
      <c r="T5626" s="6">
        <v>37742</v>
      </c>
      <c r="U5626" s="4">
        <v>315000</v>
      </c>
      <c r="V5626" t="s">
        <v>23739</v>
      </c>
      <c r="W5626" t="s">
        <v>21888</v>
      </c>
      <c r="X5626" t="s">
        <v>3</v>
      </c>
      <c r="AA5626" s="5" t="str">
        <f>HYPERLINK("https://www.zillow.com/homes/55-ANDOVER-DR-ROSELLE-IL-60172_rb/","check listing")</f>
        <v>check listing</v>
      </c>
      <c r="AB5626" s="5" t="str">
        <f>HYPERLINK("https://propertylookup.dupagecounty.gov/Datalets/Datalet.aspx?UseSearch=no&amp;mode=sales&amp;pin=0205409005","sales record")</f>
        <v>sales record</v>
      </c>
      <c r="AC5626" t="s">
        <v>3</v>
      </c>
      <c r="AD5626">
        <v>41.981589</v>
      </c>
      <c r="AE5626">
        <v>-88.11219800000001</v>
      </c>
      <c r="AF5626" s="5" t="str">
        <f>HYPERLINK("https://www.google.com/maps/search/?api=1&amp;query=41.981589,-88.112198","map")</f>
        <v>map</v>
      </c>
    </row>
    <row r="5627" spans="1:32">
      <c r="A5627" t="s">
        <v>5677</v>
      </c>
      <c r="B5627" t="s">
        <v>13202</v>
      </c>
      <c r="C5627" t="s">
        <v>15830</v>
      </c>
      <c r="D5627" t="s">
        <v>16207</v>
      </c>
      <c r="E5627" t="s">
        <v>16218</v>
      </c>
      <c r="F5627" t="s">
        <v>16221</v>
      </c>
      <c r="G5627" t="s">
        <v>16241</v>
      </c>
      <c r="H5627" t="s">
        <v>16241</v>
      </c>
      <c r="I5627" t="s">
        <v>16355</v>
      </c>
      <c r="J5627" t="s">
        <v>16385</v>
      </c>
      <c r="K5627">
        <v>0.161</v>
      </c>
      <c r="L5627">
        <v>7009</v>
      </c>
      <c r="M5627">
        <v>2291</v>
      </c>
      <c r="N5627" t="s">
        <v>16393</v>
      </c>
      <c r="O5627" s="4">
        <v>45278</v>
      </c>
      <c r="P5627" s="4">
        <v>90676</v>
      </c>
      <c r="Q5627" s="4">
        <v>135954</v>
      </c>
      <c r="R5627" s="4">
        <v>407862</v>
      </c>
      <c r="S5627" t="s">
        <v>21889</v>
      </c>
      <c r="T5627" s="6">
        <v>35916</v>
      </c>
      <c r="U5627" s="4">
        <v>155000</v>
      </c>
      <c r="X5627" t="s">
        <v>3</v>
      </c>
      <c r="AA5627" s="5" t="str">
        <f>HYPERLINK("https://www.zillow.com/homes/65-ANDOVER-DR-ROSELLE-IL-60172_rb/","check listing")</f>
        <v>check listing</v>
      </c>
      <c r="AB5627" s="5" t="str">
        <f>HYPERLINK("https://propertylookup.dupagecounty.gov/Datalets/Datalet.aspx?UseSearch=no&amp;mode=sales&amp;pin=0205409006","sales record")</f>
        <v>sales record</v>
      </c>
      <c r="AC5627" t="s">
        <v>3</v>
      </c>
      <c r="AD5627">
        <v>41.981404</v>
      </c>
      <c r="AE5627">
        <v>-88.112189</v>
      </c>
      <c r="AF5627" s="5" t="str">
        <f>HYPERLINK("https://www.google.com/maps/search/?api=1&amp;query=41.981404,-88.112189","map")</f>
        <v>map</v>
      </c>
    </row>
    <row r="5628" spans="1:32">
      <c r="A5628" t="s">
        <v>5678</v>
      </c>
      <c r="B5628" t="s">
        <v>13203</v>
      </c>
      <c r="C5628" t="s">
        <v>15830</v>
      </c>
      <c r="D5628" t="s">
        <v>16207</v>
      </c>
      <c r="E5628" t="s">
        <v>16218</v>
      </c>
      <c r="F5628" t="s">
        <v>16221</v>
      </c>
      <c r="G5628" t="s">
        <v>16241</v>
      </c>
      <c r="H5628" t="s">
        <v>16241</v>
      </c>
      <c r="I5628" t="s">
        <v>16355</v>
      </c>
      <c r="J5628" t="s">
        <v>16385</v>
      </c>
      <c r="K5628">
        <v>0.161</v>
      </c>
      <c r="L5628">
        <v>7004</v>
      </c>
      <c r="M5628">
        <v>1583</v>
      </c>
      <c r="N5628" t="s">
        <v>16393</v>
      </c>
      <c r="O5628" s="4">
        <v>45278</v>
      </c>
      <c r="P5628" s="4">
        <v>84711</v>
      </c>
      <c r="Q5628" s="4">
        <v>129989</v>
      </c>
      <c r="R5628" s="4">
        <v>389967</v>
      </c>
      <c r="S5628" t="s">
        <v>21890</v>
      </c>
      <c r="T5628" s="6">
        <v>34304</v>
      </c>
      <c r="U5628" s="4">
        <v>140000</v>
      </c>
      <c r="X5628" t="s">
        <v>3</v>
      </c>
      <c r="AA5628" s="5" t="str">
        <f>HYPERLINK("https://www.zillow.com/homes/75-ANDOVER-DR-ROSELLE-IL-60172_rb/","check listing")</f>
        <v>check listing</v>
      </c>
      <c r="AB5628" s="5" t="str">
        <f>HYPERLINK("https://propertylookup.dupagecounty.gov/Datalets/Datalet.aspx?UseSearch=no&amp;mode=sales&amp;pin=0205409007","sales record")</f>
        <v>sales record</v>
      </c>
      <c r="AC5628" t="s">
        <v>3</v>
      </c>
      <c r="AD5628">
        <v>41.981231</v>
      </c>
      <c r="AE5628">
        <v>-88.11218</v>
      </c>
      <c r="AF5628" s="5" t="str">
        <f>HYPERLINK("https://www.google.com/maps/search/?api=1&amp;query=41.981231,-88.11218","map")</f>
        <v>map</v>
      </c>
    </row>
    <row r="5629" spans="1:32">
      <c r="A5629" t="s">
        <v>5679</v>
      </c>
      <c r="B5629" t="s">
        <v>13204</v>
      </c>
      <c r="C5629" t="s">
        <v>15830</v>
      </c>
      <c r="D5629" t="s">
        <v>16207</v>
      </c>
      <c r="E5629" t="s">
        <v>16218</v>
      </c>
      <c r="F5629" t="s">
        <v>16221</v>
      </c>
      <c r="G5629" t="s">
        <v>16241</v>
      </c>
      <c r="H5629" t="s">
        <v>16241</v>
      </c>
      <c r="I5629" t="s">
        <v>16355</v>
      </c>
      <c r="J5629" t="s">
        <v>16385</v>
      </c>
      <c r="K5629">
        <v>0.161</v>
      </c>
      <c r="L5629">
        <v>7002</v>
      </c>
      <c r="M5629">
        <v>3002</v>
      </c>
      <c r="N5629" t="s">
        <v>16393</v>
      </c>
      <c r="O5629" s="4">
        <v>45278</v>
      </c>
      <c r="P5629" s="4">
        <v>107207</v>
      </c>
      <c r="Q5629" s="4">
        <v>152485</v>
      </c>
      <c r="R5629" s="4">
        <v>457455</v>
      </c>
      <c r="S5629" t="s">
        <v>21891</v>
      </c>
      <c r="T5629" s="6">
        <v>32387</v>
      </c>
      <c r="U5629" s="4">
        <v>127000</v>
      </c>
      <c r="X5629" t="s">
        <v>3</v>
      </c>
      <c r="AA5629" s="5" t="str">
        <f>HYPERLINK("https://www.zillow.com/homes/85-ANDOVER-DR-ROSELLE-IL-60172_rb/","check listing")</f>
        <v>check listing</v>
      </c>
      <c r="AB5629" s="5" t="str">
        <f>HYPERLINK("https://propertylookup.dupagecounty.gov/Datalets/Datalet.aspx?UseSearch=no&amp;mode=sales&amp;pin=0205409008","sales record")</f>
        <v>sales record</v>
      </c>
      <c r="AC5629" t="s">
        <v>3</v>
      </c>
      <c r="AD5629">
        <v>41.981038</v>
      </c>
      <c r="AE5629">
        <v>-88.11217000000001</v>
      </c>
      <c r="AF5629" s="5" t="str">
        <f>HYPERLINK("https://www.google.com/maps/search/?api=1&amp;query=41.981038,-88.11217","map")</f>
        <v>map</v>
      </c>
    </row>
    <row r="5630" spans="1:32">
      <c r="A5630" t="s">
        <v>5680</v>
      </c>
      <c r="B5630" t="s">
        <v>13205</v>
      </c>
      <c r="C5630" t="s">
        <v>15830</v>
      </c>
      <c r="D5630" t="s">
        <v>16207</v>
      </c>
      <c r="E5630" t="s">
        <v>16218</v>
      </c>
      <c r="F5630" t="s">
        <v>16221</v>
      </c>
      <c r="G5630" t="s">
        <v>16241</v>
      </c>
      <c r="H5630" t="s">
        <v>16241</v>
      </c>
      <c r="I5630" t="s">
        <v>16355</v>
      </c>
      <c r="J5630" t="s">
        <v>16385</v>
      </c>
      <c r="K5630">
        <v>0.161</v>
      </c>
      <c r="L5630">
        <v>7001</v>
      </c>
      <c r="M5630">
        <v>1583</v>
      </c>
      <c r="N5630" t="s">
        <v>16393</v>
      </c>
      <c r="O5630" s="4">
        <v>38692</v>
      </c>
      <c r="P5630" s="4">
        <v>76189</v>
      </c>
      <c r="Q5630" s="4">
        <v>114881</v>
      </c>
      <c r="R5630" s="4">
        <v>344643</v>
      </c>
      <c r="S5630" t="s">
        <v>21892</v>
      </c>
      <c r="T5630" s="6">
        <v>32782</v>
      </c>
      <c r="U5630" s="4">
        <v>115000</v>
      </c>
      <c r="X5630" t="s">
        <v>3</v>
      </c>
      <c r="AA5630" s="5" t="str">
        <f>HYPERLINK("https://www.zillow.com/homes/700-BERWICK-PL-ROSELLE-IL-60172_rb/","check listing")</f>
        <v>check listing</v>
      </c>
      <c r="AB5630" s="5" t="str">
        <f>HYPERLINK("https://propertylookup.dupagecounty.gov/Datalets/Datalet.aspx?UseSearch=no&amp;mode=sales&amp;pin=0208205026","sales record")</f>
        <v>sales record</v>
      </c>
      <c r="AC5630" t="s">
        <v>3</v>
      </c>
      <c r="AD5630">
        <v>41.970115</v>
      </c>
      <c r="AE5630">
        <v>-88.112038</v>
      </c>
      <c r="AF5630" s="5" t="str">
        <f>HYPERLINK("https://www.google.com/maps/search/?api=1&amp;query=41.970115,-88.112038","map")</f>
        <v>map</v>
      </c>
    </row>
    <row r="5631" spans="1:32">
      <c r="A5631" t="s">
        <v>5681</v>
      </c>
      <c r="B5631" t="s">
        <v>13206</v>
      </c>
      <c r="C5631" t="s">
        <v>15830</v>
      </c>
      <c r="D5631" t="s">
        <v>16207</v>
      </c>
      <c r="E5631" t="s">
        <v>16218</v>
      </c>
      <c r="F5631" t="s">
        <v>16221</v>
      </c>
      <c r="G5631" t="s">
        <v>16241</v>
      </c>
      <c r="H5631" t="s">
        <v>16241</v>
      </c>
      <c r="I5631" t="s">
        <v>16355</v>
      </c>
      <c r="J5631" t="s">
        <v>16385</v>
      </c>
      <c r="K5631">
        <v>0.161</v>
      </c>
      <c r="L5631">
        <v>6997</v>
      </c>
      <c r="M5631">
        <v>1385</v>
      </c>
      <c r="N5631" t="s">
        <v>16393</v>
      </c>
      <c r="O5631" s="4">
        <v>45278</v>
      </c>
      <c r="P5631" s="4">
        <v>86815</v>
      </c>
      <c r="Q5631" s="4">
        <v>132093</v>
      </c>
      <c r="R5631" s="4">
        <v>396279</v>
      </c>
      <c r="S5631" t="s">
        <v>21893</v>
      </c>
      <c r="T5631" s="6">
        <v>43282</v>
      </c>
      <c r="U5631" s="4">
        <v>265000</v>
      </c>
      <c r="V5631" t="s">
        <v>23739</v>
      </c>
      <c r="W5631" t="s">
        <v>21893</v>
      </c>
      <c r="X5631" t="s">
        <v>3</v>
      </c>
      <c r="AA5631" s="5" t="str">
        <f>HYPERLINK("https://www.zillow.com/homes/1305-CHATHAM-LN-ROSELLE-IL-60172_rb/","check listing")</f>
        <v>check listing</v>
      </c>
      <c r="AB5631" s="5" t="str">
        <f>HYPERLINK("https://propertylookup.dupagecounty.gov/Datalets/Datalet.aspx?UseSearch=no&amp;mode=sales&amp;pin=0205402011","sales record")</f>
        <v>sales record</v>
      </c>
      <c r="AC5631" t="s">
        <v>3</v>
      </c>
      <c r="AD5631">
        <v>41.981005</v>
      </c>
      <c r="AE5631">
        <v>-88.11391500000001</v>
      </c>
      <c r="AF5631" s="5" t="str">
        <f>HYPERLINK("https://www.google.com/maps/search/?api=1&amp;query=41.981005,-88.113915","map")</f>
        <v>map</v>
      </c>
    </row>
    <row r="5632" spans="1:32">
      <c r="A5632" t="s">
        <v>5682</v>
      </c>
      <c r="B5632" t="s">
        <v>13207</v>
      </c>
      <c r="C5632" t="s">
        <v>15830</v>
      </c>
      <c r="D5632" t="s">
        <v>16207</v>
      </c>
      <c r="E5632" t="s">
        <v>16218</v>
      </c>
      <c r="F5632" t="s">
        <v>16221</v>
      </c>
      <c r="G5632" t="s">
        <v>16241</v>
      </c>
      <c r="H5632" t="s">
        <v>16241</v>
      </c>
      <c r="I5632" t="s">
        <v>16355</v>
      </c>
      <c r="J5632" t="s">
        <v>16385</v>
      </c>
      <c r="K5632">
        <v>0.161</v>
      </c>
      <c r="L5632">
        <v>6992</v>
      </c>
      <c r="M5632">
        <v>2145</v>
      </c>
      <c r="N5632" t="s">
        <v>16393</v>
      </c>
      <c r="O5632" s="4">
        <v>45278</v>
      </c>
      <c r="P5632" s="4">
        <v>82584</v>
      </c>
      <c r="Q5632" s="4">
        <v>127862</v>
      </c>
      <c r="R5632" s="4">
        <v>383586</v>
      </c>
      <c r="S5632" t="s">
        <v>21894</v>
      </c>
      <c r="T5632" s="6">
        <v>44044</v>
      </c>
      <c r="U5632" s="4">
        <v>325000</v>
      </c>
      <c r="V5632" t="s">
        <v>23739</v>
      </c>
      <c r="W5632" t="s">
        <v>26874</v>
      </c>
      <c r="X5632" t="s">
        <v>3</v>
      </c>
      <c r="AA5632" s="5" t="str">
        <f>HYPERLINK("https://www.zillow.com/homes/515-DALTON-LN-ROSELLE-IL-60172_rb/","check listing")</f>
        <v>check listing</v>
      </c>
      <c r="AB5632" s="5" t="str">
        <f>HYPERLINK("https://propertylookup.dupagecounty.gov/Datalets/Datalet.aspx?UseSearch=no&amp;mode=sales&amp;pin=0209213009","sales record")</f>
        <v>sales record</v>
      </c>
      <c r="AC5632" t="s">
        <v>3</v>
      </c>
      <c r="AD5632">
        <v>41.973418</v>
      </c>
      <c r="AE5632">
        <v>-88.099232</v>
      </c>
      <c r="AF5632" s="5" t="str">
        <f>HYPERLINK("https://www.google.com/maps/search/?api=1&amp;query=41.973418,-88.099232","map")</f>
        <v>map</v>
      </c>
    </row>
    <row r="5633" spans="1:32">
      <c r="A5633" t="s">
        <v>5683</v>
      </c>
      <c r="B5633" t="s">
        <v>13208</v>
      </c>
      <c r="C5633" t="s">
        <v>15860</v>
      </c>
      <c r="D5633" t="s">
        <v>16207</v>
      </c>
      <c r="E5633" t="s">
        <v>16218</v>
      </c>
      <c r="F5633" t="s">
        <v>16221</v>
      </c>
      <c r="G5633" t="s">
        <v>16241</v>
      </c>
      <c r="H5633" t="s">
        <v>16241</v>
      </c>
      <c r="I5633" t="s">
        <v>16355</v>
      </c>
      <c r="J5633" t="s">
        <v>16385</v>
      </c>
      <c r="K5633">
        <v>0.16</v>
      </c>
      <c r="L5633">
        <v>6983</v>
      </c>
      <c r="M5633">
        <v>1186</v>
      </c>
      <c r="N5633" t="s">
        <v>16393</v>
      </c>
      <c r="O5633" s="4">
        <v>38692</v>
      </c>
      <c r="P5633" s="4">
        <v>80229</v>
      </c>
      <c r="Q5633" s="4">
        <v>118921</v>
      </c>
      <c r="R5633" s="4">
        <v>356763</v>
      </c>
      <c r="S5633" t="s">
        <v>21895</v>
      </c>
      <c r="T5633" s="6">
        <v>44013</v>
      </c>
      <c r="U5633" s="4">
        <v>289900</v>
      </c>
      <c r="V5633" t="s">
        <v>23739</v>
      </c>
      <c r="W5633" t="s">
        <v>21895</v>
      </c>
      <c r="X5633" t="s">
        <v>3</v>
      </c>
      <c r="AA5633" s="5" t="str">
        <f>HYPERLINK("https://www.zillow.com/homes/675-RODENBURG-RD-ROSELLE-IL-601722758_rb/","check listing")</f>
        <v>check listing</v>
      </c>
      <c r="AB5633" s="5" t="str">
        <f>HYPERLINK("https://propertylookup.dupagecounty.gov/Datalets/Datalet.aspx?UseSearch=no&amp;mode=sales&amp;pin=0209120013","sales record")</f>
        <v>sales record</v>
      </c>
      <c r="AC5633" t="s">
        <v>3</v>
      </c>
      <c r="AD5633">
        <v>41.970918</v>
      </c>
      <c r="AE5633">
        <v>-88.109982</v>
      </c>
      <c r="AF5633" s="5" t="str">
        <f>HYPERLINK("https://www.google.com/maps/search/?api=1&amp;query=41.970918,-88.109982","map")</f>
        <v>map</v>
      </c>
    </row>
    <row r="5634" spans="1:32">
      <c r="A5634" t="s">
        <v>5684</v>
      </c>
      <c r="B5634" t="s">
        <v>13209</v>
      </c>
      <c r="C5634" t="s">
        <v>15898</v>
      </c>
      <c r="D5634" t="s">
        <v>16207</v>
      </c>
      <c r="E5634" t="s">
        <v>16218</v>
      </c>
      <c r="F5634" t="s">
        <v>16221</v>
      </c>
      <c r="G5634" t="s">
        <v>16241</v>
      </c>
      <c r="H5634" t="s">
        <v>16241</v>
      </c>
      <c r="I5634" t="s">
        <v>16355</v>
      </c>
      <c r="J5634" t="s">
        <v>16385</v>
      </c>
      <c r="K5634">
        <v>0.16</v>
      </c>
      <c r="L5634">
        <v>6978</v>
      </c>
      <c r="M5634">
        <v>1188</v>
      </c>
      <c r="N5634" t="s">
        <v>16393</v>
      </c>
      <c r="O5634" s="4">
        <v>45278</v>
      </c>
      <c r="P5634" s="4">
        <v>79906</v>
      </c>
      <c r="Q5634" s="4">
        <v>125184</v>
      </c>
      <c r="R5634" s="4">
        <v>375552</v>
      </c>
      <c r="S5634" t="s">
        <v>21896</v>
      </c>
      <c r="T5634" s="6">
        <v>43678</v>
      </c>
      <c r="U5634" s="4">
        <v>324000</v>
      </c>
      <c r="V5634" t="s">
        <v>23740</v>
      </c>
      <c r="W5634" t="s">
        <v>26875</v>
      </c>
      <c r="X5634" t="s">
        <v>3</v>
      </c>
      <c r="AA5634" s="5" t="str">
        <f>HYPERLINK("https://www.zillow.com/homes/550-DALTON-LN-ROSELLE-IL-601722821_rb/","check listing")</f>
        <v>check listing</v>
      </c>
      <c r="AB5634" s="5" t="str">
        <f>HYPERLINK("https://propertylookup.dupagecounty.gov/Datalets/Datalet.aspx?UseSearch=no&amp;mode=sales&amp;pin=0209209017","sales record")</f>
        <v>sales record</v>
      </c>
      <c r="AC5634" t="s">
        <v>3</v>
      </c>
      <c r="AD5634">
        <v>41.972899</v>
      </c>
      <c r="AE5634">
        <v>-88.099722</v>
      </c>
      <c r="AF5634" s="5" t="str">
        <f>HYPERLINK("https://www.google.com/maps/search/?api=1&amp;query=41.972899,-88.099722","map")</f>
        <v>map</v>
      </c>
    </row>
    <row r="5635" spans="1:32">
      <c r="A5635" t="s">
        <v>5685</v>
      </c>
      <c r="B5635" t="s">
        <v>13210</v>
      </c>
      <c r="C5635" t="s">
        <v>15830</v>
      </c>
      <c r="D5635" t="s">
        <v>16207</v>
      </c>
      <c r="E5635" t="s">
        <v>16218</v>
      </c>
      <c r="F5635" t="s">
        <v>16221</v>
      </c>
      <c r="G5635" t="s">
        <v>16241</v>
      </c>
      <c r="H5635" t="s">
        <v>16241</v>
      </c>
      <c r="I5635" t="s">
        <v>16355</v>
      </c>
      <c r="J5635" t="s">
        <v>16385</v>
      </c>
      <c r="K5635">
        <v>0.16</v>
      </c>
      <c r="L5635">
        <v>6975</v>
      </c>
      <c r="M5635">
        <v>1715</v>
      </c>
      <c r="N5635" t="s">
        <v>16393</v>
      </c>
      <c r="O5635" s="4">
        <v>45278</v>
      </c>
      <c r="P5635" s="4">
        <v>92218</v>
      </c>
      <c r="Q5635" s="4">
        <v>137496</v>
      </c>
      <c r="R5635" s="4">
        <v>412488</v>
      </c>
      <c r="S5635" t="s">
        <v>21897</v>
      </c>
      <c r="T5635" s="6">
        <v>32174</v>
      </c>
      <c r="U5635" s="4">
        <v>122500</v>
      </c>
      <c r="X5635" t="s">
        <v>3</v>
      </c>
      <c r="AA5635" s="5" t="str">
        <f>HYPERLINK("https://www.zillow.com/homes/610-KENSINGTON-CT-ROSELLE-IL-60172_rb/","check listing")</f>
        <v>check listing</v>
      </c>
      <c r="AB5635" s="5" t="str">
        <f>HYPERLINK("https://propertylookup.dupagecounty.gov/Datalets/Datalet.aspx?UseSearch=no&amp;mode=sales&amp;pin=0208204004","sales record")</f>
        <v>sales record</v>
      </c>
      <c r="AC5635" t="s">
        <v>3</v>
      </c>
      <c r="AD5635">
        <v>41.971485</v>
      </c>
      <c r="AE5635">
        <v>-88.112945</v>
      </c>
      <c r="AF5635" s="5" t="str">
        <f>HYPERLINK("https://www.google.com/maps/search/?api=1&amp;query=41.971485,-88.112945","map")</f>
        <v>map</v>
      </c>
    </row>
    <row r="5636" spans="1:32">
      <c r="A5636" t="s">
        <v>5686</v>
      </c>
      <c r="B5636" t="s">
        <v>13211</v>
      </c>
      <c r="C5636" t="s">
        <v>15830</v>
      </c>
      <c r="D5636" t="s">
        <v>16207</v>
      </c>
      <c r="E5636" t="s">
        <v>16218</v>
      </c>
      <c r="F5636" t="s">
        <v>16221</v>
      </c>
      <c r="G5636" t="s">
        <v>16241</v>
      </c>
      <c r="H5636" t="s">
        <v>16241</v>
      </c>
      <c r="I5636" t="s">
        <v>16355</v>
      </c>
      <c r="J5636" t="s">
        <v>16385</v>
      </c>
      <c r="K5636">
        <v>0.16</v>
      </c>
      <c r="L5636">
        <v>6974</v>
      </c>
      <c r="M5636">
        <v>1716</v>
      </c>
      <c r="N5636" t="s">
        <v>16393</v>
      </c>
      <c r="O5636" s="4">
        <v>45278</v>
      </c>
      <c r="P5636" s="4">
        <v>88918</v>
      </c>
      <c r="Q5636" s="4">
        <v>134196</v>
      </c>
      <c r="R5636" s="4">
        <v>402588</v>
      </c>
      <c r="S5636" t="s">
        <v>21898</v>
      </c>
      <c r="T5636" s="6">
        <v>43586</v>
      </c>
      <c r="U5636" s="4">
        <v>319500</v>
      </c>
      <c r="V5636" t="s">
        <v>23740</v>
      </c>
      <c r="W5636" t="s">
        <v>26876</v>
      </c>
      <c r="X5636" t="s">
        <v>3</v>
      </c>
      <c r="AA5636" s="5" t="str">
        <f>HYPERLINK("https://www.zillow.com/homes/840-W-BRYN-MAWR-AVE-ROSELLE-IL-60172_rb/","check listing")</f>
        <v>check listing</v>
      </c>
      <c r="AB5636" s="5" t="str">
        <f>HYPERLINK("https://propertylookup.dupagecounty.gov/Datalets/Datalet.aspx?UseSearch=no&amp;mode=sales&amp;pin=0209116015","sales record")</f>
        <v>sales record</v>
      </c>
      <c r="AC5636" t="s">
        <v>3</v>
      </c>
      <c r="AD5636">
        <v>41.974124</v>
      </c>
      <c r="AE5636">
        <v>-88.101584</v>
      </c>
      <c r="AF5636" s="5" t="str">
        <f>HYPERLINK("https://www.google.com/maps/search/?api=1&amp;query=41.974124,-88.101584","map")</f>
        <v>map</v>
      </c>
    </row>
    <row r="5637" spans="1:32">
      <c r="A5637" t="s">
        <v>5687</v>
      </c>
      <c r="B5637" t="s">
        <v>13212</v>
      </c>
      <c r="C5637" t="s">
        <v>15830</v>
      </c>
      <c r="D5637" t="s">
        <v>16207</v>
      </c>
      <c r="E5637" t="s">
        <v>16218</v>
      </c>
      <c r="F5637" t="s">
        <v>16221</v>
      </c>
      <c r="G5637" t="s">
        <v>16241</v>
      </c>
      <c r="H5637" t="s">
        <v>16241</v>
      </c>
      <c r="I5637" t="s">
        <v>16355</v>
      </c>
      <c r="J5637" t="s">
        <v>16385</v>
      </c>
      <c r="K5637">
        <v>0.16</v>
      </c>
      <c r="L5637">
        <v>6963</v>
      </c>
      <c r="M5637">
        <v>1847</v>
      </c>
      <c r="N5637" t="s">
        <v>16393</v>
      </c>
      <c r="O5637" s="4">
        <v>45278</v>
      </c>
      <c r="P5637" s="4">
        <v>93258</v>
      </c>
      <c r="Q5637" s="4">
        <v>138536</v>
      </c>
      <c r="R5637" s="4">
        <v>415608</v>
      </c>
      <c r="S5637" t="s">
        <v>21899</v>
      </c>
      <c r="T5637" s="6">
        <v>31898</v>
      </c>
      <c r="U5637" s="4">
        <v>121000</v>
      </c>
      <c r="X5637" t="s">
        <v>3</v>
      </c>
      <c r="AA5637" s="5" t="str">
        <f>HYPERLINK("https://www.zillow.com/homes/875-BRANDYWINE-DR-ROSELLE-IL-60172_rb/","check listing")</f>
        <v>check listing</v>
      </c>
      <c r="AB5637" s="5" t="str">
        <f>HYPERLINK("https://propertylookup.dupagecounty.gov/Datalets/Datalet.aspx?UseSearch=no&amp;mode=sales&amp;pin=0209115007","sales record")</f>
        <v>sales record</v>
      </c>
      <c r="AC5637" t="s">
        <v>3</v>
      </c>
      <c r="AD5637">
        <v>41.975016</v>
      </c>
      <c r="AE5637">
        <v>-88.10243</v>
      </c>
      <c r="AF5637" s="5" t="str">
        <f>HYPERLINK("https://www.google.com/maps/search/?api=1&amp;query=41.975016,-88.10243","map")</f>
        <v>map</v>
      </c>
    </row>
    <row r="5638" spans="1:32">
      <c r="A5638" t="s">
        <v>5688</v>
      </c>
      <c r="B5638" t="s">
        <v>13213</v>
      </c>
      <c r="C5638" t="s">
        <v>15830</v>
      </c>
      <c r="D5638" t="s">
        <v>16207</v>
      </c>
      <c r="E5638" t="s">
        <v>16218</v>
      </c>
      <c r="F5638" t="s">
        <v>16221</v>
      </c>
      <c r="G5638" t="s">
        <v>16241</v>
      </c>
      <c r="H5638" t="s">
        <v>16241</v>
      </c>
      <c r="I5638" t="s">
        <v>16355</v>
      </c>
      <c r="J5638" t="s">
        <v>16385</v>
      </c>
      <c r="K5638">
        <v>0.16</v>
      </c>
      <c r="L5638">
        <v>6963</v>
      </c>
      <c r="M5638">
        <v>1715</v>
      </c>
      <c r="N5638" t="s">
        <v>16393</v>
      </c>
      <c r="O5638" s="4">
        <v>45278</v>
      </c>
      <c r="P5638" s="4">
        <v>88548</v>
      </c>
      <c r="Q5638" s="4">
        <v>133826</v>
      </c>
      <c r="R5638" s="4">
        <v>401478</v>
      </c>
      <c r="S5638" t="s">
        <v>21900</v>
      </c>
      <c r="T5638" s="6">
        <v>34851</v>
      </c>
      <c r="U5638" s="4">
        <v>141500</v>
      </c>
      <c r="X5638" t="s">
        <v>3</v>
      </c>
      <c r="AA5638" s="5" t="str">
        <f>HYPERLINK("https://www.zillow.com/homes/300-STOCKPORT-CT-ROSELLE-IL-60172_rb/","check listing")</f>
        <v>check listing</v>
      </c>
      <c r="AB5638" s="5" t="str">
        <f>HYPERLINK("https://propertylookup.dupagecounty.gov/Datalets/Datalet.aspx?UseSearch=no&amp;mode=sales&amp;pin=0205406004","sales record")</f>
        <v>sales record</v>
      </c>
      <c r="AC5638" t="s">
        <v>3</v>
      </c>
      <c r="AD5638">
        <v>41.977165</v>
      </c>
      <c r="AE5638">
        <v>-88.11292899999999</v>
      </c>
      <c r="AF5638" s="5" t="str">
        <f>HYPERLINK("https://www.google.com/maps/search/?api=1&amp;query=41.977165,-88.112929","map")</f>
        <v>map</v>
      </c>
    </row>
    <row r="5639" spans="1:32">
      <c r="A5639" t="s">
        <v>5689</v>
      </c>
      <c r="B5639" t="s">
        <v>13214</v>
      </c>
      <c r="C5639" t="s">
        <v>15830</v>
      </c>
      <c r="D5639" t="s">
        <v>16207</v>
      </c>
      <c r="E5639" t="s">
        <v>16218</v>
      </c>
      <c r="F5639" t="s">
        <v>16221</v>
      </c>
      <c r="G5639" t="s">
        <v>16241</v>
      </c>
      <c r="H5639" t="s">
        <v>16241</v>
      </c>
      <c r="I5639" t="s">
        <v>16355</v>
      </c>
      <c r="J5639" t="s">
        <v>16385</v>
      </c>
      <c r="K5639">
        <v>0.16</v>
      </c>
      <c r="L5639">
        <v>6962</v>
      </c>
      <c r="M5639">
        <v>2144</v>
      </c>
      <c r="N5639" t="s">
        <v>16393</v>
      </c>
      <c r="O5639" s="4">
        <v>45278</v>
      </c>
      <c r="P5639" s="4">
        <v>111020</v>
      </c>
      <c r="Q5639" s="4">
        <v>156298</v>
      </c>
      <c r="R5639" s="4">
        <v>468894</v>
      </c>
      <c r="S5639" t="s">
        <v>21901</v>
      </c>
      <c r="T5639" s="6">
        <v>37834</v>
      </c>
      <c r="U5639" s="4">
        <v>309000</v>
      </c>
      <c r="V5639" t="s">
        <v>23739</v>
      </c>
      <c r="W5639" t="s">
        <v>26877</v>
      </c>
      <c r="X5639" t="s">
        <v>3</v>
      </c>
      <c r="AA5639" s="5" t="str">
        <f>HYPERLINK("https://www.zillow.com/homes/185-CHATHAM-LN-ROSELLE-IL-60172_rb/","check listing")</f>
        <v>check listing</v>
      </c>
      <c r="AB5639" s="5" t="str">
        <f>HYPERLINK("https://propertylookup.dupagecounty.gov/Datalets/Datalet.aspx?UseSearch=no&amp;mode=sales&amp;pin=0205404002","sales record")</f>
        <v>sales record</v>
      </c>
      <c r="AC5639" t="s">
        <v>3</v>
      </c>
      <c r="AD5639">
        <v>41.979182</v>
      </c>
      <c r="AE5639">
        <v>-88.114467</v>
      </c>
      <c r="AF5639" s="5" t="str">
        <f>HYPERLINK("https://www.google.com/maps/search/?api=1&amp;query=41.979182,-88.114467","map")</f>
        <v>map</v>
      </c>
    </row>
    <row r="5640" spans="1:32">
      <c r="A5640" t="s">
        <v>5690</v>
      </c>
      <c r="B5640" t="s">
        <v>13215</v>
      </c>
      <c r="C5640" t="s">
        <v>15830</v>
      </c>
      <c r="D5640" t="s">
        <v>16207</v>
      </c>
      <c r="E5640" t="s">
        <v>16218</v>
      </c>
      <c r="F5640" t="s">
        <v>16221</v>
      </c>
      <c r="G5640" t="s">
        <v>16241</v>
      </c>
      <c r="H5640" t="s">
        <v>16241</v>
      </c>
      <c r="I5640" t="s">
        <v>16355</v>
      </c>
      <c r="J5640" t="s">
        <v>16385</v>
      </c>
      <c r="K5640">
        <v>0.16</v>
      </c>
      <c r="L5640">
        <v>6962</v>
      </c>
      <c r="M5640">
        <v>1847</v>
      </c>
      <c r="N5640" t="s">
        <v>16393</v>
      </c>
      <c r="O5640" s="4">
        <v>45278</v>
      </c>
      <c r="P5640" s="4">
        <v>84711</v>
      </c>
      <c r="Q5640" s="4">
        <v>129989</v>
      </c>
      <c r="R5640" s="4">
        <v>389967</v>
      </c>
      <c r="S5640" t="s">
        <v>21902</v>
      </c>
      <c r="T5640" s="6">
        <v>45486</v>
      </c>
      <c r="U5640" s="4">
        <v>460000</v>
      </c>
      <c r="V5640" t="s">
        <v>23739</v>
      </c>
      <c r="W5640" t="s">
        <v>26878</v>
      </c>
      <c r="X5640" t="s">
        <v>3</v>
      </c>
      <c r="AA5640" s="5" t="str">
        <f>HYPERLINK("https://www.zillow.com/homes/1170-COLONY-LN-ROSELLE-IL-60172_rb/","check listing")</f>
        <v>check listing</v>
      </c>
      <c r="AB5640" s="5" t="str">
        <f>HYPERLINK("https://propertylookup.dupagecounty.gov/Datalets/Datalet.aspx?UseSearch=no&amp;mode=sales&amp;pin=0204312012","sales record")</f>
        <v>sales record</v>
      </c>
      <c r="AC5640" t="s">
        <v>3</v>
      </c>
      <c r="AD5640">
        <v>41.980097</v>
      </c>
      <c r="AE5640">
        <v>-88.109645</v>
      </c>
      <c r="AF5640" s="5" t="str">
        <f>HYPERLINK("https://www.google.com/maps/search/?api=1&amp;query=41.980097,-88.109645","map")</f>
        <v>map</v>
      </c>
    </row>
    <row r="5641" spans="1:32">
      <c r="A5641" t="s">
        <v>5691</v>
      </c>
      <c r="B5641" t="s">
        <v>13216</v>
      </c>
      <c r="C5641" t="s">
        <v>15830</v>
      </c>
      <c r="D5641" t="s">
        <v>16207</v>
      </c>
      <c r="E5641" t="s">
        <v>16218</v>
      </c>
      <c r="F5641" t="s">
        <v>16221</v>
      </c>
      <c r="G5641" t="s">
        <v>16241</v>
      </c>
      <c r="H5641" t="s">
        <v>16241</v>
      </c>
      <c r="I5641" t="s">
        <v>16355</v>
      </c>
      <c r="J5641" t="s">
        <v>16385</v>
      </c>
      <c r="K5641">
        <v>0.16</v>
      </c>
      <c r="L5641">
        <v>6957</v>
      </c>
      <c r="M5641">
        <v>2144</v>
      </c>
      <c r="N5641" t="s">
        <v>16393</v>
      </c>
      <c r="O5641" s="4">
        <v>45278</v>
      </c>
      <c r="P5641" s="4">
        <v>107601</v>
      </c>
      <c r="Q5641" s="4">
        <v>152879</v>
      </c>
      <c r="R5641" s="4">
        <v>458637</v>
      </c>
      <c r="S5641" t="s">
        <v>21903</v>
      </c>
      <c r="T5641" s="6">
        <v>41883</v>
      </c>
      <c r="U5641" s="4">
        <v>325000</v>
      </c>
      <c r="V5641" t="s">
        <v>23739</v>
      </c>
      <c r="W5641" t="s">
        <v>26879</v>
      </c>
      <c r="X5641" t="s">
        <v>3</v>
      </c>
      <c r="AA5641" s="5" t="str">
        <f>HYPERLINK("https://www.zillow.com/homes/95-CHATHAM-LN-ROSELLE-IL-60172_rb/","check listing")</f>
        <v>check listing</v>
      </c>
      <c r="AB5641" s="5" t="str">
        <f>HYPERLINK("https://propertylookup.dupagecounty.gov/Datalets/Datalet.aspx?UseSearch=no&amp;mode=sales&amp;pin=0205402002","sales record")</f>
        <v>sales record</v>
      </c>
      <c r="AC5641" t="s">
        <v>3</v>
      </c>
      <c r="AD5641">
        <v>41.980805</v>
      </c>
      <c r="AE5641">
        <v>-88.114527</v>
      </c>
      <c r="AF5641" s="5" t="str">
        <f>HYPERLINK("https://www.google.com/maps/search/?api=1&amp;query=41.980805,-88.114527","map")</f>
        <v>map</v>
      </c>
    </row>
    <row r="5642" spans="1:32">
      <c r="A5642" t="s">
        <v>5692</v>
      </c>
      <c r="B5642" t="s">
        <v>13217</v>
      </c>
      <c r="C5642" t="s">
        <v>15830</v>
      </c>
      <c r="D5642" t="s">
        <v>16207</v>
      </c>
      <c r="E5642" t="s">
        <v>16218</v>
      </c>
      <c r="F5642" t="s">
        <v>16221</v>
      </c>
      <c r="G5642" t="s">
        <v>16241</v>
      </c>
      <c r="H5642" t="s">
        <v>16241</v>
      </c>
      <c r="I5642" t="s">
        <v>16355</v>
      </c>
      <c r="J5642" t="s">
        <v>16385</v>
      </c>
      <c r="K5642">
        <v>0.16</v>
      </c>
      <c r="L5642">
        <v>6954</v>
      </c>
      <c r="M5642">
        <v>1582</v>
      </c>
      <c r="N5642" t="s">
        <v>16393</v>
      </c>
      <c r="O5642" s="4">
        <v>38692</v>
      </c>
      <c r="P5642" s="4">
        <v>89480</v>
      </c>
      <c r="Q5642" s="4">
        <v>128172</v>
      </c>
      <c r="R5642" s="4">
        <v>384516</v>
      </c>
      <c r="S5642" t="s">
        <v>21904</v>
      </c>
      <c r="T5642" s="6">
        <v>44378</v>
      </c>
      <c r="U5642" s="4">
        <v>325000</v>
      </c>
      <c r="V5642" t="s">
        <v>23739</v>
      </c>
      <c r="W5642" t="s">
        <v>21904</v>
      </c>
      <c r="X5642" t="s">
        <v>3</v>
      </c>
      <c r="AA5642" s="5" t="str">
        <f>HYPERLINK("https://www.zillow.com/homes/684-FOXDALE-CT-ROSELLE-IL-60172_rb/","check listing")</f>
        <v>check listing</v>
      </c>
      <c r="AB5642" s="5" t="str">
        <f>HYPERLINK("https://propertylookup.dupagecounty.gov/Datalets/Datalet.aspx?UseSearch=no&amp;mode=sales&amp;pin=0208215011","sales record")</f>
        <v>sales record</v>
      </c>
      <c r="AC5642" t="s">
        <v>3</v>
      </c>
      <c r="AD5642">
        <v>41.970385</v>
      </c>
      <c r="AE5642">
        <v>-88.110719</v>
      </c>
      <c r="AF5642" s="5" t="str">
        <f>HYPERLINK("https://www.google.com/maps/search/?api=1&amp;query=41.970385,-88.110719","map")</f>
        <v>map</v>
      </c>
    </row>
    <row r="5643" spans="1:32">
      <c r="A5643" t="s">
        <v>5693</v>
      </c>
      <c r="B5643" t="s">
        <v>13218</v>
      </c>
      <c r="C5643" t="s">
        <v>15830</v>
      </c>
      <c r="D5643" t="s">
        <v>16207</v>
      </c>
      <c r="E5643" t="s">
        <v>16218</v>
      </c>
      <c r="F5643" t="s">
        <v>16221</v>
      </c>
      <c r="G5643" t="s">
        <v>16241</v>
      </c>
      <c r="H5643" t="s">
        <v>16241</v>
      </c>
      <c r="I5643" t="s">
        <v>16355</v>
      </c>
      <c r="J5643" t="s">
        <v>16385</v>
      </c>
      <c r="K5643">
        <v>0.16</v>
      </c>
      <c r="L5643">
        <v>6952</v>
      </c>
      <c r="M5643">
        <v>1484</v>
      </c>
      <c r="N5643" t="s">
        <v>16393</v>
      </c>
      <c r="O5643" s="4">
        <v>45278</v>
      </c>
      <c r="P5643" s="4">
        <v>109573</v>
      </c>
      <c r="Q5643" s="4">
        <v>154851</v>
      </c>
      <c r="R5643" s="4">
        <v>464553</v>
      </c>
      <c r="S5643" t="s">
        <v>21905</v>
      </c>
      <c r="T5643" s="6">
        <v>38261</v>
      </c>
      <c r="U5643" s="4">
        <v>250000</v>
      </c>
      <c r="V5643" t="s">
        <v>23739</v>
      </c>
      <c r="W5643" t="s">
        <v>26880</v>
      </c>
      <c r="X5643" t="s">
        <v>3</v>
      </c>
      <c r="AA5643" s="5" t="str">
        <f>HYPERLINK("https://www.zillow.com/homes/1315-BRISTOL-CT-ROSELLE-IL-60172_rb/","check listing")</f>
        <v>check listing</v>
      </c>
      <c r="AB5643" s="5" t="str">
        <f>HYPERLINK("https://propertylookup.dupagecounty.gov/Datalets/Datalet.aspx?UseSearch=no&amp;mode=sales&amp;pin=0205404006","sales record")</f>
        <v>sales record</v>
      </c>
      <c r="AC5643" t="s">
        <v>3</v>
      </c>
      <c r="AD5643">
        <v>41.979347</v>
      </c>
      <c r="AE5643">
        <v>-88.11418500000001</v>
      </c>
      <c r="AF5643" s="5" t="str">
        <f>HYPERLINK("https://www.google.com/maps/search/?api=1&amp;query=41.979347,-88.114185","map")</f>
        <v>map</v>
      </c>
    </row>
    <row r="5644" spans="1:32">
      <c r="A5644" t="s">
        <v>5694</v>
      </c>
      <c r="B5644" t="s">
        <v>13219</v>
      </c>
      <c r="C5644" t="s">
        <v>15830</v>
      </c>
      <c r="D5644" t="s">
        <v>16207</v>
      </c>
      <c r="E5644" t="s">
        <v>16218</v>
      </c>
      <c r="F5644" t="s">
        <v>16221</v>
      </c>
      <c r="G5644" t="s">
        <v>16241</v>
      </c>
      <c r="H5644" t="s">
        <v>16241</v>
      </c>
      <c r="I5644" t="s">
        <v>16355</v>
      </c>
      <c r="J5644" t="s">
        <v>16385</v>
      </c>
      <c r="K5644">
        <v>0.16</v>
      </c>
      <c r="L5644">
        <v>6948</v>
      </c>
      <c r="M5644">
        <v>1715</v>
      </c>
      <c r="N5644" t="s">
        <v>16393</v>
      </c>
      <c r="O5644" s="4">
        <v>45278</v>
      </c>
      <c r="P5644" s="4">
        <v>95397</v>
      </c>
      <c r="Q5644" s="4">
        <v>140675</v>
      </c>
      <c r="R5644" s="4">
        <v>422025</v>
      </c>
      <c r="S5644" t="s">
        <v>21906</v>
      </c>
      <c r="T5644" s="6">
        <v>33848</v>
      </c>
      <c r="U5644" s="4">
        <v>155500</v>
      </c>
      <c r="X5644" t="s">
        <v>3</v>
      </c>
      <c r="AA5644" s="5" t="str">
        <f>HYPERLINK("https://www.zillow.com/homes/925-BRANDYWINE-DR-ROSELLE-IL-60172_rb/","check listing")</f>
        <v>check listing</v>
      </c>
      <c r="AB5644" s="5" t="str">
        <f>HYPERLINK("https://propertylookup.dupagecounty.gov/Datalets/Datalet.aspx?UseSearch=no&amp;mode=sales&amp;pin=0209115002","sales record")</f>
        <v>sales record</v>
      </c>
      <c r="AC5644" t="s">
        <v>3</v>
      </c>
      <c r="AD5644">
        <v>41.97497</v>
      </c>
      <c r="AE5644">
        <v>-88.10364199999999</v>
      </c>
      <c r="AF5644" s="5" t="str">
        <f>HYPERLINK("https://www.google.com/maps/search/?api=1&amp;query=41.97497,-88.103642","map")</f>
        <v>map</v>
      </c>
    </row>
    <row r="5645" spans="1:32">
      <c r="A5645" t="s">
        <v>5695</v>
      </c>
      <c r="B5645" t="s">
        <v>13220</v>
      </c>
      <c r="C5645" t="s">
        <v>15830</v>
      </c>
      <c r="D5645" t="s">
        <v>16207</v>
      </c>
      <c r="E5645" t="s">
        <v>16218</v>
      </c>
      <c r="F5645" t="s">
        <v>16221</v>
      </c>
      <c r="G5645" t="s">
        <v>16241</v>
      </c>
      <c r="H5645" t="s">
        <v>16241</v>
      </c>
      <c r="I5645" t="s">
        <v>16355</v>
      </c>
      <c r="J5645" t="s">
        <v>16385</v>
      </c>
      <c r="K5645">
        <v>0.159</v>
      </c>
      <c r="L5645">
        <v>6947</v>
      </c>
      <c r="M5645">
        <v>2237</v>
      </c>
      <c r="N5645" t="s">
        <v>16393</v>
      </c>
      <c r="O5645" s="4">
        <v>45278</v>
      </c>
      <c r="P5645" s="4">
        <v>71312</v>
      </c>
      <c r="Q5645" s="4">
        <v>116590</v>
      </c>
      <c r="R5645" s="4">
        <v>349770</v>
      </c>
      <c r="S5645" t="s">
        <v>21907</v>
      </c>
      <c r="T5645" s="6">
        <v>30682</v>
      </c>
      <c r="U5645" s="4">
        <v>77500</v>
      </c>
      <c r="X5645" t="s">
        <v>3</v>
      </c>
      <c r="AA5645" s="5" t="str">
        <f>HYPERLINK("https://www.zillow.com/homes/1320-BRISTOL-CT-ROSELLE-IL-60172_rb/","check listing")</f>
        <v>check listing</v>
      </c>
      <c r="AB5645" s="5" t="str">
        <f>HYPERLINK("https://propertylookup.dupagecounty.gov/Datalets/Datalet.aspx?UseSearch=no&amp;mode=sales&amp;pin=0205403010","sales record")</f>
        <v>sales record</v>
      </c>
      <c r="AC5645" t="s">
        <v>3</v>
      </c>
      <c r="AD5645">
        <v>41.979814</v>
      </c>
      <c r="AE5645">
        <v>-88.11424599999999</v>
      </c>
      <c r="AF5645" s="5" t="str">
        <f>HYPERLINK("https://www.google.com/maps/search/?api=1&amp;query=41.979814,-88.114246","map")</f>
        <v>map</v>
      </c>
    </row>
    <row r="5646" spans="1:32">
      <c r="A5646" t="s">
        <v>5696</v>
      </c>
      <c r="B5646" t="s">
        <v>13221</v>
      </c>
      <c r="C5646" t="s">
        <v>15830</v>
      </c>
      <c r="D5646" t="s">
        <v>16207</v>
      </c>
      <c r="E5646" t="s">
        <v>16218</v>
      </c>
      <c r="F5646" t="s">
        <v>16221</v>
      </c>
      <c r="G5646" t="s">
        <v>16241</v>
      </c>
      <c r="H5646" t="s">
        <v>16241</v>
      </c>
      <c r="I5646" t="s">
        <v>16355</v>
      </c>
      <c r="J5646" t="s">
        <v>16385</v>
      </c>
      <c r="K5646">
        <v>0.159</v>
      </c>
      <c r="L5646">
        <v>6944</v>
      </c>
      <c r="M5646">
        <v>2507</v>
      </c>
      <c r="N5646" t="s">
        <v>16393</v>
      </c>
      <c r="O5646" s="4">
        <v>45278</v>
      </c>
      <c r="P5646" s="4">
        <v>77994</v>
      </c>
      <c r="Q5646" s="4">
        <v>123272</v>
      </c>
      <c r="R5646" s="4">
        <v>369816</v>
      </c>
      <c r="S5646" t="s">
        <v>21908</v>
      </c>
      <c r="T5646" s="6">
        <v>46045</v>
      </c>
      <c r="U5646" s="4">
        <v>395000</v>
      </c>
      <c r="V5646" t="s">
        <v>23741</v>
      </c>
      <c r="W5646" t="s">
        <v>26881</v>
      </c>
      <c r="X5646" t="s">
        <v>3</v>
      </c>
      <c r="AA5646" s="5" t="str">
        <f>HYPERLINK("https://www.zillow.com/homes/1165-HYGATE-DR-ROSELLE-IL-60172_rb/","check listing")</f>
        <v>check listing</v>
      </c>
      <c r="AB5646" s="5" t="str">
        <f>HYPERLINK("https://propertylookup.dupagecounty.gov/Datalets/Datalet.aspx?UseSearch=no&amp;mode=sales&amp;pin=0204312005","sales record")</f>
        <v>sales record</v>
      </c>
      <c r="AC5646" t="s">
        <v>3</v>
      </c>
      <c r="AD5646">
        <v>41.980388</v>
      </c>
      <c r="AE5646">
        <v>-88.10983400000001</v>
      </c>
      <c r="AF5646" s="5" t="str">
        <f>HYPERLINK("https://www.google.com/maps/search/?api=1&amp;query=41.980388,-88.109834","map")</f>
        <v>map</v>
      </c>
    </row>
    <row r="5647" spans="1:32">
      <c r="A5647" t="s">
        <v>5697</v>
      </c>
      <c r="B5647" t="s">
        <v>13222</v>
      </c>
      <c r="C5647" t="s">
        <v>15830</v>
      </c>
      <c r="D5647" t="s">
        <v>16207</v>
      </c>
      <c r="E5647" t="s">
        <v>16218</v>
      </c>
      <c r="F5647" t="s">
        <v>16221</v>
      </c>
      <c r="G5647" t="s">
        <v>16241</v>
      </c>
      <c r="H5647" t="s">
        <v>16241</v>
      </c>
      <c r="I5647" t="s">
        <v>16355</v>
      </c>
      <c r="J5647" t="s">
        <v>16385</v>
      </c>
      <c r="K5647">
        <v>0.159</v>
      </c>
      <c r="L5647">
        <v>6939</v>
      </c>
      <c r="M5647">
        <v>1406</v>
      </c>
      <c r="N5647" t="s">
        <v>16393</v>
      </c>
      <c r="O5647" s="4">
        <v>38692</v>
      </c>
      <c r="P5647" s="4">
        <v>79607</v>
      </c>
      <c r="Q5647" s="4">
        <v>118299</v>
      </c>
      <c r="R5647" s="4">
        <v>354897</v>
      </c>
      <c r="S5647" t="s">
        <v>21909</v>
      </c>
      <c r="T5647" s="6">
        <v>39995</v>
      </c>
      <c r="U5647" s="4">
        <v>232500</v>
      </c>
      <c r="V5647" t="s">
        <v>23739</v>
      </c>
      <c r="W5647" t="s">
        <v>21909</v>
      </c>
      <c r="X5647" t="s">
        <v>3</v>
      </c>
      <c r="AA5647" s="5" t="str">
        <f>HYPERLINK("https://www.zillow.com/homes/628-STAFFORD-DR-ROSELLE-IL-60172_rb/","check listing")</f>
        <v>check listing</v>
      </c>
      <c r="AB5647" s="5" t="str">
        <f>HYPERLINK("https://propertylookup.dupagecounty.gov/Datalets/Datalet.aspx?UseSearch=no&amp;mode=sales&amp;pin=0209119027","sales record")</f>
        <v>sales record</v>
      </c>
      <c r="AC5647" t="s">
        <v>3</v>
      </c>
      <c r="AD5647">
        <v>41.971706</v>
      </c>
      <c r="AE5647">
        <v>-88.109649</v>
      </c>
      <c r="AF5647" s="5" t="str">
        <f>HYPERLINK("https://www.google.com/maps/search/?api=1&amp;query=41.971706,-88.109649","map")</f>
        <v>map</v>
      </c>
    </row>
    <row r="5648" spans="1:32">
      <c r="A5648" t="s">
        <v>5698</v>
      </c>
      <c r="B5648" t="s">
        <v>13223</v>
      </c>
      <c r="C5648" t="s">
        <v>15830</v>
      </c>
      <c r="D5648" t="s">
        <v>16207</v>
      </c>
      <c r="E5648" t="s">
        <v>16218</v>
      </c>
      <c r="F5648" t="s">
        <v>16221</v>
      </c>
      <c r="G5648" t="s">
        <v>16241</v>
      </c>
      <c r="H5648" t="s">
        <v>16241</v>
      </c>
      <c r="I5648" t="s">
        <v>16355</v>
      </c>
      <c r="J5648" t="s">
        <v>16385</v>
      </c>
      <c r="K5648">
        <v>0.159</v>
      </c>
      <c r="L5648">
        <v>6938</v>
      </c>
      <c r="M5648">
        <v>1319</v>
      </c>
      <c r="N5648" t="s">
        <v>16393</v>
      </c>
      <c r="O5648" s="4">
        <v>38692</v>
      </c>
      <c r="P5648" s="4">
        <v>80002</v>
      </c>
      <c r="Q5648" s="4">
        <v>118694</v>
      </c>
      <c r="R5648" s="4">
        <v>356082</v>
      </c>
      <c r="S5648" t="s">
        <v>21910</v>
      </c>
      <c r="T5648" s="6">
        <v>42156</v>
      </c>
      <c r="U5648" s="4">
        <v>246500</v>
      </c>
      <c r="V5648" t="s">
        <v>23739</v>
      </c>
      <c r="W5648" t="s">
        <v>21910</v>
      </c>
      <c r="X5648" t="s">
        <v>3</v>
      </c>
      <c r="AA5648" s="5" t="str">
        <f>HYPERLINK("https://www.zillow.com/homes/480-OXFORD-PL-ROSELLE-IL-60172_rb/","check listing")</f>
        <v>check listing</v>
      </c>
      <c r="AB5648" s="5" t="str">
        <f>HYPERLINK("https://propertylookup.dupagecounty.gov/Datalets/Datalet.aspx?UseSearch=no&amp;mode=sales&amp;pin=0209106018","sales record")</f>
        <v>sales record</v>
      </c>
      <c r="AC5648" t="s">
        <v>3</v>
      </c>
      <c r="AD5648">
        <v>41.974388</v>
      </c>
      <c r="AE5648">
        <v>-88.109644</v>
      </c>
      <c r="AF5648" s="5" t="str">
        <f>HYPERLINK("https://www.google.com/maps/search/?api=1&amp;query=41.974388,-88.109644","map")</f>
        <v>map</v>
      </c>
    </row>
    <row r="5649" spans="1:32">
      <c r="A5649" t="s">
        <v>5699</v>
      </c>
      <c r="B5649" t="s">
        <v>13224</v>
      </c>
      <c r="C5649" t="s">
        <v>15830</v>
      </c>
      <c r="D5649" t="s">
        <v>16207</v>
      </c>
      <c r="E5649" t="s">
        <v>16218</v>
      </c>
      <c r="F5649" t="s">
        <v>16221</v>
      </c>
      <c r="G5649" t="s">
        <v>16241</v>
      </c>
      <c r="H5649" t="s">
        <v>16241</v>
      </c>
      <c r="I5649" t="s">
        <v>16355</v>
      </c>
      <c r="J5649" t="s">
        <v>16385</v>
      </c>
      <c r="K5649">
        <v>0.159</v>
      </c>
      <c r="L5649">
        <v>6936</v>
      </c>
      <c r="M5649">
        <v>1452</v>
      </c>
      <c r="N5649" t="s">
        <v>16393</v>
      </c>
      <c r="O5649" s="4">
        <v>38692</v>
      </c>
      <c r="P5649" s="4">
        <v>83839</v>
      </c>
      <c r="Q5649" s="4">
        <v>122531</v>
      </c>
      <c r="R5649" s="4">
        <v>367593</v>
      </c>
      <c r="S5649" t="s">
        <v>21911</v>
      </c>
      <c r="T5649" s="6">
        <v>40969</v>
      </c>
      <c r="U5649" s="4">
        <v>174900</v>
      </c>
      <c r="V5649" t="s">
        <v>16232</v>
      </c>
      <c r="W5649" t="s">
        <v>26882</v>
      </c>
      <c r="X5649" t="s">
        <v>3</v>
      </c>
      <c r="AA5649" s="5" t="str">
        <f>HYPERLINK("https://www.zillow.com/homes/1231-W-BRYN-MAWR-AVE-ROSELLE-IL-60172_rb/","check listing")</f>
        <v>check listing</v>
      </c>
      <c r="AB5649" s="5" t="str">
        <f>HYPERLINK("https://propertylookup.dupagecounty.gov/Datalets/Datalet.aspx?UseSearch=no&amp;mode=sales&amp;pin=0208205014","sales record")</f>
        <v>sales record</v>
      </c>
      <c r="AC5649" t="s">
        <v>3</v>
      </c>
      <c r="AD5649">
        <v>41.971364</v>
      </c>
      <c r="AE5649">
        <v>-88.111701</v>
      </c>
      <c r="AF5649" s="5" t="str">
        <f>HYPERLINK("https://www.google.com/maps/search/?api=1&amp;query=41.971364,-88.111701","map")</f>
        <v>map</v>
      </c>
    </row>
    <row r="5650" spans="1:32">
      <c r="A5650" t="s">
        <v>5700</v>
      </c>
      <c r="B5650" t="s">
        <v>13225</v>
      </c>
      <c r="C5650" t="s">
        <v>15830</v>
      </c>
      <c r="D5650" t="s">
        <v>16207</v>
      </c>
      <c r="E5650" t="s">
        <v>16218</v>
      </c>
      <c r="F5650" t="s">
        <v>16221</v>
      </c>
      <c r="G5650" t="s">
        <v>16241</v>
      </c>
      <c r="H5650" t="s">
        <v>16241</v>
      </c>
      <c r="I5650" t="s">
        <v>16355</v>
      </c>
      <c r="J5650" t="s">
        <v>16385</v>
      </c>
      <c r="K5650">
        <v>0.159</v>
      </c>
      <c r="L5650">
        <v>6935</v>
      </c>
      <c r="M5650">
        <v>1978</v>
      </c>
      <c r="N5650" t="s">
        <v>16393</v>
      </c>
      <c r="O5650" s="4">
        <v>38692</v>
      </c>
      <c r="P5650" s="4">
        <v>80097</v>
      </c>
      <c r="Q5650" s="4">
        <v>118789</v>
      </c>
      <c r="R5650" s="4">
        <v>356367</v>
      </c>
      <c r="S5650" t="s">
        <v>21912</v>
      </c>
      <c r="T5650" s="6">
        <v>37316</v>
      </c>
      <c r="U5650" s="4">
        <v>180000</v>
      </c>
      <c r="V5650" t="s">
        <v>23739</v>
      </c>
      <c r="W5650" t="s">
        <v>26883</v>
      </c>
      <c r="X5650" t="s">
        <v>3</v>
      </c>
      <c r="AA5650" s="5" t="str">
        <f>HYPERLINK("https://www.zillow.com/homes/1241-BRYN-MAWR-AVE-ROSELLE-IL-60172_rb/","check listing")</f>
        <v>check listing</v>
      </c>
      <c r="AB5650" s="5" t="str">
        <f>HYPERLINK("https://propertylookup.dupagecounty.gov/Datalets/Datalet.aspx?UseSearch=no&amp;mode=sales&amp;pin=0208205013","sales record")</f>
        <v>sales record</v>
      </c>
      <c r="AC5650" t="s">
        <v>3</v>
      </c>
      <c r="AD5650">
        <v>41.971249</v>
      </c>
      <c r="AE5650">
        <v>-88.111898</v>
      </c>
      <c r="AF5650" s="5" t="str">
        <f>HYPERLINK("https://www.google.com/maps/search/?api=1&amp;query=41.971249,-88.111898","map")</f>
        <v>map</v>
      </c>
    </row>
    <row r="5651" spans="1:32">
      <c r="A5651" t="s">
        <v>5701</v>
      </c>
      <c r="B5651" t="s">
        <v>13226</v>
      </c>
      <c r="C5651" t="s">
        <v>15830</v>
      </c>
      <c r="D5651" t="s">
        <v>16207</v>
      </c>
      <c r="E5651" t="s">
        <v>16218</v>
      </c>
      <c r="F5651" t="s">
        <v>16221</v>
      </c>
      <c r="G5651" t="s">
        <v>16241</v>
      </c>
      <c r="H5651" t="s">
        <v>16241</v>
      </c>
      <c r="I5651" t="s">
        <v>16355</v>
      </c>
      <c r="J5651" t="s">
        <v>16385</v>
      </c>
      <c r="K5651">
        <v>0.159</v>
      </c>
      <c r="L5651">
        <v>6930</v>
      </c>
      <c r="M5651">
        <v>1451</v>
      </c>
      <c r="N5651" t="s">
        <v>16393</v>
      </c>
      <c r="O5651" s="4">
        <v>45278</v>
      </c>
      <c r="P5651" s="4">
        <v>98446</v>
      </c>
      <c r="Q5651" s="4">
        <v>143724</v>
      </c>
      <c r="R5651" s="4">
        <v>431172</v>
      </c>
      <c r="S5651" t="s">
        <v>21913</v>
      </c>
      <c r="T5651" s="6">
        <v>38078</v>
      </c>
      <c r="U5651" s="4">
        <v>278000</v>
      </c>
      <c r="V5651" t="s">
        <v>23739</v>
      </c>
      <c r="W5651" t="s">
        <v>21913</v>
      </c>
      <c r="X5651" t="s">
        <v>3</v>
      </c>
      <c r="AA5651" s="5" t="str">
        <f>HYPERLINK("https://www.zillow.com/homes/1295-PEMBROOK-CIR-ROSELLE-IL-60172_rb/","check listing")</f>
        <v>check listing</v>
      </c>
      <c r="AB5651" s="5" t="str">
        <f>HYPERLINK("https://propertylookup.dupagecounty.gov/Datalets/Datalet.aspx?UseSearch=no&amp;mode=sales&amp;pin=0205403005","sales record")</f>
        <v>sales record</v>
      </c>
      <c r="AC5651" t="s">
        <v>3</v>
      </c>
      <c r="AD5651">
        <v>41.980081</v>
      </c>
      <c r="AE5651">
        <v>-88.113559</v>
      </c>
      <c r="AF5651" s="5" t="str">
        <f>HYPERLINK("https://www.google.com/maps/search/?api=1&amp;query=41.980081,-88.113559","map")</f>
        <v>map</v>
      </c>
    </row>
    <row r="5652" spans="1:32">
      <c r="A5652" t="s">
        <v>5702</v>
      </c>
      <c r="B5652" t="s">
        <v>13227</v>
      </c>
      <c r="C5652" t="s">
        <v>15830</v>
      </c>
      <c r="D5652" t="s">
        <v>16207</v>
      </c>
      <c r="E5652" t="s">
        <v>16218</v>
      </c>
      <c r="F5652" t="s">
        <v>16221</v>
      </c>
      <c r="G5652" t="s">
        <v>16241</v>
      </c>
      <c r="H5652" t="s">
        <v>16241</v>
      </c>
      <c r="I5652" t="s">
        <v>16355</v>
      </c>
      <c r="J5652" t="s">
        <v>16385</v>
      </c>
      <c r="K5652">
        <v>0.159</v>
      </c>
      <c r="L5652">
        <v>6925</v>
      </c>
      <c r="M5652">
        <v>1714</v>
      </c>
      <c r="N5652" t="s">
        <v>16393</v>
      </c>
      <c r="O5652" s="4">
        <v>45278</v>
      </c>
      <c r="P5652" s="4">
        <v>88368</v>
      </c>
      <c r="Q5652" s="4">
        <v>133646</v>
      </c>
      <c r="R5652" s="4">
        <v>400938</v>
      </c>
      <c r="S5652" t="s">
        <v>21914</v>
      </c>
      <c r="T5652" s="6">
        <v>37408</v>
      </c>
      <c r="U5652" s="4">
        <v>241000</v>
      </c>
      <c r="V5652" t="s">
        <v>23739</v>
      </c>
      <c r="W5652" t="s">
        <v>26884</v>
      </c>
      <c r="X5652" t="s">
        <v>3</v>
      </c>
      <c r="AA5652" s="5" t="str">
        <f>HYPERLINK("https://www.zillow.com/homes/1101-HYGATE-DR-ROSELLE-IL-60172_rb/","check listing")</f>
        <v>check listing</v>
      </c>
      <c r="AB5652" s="5" t="str">
        <f>HYPERLINK("https://propertylookup.dupagecounty.gov/Datalets/Datalet.aspx?UseSearch=no&amp;mode=sales&amp;pin=0204309038","sales record")</f>
        <v>sales record</v>
      </c>
      <c r="AC5652" t="s">
        <v>3</v>
      </c>
      <c r="AD5652">
        <v>41.980216</v>
      </c>
      <c r="AE5652">
        <v>-88.10826</v>
      </c>
      <c r="AF5652" s="5" t="str">
        <f>HYPERLINK("https://www.google.com/maps/search/?api=1&amp;query=41.980216,-88.10826","map")</f>
        <v>map</v>
      </c>
    </row>
    <row r="5653" spans="1:32">
      <c r="A5653" t="s">
        <v>5703</v>
      </c>
      <c r="B5653" t="s">
        <v>13228</v>
      </c>
      <c r="C5653" t="s">
        <v>15830</v>
      </c>
      <c r="D5653" t="s">
        <v>16207</v>
      </c>
      <c r="E5653" t="s">
        <v>16218</v>
      </c>
      <c r="F5653" t="s">
        <v>16221</v>
      </c>
      <c r="G5653" t="s">
        <v>16241</v>
      </c>
      <c r="H5653" t="s">
        <v>16241</v>
      </c>
      <c r="I5653" t="s">
        <v>16355</v>
      </c>
      <c r="J5653" t="s">
        <v>16385</v>
      </c>
      <c r="K5653">
        <v>0.159</v>
      </c>
      <c r="L5653">
        <v>6917</v>
      </c>
      <c r="M5653">
        <v>1450</v>
      </c>
      <c r="N5653" t="s">
        <v>16393</v>
      </c>
      <c r="O5653" s="4">
        <v>38692</v>
      </c>
      <c r="P5653" s="4">
        <v>77599</v>
      </c>
      <c r="Q5653" s="4">
        <v>116291</v>
      </c>
      <c r="R5653" s="4">
        <v>348873</v>
      </c>
      <c r="S5653" t="s">
        <v>21915</v>
      </c>
      <c r="T5653" s="6">
        <v>38504</v>
      </c>
      <c r="U5653" s="4">
        <v>265000</v>
      </c>
      <c r="V5653" t="s">
        <v>23739</v>
      </c>
      <c r="W5653" t="s">
        <v>26885</v>
      </c>
      <c r="X5653" t="s">
        <v>3</v>
      </c>
      <c r="AA5653" s="5" t="str">
        <f>HYPERLINK("https://www.zillow.com/homes/1141-BRYN-MAWR-ROSELLE-IL-60172_rb/","check listing")</f>
        <v>check listing</v>
      </c>
      <c r="AB5653" s="5" t="str">
        <f>HYPERLINK("https://propertylookup.dupagecounty.gov/Datalets/Datalet.aspx?UseSearch=no&amp;mode=sales&amp;pin=0209119006","sales record")</f>
        <v>sales record</v>
      </c>
      <c r="AC5653" t="s">
        <v>3</v>
      </c>
      <c r="AD5653">
        <v>41.972445</v>
      </c>
      <c r="AE5653">
        <v>-88.109499</v>
      </c>
      <c r="AF5653" s="5" t="str">
        <f>HYPERLINK("https://www.google.com/maps/search/?api=1&amp;query=41.972445,-88.109499","map")</f>
        <v>map</v>
      </c>
    </row>
    <row r="5654" spans="1:32">
      <c r="A5654" t="s">
        <v>5704</v>
      </c>
      <c r="B5654" t="s">
        <v>13229</v>
      </c>
      <c r="C5654" t="s">
        <v>15830</v>
      </c>
      <c r="D5654" t="s">
        <v>16207</v>
      </c>
      <c r="E5654" t="s">
        <v>16218</v>
      </c>
      <c r="F5654" t="s">
        <v>16221</v>
      </c>
      <c r="G5654" t="s">
        <v>16241</v>
      </c>
      <c r="H5654" t="s">
        <v>16241</v>
      </c>
      <c r="I5654" t="s">
        <v>16355</v>
      </c>
      <c r="J5654" t="s">
        <v>16385</v>
      </c>
      <c r="K5654">
        <v>0.159</v>
      </c>
      <c r="L5654">
        <v>6910</v>
      </c>
      <c r="M5654">
        <v>1888</v>
      </c>
      <c r="N5654" t="s">
        <v>16393</v>
      </c>
      <c r="O5654" s="4">
        <v>45278</v>
      </c>
      <c r="P5654" s="4">
        <v>77144</v>
      </c>
      <c r="Q5654" s="4">
        <v>122422</v>
      </c>
      <c r="R5654" s="4">
        <v>367266</v>
      </c>
      <c r="S5654" t="s">
        <v>21916</v>
      </c>
      <c r="T5654" s="6">
        <v>42552</v>
      </c>
      <c r="U5654" s="4">
        <v>261000</v>
      </c>
      <c r="V5654" t="s">
        <v>23739</v>
      </c>
      <c r="W5654" t="s">
        <v>26886</v>
      </c>
      <c r="X5654" t="s">
        <v>3</v>
      </c>
      <c r="AA5654" s="5" t="str">
        <f>HYPERLINK("https://www.zillow.com/homes/135-EXETER-CT-ROSELLE-IL-60172_rb/","check listing")</f>
        <v>check listing</v>
      </c>
      <c r="AB5654" s="5" t="str">
        <f>HYPERLINK("https://propertylookup.dupagecounty.gov/Datalets/Datalet.aspx?UseSearch=no&amp;mode=sales&amp;pin=0205403020","sales record")</f>
        <v>sales record</v>
      </c>
      <c r="AC5654" t="s">
        <v>3</v>
      </c>
      <c r="AD5654">
        <v>41.980134</v>
      </c>
      <c r="AE5654">
        <v>-88.112088</v>
      </c>
      <c r="AF5654" s="5" t="str">
        <f>HYPERLINK("https://www.google.com/maps/search/?api=1&amp;query=41.980134,-88.112088","map")</f>
        <v>map</v>
      </c>
    </row>
    <row r="5655" spans="1:32">
      <c r="A5655" t="s">
        <v>5705</v>
      </c>
      <c r="B5655" t="s">
        <v>13230</v>
      </c>
      <c r="C5655" t="s">
        <v>15903</v>
      </c>
      <c r="D5655" t="s">
        <v>16207</v>
      </c>
      <c r="E5655" t="s">
        <v>16218</v>
      </c>
      <c r="F5655" t="s">
        <v>16221</v>
      </c>
      <c r="G5655" t="s">
        <v>16241</v>
      </c>
      <c r="H5655" t="s">
        <v>16241</v>
      </c>
      <c r="I5655" t="s">
        <v>16355</v>
      </c>
      <c r="J5655" t="s">
        <v>16385</v>
      </c>
      <c r="K5655">
        <v>0.158</v>
      </c>
      <c r="L5655">
        <v>6903</v>
      </c>
      <c r="N5655" t="s">
        <v>16393</v>
      </c>
      <c r="O5655" s="4">
        <v>39684</v>
      </c>
      <c r="P5655" s="4">
        <v>160316</v>
      </c>
      <c r="Q5655" s="4">
        <v>200000</v>
      </c>
      <c r="R5655" s="4">
        <v>600000</v>
      </c>
      <c r="S5655" t="s">
        <v>21917</v>
      </c>
      <c r="T5655" s="6">
        <v>44905</v>
      </c>
      <c r="U5655" s="4">
        <v>600000</v>
      </c>
      <c r="V5655" t="s">
        <v>23739</v>
      </c>
      <c r="W5655" t="s">
        <v>26887</v>
      </c>
      <c r="X5655" t="s">
        <v>3</v>
      </c>
      <c r="AA5655" s="5" t="str">
        <f>HYPERLINK("https://www.zillow.com/homes/520-FRANCESCA-LN-ROSELLE-IL-601722808_rb/","check listing")</f>
        <v>check listing</v>
      </c>
      <c r="AB5655" s="5" t="str">
        <f>HYPERLINK("https://propertylookup.dupagecounty.gov/Datalets/Datalet.aspx?UseSearch=no&amp;mode=sales&amp;pin=0208204048","sales record")</f>
        <v>sales record</v>
      </c>
      <c r="AC5655" t="s">
        <v>3</v>
      </c>
      <c r="AD5655">
        <v>41.971205</v>
      </c>
      <c r="AE5655">
        <v>-88.115272</v>
      </c>
      <c r="AF5655" s="5" t="str">
        <f>HYPERLINK("https://www.google.com/maps/search/?api=1&amp;query=41.971205,-88.115272","map")</f>
        <v>map</v>
      </c>
    </row>
    <row r="5656" spans="1:32">
      <c r="A5656" t="s">
        <v>5706</v>
      </c>
      <c r="B5656" t="s">
        <v>13231</v>
      </c>
      <c r="C5656" t="s">
        <v>15830</v>
      </c>
      <c r="D5656" t="s">
        <v>16207</v>
      </c>
      <c r="E5656" t="s">
        <v>16218</v>
      </c>
      <c r="F5656" t="s">
        <v>16221</v>
      </c>
      <c r="G5656" t="s">
        <v>16241</v>
      </c>
      <c r="H5656" t="s">
        <v>16241</v>
      </c>
      <c r="I5656" t="s">
        <v>16355</v>
      </c>
      <c r="J5656" t="s">
        <v>16385</v>
      </c>
      <c r="K5656">
        <v>0.158</v>
      </c>
      <c r="L5656">
        <v>6901</v>
      </c>
      <c r="M5656">
        <v>1846</v>
      </c>
      <c r="N5656" t="s">
        <v>16393</v>
      </c>
      <c r="O5656" s="4">
        <v>45278</v>
      </c>
      <c r="P5656" s="4">
        <v>95719</v>
      </c>
      <c r="Q5656" s="4">
        <v>140997</v>
      </c>
      <c r="R5656" s="4">
        <v>422991</v>
      </c>
      <c r="S5656" t="s">
        <v>21918</v>
      </c>
      <c r="X5656" t="s">
        <v>3</v>
      </c>
      <c r="AA5656" s="5" t="str">
        <f>HYPERLINK("https://www.zillow.com/homes/1276-CHATHAM-LN-ROSELLE-IL-60172_rb/","check listing")</f>
        <v>check listing</v>
      </c>
      <c r="AB5656" s="5" t="str">
        <f>HYPERLINK("https://propertylookup.dupagecounty.gov/Datalets/Datalet.aspx?UseSearch=no&amp;mode=sales&amp;pin=0205401067","sales record")</f>
        <v>sales record</v>
      </c>
      <c r="AC5656" t="s">
        <v>3</v>
      </c>
      <c r="AD5656">
        <v>41.981416</v>
      </c>
      <c r="AE5656">
        <v>-88.11302000000001</v>
      </c>
      <c r="AF5656" s="5" t="str">
        <f>HYPERLINK("https://www.google.com/maps/search/?api=1&amp;query=41.981416,-88.11302","map")</f>
        <v>map</v>
      </c>
    </row>
    <row r="5657" spans="1:32">
      <c r="A5657" t="s">
        <v>5707</v>
      </c>
      <c r="B5657" t="s">
        <v>13232</v>
      </c>
      <c r="C5657" t="s">
        <v>15830</v>
      </c>
      <c r="D5657" t="s">
        <v>16207</v>
      </c>
      <c r="E5657" t="s">
        <v>16218</v>
      </c>
      <c r="F5657" t="s">
        <v>16221</v>
      </c>
      <c r="G5657" t="s">
        <v>16241</v>
      </c>
      <c r="H5657" t="s">
        <v>16241</v>
      </c>
      <c r="I5657" t="s">
        <v>16355</v>
      </c>
      <c r="J5657" t="s">
        <v>16385</v>
      </c>
      <c r="K5657">
        <v>0.158</v>
      </c>
      <c r="L5657">
        <v>6897</v>
      </c>
      <c r="M5657">
        <v>1815</v>
      </c>
      <c r="N5657" t="s">
        <v>16393</v>
      </c>
      <c r="O5657" s="4">
        <v>38692</v>
      </c>
      <c r="P5657" s="4">
        <v>84197</v>
      </c>
      <c r="Q5657" s="4">
        <v>122889</v>
      </c>
      <c r="R5657" s="4">
        <v>368667</v>
      </c>
      <c r="S5657" t="s">
        <v>21919</v>
      </c>
      <c r="T5657" s="6">
        <v>35765</v>
      </c>
      <c r="U5657" s="4">
        <v>152000</v>
      </c>
      <c r="X5657" t="s">
        <v>3</v>
      </c>
      <c r="AA5657" s="5" t="str">
        <f>HYPERLINK("https://www.zillow.com/homes/505-DOVER-CT-ROSELLE-IL-60172_rb/","check listing")</f>
        <v>check listing</v>
      </c>
      <c r="AB5657" s="5" t="str">
        <f>HYPERLINK("https://propertylookup.dupagecounty.gov/Datalets/Datalet.aspx?UseSearch=no&amp;mode=sales&amp;pin=0208209005","sales record")</f>
        <v>sales record</v>
      </c>
      <c r="AC5657" t="s">
        <v>3</v>
      </c>
      <c r="AD5657">
        <v>41.97339</v>
      </c>
      <c r="AE5657">
        <v>-88.111233</v>
      </c>
      <c r="AF5657" s="5" t="str">
        <f>HYPERLINK("https://www.google.com/maps/search/?api=1&amp;query=41.97339,-88.111233","map")</f>
        <v>map</v>
      </c>
    </row>
    <row r="5658" spans="1:32">
      <c r="A5658" t="s">
        <v>5708</v>
      </c>
      <c r="B5658" t="s">
        <v>13233</v>
      </c>
      <c r="C5658" t="s">
        <v>15830</v>
      </c>
      <c r="D5658" t="s">
        <v>16207</v>
      </c>
      <c r="E5658" t="s">
        <v>16218</v>
      </c>
      <c r="F5658" t="s">
        <v>16221</v>
      </c>
      <c r="G5658" t="s">
        <v>16241</v>
      </c>
      <c r="H5658" t="s">
        <v>16241</v>
      </c>
      <c r="I5658" t="s">
        <v>16355</v>
      </c>
      <c r="J5658" t="s">
        <v>16385</v>
      </c>
      <c r="K5658">
        <v>0.158</v>
      </c>
      <c r="L5658">
        <v>6896</v>
      </c>
      <c r="M5658">
        <v>1715</v>
      </c>
      <c r="N5658" t="s">
        <v>16393</v>
      </c>
      <c r="O5658" s="4">
        <v>45278</v>
      </c>
      <c r="P5658" s="4">
        <v>86815</v>
      </c>
      <c r="Q5658" s="4">
        <v>132093</v>
      </c>
      <c r="R5658" s="4">
        <v>396279</v>
      </c>
      <c r="S5658" t="s">
        <v>21920</v>
      </c>
      <c r="T5658" s="6">
        <v>37347</v>
      </c>
      <c r="U5658" s="4">
        <v>220000</v>
      </c>
      <c r="V5658" t="s">
        <v>23739</v>
      </c>
      <c r="W5658" t="s">
        <v>26888</v>
      </c>
      <c r="X5658" t="s">
        <v>3</v>
      </c>
      <c r="AA5658" s="5" t="str">
        <f>HYPERLINK("https://www.zillow.com/homes/535-AVEBURY-LN-ROSELLE-IL-60172_rb/","check listing")</f>
        <v>check listing</v>
      </c>
      <c r="AB5658" s="5" t="str">
        <f>HYPERLINK("https://propertylookup.dupagecounty.gov/Datalets/Datalet.aspx?UseSearch=no&amp;mode=sales&amp;pin=0209212021","sales record")</f>
        <v>sales record</v>
      </c>
      <c r="AC5658" t="s">
        <v>3</v>
      </c>
      <c r="AD5658">
        <v>41.973354</v>
      </c>
      <c r="AE5658">
        <v>-88.098134</v>
      </c>
      <c r="AF5658" s="5" t="str">
        <f>HYPERLINK("https://www.google.com/maps/search/?api=1&amp;query=41.973354,-88.098134","map")</f>
        <v>map</v>
      </c>
    </row>
    <row r="5659" spans="1:32">
      <c r="A5659" t="s">
        <v>5709</v>
      </c>
      <c r="B5659" t="s">
        <v>13234</v>
      </c>
      <c r="C5659" t="s">
        <v>15830</v>
      </c>
      <c r="D5659" t="s">
        <v>16207</v>
      </c>
      <c r="E5659" t="s">
        <v>16218</v>
      </c>
      <c r="F5659" t="s">
        <v>16221</v>
      </c>
      <c r="G5659" t="s">
        <v>16241</v>
      </c>
      <c r="H5659" t="s">
        <v>16241</v>
      </c>
      <c r="I5659" t="s">
        <v>16355</v>
      </c>
      <c r="J5659" t="s">
        <v>16385</v>
      </c>
      <c r="K5659">
        <v>0.158</v>
      </c>
      <c r="L5659">
        <v>6889</v>
      </c>
      <c r="M5659">
        <v>1847</v>
      </c>
      <c r="N5659" t="s">
        <v>16393</v>
      </c>
      <c r="O5659" s="4">
        <v>45278</v>
      </c>
      <c r="P5659" s="4">
        <v>83695</v>
      </c>
      <c r="Q5659" s="4">
        <v>128973</v>
      </c>
      <c r="R5659" s="4">
        <v>386919</v>
      </c>
      <c r="S5659" t="s">
        <v>21921</v>
      </c>
      <c r="X5659" t="s">
        <v>3</v>
      </c>
      <c r="AA5659" s="5" t="str">
        <f>HYPERLINK("https://www.zillow.com/homes/436-FORDHAM-PL-ROSELLE-IL-60172_rb/","check listing")</f>
        <v>check listing</v>
      </c>
      <c r="AB5659" s="5" t="str">
        <f>HYPERLINK("https://propertylookup.dupagecounty.gov/Datalets/Datalet.aspx?UseSearch=no&amp;mode=sales&amp;pin=0209115015","sales record")</f>
        <v>sales record</v>
      </c>
      <c r="AC5659" t="s">
        <v>3</v>
      </c>
      <c r="AD5659">
        <v>41.974739</v>
      </c>
      <c r="AE5659">
        <v>-88.10235299999999</v>
      </c>
      <c r="AF5659" s="5" t="str">
        <f>HYPERLINK("https://www.google.com/maps/search/?api=1&amp;query=41.974739,-88.102353","map")</f>
        <v>map</v>
      </c>
    </row>
    <row r="5660" spans="1:32">
      <c r="A5660" t="s">
        <v>5710</v>
      </c>
      <c r="B5660" t="s">
        <v>13235</v>
      </c>
      <c r="C5660" t="s">
        <v>15903</v>
      </c>
      <c r="D5660" t="s">
        <v>16207</v>
      </c>
      <c r="E5660" t="s">
        <v>16218</v>
      </c>
      <c r="F5660" t="s">
        <v>16221</v>
      </c>
      <c r="G5660" t="s">
        <v>16241</v>
      </c>
      <c r="H5660" t="s">
        <v>16241</v>
      </c>
      <c r="I5660" t="s">
        <v>16355</v>
      </c>
      <c r="J5660" t="s">
        <v>16385</v>
      </c>
      <c r="K5660">
        <v>0.158</v>
      </c>
      <c r="L5660">
        <v>6879</v>
      </c>
      <c r="M5660">
        <v>2509</v>
      </c>
      <c r="N5660" t="s">
        <v>16393</v>
      </c>
      <c r="O5660" s="4">
        <v>45278</v>
      </c>
      <c r="P5660" s="4">
        <v>84855</v>
      </c>
      <c r="Q5660" s="4">
        <v>130133</v>
      </c>
      <c r="R5660" s="4">
        <v>390399</v>
      </c>
      <c r="S5660" t="s">
        <v>21922</v>
      </c>
      <c r="T5660" s="6">
        <v>45595</v>
      </c>
      <c r="U5660" s="4">
        <v>419000</v>
      </c>
      <c r="V5660" t="s">
        <v>23739</v>
      </c>
      <c r="W5660" t="s">
        <v>26889</v>
      </c>
      <c r="X5660" t="s">
        <v>3</v>
      </c>
      <c r="AA5660" s="5" t="str">
        <f>HYPERLINK("https://www.zillow.com/homes/740-W-BRYN-MAWR-AVE-ROSELLE-IL-601722808_rb/","check listing")</f>
        <v>check listing</v>
      </c>
      <c r="AB5660" s="5" t="str">
        <f>HYPERLINK("https://propertylookup.dupagecounty.gov/Datalets/Datalet.aspx?UseSearch=no&amp;mode=sales&amp;pin=0209211012","sales record")</f>
        <v>sales record</v>
      </c>
      <c r="AC5660" t="s">
        <v>3</v>
      </c>
      <c r="AD5660">
        <v>41.975206</v>
      </c>
      <c r="AE5660">
        <v>-88.099287</v>
      </c>
      <c r="AF5660" s="5" t="str">
        <f>HYPERLINK("https://www.google.com/maps/search/?api=1&amp;query=41.975206,-88.099287","map")</f>
        <v>map</v>
      </c>
    </row>
    <row r="5661" spans="1:32">
      <c r="A5661" t="s">
        <v>5711</v>
      </c>
      <c r="B5661" t="s">
        <v>13236</v>
      </c>
      <c r="C5661" t="s">
        <v>15830</v>
      </c>
      <c r="D5661" t="s">
        <v>16207</v>
      </c>
      <c r="E5661" t="s">
        <v>16218</v>
      </c>
      <c r="F5661" t="s">
        <v>16221</v>
      </c>
      <c r="G5661" t="s">
        <v>16241</v>
      </c>
      <c r="H5661" t="s">
        <v>16241</v>
      </c>
      <c r="I5661" t="s">
        <v>16355</v>
      </c>
      <c r="J5661" t="s">
        <v>16385</v>
      </c>
      <c r="K5661">
        <v>0.158</v>
      </c>
      <c r="L5661">
        <v>6867</v>
      </c>
      <c r="M5661">
        <v>1848</v>
      </c>
      <c r="N5661" t="s">
        <v>16393</v>
      </c>
      <c r="O5661" s="4">
        <v>45278</v>
      </c>
      <c r="P5661" s="4">
        <v>85596</v>
      </c>
      <c r="Q5661" s="4">
        <v>130874</v>
      </c>
      <c r="R5661" s="4">
        <v>392622</v>
      </c>
      <c r="S5661" t="s">
        <v>21923</v>
      </c>
      <c r="T5661" s="6">
        <v>35490</v>
      </c>
      <c r="U5661" s="4">
        <v>161000</v>
      </c>
      <c r="X5661" t="s">
        <v>3</v>
      </c>
      <c r="AA5661" s="5" t="str">
        <f>HYPERLINK("https://www.zillow.com/homes/310-STOCKPORT-CT-ROSELLE-IL-60172_rb/","check listing")</f>
        <v>check listing</v>
      </c>
      <c r="AB5661" s="5" t="str">
        <f>HYPERLINK("https://propertylookup.dupagecounty.gov/Datalets/Datalet.aspx?UseSearch=no&amp;mode=sales&amp;pin=0205406005","sales record")</f>
        <v>sales record</v>
      </c>
      <c r="AC5661" t="s">
        <v>3</v>
      </c>
      <c r="AD5661">
        <v>41.976951</v>
      </c>
      <c r="AE5661">
        <v>-88.113017</v>
      </c>
      <c r="AF5661" s="5" t="str">
        <f>HYPERLINK("https://www.google.com/maps/search/?api=1&amp;query=41.976951,-88.113017","map")</f>
        <v>map</v>
      </c>
    </row>
    <row r="5662" spans="1:32">
      <c r="A5662" t="s">
        <v>5712</v>
      </c>
      <c r="B5662" t="s">
        <v>13237</v>
      </c>
      <c r="C5662" t="s">
        <v>15830</v>
      </c>
      <c r="D5662" t="s">
        <v>16207</v>
      </c>
      <c r="E5662" t="s">
        <v>16218</v>
      </c>
      <c r="F5662" t="s">
        <v>16221</v>
      </c>
      <c r="G5662" t="s">
        <v>16241</v>
      </c>
      <c r="H5662" t="s">
        <v>16241</v>
      </c>
      <c r="I5662" t="s">
        <v>16355</v>
      </c>
      <c r="J5662" t="s">
        <v>16385</v>
      </c>
      <c r="K5662">
        <v>0.157</v>
      </c>
      <c r="L5662">
        <v>6851</v>
      </c>
      <c r="M5662">
        <v>1979</v>
      </c>
      <c r="N5662" t="s">
        <v>16393</v>
      </c>
      <c r="O5662" s="4">
        <v>45278</v>
      </c>
      <c r="P5662" s="4">
        <v>91477</v>
      </c>
      <c r="Q5662" s="4">
        <v>136755</v>
      </c>
      <c r="R5662" s="4">
        <v>410265</v>
      </c>
      <c r="S5662" t="s">
        <v>21924</v>
      </c>
      <c r="T5662" s="6">
        <v>33512</v>
      </c>
      <c r="U5662" s="4">
        <v>140500</v>
      </c>
      <c r="X5662" t="s">
        <v>3</v>
      </c>
      <c r="AA5662" s="5" t="str">
        <f>HYPERLINK("https://www.zillow.com/homes/110-CHATHAM-LN-ROSELLE-IL-60172_rb/","check listing")</f>
        <v>check listing</v>
      </c>
      <c r="AB5662" s="5" t="str">
        <f>HYPERLINK("https://propertylookup.dupagecounty.gov/Datalets/Datalet.aspx?UseSearch=no&amp;mode=sales&amp;pin=0205401005","sales record")</f>
        <v>sales record</v>
      </c>
      <c r="AC5662" t="s">
        <v>3</v>
      </c>
      <c r="AD5662">
        <v>41.980488</v>
      </c>
      <c r="AE5662">
        <v>-88.115126</v>
      </c>
      <c r="AF5662" s="5" t="str">
        <f>HYPERLINK("https://www.google.com/maps/search/?api=1&amp;query=41.980488,-88.115126","map")</f>
        <v>map</v>
      </c>
    </row>
    <row r="5663" spans="1:32">
      <c r="A5663" t="s">
        <v>5713</v>
      </c>
      <c r="B5663" t="s">
        <v>13238</v>
      </c>
      <c r="C5663" t="s">
        <v>15830</v>
      </c>
      <c r="D5663" t="s">
        <v>16207</v>
      </c>
      <c r="E5663" t="s">
        <v>16218</v>
      </c>
      <c r="F5663" t="s">
        <v>16221</v>
      </c>
      <c r="G5663" t="s">
        <v>16241</v>
      </c>
      <c r="H5663" t="s">
        <v>16241</v>
      </c>
      <c r="I5663" t="s">
        <v>16355</v>
      </c>
      <c r="J5663" t="s">
        <v>16385</v>
      </c>
      <c r="K5663">
        <v>0.157</v>
      </c>
      <c r="L5663">
        <v>6850</v>
      </c>
      <c r="M5663">
        <v>1979</v>
      </c>
      <c r="N5663" t="s">
        <v>16393</v>
      </c>
      <c r="O5663" s="4">
        <v>38692</v>
      </c>
      <c r="P5663" s="4">
        <v>86348</v>
      </c>
      <c r="Q5663" s="4">
        <v>125040</v>
      </c>
      <c r="R5663" s="4">
        <v>375120</v>
      </c>
      <c r="S5663" t="s">
        <v>21925</v>
      </c>
      <c r="T5663" s="6">
        <v>38139</v>
      </c>
      <c r="U5663" s="4">
        <v>245000</v>
      </c>
      <c r="V5663" t="s">
        <v>23739</v>
      </c>
      <c r="W5663" t="s">
        <v>26890</v>
      </c>
      <c r="X5663" t="s">
        <v>3</v>
      </c>
      <c r="AA5663" s="5" t="str">
        <f>HYPERLINK("https://www.zillow.com/homes/715-RADNOR-DR-ROSELLE-IL-60172_rb/","check listing")</f>
        <v>check listing</v>
      </c>
      <c r="AB5663" s="5" t="str">
        <f>HYPERLINK("https://propertylookup.dupagecounty.gov/Datalets/Datalet.aspx?UseSearch=no&amp;mode=sales&amp;pin=0209110051","sales record")</f>
        <v>sales record</v>
      </c>
      <c r="AC5663" t="s">
        <v>3</v>
      </c>
      <c r="AD5663">
        <v>41.970041</v>
      </c>
      <c r="AE5663">
        <v>-88.10670500000001</v>
      </c>
      <c r="AF5663" s="5" t="str">
        <f>HYPERLINK("https://www.google.com/maps/search/?api=1&amp;query=41.970041,-88.106705","map")</f>
        <v>map</v>
      </c>
    </row>
    <row r="5664" spans="1:32">
      <c r="A5664" t="s">
        <v>5714</v>
      </c>
      <c r="B5664" t="s">
        <v>13239</v>
      </c>
      <c r="C5664" t="s">
        <v>15830</v>
      </c>
      <c r="D5664" t="s">
        <v>16207</v>
      </c>
      <c r="E5664" t="s">
        <v>16218</v>
      </c>
      <c r="F5664" t="s">
        <v>16221</v>
      </c>
      <c r="G5664" t="s">
        <v>16241</v>
      </c>
      <c r="H5664" t="s">
        <v>16241</v>
      </c>
      <c r="I5664" t="s">
        <v>16355</v>
      </c>
      <c r="J5664" t="s">
        <v>16385</v>
      </c>
      <c r="K5664">
        <v>0.157</v>
      </c>
      <c r="L5664">
        <v>6844</v>
      </c>
      <c r="M5664">
        <v>1974</v>
      </c>
      <c r="N5664" t="s">
        <v>16393</v>
      </c>
      <c r="O5664" s="4">
        <v>38692</v>
      </c>
      <c r="P5664" s="4">
        <v>80097</v>
      </c>
      <c r="Q5664" s="4">
        <v>118789</v>
      </c>
      <c r="R5664" s="4">
        <v>356367</v>
      </c>
      <c r="S5664" t="s">
        <v>21926</v>
      </c>
      <c r="T5664" s="6">
        <v>45706</v>
      </c>
      <c r="U5664" s="4">
        <v>345000</v>
      </c>
      <c r="V5664" t="s">
        <v>23739</v>
      </c>
      <c r="W5664" t="s">
        <v>26891</v>
      </c>
      <c r="X5664" t="s">
        <v>3</v>
      </c>
      <c r="AA5664" s="5" t="str">
        <f>HYPERLINK("https://www.zillow.com/homes/640-STAFFORD-DR-ROSELLE-IL-60172_rb/","check listing")</f>
        <v>check listing</v>
      </c>
      <c r="AB5664" s="5" t="str">
        <f>HYPERLINK("https://propertylookup.dupagecounty.gov/Datalets/Datalet.aspx?UseSearch=no&amp;mode=sales&amp;pin=0209119030","sales record")</f>
        <v>sales record</v>
      </c>
      <c r="AC5664" t="s">
        <v>3</v>
      </c>
      <c r="AD5664">
        <v>41.971871</v>
      </c>
      <c r="AE5664">
        <v>-88.11026699999999</v>
      </c>
      <c r="AF5664" s="5" t="str">
        <f>HYPERLINK("https://www.google.com/maps/search/?api=1&amp;query=41.971871,-88.110267","map")</f>
        <v>map</v>
      </c>
    </row>
    <row r="5665" spans="1:32">
      <c r="A5665" t="s">
        <v>5715</v>
      </c>
      <c r="B5665" t="s">
        <v>13240</v>
      </c>
      <c r="C5665" t="s">
        <v>15890</v>
      </c>
      <c r="D5665" t="s">
        <v>16207</v>
      </c>
      <c r="E5665" t="s">
        <v>16218</v>
      </c>
      <c r="F5665" t="s">
        <v>16221</v>
      </c>
      <c r="G5665" t="s">
        <v>16241</v>
      </c>
      <c r="H5665" t="s">
        <v>16241</v>
      </c>
      <c r="I5665" t="s">
        <v>16355</v>
      </c>
      <c r="J5665" t="s">
        <v>16385</v>
      </c>
      <c r="K5665">
        <v>0.157</v>
      </c>
      <c r="L5665">
        <v>6840</v>
      </c>
      <c r="M5665">
        <v>2144</v>
      </c>
      <c r="N5665" t="s">
        <v>16393</v>
      </c>
      <c r="O5665" s="4">
        <v>45278</v>
      </c>
      <c r="P5665" s="4">
        <v>72520</v>
      </c>
      <c r="Q5665" s="4">
        <v>117798</v>
      </c>
      <c r="R5665" s="4">
        <v>353394</v>
      </c>
      <c r="S5665" t="s">
        <v>21927</v>
      </c>
      <c r="T5665" s="6">
        <v>40057</v>
      </c>
      <c r="U5665" s="4">
        <v>235000</v>
      </c>
      <c r="V5665" t="s">
        <v>23739</v>
      </c>
      <c r="W5665" t="s">
        <v>26892</v>
      </c>
      <c r="X5665" t="s">
        <v>3</v>
      </c>
      <c r="AA5665" s="5" t="str">
        <f>HYPERLINK("https://www.zillow.com/homes/1320-PEMBROOK-CIR-ROSELLE-IL-601721637_rb/","check listing")</f>
        <v>check listing</v>
      </c>
      <c r="AB5665" s="5" t="str">
        <f>HYPERLINK("https://propertylookup.dupagecounty.gov/Datalets/Datalet.aspx?UseSearch=no&amp;mode=sales&amp;pin=0205402004","sales record")</f>
        <v>sales record</v>
      </c>
      <c r="AC5665" t="s">
        <v>3</v>
      </c>
      <c r="AD5665">
        <v>41.980601</v>
      </c>
      <c r="AE5665">
        <v>-88.114267</v>
      </c>
      <c r="AF5665" s="5" t="str">
        <f>HYPERLINK("https://www.google.com/maps/search/?api=1&amp;query=41.980601,-88.114267","map")</f>
        <v>map</v>
      </c>
    </row>
    <row r="5666" spans="1:32">
      <c r="A5666" t="s">
        <v>5716</v>
      </c>
      <c r="B5666" t="s">
        <v>13241</v>
      </c>
      <c r="C5666" t="s">
        <v>15830</v>
      </c>
      <c r="D5666" t="s">
        <v>16207</v>
      </c>
      <c r="E5666" t="s">
        <v>16218</v>
      </c>
      <c r="F5666" t="s">
        <v>16221</v>
      </c>
      <c r="G5666" t="s">
        <v>16241</v>
      </c>
      <c r="H5666" t="s">
        <v>16241</v>
      </c>
      <c r="I5666" t="s">
        <v>16355</v>
      </c>
      <c r="J5666" t="s">
        <v>16385</v>
      </c>
      <c r="K5666">
        <v>0.157</v>
      </c>
      <c r="L5666">
        <v>6823</v>
      </c>
      <c r="M5666">
        <v>1318</v>
      </c>
      <c r="N5666" t="s">
        <v>16393</v>
      </c>
      <c r="O5666" s="4">
        <v>38692</v>
      </c>
      <c r="P5666" s="4">
        <v>77313</v>
      </c>
      <c r="Q5666" s="4">
        <v>116005</v>
      </c>
      <c r="R5666" s="4">
        <v>348015</v>
      </c>
      <c r="S5666" t="s">
        <v>21928</v>
      </c>
      <c r="T5666" s="6">
        <v>43313</v>
      </c>
      <c r="U5666" s="4">
        <v>264500</v>
      </c>
      <c r="V5666" t="s">
        <v>23739</v>
      </c>
      <c r="W5666" t="s">
        <v>26893</v>
      </c>
      <c r="X5666" t="s">
        <v>3</v>
      </c>
      <c r="AA5666" s="5" t="str">
        <f>HYPERLINK("https://www.zillow.com/homes/830-EDENWOOD-DR-ROSELLE-IL-60172_rb/","check listing")</f>
        <v>check listing</v>
      </c>
      <c r="AB5666" s="5" t="str">
        <f>HYPERLINK("https://propertylookup.dupagecounty.gov/Datalets/Datalet.aspx?UseSearch=no&amp;mode=sales&amp;pin=0209112019","sales record")</f>
        <v>sales record</v>
      </c>
      <c r="AC5666" t="s">
        <v>3</v>
      </c>
      <c r="AD5666">
        <v>41.973187</v>
      </c>
      <c r="AE5666">
        <v>-88.101393</v>
      </c>
      <c r="AF5666" s="5" t="str">
        <f>HYPERLINK("https://www.google.com/maps/search/?api=1&amp;query=41.973187,-88.101393","map")</f>
        <v>map</v>
      </c>
    </row>
    <row r="5667" spans="1:32">
      <c r="A5667" t="s">
        <v>5717</v>
      </c>
      <c r="B5667" t="s">
        <v>13242</v>
      </c>
      <c r="C5667" t="s">
        <v>15830</v>
      </c>
      <c r="D5667" t="s">
        <v>16207</v>
      </c>
      <c r="E5667" t="s">
        <v>16218</v>
      </c>
      <c r="F5667" t="s">
        <v>16221</v>
      </c>
      <c r="G5667" t="s">
        <v>16241</v>
      </c>
      <c r="H5667" t="s">
        <v>16241</v>
      </c>
      <c r="I5667" t="s">
        <v>16355</v>
      </c>
      <c r="J5667" t="s">
        <v>16385</v>
      </c>
      <c r="K5667">
        <v>0.157</v>
      </c>
      <c r="L5667">
        <v>6820</v>
      </c>
      <c r="M5667">
        <v>1649</v>
      </c>
      <c r="N5667" t="s">
        <v>16393</v>
      </c>
      <c r="O5667" s="4">
        <v>38692</v>
      </c>
      <c r="P5667" s="4">
        <v>79607</v>
      </c>
      <c r="Q5667" s="4">
        <v>118299</v>
      </c>
      <c r="R5667" s="4">
        <v>354897</v>
      </c>
      <c r="S5667" t="s">
        <v>21929</v>
      </c>
      <c r="T5667" s="6">
        <v>37591</v>
      </c>
      <c r="U5667" s="4">
        <v>201000</v>
      </c>
      <c r="V5667" t="s">
        <v>23739</v>
      </c>
      <c r="W5667" t="s">
        <v>26894</v>
      </c>
      <c r="X5667" t="s">
        <v>3</v>
      </c>
      <c r="AA5667" s="5" t="str">
        <f>HYPERLINK("https://www.zillow.com/homes/632-STAFFORD-DR-ROSELLE-IL-60172_rb/","check listing")</f>
        <v>check listing</v>
      </c>
      <c r="AB5667" s="5" t="str">
        <f>HYPERLINK("https://propertylookup.dupagecounty.gov/Datalets/Datalet.aspx?UseSearch=no&amp;mode=sales&amp;pin=0209119028","sales record")</f>
        <v>sales record</v>
      </c>
      <c r="AC5667" t="s">
        <v>3</v>
      </c>
      <c r="AD5667">
        <v>41.971962</v>
      </c>
      <c r="AE5667">
        <v>-88.10973199999999</v>
      </c>
      <c r="AF5667" s="5" t="str">
        <f>HYPERLINK("https://www.google.com/maps/search/?api=1&amp;query=41.971962,-88.109732","map")</f>
        <v>map</v>
      </c>
    </row>
    <row r="5668" spans="1:32">
      <c r="A5668" t="s">
        <v>5718</v>
      </c>
      <c r="B5668" t="s">
        <v>13243</v>
      </c>
      <c r="C5668" t="s">
        <v>15847</v>
      </c>
      <c r="D5668" t="s">
        <v>16207</v>
      </c>
      <c r="E5668" t="s">
        <v>16218</v>
      </c>
      <c r="F5668" t="s">
        <v>16221</v>
      </c>
      <c r="G5668" t="s">
        <v>16241</v>
      </c>
      <c r="H5668" t="s">
        <v>16241</v>
      </c>
      <c r="I5668" t="s">
        <v>16355</v>
      </c>
      <c r="J5668" t="s">
        <v>16385</v>
      </c>
      <c r="K5668">
        <v>0.157</v>
      </c>
      <c r="L5668">
        <v>6819</v>
      </c>
      <c r="M5668">
        <v>1715</v>
      </c>
      <c r="N5668" t="s">
        <v>16393</v>
      </c>
      <c r="O5668" s="4">
        <v>45278</v>
      </c>
      <c r="P5668" s="4">
        <v>86588</v>
      </c>
      <c r="Q5668" s="4">
        <v>131866</v>
      </c>
      <c r="R5668" s="4">
        <v>395598</v>
      </c>
      <c r="S5668" t="s">
        <v>21930</v>
      </c>
      <c r="T5668" s="6">
        <v>43009</v>
      </c>
      <c r="U5668" s="4">
        <v>245000</v>
      </c>
      <c r="V5668" t="s">
        <v>23739</v>
      </c>
      <c r="W5668" t="s">
        <v>26895</v>
      </c>
      <c r="X5668" t="s">
        <v>3</v>
      </c>
      <c r="AA5668" s="5" t="str">
        <f>HYPERLINK("https://www.zillow.com/homes/290-STOCKPORT-CT-ROSELLE-IL-601721671_rb/","check listing")</f>
        <v>check listing</v>
      </c>
      <c r="AB5668" s="5" t="str">
        <f>HYPERLINK("https://propertylookup.dupagecounty.gov/Datalets/Datalet.aspx?UseSearch=no&amp;mode=sales&amp;pin=0205406003","sales record")</f>
        <v>sales record</v>
      </c>
      <c r="AC5668" t="s">
        <v>3</v>
      </c>
      <c r="AD5668">
        <v>41.977332</v>
      </c>
      <c r="AE5668">
        <v>-88.112876</v>
      </c>
      <c r="AF5668" s="5" t="str">
        <f>HYPERLINK("https://www.google.com/maps/search/?api=1&amp;query=41.977332,-88.112876","map")</f>
        <v>map</v>
      </c>
    </row>
    <row r="5669" spans="1:32">
      <c r="A5669" t="s">
        <v>5719</v>
      </c>
      <c r="B5669" t="s">
        <v>13244</v>
      </c>
      <c r="C5669" t="s">
        <v>15830</v>
      </c>
      <c r="D5669" t="s">
        <v>16207</v>
      </c>
      <c r="E5669" t="s">
        <v>16218</v>
      </c>
      <c r="F5669" t="s">
        <v>16221</v>
      </c>
      <c r="G5669" t="s">
        <v>16241</v>
      </c>
      <c r="H5669" t="s">
        <v>16241</v>
      </c>
      <c r="I5669" t="s">
        <v>16355</v>
      </c>
      <c r="J5669" t="s">
        <v>16385</v>
      </c>
      <c r="K5669">
        <v>0.157</v>
      </c>
      <c r="L5669">
        <v>6818</v>
      </c>
      <c r="M5669">
        <v>1979</v>
      </c>
      <c r="N5669" t="s">
        <v>16393</v>
      </c>
      <c r="O5669" s="4">
        <v>45278</v>
      </c>
      <c r="P5669" s="4">
        <v>72794</v>
      </c>
      <c r="Q5669" s="4">
        <v>118072</v>
      </c>
      <c r="R5669" s="4">
        <v>354216</v>
      </c>
      <c r="S5669" t="s">
        <v>21931</v>
      </c>
      <c r="T5669" s="6">
        <v>42583</v>
      </c>
      <c r="U5669" s="4">
        <v>210000</v>
      </c>
      <c r="V5669" t="s">
        <v>23739</v>
      </c>
      <c r="W5669" t="s">
        <v>26896</v>
      </c>
      <c r="X5669" t="s">
        <v>3</v>
      </c>
      <c r="AA5669" s="5" t="str">
        <f>HYPERLINK("https://www.zillow.com/homes/850-W-BRYN-MAWR-AVE-ROSELLE-IL-60172_rb/","check listing")</f>
        <v>check listing</v>
      </c>
      <c r="AB5669" s="5" t="str">
        <f>HYPERLINK("https://propertylookup.dupagecounty.gov/Datalets/Datalet.aspx?UseSearch=no&amp;mode=sales&amp;pin=0209116014","sales record")</f>
        <v>sales record</v>
      </c>
      <c r="AC5669" t="s">
        <v>3</v>
      </c>
      <c r="AD5669">
        <v>41.974061</v>
      </c>
      <c r="AE5669">
        <v>-88.101811</v>
      </c>
      <c r="AF5669" s="5" t="str">
        <f>HYPERLINK("https://www.google.com/maps/search/?api=1&amp;query=41.974061,-88.101811","map")</f>
        <v>map</v>
      </c>
    </row>
    <row r="5670" spans="1:32">
      <c r="A5670" t="s">
        <v>5720</v>
      </c>
      <c r="B5670" t="s">
        <v>13245</v>
      </c>
      <c r="C5670" t="s">
        <v>15830</v>
      </c>
      <c r="D5670" t="s">
        <v>16207</v>
      </c>
      <c r="E5670" t="s">
        <v>16218</v>
      </c>
      <c r="F5670" t="s">
        <v>16221</v>
      </c>
      <c r="G5670" t="s">
        <v>16241</v>
      </c>
      <c r="H5670" t="s">
        <v>16241</v>
      </c>
      <c r="I5670" t="s">
        <v>16355</v>
      </c>
      <c r="J5670" t="s">
        <v>16385</v>
      </c>
      <c r="K5670">
        <v>0.156</v>
      </c>
      <c r="L5670">
        <v>6816</v>
      </c>
      <c r="M5670">
        <v>1584</v>
      </c>
      <c r="N5670" t="s">
        <v>16393</v>
      </c>
      <c r="O5670" s="4">
        <v>45278</v>
      </c>
      <c r="P5670" s="4">
        <v>86588</v>
      </c>
      <c r="Q5670" s="4">
        <v>131866</v>
      </c>
      <c r="R5670" s="4">
        <v>395598</v>
      </c>
      <c r="S5670" t="s">
        <v>21932</v>
      </c>
      <c r="T5670" s="6">
        <v>38504</v>
      </c>
      <c r="U5670" s="4">
        <v>300000</v>
      </c>
      <c r="V5670" t="s">
        <v>23739</v>
      </c>
      <c r="W5670" t="s">
        <v>26897</v>
      </c>
      <c r="X5670" t="s">
        <v>3</v>
      </c>
      <c r="AA5670" s="5" t="str">
        <f>HYPERLINK("https://www.zillow.com/homes/305-BRIGHTON-BAY-ROSELLE-IL-60172_rb/","check listing")</f>
        <v>check listing</v>
      </c>
      <c r="AB5670" s="5" t="str">
        <f>HYPERLINK("https://propertylookup.dupagecounty.gov/Datalets/Datalet.aspx?UseSearch=no&amp;mode=sales&amp;pin=0205401038","sales record")</f>
        <v>sales record</v>
      </c>
      <c r="AC5670" t="s">
        <v>3</v>
      </c>
      <c r="AD5670">
        <v>41.977015</v>
      </c>
      <c r="AE5670">
        <v>-88.11448</v>
      </c>
      <c r="AF5670" s="5" t="str">
        <f>HYPERLINK("https://www.google.com/maps/search/?api=1&amp;query=41.977015,-88.11448","map")</f>
        <v>map</v>
      </c>
    </row>
    <row r="5671" spans="1:32">
      <c r="A5671" t="s">
        <v>5721</v>
      </c>
      <c r="B5671" t="s">
        <v>13246</v>
      </c>
      <c r="C5671" t="s">
        <v>15830</v>
      </c>
      <c r="D5671" t="s">
        <v>16207</v>
      </c>
      <c r="E5671" t="s">
        <v>16218</v>
      </c>
      <c r="F5671" t="s">
        <v>16221</v>
      </c>
      <c r="G5671" t="s">
        <v>16241</v>
      </c>
      <c r="H5671" t="s">
        <v>16241</v>
      </c>
      <c r="I5671" t="s">
        <v>16355</v>
      </c>
      <c r="J5671" t="s">
        <v>16385</v>
      </c>
      <c r="K5671">
        <v>0.156</v>
      </c>
      <c r="L5671">
        <v>6814</v>
      </c>
      <c r="M5671">
        <v>1961</v>
      </c>
      <c r="N5671" t="s">
        <v>16393</v>
      </c>
      <c r="O5671" s="4">
        <v>45278</v>
      </c>
      <c r="P5671" s="4">
        <v>94513</v>
      </c>
      <c r="Q5671" s="4">
        <v>139791</v>
      </c>
      <c r="R5671" s="4">
        <v>419373</v>
      </c>
      <c r="S5671" t="s">
        <v>21933</v>
      </c>
      <c r="T5671" s="6">
        <v>36678</v>
      </c>
      <c r="U5671" s="4">
        <v>212500</v>
      </c>
      <c r="V5671" t="s">
        <v>23739</v>
      </c>
      <c r="W5671" t="s">
        <v>26898</v>
      </c>
      <c r="X5671" t="s">
        <v>3</v>
      </c>
      <c r="AA5671" s="5" t="str">
        <f>HYPERLINK("https://www.zillow.com/homes/1190-COLONY-LN-ROSELLE-IL-60172_rb/","check listing")</f>
        <v>check listing</v>
      </c>
      <c r="AB5671" s="5" t="str">
        <f>HYPERLINK("https://propertylookup.dupagecounty.gov/Datalets/Datalet.aspx?UseSearch=no&amp;mode=sales&amp;pin=0204312010","sales record")</f>
        <v>sales record</v>
      </c>
      <c r="AC5671" t="s">
        <v>3</v>
      </c>
      <c r="AD5671">
        <v>41.980111</v>
      </c>
      <c r="AE5671">
        <v>-88.11014</v>
      </c>
      <c r="AF5671" s="5" t="str">
        <f>HYPERLINK("https://www.google.com/maps/search/?api=1&amp;query=41.980111,-88.11014","map")</f>
        <v>map</v>
      </c>
    </row>
    <row r="5672" spans="1:32">
      <c r="A5672" t="s">
        <v>5722</v>
      </c>
      <c r="B5672" t="s">
        <v>13247</v>
      </c>
      <c r="C5672" t="s">
        <v>15830</v>
      </c>
      <c r="D5672" t="s">
        <v>16207</v>
      </c>
      <c r="E5672" t="s">
        <v>16218</v>
      </c>
      <c r="F5672" t="s">
        <v>16221</v>
      </c>
      <c r="G5672" t="s">
        <v>16241</v>
      </c>
      <c r="H5672" t="s">
        <v>16241</v>
      </c>
      <c r="I5672" t="s">
        <v>16355</v>
      </c>
      <c r="J5672" t="s">
        <v>16385</v>
      </c>
      <c r="K5672">
        <v>0.156</v>
      </c>
      <c r="L5672">
        <v>6806</v>
      </c>
      <c r="M5672">
        <v>1847</v>
      </c>
      <c r="N5672" t="s">
        <v>16393</v>
      </c>
      <c r="O5672" s="4">
        <v>45278</v>
      </c>
      <c r="P5672" s="4">
        <v>98230</v>
      </c>
      <c r="Q5672" s="4">
        <v>143508</v>
      </c>
      <c r="R5672" s="4">
        <v>430524</v>
      </c>
      <c r="S5672" t="s">
        <v>21934</v>
      </c>
      <c r="T5672" s="6">
        <v>36251</v>
      </c>
      <c r="U5672" s="4">
        <v>187000</v>
      </c>
      <c r="X5672" t="s">
        <v>3</v>
      </c>
      <c r="AA5672" s="5" t="str">
        <f>HYPERLINK("https://www.zillow.com/homes/500-RIDGEFIELD-DR-ROSELLE-IL-60172_rb/","check listing")</f>
        <v>check listing</v>
      </c>
      <c r="AB5672" s="5" t="str">
        <f>HYPERLINK("https://propertylookup.dupagecounty.gov/Datalets/Datalet.aspx?UseSearch=no&amp;mode=sales&amp;pin=0209212008","sales record")</f>
        <v>sales record</v>
      </c>
      <c r="AC5672" t="s">
        <v>3</v>
      </c>
      <c r="AD5672">
        <v>41.973865</v>
      </c>
      <c r="AE5672">
        <v>-88.09793000000001</v>
      </c>
      <c r="AF5672" s="5" t="str">
        <f>HYPERLINK("https://www.google.com/maps/search/?api=1&amp;query=41.973865,-88.09793","map")</f>
        <v>map</v>
      </c>
    </row>
    <row r="5673" spans="1:32">
      <c r="A5673" t="s">
        <v>5723</v>
      </c>
      <c r="B5673" t="s">
        <v>13248</v>
      </c>
      <c r="C5673" t="s">
        <v>15830</v>
      </c>
      <c r="D5673" t="s">
        <v>16207</v>
      </c>
      <c r="E5673" t="s">
        <v>16218</v>
      </c>
      <c r="F5673" t="s">
        <v>16221</v>
      </c>
      <c r="G5673" t="s">
        <v>16241</v>
      </c>
      <c r="H5673" t="s">
        <v>16241</v>
      </c>
      <c r="I5673" t="s">
        <v>16355</v>
      </c>
      <c r="J5673" t="s">
        <v>16385</v>
      </c>
      <c r="K5673">
        <v>0.156</v>
      </c>
      <c r="L5673">
        <v>6795</v>
      </c>
      <c r="M5673">
        <v>1814</v>
      </c>
      <c r="N5673" t="s">
        <v>16393</v>
      </c>
      <c r="O5673" s="4">
        <v>38692</v>
      </c>
      <c r="P5673" s="4">
        <v>76463</v>
      </c>
      <c r="Q5673" s="4">
        <v>115155</v>
      </c>
      <c r="R5673" s="4">
        <v>345465</v>
      </c>
      <c r="S5673" t="s">
        <v>21935</v>
      </c>
      <c r="T5673" s="6">
        <v>35462</v>
      </c>
      <c r="U5673" s="4">
        <v>147000</v>
      </c>
      <c r="X5673" t="s">
        <v>3</v>
      </c>
      <c r="AA5673" s="5" t="str">
        <f>HYPERLINK("https://www.zillow.com/homes/465-HAMPTON-LN-ROSELLE-IL-60172_rb/","check listing")</f>
        <v>check listing</v>
      </c>
      <c r="AB5673" s="5" t="str">
        <f>HYPERLINK("https://propertylookup.dupagecounty.gov/Datalets/Datalet.aspx?UseSearch=no&amp;mode=sales&amp;pin=0208208004","sales record")</f>
        <v>sales record</v>
      </c>
      <c r="AC5673" t="s">
        <v>3</v>
      </c>
      <c r="AD5673">
        <v>41.974093</v>
      </c>
      <c r="AE5673">
        <v>-88.11123000000001</v>
      </c>
      <c r="AF5673" s="5" t="str">
        <f>HYPERLINK("https://www.google.com/maps/search/?api=1&amp;query=41.974093,-88.11123","map")</f>
        <v>map</v>
      </c>
    </row>
    <row r="5674" spans="1:32">
      <c r="A5674" t="s">
        <v>5724</v>
      </c>
      <c r="B5674" t="s">
        <v>13249</v>
      </c>
      <c r="C5674" t="s">
        <v>15830</v>
      </c>
      <c r="D5674" t="s">
        <v>16207</v>
      </c>
      <c r="E5674" t="s">
        <v>16218</v>
      </c>
      <c r="F5674" t="s">
        <v>16221</v>
      </c>
      <c r="G5674" t="s">
        <v>16241</v>
      </c>
      <c r="H5674" t="s">
        <v>16241</v>
      </c>
      <c r="I5674" t="s">
        <v>16355</v>
      </c>
      <c r="J5674" t="s">
        <v>16385</v>
      </c>
      <c r="K5674">
        <v>0.156</v>
      </c>
      <c r="L5674">
        <v>6794</v>
      </c>
      <c r="M5674">
        <v>2144</v>
      </c>
      <c r="N5674" t="s">
        <v>16393</v>
      </c>
      <c r="O5674" s="4">
        <v>45278</v>
      </c>
      <c r="P5674" s="4">
        <v>94249</v>
      </c>
      <c r="Q5674" s="4">
        <v>139527</v>
      </c>
      <c r="R5674" s="4">
        <v>418581</v>
      </c>
      <c r="S5674" t="s">
        <v>21936</v>
      </c>
      <c r="T5674" s="6">
        <v>31229</v>
      </c>
      <c r="U5674" s="4">
        <v>99000</v>
      </c>
      <c r="X5674" t="s">
        <v>3</v>
      </c>
      <c r="AA5674" s="5" t="str">
        <f>HYPERLINK("https://www.zillow.com/homes/105-CHATHAM-LN-ROSELLE-IL-60172_rb/","check listing")</f>
        <v>check listing</v>
      </c>
      <c r="AB5674" s="5" t="str">
        <f>HYPERLINK("https://propertylookup.dupagecounty.gov/Datalets/Datalet.aspx?UseSearch=no&amp;mode=sales&amp;pin=0205402003","sales record")</f>
        <v>sales record</v>
      </c>
      <c r="AC5674" t="s">
        <v>3</v>
      </c>
      <c r="AD5674">
        <v>41.980567</v>
      </c>
      <c r="AE5674">
        <v>-88.114559</v>
      </c>
      <c r="AF5674" s="5" t="str">
        <f>HYPERLINK("https://www.google.com/maps/search/?api=1&amp;query=41.980567,-88.114559","map")</f>
        <v>map</v>
      </c>
    </row>
    <row r="5675" spans="1:32">
      <c r="A5675" t="s">
        <v>5725</v>
      </c>
      <c r="B5675" t="s">
        <v>13250</v>
      </c>
      <c r="C5675" t="s">
        <v>15830</v>
      </c>
      <c r="D5675" t="s">
        <v>16207</v>
      </c>
      <c r="E5675" t="s">
        <v>16218</v>
      </c>
      <c r="F5675" t="s">
        <v>16221</v>
      </c>
      <c r="G5675" t="s">
        <v>16241</v>
      </c>
      <c r="H5675" t="s">
        <v>16241</v>
      </c>
      <c r="I5675" t="s">
        <v>16355</v>
      </c>
      <c r="J5675" t="s">
        <v>16385</v>
      </c>
      <c r="K5675">
        <v>0.156</v>
      </c>
      <c r="L5675">
        <v>6794</v>
      </c>
      <c r="M5675">
        <v>1451</v>
      </c>
      <c r="N5675" t="s">
        <v>16393</v>
      </c>
      <c r="O5675" s="4">
        <v>38692</v>
      </c>
      <c r="P5675" s="4">
        <v>80097</v>
      </c>
      <c r="Q5675" s="4">
        <v>118789</v>
      </c>
      <c r="R5675" s="4">
        <v>356367</v>
      </c>
      <c r="S5675" t="s">
        <v>21937</v>
      </c>
      <c r="T5675" s="6">
        <v>43282</v>
      </c>
      <c r="U5675" s="4">
        <v>244000</v>
      </c>
      <c r="V5675" t="s">
        <v>23739</v>
      </c>
      <c r="W5675" t="s">
        <v>26899</v>
      </c>
      <c r="X5675" t="s">
        <v>3</v>
      </c>
      <c r="AA5675" s="5" t="str">
        <f>HYPERLINK("https://www.zillow.com/homes/1111-BRYN-MAWR-AVE-ROSELLE-IL-60172_rb/","check listing")</f>
        <v>check listing</v>
      </c>
      <c r="AB5675" s="5" t="str">
        <f>HYPERLINK("https://propertylookup.dupagecounty.gov/Datalets/Datalet.aspx?UseSearch=no&amp;mode=sales&amp;pin=0209119017","sales record")</f>
        <v>sales record</v>
      </c>
      <c r="AC5675" t="s">
        <v>3</v>
      </c>
      <c r="AD5675">
        <v>41.972564</v>
      </c>
      <c r="AE5675">
        <v>-88.10829</v>
      </c>
      <c r="AF5675" s="5" t="str">
        <f>HYPERLINK("https://www.google.com/maps/search/?api=1&amp;query=41.972564,-88.10829","map")</f>
        <v>map</v>
      </c>
    </row>
    <row r="5676" spans="1:32">
      <c r="A5676" t="s">
        <v>5726</v>
      </c>
      <c r="B5676" t="s">
        <v>13251</v>
      </c>
      <c r="C5676" t="s">
        <v>15924</v>
      </c>
      <c r="D5676" t="s">
        <v>16207</v>
      </c>
      <c r="E5676" t="s">
        <v>16218</v>
      </c>
      <c r="F5676" t="s">
        <v>16221</v>
      </c>
      <c r="G5676" t="s">
        <v>16241</v>
      </c>
      <c r="H5676" t="s">
        <v>16241</v>
      </c>
      <c r="I5676" t="s">
        <v>16355</v>
      </c>
      <c r="J5676" t="s">
        <v>16385</v>
      </c>
      <c r="K5676">
        <v>0.156</v>
      </c>
      <c r="L5676">
        <v>6793</v>
      </c>
      <c r="M5676">
        <v>1975</v>
      </c>
      <c r="N5676" t="s">
        <v>16393</v>
      </c>
      <c r="O5676" s="4">
        <v>45278</v>
      </c>
      <c r="P5676" s="4">
        <v>100119</v>
      </c>
      <c r="Q5676" s="4">
        <v>145397</v>
      </c>
      <c r="R5676" s="4">
        <v>436191</v>
      </c>
      <c r="S5676" t="s">
        <v>21938</v>
      </c>
      <c r="T5676" s="6">
        <v>40360</v>
      </c>
      <c r="U5676" s="4">
        <v>287500</v>
      </c>
      <c r="V5676" t="s">
        <v>23739</v>
      </c>
      <c r="W5676" t="s">
        <v>26900</v>
      </c>
      <c r="X5676" t="s">
        <v>3</v>
      </c>
      <c r="AA5676" s="5" t="str">
        <f>HYPERLINK("https://www.zillow.com/homes/1160-HYGATE-DR-ROSELLE-IL-601721724_rb/","check listing")</f>
        <v>check listing</v>
      </c>
      <c r="AB5676" s="5" t="str">
        <f>HYPERLINK("https://propertylookup.dupagecounty.gov/Datalets/Datalet.aspx?UseSearch=no&amp;mode=sales&amp;pin=0204309031","sales record")</f>
        <v>sales record</v>
      </c>
      <c r="AC5676" t="s">
        <v>3</v>
      </c>
      <c r="AD5676">
        <v>41.980811</v>
      </c>
      <c r="AE5676">
        <v>-88.109584</v>
      </c>
      <c r="AF5676" s="5" t="str">
        <f>HYPERLINK("https://www.google.com/maps/search/?api=1&amp;query=41.980811,-88.109584","map")</f>
        <v>map</v>
      </c>
    </row>
    <row r="5677" spans="1:32">
      <c r="A5677" t="s">
        <v>5727</v>
      </c>
      <c r="B5677" t="s">
        <v>13252</v>
      </c>
      <c r="C5677" t="s">
        <v>15830</v>
      </c>
      <c r="D5677" t="s">
        <v>16207</v>
      </c>
      <c r="E5677" t="s">
        <v>16218</v>
      </c>
      <c r="F5677" t="s">
        <v>16221</v>
      </c>
      <c r="G5677" t="s">
        <v>16241</v>
      </c>
      <c r="H5677" t="s">
        <v>16241</v>
      </c>
      <c r="I5677" t="s">
        <v>16355</v>
      </c>
      <c r="J5677" t="s">
        <v>16385</v>
      </c>
      <c r="K5677">
        <v>0.156</v>
      </c>
      <c r="L5677">
        <v>6778</v>
      </c>
      <c r="M5677">
        <v>1644</v>
      </c>
      <c r="N5677" t="s">
        <v>16393</v>
      </c>
      <c r="O5677" s="4">
        <v>38692</v>
      </c>
      <c r="P5677" s="4">
        <v>84544</v>
      </c>
      <c r="Q5677" s="4">
        <v>123236</v>
      </c>
      <c r="R5677" s="4">
        <v>369708</v>
      </c>
      <c r="S5677" t="s">
        <v>21939</v>
      </c>
      <c r="T5677" s="6">
        <v>36586</v>
      </c>
      <c r="U5677" s="4">
        <v>172500</v>
      </c>
      <c r="V5677" t="s">
        <v>23739</v>
      </c>
      <c r="W5677" t="s">
        <v>21939</v>
      </c>
      <c r="X5677" t="s">
        <v>3</v>
      </c>
      <c r="AA5677" s="5" t="str">
        <f>HYPERLINK("https://www.zillow.com/homes/401-DOVER-DR-ROSELLE-IL-60172_rb/","check listing")</f>
        <v>check listing</v>
      </c>
      <c r="AB5677" s="5" t="str">
        <f>HYPERLINK("https://propertylookup.dupagecounty.gov/Datalets/Datalet.aspx?UseSearch=no&amp;mode=sales&amp;pin=0209105002","sales record")</f>
        <v>sales record</v>
      </c>
      <c r="AC5677" t="s">
        <v>27873</v>
      </c>
      <c r="AD5677">
        <v>41.975183</v>
      </c>
      <c r="AE5677">
        <v>-88.110439</v>
      </c>
      <c r="AF5677" s="5" t="str">
        <f>HYPERLINK("https://www.google.com/maps/search/?api=1&amp;query=41.975183,-88.110439","map")</f>
        <v>map</v>
      </c>
    </row>
    <row r="5678" spans="1:32">
      <c r="A5678" t="s">
        <v>5728</v>
      </c>
      <c r="B5678" t="s">
        <v>13253</v>
      </c>
      <c r="C5678" t="s">
        <v>15830</v>
      </c>
      <c r="D5678" t="s">
        <v>16207</v>
      </c>
      <c r="E5678" t="s">
        <v>16218</v>
      </c>
      <c r="F5678" t="s">
        <v>16221</v>
      </c>
      <c r="G5678" t="s">
        <v>16241</v>
      </c>
      <c r="H5678" t="s">
        <v>16241</v>
      </c>
      <c r="I5678" t="s">
        <v>16355</v>
      </c>
      <c r="J5678" t="s">
        <v>16385</v>
      </c>
      <c r="K5678">
        <v>0.156</v>
      </c>
      <c r="L5678">
        <v>6777</v>
      </c>
      <c r="M5678">
        <v>1452</v>
      </c>
      <c r="N5678" t="s">
        <v>16393</v>
      </c>
      <c r="O5678" s="4">
        <v>38692</v>
      </c>
      <c r="P5678" s="4">
        <v>77444</v>
      </c>
      <c r="Q5678" s="4">
        <v>116136</v>
      </c>
      <c r="R5678" s="4">
        <v>348408</v>
      </c>
      <c r="S5678" t="s">
        <v>21940</v>
      </c>
      <c r="T5678" s="6">
        <v>32021</v>
      </c>
      <c r="U5678" s="4">
        <v>93000</v>
      </c>
      <c r="X5678" t="s">
        <v>3</v>
      </c>
      <c r="AA5678" s="5" t="str">
        <f>HYPERLINK("https://www.zillow.com/homes/479-WATERBURY-LN-ROSELLE-IL-60172_rb/","check listing")</f>
        <v>check listing</v>
      </c>
      <c r="AB5678" s="5" t="str">
        <f>HYPERLINK("https://propertylookup.dupagecounty.gov/Datalets/Datalet.aspx?UseSearch=no&amp;mode=sales&amp;pin=0209107011","sales record")</f>
        <v>sales record</v>
      </c>
      <c r="AC5678" t="s">
        <v>3</v>
      </c>
      <c r="AD5678">
        <v>41.974053</v>
      </c>
      <c r="AE5678">
        <v>-88.109272</v>
      </c>
      <c r="AF5678" s="5" t="str">
        <f>HYPERLINK("https://www.google.com/maps/search/?api=1&amp;query=41.974053,-88.109272","map")</f>
        <v>map</v>
      </c>
    </row>
    <row r="5679" spans="1:32">
      <c r="A5679" t="s">
        <v>5729</v>
      </c>
      <c r="B5679" t="s">
        <v>13254</v>
      </c>
      <c r="C5679" t="s">
        <v>15925</v>
      </c>
      <c r="D5679" t="s">
        <v>16207</v>
      </c>
      <c r="E5679" t="s">
        <v>16218</v>
      </c>
      <c r="F5679" t="s">
        <v>16221</v>
      </c>
      <c r="G5679" t="s">
        <v>16241</v>
      </c>
      <c r="H5679" t="s">
        <v>16241</v>
      </c>
      <c r="I5679" t="s">
        <v>16355</v>
      </c>
      <c r="J5679" t="s">
        <v>16385</v>
      </c>
      <c r="K5679">
        <v>0.155</v>
      </c>
      <c r="L5679">
        <v>6771</v>
      </c>
      <c r="M5679">
        <v>2137</v>
      </c>
      <c r="N5679" t="s">
        <v>16393</v>
      </c>
      <c r="O5679" s="4">
        <v>45278</v>
      </c>
      <c r="P5679" s="4">
        <v>104792</v>
      </c>
      <c r="Q5679" s="4">
        <v>150070</v>
      </c>
      <c r="R5679" s="4">
        <v>450210</v>
      </c>
      <c r="S5679" t="s">
        <v>21941</v>
      </c>
      <c r="T5679" s="6">
        <v>42917</v>
      </c>
      <c r="U5679" s="4">
        <v>337500</v>
      </c>
      <c r="V5679" t="s">
        <v>23740</v>
      </c>
      <c r="W5679" t="s">
        <v>21941</v>
      </c>
      <c r="X5679" t="s">
        <v>3</v>
      </c>
      <c r="AA5679" s="5" t="str">
        <f>HYPERLINK("https://www.zillow.com/homes/465-S-GARDEN-AVE-ROSELLE-IL-601722866_rb/","check listing")</f>
        <v>check listing</v>
      </c>
      <c r="AB5679" s="5" t="str">
        <f>HYPERLINK("https://propertylookup.dupagecounty.gov/Datalets/Datalet.aspx?UseSearch=no&amp;mode=sales&amp;pin=0209115010","sales record")</f>
        <v>sales record</v>
      </c>
      <c r="AC5679" t="s">
        <v>3</v>
      </c>
      <c r="AD5679">
        <v>41.974623</v>
      </c>
      <c r="AE5679">
        <v>-88.103477</v>
      </c>
      <c r="AF5679" s="5" t="str">
        <f>HYPERLINK("https://www.google.com/maps/search/?api=1&amp;query=41.974623,-88.103477","map")</f>
        <v>map</v>
      </c>
    </row>
    <row r="5680" spans="1:32">
      <c r="A5680" t="s">
        <v>5730</v>
      </c>
      <c r="B5680" t="s">
        <v>13255</v>
      </c>
      <c r="C5680" t="s">
        <v>15926</v>
      </c>
      <c r="D5680" t="s">
        <v>16207</v>
      </c>
      <c r="E5680" t="s">
        <v>16218</v>
      </c>
      <c r="F5680" t="s">
        <v>16221</v>
      </c>
      <c r="G5680" t="s">
        <v>16241</v>
      </c>
      <c r="H5680" t="s">
        <v>16241</v>
      </c>
      <c r="I5680" t="s">
        <v>16355</v>
      </c>
      <c r="J5680" t="s">
        <v>16385</v>
      </c>
      <c r="K5680">
        <v>0.155</v>
      </c>
      <c r="L5680">
        <v>6771</v>
      </c>
      <c r="M5680">
        <v>1814</v>
      </c>
      <c r="N5680" t="s">
        <v>16393</v>
      </c>
      <c r="O5680" s="4">
        <v>38692</v>
      </c>
      <c r="P5680" s="4">
        <v>80002</v>
      </c>
      <c r="Q5680" s="4">
        <v>118694</v>
      </c>
      <c r="R5680" s="4">
        <v>356082</v>
      </c>
      <c r="S5680" t="s">
        <v>21942</v>
      </c>
      <c r="T5680" s="6">
        <v>42856</v>
      </c>
      <c r="U5680" s="4">
        <v>265000</v>
      </c>
      <c r="V5680" t="s">
        <v>23739</v>
      </c>
      <c r="W5680" t="s">
        <v>26901</v>
      </c>
      <c r="X5680" t="s">
        <v>3</v>
      </c>
      <c r="AA5680" s="5" t="str">
        <f>HYPERLINK("https://www.zillow.com/homes/570-RADNOR-DR-ROSELLE-IL-601722741_rb/","check listing")</f>
        <v>check listing</v>
      </c>
      <c r="AB5680" s="5" t="str">
        <f>HYPERLINK("https://propertylookup.dupagecounty.gov/Datalets/Datalet.aspx?UseSearch=no&amp;mode=sales&amp;pin=0209121024","sales record")</f>
        <v>sales record</v>
      </c>
      <c r="AC5680" t="s">
        <v>3</v>
      </c>
      <c r="AD5680">
        <v>41.972325</v>
      </c>
      <c r="AE5680">
        <v>-88.105942</v>
      </c>
      <c r="AF5680" s="5" t="str">
        <f>HYPERLINK("https://www.google.com/maps/search/?api=1&amp;query=41.972325,-88.105942","map")</f>
        <v>map</v>
      </c>
    </row>
    <row r="5681" spans="1:32">
      <c r="A5681" t="s">
        <v>5731</v>
      </c>
      <c r="B5681" t="s">
        <v>13256</v>
      </c>
      <c r="C5681" t="s">
        <v>15830</v>
      </c>
      <c r="D5681" t="s">
        <v>16207</v>
      </c>
      <c r="E5681" t="s">
        <v>16218</v>
      </c>
      <c r="F5681" t="s">
        <v>16221</v>
      </c>
      <c r="G5681" t="s">
        <v>16241</v>
      </c>
      <c r="H5681" t="s">
        <v>16241</v>
      </c>
      <c r="I5681" t="s">
        <v>16355</v>
      </c>
      <c r="J5681" t="s">
        <v>16385</v>
      </c>
      <c r="K5681">
        <v>0.155</v>
      </c>
      <c r="L5681">
        <v>6769</v>
      </c>
      <c r="M5681">
        <v>1583</v>
      </c>
      <c r="N5681" t="s">
        <v>16393</v>
      </c>
      <c r="O5681" s="4">
        <v>38692</v>
      </c>
      <c r="P5681" s="4">
        <v>81544</v>
      </c>
      <c r="Q5681" s="4">
        <v>120236</v>
      </c>
      <c r="R5681" s="4">
        <v>360708</v>
      </c>
      <c r="S5681" t="s">
        <v>21943</v>
      </c>
      <c r="T5681" s="6">
        <v>38626</v>
      </c>
      <c r="U5681" s="4">
        <v>287000</v>
      </c>
      <c r="V5681" t="s">
        <v>23739</v>
      </c>
      <c r="W5681" t="s">
        <v>26902</v>
      </c>
      <c r="X5681" t="s">
        <v>3</v>
      </c>
      <c r="AA5681" s="5" t="str">
        <f>HYPERLINK("https://www.zillow.com/homes/240-ASHLEY-CT-ROSELLE-IL-60172_rb/","check listing")</f>
        <v>check listing</v>
      </c>
      <c r="AB5681" s="5" t="str">
        <f>HYPERLINK("https://propertylookup.dupagecounty.gov/Datalets/Datalet.aspx?UseSearch=no&amp;mode=sales&amp;pin=0204313020","sales record")</f>
        <v>sales record</v>
      </c>
      <c r="AC5681" t="s">
        <v>3</v>
      </c>
      <c r="AD5681">
        <v>41.978358</v>
      </c>
      <c r="AE5681">
        <v>-88.10981</v>
      </c>
      <c r="AF5681" s="5" t="str">
        <f>HYPERLINK("https://www.google.com/maps/search/?api=1&amp;query=41.978358,-88.10981","map")</f>
        <v>map</v>
      </c>
    </row>
    <row r="5682" spans="1:32">
      <c r="A5682" t="s">
        <v>5732</v>
      </c>
      <c r="B5682" t="s">
        <v>13257</v>
      </c>
      <c r="C5682" t="s">
        <v>15830</v>
      </c>
      <c r="D5682" t="s">
        <v>16207</v>
      </c>
      <c r="E5682" t="s">
        <v>16218</v>
      </c>
      <c r="F5682" t="s">
        <v>16221</v>
      </c>
      <c r="G5682" t="s">
        <v>16241</v>
      </c>
      <c r="H5682" t="s">
        <v>16241</v>
      </c>
      <c r="I5682" t="s">
        <v>16355</v>
      </c>
      <c r="J5682" t="s">
        <v>16385</v>
      </c>
      <c r="K5682">
        <v>0.155</v>
      </c>
      <c r="L5682">
        <v>6765</v>
      </c>
      <c r="M5682">
        <v>2301</v>
      </c>
      <c r="N5682" t="s">
        <v>16393</v>
      </c>
      <c r="O5682" s="4">
        <v>45278</v>
      </c>
      <c r="P5682" s="4">
        <v>88811</v>
      </c>
      <c r="Q5682" s="4">
        <v>134089</v>
      </c>
      <c r="R5682" s="4">
        <v>402267</v>
      </c>
      <c r="S5682" t="s">
        <v>21944</v>
      </c>
      <c r="T5682" s="6">
        <v>41487</v>
      </c>
      <c r="U5682" s="4">
        <v>223800</v>
      </c>
      <c r="V5682" t="s">
        <v>16232</v>
      </c>
      <c r="W5682" t="s">
        <v>26903</v>
      </c>
      <c r="X5682" t="s">
        <v>3</v>
      </c>
      <c r="AA5682" s="5" t="str">
        <f>HYPERLINK("https://www.zillow.com/homes/465-RIDGEFIELD-DR-ROSELLE-IL-60172_rb/","check listing")</f>
        <v>check listing</v>
      </c>
      <c r="AB5682" s="5" t="str">
        <f>HYPERLINK("https://propertylookup.dupagecounty.gov/Datalets/Datalet.aspx?UseSearch=no&amp;mode=sales&amp;pin=0209202025","sales record")</f>
        <v>sales record</v>
      </c>
      <c r="AC5682" t="s">
        <v>3</v>
      </c>
      <c r="AD5682">
        <v>41.97451</v>
      </c>
      <c r="AE5682">
        <v>-88.09765899999999</v>
      </c>
      <c r="AF5682" s="5" t="str">
        <f>HYPERLINK("https://www.google.com/maps/search/?api=1&amp;query=41.97451,-88.097659","map")</f>
        <v>map</v>
      </c>
    </row>
    <row r="5683" spans="1:32">
      <c r="A5683" t="s">
        <v>5733</v>
      </c>
      <c r="B5683" t="s">
        <v>13258</v>
      </c>
      <c r="C5683" t="s">
        <v>15830</v>
      </c>
      <c r="D5683" t="s">
        <v>16207</v>
      </c>
      <c r="E5683" t="s">
        <v>16218</v>
      </c>
      <c r="F5683" t="s">
        <v>16221</v>
      </c>
      <c r="G5683" t="s">
        <v>16241</v>
      </c>
      <c r="H5683" t="s">
        <v>16241</v>
      </c>
      <c r="I5683" t="s">
        <v>16355</v>
      </c>
      <c r="J5683" t="s">
        <v>16385</v>
      </c>
      <c r="K5683">
        <v>0.155</v>
      </c>
      <c r="L5683">
        <v>6763</v>
      </c>
      <c r="M5683">
        <v>2310</v>
      </c>
      <c r="N5683" t="s">
        <v>16393</v>
      </c>
      <c r="O5683" s="4">
        <v>45278</v>
      </c>
      <c r="P5683" s="4">
        <v>91477</v>
      </c>
      <c r="Q5683" s="4">
        <v>136755</v>
      </c>
      <c r="R5683" s="4">
        <v>410265</v>
      </c>
      <c r="S5683" t="s">
        <v>21945</v>
      </c>
      <c r="T5683" s="6">
        <v>32660</v>
      </c>
      <c r="U5683" s="4">
        <v>130000</v>
      </c>
      <c r="X5683" t="s">
        <v>3</v>
      </c>
      <c r="AA5683" s="5" t="str">
        <f>HYPERLINK("https://www.zillow.com/homes/729-EDENWOOD-DR-ROSELLE-IL-60172_rb/","check listing")</f>
        <v>check listing</v>
      </c>
      <c r="AB5683" s="5" t="str">
        <f>HYPERLINK("https://propertylookup.dupagecounty.gov/Datalets/Datalet.aspx?UseSearch=no&amp;mode=sales&amp;pin=0209203032","sales record")</f>
        <v>sales record</v>
      </c>
      <c r="AC5683" t="s">
        <v>3</v>
      </c>
      <c r="AD5683">
        <v>41.972114</v>
      </c>
      <c r="AE5683">
        <v>-88.098859</v>
      </c>
      <c r="AF5683" s="5" t="str">
        <f>HYPERLINK("https://www.google.com/maps/search/?api=1&amp;query=41.972114,-88.098859","map")</f>
        <v>map</v>
      </c>
    </row>
    <row r="5684" spans="1:32">
      <c r="A5684" t="s">
        <v>5734</v>
      </c>
      <c r="B5684" t="s">
        <v>13259</v>
      </c>
      <c r="C5684" t="s">
        <v>15830</v>
      </c>
      <c r="D5684" t="s">
        <v>16207</v>
      </c>
      <c r="E5684" t="s">
        <v>16218</v>
      </c>
      <c r="F5684" t="s">
        <v>16221</v>
      </c>
      <c r="G5684" t="s">
        <v>16241</v>
      </c>
      <c r="H5684" t="s">
        <v>16241</v>
      </c>
      <c r="I5684" t="s">
        <v>16355</v>
      </c>
      <c r="J5684" t="s">
        <v>16385</v>
      </c>
      <c r="K5684">
        <v>0.155</v>
      </c>
      <c r="L5684">
        <v>6761</v>
      </c>
      <c r="M5684">
        <v>1629</v>
      </c>
      <c r="N5684" t="s">
        <v>16393</v>
      </c>
      <c r="O5684" s="4">
        <v>38692</v>
      </c>
      <c r="P5684" s="4">
        <v>89480</v>
      </c>
      <c r="Q5684" s="4">
        <v>128172</v>
      </c>
      <c r="R5684" s="4">
        <v>384516</v>
      </c>
      <c r="S5684" t="s">
        <v>21946</v>
      </c>
      <c r="T5684" s="6">
        <v>34820</v>
      </c>
      <c r="U5684" s="4">
        <v>142000</v>
      </c>
      <c r="X5684" t="s">
        <v>3</v>
      </c>
      <c r="AA5684" s="5" t="str">
        <f>HYPERLINK("https://www.zillow.com/homes/758-BERWICK-PL-ROSELLE-IL-60172_rb/","check listing")</f>
        <v>check listing</v>
      </c>
      <c r="AB5684" s="5" t="str">
        <f>HYPERLINK("https://propertylookup.dupagecounty.gov/Datalets/Datalet.aspx?UseSearch=no&amp;mode=sales&amp;pin=0209124002","sales record")</f>
        <v>sales record</v>
      </c>
      <c r="AC5684" t="s">
        <v>3</v>
      </c>
      <c r="AD5684">
        <v>41.969023</v>
      </c>
      <c r="AE5684">
        <v>-88.110309</v>
      </c>
      <c r="AF5684" s="5" t="str">
        <f>HYPERLINK("https://www.google.com/maps/search/?api=1&amp;query=41.969023,-88.110309","map")</f>
        <v>map</v>
      </c>
    </row>
    <row r="5685" spans="1:32">
      <c r="A5685" t="s">
        <v>5735</v>
      </c>
      <c r="B5685" t="s">
        <v>13260</v>
      </c>
      <c r="C5685" t="s">
        <v>15927</v>
      </c>
      <c r="D5685" t="s">
        <v>16207</v>
      </c>
      <c r="E5685" t="s">
        <v>16218</v>
      </c>
      <c r="F5685" t="s">
        <v>16221</v>
      </c>
      <c r="G5685" t="s">
        <v>16241</v>
      </c>
      <c r="H5685" t="s">
        <v>16241</v>
      </c>
      <c r="I5685" t="s">
        <v>16355</v>
      </c>
      <c r="J5685" t="s">
        <v>16385</v>
      </c>
      <c r="K5685">
        <v>0.155</v>
      </c>
      <c r="L5685">
        <v>6761</v>
      </c>
      <c r="M5685">
        <v>1979</v>
      </c>
      <c r="N5685" t="s">
        <v>16393</v>
      </c>
      <c r="O5685" s="4">
        <v>38692</v>
      </c>
      <c r="P5685" s="4">
        <v>86026</v>
      </c>
      <c r="Q5685" s="4">
        <v>124718</v>
      </c>
      <c r="R5685" s="4">
        <v>374154</v>
      </c>
      <c r="S5685" t="s">
        <v>21947</v>
      </c>
      <c r="T5685" s="6">
        <v>44013</v>
      </c>
      <c r="U5685" s="4">
        <v>270000</v>
      </c>
      <c r="V5685" t="s">
        <v>23739</v>
      </c>
      <c r="W5685" t="s">
        <v>26904</v>
      </c>
      <c r="X5685" t="s">
        <v>3</v>
      </c>
      <c r="AA5685" s="5" t="str">
        <f>HYPERLINK("https://www.zillow.com/homes/565-RADNOR-DR-ROSELLE-IL-601722740_rb/","check listing")</f>
        <v>check listing</v>
      </c>
      <c r="AB5685" s="5" t="str">
        <f>HYPERLINK("https://propertylookup.dupagecounty.gov/Datalets/Datalet.aspx?UseSearch=no&amp;mode=sales&amp;pin=0209110033","sales record")</f>
        <v>sales record</v>
      </c>
      <c r="AC5685" t="s">
        <v>3</v>
      </c>
      <c r="AD5685">
        <v>41.972357</v>
      </c>
      <c r="AE5685">
        <v>-88.105378</v>
      </c>
      <c r="AF5685" s="5" t="str">
        <f>HYPERLINK("https://www.google.com/maps/search/?api=1&amp;query=41.972357,-88.105378","map")</f>
        <v>map</v>
      </c>
    </row>
    <row r="5686" spans="1:32">
      <c r="A5686" t="s">
        <v>5736</v>
      </c>
      <c r="B5686" t="s">
        <v>13261</v>
      </c>
      <c r="C5686" t="s">
        <v>15830</v>
      </c>
      <c r="D5686" t="s">
        <v>16207</v>
      </c>
      <c r="E5686" t="s">
        <v>16218</v>
      </c>
      <c r="F5686" t="s">
        <v>16221</v>
      </c>
      <c r="G5686" t="s">
        <v>16241</v>
      </c>
      <c r="H5686" t="s">
        <v>16241</v>
      </c>
      <c r="I5686" t="s">
        <v>16355</v>
      </c>
      <c r="J5686" t="s">
        <v>16385</v>
      </c>
      <c r="K5686">
        <v>0.155</v>
      </c>
      <c r="L5686">
        <v>6746</v>
      </c>
      <c r="M5686">
        <v>1323</v>
      </c>
      <c r="N5686" t="s">
        <v>16393</v>
      </c>
      <c r="O5686" s="4">
        <v>38692</v>
      </c>
      <c r="P5686" s="4">
        <v>75974</v>
      </c>
      <c r="Q5686" s="4">
        <v>114666</v>
      </c>
      <c r="R5686" s="4">
        <v>343998</v>
      </c>
      <c r="S5686" t="s">
        <v>21948</v>
      </c>
      <c r="T5686" s="6">
        <v>31625</v>
      </c>
      <c r="U5686" s="4">
        <v>87500</v>
      </c>
      <c r="X5686" t="s">
        <v>3</v>
      </c>
      <c r="AA5686" s="5" t="str">
        <f>HYPERLINK("https://www.zillow.com/homes/405-DOVER-DR-ROSELLE-IL-60172_rb/","check listing")</f>
        <v>check listing</v>
      </c>
      <c r="AB5686" s="5" t="str">
        <f>HYPERLINK("https://propertylookup.dupagecounty.gov/Datalets/Datalet.aspx?UseSearch=no&amp;mode=sales&amp;pin=0208211002","sales record")</f>
        <v>sales record</v>
      </c>
      <c r="AC5686" t="s">
        <v>27873</v>
      </c>
      <c r="AD5686">
        <v>41.975056</v>
      </c>
      <c r="AE5686">
        <v>-88.11053699999999</v>
      </c>
      <c r="AF5686" s="5" t="str">
        <f>HYPERLINK("https://www.google.com/maps/search/?api=1&amp;query=41.975056,-88.110537","map")</f>
        <v>map</v>
      </c>
    </row>
    <row r="5687" spans="1:32">
      <c r="A5687" t="s">
        <v>5737</v>
      </c>
      <c r="B5687" t="s">
        <v>13262</v>
      </c>
      <c r="C5687" t="s">
        <v>15830</v>
      </c>
      <c r="D5687" t="s">
        <v>16207</v>
      </c>
      <c r="E5687" t="s">
        <v>16218</v>
      </c>
      <c r="F5687" t="s">
        <v>16221</v>
      </c>
      <c r="G5687" t="s">
        <v>16241</v>
      </c>
      <c r="H5687" t="s">
        <v>16241</v>
      </c>
      <c r="I5687" t="s">
        <v>16355</v>
      </c>
      <c r="J5687" t="s">
        <v>16385</v>
      </c>
      <c r="K5687">
        <v>0.155</v>
      </c>
      <c r="L5687">
        <v>6732</v>
      </c>
      <c r="M5687">
        <v>990</v>
      </c>
      <c r="N5687" t="s">
        <v>16393</v>
      </c>
      <c r="O5687" s="4">
        <v>38692</v>
      </c>
      <c r="P5687" s="4">
        <v>77730</v>
      </c>
      <c r="Q5687" s="4">
        <v>116422</v>
      </c>
      <c r="R5687" s="4">
        <v>349266</v>
      </c>
      <c r="S5687" t="s">
        <v>21949</v>
      </c>
      <c r="T5687" s="6">
        <v>38443</v>
      </c>
      <c r="U5687" s="4">
        <v>245000</v>
      </c>
      <c r="V5687" t="s">
        <v>23739</v>
      </c>
      <c r="W5687" t="s">
        <v>21949</v>
      </c>
      <c r="X5687" t="s">
        <v>3</v>
      </c>
      <c r="AA5687" s="5" t="str">
        <f>HYPERLINK("https://www.zillow.com/homes/735-WOODSIDE-DR-ROSELLE-IL-60172_rb/","check listing")</f>
        <v>check listing</v>
      </c>
      <c r="AB5687" s="5" t="str">
        <f>HYPERLINK("https://propertylookup.dupagecounty.gov/Datalets/Datalet.aspx?UseSearch=no&amp;mode=sales&amp;pin=0209101040","sales record")</f>
        <v>sales record</v>
      </c>
      <c r="AC5687" t="s">
        <v>3</v>
      </c>
      <c r="AD5687">
        <v>41.969581</v>
      </c>
      <c r="AE5687">
        <v>-88.104525</v>
      </c>
      <c r="AF5687" s="5" t="str">
        <f>HYPERLINK("https://www.google.com/maps/search/?api=1&amp;query=41.969581,-88.104525","map")</f>
        <v>map</v>
      </c>
    </row>
    <row r="5688" spans="1:32">
      <c r="A5688" t="s">
        <v>5738</v>
      </c>
      <c r="B5688" t="s">
        <v>13263</v>
      </c>
      <c r="C5688" t="s">
        <v>15830</v>
      </c>
      <c r="D5688" t="s">
        <v>16207</v>
      </c>
      <c r="E5688" t="s">
        <v>16218</v>
      </c>
      <c r="F5688" t="s">
        <v>16221</v>
      </c>
      <c r="G5688" t="s">
        <v>16241</v>
      </c>
      <c r="H5688" t="s">
        <v>16241</v>
      </c>
      <c r="I5688" t="s">
        <v>16355</v>
      </c>
      <c r="J5688" t="s">
        <v>16385</v>
      </c>
      <c r="K5688">
        <v>0.154</v>
      </c>
      <c r="L5688">
        <v>6722</v>
      </c>
      <c r="M5688">
        <v>1251</v>
      </c>
      <c r="N5688" t="s">
        <v>16393</v>
      </c>
      <c r="O5688" s="4">
        <v>38692</v>
      </c>
      <c r="P5688" s="4">
        <v>79607</v>
      </c>
      <c r="Q5688" s="4">
        <v>118299</v>
      </c>
      <c r="R5688" s="4">
        <v>354897</v>
      </c>
      <c r="S5688" t="s">
        <v>21950</v>
      </c>
      <c r="T5688" s="6">
        <v>31079</v>
      </c>
      <c r="U5688" s="4">
        <v>76000</v>
      </c>
      <c r="X5688" t="s">
        <v>3</v>
      </c>
      <c r="AA5688" s="5" t="str">
        <f>HYPERLINK("https://www.zillow.com/homes/605-RODENBURG-RD-ROSELLE-IL-60172_rb/","check listing")</f>
        <v>check listing</v>
      </c>
      <c r="AB5688" s="5" t="str">
        <f>HYPERLINK("https://propertylookup.dupagecounty.gov/Datalets/Datalet.aspx?UseSearch=no&amp;mode=sales&amp;pin=0208214003","sales record")</f>
        <v>sales record</v>
      </c>
      <c r="AC5688" t="s">
        <v>3</v>
      </c>
      <c r="AD5688">
        <v>41.971811</v>
      </c>
      <c r="AE5688">
        <v>-88.111058</v>
      </c>
      <c r="AF5688" s="5" t="str">
        <f>HYPERLINK("https://www.google.com/maps/search/?api=1&amp;query=41.971811,-88.111058","map")</f>
        <v>map</v>
      </c>
    </row>
    <row r="5689" spans="1:32">
      <c r="A5689" t="s">
        <v>5739</v>
      </c>
      <c r="B5689" t="s">
        <v>13264</v>
      </c>
      <c r="C5689" t="s">
        <v>15830</v>
      </c>
      <c r="D5689" t="s">
        <v>16207</v>
      </c>
      <c r="E5689" t="s">
        <v>16218</v>
      </c>
      <c r="F5689" t="s">
        <v>16221</v>
      </c>
      <c r="G5689" t="s">
        <v>16241</v>
      </c>
      <c r="H5689" t="s">
        <v>16241</v>
      </c>
      <c r="I5689" t="s">
        <v>16355</v>
      </c>
      <c r="J5689" t="s">
        <v>16385</v>
      </c>
      <c r="K5689">
        <v>0.154</v>
      </c>
      <c r="L5689">
        <v>6721</v>
      </c>
      <c r="M5689">
        <v>1649</v>
      </c>
      <c r="N5689" t="s">
        <v>16393</v>
      </c>
      <c r="O5689" s="4">
        <v>38692</v>
      </c>
      <c r="P5689" s="4">
        <v>83839</v>
      </c>
      <c r="Q5689" s="4">
        <v>122531</v>
      </c>
      <c r="R5689" s="4">
        <v>367593</v>
      </c>
      <c r="S5689" t="s">
        <v>21951</v>
      </c>
      <c r="T5689" s="6">
        <v>45532</v>
      </c>
      <c r="U5689" s="4">
        <v>385000</v>
      </c>
      <c r="V5689" t="s">
        <v>23739</v>
      </c>
      <c r="W5689" t="s">
        <v>26905</v>
      </c>
      <c r="X5689" t="s">
        <v>3</v>
      </c>
      <c r="AA5689" s="5" t="str">
        <f>HYPERLINK("https://www.zillow.com/homes/645-RODENBURG-RD-ROSELLE-IL-60172_rb/","check listing")</f>
        <v>check listing</v>
      </c>
      <c r="AB5689" s="5" t="str">
        <f>HYPERLINK("https://propertylookup.dupagecounty.gov/Datalets/Datalet.aspx?UseSearch=no&amp;mode=sales&amp;pin=0208214007","sales record")</f>
        <v>sales record</v>
      </c>
      <c r="AC5689" t="s">
        <v>3</v>
      </c>
      <c r="AD5689">
        <v>41.97133</v>
      </c>
      <c r="AE5689">
        <v>-88.110556</v>
      </c>
      <c r="AF5689" s="5" t="str">
        <f>HYPERLINK("https://www.google.com/maps/search/?api=1&amp;query=41.97133,-88.110556","map")</f>
        <v>map</v>
      </c>
    </row>
    <row r="5690" spans="1:32">
      <c r="A5690" t="s">
        <v>5740</v>
      </c>
      <c r="B5690" t="s">
        <v>13265</v>
      </c>
      <c r="C5690" t="s">
        <v>15830</v>
      </c>
      <c r="D5690" t="s">
        <v>16207</v>
      </c>
      <c r="E5690" t="s">
        <v>16218</v>
      </c>
      <c r="F5690" t="s">
        <v>16221</v>
      </c>
      <c r="G5690" t="s">
        <v>16241</v>
      </c>
      <c r="H5690" t="s">
        <v>16241</v>
      </c>
      <c r="I5690" t="s">
        <v>16355</v>
      </c>
      <c r="J5690" t="s">
        <v>16385</v>
      </c>
      <c r="K5690">
        <v>0.154</v>
      </c>
      <c r="L5690">
        <v>6709</v>
      </c>
      <c r="M5690">
        <v>2132</v>
      </c>
      <c r="N5690" t="s">
        <v>16393</v>
      </c>
      <c r="O5690" s="4">
        <v>45278</v>
      </c>
      <c r="P5690" s="4">
        <v>98911</v>
      </c>
      <c r="Q5690" s="4">
        <v>144189</v>
      </c>
      <c r="R5690" s="4">
        <v>432567</v>
      </c>
      <c r="S5690" t="s">
        <v>21952</v>
      </c>
      <c r="T5690" s="6">
        <v>32629</v>
      </c>
      <c r="U5690" s="4">
        <v>137500</v>
      </c>
      <c r="X5690" t="s">
        <v>3</v>
      </c>
      <c r="AA5690" s="5" t="str">
        <f>HYPERLINK("https://www.zillow.com/homes/535-DALTON-LN-ROSELLE-IL-60172_rb/","check listing")</f>
        <v>check listing</v>
      </c>
      <c r="AB5690" s="5" t="str">
        <f>HYPERLINK("https://propertylookup.dupagecounty.gov/Datalets/Datalet.aspx?UseSearch=no&amp;mode=sales&amp;pin=0209213010","sales record")</f>
        <v>sales record</v>
      </c>
      <c r="AC5690" t="s">
        <v>3</v>
      </c>
      <c r="AD5690">
        <v>41.97322</v>
      </c>
      <c r="AE5690">
        <v>-88.099205</v>
      </c>
      <c r="AF5690" s="5" t="str">
        <f>HYPERLINK("https://www.google.com/maps/search/?api=1&amp;query=41.97322,-88.099205","map")</f>
        <v>map</v>
      </c>
    </row>
    <row r="5691" spans="1:32">
      <c r="A5691" t="s">
        <v>5741</v>
      </c>
      <c r="B5691" t="s">
        <v>13266</v>
      </c>
      <c r="C5691" t="s">
        <v>15928</v>
      </c>
      <c r="D5691" t="s">
        <v>16207</v>
      </c>
      <c r="E5691" t="s">
        <v>16218</v>
      </c>
      <c r="F5691" t="s">
        <v>16221</v>
      </c>
      <c r="G5691" t="s">
        <v>16241</v>
      </c>
      <c r="H5691" t="s">
        <v>16241</v>
      </c>
      <c r="I5691" t="s">
        <v>16355</v>
      </c>
      <c r="J5691" t="s">
        <v>16385</v>
      </c>
      <c r="K5691">
        <v>0.154</v>
      </c>
      <c r="L5691">
        <v>6705</v>
      </c>
      <c r="M5691">
        <v>1715</v>
      </c>
      <c r="N5691" t="s">
        <v>16393</v>
      </c>
      <c r="O5691" s="4">
        <v>45278</v>
      </c>
      <c r="P5691" s="4">
        <v>97572</v>
      </c>
      <c r="Q5691" s="4">
        <v>142850</v>
      </c>
      <c r="R5691" s="4">
        <v>428550</v>
      </c>
      <c r="S5691" t="s">
        <v>21953</v>
      </c>
      <c r="T5691" s="6">
        <v>43709</v>
      </c>
      <c r="U5691" s="4">
        <v>305100</v>
      </c>
      <c r="V5691" t="s">
        <v>23739</v>
      </c>
      <c r="W5691" t="s">
        <v>21953</v>
      </c>
      <c r="X5691" t="s">
        <v>3</v>
      </c>
      <c r="AA5691" s="5" t="str">
        <f>HYPERLINK("https://www.zillow.com/homes/1165-COLONY-LN-ROSELLE-IL-601721717_rb/","check listing")</f>
        <v>check listing</v>
      </c>
      <c r="AB5691" s="5" t="str">
        <f>HYPERLINK("https://propertylookup.dupagecounty.gov/Datalets/Datalet.aspx?UseSearch=no&amp;mode=sales&amp;pin=0204309045","sales record")</f>
        <v>sales record</v>
      </c>
      <c r="AC5691" t="s">
        <v>3</v>
      </c>
      <c r="AD5691">
        <v>41.979649</v>
      </c>
      <c r="AE5691">
        <v>-88.10950800000001</v>
      </c>
      <c r="AF5691" s="5" t="str">
        <f>HYPERLINK("https://www.google.com/maps/search/?api=1&amp;query=41.979649,-88.109508","map")</f>
        <v>map</v>
      </c>
    </row>
    <row r="5692" spans="1:32">
      <c r="A5692" t="s">
        <v>5742</v>
      </c>
      <c r="B5692" t="s">
        <v>13267</v>
      </c>
      <c r="C5692" t="s">
        <v>15830</v>
      </c>
      <c r="D5692" t="s">
        <v>16207</v>
      </c>
      <c r="E5692" t="s">
        <v>16218</v>
      </c>
      <c r="F5692" t="s">
        <v>16221</v>
      </c>
      <c r="G5692" t="s">
        <v>16241</v>
      </c>
      <c r="H5692" t="s">
        <v>16241</v>
      </c>
      <c r="I5692" t="s">
        <v>16355</v>
      </c>
      <c r="J5692" t="s">
        <v>16385</v>
      </c>
      <c r="K5692">
        <v>0.154</v>
      </c>
      <c r="L5692">
        <v>6692</v>
      </c>
      <c r="M5692">
        <v>1930</v>
      </c>
      <c r="N5692" t="s">
        <v>16393</v>
      </c>
      <c r="O5692" s="4">
        <v>45278</v>
      </c>
      <c r="P5692" s="4">
        <v>104075</v>
      </c>
      <c r="Q5692" s="4">
        <v>149353</v>
      </c>
      <c r="R5692" s="4">
        <v>448059</v>
      </c>
      <c r="S5692" t="s">
        <v>21954</v>
      </c>
      <c r="T5692" s="6">
        <v>43282</v>
      </c>
      <c r="U5692" s="4">
        <v>199900</v>
      </c>
      <c r="V5692" t="s">
        <v>23739</v>
      </c>
      <c r="W5692" t="s">
        <v>26906</v>
      </c>
      <c r="X5692" t="s">
        <v>3</v>
      </c>
      <c r="AA5692" s="5" t="str">
        <f>HYPERLINK("https://www.zillow.com/homes/1260-WATERBURY-LN-ROSELLE-IL-60172_rb/","check listing")</f>
        <v>check listing</v>
      </c>
      <c r="AB5692" s="5" t="str">
        <f>HYPERLINK("https://propertylookup.dupagecounty.gov/Datalets/Datalet.aspx?UseSearch=no&amp;mode=sales&amp;pin=0205407015","sales record")</f>
        <v>sales record</v>
      </c>
      <c r="AC5692" t="s">
        <v>3</v>
      </c>
      <c r="AD5692">
        <v>41.975637</v>
      </c>
      <c r="AE5692">
        <v>-88.112959</v>
      </c>
      <c r="AF5692" s="5" t="str">
        <f>HYPERLINK("https://www.google.com/maps/search/?api=1&amp;query=41.975637,-88.112959","map")</f>
        <v>map</v>
      </c>
    </row>
    <row r="5693" spans="1:32">
      <c r="A5693" t="s">
        <v>5743</v>
      </c>
      <c r="B5693" t="s">
        <v>13268</v>
      </c>
      <c r="C5693" t="s">
        <v>15830</v>
      </c>
      <c r="D5693" t="s">
        <v>16207</v>
      </c>
      <c r="E5693" t="s">
        <v>16218</v>
      </c>
      <c r="F5693" t="s">
        <v>16221</v>
      </c>
      <c r="G5693" t="s">
        <v>16241</v>
      </c>
      <c r="H5693" t="s">
        <v>16241</v>
      </c>
      <c r="I5693" t="s">
        <v>16355</v>
      </c>
      <c r="J5693" t="s">
        <v>16385</v>
      </c>
      <c r="K5693">
        <v>0.153</v>
      </c>
      <c r="L5693">
        <v>6685</v>
      </c>
      <c r="M5693">
        <v>1270</v>
      </c>
      <c r="N5693" t="s">
        <v>16393</v>
      </c>
      <c r="O5693" s="4">
        <v>38692</v>
      </c>
      <c r="P5693" s="4">
        <v>77599</v>
      </c>
      <c r="Q5693" s="4">
        <v>116291</v>
      </c>
      <c r="R5693" s="4">
        <v>348873</v>
      </c>
      <c r="S5693" t="s">
        <v>21955</v>
      </c>
      <c r="T5693" s="6">
        <v>31656</v>
      </c>
      <c r="U5693" s="4">
        <v>92000</v>
      </c>
      <c r="X5693" t="s">
        <v>3</v>
      </c>
      <c r="AA5693" s="5" t="str">
        <f>HYPERLINK("https://www.zillow.com/homes/575-RADNOR-DR-ROSELLE-IL-60172_rb/","check listing")</f>
        <v>check listing</v>
      </c>
      <c r="AB5693" s="5" t="str">
        <f>HYPERLINK("https://propertylookup.dupagecounty.gov/Datalets/Datalet.aspx?UseSearch=no&amp;mode=sales&amp;pin=0209110034","sales record")</f>
        <v>sales record</v>
      </c>
      <c r="AC5693" t="s">
        <v>3</v>
      </c>
      <c r="AD5693">
        <v>41.972165</v>
      </c>
      <c r="AE5693">
        <v>-88.105357</v>
      </c>
      <c r="AF5693" s="5" t="str">
        <f>HYPERLINK("https://www.google.com/maps/search/?api=1&amp;query=41.972165,-88.105357","map")</f>
        <v>map</v>
      </c>
    </row>
    <row r="5694" spans="1:32">
      <c r="A5694" t="s">
        <v>5744</v>
      </c>
      <c r="B5694" t="s">
        <v>13269</v>
      </c>
      <c r="C5694" t="s">
        <v>15830</v>
      </c>
      <c r="D5694" t="s">
        <v>16207</v>
      </c>
      <c r="E5694" t="s">
        <v>16218</v>
      </c>
      <c r="F5694" t="s">
        <v>16221</v>
      </c>
      <c r="G5694" t="s">
        <v>16241</v>
      </c>
      <c r="H5694" t="s">
        <v>16241</v>
      </c>
      <c r="I5694" t="s">
        <v>16355</v>
      </c>
      <c r="J5694" t="s">
        <v>16385</v>
      </c>
      <c r="K5694">
        <v>0.153</v>
      </c>
      <c r="L5694">
        <v>6683</v>
      </c>
      <c r="M5694">
        <v>1814</v>
      </c>
      <c r="N5694" t="s">
        <v>16393</v>
      </c>
      <c r="O5694" s="4">
        <v>38692</v>
      </c>
      <c r="P5694" s="4">
        <v>92386</v>
      </c>
      <c r="Q5694" s="4">
        <v>131078</v>
      </c>
      <c r="R5694" s="4">
        <v>393234</v>
      </c>
      <c r="S5694" t="s">
        <v>21956</v>
      </c>
      <c r="T5694" s="6">
        <v>29618</v>
      </c>
      <c r="U5694" s="4">
        <v>79840</v>
      </c>
      <c r="X5694" t="s">
        <v>3</v>
      </c>
      <c r="AA5694" s="5" t="str">
        <f>HYPERLINK("https://www.zillow.com/homes/675-RADNOR-DR-ROSELLE-IL-60172_rb/","check listing")</f>
        <v>check listing</v>
      </c>
      <c r="AB5694" s="5" t="str">
        <f>HYPERLINK("https://propertylookup.dupagecounty.gov/Datalets/Datalet.aspx?UseSearch=no&amp;mode=sales&amp;pin=0209110044","sales record")</f>
        <v>sales record</v>
      </c>
      <c r="AC5694" t="s">
        <v>3</v>
      </c>
      <c r="AD5694">
        <v>41.970488</v>
      </c>
      <c r="AE5694">
        <v>-88.10535400000001</v>
      </c>
      <c r="AF5694" s="5" t="str">
        <f>HYPERLINK("https://www.google.com/maps/search/?api=1&amp;query=41.970488,-88.105354","map")</f>
        <v>map</v>
      </c>
    </row>
    <row r="5695" spans="1:32">
      <c r="A5695" t="s">
        <v>5745</v>
      </c>
      <c r="B5695" t="s">
        <v>13270</v>
      </c>
      <c r="C5695" t="s">
        <v>15830</v>
      </c>
      <c r="D5695" t="s">
        <v>16207</v>
      </c>
      <c r="E5695" t="s">
        <v>16218</v>
      </c>
      <c r="F5695" t="s">
        <v>16221</v>
      </c>
      <c r="G5695" t="s">
        <v>16241</v>
      </c>
      <c r="H5695" t="s">
        <v>16241</v>
      </c>
      <c r="I5695" t="s">
        <v>16355</v>
      </c>
      <c r="J5695" t="s">
        <v>16385</v>
      </c>
      <c r="K5695">
        <v>0.153</v>
      </c>
      <c r="L5695">
        <v>6680</v>
      </c>
      <c r="M5695">
        <v>1633</v>
      </c>
      <c r="N5695" t="s">
        <v>16393</v>
      </c>
      <c r="O5695" s="4">
        <v>38692</v>
      </c>
      <c r="P5695" s="4">
        <v>80097</v>
      </c>
      <c r="Q5695" s="4">
        <v>118789</v>
      </c>
      <c r="R5695" s="4">
        <v>356367</v>
      </c>
      <c r="S5695" t="s">
        <v>21957</v>
      </c>
      <c r="T5695" s="6">
        <v>45652</v>
      </c>
      <c r="U5695" s="4">
        <v>345000</v>
      </c>
      <c r="V5695" t="s">
        <v>23739</v>
      </c>
      <c r="W5695" t="s">
        <v>26907</v>
      </c>
      <c r="X5695" t="s">
        <v>3</v>
      </c>
      <c r="AA5695" s="5" t="str">
        <f>HYPERLINK("https://www.zillow.com/homes/990-WOODSIDE-DR-ROSELLE-IL-60172_rb/","check listing")</f>
        <v>check listing</v>
      </c>
      <c r="AB5695" s="5" t="str">
        <f>HYPERLINK("https://propertylookup.dupagecounty.gov/Datalets/Datalet.aspx?UseSearch=no&amp;mode=sales&amp;pin=0209304013","sales record")</f>
        <v>sales record</v>
      </c>
      <c r="AC5695" t="s">
        <v>3</v>
      </c>
      <c r="AD5695">
        <v>41.967728</v>
      </c>
      <c r="AE5695">
        <v>-88.105175</v>
      </c>
      <c r="AF5695" s="5" t="str">
        <f>HYPERLINK("https://www.google.com/maps/search/?api=1&amp;query=41.967728,-88.105175","map")</f>
        <v>map</v>
      </c>
    </row>
    <row r="5696" spans="1:32">
      <c r="A5696" t="s">
        <v>5746</v>
      </c>
      <c r="B5696" t="s">
        <v>13271</v>
      </c>
      <c r="C5696" t="s">
        <v>15830</v>
      </c>
      <c r="D5696" t="s">
        <v>16207</v>
      </c>
      <c r="E5696" t="s">
        <v>16218</v>
      </c>
      <c r="F5696" t="s">
        <v>16221</v>
      </c>
      <c r="G5696" t="s">
        <v>16241</v>
      </c>
      <c r="H5696" t="s">
        <v>16241</v>
      </c>
      <c r="I5696" t="s">
        <v>16355</v>
      </c>
      <c r="J5696" t="s">
        <v>16385</v>
      </c>
      <c r="K5696">
        <v>0.153</v>
      </c>
      <c r="L5696">
        <v>6669</v>
      </c>
      <c r="M5696">
        <v>1583</v>
      </c>
      <c r="N5696" t="s">
        <v>16393</v>
      </c>
      <c r="O5696" s="4">
        <v>38692</v>
      </c>
      <c r="P5696" s="4">
        <v>80002</v>
      </c>
      <c r="Q5696" s="4">
        <v>118694</v>
      </c>
      <c r="R5696" s="4">
        <v>356082</v>
      </c>
      <c r="S5696" t="s">
        <v>21958</v>
      </c>
      <c r="T5696" s="6">
        <v>35886</v>
      </c>
      <c r="U5696" s="4">
        <v>155000</v>
      </c>
      <c r="X5696" t="s">
        <v>3</v>
      </c>
      <c r="AA5696" s="5" t="str">
        <f>HYPERLINK("https://www.zillow.com/homes/460-NORMAN-LN-ROSELLE-IL-60172_rb/","check listing")</f>
        <v>check listing</v>
      </c>
      <c r="AB5696" s="5" t="str">
        <f>HYPERLINK("https://propertylookup.dupagecounty.gov/Datalets/Datalet.aspx?UseSearch=no&amp;mode=sales&amp;pin=0209105008","sales record")</f>
        <v>sales record</v>
      </c>
      <c r="AC5696" t="s">
        <v>3</v>
      </c>
      <c r="AD5696">
        <v>41.974654</v>
      </c>
      <c r="AE5696">
        <v>-88.110373</v>
      </c>
      <c r="AF5696" s="5" t="str">
        <f>HYPERLINK("https://www.google.com/maps/search/?api=1&amp;query=41.974654,-88.110373","map")</f>
        <v>map</v>
      </c>
    </row>
    <row r="5697" spans="1:32">
      <c r="A5697" t="s">
        <v>5747</v>
      </c>
      <c r="B5697" t="s">
        <v>13272</v>
      </c>
      <c r="C5697" t="s">
        <v>15830</v>
      </c>
      <c r="D5697" t="s">
        <v>16207</v>
      </c>
      <c r="E5697" t="s">
        <v>16218</v>
      </c>
      <c r="F5697" t="s">
        <v>16221</v>
      </c>
      <c r="G5697" t="s">
        <v>16241</v>
      </c>
      <c r="H5697" t="s">
        <v>16241</v>
      </c>
      <c r="I5697" t="s">
        <v>16355</v>
      </c>
      <c r="J5697" t="s">
        <v>16385</v>
      </c>
      <c r="K5697">
        <v>0.153</v>
      </c>
      <c r="L5697">
        <v>6669</v>
      </c>
      <c r="M5697">
        <v>1452</v>
      </c>
      <c r="N5697" t="s">
        <v>16393</v>
      </c>
      <c r="O5697" s="4">
        <v>45278</v>
      </c>
      <c r="P5697" s="4">
        <v>103060</v>
      </c>
      <c r="Q5697" s="4">
        <v>148338</v>
      </c>
      <c r="R5697" s="4">
        <v>445014</v>
      </c>
      <c r="S5697" t="s">
        <v>21959</v>
      </c>
      <c r="T5697" s="6">
        <v>42917</v>
      </c>
      <c r="U5697" s="4">
        <v>280000</v>
      </c>
      <c r="V5697" t="s">
        <v>23739</v>
      </c>
      <c r="W5697" t="s">
        <v>26908</v>
      </c>
      <c r="X5697" t="s">
        <v>3</v>
      </c>
      <c r="AA5697" s="5" t="str">
        <f>HYPERLINK("https://www.zillow.com/homes/737-EDENWOOD-DR-ROSELLE-IL-60172_rb/","check listing")</f>
        <v>check listing</v>
      </c>
      <c r="AB5697" s="5" t="str">
        <f>HYPERLINK("https://propertylookup.dupagecounty.gov/Datalets/Datalet.aspx?UseSearch=no&amp;mode=sales&amp;pin=0209203031","sales record")</f>
        <v>sales record</v>
      </c>
      <c r="AC5697" t="s">
        <v>3</v>
      </c>
      <c r="AD5697">
        <v>41.972109</v>
      </c>
      <c r="AE5697">
        <v>-88.09910000000001</v>
      </c>
      <c r="AF5697" s="5" t="str">
        <f>HYPERLINK("https://www.google.com/maps/search/?api=1&amp;query=41.972109,-88.0991","map")</f>
        <v>map</v>
      </c>
    </row>
    <row r="5698" spans="1:32">
      <c r="A5698" t="s">
        <v>5748</v>
      </c>
      <c r="B5698" t="s">
        <v>13273</v>
      </c>
      <c r="C5698" t="s">
        <v>15929</v>
      </c>
      <c r="D5698" t="s">
        <v>16207</v>
      </c>
      <c r="E5698" t="s">
        <v>16218</v>
      </c>
      <c r="F5698" t="s">
        <v>16221</v>
      </c>
      <c r="G5698" t="s">
        <v>16241</v>
      </c>
      <c r="H5698" t="s">
        <v>16241</v>
      </c>
      <c r="I5698" t="s">
        <v>16355</v>
      </c>
      <c r="J5698" t="s">
        <v>16385</v>
      </c>
      <c r="K5698">
        <v>0.153</v>
      </c>
      <c r="L5698">
        <v>6660</v>
      </c>
      <c r="M5698">
        <v>1814</v>
      </c>
      <c r="N5698" t="s">
        <v>16393</v>
      </c>
      <c r="O5698" s="4">
        <v>38696</v>
      </c>
      <c r="P5698" s="4">
        <v>77545</v>
      </c>
      <c r="Q5698" s="4">
        <v>116241</v>
      </c>
      <c r="R5698" s="4">
        <v>348723</v>
      </c>
      <c r="S5698" t="s">
        <v>21960</v>
      </c>
      <c r="T5698" s="6">
        <v>41365</v>
      </c>
      <c r="U5698" s="4">
        <v>180000</v>
      </c>
      <c r="V5698" t="s">
        <v>23739</v>
      </c>
      <c r="W5698" t="s">
        <v>26909</v>
      </c>
      <c r="X5698" t="s">
        <v>3</v>
      </c>
      <c r="AA5698" s="5" t="str">
        <f>HYPERLINK("https://www.zillow.com/homes/1120-DARBY-LN-ROSELLE-IL-601721722_rb/","check listing")</f>
        <v>check listing</v>
      </c>
      <c r="AB5698" s="5" t="str">
        <f>HYPERLINK("https://propertylookup.dupagecounty.gov/Datalets/Datalet.aspx?UseSearch=no&amp;mode=sales&amp;pin=0204313025","sales record")</f>
        <v>sales record</v>
      </c>
      <c r="AC5698" t="s">
        <v>3</v>
      </c>
      <c r="AD5698">
        <v>41.978421</v>
      </c>
      <c r="AE5698">
        <v>-88.10884799999999</v>
      </c>
      <c r="AF5698" s="5" t="str">
        <f>HYPERLINK("https://www.google.com/maps/search/?api=1&amp;query=41.978421,-88.108848","map")</f>
        <v>map</v>
      </c>
    </row>
    <row r="5699" spans="1:32">
      <c r="A5699" t="s">
        <v>5749</v>
      </c>
      <c r="B5699" t="s">
        <v>13274</v>
      </c>
      <c r="C5699" t="s">
        <v>15830</v>
      </c>
      <c r="D5699" t="s">
        <v>16207</v>
      </c>
      <c r="E5699" t="s">
        <v>16218</v>
      </c>
      <c r="F5699" t="s">
        <v>16221</v>
      </c>
      <c r="G5699" t="s">
        <v>16241</v>
      </c>
      <c r="H5699" t="s">
        <v>16241</v>
      </c>
      <c r="I5699" t="s">
        <v>16355</v>
      </c>
      <c r="J5699" t="s">
        <v>16385</v>
      </c>
      <c r="K5699">
        <v>0.153</v>
      </c>
      <c r="L5699">
        <v>6659</v>
      </c>
      <c r="M5699">
        <v>1583</v>
      </c>
      <c r="N5699" t="s">
        <v>16393</v>
      </c>
      <c r="O5699" s="4">
        <v>45278</v>
      </c>
      <c r="P5699" s="4">
        <v>84711</v>
      </c>
      <c r="Q5699" s="4">
        <v>129989</v>
      </c>
      <c r="R5699" s="4">
        <v>389967</v>
      </c>
      <c r="S5699" t="s">
        <v>21961</v>
      </c>
      <c r="T5699" s="6">
        <v>36130</v>
      </c>
      <c r="U5699" s="4">
        <v>165000</v>
      </c>
      <c r="X5699" t="s">
        <v>3</v>
      </c>
      <c r="AA5699" s="5" t="str">
        <f>HYPERLINK("https://www.zillow.com/homes/860-W-BRYN-MAWR-AVE-ROSELLE-IL-60172_rb/","check listing")</f>
        <v>check listing</v>
      </c>
      <c r="AB5699" s="5" t="str">
        <f>HYPERLINK("https://propertylookup.dupagecounty.gov/Datalets/Datalet.aspx?UseSearch=no&amp;mode=sales&amp;pin=0209116013","sales record")</f>
        <v>sales record</v>
      </c>
      <c r="AC5699" t="s">
        <v>3</v>
      </c>
      <c r="AD5699">
        <v>41.974</v>
      </c>
      <c r="AE5699">
        <v>-88.10204</v>
      </c>
      <c r="AF5699" s="5" t="str">
        <f>HYPERLINK("https://www.google.com/maps/search/?api=1&amp;query=41.974,-88.10204","map")</f>
        <v>map</v>
      </c>
    </row>
    <row r="5700" spans="1:32">
      <c r="A5700" t="s">
        <v>5750</v>
      </c>
      <c r="B5700" t="s">
        <v>13275</v>
      </c>
      <c r="C5700" t="s">
        <v>15875</v>
      </c>
      <c r="D5700" t="s">
        <v>16207</v>
      </c>
      <c r="E5700" t="s">
        <v>16218</v>
      </c>
      <c r="F5700" t="s">
        <v>16221</v>
      </c>
      <c r="G5700" t="s">
        <v>16241</v>
      </c>
      <c r="H5700" t="s">
        <v>16241</v>
      </c>
      <c r="I5700" t="s">
        <v>16355</v>
      </c>
      <c r="J5700" t="s">
        <v>16385</v>
      </c>
      <c r="K5700">
        <v>0.153</v>
      </c>
      <c r="L5700">
        <v>6643</v>
      </c>
      <c r="M5700">
        <v>1929</v>
      </c>
      <c r="N5700" t="s">
        <v>16393</v>
      </c>
      <c r="O5700" s="4">
        <v>38692</v>
      </c>
      <c r="P5700" s="4">
        <v>55606</v>
      </c>
      <c r="Q5700" s="4">
        <v>94298</v>
      </c>
      <c r="R5700" s="4">
        <v>282894</v>
      </c>
      <c r="S5700" t="s">
        <v>21962</v>
      </c>
      <c r="T5700" s="6">
        <v>43647</v>
      </c>
      <c r="U5700" s="4">
        <v>212000</v>
      </c>
      <c r="V5700" t="s">
        <v>23739</v>
      </c>
      <c r="W5700" t="s">
        <v>26910</v>
      </c>
      <c r="X5700" t="s">
        <v>3</v>
      </c>
      <c r="AA5700" s="5" t="str">
        <f>HYPERLINK("https://www.zillow.com/homes/991-WOODSIDE-DR-ROSELLE-IL-601722727_rb/","check listing")</f>
        <v>check listing</v>
      </c>
      <c r="AB5700" s="5" t="str">
        <f>HYPERLINK("https://propertylookup.dupagecounty.gov/Datalets/Datalet.aspx?UseSearch=no&amp;mode=sales&amp;pin=0209305010","sales record")</f>
        <v>sales record</v>
      </c>
      <c r="AC5700" t="s">
        <v>3</v>
      </c>
      <c r="AD5700">
        <v>41.967303</v>
      </c>
      <c r="AE5700">
        <v>-88.105227</v>
      </c>
      <c r="AF5700" s="5" t="str">
        <f>HYPERLINK("https://www.google.com/maps/search/?api=1&amp;query=41.967303,-88.105227","map")</f>
        <v>map</v>
      </c>
    </row>
    <row r="5701" spans="1:32">
      <c r="A5701" t="s">
        <v>5751</v>
      </c>
      <c r="B5701" t="s">
        <v>13276</v>
      </c>
      <c r="C5701" t="s">
        <v>15830</v>
      </c>
      <c r="D5701" t="s">
        <v>16207</v>
      </c>
      <c r="E5701" t="s">
        <v>16218</v>
      </c>
      <c r="F5701" t="s">
        <v>16221</v>
      </c>
      <c r="G5701" t="s">
        <v>16241</v>
      </c>
      <c r="H5701" t="s">
        <v>16241</v>
      </c>
      <c r="I5701" t="s">
        <v>16355</v>
      </c>
      <c r="J5701" t="s">
        <v>16385</v>
      </c>
      <c r="K5701">
        <v>0.152</v>
      </c>
      <c r="L5701">
        <v>6641</v>
      </c>
      <c r="M5701">
        <v>1583</v>
      </c>
      <c r="N5701" t="s">
        <v>16393</v>
      </c>
      <c r="O5701" s="4">
        <v>45278</v>
      </c>
      <c r="P5701" s="4">
        <v>101900</v>
      </c>
      <c r="Q5701" s="4">
        <v>147178</v>
      </c>
      <c r="R5701" s="4">
        <v>441534</v>
      </c>
      <c r="S5701" t="s">
        <v>21963</v>
      </c>
      <c r="T5701" s="6">
        <v>39022</v>
      </c>
      <c r="U5701" s="4">
        <v>328000</v>
      </c>
      <c r="V5701" t="s">
        <v>23739</v>
      </c>
      <c r="W5701" t="s">
        <v>26911</v>
      </c>
      <c r="X5701" t="s">
        <v>3</v>
      </c>
      <c r="AA5701" s="5" t="str">
        <f>HYPERLINK("https://www.zillow.com/homes/545-RIDGEFIELD-DR-ROSELLE-IL-60172_rb/","check listing")</f>
        <v>check listing</v>
      </c>
      <c r="AB5701" s="5" t="str">
        <f>HYPERLINK("https://propertylookup.dupagecounty.gov/Datalets/Datalet.aspx?UseSearch=no&amp;mode=sales&amp;pin=0209202033","sales record")</f>
        <v>sales record</v>
      </c>
      <c r="AC5701" t="s">
        <v>3</v>
      </c>
      <c r="AD5701">
        <v>41.973088</v>
      </c>
      <c r="AE5701">
        <v>-88.097347</v>
      </c>
      <c r="AF5701" s="5" t="str">
        <f>HYPERLINK("https://www.google.com/maps/search/?api=1&amp;query=41.973088,-88.097347","map")</f>
        <v>map</v>
      </c>
    </row>
    <row r="5702" spans="1:32">
      <c r="A5702" t="s">
        <v>5752</v>
      </c>
      <c r="B5702" t="s">
        <v>13277</v>
      </c>
      <c r="C5702" t="s">
        <v>15830</v>
      </c>
      <c r="D5702" t="s">
        <v>16207</v>
      </c>
      <c r="E5702" t="s">
        <v>16218</v>
      </c>
      <c r="F5702" t="s">
        <v>16221</v>
      </c>
      <c r="G5702" t="s">
        <v>16241</v>
      </c>
      <c r="H5702" t="s">
        <v>16241</v>
      </c>
      <c r="I5702" t="s">
        <v>16355</v>
      </c>
      <c r="J5702" t="s">
        <v>16385</v>
      </c>
      <c r="K5702">
        <v>0.152</v>
      </c>
      <c r="L5702">
        <v>6640</v>
      </c>
      <c r="M5702">
        <v>1448</v>
      </c>
      <c r="N5702" t="s">
        <v>16393</v>
      </c>
      <c r="O5702" s="4">
        <v>38692</v>
      </c>
      <c r="P5702" s="4">
        <v>82441</v>
      </c>
      <c r="Q5702" s="4">
        <v>121133</v>
      </c>
      <c r="R5702" s="4">
        <v>363399</v>
      </c>
      <c r="S5702" t="s">
        <v>21964</v>
      </c>
      <c r="T5702" s="6">
        <v>42917</v>
      </c>
      <c r="U5702" s="4">
        <v>219000</v>
      </c>
      <c r="V5702" t="s">
        <v>23739</v>
      </c>
      <c r="W5702" t="s">
        <v>21964</v>
      </c>
      <c r="X5702" t="s">
        <v>3</v>
      </c>
      <c r="AA5702" s="5" t="str">
        <f>HYPERLINK("https://www.zillow.com/homes/810-WOODSIDE-DR-ROSELLE-IL-60172_rb/","check listing")</f>
        <v>check listing</v>
      </c>
      <c r="AB5702" s="5" t="str">
        <f>HYPERLINK("https://propertylookup.dupagecounty.gov/Datalets/Datalet.aspx?UseSearch=no&amp;mode=sales&amp;pin=0209304004","sales record")</f>
        <v>sales record</v>
      </c>
      <c r="AC5702" t="s">
        <v>3</v>
      </c>
      <c r="AD5702">
        <v>41.968053</v>
      </c>
      <c r="AE5702">
        <v>-88.105119</v>
      </c>
      <c r="AF5702" s="5" t="str">
        <f>HYPERLINK("https://www.google.com/maps/search/?api=1&amp;query=41.968053,-88.105119","map")</f>
        <v>map</v>
      </c>
    </row>
    <row r="5703" spans="1:32">
      <c r="A5703" t="s">
        <v>5753</v>
      </c>
      <c r="B5703" t="s">
        <v>13278</v>
      </c>
      <c r="C5703" t="s">
        <v>15930</v>
      </c>
      <c r="D5703" t="s">
        <v>16207</v>
      </c>
      <c r="E5703" t="s">
        <v>16218</v>
      </c>
      <c r="F5703" t="s">
        <v>16221</v>
      </c>
      <c r="G5703" t="s">
        <v>16241</v>
      </c>
      <c r="H5703" t="s">
        <v>16241</v>
      </c>
      <c r="I5703" t="s">
        <v>16355</v>
      </c>
      <c r="J5703" t="s">
        <v>16385</v>
      </c>
      <c r="K5703">
        <v>0.152</v>
      </c>
      <c r="L5703">
        <v>6632</v>
      </c>
      <c r="M5703">
        <v>2162</v>
      </c>
      <c r="N5703" t="s">
        <v>16393</v>
      </c>
      <c r="O5703" s="4">
        <v>45278</v>
      </c>
      <c r="P5703" s="4">
        <v>66567</v>
      </c>
      <c r="Q5703" s="4">
        <v>111845</v>
      </c>
      <c r="R5703" s="4">
        <v>335535</v>
      </c>
      <c r="S5703" t="s">
        <v>21965</v>
      </c>
      <c r="T5703" s="6">
        <v>35704</v>
      </c>
      <c r="U5703" s="4">
        <v>140000</v>
      </c>
      <c r="X5703" t="s">
        <v>3</v>
      </c>
      <c r="AA5703" s="5" t="str">
        <f>HYPERLINK("https://www.zillow.com/homes/1160-COLONY-LN-ROSELLE-IL-601721718_rb/","check listing")</f>
        <v>check listing</v>
      </c>
      <c r="AB5703" s="5" t="str">
        <f>HYPERLINK("https://propertylookup.dupagecounty.gov/Datalets/Datalet.aspx?UseSearch=no&amp;mode=sales&amp;pin=0204312013","sales record")</f>
        <v>sales record</v>
      </c>
      <c r="AC5703" t="s">
        <v>3</v>
      </c>
      <c r="AD5703">
        <v>41.980086</v>
      </c>
      <c r="AE5703">
        <v>-88.109396</v>
      </c>
      <c r="AF5703" s="5" t="str">
        <f>HYPERLINK("https://www.google.com/maps/search/?api=1&amp;query=41.980086,-88.109396","map")</f>
        <v>map</v>
      </c>
    </row>
    <row r="5704" spans="1:32">
      <c r="A5704" t="s">
        <v>5754</v>
      </c>
      <c r="B5704" t="s">
        <v>13279</v>
      </c>
      <c r="C5704" t="s">
        <v>15830</v>
      </c>
      <c r="D5704" t="s">
        <v>16207</v>
      </c>
      <c r="E5704" t="s">
        <v>16218</v>
      </c>
      <c r="F5704" t="s">
        <v>16221</v>
      </c>
      <c r="G5704" t="s">
        <v>16241</v>
      </c>
      <c r="H5704" t="s">
        <v>16241</v>
      </c>
      <c r="I5704" t="s">
        <v>16355</v>
      </c>
      <c r="J5704" t="s">
        <v>16385</v>
      </c>
      <c r="K5704">
        <v>0.152</v>
      </c>
      <c r="L5704">
        <v>6625</v>
      </c>
      <c r="M5704">
        <v>1039</v>
      </c>
      <c r="N5704" t="s">
        <v>16393</v>
      </c>
      <c r="O5704" s="4">
        <v>38692</v>
      </c>
      <c r="P5704" s="4">
        <v>84054</v>
      </c>
      <c r="Q5704" s="4">
        <v>122746</v>
      </c>
      <c r="R5704" s="4">
        <v>368238</v>
      </c>
      <c r="S5704" t="s">
        <v>21966</v>
      </c>
      <c r="T5704" s="6">
        <v>34820</v>
      </c>
      <c r="U5704" s="4">
        <v>141500</v>
      </c>
      <c r="X5704" t="s">
        <v>3</v>
      </c>
      <c r="AA5704" s="5" t="str">
        <f>HYPERLINK("https://www.zillow.com/homes/460-HAMPTON-LN-ROSELLE-IL-60172_rb/","check listing")</f>
        <v>check listing</v>
      </c>
      <c r="AB5704" s="5" t="str">
        <f>HYPERLINK("https://propertylookup.dupagecounty.gov/Datalets/Datalet.aspx?UseSearch=no&amp;mode=sales&amp;pin=0208209001","sales record")</f>
        <v>sales record</v>
      </c>
      <c r="AC5704" t="s">
        <v>3</v>
      </c>
      <c r="AD5704">
        <v>41.973678</v>
      </c>
      <c r="AE5704">
        <v>-88.111272</v>
      </c>
      <c r="AF5704" s="5" t="str">
        <f>HYPERLINK("https://www.google.com/maps/search/?api=1&amp;query=41.973678,-88.111272","map")</f>
        <v>map</v>
      </c>
    </row>
    <row r="5705" spans="1:32">
      <c r="A5705" t="s">
        <v>5755</v>
      </c>
      <c r="B5705" t="s">
        <v>13280</v>
      </c>
      <c r="C5705" t="s">
        <v>15830</v>
      </c>
      <c r="D5705" t="s">
        <v>16207</v>
      </c>
      <c r="E5705" t="s">
        <v>16218</v>
      </c>
      <c r="F5705" t="s">
        <v>16221</v>
      </c>
      <c r="G5705" t="s">
        <v>16241</v>
      </c>
      <c r="H5705" t="s">
        <v>16241</v>
      </c>
      <c r="I5705" t="s">
        <v>16355</v>
      </c>
      <c r="J5705" t="s">
        <v>16385</v>
      </c>
      <c r="K5705">
        <v>0.152</v>
      </c>
      <c r="L5705">
        <v>6622</v>
      </c>
      <c r="M5705">
        <v>1583</v>
      </c>
      <c r="N5705" t="s">
        <v>16393</v>
      </c>
      <c r="O5705" s="4">
        <v>38692</v>
      </c>
      <c r="P5705" s="4">
        <v>77313</v>
      </c>
      <c r="Q5705" s="4">
        <v>116005</v>
      </c>
      <c r="R5705" s="4">
        <v>348015</v>
      </c>
      <c r="S5705" t="s">
        <v>21967</v>
      </c>
      <c r="T5705" s="6">
        <v>41548</v>
      </c>
      <c r="U5705" s="4">
        <v>248000</v>
      </c>
      <c r="V5705" t="s">
        <v>23739</v>
      </c>
      <c r="W5705" t="s">
        <v>26912</v>
      </c>
      <c r="X5705" t="s">
        <v>3</v>
      </c>
      <c r="AA5705" s="5" t="str">
        <f>HYPERLINK("https://www.zillow.com/homes/545-DOVER-DR-ROSELLE-IL-60172_rb/","check listing")</f>
        <v>check listing</v>
      </c>
      <c r="AB5705" s="5" t="str">
        <f>HYPERLINK("https://propertylookup.dupagecounty.gov/Datalets/Datalet.aspx?UseSearch=no&amp;mode=sales&amp;pin=0208209009","sales record")</f>
        <v>sales record</v>
      </c>
      <c r="AC5705" t="s">
        <v>3</v>
      </c>
      <c r="AD5705">
        <v>41.972973</v>
      </c>
      <c r="AE5705">
        <v>-88.11068899999999</v>
      </c>
      <c r="AF5705" s="5" t="str">
        <f>HYPERLINK("https://www.google.com/maps/search/?api=1&amp;query=41.972973,-88.110689","map")</f>
        <v>map</v>
      </c>
    </row>
    <row r="5706" spans="1:32">
      <c r="A5706" t="s">
        <v>5756</v>
      </c>
      <c r="B5706" t="s">
        <v>13281</v>
      </c>
      <c r="C5706" t="s">
        <v>15931</v>
      </c>
      <c r="D5706" t="s">
        <v>16207</v>
      </c>
      <c r="E5706" t="s">
        <v>16218</v>
      </c>
      <c r="F5706" t="s">
        <v>16221</v>
      </c>
      <c r="G5706" t="s">
        <v>16241</v>
      </c>
      <c r="H5706" t="s">
        <v>16241</v>
      </c>
      <c r="I5706" t="s">
        <v>16355</v>
      </c>
      <c r="J5706" t="s">
        <v>16385</v>
      </c>
      <c r="K5706">
        <v>0.152</v>
      </c>
      <c r="L5706">
        <v>6602</v>
      </c>
      <c r="M5706">
        <v>1633</v>
      </c>
      <c r="N5706" t="s">
        <v>16393</v>
      </c>
      <c r="O5706" s="4">
        <v>38692</v>
      </c>
      <c r="P5706" s="4">
        <v>77599</v>
      </c>
      <c r="Q5706" s="4">
        <v>116291</v>
      </c>
      <c r="R5706" s="4">
        <v>348873</v>
      </c>
      <c r="S5706" t="s">
        <v>21968</v>
      </c>
      <c r="T5706" s="6">
        <v>43466</v>
      </c>
      <c r="U5706" s="4">
        <v>190000</v>
      </c>
      <c r="V5706" t="s">
        <v>23739</v>
      </c>
      <c r="W5706" t="s">
        <v>21968</v>
      </c>
      <c r="X5706" t="s">
        <v>3</v>
      </c>
      <c r="AA5706" s="5" t="str">
        <f>HYPERLINK("https://www.zillow.com/homes/690-BERWICK-PL-ROSELLE-IL-601722732_rb/","check listing")</f>
        <v>check listing</v>
      </c>
      <c r="AB5706" s="5" t="str">
        <f>HYPERLINK("https://propertylookup.dupagecounty.gov/Datalets/Datalet.aspx?UseSearch=no&amp;mode=sales&amp;pin=0208205025","sales record")</f>
        <v>sales record</v>
      </c>
      <c r="AC5706" t="s">
        <v>3</v>
      </c>
      <c r="AD5706">
        <v>41.970332</v>
      </c>
      <c r="AE5706">
        <v>-88.111976</v>
      </c>
      <c r="AF5706" s="5" t="str">
        <f>HYPERLINK("https://www.google.com/maps/search/?api=1&amp;query=41.970332,-88.111976","map")</f>
        <v>map</v>
      </c>
    </row>
    <row r="5707" spans="1:32">
      <c r="A5707" t="s">
        <v>5757</v>
      </c>
      <c r="B5707" t="s">
        <v>13282</v>
      </c>
      <c r="C5707" t="s">
        <v>15830</v>
      </c>
      <c r="D5707" t="s">
        <v>16207</v>
      </c>
      <c r="E5707" t="s">
        <v>16218</v>
      </c>
      <c r="F5707" t="s">
        <v>16221</v>
      </c>
      <c r="G5707" t="s">
        <v>16241</v>
      </c>
      <c r="H5707" t="s">
        <v>16241</v>
      </c>
      <c r="I5707" t="s">
        <v>16355</v>
      </c>
      <c r="J5707" t="s">
        <v>16385</v>
      </c>
      <c r="K5707">
        <v>0.151</v>
      </c>
      <c r="L5707">
        <v>6593</v>
      </c>
      <c r="M5707">
        <v>1585</v>
      </c>
      <c r="N5707" t="s">
        <v>16393</v>
      </c>
      <c r="O5707" s="4">
        <v>45278</v>
      </c>
      <c r="P5707" s="4">
        <v>86014</v>
      </c>
      <c r="Q5707" s="4">
        <v>131292</v>
      </c>
      <c r="R5707" s="4">
        <v>393876</v>
      </c>
      <c r="S5707" t="s">
        <v>21969</v>
      </c>
      <c r="T5707" s="6">
        <v>41487</v>
      </c>
      <c r="U5707" s="4">
        <v>265000</v>
      </c>
      <c r="V5707" t="s">
        <v>23739</v>
      </c>
      <c r="W5707" t="s">
        <v>26913</v>
      </c>
      <c r="X5707" t="s">
        <v>3</v>
      </c>
      <c r="AA5707" s="5" t="str">
        <f>HYPERLINK("https://www.zillow.com/homes/525-AVEBURY-LN-ROSELLE-IL-60172_rb/","check listing")</f>
        <v>check listing</v>
      </c>
      <c r="AB5707" s="5" t="str">
        <f>HYPERLINK("https://propertylookup.dupagecounty.gov/Datalets/Datalet.aspx?UseSearch=no&amp;mode=sales&amp;pin=0209212020","sales record")</f>
        <v>sales record</v>
      </c>
      <c r="AC5707" t="s">
        <v>3</v>
      </c>
      <c r="AD5707">
        <v>41.97339</v>
      </c>
      <c r="AE5707">
        <v>-88.09832299999999</v>
      </c>
      <c r="AF5707" s="5" t="str">
        <f>HYPERLINK("https://www.google.com/maps/search/?api=1&amp;query=41.97339,-88.098323","map")</f>
        <v>map</v>
      </c>
    </row>
    <row r="5708" spans="1:32">
      <c r="A5708" t="s">
        <v>5758</v>
      </c>
      <c r="B5708" t="s">
        <v>13283</v>
      </c>
      <c r="C5708" t="s">
        <v>15932</v>
      </c>
      <c r="D5708" t="s">
        <v>16207</v>
      </c>
      <c r="E5708" t="s">
        <v>16218</v>
      </c>
      <c r="F5708" t="s">
        <v>16221</v>
      </c>
      <c r="G5708" t="s">
        <v>16241</v>
      </c>
      <c r="H5708" t="s">
        <v>16241</v>
      </c>
      <c r="I5708" t="s">
        <v>16355</v>
      </c>
      <c r="J5708" t="s">
        <v>16385</v>
      </c>
      <c r="K5708">
        <v>0.151</v>
      </c>
      <c r="L5708">
        <v>6589</v>
      </c>
      <c r="M5708">
        <v>1649</v>
      </c>
      <c r="N5708" t="s">
        <v>16393</v>
      </c>
      <c r="O5708" s="4">
        <v>38692</v>
      </c>
      <c r="P5708" s="4">
        <v>77611</v>
      </c>
      <c r="Q5708" s="4">
        <v>116303</v>
      </c>
      <c r="R5708" s="4">
        <v>348909</v>
      </c>
      <c r="S5708" t="s">
        <v>21970</v>
      </c>
      <c r="T5708" s="6">
        <v>44409</v>
      </c>
      <c r="U5708" s="4">
        <v>315000</v>
      </c>
      <c r="V5708" t="s">
        <v>23739</v>
      </c>
      <c r="W5708" t="s">
        <v>26914</v>
      </c>
      <c r="X5708" t="s">
        <v>3</v>
      </c>
      <c r="AA5708" s="5" t="str">
        <f>HYPERLINK("https://www.zillow.com/homes/462-GLENMORE-PL-ROSELLE-IL-601722706_rb/","check listing")</f>
        <v>check listing</v>
      </c>
      <c r="AB5708" s="5" t="str">
        <f>HYPERLINK("https://propertylookup.dupagecounty.gov/Datalets/Datalet.aspx?UseSearch=no&amp;mode=sales&amp;pin=0209108009","sales record")</f>
        <v>sales record</v>
      </c>
      <c r="AC5708" t="s">
        <v>3</v>
      </c>
      <c r="AD5708">
        <v>41.974331</v>
      </c>
      <c r="AE5708">
        <v>-88.104254</v>
      </c>
      <c r="AF5708" s="5" t="str">
        <f>HYPERLINK("https://www.google.com/maps/search/?api=1&amp;query=41.974331,-88.104254","map")</f>
        <v>map</v>
      </c>
    </row>
    <row r="5709" spans="1:32">
      <c r="A5709" t="s">
        <v>5759</v>
      </c>
      <c r="B5709" t="s">
        <v>13284</v>
      </c>
      <c r="C5709" t="s">
        <v>15830</v>
      </c>
      <c r="D5709" t="s">
        <v>16207</v>
      </c>
      <c r="E5709" t="s">
        <v>16218</v>
      </c>
      <c r="F5709" t="s">
        <v>16221</v>
      </c>
      <c r="G5709" t="s">
        <v>16241</v>
      </c>
      <c r="H5709" t="s">
        <v>16241</v>
      </c>
      <c r="I5709" t="s">
        <v>16355</v>
      </c>
      <c r="J5709" t="s">
        <v>16385</v>
      </c>
      <c r="K5709">
        <v>0.151</v>
      </c>
      <c r="L5709">
        <v>6587</v>
      </c>
      <c r="M5709">
        <v>1846</v>
      </c>
      <c r="N5709" t="s">
        <v>16393</v>
      </c>
      <c r="O5709" s="4">
        <v>45278</v>
      </c>
      <c r="P5709" s="4">
        <v>73152</v>
      </c>
      <c r="Q5709" s="4">
        <v>118430</v>
      </c>
      <c r="R5709" s="4">
        <v>355290</v>
      </c>
      <c r="S5709" t="s">
        <v>21971</v>
      </c>
      <c r="T5709" s="6">
        <v>34182</v>
      </c>
      <c r="U5709" s="4">
        <v>129000</v>
      </c>
      <c r="X5709" t="s">
        <v>3</v>
      </c>
      <c r="AA5709" s="5" t="str">
        <f>HYPERLINK("https://www.zillow.com/homes/1150-COLONY-LN-ROSELLE-IL-60172_rb/","check listing")</f>
        <v>check listing</v>
      </c>
      <c r="AB5709" s="5" t="str">
        <f>HYPERLINK("https://propertylookup.dupagecounty.gov/Datalets/Datalet.aspx?UseSearch=no&amp;mode=sales&amp;pin=0204312014","sales record")</f>
        <v>sales record</v>
      </c>
      <c r="AC5709" t="s">
        <v>3</v>
      </c>
      <c r="AD5709">
        <v>41.980083</v>
      </c>
      <c r="AE5709">
        <v>-88.109156</v>
      </c>
      <c r="AF5709" s="5" t="str">
        <f>HYPERLINK("https://www.google.com/maps/search/?api=1&amp;query=41.980083,-88.109156","map")</f>
        <v>map</v>
      </c>
    </row>
    <row r="5710" spans="1:32">
      <c r="A5710" t="s">
        <v>5760</v>
      </c>
      <c r="B5710" t="s">
        <v>13285</v>
      </c>
      <c r="C5710" t="s">
        <v>15882</v>
      </c>
      <c r="D5710" t="s">
        <v>16207</v>
      </c>
      <c r="E5710" t="s">
        <v>16218</v>
      </c>
      <c r="F5710" t="s">
        <v>16221</v>
      </c>
      <c r="G5710" t="s">
        <v>16241</v>
      </c>
      <c r="H5710" t="s">
        <v>16241</v>
      </c>
      <c r="I5710" t="s">
        <v>16355</v>
      </c>
      <c r="J5710" t="s">
        <v>16385</v>
      </c>
      <c r="K5710">
        <v>0.151</v>
      </c>
      <c r="L5710">
        <v>6583</v>
      </c>
      <c r="M5710">
        <v>2358</v>
      </c>
      <c r="N5710" t="s">
        <v>16393</v>
      </c>
      <c r="O5710" s="4">
        <v>45278</v>
      </c>
      <c r="P5710" s="4">
        <v>110733</v>
      </c>
      <c r="Q5710" s="4">
        <v>156011</v>
      </c>
      <c r="R5710" s="4">
        <v>468033</v>
      </c>
      <c r="S5710" t="s">
        <v>21972</v>
      </c>
      <c r="T5710" s="6">
        <v>43009</v>
      </c>
      <c r="U5710" s="4">
        <v>312500</v>
      </c>
      <c r="V5710" t="s">
        <v>23740</v>
      </c>
      <c r="W5710" t="s">
        <v>26915</v>
      </c>
      <c r="X5710" t="s">
        <v>3</v>
      </c>
      <c r="AA5710" s="5" t="str">
        <f>HYPERLINK("https://www.zillow.com/homes/1175-HYGATE-DR-ROSELLE-IL-601721723_rb/","check listing")</f>
        <v>check listing</v>
      </c>
      <c r="AB5710" s="5" t="str">
        <f>HYPERLINK("https://propertylookup.dupagecounty.gov/Datalets/Datalet.aspx?UseSearch=no&amp;mode=sales&amp;pin=0204312004","sales record")</f>
        <v>sales record</v>
      </c>
      <c r="AC5710" t="s">
        <v>3</v>
      </c>
      <c r="AD5710">
        <v>41.980471</v>
      </c>
      <c r="AE5710">
        <v>-88.110069</v>
      </c>
      <c r="AF5710" s="5" t="str">
        <f>HYPERLINK("https://www.google.com/maps/search/?api=1&amp;query=41.980471,-88.110069","map")</f>
        <v>map</v>
      </c>
    </row>
    <row r="5711" spans="1:32">
      <c r="A5711" t="s">
        <v>5761</v>
      </c>
      <c r="B5711" t="s">
        <v>13286</v>
      </c>
      <c r="C5711" t="s">
        <v>15882</v>
      </c>
      <c r="D5711" t="s">
        <v>16207</v>
      </c>
      <c r="E5711" t="s">
        <v>16218</v>
      </c>
      <c r="F5711" t="s">
        <v>16221</v>
      </c>
      <c r="G5711" t="s">
        <v>16241</v>
      </c>
      <c r="H5711" t="s">
        <v>16241</v>
      </c>
      <c r="I5711" t="s">
        <v>16355</v>
      </c>
      <c r="J5711" t="s">
        <v>16385</v>
      </c>
      <c r="K5711">
        <v>0.151</v>
      </c>
      <c r="L5711">
        <v>6576</v>
      </c>
      <c r="M5711">
        <v>1716</v>
      </c>
      <c r="N5711" t="s">
        <v>16393</v>
      </c>
      <c r="O5711" s="4">
        <v>45278</v>
      </c>
      <c r="P5711" s="4">
        <v>86660</v>
      </c>
      <c r="Q5711" s="4">
        <v>131938</v>
      </c>
      <c r="R5711" s="4">
        <v>395814</v>
      </c>
      <c r="S5711" t="s">
        <v>21973</v>
      </c>
      <c r="T5711" s="6">
        <v>44721</v>
      </c>
      <c r="U5711" s="4">
        <v>385000</v>
      </c>
      <c r="V5711" t="s">
        <v>23739</v>
      </c>
      <c r="W5711" t="s">
        <v>26916</v>
      </c>
      <c r="X5711" t="s">
        <v>3</v>
      </c>
      <c r="AA5711" s="5" t="str">
        <f>HYPERLINK("https://www.zillow.com/homes/1135-HYGATE-DR-ROSELLE-IL-601721723_rb/","check listing")</f>
        <v>check listing</v>
      </c>
      <c r="AB5711" s="5" t="str">
        <f>HYPERLINK("https://propertylookup.dupagecounty.gov/Datalets/Datalet.aspx?UseSearch=no&amp;mode=sales&amp;pin=0204312008","sales record")</f>
        <v>sales record</v>
      </c>
      <c r="AC5711" t="s">
        <v>3</v>
      </c>
      <c r="AD5711">
        <v>41.98036</v>
      </c>
      <c r="AE5711">
        <v>-88.109106</v>
      </c>
      <c r="AF5711" s="5" t="str">
        <f>HYPERLINK("https://www.google.com/maps/search/?api=1&amp;query=41.98036,-88.109106","map")</f>
        <v>map</v>
      </c>
    </row>
    <row r="5712" spans="1:32">
      <c r="A5712" t="s">
        <v>5762</v>
      </c>
      <c r="B5712" t="s">
        <v>13287</v>
      </c>
      <c r="C5712" t="s">
        <v>15830</v>
      </c>
      <c r="D5712" t="s">
        <v>16207</v>
      </c>
      <c r="E5712" t="s">
        <v>16218</v>
      </c>
      <c r="F5712" t="s">
        <v>16221</v>
      </c>
      <c r="G5712" t="s">
        <v>16241</v>
      </c>
      <c r="H5712" t="s">
        <v>16241</v>
      </c>
      <c r="I5712" t="s">
        <v>16355</v>
      </c>
      <c r="J5712" t="s">
        <v>16385</v>
      </c>
      <c r="K5712">
        <v>0.151</v>
      </c>
      <c r="L5712">
        <v>6574</v>
      </c>
      <c r="M5712">
        <v>1848</v>
      </c>
      <c r="N5712" t="s">
        <v>16393</v>
      </c>
      <c r="O5712" s="4">
        <v>45278</v>
      </c>
      <c r="P5712" s="4">
        <v>98911</v>
      </c>
      <c r="Q5712" s="4">
        <v>144189</v>
      </c>
      <c r="R5712" s="4">
        <v>432567</v>
      </c>
      <c r="S5712" t="s">
        <v>21974</v>
      </c>
      <c r="T5712" s="6">
        <v>37012</v>
      </c>
      <c r="U5712" s="4">
        <v>238000</v>
      </c>
      <c r="V5712" t="s">
        <v>23739</v>
      </c>
      <c r="W5712" t="s">
        <v>21974</v>
      </c>
      <c r="X5712" t="s">
        <v>3</v>
      </c>
      <c r="AA5712" s="5" t="str">
        <f>HYPERLINK("https://www.zillow.com/homes/1155-HYGATE-DR-ROSELLE-IL-60172_rb/","check listing")</f>
        <v>check listing</v>
      </c>
      <c r="AB5712" s="5" t="str">
        <f>HYPERLINK("https://propertylookup.dupagecounty.gov/Datalets/Datalet.aspx?UseSearch=no&amp;mode=sales&amp;pin=0204312006","sales record")</f>
        <v>sales record</v>
      </c>
      <c r="AC5712" t="s">
        <v>3</v>
      </c>
      <c r="AD5712">
        <v>41.980367</v>
      </c>
      <c r="AE5712">
        <v>-88.109585</v>
      </c>
      <c r="AF5712" s="5" t="str">
        <f>HYPERLINK("https://www.google.com/maps/search/?api=1&amp;query=41.980367,-88.109585","map")</f>
        <v>map</v>
      </c>
    </row>
    <row r="5713" spans="1:32">
      <c r="A5713" t="s">
        <v>5763</v>
      </c>
      <c r="B5713" t="s">
        <v>13288</v>
      </c>
      <c r="C5713" t="s">
        <v>15882</v>
      </c>
      <c r="D5713" t="s">
        <v>16207</v>
      </c>
      <c r="E5713" t="s">
        <v>16218</v>
      </c>
      <c r="F5713" t="s">
        <v>16221</v>
      </c>
      <c r="G5713" t="s">
        <v>16241</v>
      </c>
      <c r="H5713" t="s">
        <v>16241</v>
      </c>
      <c r="I5713" t="s">
        <v>16355</v>
      </c>
      <c r="J5713" t="s">
        <v>16385</v>
      </c>
      <c r="K5713">
        <v>0.151</v>
      </c>
      <c r="L5713">
        <v>6573</v>
      </c>
      <c r="M5713">
        <v>1384</v>
      </c>
      <c r="N5713" t="s">
        <v>16393</v>
      </c>
      <c r="O5713" s="4">
        <v>45278</v>
      </c>
      <c r="P5713" s="4">
        <v>84711</v>
      </c>
      <c r="Q5713" s="4">
        <v>129989</v>
      </c>
      <c r="R5713" s="4">
        <v>389967</v>
      </c>
      <c r="S5713" t="s">
        <v>21975</v>
      </c>
      <c r="T5713" s="6">
        <v>42856</v>
      </c>
      <c r="U5713" s="4">
        <v>275000</v>
      </c>
      <c r="V5713" t="s">
        <v>23739</v>
      </c>
      <c r="W5713" t="s">
        <v>26917</v>
      </c>
      <c r="X5713" t="s">
        <v>3</v>
      </c>
      <c r="AA5713" s="5" t="str">
        <f>HYPERLINK("https://www.zillow.com/homes/1145-HYGATE-DR-ROSELLE-IL-601721723_rb/","check listing")</f>
        <v>check listing</v>
      </c>
      <c r="AB5713" s="5" t="str">
        <f>HYPERLINK("https://propertylookup.dupagecounty.gov/Datalets/Datalet.aspx?UseSearch=no&amp;mode=sales&amp;pin=0204312007","sales record")</f>
        <v>sales record</v>
      </c>
      <c r="AC5713" t="s">
        <v>3</v>
      </c>
      <c r="AD5713">
        <v>41.980363</v>
      </c>
      <c r="AE5713">
        <v>-88.109345</v>
      </c>
      <c r="AF5713" s="5" t="str">
        <f>HYPERLINK("https://www.google.com/maps/search/?api=1&amp;query=41.980363,-88.109345","map")</f>
        <v>map</v>
      </c>
    </row>
    <row r="5714" spans="1:32">
      <c r="A5714" t="s">
        <v>5764</v>
      </c>
      <c r="B5714" t="s">
        <v>13289</v>
      </c>
      <c r="C5714" t="s">
        <v>15830</v>
      </c>
      <c r="D5714" t="s">
        <v>16207</v>
      </c>
      <c r="E5714" t="s">
        <v>16218</v>
      </c>
      <c r="F5714" t="s">
        <v>16221</v>
      </c>
      <c r="G5714" t="s">
        <v>16241</v>
      </c>
      <c r="H5714" t="s">
        <v>16241</v>
      </c>
      <c r="I5714" t="s">
        <v>16355</v>
      </c>
      <c r="J5714" t="s">
        <v>16385</v>
      </c>
      <c r="K5714">
        <v>0.151</v>
      </c>
      <c r="L5714">
        <v>6570</v>
      </c>
      <c r="M5714">
        <v>2144</v>
      </c>
      <c r="N5714" t="s">
        <v>16393</v>
      </c>
      <c r="O5714" s="4">
        <v>45278</v>
      </c>
      <c r="P5714" s="4">
        <v>98218</v>
      </c>
      <c r="Q5714" s="4">
        <v>143496</v>
      </c>
      <c r="R5714" s="4">
        <v>430488</v>
      </c>
      <c r="S5714" t="s">
        <v>21976</v>
      </c>
      <c r="T5714" s="6">
        <v>36708</v>
      </c>
      <c r="U5714" s="4">
        <v>197000</v>
      </c>
      <c r="V5714" t="s">
        <v>23739</v>
      </c>
      <c r="W5714" t="s">
        <v>26918</v>
      </c>
      <c r="X5714" t="s">
        <v>3</v>
      </c>
      <c r="AA5714" s="5" t="str">
        <f>HYPERLINK("https://www.zillow.com/homes/510-RIDGEFIELD-DR-ROSELLE-IL-60172_rb/","check listing")</f>
        <v>check listing</v>
      </c>
      <c r="AB5714" s="5" t="str">
        <f>HYPERLINK("https://propertylookup.dupagecounty.gov/Datalets/Datalet.aspx?UseSearch=no&amp;mode=sales&amp;pin=0209212009","sales record")</f>
        <v>sales record</v>
      </c>
      <c r="AC5714" t="s">
        <v>3</v>
      </c>
      <c r="AD5714">
        <v>41.973665</v>
      </c>
      <c r="AE5714">
        <v>-88.097922</v>
      </c>
      <c r="AF5714" s="5" t="str">
        <f>HYPERLINK("https://www.google.com/maps/search/?api=1&amp;query=41.973665,-88.097922","map")</f>
        <v>map</v>
      </c>
    </row>
    <row r="5715" spans="1:32">
      <c r="A5715" t="s">
        <v>5765</v>
      </c>
      <c r="B5715" t="s">
        <v>13290</v>
      </c>
      <c r="C5715" t="s">
        <v>15830</v>
      </c>
      <c r="D5715" t="s">
        <v>16207</v>
      </c>
      <c r="E5715" t="s">
        <v>16218</v>
      </c>
      <c r="F5715" t="s">
        <v>16221</v>
      </c>
      <c r="G5715" t="s">
        <v>16241</v>
      </c>
      <c r="H5715" t="s">
        <v>16241</v>
      </c>
      <c r="I5715" t="s">
        <v>16355</v>
      </c>
      <c r="J5715" t="s">
        <v>16385</v>
      </c>
      <c r="K5715">
        <v>0.151</v>
      </c>
      <c r="L5715">
        <v>6569</v>
      </c>
      <c r="M5715">
        <v>1716</v>
      </c>
      <c r="N5715" t="s">
        <v>16393</v>
      </c>
      <c r="O5715" s="4">
        <v>45278</v>
      </c>
      <c r="P5715" s="4">
        <v>72520</v>
      </c>
      <c r="Q5715" s="4">
        <v>117798</v>
      </c>
      <c r="R5715" s="4">
        <v>353394</v>
      </c>
      <c r="S5715" t="s">
        <v>21977</v>
      </c>
      <c r="T5715" s="6">
        <v>36892</v>
      </c>
      <c r="U5715" s="4">
        <v>192000</v>
      </c>
      <c r="V5715" t="s">
        <v>23739</v>
      </c>
      <c r="W5715" t="s">
        <v>26919</v>
      </c>
      <c r="X5715" t="s">
        <v>3</v>
      </c>
      <c r="AA5715" s="5" t="str">
        <f>HYPERLINK("https://www.zillow.com/homes/290-BRIGHTON-BAY-ROSELLE-IL-60172_rb/","check listing")</f>
        <v>check listing</v>
      </c>
      <c r="AB5715" s="5" t="str">
        <f>HYPERLINK("https://propertylookup.dupagecounty.gov/Datalets/Datalet.aspx?UseSearch=no&amp;mode=sales&amp;pin=0205401023","sales record")</f>
        <v>sales record</v>
      </c>
      <c r="AC5715" t="s">
        <v>3</v>
      </c>
      <c r="AD5715">
        <v>41.977276</v>
      </c>
      <c r="AE5715">
        <v>-88.114818</v>
      </c>
      <c r="AF5715" s="5" t="str">
        <f>HYPERLINK("https://www.google.com/maps/search/?api=1&amp;query=41.977276,-88.114818","map")</f>
        <v>map</v>
      </c>
    </row>
    <row r="5716" spans="1:32">
      <c r="A5716" t="s">
        <v>5766</v>
      </c>
      <c r="B5716" t="s">
        <v>13291</v>
      </c>
      <c r="C5716" t="s">
        <v>15933</v>
      </c>
      <c r="D5716" t="s">
        <v>16207</v>
      </c>
      <c r="E5716" t="s">
        <v>16218</v>
      </c>
      <c r="F5716" t="s">
        <v>16221</v>
      </c>
      <c r="G5716" t="s">
        <v>16241</v>
      </c>
      <c r="H5716" t="s">
        <v>16241</v>
      </c>
      <c r="I5716" t="s">
        <v>16355</v>
      </c>
      <c r="J5716" t="s">
        <v>16385</v>
      </c>
      <c r="K5716">
        <v>0.151</v>
      </c>
      <c r="L5716">
        <v>6563</v>
      </c>
      <c r="M5716">
        <v>2144</v>
      </c>
      <c r="N5716" t="s">
        <v>16393</v>
      </c>
      <c r="O5716" s="4">
        <v>45278</v>
      </c>
      <c r="P5716" s="4">
        <v>92277</v>
      </c>
      <c r="Q5716" s="4">
        <v>137555</v>
      </c>
      <c r="R5716" s="4">
        <v>412665</v>
      </c>
      <c r="S5716" t="s">
        <v>21978</v>
      </c>
      <c r="T5716" s="6">
        <v>44075</v>
      </c>
      <c r="U5716" s="4">
        <v>340000</v>
      </c>
      <c r="V5716" t="s">
        <v>23739</v>
      </c>
      <c r="W5716" t="s">
        <v>26920</v>
      </c>
      <c r="X5716" t="s">
        <v>3</v>
      </c>
      <c r="AA5716" s="5" t="str">
        <f>HYPERLINK("https://www.zillow.com/homes/1155-MENSCHING-RD-ROSELLE-IL-601721726_rb/","check listing")</f>
        <v>check listing</v>
      </c>
      <c r="AB5716" s="5" t="str">
        <f>HYPERLINK("https://propertylookup.dupagecounty.gov/Datalets/Datalet.aspx?UseSearch=no&amp;mode=sales&amp;pin=0204309023","sales record")</f>
        <v>sales record</v>
      </c>
      <c r="AC5716" t="s">
        <v>3</v>
      </c>
      <c r="AD5716">
        <v>41.981088</v>
      </c>
      <c r="AE5716">
        <v>-88.10937699999999</v>
      </c>
      <c r="AF5716" s="5" t="str">
        <f>HYPERLINK("https://www.google.com/maps/search/?api=1&amp;query=41.981088,-88.109377","map")</f>
        <v>map</v>
      </c>
    </row>
    <row r="5717" spans="1:32">
      <c r="A5717" t="s">
        <v>5767</v>
      </c>
      <c r="B5717" t="s">
        <v>13292</v>
      </c>
      <c r="C5717" t="s">
        <v>15830</v>
      </c>
      <c r="D5717" t="s">
        <v>16207</v>
      </c>
      <c r="E5717" t="s">
        <v>16218</v>
      </c>
      <c r="F5717" t="s">
        <v>16221</v>
      </c>
      <c r="G5717" t="s">
        <v>16241</v>
      </c>
      <c r="H5717" t="s">
        <v>16241</v>
      </c>
      <c r="I5717" t="s">
        <v>16355</v>
      </c>
      <c r="J5717" t="s">
        <v>16385</v>
      </c>
      <c r="K5717">
        <v>0.151</v>
      </c>
      <c r="L5717">
        <v>6563</v>
      </c>
      <c r="M5717">
        <v>2370</v>
      </c>
      <c r="N5717" t="s">
        <v>16393</v>
      </c>
      <c r="O5717" s="4">
        <v>38692</v>
      </c>
      <c r="P5717" s="4">
        <v>77539</v>
      </c>
      <c r="Q5717" s="4">
        <v>116231</v>
      </c>
      <c r="R5717" s="4">
        <v>348693</v>
      </c>
      <c r="S5717" t="s">
        <v>21979</v>
      </c>
      <c r="T5717" s="6">
        <v>45142</v>
      </c>
      <c r="U5717" s="4">
        <v>365000</v>
      </c>
      <c r="V5717" t="s">
        <v>23739</v>
      </c>
      <c r="W5717" t="s">
        <v>26921</v>
      </c>
      <c r="X5717" t="s">
        <v>3</v>
      </c>
      <c r="AA5717" s="5" t="str">
        <f>HYPERLINK("https://www.zillow.com/homes/730-MEADE-LN-ROSELLE-IL-60172_rb/","check listing")</f>
        <v>check listing</v>
      </c>
      <c r="AB5717" s="5" t="str">
        <f>HYPERLINK("https://propertylookup.dupagecounty.gov/Datalets/Datalet.aspx?UseSearch=no&amp;mode=sales&amp;pin=0209117010","sales record")</f>
        <v>sales record</v>
      </c>
      <c r="AC5717" t="s">
        <v>3</v>
      </c>
      <c r="AD5717">
        <v>41.969464</v>
      </c>
      <c r="AE5717">
        <v>-88.10608000000001</v>
      </c>
      <c r="AF5717" s="5" t="str">
        <f>HYPERLINK("https://www.google.com/maps/search/?api=1&amp;query=41.969464,-88.10608","map")</f>
        <v>map</v>
      </c>
    </row>
    <row r="5718" spans="1:32">
      <c r="A5718" t="s">
        <v>5768</v>
      </c>
      <c r="B5718" t="s">
        <v>13293</v>
      </c>
      <c r="C5718" t="s">
        <v>15830</v>
      </c>
      <c r="D5718" t="s">
        <v>16207</v>
      </c>
      <c r="E5718" t="s">
        <v>16218</v>
      </c>
      <c r="F5718" t="s">
        <v>16221</v>
      </c>
      <c r="G5718" t="s">
        <v>16241</v>
      </c>
      <c r="H5718" t="s">
        <v>16241</v>
      </c>
      <c r="I5718" t="s">
        <v>16355</v>
      </c>
      <c r="J5718" t="s">
        <v>16385</v>
      </c>
      <c r="K5718">
        <v>0.151</v>
      </c>
      <c r="L5718">
        <v>6562</v>
      </c>
      <c r="M5718">
        <v>742</v>
      </c>
      <c r="N5718" t="s">
        <v>16393</v>
      </c>
      <c r="O5718" s="4">
        <v>45278</v>
      </c>
      <c r="P5718" s="4">
        <v>85105</v>
      </c>
      <c r="Q5718" s="4">
        <v>130383</v>
      </c>
      <c r="R5718" s="4">
        <v>391149</v>
      </c>
      <c r="S5718" t="s">
        <v>21980</v>
      </c>
      <c r="T5718" s="6">
        <v>43221</v>
      </c>
      <c r="U5718" s="4">
        <v>300000</v>
      </c>
      <c r="V5718" t="s">
        <v>23739</v>
      </c>
      <c r="W5718" t="s">
        <v>21980</v>
      </c>
      <c r="X5718" t="s">
        <v>3</v>
      </c>
      <c r="AA5718" s="5" t="str">
        <f>HYPERLINK("https://www.zillow.com/homes/1115-MENSCHING-RD-ROSELLE-IL-60172_rb/","check listing")</f>
        <v>check listing</v>
      </c>
      <c r="AB5718" s="5" t="str">
        <f>HYPERLINK("https://propertylookup.dupagecounty.gov/Datalets/Datalet.aspx?UseSearch=no&amp;mode=sales&amp;pin=0204309027","sales record")</f>
        <v>sales record</v>
      </c>
      <c r="AC5718" t="s">
        <v>3</v>
      </c>
      <c r="AD5718">
        <v>41.98108</v>
      </c>
      <c r="AE5718">
        <v>-88.10842100000001</v>
      </c>
      <c r="AF5718" s="5" t="str">
        <f>HYPERLINK("https://www.google.com/maps/search/?api=1&amp;query=41.98108,-88.108421","map")</f>
        <v>map</v>
      </c>
    </row>
    <row r="5719" spans="1:32">
      <c r="A5719" t="s">
        <v>5769</v>
      </c>
      <c r="B5719" t="s">
        <v>13294</v>
      </c>
      <c r="C5719" t="s">
        <v>15830</v>
      </c>
      <c r="D5719" t="s">
        <v>16207</v>
      </c>
      <c r="E5719" t="s">
        <v>16218</v>
      </c>
      <c r="F5719" t="s">
        <v>16221</v>
      </c>
      <c r="G5719" t="s">
        <v>16241</v>
      </c>
      <c r="H5719" t="s">
        <v>16241</v>
      </c>
      <c r="I5719" t="s">
        <v>16355</v>
      </c>
      <c r="J5719" t="s">
        <v>16385</v>
      </c>
      <c r="K5719">
        <v>0.151</v>
      </c>
      <c r="L5719">
        <v>6561</v>
      </c>
      <c r="M5719">
        <v>1849</v>
      </c>
      <c r="N5719" t="s">
        <v>16393</v>
      </c>
      <c r="O5719" s="4">
        <v>45278</v>
      </c>
      <c r="P5719" s="4">
        <v>96102</v>
      </c>
      <c r="Q5719" s="4">
        <v>141380</v>
      </c>
      <c r="R5719" s="4">
        <v>424140</v>
      </c>
      <c r="S5719" t="s">
        <v>21981</v>
      </c>
      <c r="T5719" s="6">
        <v>34304</v>
      </c>
      <c r="U5719" s="4">
        <v>161000</v>
      </c>
      <c r="X5719" t="s">
        <v>3</v>
      </c>
      <c r="AA5719" s="5" t="str">
        <f>HYPERLINK("https://www.zillow.com/homes/1125-MENSCHING-ROAD-ROSELLE-IL-60172_rb/","check listing")</f>
        <v>check listing</v>
      </c>
      <c r="AB5719" s="5" t="str">
        <f>HYPERLINK("https://propertylookup.dupagecounty.gov/Datalets/Datalet.aspx?UseSearch=no&amp;mode=sales&amp;pin=0204309026","sales record")</f>
        <v>sales record</v>
      </c>
      <c r="AC5719" t="s">
        <v>3</v>
      </c>
      <c r="AD5719">
        <v>41.981082</v>
      </c>
      <c r="AE5719">
        <v>-88.10866</v>
      </c>
      <c r="AF5719" s="5" t="str">
        <f>HYPERLINK("https://www.google.com/maps/search/?api=1&amp;query=41.981082,-88.10866","map")</f>
        <v>map</v>
      </c>
    </row>
    <row r="5720" spans="1:32">
      <c r="A5720" t="s">
        <v>5770</v>
      </c>
      <c r="B5720" t="s">
        <v>13295</v>
      </c>
      <c r="C5720" t="s">
        <v>15830</v>
      </c>
      <c r="D5720" t="s">
        <v>16207</v>
      </c>
      <c r="E5720" t="s">
        <v>16218</v>
      </c>
      <c r="F5720" t="s">
        <v>16221</v>
      </c>
      <c r="G5720" t="s">
        <v>16241</v>
      </c>
      <c r="H5720" t="s">
        <v>16241</v>
      </c>
      <c r="I5720" t="s">
        <v>16355</v>
      </c>
      <c r="J5720" t="s">
        <v>16385</v>
      </c>
      <c r="K5720">
        <v>0.151</v>
      </c>
      <c r="L5720">
        <v>6561</v>
      </c>
      <c r="M5720">
        <v>1978</v>
      </c>
      <c r="N5720" t="s">
        <v>16393</v>
      </c>
      <c r="O5720" s="4">
        <v>45278</v>
      </c>
      <c r="P5720" s="4">
        <v>97310</v>
      </c>
      <c r="Q5720" s="4">
        <v>142588</v>
      </c>
      <c r="R5720" s="4">
        <v>427764</v>
      </c>
      <c r="S5720" t="s">
        <v>21982</v>
      </c>
      <c r="T5720" s="6">
        <v>30376</v>
      </c>
      <c r="U5720" s="4">
        <v>90900</v>
      </c>
      <c r="X5720" t="s">
        <v>3</v>
      </c>
      <c r="AA5720" s="5" t="str">
        <f>HYPERLINK("https://www.zillow.com/homes/1135-MENSCHING-RD-ROSELLE-IL-60172_rb/","check listing")</f>
        <v>check listing</v>
      </c>
      <c r="AB5720" s="5" t="str">
        <f>HYPERLINK("https://propertylookup.dupagecounty.gov/Datalets/Datalet.aspx?UseSearch=no&amp;mode=sales&amp;pin=0204309025","sales record")</f>
        <v>sales record</v>
      </c>
      <c r="AC5720" t="s">
        <v>3</v>
      </c>
      <c r="AD5720">
        <v>41.981084</v>
      </c>
      <c r="AE5720">
        <v>-88.10889899999999</v>
      </c>
      <c r="AF5720" s="5" t="str">
        <f>HYPERLINK("https://www.google.com/maps/search/?api=1&amp;query=41.981084,-88.108899","map")</f>
        <v>map</v>
      </c>
    </row>
    <row r="5721" spans="1:32">
      <c r="A5721" t="s">
        <v>5771</v>
      </c>
      <c r="B5721" t="s">
        <v>13296</v>
      </c>
      <c r="C5721" t="s">
        <v>15830</v>
      </c>
      <c r="D5721" t="s">
        <v>16207</v>
      </c>
      <c r="E5721" t="s">
        <v>16218</v>
      </c>
      <c r="F5721" t="s">
        <v>16221</v>
      </c>
      <c r="G5721" t="s">
        <v>16241</v>
      </c>
      <c r="H5721" t="s">
        <v>16241</v>
      </c>
      <c r="I5721" t="s">
        <v>16355</v>
      </c>
      <c r="J5721" t="s">
        <v>16385</v>
      </c>
      <c r="K5721">
        <v>0.151</v>
      </c>
      <c r="L5721">
        <v>6560</v>
      </c>
      <c r="M5721">
        <v>1714</v>
      </c>
      <c r="N5721" t="s">
        <v>16393</v>
      </c>
      <c r="O5721" s="4">
        <v>45278</v>
      </c>
      <c r="P5721" s="4">
        <v>75281</v>
      </c>
      <c r="Q5721" s="4">
        <v>120559</v>
      </c>
      <c r="R5721" s="4">
        <v>361677</v>
      </c>
      <c r="S5721" t="s">
        <v>21983</v>
      </c>
      <c r="T5721" s="6">
        <v>43070</v>
      </c>
      <c r="U5721" s="4">
        <v>255000</v>
      </c>
      <c r="V5721" t="s">
        <v>23739</v>
      </c>
      <c r="W5721" t="s">
        <v>21983</v>
      </c>
      <c r="X5721" t="s">
        <v>3</v>
      </c>
      <c r="AA5721" s="5" t="str">
        <f>HYPERLINK("https://www.zillow.com/homes/1145-MENSCHING-RD-ROSELLE-IL-60172_rb/","check listing")</f>
        <v>check listing</v>
      </c>
      <c r="AB5721" s="5" t="str">
        <f>HYPERLINK("https://propertylookup.dupagecounty.gov/Datalets/Datalet.aspx?UseSearch=no&amp;mode=sales&amp;pin=0204309024","sales record")</f>
        <v>sales record</v>
      </c>
      <c r="AC5721" t="s">
        <v>3</v>
      </c>
      <c r="AD5721">
        <v>41.981086</v>
      </c>
      <c r="AE5721">
        <v>-88.109138</v>
      </c>
      <c r="AF5721" s="5" t="str">
        <f>HYPERLINK("https://www.google.com/maps/search/?api=1&amp;query=41.981086,-88.109138","map")</f>
        <v>map</v>
      </c>
    </row>
    <row r="5722" spans="1:32">
      <c r="A5722" t="s">
        <v>5772</v>
      </c>
      <c r="B5722" t="s">
        <v>13297</v>
      </c>
      <c r="C5722" t="s">
        <v>15934</v>
      </c>
      <c r="D5722" t="s">
        <v>16207</v>
      </c>
      <c r="E5722" t="s">
        <v>16218</v>
      </c>
      <c r="F5722" t="s">
        <v>16221</v>
      </c>
      <c r="G5722" t="s">
        <v>16241</v>
      </c>
      <c r="H5722" t="s">
        <v>16241</v>
      </c>
      <c r="I5722" t="s">
        <v>16355</v>
      </c>
      <c r="J5722" t="s">
        <v>16385</v>
      </c>
      <c r="K5722">
        <v>0.151</v>
      </c>
      <c r="L5722">
        <v>6557</v>
      </c>
      <c r="M5722">
        <v>1930</v>
      </c>
      <c r="N5722" t="s">
        <v>16393</v>
      </c>
      <c r="O5722" s="4">
        <v>45278</v>
      </c>
      <c r="P5722" s="4">
        <v>98589</v>
      </c>
      <c r="Q5722" s="4">
        <v>143867</v>
      </c>
      <c r="R5722" s="4">
        <v>431601</v>
      </c>
      <c r="S5722" t="s">
        <v>21984</v>
      </c>
      <c r="T5722" s="6">
        <v>43647</v>
      </c>
      <c r="U5722" s="4">
        <v>288500</v>
      </c>
      <c r="V5722" t="s">
        <v>23739</v>
      </c>
      <c r="W5722" t="s">
        <v>21984</v>
      </c>
      <c r="X5722" t="s">
        <v>3</v>
      </c>
      <c r="AA5722" s="5" t="str">
        <f>HYPERLINK("https://www.zillow.com/homes/520-RIDGEFIELD-DR-ROSELLE-IL-601722833_rb/","check listing")</f>
        <v>check listing</v>
      </c>
      <c r="AB5722" s="5" t="str">
        <f>HYPERLINK("https://propertylookup.dupagecounty.gov/Datalets/Datalet.aspx?UseSearch=no&amp;mode=sales&amp;pin=0209212010","sales record")</f>
        <v>sales record</v>
      </c>
      <c r="AC5722" t="s">
        <v>3</v>
      </c>
      <c r="AD5722">
        <v>41.973503</v>
      </c>
      <c r="AE5722">
        <v>-88.097909</v>
      </c>
      <c r="AF5722" s="5" t="str">
        <f>HYPERLINK("https://www.google.com/maps/search/?api=1&amp;query=41.973503,-88.097909","map")</f>
        <v>map</v>
      </c>
    </row>
    <row r="5723" spans="1:32">
      <c r="A5723" t="s">
        <v>5773</v>
      </c>
      <c r="B5723" t="s">
        <v>13298</v>
      </c>
      <c r="C5723" t="s">
        <v>15830</v>
      </c>
      <c r="D5723" t="s">
        <v>16207</v>
      </c>
      <c r="E5723" t="s">
        <v>16218</v>
      </c>
      <c r="F5723" t="s">
        <v>16221</v>
      </c>
      <c r="G5723" t="s">
        <v>16241</v>
      </c>
      <c r="H5723" t="s">
        <v>16241</v>
      </c>
      <c r="I5723" t="s">
        <v>16355</v>
      </c>
      <c r="J5723" t="s">
        <v>16385</v>
      </c>
      <c r="K5723">
        <v>0.151</v>
      </c>
      <c r="L5723">
        <v>6556</v>
      </c>
      <c r="M5723">
        <v>1979</v>
      </c>
      <c r="N5723" t="s">
        <v>16393</v>
      </c>
      <c r="O5723" s="4">
        <v>45278</v>
      </c>
      <c r="P5723" s="4">
        <v>74575</v>
      </c>
      <c r="Q5723" s="4">
        <v>119853</v>
      </c>
      <c r="R5723" s="4">
        <v>359559</v>
      </c>
      <c r="S5723" t="s">
        <v>21985</v>
      </c>
      <c r="T5723" s="6">
        <v>42522</v>
      </c>
      <c r="U5723" s="4">
        <v>264000</v>
      </c>
      <c r="V5723" t="s">
        <v>23739</v>
      </c>
      <c r="W5723" t="s">
        <v>26922</v>
      </c>
      <c r="X5723" t="s">
        <v>3</v>
      </c>
      <c r="AA5723" s="5" t="str">
        <f>HYPERLINK("https://www.zillow.com/homes/1160-MENSCHING-RD-ROSELLE-IL-60172_rb/","check listing")</f>
        <v>check listing</v>
      </c>
      <c r="AB5723" s="5" t="str">
        <f>HYPERLINK("https://propertylookup.dupagecounty.gov/Datalets/Datalet.aspx?UseSearch=no&amp;mode=sales&amp;pin=0204311003","sales record")</f>
        <v>sales record</v>
      </c>
      <c r="AC5723" t="s">
        <v>3</v>
      </c>
      <c r="AD5723">
        <v>41.981547</v>
      </c>
      <c r="AE5723">
        <v>-88.109509</v>
      </c>
      <c r="AF5723" s="5" t="str">
        <f>HYPERLINK("https://www.google.com/maps/search/?api=1&amp;query=41.981547,-88.109509","map")</f>
        <v>map</v>
      </c>
    </row>
    <row r="5724" spans="1:32">
      <c r="A5724" t="s">
        <v>5774</v>
      </c>
      <c r="B5724" t="s">
        <v>13299</v>
      </c>
      <c r="C5724" t="s">
        <v>15830</v>
      </c>
      <c r="D5724" t="s">
        <v>16207</v>
      </c>
      <c r="E5724" t="s">
        <v>16218</v>
      </c>
      <c r="F5724" t="s">
        <v>16221</v>
      </c>
      <c r="G5724" t="s">
        <v>16241</v>
      </c>
      <c r="H5724" t="s">
        <v>16241</v>
      </c>
      <c r="I5724" t="s">
        <v>16355</v>
      </c>
      <c r="J5724" t="s">
        <v>16385</v>
      </c>
      <c r="K5724">
        <v>0.151</v>
      </c>
      <c r="L5724">
        <v>6556</v>
      </c>
      <c r="M5724">
        <v>1632</v>
      </c>
      <c r="N5724" t="s">
        <v>16393</v>
      </c>
      <c r="O5724" s="4">
        <v>38692</v>
      </c>
      <c r="P5724" s="4">
        <v>88859</v>
      </c>
      <c r="Q5724" s="4">
        <v>127551</v>
      </c>
      <c r="R5724" s="4">
        <v>382653</v>
      </c>
      <c r="S5724" t="s">
        <v>21986</v>
      </c>
      <c r="T5724" s="6">
        <v>38687</v>
      </c>
      <c r="U5724" s="4">
        <v>300000</v>
      </c>
      <c r="V5724" t="s">
        <v>23739</v>
      </c>
      <c r="W5724" t="s">
        <v>26923</v>
      </c>
      <c r="X5724" t="s">
        <v>3</v>
      </c>
      <c r="AA5724" s="5" t="str">
        <f>HYPERLINK("https://www.zillow.com/homes/565-KINGSTON-CT-ROSELLE-IL-60172_rb/","check listing")</f>
        <v>check listing</v>
      </c>
      <c r="AB5724" s="5" t="str">
        <f>HYPERLINK("https://propertylookup.dupagecounty.gov/Datalets/Datalet.aspx?UseSearch=no&amp;mode=sales&amp;pin=0209119014","sales record")</f>
        <v>sales record</v>
      </c>
      <c r="AC5724" t="s">
        <v>3</v>
      </c>
      <c r="AD5724">
        <v>41.972626</v>
      </c>
      <c r="AE5724">
        <v>-88.109058</v>
      </c>
      <c r="AF5724" s="5" t="str">
        <f>HYPERLINK("https://www.google.com/maps/search/?api=1&amp;query=41.972626,-88.109058","map")</f>
        <v>map</v>
      </c>
    </row>
    <row r="5725" spans="1:32">
      <c r="A5725" t="s">
        <v>5775</v>
      </c>
      <c r="B5725" t="s">
        <v>13300</v>
      </c>
      <c r="C5725" t="s">
        <v>15830</v>
      </c>
      <c r="D5725" t="s">
        <v>16207</v>
      </c>
      <c r="E5725" t="s">
        <v>16218</v>
      </c>
      <c r="F5725" t="s">
        <v>16221</v>
      </c>
      <c r="G5725" t="s">
        <v>16241</v>
      </c>
      <c r="H5725" t="s">
        <v>16241</v>
      </c>
      <c r="I5725" t="s">
        <v>16355</v>
      </c>
      <c r="J5725" t="s">
        <v>16385</v>
      </c>
      <c r="K5725">
        <v>0.15</v>
      </c>
      <c r="L5725">
        <v>6549</v>
      </c>
      <c r="M5725">
        <v>1715</v>
      </c>
      <c r="N5725" t="s">
        <v>16393</v>
      </c>
      <c r="O5725" s="4">
        <v>45278</v>
      </c>
      <c r="P5725" s="4">
        <v>86815</v>
      </c>
      <c r="Q5725" s="4">
        <v>132093</v>
      </c>
      <c r="R5725" s="4">
        <v>396279</v>
      </c>
      <c r="S5725" t="s">
        <v>21987</v>
      </c>
      <c r="X5725" t="s">
        <v>3</v>
      </c>
      <c r="AA5725" s="5" t="str">
        <f>HYPERLINK("https://www.zillow.com/homes/1195-COLONY-LN-ROSELLE-IL-60172_rb/","check listing")</f>
        <v>check listing</v>
      </c>
      <c r="AB5725" s="5" t="str">
        <f>HYPERLINK("https://propertylookup.dupagecounty.gov/Datalets/Datalet.aspx?UseSearch=no&amp;mode=sales&amp;pin=0204309042","sales record")</f>
        <v>sales record</v>
      </c>
      <c r="AC5725" t="s">
        <v>3</v>
      </c>
      <c r="AD5725">
        <v>41.979696</v>
      </c>
      <c r="AE5725">
        <v>-88.11022800000001</v>
      </c>
      <c r="AF5725" s="5" t="str">
        <f>HYPERLINK("https://www.google.com/maps/search/?api=1&amp;query=41.979696,-88.110228","map")</f>
        <v>map</v>
      </c>
    </row>
    <row r="5726" spans="1:32">
      <c r="A5726" t="s">
        <v>5776</v>
      </c>
      <c r="B5726" t="s">
        <v>13301</v>
      </c>
      <c r="C5726" t="s">
        <v>15935</v>
      </c>
      <c r="D5726" t="s">
        <v>16207</v>
      </c>
      <c r="E5726" t="s">
        <v>16218</v>
      </c>
      <c r="F5726" t="s">
        <v>16221</v>
      </c>
      <c r="G5726" t="s">
        <v>16241</v>
      </c>
      <c r="H5726" t="s">
        <v>16241</v>
      </c>
      <c r="I5726" t="s">
        <v>16355</v>
      </c>
      <c r="J5726" t="s">
        <v>16385</v>
      </c>
      <c r="K5726">
        <v>0.15</v>
      </c>
      <c r="L5726">
        <v>6545</v>
      </c>
      <c r="M5726">
        <v>1847</v>
      </c>
      <c r="N5726" t="s">
        <v>16393</v>
      </c>
      <c r="O5726" s="4">
        <v>45278</v>
      </c>
      <c r="P5726" s="4">
        <v>85811</v>
      </c>
      <c r="Q5726" s="4">
        <v>131089</v>
      </c>
      <c r="R5726" s="4">
        <v>393267</v>
      </c>
      <c r="S5726" t="s">
        <v>21988</v>
      </c>
      <c r="T5726" s="6">
        <v>44348</v>
      </c>
      <c r="U5726" s="4">
        <v>317000</v>
      </c>
      <c r="V5726" t="s">
        <v>23739</v>
      </c>
      <c r="W5726" t="s">
        <v>26924</v>
      </c>
      <c r="X5726" t="s">
        <v>3</v>
      </c>
      <c r="AA5726" s="5" t="str">
        <f>HYPERLINK("https://www.zillow.com/homes/315-HAMSTEAD-CT-ROSELLE-IL-601721632_rb/","check listing")</f>
        <v>check listing</v>
      </c>
      <c r="AB5726" s="5" t="str">
        <f>HYPERLINK("https://propertylookup.dupagecounty.gov/Datalets/Datalet.aspx?UseSearch=no&amp;mode=sales&amp;pin=0205406012","sales record")</f>
        <v>sales record</v>
      </c>
      <c r="AC5726" t="s">
        <v>3</v>
      </c>
      <c r="AD5726">
        <v>41.976948</v>
      </c>
      <c r="AE5726">
        <v>-88.11264199999999</v>
      </c>
      <c r="AF5726" s="5" t="str">
        <f>HYPERLINK("https://www.google.com/maps/search/?api=1&amp;query=41.976948,-88.112642","map")</f>
        <v>map</v>
      </c>
    </row>
    <row r="5727" spans="1:32">
      <c r="A5727" t="s">
        <v>5777</v>
      </c>
      <c r="B5727" t="s">
        <v>13302</v>
      </c>
      <c r="C5727" t="s">
        <v>15830</v>
      </c>
      <c r="D5727" t="s">
        <v>16207</v>
      </c>
      <c r="E5727" t="s">
        <v>16218</v>
      </c>
      <c r="F5727" t="s">
        <v>16221</v>
      </c>
      <c r="G5727" t="s">
        <v>16241</v>
      </c>
      <c r="H5727" t="s">
        <v>16241</v>
      </c>
      <c r="I5727" t="s">
        <v>16355</v>
      </c>
      <c r="J5727" t="s">
        <v>16385</v>
      </c>
      <c r="K5727">
        <v>0.15</v>
      </c>
      <c r="L5727">
        <v>6543</v>
      </c>
      <c r="M5727">
        <v>1843</v>
      </c>
      <c r="N5727" t="s">
        <v>16393</v>
      </c>
      <c r="O5727" s="4">
        <v>45278</v>
      </c>
      <c r="P5727" s="4">
        <v>74719</v>
      </c>
      <c r="Q5727" s="4">
        <v>119997</v>
      </c>
      <c r="R5727" s="4">
        <v>359991</v>
      </c>
      <c r="S5727" t="s">
        <v>21989</v>
      </c>
      <c r="T5727" s="6">
        <v>43862</v>
      </c>
      <c r="U5727" s="4">
        <v>240000</v>
      </c>
      <c r="V5727" t="s">
        <v>23739</v>
      </c>
      <c r="W5727" t="s">
        <v>26925</v>
      </c>
      <c r="X5727" t="s">
        <v>3</v>
      </c>
      <c r="AA5727" s="5" t="str">
        <f>HYPERLINK("https://www.zillow.com/homes/1180-HYGATE-DR-ROSELLE-IL-60172_rb/","check listing")</f>
        <v>check listing</v>
      </c>
      <c r="AB5727" s="5" t="str">
        <f>HYPERLINK("https://propertylookup.dupagecounty.gov/Datalets/Datalet.aspx?UseSearch=no&amp;mode=sales&amp;pin=0204309029","sales record")</f>
        <v>sales record</v>
      </c>
      <c r="AC5727" t="s">
        <v>3</v>
      </c>
      <c r="AD5727">
        <v>41.980914</v>
      </c>
      <c r="AE5727">
        <v>-88.110057</v>
      </c>
      <c r="AF5727" s="5" t="str">
        <f>HYPERLINK("https://www.google.com/maps/search/?api=1&amp;query=41.980914,-88.110057","map")</f>
        <v>map</v>
      </c>
    </row>
    <row r="5728" spans="1:32">
      <c r="A5728" t="s">
        <v>5778</v>
      </c>
      <c r="B5728" t="s">
        <v>13303</v>
      </c>
      <c r="C5728" t="s">
        <v>15936</v>
      </c>
      <c r="D5728" t="s">
        <v>16207</v>
      </c>
      <c r="E5728" t="s">
        <v>16218</v>
      </c>
      <c r="F5728" t="s">
        <v>16221</v>
      </c>
      <c r="G5728" t="s">
        <v>16241</v>
      </c>
      <c r="H5728" t="s">
        <v>16241</v>
      </c>
      <c r="I5728" t="s">
        <v>16355</v>
      </c>
      <c r="J5728" t="s">
        <v>16385</v>
      </c>
      <c r="K5728">
        <v>0.15</v>
      </c>
      <c r="L5728">
        <v>6542</v>
      </c>
      <c r="M5728">
        <v>1978</v>
      </c>
      <c r="N5728" t="s">
        <v>16393</v>
      </c>
      <c r="O5728" s="4">
        <v>45278</v>
      </c>
      <c r="P5728" s="4">
        <v>75722</v>
      </c>
      <c r="Q5728" s="4">
        <v>121000</v>
      </c>
      <c r="R5728" s="4">
        <v>363000</v>
      </c>
      <c r="S5728" t="s">
        <v>21990</v>
      </c>
      <c r="T5728" s="6">
        <v>44317</v>
      </c>
      <c r="U5728" s="4">
        <v>351100</v>
      </c>
      <c r="V5728" t="s">
        <v>23739</v>
      </c>
      <c r="W5728" t="s">
        <v>26926</v>
      </c>
      <c r="X5728" t="s">
        <v>3</v>
      </c>
      <c r="AA5728" s="5" t="str">
        <f>HYPERLINK("https://www.zillow.com/homes/455-AVEBURY-LN-ROSELLE-IL-601722814_rb/","check listing")</f>
        <v>check listing</v>
      </c>
      <c r="AB5728" s="5" t="str">
        <f>HYPERLINK("https://propertylookup.dupagecounty.gov/Datalets/Datalet.aspx?UseSearch=no&amp;mode=sales&amp;pin=0209212013","sales record")</f>
        <v>sales record</v>
      </c>
      <c r="AC5728" t="s">
        <v>3</v>
      </c>
      <c r="AD5728">
        <v>41.974549</v>
      </c>
      <c r="AE5728">
        <v>-88.099009</v>
      </c>
      <c r="AF5728" s="5" t="str">
        <f>HYPERLINK("https://www.google.com/maps/search/?api=1&amp;query=41.974549,-88.099009","map")</f>
        <v>map</v>
      </c>
    </row>
    <row r="5729" spans="1:32">
      <c r="A5729" t="s">
        <v>5779</v>
      </c>
      <c r="B5729" t="s">
        <v>13304</v>
      </c>
      <c r="C5729" t="s">
        <v>15830</v>
      </c>
      <c r="D5729" t="s">
        <v>16207</v>
      </c>
      <c r="E5729" t="s">
        <v>16218</v>
      </c>
      <c r="F5729" t="s">
        <v>16221</v>
      </c>
      <c r="G5729" t="s">
        <v>16241</v>
      </c>
      <c r="H5729" t="s">
        <v>16241</v>
      </c>
      <c r="I5729" t="s">
        <v>16355</v>
      </c>
      <c r="J5729" t="s">
        <v>16385</v>
      </c>
      <c r="K5729">
        <v>0.15</v>
      </c>
      <c r="L5729">
        <v>6541</v>
      </c>
      <c r="M5729">
        <v>1879</v>
      </c>
      <c r="N5729" t="s">
        <v>16393</v>
      </c>
      <c r="O5729" s="4">
        <v>45278</v>
      </c>
      <c r="P5729" s="4">
        <v>105630</v>
      </c>
      <c r="Q5729" s="4">
        <v>150908</v>
      </c>
      <c r="R5729" s="4">
        <v>452724</v>
      </c>
      <c r="S5729" t="s">
        <v>21991</v>
      </c>
      <c r="T5729" s="6">
        <v>29495</v>
      </c>
      <c r="U5729" s="4">
        <v>91000</v>
      </c>
      <c r="X5729" t="s">
        <v>3</v>
      </c>
      <c r="AA5729" s="5" t="str">
        <f>HYPERLINK("https://www.zillow.com/homes/1185-COLONY-LN-ROSELLE-IL-60172_rb/","check listing")</f>
        <v>check listing</v>
      </c>
      <c r="AB5729" s="5" t="str">
        <f>HYPERLINK("https://propertylookup.dupagecounty.gov/Datalets/Datalet.aspx?UseSearch=no&amp;mode=sales&amp;pin=0204309043","sales record")</f>
        <v>sales record</v>
      </c>
      <c r="AC5729" t="s">
        <v>3</v>
      </c>
      <c r="AD5729">
        <v>41.979678</v>
      </c>
      <c r="AE5729">
        <v>-88.10999</v>
      </c>
      <c r="AF5729" s="5" t="str">
        <f>HYPERLINK("https://www.google.com/maps/search/?api=1&amp;query=41.979678,-88.10999","map")</f>
        <v>map</v>
      </c>
    </row>
    <row r="5730" spans="1:32">
      <c r="A5730" t="s">
        <v>5780</v>
      </c>
      <c r="B5730" t="s">
        <v>13305</v>
      </c>
      <c r="C5730" t="s">
        <v>15830</v>
      </c>
      <c r="D5730" t="s">
        <v>16207</v>
      </c>
      <c r="E5730" t="s">
        <v>16218</v>
      </c>
      <c r="F5730" t="s">
        <v>16221</v>
      </c>
      <c r="G5730" t="s">
        <v>16241</v>
      </c>
      <c r="H5730" t="s">
        <v>16241</v>
      </c>
      <c r="I5730" t="s">
        <v>16355</v>
      </c>
      <c r="J5730" t="s">
        <v>16385</v>
      </c>
      <c r="K5730">
        <v>0.15</v>
      </c>
      <c r="L5730">
        <v>6540</v>
      </c>
      <c r="M5730">
        <v>2442</v>
      </c>
      <c r="N5730" t="s">
        <v>16393</v>
      </c>
      <c r="O5730" s="4">
        <v>45278</v>
      </c>
      <c r="P5730" s="4">
        <v>92469</v>
      </c>
      <c r="Q5730" s="4">
        <v>137747</v>
      </c>
      <c r="R5730" s="4">
        <v>413241</v>
      </c>
      <c r="S5730" t="s">
        <v>21992</v>
      </c>
      <c r="T5730" s="6">
        <v>44013</v>
      </c>
      <c r="U5730" s="4">
        <v>299900</v>
      </c>
      <c r="V5730" t="s">
        <v>23739</v>
      </c>
      <c r="W5730" t="s">
        <v>26927</v>
      </c>
      <c r="X5730" t="s">
        <v>3</v>
      </c>
      <c r="AA5730" s="5" t="str">
        <f>HYPERLINK("https://www.zillow.com/homes/325-HAMSTEAD-CT-ROSELLE-IL-60172_rb/","check listing")</f>
        <v>check listing</v>
      </c>
      <c r="AB5730" s="5" t="str">
        <f>HYPERLINK("https://propertylookup.dupagecounty.gov/Datalets/Datalet.aspx?UseSearch=no&amp;mode=sales&amp;pin=0205406013","sales record")</f>
        <v>sales record</v>
      </c>
      <c r="AC5730" t="s">
        <v>3</v>
      </c>
      <c r="AD5730">
        <v>41.976762</v>
      </c>
      <c r="AE5730">
        <v>-88.112719</v>
      </c>
      <c r="AF5730" s="5" t="str">
        <f>HYPERLINK("https://www.google.com/maps/search/?api=1&amp;query=41.976762,-88.112719","map")</f>
        <v>map</v>
      </c>
    </row>
    <row r="5731" spans="1:32">
      <c r="A5731" t="s">
        <v>5781</v>
      </c>
      <c r="B5731" t="s">
        <v>13306</v>
      </c>
      <c r="C5731" t="s">
        <v>15830</v>
      </c>
      <c r="D5731" t="s">
        <v>16207</v>
      </c>
      <c r="E5731" t="s">
        <v>16218</v>
      </c>
      <c r="F5731" t="s">
        <v>16221</v>
      </c>
      <c r="G5731" t="s">
        <v>16241</v>
      </c>
      <c r="H5731" t="s">
        <v>16241</v>
      </c>
      <c r="I5731" t="s">
        <v>16355</v>
      </c>
      <c r="J5731" t="s">
        <v>16385</v>
      </c>
      <c r="K5731">
        <v>0.15</v>
      </c>
      <c r="L5731">
        <v>6540</v>
      </c>
      <c r="M5731">
        <v>1502</v>
      </c>
      <c r="N5731" t="s">
        <v>16393</v>
      </c>
      <c r="O5731" s="4">
        <v>45278</v>
      </c>
      <c r="P5731" s="4">
        <v>86815</v>
      </c>
      <c r="Q5731" s="4">
        <v>132093</v>
      </c>
      <c r="R5731" s="4">
        <v>396279</v>
      </c>
      <c r="S5731" t="s">
        <v>21993</v>
      </c>
      <c r="T5731" s="6">
        <v>38504</v>
      </c>
      <c r="U5731" s="4">
        <v>330000</v>
      </c>
      <c r="V5731" t="s">
        <v>23739</v>
      </c>
      <c r="W5731" t="s">
        <v>21993</v>
      </c>
      <c r="X5731" t="s">
        <v>3</v>
      </c>
      <c r="AA5731" s="5" t="str">
        <f>HYPERLINK("https://www.zillow.com/homes/505-DALTON-LN-ROSELLE-IL-60172_rb/","check listing")</f>
        <v>check listing</v>
      </c>
      <c r="AB5731" s="5" t="str">
        <f>HYPERLINK("https://propertylookup.dupagecounty.gov/Datalets/Datalet.aspx?UseSearch=no&amp;mode=sales&amp;pin=0209213008","sales record")</f>
        <v>sales record</v>
      </c>
      <c r="AC5731" t="s">
        <v>3</v>
      </c>
      <c r="AD5731">
        <v>41.973626</v>
      </c>
      <c r="AE5731">
        <v>-88.09916800000001</v>
      </c>
      <c r="AF5731" s="5" t="str">
        <f>HYPERLINK("https://www.google.com/maps/search/?api=1&amp;query=41.973626,-88.099168","map")</f>
        <v>map</v>
      </c>
    </row>
    <row r="5732" spans="1:32">
      <c r="A5732" t="s">
        <v>5782</v>
      </c>
      <c r="B5732" t="s">
        <v>13307</v>
      </c>
      <c r="C5732" t="s">
        <v>15830</v>
      </c>
      <c r="D5732" t="s">
        <v>16207</v>
      </c>
      <c r="E5732" t="s">
        <v>16218</v>
      </c>
      <c r="F5732" t="s">
        <v>16221</v>
      </c>
      <c r="G5732" t="s">
        <v>16241</v>
      </c>
      <c r="H5732" t="s">
        <v>16241</v>
      </c>
      <c r="I5732" t="s">
        <v>16355</v>
      </c>
      <c r="J5732" t="s">
        <v>16385</v>
      </c>
      <c r="K5732">
        <v>0.15</v>
      </c>
      <c r="L5732">
        <v>6538</v>
      </c>
      <c r="M5732">
        <v>1976</v>
      </c>
      <c r="N5732" t="s">
        <v>16393</v>
      </c>
      <c r="O5732" s="4">
        <v>45278</v>
      </c>
      <c r="P5732" s="4">
        <v>81746</v>
      </c>
      <c r="Q5732" s="4">
        <v>127024</v>
      </c>
      <c r="R5732" s="4">
        <v>381072</v>
      </c>
      <c r="S5732" t="s">
        <v>21994</v>
      </c>
      <c r="T5732" s="6">
        <v>37257</v>
      </c>
      <c r="U5732" s="4">
        <v>205000</v>
      </c>
      <c r="V5732" t="s">
        <v>23739</v>
      </c>
      <c r="W5732" t="s">
        <v>21994</v>
      </c>
      <c r="X5732" t="s">
        <v>3</v>
      </c>
      <c r="AA5732" s="5" t="str">
        <f>HYPERLINK("https://www.zillow.com/homes/515-AVEBURY-LN-ROSELLE-IL-60172_rb/","check listing")</f>
        <v>check listing</v>
      </c>
      <c r="AB5732" s="5" t="str">
        <f>HYPERLINK("https://propertylookup.dupagecounty.gov/Datalets/Datalet.aspx?UseSearch=no&amp;mode=sales&amp;pin=0209212019","sales record")</f>
        <v>sales record</v>
      </c>
      <c r="AC5732" t="s">
        <v>3</v>
      </c>
      <c r="AD5732">
        <v>41.973666</v>
      </c>
      <c r="AE5732">
        <v>-88.09829000000001</v>
      </c>
      <c r="AF5732" s="5" t="str">
        <f>HYPERLINK("https://www.google.com/maps/search/?api=1&amp;query=41.973666,-88.09829","map")</f>
        <v>map</v>
      </c>
    </row>
    <row r="5733" spans="1:32">
      <c r="A5733" t="s">
        <v>5783</v>
      </c>
      <c r="B5733" t="s">
        <v>13308</v>
      </c>
      <c r="C5733" t="s">
        <v>15830</v>
      </c>
      <c r="D5733" t="s">
        <v>16207</v>
      </c>
      <c r="E5733" t="s">
        <v>16218</v>
      </c>
      <c r="F5733" t="s">
        <v>16221</v>
      </c>
      <c r="G5733" t="s">
        <v>16241</v>
      </c>
      <c r="H5733" t="s">
        <v>16241</v>
      </c>
      <c r="I5733" t="s">
        <v>16355</v>
      </c>
      <c r="J5733" t="s">
        <v>16385</v>
      </c>
      <c r="K5733">
        <v>0.15</v>
      </c>
      <c r="L5733">
        <v>6533</v>
      </c>
      <c r="M5733">
        <v>1824</v>
      </c>
      <c r="N5733" t="s">
        <v>16393</v>
      </c>
      <c r="O5733" s="4">
        <v>45278</v>
      </c>
      <c r="P5733" s="4">
        <v>93067</v>
      </c>
      <c r="Q5733" s="4">
        <v>138345</v>
      </c>
      <c r="R5733" s="4">
        <v>415035</v>
      </c>
      <c r="S5733" t="s">
        <v>21995</v>
      </c>
      <c r="T5733" s="6">
        <v>37926</v>
      </c>
      <c r="U5733" s="4">
        <v>285400</v>
      </c>
      <c r="V5733" t="s">
        <v>23739</v>
      </c>
      <c r="W5733" t="s">
        <v>26928</v>
      </c>
      <c r="X5733" t="s">
        <v>3</v>
      </c>
      <c r="AA5733" s="5" t="str">
        <f>HYPERLINK("https://www.zillow.com/homes/1175-COLONY-LN-ROSELLE-IL-60172_rb/","check listing")</f>
        <v>check listing</v>
      </c>
      <c r="AB5733" s="5" t="str">
        <f>HYPERLINK("https://propertylookup.dupagecounty.gov/Datalets/Datalet.aspx?UseSearch=no&amp;mode=sales&amp;pin=0204309044","sales record")</f>
        <v>sales record</v>
      </c>
      <c r="AC5733" t="s">
        <v>3</v>
      </c>
      <c r="AD5733">
        <v>41.979661</v>
      </c>
      <c r="AE5733">
        <v>-88.109752</v>
      </c>
      <c r="AF5733" s="5" t="str">
        <f>HYPERLINK("https://www.google.com/maps/search/?api=1&amp;query=41.979661,-88.109752","map")</f>
        <v>map</v>
      </c>
    </row>
    <row r="5734" spans="1:32">
      <c r="A5734" t="s">
        <v>5784</v>
      </c>
      <c r="B5734" t="s">
        <v>13309</v>
      </c>
      <c r="C5734" t="s">
        <v>15830</v>
      </c>
      <c r="D5734" t="s">
        <v>16207</v>
      </c>
      <c r="E5734" t="s">
        <v>16218</v>
      </c>
      <c r="F5734" t="s">
        <v>16221</v>
      </c>
      <c r="G5734" t="s">
        <v>16241</v>
      </c>
      <c r="H5734" t="s">
        <v>16241</v>
      </c>
      <c r="I5734" t="s">
        <v>16355</v>
      </c>
      <c r="J5734" t="s">
        <v>16385</v>
      </c>
      <c r="K5734">
        <v>0.15</v>
      </c>
      <c r="L5734">
        <v>6520</v>
      </c>
      <c r="M5734">
        <v>2299</v>
      </c>
      <c r="N5734" t="s">
        <v>16393</v>
      </c>
      <c r="O5734" s="4">
        <v>45278</v>
      </c>
      <c r="P5734" s="4">
        <v>104039</v>
      </c>
      <c r="Q5734" s="4">
        <v>149317</v>
      </c>
      <c r="R5734" s="4">
        <v>447951</v>
      </c>
      <c r="S5734" t="s">
        <v>21996</v>
      </c>
      <c r="T5734" s="6">
        <v>35582</v>
      </c>
      <c r="U5734" s="4">
        <v>171000</v>
      </c>
      <c r="X5734" t="s">
        <v>3</v>
      </c>
      <c r="AA5734" s="5" t="str">
        <f>HYPERLINK("https://www.zillow.com/homes/505-RIDGEFIELD-DR-ROSELLE-IL-60172_rb/","check listing")</f>
        <v>check listing</v>
      </c>
      <c r="AB5734" s="5" t="str">
        <f>HYPERLINK("https://propertylookup.dupagecounty.gov/Datalets/Datalet.aspx?UseSearch=no&amp;mode=sales&amp;pin=0209202029","sales record")</f>
        <v>sales record</v>
      </c>
      <c r="AC5734" t="s">
        <v>3</v>
      </c>
      <c r="AD5734">
        <v>41.973815</v>
      </c>
      <c r="AE5734">
        <v>-88.09733199999999</v>
      </c>
      <c r="AF5734" s="5" t="str">
        <f>HYPERLINK("https://www.google.com/maps/search/?api=1&amp;query=41.973815,-88.097332","map")</f>
        <v>map</v>
      </c>
    </row>
    <row r="5735" spans="1:32">
      <c r="A5735" t="s">
        <v>5785</v>
      </c>
      <c r="B5735" t="s">
        <v>13310</v>
      </c>
      <c r="C5735" t="s">
        <v>15830</v>
      </c>
      <c r="D5735" t="s">
        <v>16207</v>
      </c>
      <c r="E5735" t="s">
        <v>16218</v>
      </c>
      <c r="F5735" t="s">
        <v>16221</v>
      </c>
      <c r="G5735" t="s">
        <v>16241</v>
      </c>
      <c r="H5735" t="s">
        <v>16241</v>
      </c>
      <c r="I5735" t="s">
        <v>16355</v>
      </c>
      <c r="J5735" t="s">
        <v>16385</v>
      </c>
      <c r="K5735">
        <v>0.15</v>
      </c>
      <c r="L5735">
        <v>6516</v>
      </c>
      <c r="M5735">
        <v>2144</v>
      </c>
      <c r="N5735" t="s">
        <v>16393</v>
      </c>
      <c r="O5735" s="4">
        <v>45278</v>
      </c>
      <c r="P5735" s="4">
        <v>93401</v>
      </c>
      <c r="Q5735" s="4">
        <v>138679</v>
      </c>
      <c r="R5735" s="4">
        <v>416037</v>
      </c>
      <c r="S5735" t="s">
        <v>21997</v>
      </c>
      <c r="T5735" s="6">
        <v>45638</v>
      </c>
      <c r="U5735" s="4">
        <v>430000</v>
      </c>
      <c r="V5735" t="s">
        <v>23739</v>
      </c>
      <c r="W5735" t="s">
        <v>26929</v>
      </c>
      <c r="X5735" t="s">
        <v>3</v>
      </c>
      <c r="AA5735" s="5" t="str">
        <f>HYPERLINK("https://www.zillow.com/homes/440-RIDGEFIELD-DR-ROSELLE-IL-60172_rb/","check listing")</f>
        <v>check listing</v>
      </c>
      <c r="AB5735" s="5" t="str">
        <f>HYPERLINK("https://propertylookup.dupagecounty.gov/Datalets/Datalet.aspx?UseSearch=no&amp;mode=sales&amp;pin=0209212002","sales record")</f>
        <v>sales record</v>
      </c>
      <c r="AC5735" t="s">
        <v>3</v>
      </c>
      <c r="AD5735">
        <v>41.974736</v>
      </c>
      <c r="AE5735">
        <v>-88.09873899999999</v>
      </c>
      <c r="AF5735" s="5" t="str">
        <f>HYPERLINK("https://www.google.com/maps/search/?api=1&amp;query=41.974736,-88.098739","map")</f>
        <v>map</v>
      </c>
    </row>
    <row r="5736" spans="1:32">
      <c r="A5736" t="s">
        <v>5786</v>
      </c>
      <c r="B5736" t="s">
        <v>13311</v>
      </c>
      <c r="C5736" t="s">
        <v>15830</v>
      </c>
      <c r="D5736" t="s">
        <v>16207</v>
      </c>
      <c r="E5736" t="s">
        <v>16218</v>
      </c>
      <c r="F5736" t="s">
        <v>16221</v>
      </c>
      <c r="G5736" t="s">
        <v>16241</v>
      </c>
      <c r="H5736" t="s">
        <v>16241</v>
      </c>
      <c r="I5736" t="s">
        <v>16355</v>
      </c>
      <c r="J5736" t="s">
        <v>16385</v>
      </c>
      <c r="K5736">
        <v>0.15</v>
      </c>
      <c r="L5736">
        <v>6516</v>
      </c>
      <c r="M5736">
        <v>1583</v>
      </c>
      <c r="N5736" t="s">
        <v>16393</v>
      </c>
      <c r="O5736" s="4">
        <v>45278</v>
      </c>
      <c r="P5736" s="4">
        <v>99306</v>
      </c>
      <c r="Q5736" s="4">
        <v>144584</v>
      </c>
      <c r="R5736" s="4">
        <v>433752</v>
      </c>
      <c r="S5736" t="s">
        <v>21998</v>
      </c>
      <c r="T5736" s="6">
        <v>38169</v>
      </c>
      <c r="U5736" s="4">
        <v>286500</v>
      </c>
      <c r="V5736" t="s">
        <v>23739</v>
      </c>
      <c r="W5736" t="s">
        <v>26930</v>
      </c>
      <c r="X5736" t="s">
        <v>3</v>
      </c>
      <c r="AA5736" s="5" t="str">
        <f>HYPERLINK("https://www.zillow.com/homes/305-CHATHAM-LN-ROSELLE-IL-60172_rb/","check listing")</f>
        <v>check listing</v>
      </c>
      <c r="AB5736" s="5" t="str">
        <f>HYPERLINK("https://propertylookup.dupagecounty.gov/Datalets/Datalet.aspx?UseSearch=no&amp;mode=sales&amp;pin=0205405014","sales record")</f>
        <v>sales record</v>
      </c>
      <c r="AC5736" t="s">
        <v>3</v>
      </c>
      <c r="AD5736">
        <v>41.97717</v>
      </c>
      <c r="AE5736">
        <v>-88.11390900000001</v>
      </c>
      <c r="AF5736" s="5" t="str">
        <f>HYPERLINK("https://www.google.com/maps/search/?api=1&amp;query=41.97717,-88.113909","map")</f>
        <v>map</v>
      </c>
    </row>
    <row r="5737" spans="1:32">
      <c r="A5737" t="s">
        <v>5787</v>
      </c>
      <c r="B5737" t="s">
        <v>13312</v>
      </c>
      <c r="C5737" t="s">
        <v>15830</v>
      </c>
      <c r="D5737" t="s">
        <v>16207</v>
      </c>
      <c r="E5737" t="s">
        <v>16218</v>
      </c>
      <c r="F5737" t="s">
        <v>16221</v>
      </c>
      <c r="G5737" t="s">
        <v>16241</v>
      </c>
      <c r="H5737" t="s">
        <v>16241</v>
      </c>
      <c r="I5737" t="s">
        <v>16355</v>
      </c>
      <c r="J5737" t="s">
        <v>16385</v>
      </c>
      <c r="K5737">
        <v>0.15</v>
      </c>
      <c r="L5737">
        <v>6515</v>
      </c>
      <c r="M5737">
        <v>2143</v>
      </c>
      <c r="N5737" t="s">
        <v>16393</v>
      </c>
      <c r="O5737" s="4">
        <v>45278</v>
      </c>
      <c r="P5737" s="4">
        <v>95529</v>
      </c>
      <c r="Q5737" s="4">
        <v>140807</v>
      </c>
      <c r="R5737" s="4">
        <v>422421</v>
      </c>
      <c r="S5737" t="s">
        <v>21999</v>
      </c>
      <c r="T5737" s="6">
        <v>37561</v>
      </c>
      <c r="U5737" s="4">
        <v>249000</v>
      </c>
      <c r="V5737" t="s">
        <v>23739</v>
      </c>
      <c r="W5737" t="s">
        <v>26931</v>
      </c>
      <c r="X5737" t="s">
        <v>3</v>
      </c>
      <c r="AA5737" s="5" t="str">
        <f>HYPERLINK("https://www.zillow.com/homes/295-CHATHAM-LN-ROSELLE-IL-60172_rb/","check listing")</f>
        <v>check listing</v>
      </c>
      <c r="AB5737" s="5" t="str">
        <f>HYPERLINK("https://propertylookup.dupagecounty.gov/Datalets/Datalet.aspx?UseSearch=no&amp;mode=sales&amp;pin=0205405013","sales record")</f>
        <v>sales record</v>
      </c>
      <c r="AC5737" t="s">
        <v>3</v>
      </c>
      <c r="AD5737">
        <v>41.977298</v>
      </c>
      <c r="AE5737">
        <v>-88.114076</v>
      </c>
      <c r="AF5737" s="5" t="str">
        <f>HYPERLINK("https://www.google.com/maps/search/?api=1&amp;query=41.977298,-88.114076","map")</f>
        <v>map</v>
      </c>
    </row>
    <row r="5738" spans="1:32">
      <c r="A5738" t="s">
        <v>5788</v>
      </c>
      <c r="B5738" t="s">
        <v>13313</v>
      </c>
      <c r="C5738" t="s">
        <v>15830</v>
      </c>
      <c r="D5738" t="s">
        <v>16207</v>
      </c>
      <c r="E5738" t="s">
        <v>16218</v>
      </c>
      <c r="F5738" t="s">
        <v>16221</v>
      </c>
      <c r="G5738" t="s">
        <v>16241</v>
      </c>
      <c r="H5738" t="s">
        <v>16241</v>
      </c>
      <c r="I5738" t="s">
        <v>16355</v>
      </c>
      <c r="J5738" t="s">
        <v>16385</v>
      </c>
      <c r="K5738">
        <v>0.15</v>
      </c>
      <c r="L5738">
        <v>6513</v>
      </c>
      <c r="M5738">
        <v>1715</v>
      </c>
      <c r="N5738" t="s">
        <v>16393</v>
      </c>
      <c r="O5738" s="4">
        <v>45278</v>
      </c>
      <c r="P5738" s="4">
        <v>76894</v>
      </c>
      <c r="Q5738" s="4">
        <v>122172</v>
      </c>
      <c r="R5738" s="4">
        <v>366516</v>
      </c>
      <c r="S5738" t="s">
        <v>22000</v>
      </c>
      <c r="T5738" s="6">
        <v>44754</v>
      </c>
      <c r="U5738" s="4">
        <v>356000</v>
      </c>
      <c r="V5738" t="s">
        <v>23739</v>
      </c>
      <c r="W5738" t="s">
        <v>26932</v>
      </c>
      <c r="X5738" t="s">
        <v>3</v>
      </c>
      <c r="AA5738" s="5" t="str">
        <f>HYPERLINK("https://www.zillow.com/homes/450-RIDGEFIELD-DR-ROSELLE-IL-60172_rb/","check listing")</f>
        <v>check listing</v>
      </c>
      <c r="AB5738" s="5" t="str">
        <f>HYPERLINK("https://propertylookup.dupagecounty.gov/Datalets/Datalet.aspx?UseSearch=no&amp;mode=sales&amp;pin=0209212003","sales record")</f>
        <v>sales record</v>
      </c>
      <c r="AC5738" t="s">
        <v>3</v>
      </c>
      <c r="AD5738">
        <v>41.974605</v>
      </c>
      <c r="AE5738">
        <v>-88.09857599999999</v>
      </c>
      <c r="AF5738" s="5" t="str">
        <f>HYPERLINK("https://www.google.com/maps/search/?api=1&amp;query=41.974605,-88.098576","map")</f>
        <v>map</v>
      </c>
    </row>
    <row r="5739" spans="1:32">
      <c r="A5739" t="s">
        <v>5789</v>
      </c>
      <c r="B5739" t="s">
        <v>13314</v>
      </c>
      <c r="C5739" t="s">
        <v>15830</v>
      </c>
      <c r="D5739" t="s">
        <v>16207</v>
      </c>
      <c r="E5739" t="s">
        <v>16218</v>
      </c>
      <c r="F5739" t="s">
        <v>16221</v>
      </c>
      <c r="G5739" t="s">
        <v>16241</v>
      </c>
      <c r="H5739" t="s">
        <v>16241</v>
      </c>
      <c r="I5739" t="s">
        <v>16355</v>
      </c>
      <c r="J5739" t="s">
        <v>16385</v>
      </c>
      <c r="K5739">
        <v>0.149</v>
      </c>
      <c r="L5739">
        <v>6512</v>
      </c>
      <c r="M5739">
        <v>1715</v>
      </c>
      <c r="N5739" t="s">
        <v>16393</v>
      </c>
      <c r="O5739" s="4">
        <v>45278</v>
      </c>
      <c r="P5739" s="4">
        <v>86815</v>
      </c>
      <c r="Q5739" s="4">
        <v>132093</v>
      </c>
      <c r="R5739" s="4">
        <v>396279</v>
      </c>
      <c r="S5739" t="s">
        <v>22001</v>
      </c>
      <c r="T5739" s="6">
        <v>28672</v>
      </c>
      <c r="U5739" s="4">
        <v>72790</v>
      </c>
      <c r="X5739" t="s">
        <v>3</v>
      </c>
      <c r="AA5739" s="5" t="str">
        <f>HYPERLINK("https://www.zillow.com/homes/1170-HYGATE-DR-ROSELLE-IL-60172_rb/","check listing")</f>
        <v>check listing</v>
      </c>
      <c r="AB5739" s="5" t="str">
        <f>HYPERLINK("https://propertylookup.dupagecounty.gov/Datalets/Datalet.aspx?UseSearch=no&amp;mode=sales&amp;pin=0204309030","sales record")</f>
        <v>sales record</v>
      </c>
      <c r="AC5739" t="s">
        <v>3</v>
      </c>
      <c r="AD5739">
        <v>41.980853</v>
      </c>
      <c r="AE5739">
        <v>-88.109826</v>
      </c>
      <c r="AF5739" s="5" t="str">
        <f>HYPERLINK("https://www.google.com/maps/search/?api=1&amp;query=41.980853,-88.109826","map")</f>
        <v>map</v>
      </c>
    </row>
    <row r="5740" spans="1:32">
      <c r="A5740" t="s">
        <v>5790</v>
      </c>
      <c r="B5740" t="s">
        <v>13315</v>
      </c>
      <c r="C5740" t="s">
        <v>15830</v>
      </c>
      <c r="D5740" t="s">
        <v>16207</v>
      </c>
      <c r="E5740" t="s">
        <v>16218</v>
      </c>
      <c r="F5740" t="s">
        <v>16221</v>
      </c>
      <c r="G5740" t="s">
        <v>16241</v>
      </c>
      <c r="H5740" t="s">
        <v>16241</v>
      </c>
      <c r="I5740" t="s">
        <v>16355</v>
      </c>
      <c r="J5740" t="s">
        <v>16385</v>
      </c>
      <c r="K5740">
        <v>0.149</v>
      </c>
      <c r="L5740">
        <v>6510</v>
      </c>
      <c r="M5740">
        <v>1781</v>
      </c>
      <c r="N5740" t="s">
        <v>16393</v>
      </c>
      <c r="O5740" s="4">
        <v>45278</v>
      </c>
      <c r="P5740" s="4">
        <v>74719</v>
      </c>
      <c r="Q5740" s="4">
        <v>119997</v>
      </c>
      <c r="R5740" s="4">
        <v>359991</v>
      </c>
      <c r="S5740" t="s">
        <v>22002</v>
      </c>
      <c r="T5740" s="6">
        <v>34090</v>
      </c>
      <c r="U5740" s="4">
        <v>134000</v>
      </c>
      <c r="X5740" t="s">
        <v>3</v>
      </c>
      <c r="AA5740" s="5" t="str">
        <f>HYPERLINK("https://www.zillow.com/homes/115-RODENBURG-RD-ROSELLE-IL-60172_rb/","check listing")</f>
        <v>check listing</v>
      </c>
      <c r="AB5740" s="5" t="str">
        <f>HYPERLINK("https://propertylookup.dupagecounty.gov/Datalets/Datalet.aspx?UseSearch=no&amp;mode=sales&amp;pin=0204312002","sales record")</f>
        <v>sales record</v>
      </c>
      <c r="AC5740" t="s">
        <v>3</v>
      </c>
      <c r="AD5740">
        <v>41.980346</v>
      </c>
      <c r="AE5740">
        <v>-88.110356</v>
      </c>
      <c r="AF5740" s="5" t="str">
        <f>HYPERLINK("https://www.google.com/maps/search/?api=1&amp;query=41.980346,-88.110356","map")</f>
        <v>map</v>
      </c>
    </row>
    <row r="5741" spans="1:32">
      <c r="A5741" t="s">
        <v>5791</v>
      </c>
      <c r="B5741" t="s">
        <v>13316</v>
      </c>
      <c r="C5741" t="s">
        <v>15937</v>
      </c>
      <c r="D5741" t="s">
        <v>16207</v>
      </c>
      <c r="E5741" t="s">
        <v>16218</v>
      </c>
      <c r="F5741" t="s">
        <v>16221</v>
      </c>
      <c r="G5741" t="s">
        <v>16241</v>
      </c>
      <c r="H5741" t="s">
        <v>16241</v>
      </c>
      <c r="I5741" t="s">
        <v>16355</v>
      </c>
      <c r="J5741" t="s">
        <v>16385</v>
      </c>
      <c r="K5741">
        <v>0.149</v>
      </c>
      <c r="L5741">
        <v>6508</v>
      </c>
      <c r="M5741">
        <v>1452</v>
      </c>
      <c r="N5741" t="s">
        <v>16393</v>
      </c>
      <c r="O5741" s="4">
        <v>38692</v>
      </c>
      <c r="P5741" s="4">
        <v>77599</v>
      </c>
      <c r="Q5741" s="4">
        <v>116291</v>
      </c>
      <c r="R5741" s="4">
        <v>348873</v>
      </c>
      <c r="S5741" t="s">
        <v>22003</v>
      </c>
      <c r="T5741" s="6">
        <v>44409</v>
      </c>
      <c r="U5741" s="4">
        <v>290000</v>
      </c>
      <c r="V5741" t="s">
        <v>23739</v>
      </c>
      <c r="W5741" t="s">
        <v>26933</v>
      </c>
      <c r="X5741" t="s">
        <v>3</v>
      </c>
      <c r="AA5741" s="5" t="str">
        <f>HYPERLINK("https://www.zillow.com/homes/550-WATERBURY-LN-ROSELLE-IL-601722654_rb/","check listing")</f>
        <v>check listing</v>
      </c>
      <c r="AB5741" s="5" t="str">
        <f>HYPERLINK("https://propertylookup.dupagecounty.gov/Datalets/Datalet.aspx?UseSearch=no&amp;mode=sales&amp;pin=0209104021","sales record")</f>
        <v>sales record</v>
      </c>
      <c r="AC5741" t="s">
        <v>3</v>
      </c>
      <c r="AD5741">
        <v>41.972959</v>
      </c>
      <c r="AE5741">
        <v>-88.109324</v>
      </c>
      <c r="AF5741" s="5" t="str">
        <f>HYPERLINK("https://www.google.com/maps/search/?api=1&amp;query=41.972959,-88.109324","map")</f>
        <v>map</v>
      </c>
    </row>
    <row r="5742" spans="1:32">
      <c r="A5742" t="s">
        <v>5792</v>
      </c>
      <c r="B5742" t="s">
        <v>13317</v>
      </c>
      <c r="C5742" t="s">
        <v>15938</v>
      </c>
      <c r="D5742" t="s">
        <v>16207</v>
      </c>
      <c r="E5742" t="s">
        <v>16218</v>
      </c>
      <c r="F5742" t="s">
        <v>16221</v>
      </c>
      <c r="G5742" t="s">
        <v>16241</v>
      </c>
      <c r="H5742" t="s">
        <v>16241</v>
      </c>
      <c r="I5742" t="s">
        <v>16355</v>
      </c>
      <c r="J5742" t="s">
        <v>16385</v>
      </c>
      <c r="K5742">
        <v>0.149</v>
      </c>
      <c r="L5742">
        <v>6506</v>
      </c>
      <c r="M5742">
        <v>1930</v>
      </c>
      <c r="N5742" t="s">
        <v>16393</v>
      </c>
      <c r="O5742" s="4">
        <v>45278</v>
      </c>
      <c r="P5742" s="4">
        <v>80445</v>
      </c>
      <c r="Q5742" s="4">
        <v>125723</v>
      </c>
      <c r="R5742" s="4">
        <v>377169</v>
      </c>
      <c r="S5742" t="s">
        <v>22004</v>
      </c>
      <c r="T5742" s="6">
        <v>44228</v>
      </c>
      <c r="U5742" s="4">
        <v>286000</v>
      </c>
      <c r="V5742" t="s">
        <v>23739</v>
      </c>
      <c r="W5742" t="s">
        <v>26934</v>
      </c>
      <c r="X5742" t="s">
        <v>3</v>
      </c>
      <c r="AA5742" s="5" t="str">
        <f>HYPERLINK("https://www.zillow.com/homes/215-CHATHAM-LN-ROSELLE-IL-601721616_rb/","check listing")</f>
        <v>check listing</v>
      </c>
      <c r="AB5742" s="5" t="str">
        <f>HYPERLINK("https://propertylookup.dupagecounty.gov/Datalets/Datalet.aspx?UseSearch=no&amp;mode=sales&amp;pin=0205404005","sales record")</f>
        <v>sales record</v>
      </c>
      <c r="AC5742" t="s">
        <v>3</v>
      </c>
      <c r="AD5742">
        <v>41.978625</v>
      </c>
      <c r="AE5742">
        <v>-88.11449500000001</v>
      </c>
      <c r="AF5742" s="5" t="str">
        <f>HYPERLINK("https://www.google.com/maps/search/?api=1&amp;query=41.978625,-88.114495","map")</f>
        <v>map</v>
      </c>
    </row>
    <row r="5743" spans="1:32">
      <c r="A5743" t="s">
        <v>5793</v>
      </c>
      <c r="B5743" t="s">
        <v>13318</v>
      </c>
      <c r="C5743" t="s">
        <v>15830</v>
      </c>
      <c r="D5743" t="s">
        <v>16207</v>
      </c>
      <c r="E5743" t="s">
        <v>16218</v>
      </c>
      <c r="F5743" t="s">
        <v>16221</v>
      </c>
      <c r="G5743" t="s">
        <v>16241</v>
      </c>
      <c r="H5743" t="s">
        <v>16241</v>
      </c>
      <c r="I5743" t="s">
        <v>16355</v>
      </c>
      <c r="J5743" t="s">
        <v>16385</v>
      </c>
      <c r="K5743">
        <v>0.149</v>
      </c>
      <c r="L5743">
        <v>6506</v>
      </c>
      <c r="M5743">
        <v>1501</v>
      </c>
      <c r="N5743" t="s">
        <v>16393</v>
      </c>
      <c r="O5743" s="4">
        <v>45278</v>
      </c>
      <c r="P5743" s="4">
        <v>95051</v>
      </c>
      <c r="Q5743" s="4">
        <v>140329</v>
      </c>
      <c r="R5743" s="4">
        <v>420987</v>
      </c>
      <c r="S5743" t="s">
        <v>22005</v>
      </c>
      <c r="T5743" s="6">
        <v>34486</v>
      </c>
      <c r="U5743" s="4">
        <v>163500</v>
      </c>
      <c r="X5743" t="s">
        <v>3</v>
      </c>
      <c r="AA5743" s="5" t="str">
        <f>HYPERLINK("https://www.zillow.com/homes/205-CHATHAM-LN-ROSELLE-IL-60172_rb/","check listing")</f>
        <v>check listing</v>
      </c>
      <c r="AB5743" s="5" t="str">
        <f>HYPERLINK("https://propertylookup.dupagecounty.gov/Datalets/Datalet.aspx?UseSearch=no&amp;mode=sales&amp;pin=0205404004","sales record")</f>
        <v>sales record</v>
      </c>
      <c r="AC5743" t="s">
        <v>3</v>
      </c>
      <c r="AD5743">
        <v>41.978804</v>
      </c>
      <c r="AE5743">
        <v>-88.114482</v>
      </c>
      <c r="AF5743" s="5" t="str">
        <f>HYPERLINK("https://www.google.com/maps/search/?api=1&amp;query=41.978804,-88.114482","map")</f>
        <v>map</v>
      </c>
    </row>
    <row r="5744" spans="1:32">
      <c r="A5744" t="s">
        <v>5794</v>
      </c>
      <c r="B5744" t="s">
        <v>13319</v>
      </c>
      <c r="C5744" t="s">
        <v>15918</v>
      </c>
      <c r="D5744" t="s">
        <v>16207</v>
      </c>
      <c r="E5744" t="s">
        <v>16218</v>
      </c>
      <c r="F5744" t="s">
        <v>16221</v>
      </c>
      <c r="G5744" t="s">
        <v>16241</v>
      </c>
      <c r="H5744" t="s">
        <v>16241</v>
      </c>
      <c r="I5744" t="s">
        <v>16355</v>
      </c>
      <c r="J5744" t="s">
        <v>16385</v>
      </c>
      <c r="K5744">
        <v>0.149</v>
      </c>
      <c r="L5744">
        <v>6505</v>
      </c>
      <c r="M5744">
        <v>2256</v>
      </c>
      <c r="N5744" t="s">
        <v>16393</v>
      </c>
      <c r="O5744" s="4">
        <v>45278</v>
      </c>
      <c r="P5744" s="4">
        <v>83947</v>
      </c>
      <c r="Q5744" s="4">
        <v>129225</v>
      </c>
      <c r="R5744" s="4">
        <v>387675</v>
      </c>
      <c r="S5744" t="s">
        <v>22006</v>
      </c>
      <c r="T5744" s="6">
        <v>45040</v>
      </c>
      <c r="U5744" s="4">
        <v>370000</v>
      </c>
      <c r="V5744" t="s">
        <v>23739</v>
      </c>
      <c r="W5744" t="s">
        <v>26935</v>
      </c>
      <c r="X5744" t="s">
        <v>3</v>
      </c>
      <c r="AA5744" s="5" t="str">
        <f>HYPERLINK("https://www.zillow.com/homes/1340-WATERBURY-LN-ROSELLE-IL-601722656_rb/","check listing")</f>
        <v>check listing</v>
      </c>
      <c r="AB5744" s="5" t="str">
        <f>HYPERLINK("https://propertylookup.dupagecounty.gov/Datalets/Datalet.aspx?UseSearch=no&amp;mode=sales&amp;pin=0205401047","sales record")</f>
        <v>sales record</v>
      </c>
      <c r="AC5744" t="s">
        <v>3</v>
      </c>
      <c r="AD5744">
        <v>41.975583</v>
      </c>
      <c r="AE5744">
        <v>-88.114964</v>
      </c>
      <c r="AF5744" s="5" t="str">
        <f>HYPERLINK("https://www.google.com/maps/search/?api=1&amp;query=41.975583,-88.114964","map")</f>
        <v>map</v>
      </c>
    </row>
    <row r="5745" spans="1:32">
      <c r="A5745" t="s">
        <v>5795</v>
      </c>
      <c r="B5745" t="s">
        <v>13320</v>
      </c>
      <c r="C5745" t="s">
        <v>15930</v>
      </c>
      <c r="D5745" t="s">
        <v>16207</v>
      </c>
      <c r="E5745" t="s">
        <v>16218</v>
      </c>
      <c r="F5745" t="s">
        <v>16221</v>
      </c>
      <c r="G5745" t="s">
        <v>16241</v>
      </c>
      <c r="H5745" t="s">
        <v>16241</v>
      </c>
      <c r="I5745" t="s">
        <v>16355</v>
      </c>
      <c r="J5745" t="s">
        <v>16385</v>
      </c>
      <c r="K5745">
        <v>0.149</v>
      </c>
      <c r="L5745">
        <v>6502</v>
      </c>
      <c r="M5745">
        <v>2142</v>
      </c>
      <c r="N5745" t="s">
        <v>16393</v>
      </c>
      <c r="O5745" s="4">
        <v>45278</v>
      </c>
      <c r="P5745" s="4">
        <v>77336</v>
      </c>
      <c r="Q5745" s="4">
        <v>122614</v>
      </c>
      <c r="R5745" s="4">
        <v>367842</v>
      </c>
      <c r="S5745" t="s">
        <v>22007</v>
      </c>
      <c r="T5745" s="6">
        <v>42156</v>
      </c>
      <c r="U5745" s="4">
        <v>239500</v>
      </c>
      <c r="V5745" t="s">
        <v>23739</v>
      </c>
      <c r="W5745" t="s">
        <v>26936</v>
      </c>
      <c r="X5745" t="s">
        <v>3</v>
      </c>
      <c r="AA5745" s="5" t="str">
        <f>HYPERLINK("https://www.zillow.com/homes/1180-COLONY-LN-ROSELLE-IL-601721718_rb/","check listing")</f>
        <v>check listing</v>
      </c>
      <c r="AB5745" s="5" t="str">
        <f>HYPERLINK("https://propertylookup.dupagecounty.gov/Datalets/Datalet.aspx?UseSearch=no&amp;mode=sales&amp;pin=0204312011","sales record")</f>
        <v>sales record</v>
      </c>
      <c r="AC5745" t="s">
        <v>3</v>
      </c>
      <c r="AD5745">
        <v>41.980111</v>
      </c>
      <c r="AE5745">
        <v>-88.109892</v>
      </c>
      <c r="AF5745" s="5" t="str">
        <f>HYPERLINK("https://www.google.com/maps/search/?api=1&amp;query=41.980111,-88.109892","map")</f>
        <v>map</v>
      </c>
    </row>
    <row r="5746" spans="1:32">
      <c r="A5746" t="s">
        <v>5796</v>
      </c>
      <c r="B5746" t="s">
        <v>13321</v>
      </c>
      <c r="C5746" t="s">
        <v>15830</v>
      </c>
      <c r="D5746" t="s">
        <v>16207</v>
      </c>
      <c r="E5746" t="s">
        <v>16218</v>
      </c>
      <c r="F5746" t="s">
        <v>16221</v>
      </c>
      <c r="G5746" t="s">
        <v>16241</v>
      </c>
      <c r="H5746" t="s">
        <v>16241</v>
      </c>
      <c r="I5746" t="s">
        <v>16355</v>
      </c>
      <c r="J5746" t="s">
        <v>16385</v>
      </c>
      <c r="K5746">
        <v>0.149</v>
      </c>
      <c r="L5746">
        <v>6502</v>
      </c>
      <c r="M5746">
        <v>2142</v>
      </c>
      <c r="N5746" t="s">
        <v>16393</v>
      </c>
      <c r="O5746" s="4">
        <v>45278</v>
      </c>
      <c r="P5746" s="4">
        <v>72520</v>
      </c>
      <c r="Q5746" s="4">
        <v>117798</v>
      </c>
      <c r="R5746" s="4">
        <v>353394</v>
      </c>
      <c r="S5746" t="s">
        <v>22008</v>
      </c>
      <c r="T5746" s="6">
        <v>37591</v>
      </c>
      <c r="U5746" s="4">
        <v>181000</v>
      </c>
      <c r="V5746" t="s">
        <v>23739</v>
      </c>
      <c r="W5746" t="s">
        <v>26937</v>
      </c>
      <c r="X5746" t="s">
        <v>3</v>
      </c>
      <c r="AA5746" s="5" t="str">
        <f>HYPERLINK("https://www.zillow.com/homes/515-RIDGEFIELD-DR-ROSELLE-IL-60172_rb/","check listing")</f>
        <v>check listing</v>
      </c>
      <c r="AB5746" s="5" t="str">
        <f>HYPERLINK("https://propertylookup.dupagecounty.gov/Datalets/Datalet.aspx?UseSearch=no&amp;mode=sales&amp;pin=0209202030","sales record")</f>
        <v>sales record</v>
      </c>
      <c r="AC5746" t="s">
        <v>3</v>
      </c>
      <c r="AD5746">
        <v>41.973628</v>
      </c>
      <c r="AE5746">
        <v>-88.097335</v>
      </c>
      <c r="AF5746" s="5" t="str">
        <f>HYPERLINK("https://www.google.com/maps/search/?api=1&amp;query=41.973628,-88.097335","map")</f>
        <v>map</v>
      </c>
    </row>
    <row r="5747" spans="1:32">
      <c r="A5747" t="s">
        <v>5797</v>
      </c>
      <c r="B5747" t="s">
        <v>13322</v>
      </c>
      <c r="C5747" t="s">
        <v>15939</v>
      </c>
      <c r="D5747" t="s">
        <v>16207</v>
      </c>
      <c r="E5747" t="s">
        <v>16218</v>
      </c>
      <c r="F5747" t="s">
        <v>16221</v>
      </c>
      <c r="G5747" t="s">
        <v>16241</v>
      </c>
      <c r="H5747" t="s">
        <v>16241</v>
      </c>
      <c r="I5747" t="s">
        <v>16355</v>
      </c>
      <c r="J5747" t="s">
        <v>16385</v>
      </c>
      <c r="K5747">
        <v>0.149</v>
      </c>
      <c r="L5747">
        <v>6502</v>
      </c>
      <c r="M5747">
        <v>1809</v>
      </c>
      <c r="N5747" t="s">
        <v>16393</v>
      </c>
      <c r="O5747" s="4">
        <v>38692</v>
      </c>
      <c r="P5747" s="4">
        <v>55606</v>
      </c>
      <c r="Q5747" s="4">
        <v>94298</v>
      </c>
      <c r="R5747" s="4">
        <v>282894</v>
      </c>
      <c r="S5747" t="s">
        <v>22009</v>
      </c>
      <c r="T5747" s="6">
        <v>42979</v>
      </c>
      <c r="U5747" s="4">
        <v>194500</v>
      </c>
      <c r="V5747" t="s">
        <v>23739</v>
      </c>
      <c r="W5747" t="s">
        <v>22009</v>
      </c>
      <c r="X5747" t="s">
        <v>3</v>
      </c>
      <c r="AA5747" s="5" t="str">
        <f>HYPERLINK("https://www.zillow.com/homes/735-RODENBURG-RD-ROSELLE-IL-601722719_rb/","check listing")</f>
        <v>check listing</v>
      </c>
      <c r="AB5747" s="5" t="str">
        <f>HYPERLINK("https://propertylookup.dupagecounty.gov/Datalets/Datalet.aspx?UseSearch=no&amp;mode=sales&amp;pin=0209117001","sales record")</f>
        <v>sales record</v>
      </c>
      <c r="AC5747" t="s">
        <v>3</v>
      </c>
      <c r="AD5747">
        <v>41.969394</v>
      </c>
      <c r="AE5747">
        <v>-88.106413</v>
      </c>
      <c r="AF5747" s="5" t="str">
        <f>HYPERLINK("https://www.google.com/maps/search/?api=1&amp;query=41.969394,-88.106413","map")</f>
        <v>map</v>
      </c>
    </row>
    <row r="5748" spans="1:32">
      <c r="A5748" t="s">
        <v>5798</v>
      </c>
      <c r="B5748" t="s">
        <v>13323</v>
      </c>
      <c r="C5748" t="s">
        <v>15830</v>
      </c>
      <c r="D5748" t="s">
        <v>16207</v>
      </c>
      <c r="E5748" t="s">
        <v>16218</v>
      </c>
      <c r="F5748" t="s">
        <v>16221</v>
      </c>
      <c r="G5748" t="s">
        <v>16241</v>
      </c>
      <c r="H5748" t="s">
        <v>16241</v>
      </c>
      <c r="I5748" t="s">
        <v>16355</v>
      </c>
      <c r="J5748" t="s">
        <v>16385</v>
      </c>
      <c r="K5748">
        <v>0.149</v>
      </c>
      <c r="L5748">
        <v>6501</v>
      </c>
      <c r="M5748">
        <v>2488</v>
      </c>
      <c r="N5748" t="s">
        <v>16393</v>
      </c>
      <c r="O5748" s="4">
        <v>45278</v>
      </c>
      <c r="P5748" s="4">
        <v>81891</v>
      </c>
      <c r="Q5748" s="4">
        <v>127169</v>
      </c>
      <c r="R5748" s="4">
        <v>381507</v>
      </c>
      <c r="S5748" t="s">
        <v>22010</v>
      </c>
      <c r="T5748" s="6">
        <v>45267</v>
      </c>
      <c r="U5748" s="4">
        <v>420000</v>
      </c>
      <c r="V5748" t="s">
        <v>23739</v>
      </c>
      <c r="W5748" t="s">
        <v>26938</v>
      </c>
      <c r="X5748" t="s">
        <v>3</v>
      </c>
      <c r="AA5748" s="5" t="str">
        <f>HYPERLINK("https://www.zillow.com/homes/1280-COVENTRY-CT-ROSELLE-IL-60172_rb/","check listing")</f>
        <v>check listing</v>
      </c>
      <c r="AB5748" s="5" t="str">
        <f>HYPERLINK("https://propertylookup.dupagecounty.gov/Datalets/Datalet.aspx?UseSearch=no&amp;mode=sales&amp;pin=0205401055","sales record")</f>
        <v>sales record</v>
      </c>
      <c r="AC5748" t="s">
        <v>3</v>
      </c>
      <c r="AD5748">
        <v>41.98229</v>
      </c>
      <c r="AE5748">
        <v>-88.113062</v>
      </c>
      <c r="AF5748" s="5" t="str">
        <f>HYPERLINK("https://www.google.com/maps/search/?api=1&amp;query=41.98229,-88.113062","map")</f>
        <v>map</v>
      </c>
    </row>
    <row r="5749" spans="1:32">
      <c r="A5749" t="s">
        <v>5799</v>
      </c>
      <c r="B5749" t="s">
        <v>13324</v>
      </c>
      <c r="C5749" t="s">
        <v>15830</v>
      </c>
      <c r="D5749" t="s">
        <v>16207</v>
      </c>
      <c r="E5749" t="s">
        <v>16218</v>
      </c>
      <c r="F5749" t="s">
        <v>16221</v>
      </c>
      <c r="G5749" t="s">
        <v>16241</v>
      </c>
      <c r="H5749" t="s">
        <v>16241</v>
      </c>
      <c r="I5749" t="s">
        <v>16355</v>
      </c>
      <c r="J5749" t="s">
        <v>16385</v>
      </c>
      <c r="K5749">
        <v>0.149</v>
      </c>
      <c r="L5749">
        <v>6501</v>
      </c>
      <c r="M5749">
        <v>1716</v>
      </c>
      <c r="N5749" t="s">
        <v>16393</v>
      </c>
      <c r="O5749" s="4">
        <v>45278</v>
      </c>
      <c r="P5749" s="4">
        <v>99151</v>
      </c>
      <c r="Q5749" s="4">
        <v>144429</v>
      </c>
      <c r="R5749" s="4">
        <v>433287</v>
      </c>
      <c r="S5749" t="s">
        <v>22011</v>
      </c>
      <c r="T5749" s="6">
        <v>37803</v>
      </c>
      <c r="U5749" s="4">
        <v>310000</v>
      </c>
      <c r="V5749" t="s">
        <v>23739</v>
      </c>
      <c r="W5749" t="s">
        <v>26939</v>
      </c>
      <c r="X5749" t="s">
        <v>3</v>
      </c>
      <c r="AA5749" s="5" t="str">
        <f>HYPERLINK("https://www.zillow.com/homes/700-EDENWOOD-DR-ROSELLE-IL-60172_rb/","check listing")</f>
        <v>check listing</v>
      </c>
      <c r="AB5749" s="5" t="str">
        <f>HYPERLINK("https://propertylookup.dupagecounty.gov/Datalets/Datalet.aspx?UseSearch=no&amp;mode=sales&amp;pin=0209213017","sales record")</f>
        <v>sales record</v>
      </c>
      <c r="AC5749" t="s">
        <v>3</v>
      </c>
      <c r="AD5749">
        <v>41.972568</v>
      </c>
      <c r="AE5749">
        <v>-88.098235</v>
      </c>
      <c r="AF5749" s="5" t="str">
        <f>HYPERLINK("https://www.google.com/maps/search/?api=1&amp;query=41.972568,-88.098235","map")</f>
        <v>map</v>
      </c>
    </row>
    <row r="5750" spans="1:32">
      <c r="A5750" t="s">
        <v>5800</v>
      </c>
      <c r="B5750" t="s">
        <v>13325</v>
      </c>
      <c r="C5750" t="s">
        <v>15830</v>
      </c>
      <c r="D5750" t="s">
        <v>16207</v>
      </c>
      <c r="E5750" t="s">
        <v>16218</v>
      </c>
      <c r="F5750" t="s">
        <v>16221</v>
      </c>
      <c r="G5750" t="s">
        <v>16241</v>
      </c>
      <c r="H5750" t="s">
        <v>16241</v>
      </c>
      <c r="I5750" t="s">
        <v>16355</v>
      </c>
      <c r="J5750" t="s">
        <v>16385</v>
      </c>
      <c r="K5750">
        <v>0.149</v>
      </c>
      <c r="L5750">
        <v>6501</v>
      </c>
      <c r="M5750">
        <v>2078</v>
      </c>
      <c r="N5750" t="s">
        <v>16393</v>
      </c>
      <c r="O5750" s="4">
        <v>45278</v>
      </c>
      <c r="P5750" s="4">
        <v>102617</v>
      </c>
      <c r="Q5750" s="4">
        <v>147895</v>
      </c>
      <c r="R5750" s="4">
        <v>443685</v>
      </c>
      <c r="S5750" t="s">
        <v>22012</v>
      </c>
      <c r="T5750" s="6">
        <v>41426</v>
      </c>
      <c r="U5750" s="4">
        <v>280000</v>
      </c>
      <c r="V5750" t="s">
        <v>23739</v>
      </c>
      <c r="W5750" t="s">
        <v>26940</v>
      </c>
      <c r="X5750" t="s">
        <v>3</v>
      </c>
      <c r="AA5750" s="5" t="str">
        <f>HYPERLINK("https://www.zillow.com/homes/1290-COVENTRY-CT-ROSELLE-IL-60172_rb/","check listing")</f>
        <v>check listing</v>
      </c>
      <c r="AB5750" s="5" t="str">
        <f>HYPERLINK("https://propertylookup.dupagecounty.gov/Datalets/Datalet.aspx?UseSearch=no&amp;mode=sales&amp;pin=0205401054","sales record")</f>
        <v>sales record</v>
      </c>
      <c r="AC5750" t="s">
        <v>3</v>
      </c>
      <c r="AD5750">
        <v>41.982283</v>
      </c>
      <c r="AE5750">
        <v>-88.11330100000001</v>
      </c>
      <c r="AF5750" s="5" t="str">
        <f>HYPERLINK("https://www.google.com/maps/search/?api=1&amp;query=41.982283,-88.113301","map")</f>
        <v>map</v>
      </c>
    </row>
    <row r="5751" spans="1:32">
      <c r="A5751" t="s">
        <v>5801</v>
      </c>
      <c r="B5751" t="s">
        <v>13326</v>
      </c>
      <c r="C5751" t="s">
        <v>15830</v>
      </c>
      <c r="D5751" t="s">
        <v>16207</v>
      </c>
      <c r="E5751" t="s">
        <v>16218</v>
      </c>
      <c r="F5751" t="s">
        <v>16221</v>
      </c>
      <c r="G5751" t="s">
        <v>16241</v>
      </c>
      <c r="H5751" t="s">
        <v>16241</v>
      </c>
      <c r="I5751" t="s">
        <v>16355</v>
      </c>
      <c r="J5751" t="s">
        <v>16385</v>
      </c>
      <c r="K5751">
        <v>0.149</v>
      </c>
      <c r="L5751">
        <v>6501</v>
      </c>
      <c r="M5751">
        <v>2446</v>
      </c>
      <c r="N5751" t="s">
        <v>16393</v>
      </c>
      <c r="O5751" s="4">
        <v>45278</v>
      </c>
      <c r="P5751" s="4">
        <v>69579</v>
      </c>
      <c r="Q5751" s="4">
        <v>114857</v>
      </c>
      <c r="R5751" s="4">
        <v>344571</v>
      </c>
      <c r="S5751" t="s">
        <v>22013</v>
      </c>
      <c r="T5751" s="6">
        <v>36708</v>
      </c>
      <c r="U5751" s="4">
        <v>168000</v>
      </c>
      <c r="V5751" t="s">
        <v>23739</v>
      </c>
      <c r="W5751" t="s">
        <v>26941</v>
      </c>
      <c r="X5751" t="s">
        <v>3</v>
      </c>
      <c r="AA5751" s="5" t="str">
        <f>HYPERLINK("https://www.zillow.com/homes/360-CHATHAM-LN-ROSELLE-IL-60172_rb/","check listing")</f>
        <v>check listing</v>
      </c>
      <c r="AB5751" s="5" t="str">
        <f>HYPERLINK("https://propertylookup.dupagecounty.gov/Datalets/Datalet.aspx?UseSearch=no&amp;mode=sales&amp;pin=0205401044","sales record")</f>
        <v>sales record</v>
      </c>
      <c r="AC5751" t="s">
        <v>3</v>
      </c>
      <c r="AD5751">
        <v>41.976009</v>
      </c>
      <c r="AE5751">
        <v>-88.113995</v>
      </c>
      <c r="AF5751" s="5" t="str">
        <f>HYPERLINK("https://www.google.com/maps/search/?api=1&amp;query=41.976009,-88.113995","map")</f>
        <v>map</v>
      </c>
    </row>
    <row r="5752" spans="1:32">
      <c r="A5752" t="s">
        <v>5802</v>
      </c>
      <c r="B5752" t="s">
        <v>13327</v>
      </c>
      <c r="C5752" t="s">
        <v>15830</v>
      </c>
      <c r="D5752" t="s">
        <v>16207</v>
      </c>
      <c r="E5752" t="s">
        <v>16218</v>
      </c>
      <c r="F5752" t="s">
        <v>16221</v>
      </c>
      <c r="G5752" t="s">
        <v>16241</v>
      </c>
      <c r="H5752" t="s">
        <v>16241</v>
      </c>
      <c r="I5752" t="s">
        <v>16355</v>
      </c>
      <c r="J5752" t="s">
        <v>16385</v>
      </c>
      <c r="K5752">
        <v>0.149</v>
      </c>
      <c r="L5752">
        <v>6500</v>
      </c>
      <c r="M5752">
        <v>1847</v>
      </c>
      <c r="N5752" t="s">
        <v>16393</v>
      </c>
      <c r="O5752" s="4">
        <v>45278</v>
      </c>
      <c r="P5752" s="4">
        <v>90209</v>
      </c>
      <c r="Q5752" s="4">
        <v>135487</v>
      </c>
      <c r="R5752" s="4">
        <v>406461</v>
      </c>
      <c r="S5752" t="s">
        <v>22014</v>
      </c>
      <c r="T5752" s="6">
        <v>38108</v>
      </c>
      <c r="U5752" s="4">
        <v>259500</v>
      </c>
      <c r="V5752" t="s">
        <v>23739</v>
      </c>
      <c r="W5752" t="s">
        <v>26942</v>
      </c>
      <c r="X5752" t="s">
        <v>3</v>
      </c>
      <c r="AA5752" s="5" t="str">
        <f>HYPERLINK("https://www.zillow.com/homes/890-BRANDYWINE-DR-ROSELLE-IL-60172_rb/","check listing")</f>
        <v>check listing</v>
      </c>
      <c r="AB5752" s="5" t="str">
        <f>HYPERLINK("https://propertylookup.dupagecounty.gov/Datalets/Datalet.aspx?UseSearch=no&amp;mode=sales&amp;pin=0209114006","sales record")</f>
        <v>sales record</v>
      </c>
      <c r="AC5752" t="s">
        <v>3</v>
      </c>
      <c r="AD5752">
        <v>41.975413</v>
      </c>
      <c r="AE5752">
        <v>-88.102806</v>
      </c>
      <c r="AF5752" s="5" t="str">
        <f>HYPERLINK("https://www.google.com/maps/search/?api=1&amp;query=41.975413,-88.102806","map")</f>
        <v>map</v>
      </c>
    </row>
    <row r="5753" spans="1:32">
      <c r="A5753" t="s">
        <v>5803</v>
      </c>
      <c r="B5753" t="s">
        <v>13328</v>
      </c>
      <c r="C5753" t="s">
        <v>15892</v>
      </c>
      <c r="D5753" t="s">
        <v>16207</v>
      </c>
      <c r="E5753" t="s">
        <v>16218</v>
      </c>
      <c r="F5753" t="s">
        <v>16221</v>
      </c>
      <c r="G5753" t="s">
        <v>16241</v>
      </c>
      <c r="H5753" t="s">
        <v>16241</v>
      </c>
      <c r="I5753" t="s">
        <v>16355</v>
      </c>
      <c r="J5753" t="s">
        <v>16385</v>
      </c>
      <c r="K5753">
        <v>0.149</v>
      </c>
      <c r="L5753">
        <v>6500</v>
      </c>
      <c r="M5753">
        <v>1716</v>
      </c>
      <c r="N5753" t="s">
        <v>16393</v>
      </c>
      <c r="O5753" s="4">
        <v>45278</v>
      </c>
      <c r="P5753" s="4">
        <v>100752</v>
      </c>
      <c r="Q5753" s="4">
        <v>146030</v>
      </c>
      <c r="R5753" s="4">
        <v>438090</v>
      </c>
      <c r="S5753" t="s">
        <v>22015</v>
      </c>
      <c r="T5753" s="6">
        <v>42826</v>
      </c>
      <c r="U5753" s="4">
        <v>235000</v>
      </c>
      <c r="V5753" t="s">
        <v>23739</v>
      </c>
      <c r="W5753" t="s">
        <v>26943</v>
      </c>
      <c r="X5753" t="s">
        <v>3</v>
      </c>
      <c r="AA5753" s="5" t="str">
        <f>HYPERLINK("https://www.zillow.com/homes/930-BRANDYWINE-DR-ROSELLE-IL-601722807_rb/","check listing")</f>
        <v>check listing</v>
      </c>
      <c r="AB5753" s="5" t="str">
        <f>HYPERLINK("https://propertylookup.dupagecounty.gov/Datalets/Datalet.aspx?UseSearch=no&amp;mode=sales&amp;pin=0209114002","sales record")</f>
        <v>sales record</v>
      </c>
      <c r="AC5753" t="s">
        <v>3</v>
      </c>
      <c r="AD5753">
        <v>41.975389</v>
      </c>
      <c r="AE5753">
        <v>-88.103762</v>
      </c>
      <c r="AF5753" s="5" t="str">
        <f>HYPERLINK("https://www.google.com/maps/search/?api=1&amp;query=41.975389,-88.103762","map")</f>
        <v>map</v>
      </c>
    </row>
    <row r="5754" spans="1:32">
      <c r="A5754" t="s">
        <v>5804</v>
      </c>
      <c r="B5754" t="s">
        <v>13329</v>
      </c>
      <c r="C5754" t="s">
        <v>15833</v>
      </c>
      <c r="D5754" t="s">
        <v>16207</v>
      </c>
      <c r="E5754" t="s">
        <v>16218</v>
      </c>
      <c r="F5754" t="s">
        <v>16221</v>
      </c>
      <c r="G5754" t="s">
        <v>16241</v>
      </c>
      <c r="H5754" t="s">
        <v>16241</v>
      </c>
      <c r="I5754" t="s">
        <v>16355</v>
      </c>
      <c r="J5754" t="s">
        <v>16385</v>
      </c>
      <c r="K5754">
        <v>0.149</v>
      </c>
      <c r="L5754">
        <v>6500</v>
      </c>
      <c r="M5754">
        <v>1847</v>
      </c>
      <c r="N5754" t="s">
        <v>16393</v>
      </c>
      <c r="O5754" s="4">
        <v>45278</v>
      </c>
      <c r="P5754" s="4">
        <v>103167</v>
      </c>
      <c r="Q5754" s="4">
        <v>148445</v>
      </c>
      <c r="R5754" s="4">
        <v>445335</v>
      </c>
      <c r="S5754" t="s">
        <v>22016</v>
      </c>
      <c r="T5754" s="6">
        <v>33270</v>
      </c>
      <c r="U5754" s="4">
        <v>150000</v>
      </c>
      <c r="X5754" t="s">
        <v>3</v>
      </c>
      <c r="AA5754" s="5" t="str">
        <f>HYPERLINK("https://www.zillow.com/homes/840-BRANDYWINE-DR-ROSELLE-IL-601722805_rb/","check listing")</f>
        <v>check listing</v>
      </c>
      <c r="AB5754" s="5" t="str">
        <f>HYPERLINK("https://propertylookup.dupagecounty.gov/Datalets/Datalet.aspx?UseSearch=no&amp;mode=sales&amp;pin=0209114011","sales record")</f>
        <v>sales record</v>
      </c>
      <c r="AC5754" t="s">
        <v>3</v>
      </c>
      <c r="AD5754">
        <v>41.975442</v>
      </c>
      <c r="AE5754">
        <v>-88.101612</v>
      </c>
      <c r="AF5754" s="5" t="str">
        <f>HYPERLINK("https://www.google.com/maps/search/?api=1&amp;query=41.975442,-88.101612","map")</f>
        <v>map</v>
      </c>
    </row>
    <row r="5755" spans="1:32">
      <c r="A5755" t="s">
        <v>5805</v>
      </c>
      <c r="B5755" t="s">
        <v>13330</v>
      </c>
      <c r="C5755" t="s">
        <v>15830</v>
      </c>
      <c r="D5755" t="s">
        <v>16207</v>
      </c>
      <c r="E5755" t="s">
        <v>16218</v>
      </c>
      <c r="F5755" t="s">
        <v>16221</v>
      </c>
      <c r="G5755" t="s">
        <v>16241</v>
      </c>
      <c r="H5755" t="s">
        <v>16241</v>
      </c>
      <c r="I5755" t="s">
        <v>16355</v>
      </c>
      <c r="J5755" t="s">
        <v>16385</v>
      </c>
      <c r="K5755">
        <v>0.149</v>
      </c>
      <c r="L5755">
        <v>6500</v>
      </c>
      <c r="M5755">
        <v>1452</v>
      </c>
      <c r="N5755" t="s">
        <v>16393</v>
      </c>
      <c r="O5755" s="4">
        <v>38692</v>
      </c>
      <c r="P5755" s="4">
        <v>77444</v>
      </c>
      <c r="Q5755" s="4">
        <v>116136</v>
      </c>
      <c r="R5755" s="4">
        <v>348408</v>
      </c>
      <c r="S5755" t="s">
        <v>22017</v>
      </c>
      <c r="T5755" s="6">
        <v>40756</v>
      </c>
      <c r="U5755" s="4">
        <v>146000</v>
      </c>
      <c r="V5755" t="s">
        <v>16232</v>
      </c>
      <c r="W5755" t="s">
        <v>26944</v>
      </c>
      <c r="X5755" t="s">
        <v>3</v>
      </c>
      <c r="AA5755" s="5" t="str">
        <f>HYPERLINK("https://www.zillow.com/homes/400-OXFORD-PL-ROSELLE-IL-60172_rb/","check listing")</f>
        <v>check listing</v>
      </c>
      <c r="AB5755" s="5" t="str">
        <f>HYPERLINK("https://propertylookup.dupagecounty.gov/Datalets/Datalet.aspx?UseSearch=no&amp;mode=sales&amp;pin=0209106010","sales record")</f>
        <v>sales record</v>
      </c>
      <c r="AC5755" t="s">
        <v>3</v>
      </c>
      <c r="AD5755">
        <v>41.975295</v>
      </c>
      <c r="AE5755">
        <v>-88.108796</v>
      </c>
      <c r="AF5755" s="5" t="str">
        <f>HYPERLINK("https://www.google.com/maps/search/?api=1&amp;query=41.975295,-88.108796","map")</f>
        <v>map</v>
      </c>
    </row>
    <row r="5756" spans="1:32">
      <c r="A5756" t="s">
        <v>5806</v>
      </c>
      <c r="B5756" t="s">
        <v>13331</v>
      </c>
      <c r="C5756" t="s">
        <v>15830</v>
      </c>
      <c r="D5756" t="s">
        <v>16207</v>
      </c>
      <c r="E5756" t="s">
        <v>16218</v>
      </c>
      <c r="F5756" t="s">
        <v>16221</v>
      </c>
      <c r="G5756" t="s">
        <v>16241</v>
      </c>
      <c r="H5756" t="s">
        <v>16241</v>
      </c>
      <c r="I5756" t="s">
        <v>16355</v>
      </c>
      <c r="J5756" t="s">
        <v>16385</v>
      </c>
      <c r="K5756">
        <v>0.149</v>
      </c>
      <c r="L5756">
        <v>6500</v>
      </c>
      <c r="M5756">
        <v>2309</v>
      </c>
      <c r="N5756" t="s">
        <v>16393</v>
      </c>
      <c r="O5756" s="4">
        <v>45278</v>
      </c>
      <c r="P5756" s="4">
        <v>94118</v>
      </c>
      <c r="Q5756" s="4">
        <v>139396</v>
      </c>
      <c r="R5756" s="4">
        <v>418188</v>
      </c>
      <c r="S5756" t="s">
        <v>22018</v>
      </c>
      <c r="T5756" s="6">
        <v>36312</v>
      </c>
      <c r="U5756" s="4">
        <v>175500</v>
      </c>
      <c r="X5756" t="s">
        <v>3</v>
      </c>
      <c r="AA5756" s="5" t="str">
        <f>HYPERLINK("https://www.zillow.com/homes/880-BRANDYWINE-DR-ROSELLE-IL-60172_rb/","check listing")</f>
        <v>check listing</v>
      </c>
      <c r="AB5756" s="5" t="str">
        <f>HYPERLINK("https://propertylookup.dupagecounty.gov/Datalets/Datalet.aspx?UseSearch=no&amp;mode=sales&amp;pin=0209114007","sales record")</f>
        <v>sales record</v>
      </c>
      <c r="AC5756" t="s">
        <v>3</v>
      </c>
      <c r="AD5756">
        <v>41.975419</v>
      </c>
      <c r="AE5756">
        <v>-88.10256699999999</v>
      </c>
      <c r="AF5756" s="5" t="str">
        <f>HYPERLINK("https://www.google.com/maps/search/?api=1&amp;query=41.975419,-88.102567","map")</f>
        <v>map</v>
      </c>
    </row>
    <row r="5757" spans="1:32">
      <c r="A5757" t="s">
        <v>5807</v>
      </c>
      <c r="B5757" t="s">
        <v>13332</v>
      </c>
      <c r="C5757" t="s">
        <v>15833</v>
      </c>
      <c r="D5757" t="s">
        <v>16207</v>
      </c>
      <c r="E5757" t="s">
        <v>16218</v>
      </c>
      <c r="F5757" t="s">
        <v>16221</v>
      </c>
      <c r="G5757" t="s">
        <v>16241</v>
      </c>
      <c r="H5757" t="s">
        <v>16241</v>
      </c>
      <c r="I5757" t="s">
        <v>16355</v>
      </c>
      <c r="J5757" t="s">
        <v>16385</v>
      </c>
      <c r="K5757">
        <v>0.149</v>
      </c>
      <c r="L5757">
        <v>6500</v>
      </c>
      <c r="M5757">
        <v>1847</v>
      </c>
      <c r="N5757" t="s">
        <v>16393</v>
      </c>
      <c r="O5757" s="4">
        <v>45278</v>
      </c>
      <c r="P5757" s="4">
        <v>86815</v>
      </c>
      <c r="Q5757" s="4">
        <v>132093</v>
      </c>
      <c r="R5757" s="4">
        <v>396279</v>
      </c>
      <c r="S5757" t="s">
        <v>22019</v>
      </c>
      <c r="T5757" s="6">
        <v>43617</v>
      </c>
      <c r="U5757" s="4">
        <v>326500</v>
      </c>
      <c r="V5757" t="s">
        <v>23739</v>
      </c>
      <c r="W5757" t="s">
        <v>22019</v>
      </c>
      <c r="X5757" t="s">
        <v>3</v>
      </c>
      <c r="AA5757" s="5" t="str">
        <f>HYPERLINK("https://www.zillow.com/homes/850-BRANDYWINE-DR-ROSELLE-IL-601722805_rb/","check listing")</f>
        <v>check listing</v>
      </c>
      <c r="AB5757" s="5" t="str">
        <f>HYPERLINK("https://propertylookup.dupagecounty.gov/Datalets/Datalet.aspx?UseSearch=no&amp;mode=sales&amp;pin=0209114010","sales record")</f>
        <v>sales record</v>
      </c>
      <c r="AC5757" t="s">
        <v>3</v>
      </c>
      <c r="AD5757">
        <v>41.975436</v>
      </c>
      <c r="AE5757">
        <v>-88.10185</v>
      </c>
      <c r="AF5757" s="5" t="str">
        <f>HYPERLINK("https://www.google.com/maps/search/?api=1&amp;query=41.975436,-88.10185","map")</f>
        <v>map</v>
      </c>
    </row>
    <row r="5758" spans="1:32">
      <c r="A5758" t="s">
        <v>5808</v>
      </c>
      <c r="B5758" t="s">
        <v>13333</v>
      </c>
      <c r="C5758" t="s">
        <v>15830</v>
      </c>
      <c r="D5758" t="s">
        <v>16207</v>
      </c>
      <c r="E5758" t="s">
        <v>16218</v>
      </c>
      <c r="F5758" t="s">
        <v>16221</v>
      </c>
      <c r="G5758" t="s">
        <v>16241</v>
      </c>
      <c r="H5758" t="s">
        <v>16241</v>
      </c>
      <c r="I5758" t="s">
        <v>16355</v>
      </c>
      <c r="J5758" t="s">
        <v>16385</v>
      </c>
      <c r="K5758">
        <v>0.149</v>
      </c>
      <c r="L5758">
        <v>6499</v>
      </c>
      <c r="M5758">
        <v>1715</v>
      </c>
      <c r="N5758" t="s">
        <v>16393</v>
      </c>
      <c r="O5758" s="4">
        <v>38692</v>
      </c>
      <c r="P5758" s="4">
        <v>77480</v>
      </c>
      <c r="Q5758" s="4">
        <v>116172</v>
      </c>
      <c r="R5758" s="4">
        <v>348516</v>
      </c>
      <c r="S5758" t="s">
        <v>22020</v>
      </c>
      <c r="T5758" s="6">
        <v>38139</v>
      </c>
      <c r="U5758" s="4">
        <v>274000</v>
      </c>
      <c r="V5758" t="s">
        <v>23739</v>
      </c>
      <c r="W5758" t="s">
        <v>26945</v>
      </c>
      <c r="X5758" t="s">
        <v>3</v>
      </c>
      <c r="AA5758" s="5" t="str">
        <f>HYPERLINK("https://www.zillow.com/homes/395-NORMAN-LN-ROSELLE-IL-60172_rb/","check listing")</f>
        <v>check listing</v>
      </c>
      <c r="AB5758" s="5" t="str">
        <f>HYPERLINK("https://propertylookup.dupagecounty.gov/Datalets/Datalet.aspx?UseSearch=no&amp;mode=sales&amp;pin=0209106001","sales record")</f>
        <v>sales record</v>
      </c>
      <c r="AC5758" t="s">
        <v>3</v>
      </c>
      <c r="AD5758">
        <v>41.975434</v>
      </c>
      <c r="AE5758">
        <v>-88.10911299999999</v>
      </c>
      <c r="AF5758" s="5" t="str">
        <f>HYPERLINK("https://www.google.com/maps/search/?api=1&amp;query=41.975434,-88.109113","map")</f>
        <v>map</v>
      </c>
    </row>
    <row r="5759" spans="1:32">
      <c r="A5759" t="s">
        <v>5809</v>
      </c>
      <c r="B5759" t="s">
        <v>13334</v>
      </c>
      <c r="C5759" t="s">
        <v>15830</v>
      </c>
      <c r="D5759" t="s">
        <v>16207</v>
      </c>
      <c r="E5759" t="s">
        <v>16218</v>
      </c>
      <c r="F5759" t="s">
        <v>16221</v>
      </c>
      <c r="G5759" t="s">
        <v>16241</v>
      </c>
      <c r="H5759" t="s">
        <v>16241</v>
      </c>
      <c r="I5759" t="s">
        <v>16355</v>
      </c>
      <c r="J5759" t="s">
        <v>16385</v>
      </c>
      <c r="K5759">
        <v>0.149</v>
      </c>
      <c r="L5759">
        <v>6499</v>
      </c>
      <c r="M5759">
        <v>2143</v>
      </c>
      <c r="N5759" t="s">
        <v>16393</v>
      </c>
      <c r="O5759" s="4">
        <v>45278</v>
      </c>
      <c r="P5759" s="4">
        <v>90388</v>
      </c>
      <c r="Q5759" s="4">
        <v>135666</v>
      </c>
      <c r="R5759" s="4">
        <v>406998</v>
      </c>
      <c r="S5759" t="s">
        <v>22021</v>
      </c>
      <c r="T5759" s="6">
        <v>41518</v>
      </c>
      <c r="U5759" s="4">
        <v>248000</v>
      </c>
      <c r="V5759" t="s">
        <v>23739</v>
      </c>
      <c r="W5759" t="s">
        <v>26946</v>
      </c>
      <c r="X5759" t="s">
        <v>3</v>
      </c>
      <c r="AA5759" s="5" t="str">
        <f>HYPERLINK("https://www.zillow.com/homes/860-BRANDYWINE-DR-ROSELLE-IL-60172_rb/","check listing")</f>
        <v>check listing</v>
      </c>
      <c r="AB5759" s="5" t="str">
        <f>HYPERLINK("https://propertylookup.dupagecounty.gov/Datalets/Datalet.aspx?UseSearch=no&amp;mode=sales&amp;pin=0209114009","sales record")</f>
        <v>sales record</v>
      </c>
      <c r="AC5759" t="s">
        <v>3</v>
      </c>
      <c r="AD5759">
        <v>41.97543</v>
      </c>
      <c r="AE5759">
        <v>-88.10208900000001</v>
      </c>
      <c r="AF5759" s="5" t="str">
        <f>HYPERLINK("https://www.google.com/maps/search/?api=1&amp;query=41.97543,-88.102089","map")</f>
        <v>map</v>
      </c>
    </row>
    <row r="5760" spans="1:32">
      <c r="A5760" t="s">
        <v>5810</v>
      </c>
      <c r="B5760" t="s">
        <v>13335</v>
      </c>
      <c r="C5760" t="s">
        <v>15830</v>
      </c>
      <c r="D5760" t="s">
        <v>16207</v>
      </c>
      <c r="E5760" t="s">
        <v>16218</v>
      </c>
      <c r="F5760" t="s">
        <v>16221</v>
      </c>
      <c r="G5760" t="s">
        <v>16241</v>
      </c>
      <c r="H5760" t="s">
        <v>16241</v>
      </c>
      <c r="I5760" t="s">
        <v>16355</v>
      </c>
      <c r="J5760" t="s">
        <v>16385</v>
      </c>
      <c r="K5760">
        <v>0.149</v>
      </c>
      <c r="L5760">
        <v>6499</v>
      </c>
      <c r="M5760">
        <v>2073</v>
      </c>
      <c r="N5760" t="s">
        <v>16393</v>
      </c>
      <c r="O5760" s="4">
        <v>45278</v>
      </c>
      <c r="P5760" s="4">
        <v>101433</v>
      </c>
      <c r="Q5760" s="4">
        <v>146711</v>
      </c>
      <c r="R5760" s="4">
        <v>440133</v>
      </c>
      <c r="S5760" t="s">
        <v>22022</v>
      </c>
      <c r="X5760" t="s">
        <v>3</v>
      </c>
      <c r="AA5760" s="5" t="str">
        <f>HYPERLINK("https://www.zillow.com/homes/900-BRANDYWINE-DR-ROSELLE-IL-60172_rb/","check listing")</f>
        <v>check listing</v>
      </c>
      <c r="AB5760" s="5" t="str">
        <f>HYPERLINK("https://propertylookup.dupagecounty.gov/Datalets/Datalet.aspx?UseSearch=no&amp;mode=sales&amp;pin=0209114005","sales record")</f>
        <v>sales record</v>
      </c>
      <c r="AC5760" t="s">
        <v>3</v>
      </c>
      <c r="AD5760">
        <v>41.975407</v>
      </c>
      <c r="AE5760">
        <v>-88.10304499999999</v>
      </c>
      <c r="AF5760" s="5" t="str">
        <f>HYPERLINK("https://www.google.com/maps/search/?api=1&amp;query=41.975407,-88.103045","map")</f>
        <v>map</v>
      </c>
    </row>
    <row r="5761" spans="1:32">
      <c r="A5761" t="s">
        <v>5811</v>
      </c>
      <c r="B5761" t="s">
        <v>13336</v>
      </c>
      <c r="C5761" t="s">
        <v>15830</v>
      </c>
      <c r="D5761" t="s">
        <v>16207</v>
      </c>
      <c r="E5761" t="s">
        <v>16218</v>
      </c>
      <c r="F5761" t="s">
        <v>16221</v>
      </c>
      <c r="G5761" t="s">
        <v>16241</v>
      </c>
      <c r="H5761" t="s">
        <v>16241</v>
      </c>
      <c r="I5761" t="s">
        <v>16355</v>
      </c>
      <c r="J5761" t="s">
        <v>16385</v>
      </c>
      <c r="K5761">
        <v>0.149</v>
      </c>
      <c r="L5761">
        <v>6499</v>
      </c>
      <c r="M5761">
        <v>2747</v>
      </c>
      <c r="N5761" t="s">
        <v>16393</v>
      </c>
      <c r="O5761" s="4">
        <v>45278</v>
      </c>
      <c r="P5761" s="4">
        <v>97179</v>
      </c>
      <c r="Q5761" s="4">
        <v>142457</v>
      </c>
      <c r="R5761" s="4">
        <v>427371</v>
      </c>
      <c r="S5761" t="s">
        <v>22023</v>
      </c>
      <c r="T5761" s="6">
        <v>43009</v>
      </c>
      <c r="U5761" s="4">
        <v>310000</v>
      </c>
      <c r="V5761" t="s">
        <v>23739</v>
      </c>
      <c r="W5761" t="s">
        <v>26947</v>
      </c>
      <c r="X5761" t="s">
        <v>3</v>
      </c>
      <c r="AA5761" s="5" t="str">
        <f>HYPERLINK("https://www.zillow.com/homes/350-CHATHAM-LN-ROSELLE-IL-60172_rb/","check listing")</f>
        <v>check listing</v>
      </c>
      <c r="AB5761" s="5" t="str">
        <f>HYPERLINK("https://propertylookup.dupagecounty.gov/Datalets/Datalet.aspx?UseSearch=no&amp;mode=sales&amp;pin=0205401043","sales record")</f>
        <v>sales record</v>
      </c>
      <c r="AC5761" t="s">
        <v>3</v>
      </c>
      <c r="AD5761">
        <v>41.976158</v>
      </c>
      <c r="AE5761">
        <v>-88.113984</v>
      </c>
      <c r="AF5761" s="5" t="str">
        <f>HYPERLINK("https://www.google.com/maps/search/?api=1&amp;query=41.976158,-88.113984","map")</f>
        <v>map</v>
      </c>
    </row>
    <row r="5762" spans="1:32">
      <c r="A5762" t="s">
        <v>5812</v>
      </c>
      <c r="B5762" t="s">
        <v>13337</v>
      </c>
      <c r="C5762" t="s">
        <v>15833</v>
      </c>
      <c r="D5762" t="s">
        <v>16207</v>
      </c>
      <c r="E5762" t="s">
        <v>16218</v>
      </c>
      <c r="F5762" t="s">
        <v>16221</v>
      </c>
      <c r="G5762" t="s">
        <v>16241</v>
      </c>
      <c r="H5762" t="s">
        <v>16241</v>
      </c>
      <c r="I5762" t="s">
        <v>16355</v>
      </c>
      <c r="J5762" t="s">
        <v>16385</v>
      </c>
      <c r="K5762">
        <v>0.149</v>
      </c>
      <c r="L5762">
        <v>6499</v>
      </c>
      <c r="M5762">
        <v>1979</v>
      </c>
      <c r="N5762" t="s">
        <v>16393</v>
      </c>
      <c r="O5762" s="4">
        <v>45278</v>
      </c>
      <c r="P5762" s="4">
        <v>106741</v>
      </c>
      <c r="Q5762" s="4">
        <v>152019</v>
      </c>
      <c r="R5762" s="4">
        <v>456057</v>
      </c>
      <c r="S5762" t="s">
        <v>22024</v>
      </c>
      <c r="T5762" s="6">
        <v>43191</v>
      </c>
      <c r="U5762" s="4">
        <v>323000</v>
      </c>
      <c r="V5762" t="s">
        <v>23739</v>
      </c>
      <c r="W5762" t="s">
        <v>26948</v>
      </c>
      <c r="X5762" t="s">
        <v>3</v>
      </c>
      <c r="AA5762" s="5" t="str">
        <f>HYPERLINK("https://www.zillow.com/homes/870-BRANDYWINE-DR-ROSELLE-IL-601722805_rb/","check listing")</f>
        <v>check listing</v>
      </c>
      <c r="AB5762" s="5" t="str">
        <f>HYPERLINK("https://propertylookup.dupagecounty.gov/Datalets/Datalet.aspx?UseSearch=no&amp;mode=sales&amp;pin=0209114008","sales record")</f>
        <v>sales record</v>
      </c>
      <c r="AC5762" t="s">
        <v>3</v>
      </c>
      <c r="AD5762">
        <v>41.975424</v>
      </c>
      <c r="AE5762">
        <v>-88.102328</v>
      </c>
      <c r="AF5762" s="5" t="str">
        <f>HYPERLINK("https://www.google.com/maps/search/?api=1&amp;query=41.975424,-88.102328","map")</f>
        <v>map</v>
      </c>
    </row>
    <row r="5763" spans="1:32">
      <c r="A5763" t="s">
        <v>5813</v>
      </c>
      <c r="B5763" t="s">
        <v>13338</v>
      </c>
      <c r="C5763" t="s">
        <v>15830</v>
      </c>
      <c r="D5763" t="s">
        <v>16207</v>
      </c>
      <c r="E5763" t="s">
        <v>16218</v>
      </c>
      <c r="F5763" t="s">
        <v>16221</v>
      </c>
      <c r="G5763" t="s">
        <v>16241</v>
      </c>
      <c r="H5763" t="s">
        <v>16241</v>
      </c>
      <c r="I5763" t="s">
        <v>16355</v>
      </c>
      <c r="J5763" t="s">
        <v>16385</v>
      </c>
      <c r="K5763">
        <v>0.149</v>
      </c>
      <c r="L5763">
        <v>6495</v>
      </c>
      <c r="M5763">
        <v>1715</v>
      </c>
      <c r="N5763" t="s">
        <v>16393</v>
      </c>
      <c r="O5763" s="4">
        <v>45278</v>
      </c>
      <c r="P5763" s="4">
        <v>78471</v>
      </c>
      <c r="Q5763" s="4">
        <v>123749</v>
      </c>
      <c r="R5763" s="4">
        <v>371247</v>
      </c>
      <c r="S5763" t="s">
        <v>22025</v>
      </c>
      <c r="T5763" s="6">
        <v>41365</v>
      </c>
      <c r="U5763" s="4">
        <v>210000</v>
      </c>
      <c r="V5763" t="s">
        <v>23740</v>
      </c>
      <c r="W5763" t="s">
        <v>26949</v>
      </c>
      <c r="X5763" t="s">
        <v>3</v>
      </c>
      <c r="AA5763" s="5" t="str">
        <f>HYPERLINK("https://www.zillow.com/homes/1270-WATERBURY-LN-ROSELLE-IL-60172_rb/","check listing")</f>
        <v>check listing</v>
      </c>
      <c r="AB5763" s="5" t="str">
        <f>HYPERLINK("https://propertylookup.dupagecounty.gov/Datalets/Datalet.aspx?UseSearch=no&amp;mode=sales&amp;pin=0205407014","sales record")</f>
        <v>sales record</v>
      </c>
      <c r="AC5763" t="s">
        <v>3</v>
      </c>
      <c r="AD5763">
        <v>41.975632</v>
      </c>
      <c r="AE5763">
        <v>-88.11320000000001</v>
      </c>
      <c r="AF5763" s="5" t="str">
        <f>HYPERLINK("https://www.google.com/maps/search/?api=1&amp;query=41.975632,-88.1132","map")</f>
        <v>map</v>
      </c>
    </row>
    <row r="5764" spans="1:32">
      <c r="A5764" t="s">
        <v>5814</v>
      </c>
      <c r="B5764" t="s">
        <v>13339</v>
      </c>
      <c r="C5764" t="s">
        <v>15830</v>
      </c>
      <c r="D5764" t="s">
        <v>16207</v>
      </c>
      <c r="E5764" t="s">
        <v>16218</v>
      </c>
      <c r="F5764" t="s">
        <v>16221</v>
      </c>
      <c r="G5764" t="s">
        <v>16241</v>
      </c>
      <c r="H5764" t="s">
        <v>16241</v>
      </c>
      <c r="I5764" t="s">
        <v>16355</v>
      </c>
      <c r="J5764" t="s">
        <v>16385</v>
      </c>
      <c r="K5764">
        <v>0.149</v>
      </c>
      <c r="L5764">
        <v>6485</v>
      </c>
      <c r="M5764">
        <v>1584</v>
      </c>
      <c r="N5764" t="s">
        <v>16393</v>
      </c>
      <c r="O5764" s="4">
        <v>45278</v>
      </c>
      <c r="P5764" s="4">
        <v>84711</v>
      </c>
      <c r="Q5764" s="4">
        <v>129989</v>
      </c>
      <c r="R5764" s="4">
        <v>389967</v>
      </c>
      <c r="S5764" t="s">
        <v>22026</v>
      </c>
      <c r="T5764" s="6">
        <v>43282</v>
      </c>
      <c r="U5764" s="4">
        <v>258000</v>
      </c>
      <c r="V5764" t="s">
        <v>23739</v>
      </c>
      <c r="W5764" t="s">
        <v>26950</v>
      </c>
      <c r="X5764" t="s">
        <v>3</v>
      </c>
      <c r="AA5764" s="5" t="str">
        <f>HYPERLINK("https://www.zillow.com/homes/525-RIDGEFIELD-DR-ROSELLE-IL-60172_rb/","check listing")</f>
        <v>check listing</v>
      </c>
      <c r="AB5764" s="5" t="str">
        <f>HYPERLINK("https://propertylookup.dupagecounty.gov/Datalets/Datalet.aspx?UseSearch=no&amp;mode=sales&amp;pin=0209202031","sales record")</f>
        <v>sales record</v>
      </c>
      <c r="AC5764" t="s">
        <v>3</v>
      </c>
      <c r="AD5764">
        <v>41.973447</v>
      </c>
      <c r="AE5764">
        <v>-88.097337</v>
      </c>
      <c r="AF5764" s="5" t="str">
        <f>HYPERLINK("https://www.google.com/maps/search/?api=1&amp;query=41.973447,-88.097337","map")</f>
        <v>map</v>
      </c>
    </row>
    <row r="5765" spans="1:32">
      <c r="A5765" t="s">
        <v>5815</v>
      </c>
      <c r="B5765" t="s">
        <v>13340</v>
      </c>
      <c r="C5765" t="s">
        <v>15830</v>
      </c>
      <c r="D5765" t="s">
        <v>16207</v>
      </c>
      <c r="E5765" t="s">
        <v>16218</v>
      </c>
      <c r="F5765" t="s">
        <v>16221</v>
      </c>
      <c r="G5765" t="s">
        <v>16241</v>
      </c>
      <c r="H5765" t="s">
        <v>16241</v>
      </c>
      <c r="I5765" t="s">
        <v>16355</v>
      </c>
      <c r="J5765" t="s">
        <v>16385</v>
      </c>
      <c r="K5765">
        <v>0.149</v>
      </c>
      <c r="L5765">
        <v>6482</v>
      </c>
      <c r="M5765">
        <v>2358</v>
      </c>
      <c r="N5765" t="s">
        <v>16393</v>
      </c>
      <c r="O5765" s="4">
        <v>45278</v>
      </c>
      <c r="P5765" s="4">
        <v>121587</v>
      </c>
      <c r="Q5765" s="4">
        <v>166865</v>
      </c>
      <c r="R5765" s="4">
        <v>500595</v>
      </c>
      <c r="S5765" t="s">
        <v>22027</v>
      </c>
      <c r="X5765" t="s">
        <v>3</v>
      </c>
      <c r="AA5765" s="5" t="str">
        <f>HYPERLINK("https://www.zillow.com/homes/455-RIDGEFIELD-DR-ROSELLE-IL-60172_rb/","check listing")</f>
        <v>check listing</v>
      </c>
      <c r="AB5765" s="5" t="str">
        <f>HYPERLINK("https://propertylookup.dupagecounty.gov/Datalets/Datalet.aspx?UseSearch=no&amp;mode=sales&amp;pin=0209202023","sales record")</f>
        <v>sales record</v>
      </c>
      <c r="AC5765" t="s">
        <v>3</v>
      </c>
      <c r="AD5765">
        <v>41.974777</v>
      </c>
      <c r="AE5765">
        <v>-88.097987</v>
      </c>
      <c r="AF5765" s="5" t="str">
        <f>HYPERLINK("https://www.google.com/maps/search/?api=1&amp;query=41.974777,-88.097987","map")</f>
        <v>map</v>
      </c>
    </row>
    <row r="5766" spans="1:32">
      <c r="A5766" t="s">
        <v>5816</v>
      </c>
      <c r="B5766" t="s">
        <v>13341</v>
      </c>
      <c r="C5766" t="s">
        <v>15830</v>
      </c>
      <c r="D5766" t="s">
        <v>16207</v>
      </c>
      <c r="E5766" t="s">
        <v>16218</v>
      </c>
      <c r="F5766" t="s">
        <v>16221</v>
      </c>
      <c r="G5766" t="s">
        <v>16241</v>
      </c>
      <c r="H5766" t="s">
        <v>16241</v>
      </c>
      <c r="I5766" t="s">
        <v>16355</v>
      </c>
      <c r="J5766" t="s">
        <v>16385</v>
      </c>
      <c r="K5766">
        <v>0.149</v>
      </c>
      <c r="L5766">
        <v>6481</v>
      </c>
      <c r="M5766">
        <v>1583</v>
      </c>
      <c r="N5766" t="s">
        <v>16393</v>
      </c>
      <c r="O5766" s="4">
        <v>45278</v>
      </c>
      <c r="P5766" s="4">
        <v>86815</v>
      </c>
      <c r="Q5766" s="4">
        <v>132093</v>
      </c>
      <c r="R5766" s="4">
        <v>396279</v>
      </c>
      <c r="S5766" t="s">
        <v>22028</v>
      </c>
      <c r="T5766" s="6">
        <v>39114</v>
      </c>
      <c r="U5766" s="4">
        <v>290000</v>
      </c>
      <c r="V5766" t="s">
        <v>23739</v>
      </c>
      <c r="W5766" t="s">
        <v>22028</v>
      </c>
      <c r="X5766" t="s">
        <v>3</v>
      </c>
      <c r="AA5766" s="5" t="str">
        <f>HYPERLINK("https://www.zillow.com/homes/435-RIDGEFIELD-RD-ROSELLE-IL-60172_rb/","check listing")</f>
        <v>check listing</v>
      </c>
      <c r="AB5766" s="5" t="str">
        <f>HYPERLINK("https://propertylookup.dupagecounty.gov/Datalets/Datalet.aspx?UseSearch=no&amp;mode=sales&amp;pin=0209202021","sales record")</f>
        <v>sales record</v>
      </c>
      <c r="AC5766" t="s">
        <v>3</v>
      </c>
      <c r="AD5766">
        <v>41.975039</v>
      </c>
      <c r="AE5766">
        <v>-88.098311</v>
      </c>
      <c r="AF5766" s="5" t="str">
        <f>HYPERLINK("https://www.google.com/maps/search/?api=1&amp;query=41.975039,-88.098311","map")</f>
        <v>map</v>
      </c>
    </row>
    <row r="5767" spans="1:32">
      <c r="A5767" t="s">
        <v>5817</v>
      </c>
      <c r="B5767" t="s">
        <v>13342</v>
      </c>
      <c r="C5767" t="s">
        <v>15830</v>
      </c>
      <c r="D5767" t="s">
        <v>16207</v>
      </c>
      <c r="E5767" t="s">
        <v>16218</v>
      </c>
      <c r="F5767" t="s">
        <v>16221</v>
      </c>
      <c r="G5767" t="s">
        <v>16241</v>
      </c>
      <c r="H5767" t="s">
        <v>16241</v>
      </c>
      <c r="I5767" t="s">
        <v>16355</v>
      </c>
      <c r="J5767" t="s">
        <v>16385</v>
      </c>
      <c r="K5767">
        <v>0.149</v>
      </c>
      <c r="L5767">
        <v>6481</v>
      </c>
      <c r="M5767">
        <v>2247</v>
      </c>
      <c r="N5767" t="s">
        <v>16393</v>
      </c>
      <c r="O5767" s="4">
        <v>45278</v>
      </c>
      <c r="P5767" s="4">
        <v>92325</v>
      </c>
      <c r="Q5767" s="4">
        <v>137603</v>
      </c>
      <c r="R5767" s="4">
        <v>412809</v>
      </c>
      <c r="S5767" t="s">
        <v>22029</v>
      </c>
      <c r="X5767" t="s">
        <v>3</v>
      </c>
      <c r="AA5767" s="5" t="str">
        <f>HYPERLINK("https://www.zillow.com/homes/445-RIDGEFIELD-DR-ROSELLE-IL-60172_rb/","check listing")</f>
        <v>check listing</v>
      </c>
      <c r="AB5767" s="5" t="str">
        <f>HYPERLINK("https://propertylookup.dupagecounty.gov/Datalets/Datalet.aspx?UseSearch=no&amp;mode=sales&amp;pin=0209202022","sales record")</f>
        <v>sales record</v>
      </c>
      <c r="AC5767" t="s">
        <v>3</v>
      </c>
      <c r="AD5767">
        <v>41.974908</v>
      </c>
      <c r="AE5767">
        <v>-88.09814900000001</v>
      </c>
      <c r="AF5767" s="5" t="str">
        <f>HYPERLINK("https://www.google.com/maps/search/?api=1&amp;query=41.974908,-88.098149","map")</f>
        <v>map</v>
      </c>
    </row>
    <row r="5768" spans="1:32">
      <c r="A5768" t="s">
        <v>5818</v>
      </c>
      <c r="B5768" t="s">
        <v>13343</v>
      </c>
      <c r="C5768" t="s">
        <v>15830</v>
      </c>
      <c r="D5768" t="s">
        <v>16207</v>
      </c>
      <c r="E5768" t="s">
        <v>16218</v>
      </c>
      <c r="F5768" t="s">
        <v>16221</v>
      </c>
      <c r="G5768" t="s">
        <v>16241</v>
      </c>
      <c r="H5768" t="s">
        <v>16241</v>
      </c>
      <c r="I5768" t="s">
        <v>16355</v>
      </c>
      <c r="J5768" t="s">
        <v>16385</v>
      </c>
      <c r="K5768">
        <v>0.149</v>
      </c>
      <c r="L5768">
        <v>6479</v>
      </c>
      <c r="M5768">
        <v>2170</v>
      </c>
      <c r="N5768" t="s">
        <v>16393</v>
      </c>
      <c r="O5768" s="4">
        <v>45278</v>
      </c>
      <c r="P5768" s="4">
        <v>90209</v>
      </c>
      <c r="Q5768" s="4">
        <v>135487</v>
      </c>
      <c r="R5768" s="4">
        <v>406461</v>
      </c>
      <c r="S5768" t="s">
        <v>22030</v>
      </c>
      <c r="T5768" s="6">
        <v>34547</v>
      </c>
      <c r="U5768" s="4">
        <v>161000</v>
      </c>
      <c r="X5768" t="s">
        <v>3</v>
      </c>
      <c r="AA5768" s="5" t="str">
        <f>HYPERLINK("https://www.zillow.com/homes/461-RIDGEFIELD-DR-ROSELLE-IL-60172_rb/","check listing")</f>
        <v>check listing</v>
      </c>
      <c r="AB5768" s="5" t="str">
        <f>HYPERLINK("https://propertylookup.dupagecounty.gov/Datalets/Datalet.aspx?UseSearch=no&amp;mode=sales&amp;pin=0209202024","sales record")</f>
        <v>sales record</v>
      </c>
      <c r="AC5768" t="s">
        <v>3</v>
      </c>
      <c r="AD5768">
        <v>41.974647</v>
      </c>
      <c r="AE5768">
        <v>-88.097826</v>
      </c>
      <c r="AF5768" s="5" t="str">
        <f>HYPERLINK("https://www.google.com/maps/search/?api=1&amp;query=41.974647,-88.097826","map")</f>
        <v>map</v>
      </c>
    </row>
    <row r="5769" spans="1:32">
      <c r="A5769" t="s">
        <v>5819</v>
      </c>
      <c r="B5769" t="s">
        <v>13344</v>
      </c>
      <c r="C5769" t="s">
        <v>15830</v>
      </c>
      <c r="D5769" t="s">
        <v>16207</v>
      </c>
      <c r="E5769" t="s">
        <v>16218</v>
      </c>
      <c r="F5769" t="s">
        <v>16221</v>
      </c>
      <c r="G5769" t="s">
        <v>16241</v>
      </c>
      <c r="H5769" t="s">
        <v>16241</v>
      </c>
      <c r="I5769" t="s">
        <v>16355</v>
      </c>
      <c r="J5769" t="s">
        <v>16385</v>
      </c>
      <c r="K5769">
        <v>0.149</v>
      </c>
      <c r="L5769">
        <v>6478</v>
      </c>
      <c r="M5769">
        <v>1782</v>
      </c>
      <c r="N5769" t="s">
        <v>16393</v>
      </c>
      <c r="O5769" s="4">
        <v>38692</v>
      </c>
      <c r="P5769" s="4">
        <v>78878</v>
      </c>
      <c r="Q5769" s="4">
        <v>117570</v>
      </c>
      <c r="R5769" s="4">
        <v>352710</v>
      </c>
      <c r="S5769" t="s">
        <v>22031</v>
      </c>
      <c r="T5769" s="6">
        <v>33359</v>
      </c>
      <c r="U5769" s="4">
        <v>118500</v>
      </c>
      <c r="X5769" t="s">
        <v>3</v>
      </c>
      <c r="AA5769" s="5" t="str">
        <f>HYPERLINK("https://www.zillow.com/homes/675-BERWICK-PL-ROSELLE-IL-60172_rb/","check listing")</f>
        <v>check listing</v>
      </c>
      <c r="AB5769" s="5" t="str">
        <f>HYPERLINK("https://propertylookup.dupagecounty.gov/Datalets/Datalet.aspx?UseSearch=no&amp;mode=sales&amp;pin=0208215002","sales record")</f>
        <v>sales record</v>
      </c>
      <c r="AC5769" t="s">
        <v>3</v>
      </c>
      <c r="AD5769">
        <v>41.970684</v>
      </c>
      <c r="AE5769">
        <v>-88.11097100000001</v>
      </c>
      <c r="AF5769" s="5" t="str">
        <f>HYPERLINK("https://www.google.com/maps/search/?api=1&amp;query=41.970684,-88.110971","map")</f>
        <v>map</v>
      </c>
    </row>
    <row r="5770" spans="1:32">
      <c r="A5770" t="s">
        <v>5820</v>
      </c>
      <c r="B5770" t="s">
        <v>13345</v>
      </c>
      <c r="C5770" t="s">
        <v>15880</v>
      </c>
      <c r="D5770" t="s">
        <v>16207</v>
      </c>
      <c r="E5770" t="s">
        <v>16218</v>
      </c>
      <c r="F5770" t="s">
        <v>16221</v>
      </c>
      <c r="G5770" t="s">
        <v>16241</v>
      </c>
      <c r="H5770" t="s">
        <v>16241</v>
      </c>
      <c r="I5770" t="s">
        <v>16355</v>
      </c>
      <c r="J5770" t="s">
        <v>16385</v>
      </c>
      <c r="K5770">
        <v>0.149</v>
      </c>
      <c r="L5770">
        <v>6473</v>
      </c>
      <c r="M5770">
        <v>2309</v>
      </c>
      <c r="N5770" t="s">
        <v>16393</v>
      </c>
      <c r="O5770" s="4">
        <v>45278</v>
      </c>
      <c r="P5770" s="4">
        <v>100382</v>
      </c>
      <c r="Q5770" s="4">
        <v>145660</v>
      </c>
      <c r="R5770" s="4">
        <v>436980</v>
      </c>
      <c r="S5770" t="s">
        <v>22032</v>
      </c>
      <c r="T5770" s="6">
        <v>44075</v>
      </c>
      <c r="U5770" s="4">
        <v>340000</v>
      </c>
      <c r="V5770" t="s">
        <v>23739</v>
      </c>
      <c r="W5770" t="s">
        <v>26951</v>
      </c>
      <c r="X5770" t="s">
        <v>3</v>
      </c>
      <c r="AA5770" s="5" t="str">
        <f>HYPERLINK("https://www.zillow.com/homes/320-HAMSTEAD-CT-ROSELLE-IL-601721633_rb/","check listing")</f>
        <v>check listing</v>
      </c>
      <c r="AB5770" s="5" t="str">
        <f>HYPERLINK("https://propertylookup.dupagecounty.gov/Datalets/Datalet.aspx?UseSearch=no&amp;mode=sales&amp;pin=0205407005","sales record")</f>
        <v>sales record</v>
      </c>
      <c r="AC5770" t="s">
        <v>3</v>
      </c>
      <c r="AD5770">
        <v>41.976695</v>
      </c>
      <c r="AE5770">
        <v>-88.11216899999999</v>
      </c>
      <c r="AF5770" s="5" t="str">
        <f>HYPERLINK("https://www.google.com/maps/search/?api=1&amp;query=41.976695,-88.112169","map")</f>
        <v>map</v>
      </c>
    </row>
    <row r="5771" spans="1:32">
      <c r="A5771" t="s">
        <v>5821</v>
      </c>
      <c r="B5771" t="s">
        <v>13346</v>
      </c>
      <c r="C5771" t="s">
        <v>15830</v>
      </c>
      <c r="D5771" t="s">
        <v>16207</v>
      </c>
      <c r="E5771" t="s">
        <v>16218</v>
      </c>
      <c r="F5771" t="s">
        <v>16221</v>
      </c>
      <c r="G5771" t="s">
        <v>16241</v>
      </c>
      <c r="H5771" t="s">
        <v>16241</v>
      </c>
      <c r="I5771" t="s">
        <v>16355</v>
      </c>
      <c r="J5771" t="s">
        <v>16385</v>
      </c>
      <c r="K5771">
        <v>0.149</v>
      </c>
      <c r="L5771">
        <v>6469</v>
      </c>
      <c r="M5771">
        <v>1501</v>
      </c>
      <c r="N5771" t="s">
        <v>16393</v>
      </c>
      <c r="O5771" s="4">
        <v>38692</v>
      </c>
      <c r="P5771" s="4">
        <v>75794</v>
      </c>
      <c r="Q5771" s="4">
        <v>114486</v>
      </c>
      <c r="R5771" s="4">
        <v>343458</v>
      </c>
      <c r="S5771" t="s">
        <v>22033</v>
      </c>
      <c r="T5771" s="6">
        <v>40940</v>
      </c>
      <c r="U5771" s="4">
        <v>148000</v>
      </c>
      <c r="V5771" t="s">
        <v>16232</v>
      </c>
      <c r="W5771" t="s">
        <v>26952</v>
      </c>
      <c r="X5771" t="s">
        <v>3</v>
      </c>
      <c r="AA5771" s="5" t="str">
        <f>HYPERLINK("https://www.zillow.com/homes/756-BERWICK-PL-ROSELLE-IL-60172_rb/","check listing")</f>
        <v>check listing</v>
      </c>
      <c r="AB5771" s="5" t="str">
        <f>HYPERLINK("https://propertylookup.dupagecounty.gov/Datalets/Datalet.aspx?UseSearch=no&amp;mode=sales&amp;pin=0209124004","sales record")</f>
        <v>sales record</v>
      </c>
      <c r="AC5771" t="s">
        <v>3</v>
      </c>
      <c r="AD5771">
        <v>41.968957</v>
      </c>
      <c r="AE5771">
        <v>-88.109819</v>
      </c>
      <c r="AF5771" s="5" t="str">
        <f>HYPERLINK("https://www.google.com/maps/search/?api=1&amp;query=41.968957,-88.109819","map")</f>
        <v>map</v>
      </c>
    </row>
    <row r="5772" spans="1:32">
      <c r="A5772" t="s">
        <v>5822</v>
      </c>
      <c r="B5772" t="s">
        <v>13347</v>
      </c>
      <c r="C5772" t="s">
        <v>15830</v>
      </c>
      <c r="D5772" t="s">
        <v>16207</v>
      </c>
      <c r="E5772" t="s">
        <v>16218</v>
      </c>
      <c r="F5772" t="s">
        <v>16221</v>
      </c>
      <c r="G5772" t="s">
        <v>16241</v>
      </c>
      <c r="H5772" t="s">
        <v>16241</v>
      </c>
      <c r="I5772" t="s">
        <v>16355</v>
      </c>
      <c r="J5772" t="s">
        <v>16385</v>
      </c>
      <c r="K5772">
        <v>0.149</v>
      </c>
      <c r="L5772">
        <v>6469</v>
      </c>
      <c r="M5772">
        <v>1844</v>
      </c>
      <c r="N5772" t="s">
        <v>16393</v>
      </c>
      <c r="O5772" s="4">
        <v>45278</v>
      </c>
      <c r="P5772" s="4">
        <v>83695</v>
      </c>
      <c r="Q5772" s="4">
        <v>128973</v>
      </c>
      <c r="R5772" s="4">
        <v>386919</v>
      </c>
      <c r="S5772" t="s">
        <v>22034</v>
      </c>
      <c r="T5772" s="6">
        <v>38657</v>
      </c>
      <c r="U5772" s="4">
        <v>300005</v>
      </c>
      <c r="V5772" t="s">
        <v>23739</v>
      </c>
      <c r="W5772" t="s">
        <v>26953</v>
      </c>
      <c r="X5772" t="s">
        <v>3</v>
      </c>
      <c r="AA5772" s="5" t="str">
        <f>HYPERLINK("https://www.zillow.com/homes/330-HAMSTEAD-CT-ROSELLE-IL-60172_rb/","check listing")</f>
        <v>check listing</v>
      </c>
      <c r="AB5772" s="5" t="str">
        <f>HYPERLINK("https://propertylookup.dupagecounty.gov/Datalets/Datalet.aspx?UseSearch=no&amp;mode=sales&amp;pin=0205407006","sales record")</f>
        <v>sales record</v>
      </c>
      <c r="AC5772" t="s">
        <v>3</v>
      </c>
      <c r="AD5772">
        <v>41.976525</v>
      </c>
      <c r="AE5772">
        <v>-88.11224</v>
      </c>
      <c r="AF5772" s="5" t="str">
        <f>HYPERLINK("https://www.google.com/maps/search/?api=1&amp;query=41.976525,-88.11224","map")</f>
        <v>map</v>
      </c>
    </row>
    <row r="5773" spans="1:32">
      <c r="A5773" t="s">
        <v>5823</v>
      </c>
      <c r="B5773" t="s">
        <v>13348</v>
      </c>
      <c r="C5773" t="s">
        <v>15830</v>
      </c>
      <c r="D5773" t="s">
        <v>16207</v>
      </c>
      <c r="E5773" t="s">
        <v>16218</v>
      </c>
      <c r="F5773" t="s">
        <v>16221</v>
      </c>
      <c r="G5773" t="s">
        <v>16241</v>
      </c>
      <c r="H5773" t="s">
        <v>16241</v>
      </c>
      <c r="I5773" t="s">
        <v>16355</v>
      </c>
      <c r="J5773" t="s">
        <v>16385</v>
      </c>
      <c r="K5773">
        <v>0.148</v>
      </c>
      <c r="L5773">
        <v>6464</v>
      </c>
      <c r="M5773">
        <v>2523</v>
      </c>
      <c r="N5773" t="s">
        <v>16393</v>
      </c>
      <c r="O5773" s="4">
        <v>45278</v>
      </c>
      <c r="P5773" s="4">
        <v>79798</v>
      </c>
      <c r="Q5773" s="4">
        <v>125076</v>
      </c>
      <c r="R5773" s="4">
        <v>375228</v>
      </c>
      <c r="S5773" t="s">
        <v>22035</v>
      </c>
      <c r="T5773" s="6">
        <v>42644</v>
      </c>
      <c r="U5773" s="4">
        <v>289900</v>
      </c>
      <c r="V5773" t="s">
        <v>23739</v>
      </c>
      <c r="W5773" t="s">
        <v>26954</v>
      </c>
      <c r="X5773" t="s">
        <v>3</v>
      </c>
      <c r="AA5773" s="5" t="str">
        <f>HYPERLINK("https://www.zillow.com/homes/535-RIDGEFIELD-DR-ROSELLE-IL-60172_rb/","check listing")</f>
        <v>check listing</v>
      </c>
      <c r="AB5773" s="5" t="str">
        <f>HYPERLINK("https://propertylookup.dupagecounty.gov/Datalets/Datalet.aspx?UseSearch=no&amp;mode=sales&amp;pin=0209202032","sales record")</f>
        <v>sales record</v>
      </c>
      <c r="AC5773" t="s">
        <v>3</v>
      </c>
      <c r="AD5773">
        <v>41.973278</v>
      </c>
      <c r="AE5773">
        <v>-88.09734</v>
      </c>
      <c r="AF5773" s="5" t="str">
        <f>HYPERLINK("https://www.google.com/maps/search/?api=1&amp;query=41.973278,-88.09734","map")</f>
        <v>map</v>
      </c>
    </row>
    <row r="5774" spans="1:32">
      <c r="A5774" t="s">
        <v>5824</v>
      </c>
      <c r="B5774" t="s">
        <v>13349</v>
      </c>
      <c r="C5774" t="s">
        <v>15830</v>
      </c>
      <c r="D5774" t="s">
        <v>16207</v>
      </c>
      <c r="E5774" t="s">
        <v>16218</v>
      </c>
      <c r="F5774" t="s">
        <v>16221</v>
      </c>
      <c r="G5774" t="s">
        <v>16241</v>
      </c>
      <c r="H5774" t="s">
        <v>16241</v>
      </c>
      <c r="I5774" t="s">
        <v>16355</v>
      </c>
      <c r="J5774" t="s">
        <v>16385</v>
      </c>
      <c r="K5774">
        <v>0.148</v>
      </c>
      <c r="L5774">
        <v>6453</v>
      </c>
      <c r="M5774">
        <v>1582</v>
      </c>
      <c r="N5774" t="s">
        <v>16393</v>
      </c>
      <c r="O5774" s="4">
        <v>38692</v>
      </c>
      <c r="P5774" s="4">
        <v>79823</v>
      </c>
      <c r="Q5774" s="4">
        <v>118515</v>
      </c>
      <c r="R5774" s="4">
        <v>355545</v>
      </c>
      <c r="S5774" t="s">
        <v>22036</v>
      </c>
      <c r="T5774" s="6">
        <v>37895</v>
      </c>
      <c r="U5774" s="4">
        <v>216000</v>
      </c>
      <c r="V5774" t="s">
        <v>23739</v>
      </c>
      <c r="W5774" t="s">
        <v>22036</v>
      </c>
      <c r="X5774" t="s">
        <v>3</v>
      </c>
      <c r="AA5774" s="5" t="str">
        <f>HYPERLINK("https://www.zillow.com/homes/707-RADNOR-DR-ROSELLE-IL-60172_rb/","check listing")</f>
        <v>check listing</v>
      </c>
      <c r="AB5774" s="5" t="str">
        <f>HYPERLINK("https://propertylookup.dupagecounty.gov/Datalets/Datalet.aspx?UseSearch=no&amp;mode=sales&amp;pin=0209110049","sales record")</f>
        <v>sales record</v>
      </c>
      <c r="AC5774" t="s">
        <v>3</v>
      </c>
      <c r="AD5774">
        <v>41.970107</v>
      </c>
      <c r="AE5774">
        <v>-88.106273</v>
      </c>
      <c r="AF5774" s="5" t="str">
        <f>HYPERLINK("https://www.google.com/maps/search/?api=1&amp;query=41.970107,-88.106273","map")</f>
        <v>map</v>
      </c>
    </row>
    <row r="5775" spans="1:32">
      <c r="A5775" t="s">
        <v>5825</v>
      </c>
      <c r="B5775" t="s">
        <v>13350</v>
      </c>
      <c r="C5775" t="s">
        <v>15830</v>
      </c>
      <c r="D5775" t="s">
        <v>16207</v>
      </c>
      <c r="E5775" t="s">
        <v>16218</v>
      </c>
      <c r="F5775" t="s">
        <v>16221</v>
      </c>
      <c r="G5775" t="s">
        <v>16241</v>
      </c>
      <c r="H5775" t="s">
        <v>16241</v>
      </c>
      <c r="I5775" t="s">
        <v>16355</v>
      </c>
      <c r="J5775" t="s">
        <v>16385</v>
      </c>
      <c r="K5775">
        <v>0.148</v>
      </c>
      <c r="L5775">
        <v>6451</v>
      </c>
      <c r="M5775">
        <v>1980</v>
      </c>
      <c r="N5775" t="s">
        <v>16393</v>
      </c>
      <c r="O5775" s="4">
        <v>38692</v>
      </c>
      <c r="P5775" s="4">
        <v>95864</v>
      </c>
      <c r="Q5775" s="4">
        <v>134556</v>
      </c>
      <c r="R5775" s="4">
        <v>403668</v>
      </c>
      <c r="S5775" t="s">
        <v>22037</v>
      </c>
      <c r="T5775" s="6">
        <v>36220</v>
      </c>
      <c r="U5775" s="4">
        <v>152000</v>
      </c>
      <c r="X5775" t="s">
        <v>3</v>
      </c>
      <c r="AA5775" s="5" t="str">
        <f>HYPERLINK("https://www.zillow.com/homes/588-KINGSTON-CT-ROSELLE-IL-60172_rb/","check listing")</f>
        <v>check listing</v>
      </c>
      <c r="AB5775" s="5" t="str">
        <f>HYPERLINK("https://propertylookup.dupagecounty.gov/Datalets/Datalet.aspx?UseSearch=no&amp;mode=sales&amp;pin=0209119009","sales record")</f>
        <v>sales record</v>
      </c>
      <c r="AC5775" t="s">
        <v>3</v>
      </c>
      <c r="AD5775">
        <v>41.97199</v>
      </c>
      <c r="AE5775">
        <v>-88.10919199999999</v>
      </c>
      <c r="AF5775" s="5" t="str">
        <f>HYPERLINK("https://www.google.com/maps/search/?api=1&amp;query=41.97199,-88.109192","map")</f>
        <v>map</v>
      </c>
    </row>
    <row r="5776" spans="1:32">
      <c r="A5776" t="s">
        <v>5826</v>
      </c>
      <c r="B5776" t="s">
        <v>13351</v>
      </c>
      <c r="C5776" t="s">
        <v>15880</v>
      </c>
      <c r="D5776" t="s">
        <v>16207</v>
      </c>
      <c r="E5776" t="s">
        <v>16218</v>
      </c>
      <c r="F5776" t="s">
        <v>16221</v>
      </c>
      <c r="G5776" t="s">
        <v>16241</v>
      </c>
      <c r="H5776" t="s">
        <v>16241</v>
      </c>
      <c r="I5776" t="s">
        <v>16355</v>
      </c>
      <c r="J5776" t="s">
        <v>16385</v>
      </c>
      <c r="K5776">
        <v>0.148</v>
      </c>
      <c r="L5776">
        <v>6443</v>
      </c>
      <c r="M5776">
        <v>1319</v>
      </c>
      <c r="N5776" t="s">
        <v>16393</v>
      </c>
      <c r="O5776" s="4">
        <v>45278</v>
      </c>
      <c r="P5776" s="4">
        <v>106359</v>
      </c>
      <c r="Q5776" s="4">
        <v>151637</v>
      </c>
      <c r="R5776" s="4">
        <v>454911</v>
      </c>
      <c r="S5776" t="s">
        <v>22038</v>
      </c>
      <c r="T5776" s="6">
        <v>45453</v>
      </c>
      <c r="U5776" s="4">
        <v>540500</v>
      </c>
      <c r="V5776" t="s">
        <v>23739</v>
      </c>
      <c r="W5776" t="s">
        <v>26955</v>
      </c>
      <c r="X5776" t="s">
        <v>3</v>
      </c>
      <c r="AA5776" s="5" t="str">
        <f>HYPERLINK("https://www.zillow.com/homes/308-HAMSTEAD-CT-ROSELLE-IL-601721633_rb/","check listing")</f>
        <v>check listing</v>
      </c>
      <c r="AB5776" s="5" t="str">
        <f>HYPERLINK("https://propertylookup.dupagecounty.gov/Datalets/Datalet.aspx?UseSearch=no&amp;mode=sales&amp;pin=0205407003","sales record")</f>
        <v>sales record</v>
      </c>
      <c r="AC5776" t="s">
        <v>3</v>
      </c>
      <c r="AD5776">
        <v>41.97692</v>
      </c>
      <c r="AE5776">
        <v>-88.111844</v>
      </c>
      <c r="AF5776" s="5" t="str">
        <f>HYPERLINK("https://www.google.com/maps/search/?api=1&amp;query=41.97692,-88.111844","map")</f>
        <v>map</v>
      </c>
    </row>
    <row r="5777" spans="1:32">
      <c r="A5777" t="s">
        <v>5827</v>
      </c>
      <c r="B5777" t="s">
        <v>13352</v>
      </c>
      <c r="C5777" t="s">
        <v>15830</v>
      </c>
      <c r="D5777" t="s">
        <v>16207</v>
      </c>
      <c r="E5777" t="s">
        <v>16218</v>
      </c>
      <c r="F5777" t="s">
        <v>16221</v>
      </c>
      <c r="G5777" t="s">
        <v>16241</v>
      </c>
      <c r="H5777" t="s">
        <v>16241</v>
      </c>
      <c r="I5777" t="s">
        <v>16355</v>
      </c>
      <c r="J5777" t="s">
        <v>16385</v>
      </c>
      <c r="K5777">
        <v>0.148</v>
      </c>
      <c r="L5777">
        <v>6437</v>
      </c>
      <c r="M5777">
        <v>1583</v>
      </c>
      <c r="N5777" t="s">
        <v>16393</v>
      </c>
      <c r="O5777" s="4">
        <v>38692</v>
      </c>
      <c r="P5777" s="4">
        <v>76189</v>
      </c>
      <c r="Q5777" s="4">
        <v>114881</v>
      </c>
      <c r="R5777" s="4">
        <v>344643</v>
      </c>
      <c r="S5777" t="s">
        <v>22039</v>
      </c>
      <c r="T5777" s="6">
        <v>33208</v>
      </c>
      <c r="U5777" s="4">
        <v>112000</v>
      </c>
      <c r="X5777" t="s">
        <v>3</v>
      </c>
      <c r="AA5777" s="5" t="str">
        <f>HYPERLINK("https://www.zillow.com/homes/1261-BRYN-MAWR-AVE-ROSELLE-IL-60172_rb/","check listing")</f>
        <v>check listing</v>
      </c>
      <c r="AB5777" s="5" t="str">
        <f>HYPERLINK("https://propertylookup.dupagecounty.gov/Datalets/Datalet.aspx?UseSearch=no&amp;mode=sales&amp;pin=0208205011","sales record")</f>
        <v>sales record</v>
      </c>
      <c r="AC5777" t="s">
        <v>3</v>
      </c>
      <c r="AD5777">
        <v>41.971016</v>
      </c>
      <c r="AE5777">
        <v>-88.11229</v>
      </c>
      <c r="AF5777" s="5" t="str">
        <f>HYPERLINK("https://www.google.com/maps/search/?api=1&amp;query=41.971016,-88.11229","map")</f>
        <v>map</v>
      </c>
    </row>
    <row r="5778" spans="1:32">
      <c r="A5778" t="s">
        <v>5828</v>
      </c>
      <c r="B5778" t="s">
        <v>13353</v>
      </c>
      <c r="C5778" t="s">
        <v>15830</v>
      </c>
      <c r="D5778" t="s">
        <v>16207</v>
      </c>
      <c r="E5778" t="s">
        <v>16218</v>
      </c>
      <c r="F5778" t="s">
        <v>16221</v>
      </c>
      <c r="G5778" t="s">
        <v>16241</v>
      </c>
      <c r="H5778" t="s">
        <v>16241</v>
      </c>
      <c r="I5778" t="s">
        <v>16355</v>
      </c>
      <c r="J5778" t="s">
        <v>16385</v>
      </c>
      <c r="K5778">
        <v>0.148</v>
      </c>
      <c r="L5778">
        <v>6436</v>
      </c>
      <c r="M5778">
        <v>1826</v>
      </c>
      <c r="N5778" t="s">
        <v>16393</v>
      </c>
      <c r="O5778" s="4">
        <v>45278</v>
      </c>
      <c r="P5778" s="4">
        <v>86815</v>
      </c>
      <c r="Q5778" s="4">
        <v>132093</v>
      </c>
      <c r="R5778" s="4">
        <v>396279</v>
      </c>
      <c r="S5778" t="s">
        <v>22040</v>
      </c>
      <c r="X5778" t="s">
        <v>3</v>
      </c>
      <c r="AA5778" s="5" t="str">
        <f>HYPERLINK("https://www.zillow.com/homes/1145-COLONY-LN-ROSELLE-IL-60172_rb/","check listing")</f>
        <v>check listing</v>
      </c>
      <c r="AB5778" s="5" t="str">
        <f>HYPERLINK("https://propertylookup.dupagecounty.gov/Datalets/Datalet.aspx?UseSearch=no&amp;mode=sales&amp;pin=0204309047","sales record")</f>
        <v>sales record</v>
      </c>
      <c r="AC5778" t="s">
        <v>3</v>
      </c>
      <c r="AD5778">
        <v>41.979643</v>
      </c>
      <c r="AE5778">
        <v>-88.10902299999999</v>
      </c>
      <c r="AF5778" s="5" t="str">
        <f>HYPERLINK("https://www.google.com/maps/search/?api=1&amp;query=41.979643,-88.109023","map")</f>
        <v>map</v>
      </c>
    </row>
    <row r="5779" spans="1:32">
      <c r="A5779" t="s">
        <v>5829</v>
      </c>
      <c r="B5779" t="s">
        <v>13354</v>
      </c>
      <c r="C5779" t="s">
        <v>15940</v>
      </c>
      <c r="D5779" t="s">
        <v>16207</v>
      </c>
      <c r="E5779" t="s">
        <v>16218</v>
      </c>
      <c r="F5779" t="s">
        <v>16221</v>
      </c>
      <c r="G5779" t="s">
        <v>16241</v>
      </c>
      <c r="H5779" t="s">
        <v>16241</v>
      </c>
      <c r="I5779" t="s">
        <v>16355</v>
      </c>
      <c r="J5779" t="s">
        <v>16385</v>
      </c>
      <c r="K5779">
        <v>0.148</v>
      </c>
      <c r="L5779">
        <v>6429</v>
      </c>
      <c r="M5779">
        <v>1270</v>
      </c>
      <c r="N5779" t="s">
        <v>16393</v>
      </c>
      <c r="O5779" s="4">
        <v>38692</v>
      </c>
      <c r="P5779" s="4">
        <v>77599</v>
      </c>
      <c r="Q5779" s="4">
        <v>116291</v>
      </c>
      <c r="R5779" s="4">
        <v>348873</v>
      </c>
      <c r="S5779" t="s">
        <v>22041</v>
      </c>
      <c r="T5779" s="6">
        <v>28825</v>
      </c>
      <c r="U5779" s="4">
        <v>65805</v>
      </c>
      <c r="X5779" t="s">
        <v>3</v>
      </c>
      <c r="AA5779" s="5" t="str">
        <f>HYPERLINK("https://www.zillow.com/homes/593-KINGSTON-CT-ROSELLE-IL-601722661_rb/","check listing")</f>
        <v>check listing</v>
      </c>
      <c r="AB5779" s="5" t="str">
        <f>HYPERLINK("https://propertylookup.dupagecounty.gov/Datalets/Datalet.aspx?UseSearch=no&amp;mode=sales&amp;pin=0209119010","sales record")</f>
        <v>sales record</v>
      </c>
      <c r="AC5779" t="s">
        <v>3</v>
      </c>
      <c r="AD5779">
        <v>41.972054</v>
      </c>
      <c r="AE5779">
        <v>-88.108957</v>
      </c>
      <c r="AF5779" s="5" t="str">
        <f>HYPERLINK("https://www.google.com/maps/search/?api=1&amp;query=41.972054,-88.108957","map")</f>
        <v>map</v>
      </c>
    </row>
    <row r="5780" spans="1:32">
      <c r="A5780" t="s">
        <v>5830</v>
      </c>
      <c r="B5780" t="s">
        <v>13355</v>
      </c>
      <c r="C5780" t="s">
        <v>15941</v>
      </c>
      <c r="D5780" t="s">
        <v>16207</v>
      </c>
      <c r="E5780" t="s">
        <v>16218</v>
      </c>
      <c r="F5780" t="s">
        <v>16221</v>
      </c>
      <c r="G5780" t="s">
        <v>16241</v>
      </c>
      <c r="H5780" t="s">
        <v>16241</v>
      </c>
      <c r="I5780" t="s">
        <v>16355</v>
      </c>
      <c r="J5780" t="s">
        <v>16385</v>
      </c>
      <c r="K5780">
        <v>0.147</v>
      </c>
      <c r="L5780">
        <v>6424</v>
      </c>
      <c r="M5780">
        <v>1155</v>
      </c>
      <c r="N5780" t="s">
        <v>16393</v>
      </c>
      <c r="O5780" s="4">
        <v>38692</v>
      </c>
      <c r="P5780" s="4">
        <v>77109</v>
      </c>
      <c r="Q5780" s="4">
        <v>115801</v>
      </c>
      <c r="R5780" s="4">
        <v>347403</v>
      </c>
      <c r="S5780" t="s">
        <v>22042</v>
      </c>
      <c r="T5780" s="6">
        <v>45499</v>
      </c>
      <c r="U5780" s="4">
        <v>390000</v>
      </c>
      <c r="V5780" t="s">
        <v>23739</v>
      </c>
      <c r="W5780" t="s">
        <v>26956</v>
      </c>
      <c r="X5780" t="s">
        <v>3</v>
      </c>
      <c r="AA5780" s="5" t="str">
        <f>HYPERLINK("https://www.zillow.com/homes/1110-SINGLETON-DR-ROSELLE-IL-601721729_rb/","check listing")</f>
        <v>check listing</v>
      </c>
      <c r="AB5780" s="5" t="str">
        <f>HYPERLINK("https://propertylookup.dupagecounty.gov/Datalets/Datalet.aspx?UseSearch=no&amp;mode=sales&amp;pin=0204313009","sales record")</f>
        <v>sales record</v>
      </c>
      <c r="AC5780" t="s">
        <v>3</v>
      </c>
      <c r="AD5780">
        <v>41.978835</v>
      </c>
      <c r="AE5780">
        <v>-88.10882599999999</v>
      </c>
      <c r="AF5780" s="5" t="str">
        <f>HYPERLINK("https://www.google.com/maps/search/?api=1&amp;query=41.978835,-88.108826","map")</f>
        <v>map</v>
      </c>
    </row>
    <row r="5781" spans="1:32">
      <c r="A5781" t="s">
        <v>5831</v>
      </c>
      <c r="B5781" t="s">
        <v>13356</v>
      </c>
      <c r="C5781" t="s">
        <v>15830</v>
      </c>
      <c r="D5781" t="s">
        <v>16207</v>
      </c>
      <c r="E5781" t="s">
        <v>16218</v>
      </c>
      <c r="F5781" t="s">
        <v>16221</v>
      </c>
      <c r="G5781" t="s">
        <v>16241</v>
      </c>
      <c r="H5781" t="s">
        <v>16241</v>
      </c>
      <c r="I5781" t="s">
        <v>16355</v>
      </c>
      <c r="J5781" t="s">
        <v>16385</v>
      </c>
      <c r="K5781">
        <v>0.147</v>
      </c>
      <c r="L5781">
        <v>6401</v>
      </c>
      <c r="M5781">
        <v>1333</v>
      </c>
      <c r="N5781" t="s">
        <v>16393</v>
      </c>
      <c r="O5781" s="4">
        <v>38692</v>
      </c>
      <c r="P5781" s="4">
        <v>77730</v>
      </c>
      <c r="Q5781" s="4">
        <v>116422</v>
      </c>
      <c r="R5781" s="4">
        <v>349266</v>
      </c>
      <c r="S5781" t="s">
        <v>22043</v>
      </c>
      <c r="T5781" s="6">
        <v>39873</v>
      </c>
      <c r="U5781" s="4">
        <v>155000</v>
      </c>
      <c r="V5781" t="s">
        <v>16232</v>
      </c>
      <c r="W5781" t="s">
        <v>26957</v>
      </c>
      <c r="X5781" t="s">
        <v>3</v>
      </c>
      <c r="AA5781" s="5" t="str">
        <f>HYPERLINK("https://www.zillow.com/homes/1125-SINGLETON-DR-ROSELLE-IL-60172_rb/","check listing")</f>
        <v>check listing</v>
      </c>
      <c r="AB5781" s="5" t="str">
        <f>HYPERLINK("https://propertylookup.dupagecounty.gov/Datalets/Datalet.aspx?UseSearch=no&amp;mode=sales&amp;pin=0204313008","sales record")</f>
        <v>sales record</v>
      </c>
      <c r="AC5781" t="s">
        <v>3</v>
      </c>
      <c r="AD5781">
        <v>41.978883</v>
      </c>
      <c r="AE5781">
        <v>-88.109011</v>
      </c>
      <c r="AF5781" s="5" t="str">
        <f>HYPERLINK("https://www.google.com/maps/search/?api=1&amp;query=41.978883,-88.109011","map")</f>
        <v>map</v>
      </c>
    </row>
    <row r="5782" spans="1:32">
      <c r="A5782" t="s">
        <v>5832</v>
      </c>
      <c r="B5782" t="s">
        <v>13357</v>
      </c>
      <c r="C5782" t="s">
        <v>15942</v>
      </c>
      <c r="D5782" t="s">
        <v>16207</v>
      </c>
      <c r="E5782" t="s">
        <v>16218</v>
      </c>
      <c r="F5782" t="s">
        <v>16221</v>
      </c>
      <c r="G5782" t="s">
        <v>16241</v>
      </c>
      <c r="H5782" t="s">
        <v>16241</v>
      </c>
      <c r="I5782" t="s">
        <v>16355</v>
      </c>
      <c r="J5782" t="s">
        <v>16385</v>
      </c>
      <c r="K5782">
        <v>0.147</v>
      </c>
      <c r="L5782">
        <v>6388</v>
      </c>
      <c r="M5782">
        <v>1451</v>
      </c>
      <c r="N5782" t="s">
        <v>16393</v>
      </c>
      <c r="O5782" s="4">
        <v>38692</v>
      </c>
      <c r="P5782" s="4">
        <v>55546</v>
      </c>
      <c r="Q5782" s="4">
        <v>94238</v>
      </c>
      <c r="R5782" s="4">
        <v>282714</v>
      </c>
      <c r="S5782" t="s">
        <v>21838</v>
      </c>
      <c r="T5782" s="6">
        <v>41395</v>
      </c>
      <c r="U5782" s="4">
        <v>144500</v>
      </c>
      <c r="V5782" t="s">
        <v>23739</v>
      </c>
      <c r="W5782" t="s">
        <v>21838</v>
      </c>
      <c r="X5782" t="s">
        <v>3</v>
      </c>
      <c r="AA5782" s="5" t="str">
        <f>HYPERLINK("https://www.zillow.com/homes/1113-SINGLETON-DR-ROSELLE-IL-601721728_rb/","check listing")</f>
        <v>check listing</v>
      </c>
      <c r="AB5782" s="5" t="str">
        <f>HYPERLINK("https://propertylookup.dupagecounty.gov/Datalets/Datalet.aspx?UseSearch=no&amp;mode=sales&amp;pin=0204309062","sales record")</f>
        <v>sales record</v>
      </c>
      <c r="AC5782" t="s">
        <v>3</v>
      </c>
      <c r="AD5782">
        <v>41.97905</v>
      </c>
      <c r="AE5782">
        <v>-88.10827999999999</v>
      </c>
      <c r="AF5782" s="5" t="str">
        <f>HYPERLINK("https://www.google.com/maps/search/?api=1&amp;query=41.97905,-88.10828","map")</f>
        <v>map</v>
      </c>
    </row>
    <row r="5783" spans="1:32">
      <c r="A5783" t="s">
        <v>5833</v>
      </c>
      <c r="B5783" t="s">
        <v>13358</v>
      </c>
      <c r="C5783" t="s">
        <v>15830</v>
      </c>
      <c r="D5783" t="s">
        <v>16207</v>
      </c>
      <c r="E5783" t="s">
        <v>16218</v>
      </c>
      <c r="F5783" t="s">
        <v>16221</v>
      </c>
      <c r="G5783" t="s">
        <v>16241</v>
      </c>
      <c r="H5783" t="s">
        <v>16241</v>
      </c>
      <c r="I5783" t="s">
        <v>16355</v>
      </c>
      <c r="J5783" t="s">
        <v>16385</v>
      </c>
      <c r="K5783">
        <v>0.147</v>
      </c>
      <c r="L5783">
        <v>6384</v>
      </c>
      <c r="M5783">
        <v>1777</v>
      </c>
      <c r="N5783" t="s">
        <v>16393</v>
      </c>
      <c r="O5783" s="4">
        <v>45278</v>
      </c>
      <c r="P5783" s="4">
        <v>71910</v>
      </c>
      <c r="Q5783" s="4">
        <v>117188</v>
      </c>
      <c r="R5783" s="4">
        <v>351564</v>
      </c>
      <c r="S5783" t="s">
        <v>22044</v>
      </c>
      <c r="T5783" s="6">
        <v>38200</v>
      </c>
      <c r="U5783" s="4">
        <v>255000</v>
      </c>
      <c r="V5783" t="s">
        <v>23739</v>
      </c>
      <c r="W5783" t="s">
        <v>26958</v>
      </c>
      <c r="X5783" t="s">
        <v>3</v>
      </c>
      <c r="AA5783" s="5" t="str">
        <f>HYPERLINK("https://www.zillow.com/homes/1155-COLONY-LN-ROSELLE-IL-60172_rb/","check listing")</f>
        <v>check listing</v>
      </c>
      <c r="AB5783" s="5" t="str">
        <f>HYPERLINK("https://propertylookup.dupagecounty.gov/Datalets/Datalet.aspx?UseSearch=no&amp;mode=sales&amp;pin=0204309046","sales record")</f>
        <v>sales record</v>
      </c>
      <c r="AC5783" t="s">
        <v>3</v>
      </c>
      <c r="AD5783">
        <v>41.979646</v>
      </c>
      <c r="AE5783">
        <v>-88.109264</v>
      </c>
      <c r="AF5783" s="5" t="str">
        <f>HYPERLINK("https://www.google.com/maps/search/?api=1&amp;query=41.979646,-88.109264","map")</f>
        <v>map</v>
      </c>
    </row>
    <row r="5784" spans="1:32">
      <c r="A5784" t="s">
        <v>5834</v>
      </c>
      <c r="B5784" t="s">
        <v>13359</v>
      </c>
      <c r="C5784" t="s">
        <v>15830</v>
      </c>
      <c r="D5784" t="s">
        <v>16207</v>
      </c>
      <c r="E5784" t="s">
        <v>16218</v>
      </c>
      <c r="F5784" t="s">
        <v>16221</v>
      </c>
      <c r="G5784" t="s">
        <v>16241</v>
      </c>
      <c r="H5784" t="s">
        <v>16241</v>
      </c>
      <c r="I5784" t="s">
        <v>16355</v>
      </c>
      <c r="J5784" t="s">
        <v>16385</v>
      </c>
      <c r="K5784">
        <v>0.146</v>
      </c>
      <c r="L5784">
        <v>6367</v>
      </c>
      <c r="M5784">
        <v>1385</v>
      </c>
      <c r="N5784" t="s">
        <v>16393</v>
      </c>
      <c r="O5784" s="4">
        <v>38692</v>
      </c>
      <c r="P5784" s="4">
        <v>86791</v>
      </c>
      <c r="Q5784" s="4">
        <v>125483</v>
      </c>
      <c r="R5784" s="4">
        <v>376449</v>
      </c>
      <c r="S5784" t="s">
        <v>22045</v>
      </c>
      <c r="T5784" s="6">
        <v>44044</v>
      </c>
      <c r="U5784" s="4">
        <v>310000</v>
      </c>
      <c r="V5784" t="s">
        <v>23739</v>
      </c>
      <c r="W5784" t="s">
        <v>22045</v>
      </c>
      <c r="X5784" t="s">
        <v>3</v>
      </c>
      <c r="AA5784" s="5" t="str">
        <f>HYPERLINK("https://www.zillow.com/homes/650-RODENBURG-ROAD-ROSELLE-IL-60172_rb/","check listing")</f>
        <v>check listing</v>
      </c>
      <c r="AB5784" s="5" t="str">
        <f>HYPERLINK("https://propertylookup.dupagecounty.gov/Datalets/Datalet.aspx?UseSearch=no&amp;mode=sales&amp;pin=0208205018","sales record")</f>
        <v>sales record</v>
      </c>
      <c r="AC5784" t="s">
        <v>3</v>
      </c>
      <c r="AD5784">
        <v>41.97104</v>
      </c>
      <c r="AE5784">
        <v>-88.11106100000001</v>
      </c>
      <c r="AF5784" s="5" t="str">
        <f>HYPERLINK("https://www.google.com/maps/search/?api=1&amp;query=41.97104,-88.111061","map")</f>
        <v>map</v>
      </c>
    </row>
    <row r="5785" spans="1:32">
      <c r="A5785" t="s">
        <v>5835</v>
      </c>
      <c r="B5785" t="s">
        <v>13360</v>
      </c>
      <c r="C5785" t="s">
        <v>15830</v>
      </c>
      <c r="D5785" t="s">
        <v>16207</v>
      </c>
      <c r="E5785" t="s">
        <v>16218</v>
      </c>
      <c r="F5785" t="s">
        <v>16221</v>
      </c>
      <c r="G5785" t="s">
        <v>16241</v>
      </c>
      <c r="H5785" t="s">
        <v>16241</v>
      </c>
      <c r="I5785" t="s">
        <v>16355</v>
      </c>
      <c r="J5785" t="s">
        <v>16385</v>
      </c>
      <c r="K5785">
        <v>0.146</v>
      </c>
      <c r="L5785">
        <v>6354</v>
      </c>
      <c r="M5785">
        <v>1450</v>
      </c>
      <c r="N5785" t="s">
        <v>16393</v>
      </c>
      <c r="O5785" s="4">
        <v>38692</v>
      </c>
      <c r="P5785" s="4">
        <v>78878</v>
      </c>
      <c r="Q5785" s="4">
        <v>117570</v>
      </c>
      <c r="R5785" s="4">
        <v>352710</v>
      </c>
      <c r="S5785" t="s">
        <v>22046</v>
      </c>
      <c r="T5785" s="6">
        <v>37803</v>
      </c>
      <c r="U5785" s="4">
        <v>235900</v>
      </c>
      <c r="V5785" t="s">
        <v>23739</v>
      </c>
      <c r="W5785" t="s">
        <v>26959</v>
      </c>
      <c r="X5785" t="s">
        <v>3</v>
      </c>
      <c r="AA5785" s="5" t="str">
        <f>HYPERLINK("https://www.zillow.com/homes/1103-DARBY-LN-ROSELLE-IL-60172_rb/","check listing")</f>
        <v>check listing</v>
      </c>
      <c r="AB5785" s="5" t="str">
        <f>HYPERLINK("https://propertylookup.dupagecounty.gov/Datalets/Datalet.aspx?UseSearch=no&amp;mode=sales&amp;pin=0204309066","sales record")</f>
        <v>sales record</v>
      </c>
      <c r="AC5785" t="s">
        <v>3</v>
      </c>
      <c r="AD5785">
        <v>41.97835</v>
      </c>
      <c r="AE5785">
        <v>-88.10820200000001</v>
      </c>
      <c r="AF5785" s="5" t="str">
        <f>HYPERLINK("https://www.google.com/maps/search/?api=1&amp;query=41.97835,-88.108202","map")</f>
        <v>map</v>
      </c>
    </row>
    <row r="5786" spans="1:32">
      <c r="A5786" t="s">
        <v>5836</v>
      </c>
      <c r="B5786" t="s">
        <v>13361</v>
      </c>
      <c r="C5786" t="s">
        <v>15900</v>
      </c>
      <c r="D5786" t="s">
        <v>16207</v>
      </c>
      <c r="E5786" t="s">
        <v>16218</v>
      </c>
      <c r="F5786" t="s">
        <v>16221</v>
      </c>
      <c r="G5786" t="s">
        <v>16241</v>
      </c>
      <c r="H5786" t="s">
        <v>16241</v>
      </c>
      <c r="I5786" t="s">
        <v>16355</v>
      </c>
      <c r="J5786" t="s">
        <v>16385</v>
      </c>
      <c r="K5786">
        <v>0.146</v>
      </c>
      <c r="L5786">
        <v>6353</v>
      </c>
      <c r="M5786">
        <v>1579</v>
      </c>
      <c r="N5786" t="s">
        <v>16393</v>
      </c>
      <c r="O5786" s="4">
        <v>38692</v>
      </c>
      <c r="P5786" s="4">
        <v>77539</v>
      </c>
      <c r="Q5786" s="4">
        <v>116231</v>
      </c>
      <c r="R5786" s="4">
        <v>348693</v>
      </c>
      <c r="S5786" t="s">
        <v>22047</v>
      </c>
      <c r="T5786" s="6">
        <v>43617</v>
      </c>
      <c r="U5786" s="4">
        <v>268000</v>
      </c>
      <c r="V5786" t="s">
        <v>23739</v>
      </c>
      <c r="W5786" t="s">
        <v>26960</v>
      </c>
      <c r="X5786" t="s">
        <v>3</v>
      </c>
      <c r="AA5786" s="5" t="str">
        <f>HYPERLINK("https://www.zillow.com/homes/780-MEADE-LN-ROSELLE-IL-601722711_rb/","check listing")</f>
        <v>check listing</v>
      </c>
      <c r="AB5786" s="5" t="str">
        <f>HYPERLINK("https://propertylookup.dupagecounty.gov/Datalets/Datalet.aspx?UseSearch=no&amp;mode=sales&amp;pin=0209117016","sales record")</f>
        <v>sales record</v>
      </c>
      <c r="AC5786" t="s">
        <v>3</v>
      </c>
      <c r="AD5786">
        <v>41.968568</v>
      </c>
      <c r="AE5786">
        <v>-88.106027</v>
      </c>
      <c r="AF5786" s="5" t="str">
        <f>HYPERLINK("https://www.google.com/maps/search/?api=1&amp;query=41.968568,-88.106027","map")</f>
        <v>map</v>
      </c>
    </row>
    <row r="5787" spans="1:32">
      <c r="A5787" t="s">
        <v>5837</v>
      </c>
      <c r="B5787" t="s">
        <v>13362</v>
      </c>
      <c r="C5787" t="s">
        <v>15830</v>
      </c>
      <c r="D5787" t="s">
        <v>16207</v>
      </c>
      <c r="E5787" t="s">
        <v>16218</v>
      </c>
      <c r="F5787" t="s">
        <v>16221</v>
      </c>
      <c r="G5787" t="s">
        <v>16241</v>
      </c>
      <c r="H5787" t="s">
        <v>16241</v>
      </c>
      <c r="I5787" t="s">
        <v>16355</v>
      </c>
      <c r="J5787" t="s">
        <v>16385</v>
      </c>
      <c r="K5787">
        <v>0.146</v>
      </c>
      <c r="L5787">
        <v>6350</v>
      </c>
      <c r="M5787">
        <v>1452</v>
      </c>
      <c r="N5787" t="s">
        <v>16393</v>
      </c>
      <c r="O5787" s="4">
        <v>38692</v>
      </c>
      <c r="P5787" s="4">
        <v>77563</v>
      </c>
      <c r="Q5787" s="4">
        <v>116255</v>
      </c>
      <c r="R5787" s="4">
        <v>348765</v>
      </c>
      <c r="S5787" t="s">
        <v>22048</v>
      </c>
      <c r="T5787" s="6">
        <v>40238</v>
      </c>
      <c r="U5787" s="4">
        <v>188000</v>
      </c>
      <c r="V5787" t="s">
        <v>23739</v>
      </c>
      <c r="W5787" t="s">
        <v>26961</v>
      </c>
      <c r="X5787" t="s">
        <v>3</v>
      </c>
      <c r="AA5787" s="5" t="str">
        <f>HYPERLINK("https://www.zillow.com/homes/1211-W-BRYN-MAWR-AVE-ROSELLE-IL-60172_rb/","check listing")</f>
        <v>check listing</v>
      </c>
      <c r="AB5787" s="5" t="str">
        <f>HYPERLINK("https://propertylookup.dupagecounty.gov/Datalets/Datalet.aspx?UseSearch=no&amp;mode=sales&amp;pin=0208214002","sales record")</f>
        <v>sales record</v>
      </c>
      <c r="AC5787" t="s">
        <v>3</v>
      </c>
      <c r="AD5787">
        <v>41.971905</v>
      </c>
      <c r="AE5787">
        <v>-88.110767</v>
      </c>
      <c r="AF5787" s="5" t="str">
        <f>HYPERLINK("https://www.google.com/maps/search/?api=1&amp;query=41.971905,-88.110767","map")</f>
        <v>map</v>
      </c>
    </row>
    <row r="5788" spans="1:32">
      <c r="A5788" t="s">
        <v>5838</v>
      </c>
      <c r="B5788" t="s">
        <v>13363</v>
      </c>
      <c r="C5788" t="s">
        <v>15830</v>
      </c>
      <c r="D5788" t="s">
        <v>16207</v>
      </c>
      <c r="E5788" t="s">
        <v>16218</v>
      </c>
      <c r="F5788" t="s">
        <v>16221</v>
      </c>
      <c r="G5788" t="s">
        <v>16241</v>
      </c>
      <c r="H5788" t="s">
        <v>16241</v>
      </c>
      <c r="I5788" t="s">
        <v>16355</v>
      </c>
      <c r="J5788" t="s">
        <v>16385</v>
      </c>
      <c r="K5788">
        <v>0.146</v>
      </c>
      <c r="L5788">
        <v>6342</v>
      </c>
      <c r="M5788">
        <v>1964</v>
      </c>
      <c r="N5788" t="s">
        <v>16393</v>
      </c>
      <c r="O5788" s="4">
        <v>38692</v>
      </c>
      <c r="P5788" s="4">
        <v>83851</v>
      </c>
      <c r="Q5788" s="4">
        <v>122543</v>
      </c>
      <c r="R5788" s="4">
        <v>367629</v>
      </c>
      <c r="S5788" t="s">
        <v>22049</v>
      </c>
      <c r="T5788" s="6">
        <v>31533</v>
      </c>
      <c r="U5788" s="4">
        <v>90500</v>
      </c>
      <c r="X5788" t="s">
        <v>3</v>
      </c>
      <c r="AA5788" s="5" t="str">
        <f>HYPERLINK("https://www.zillow.com/homes/535-RADNOR-DR-ROSELLE-IL-60172_rb/","check listing")</f>
        <v>check listing</v>
      </c>
      <c r="AB5788" s="5" t="str">
        <f>HYPERLINK("https://propertylookup.dupagecounty.gov/Datalets/Datalet.aspx?UseSearch=no&amp;mode=sales&amp;pin=0209110030","sales record")</f>
        <v>sales record</v>
      </c>
      <c r="AC5788" t="s">
        <v>3</v>
      </c>
      <c r="AD5788">
        <v>41.972865</v>
      </c>
      <c r="AE5788">
        <v>-88.105559</v>
      </c>
      <c r="AF5788" s="5" t="str">
        <f>HYPERLINK("https://www.google.com/maps/search/?api=1&amp;query=41.972865,-88.105559","map")</f>
        <v>map</v>
      </c>
    </row>
    <row r="5789" spans="1:32">
      <c r="A5789" t="s">
        <v>5839</v>
      </c>
      <c r="B5789" t="s">
        <v>13364</v>
      </c>
      <c r="C5789" t="s">
        <v>15830</v>
      </c>
      <c r="D5789" t="s">
        <v>16207</v>
      </c>
      <c r="E5789" t="s">
        <v>16218</v>
      </c>
      <c r="F5789" t="s">
        <v>16221</v>
      </c>
      <c r="G5789" t="s">
        <v>16241</v>
      </c>
      <c r="H5789" t="s">
        <v>16241</v>
      </c>
      <c r="I5789" t="s">
        <v>16355</v>
      </c>
      <c r="J5789" t="s">
        <v>16385</v>
      </c>
      <c r="K5789">
        <v>0.146</v>
      </c>
      <c r="L5789">
        <v>6340</v>
      </c>
      <c r="M5789">
        <v>2142</v>
      </c>
      <c r="N5789" t="s">
        <v>16393</v>
      </c>
      <c r="O5789" s="4">
        <v>38692</v>
      </c>
      <c r="P5789" s="4">
        <v>84197</v>
      </c>
      <c r="Q5789" s="4">
        <v>122889</v>
      </c>
      <c r="R5789" s="4">
        <v>368667</v>
      </c>
      <c r="S5789" t="s">
        <v>22050</v>
      </c>
      <c r="T5789" s="6">
        <v>31625</v>
      </c>
      <c r="U5789" s="4">
        <v>102900</v>
      </c>
      <c r="X5789" t="s">
        <v>3</v>
      </c>
      <c r="AA5789" s="5" t="str">
        <f>HYPERLINK("https://www.zillow.com/homes/1014-WOODSIDE-DR-ROSELLE-IL-60172_rb/","check listing")</f>
        <v>check listing</v>
      </c>
      <c r="AB5789" s="5" t="str">
        <f>HYPERLINK("https://propertylookup.dupagecounty.gov/Datalets/Datalet.aspx?UseSearch=no&amp;mode=sales&amp;pin=0209304009","sales record")</f>
        <v>sales record</v>
      </c>
      <c r="AC5789" t="s">
        <v>3</v>
      </c>
      <c r="AD5789">
        <v>41.967783</v>
      </c>
      <c r="AE5789">
        <v>-88.106003</v>
      </c>
      <c r="AF5789" s="5" t="str">
        <f>HYPERLINK("https://www.google.com/maps/search/?api=1&amp;query=41.967783,-88.106003","map")</f>
        <v>map</v>
      </c>
    </row>
    <row r="5790" spans="1:32">
      <c r="A5790" t="s">
        <v>5840</v>
      </c>
      <c r="B5790" t="s">
        <v>13365</v>
      </c>
      <c r="C5790" t="s">
        <v>15830</v>
      </c>
      <c r="D5790" t="s">
        <v>16207</v>
      </c>
      <c r="E5790" t="s">
        <v>16218</v>
      </c>
      <c r="F5790" t="s">
        <v>16221</v>
      </c>
      <c r="G5790" t="s">
        <v>16241</v>
      </c>
      <c r="H5790" t="s">
        <v>16241</v>
      </c>
      <c r="I5790" t="s">
        <v>16355</v>
      </c>
      <c r="J5790" t="s">
        <v>16385</v>
      </c>
      <c r="K5790">
        <v>0.146</v>
      </c>
      <c r="L5790">
        <v>6339</v>
      </c>
      <c r="M5790">
        <v>1814</v>
      </c>
      <c r="N5790" t="s">
        <v>16393</v>
      </c>
      <c r="O5790" s="4">
        <v>38692</v>
      </c>
      <c r="P5790" s="4">
        <v>52988</v>
      </c>
      <c r="Q5790" s="4">
        <v>91680</v>
      </c>
      <c r="R5790" s="4">
        <v>275040</v>
      </c>
      <c r="S5790" t="s">
        <v>22051</v>
      </c>
      <c r="T5790" s="6">
        <v>42948</v>
      </c>
      <c r="U5790" s="4">
        <v>193500</v>
      </c>
      <c r="V5790" t="s">
        <v>23739</v>
      </c>
      <c r="W5790" t="s">
        <v>26962</v>
      </c>
      <c r="X5790" t="s">
        <v>3</v>
      </c>
      <c r="AA5790" s="5" t="str">
        <f>HYPERLINK("https://www.zillow.com/homes/1201-W-BRYN-MAWR-AVE-ROSELLE-IL-60172_rb/","check listing")</f>
        <v>check listing</v>
      </c>
      <c r="AB5790" s="5" t="str">
        <f>HYPERLINK("https://propertylookup.dupagecounty.gov/Datalets/Datalet.aspx?UseSearch=no&amp;mode=sales&amp;pin=0208214001","sales record")</f>
        <v>sales record</v>
      </c>
      <c r="AC5790" t="s">
        <v>3</v>
      </c>
      <c r="AD5790">
        <v>41.971983</v>
      </c>
      <c r="AE5790">
        <v>-88.11058800000001</v>
      </c>
      <c r="AF5790" s="5" t="str">
        <f>HYPERLINK("https://www.google.com/maps/search/?api=1&amp;query=41.971983,-88.110588","map")</f>
        <v>map</v>
      </c>
    </row>
    <row r="5791" spans="1:32">
      <c r="A5791" t="s">
        <v>5841</v>
      </c>
      <c r="B5791" t="s">
        <v>13366</v>
      </c>
      <c r="C5791" t="s">
        <v>15943</v>
      </c>
      <c r="D5791" t="s">
        <v>16207</v>
      </c>
      <c r="E5791" t="s">
        <v>16218</v>
      </c>
      <c r="F5791" t="s">
        <v>16221</v>
      </c>
      <c r="G5791" t="s">
        <v>16241</v>
      </c>
      <c r="H5791" t="s">
        <v>16241</v>
      </c>
      <c r="I5791" t="s">
        <v>16355</v>
      </c>
      <c r="J5791" t="s">
        <v>16385</v>
      </c>
      <c r="K5791">
        <v>0.145</v>
      </c>
      <c r="L5791">
        <v>6334</v>
      </c>
      <c r="M5791">
        <v>1716</v>
      </c>
      <c r="N5791" t="s">
        <v>16393</v>
      </c>
      <c r="O5791" s="4">
        <v>38692</v>
      </c>
      <c r="P5791" s="4">
        <v>69641</v>
      </c>
      <c r="Q5791" s="4">
        <v>108333</v>
      </c>
      <c r="R5791" s="4">
        <v>324999</v>
      </c>
      <c r="S5791" t="s">
        <v>22052</v>
      </c>
      <c r="T5791" s="6">
        <v>45337</v>
      </c>
      <c r="U5791" s="4">
        <v>325000</v>
      </c>
      <c r="V5791" t="s">
        <v>23739</v>
      </c>
      <c r="W5791" t="s">
        <v>26963</v>
      </c>
      <c r="X5791" t="s">
        <v>3</v>
      </c>
      <c r="AA5791" s="5" t="str">
        <f>HYPERLINK("https://www.zillow.com/homes/624-STAFFORD-DR-ROSELLE-IL-601722751_rb/","check listing")</f>
        <v>check listing</v>
      </c>
      <c r="AB5791" s="5" t="str">
        <f>HYPERLINK("https://propertylookup.dupagecounty.gov/Datalets/Datalet.aspx?UseSearch=no&amp;mode=sales&amp;pin=0209119026","sales record")</f>
        <v>sales record</v>
      </c>
      <c r="AC5791" t="s">
        <v>3</v>
      </c>
      <c r="AD5791">
        <v>41.9717</v>
      </c>
      <c r="AE5791">
        <v>-88.109425</v>
      </c>
      <c r="AF5791" s="5" t="str">
        <f>HYPERLINK("https://www.google.com/maps/search/?api=1&amp;query=41.9717,-88.109425","map")</f>
        <v>map</v>
      </c>
    </row>
    <row r="5792" spans="1:32">
      <c r="A5792" t="s">
        <v>5842</v>
      </c>
      <c r="B5792" t="s">
        <v>13367</v>
      </c>
      <c r="C5792" t="s">
        <v>15889</v>
      </c>
      <c r="D5792" t="s">
        <v>16207</v>
      </c>
      <c r="E5792" t="s">
        <v>16218</v>
      </c>
      <c r="F5792" t="s">
        <v>16221</v>
      </c>
      <c r="G5792" t="s">
        <v>16241</v>
      </c>
      <c r="H5792" t="s">
        <v>16241</v>
      </c>
      <c r="I5792" t="s">
        <v>16355</v>
      </c>
      <c r="J5792" t="s">
        <v>16385</v>
      </c>
      <c r="K5792">
        <v>0.145</v>
      </c>
      <c r="L5792">
        <v>6334</v>
      </c>
      <c r="M5792">
        <v>1493</v>
      </c>
      <c r="N5792" t="s">
        <v>16393</v>
      </c>
      <c r="O5792" s="4">
        <v>38692</v>
      </c>
      <c r="P5792" s="4">
        <v>77599</v>
      </c>
      <c r="Q5792" s="4">
        <v>116291</v>
      </c>
      <c r="R5792" s="4">
        <v>348873</v>
      </c>
      <c r="S5792" t="s">
        <v>22053</v>
      </c>
      <c r="T5792" s="6">
        <v>42826</v>
      </c>
      <c r="U5792" s="4">
        <v>270000</v>
      </c>
      <c r="V5792" t="s">
        <v>23739</v>
      </c>
      <c r="W5792" t="s">
        <v>26964</v>
      </c>
      <c r="X5792" t="s">
        <v>3</v>
      </c>
      <c r="AA5792" s="5" t="str">
        <f>HYPERLINK("https://www.zillow.com/homes/1155-DARBY-LN-ROSELLE-IL-601721721_rb/","check listing")</f>
        <v>check listing</v>
      </c>
      <c r="AB5792" s="5" t="str">
        <f>HYPERLINK("https://propertylookup.dupagecounty.gov/Datalets/Datalet.aspx?UseSearch=no&amp;mode=sales&amp;pin=0204309071","sales record")</f>
        <v>sales record</v>
      </c>
      <c r="AC5792" t="s">
        <v>3</v>
      </c>
      <c r="AD5792">
        <v>41.977783</v>
      </c>
      <c r="AE5792">
        <v>-88.109312</v>
      </c>
      <c r="AF5792" s="5" t="str">
        <f>HYPERLINK("https://www.google.com/maps/search/?api=1&amp;query=41.977783,-88.109312","map")</f>
        <v>map</v>
      </c>
    </row>
    <row r="5793" spans="1:32">
      <c r="A5793" t="s">
        <v>5843</v>
      </c>
      <c r="B5793" t="s">
        <v>13368</v>
      </c>
      <c r="C5793" t="s">
        <v>15830</v>
      </c>
      <c r="D5793" t="s">
        <v>16207</v>
      </c>
      <c r="E5793" t="s">
        <v>16218</v>
      </c>
      <c r="F5793" t="s">
        <v>16221</v>
      </c>
      <c r="G5793" t="s">
        <v>16241</v>
      </c>
      <c r="H5793" t="s">
        <v>16241</v>
      </c>
      <c r="I5793" t="s">
        <v>16355</v>
      </c>
      <c r="J5793" t="s">
        <v>16385</v>
      </c>
      <c r="K5793">
        <v>0.145</v>
      </c>
      <c r="L5793">
        <v>6317</v>
      </c>
      <c r="M5793">
        <v>1814</v>
      </c>
      <c r="N5793" t="s">
        <v>16393</v>
      </c>
      <c r="O5793" s="4">
        <v>38692</v>
      </c>
      <c r="P5793" s="4">
        <v>80097</v>
      </c>
      <c r="Q5793" s="4">
        <v>118789</v>
      </c>
      <c r="R5793" s="4">
        <v>356367</v>
      </c>
      <c r="S5793" t="s">
        <v>22054</v>
      </c>
      <c r="T5793" s="6">
        <v>39845</v>
      </c>
      <c r="U5793" s="4">
        <v>270000</v>
      </c>
      <c r="V5793" t="s">
        <v>23739</v>
      </c>
      <c r="W5793" t="s">
        <v>22054</v>
      </c>
      <c r="X5793" t="s">
        <v>3</v>
      </c>
      <c r="AA5793" s="5" t="str">
        <f>HYPERLINK("https://www.zillow.com/homes/790-WOODSIDE-DR-ROSELLE-IL-60172_rb/","check listing")</f>
        <v>check listing</v>
      </c>
      <c r="AB5793" s="5" t="str">
        <f>HYPERLINK("https://propertylookup.dupagecounty.gov/Datalets/Datalet.aspx?UseSearch=no&amp;mode=sales&amp;pin=0209118019","sales record")</f>
        <v>sales record</v>
      </c>
      <c r="AC5793" t="s">
        <v>3</v>
      </c>
      <c r="AD5793">
        <v>41.968371</v>
      </c>
      <c r="AE5793">
        <v>-88.105101</v>
      </c>
      <c r="AF5793" s="5" t="str">
        <f>HYPERLINK("https://www.google.com/maps/search/?api=1&amp;query=41.968371,-88.105101","map")</f>
        <v>map</v>
      </c>
    </row>
    <row r="5794" spans="1:32">
      <c r="A5794" t="s">
        <v>5844</v>
      </c>
      <c r="B5794" t="s">
        <v>13369</v>
      </c>
      <c r="C5794" t="s">
        <v>15830</v>
      </c>
      <c r="D5794" t="s">
        <v>16207</v>
      </c>
      <c r="E5794" t="s">
        <v>16218</v>
      </c>
      <c r="F5794" t="s">
        <v>16221</v>
      </c>
      <c r="G5794" t="s">
        <v>16241</v>
      </c>
      <c r="H5794" t="s">
        <v>16241</v>
      </c>
      <c r="I5794" t="s">
        <v>16355</v>
      </c>
      <c r="J5794" t="s">
        <v>16385</v>
      </c>
      <c r="K5794">
        <v>0.145</v>
      </c>
      <c r="L5794">
        <v>6314</v>
      </c>
      <c r="M5794">
        <v>1712</v>
      </c>
      <c r="N5794" t="s">
        <v>16393</v>
      </c>
      <c r="O5794" s="4">
        <v>38692</v>
      </c>
      <c r="P5794" s="4">
        <v>75758</v>
      </c>
      <c r="Q5794" s="4">
        <v>114450</v>
      </c>
      <c r="R5794" s="4">
        <v>343350</v>
      </c>
      <c r="S5794" t="s">
        <v>22055</v>
      </c>
      <c r="T5794" s="6">
        <v>31503</v>
      </c>
      <c r="U5794" s="4">
        <v>72000</v>
      </c>
      <c r="X5794" t="s">
        <v>3</v>
      </c>
      <c r="AA5794" s="5" t="str">
        <f>HYPERLINK("https://www.zillow.com/homes/475-OXFORD-PL-ROSELLE-IL-60172_rb/","check listing")</f>
        <v>check listing</v>
      </c>
      <c r="AB5794" s="5" t="str">
        <f>HYPERLINK("https://propertylookup.dupagecounty.gov/Datalets/Datalet.aspx?UseSearch=no&amp;mode=sales&amp;pin=0209107010","sales record")</f>
        <v>sales record</v>
      </c>
      <c r="AC5794" t="s">
        <v>3</v>
      </c>
      <c r="AD5794">
        <v>41.974097</v>
      </c>
      <c r="AE5794">
        <v>-88.10900599999999</v>
      </c>
      <c r="AF5794" s="5" t="str">
        <f>HYPERLINK("https://www.google.com/maps/search/?api=1&amp;query=41.974097,-88.109006","map")</f>
        <v>map</v>
      </c>
    </row>
    <row r="5795" spans="1:32">
      <c r="A5795" t="s">
        <v>5845</v>
      </c>
      <c r="B5795" t="s">
        <v>13370</v>
      </c>
      <c r="C5795" t="s">
        <v>15942</v>
      </c>
      <c r="D5795" t="s">
        <v>16207</v>
      </c>
      <c r="E5795" t="s">
        <v>16218</v>
      </c>
      <c r="F5795" t="s">
        <v>16221</v>
      </c>
      <c r="G5795" t="s">
        <v>16241</v>
      </c>
      <c r="H5795" t="s">
        <v>16241</v>
      </c>
      <c r="I5795" t="s">
        <v>16355</v>
      </c>
      <c r="J5795" t="s">
        <v>16385</v>
      </c>
      <c r="K5795">
        <v>0.145</v>
      </c>
      <c r="L5795">
        <v>6311</v>
      </c>
      <c r="M5795">
        <v>1593</v>
      </c>
      <c r="N5795" t="s">
        <v>16393</v>
      </c>
      <c r="O5795" s="4">
        <v>38692</v>
      </c>
      <c r="P5795" s="4">
        <v>77599</v>
      </c>
      <c r="Q5795" s="4">
        <v>116291</v>
      </c>
      <c r="R5795" s="4">
        <v>348873</v>
      </c>
      <c r="S5795" t="s">
        <v>22056</v>
      </c>
      <c r="T5795" s="6">
        <v>44409</v>
      </c>
      <c r="U5795" s="4">
        <v>338000</v>
      </c>
      <c r="V5795" t="s">
        <v>23739</v>
      </c>
      <c r="W5795" t="s">
        <v>26965</v>
      </c>
      <c r="X5795" t="s">
        <v>3</v>
      </c>
      <c r="AA5795" s="5" t="str">
        <f>HYPERLINK("https://www.zillow.com/homes/1109-SINGLETON-DR-ROSELLE-IL-601721728_rb/","check listing")</f>
        <v>check listing</v>
      </c>
      <c r="AB5795" s="5" t="str">
        <f>HYPERLINK("https://propertylookup.dupagecounty.gov/Datalets/Datalet.aspx?UseSearch=no&amp;mode=sales&amp;pin=0204309063","sales record")</f>
        <v>sales record</v>
      </c>
      <c r="AC5795" t="s">
        <v>3</v>
      </c>
      <c r="AD5795">
        <v>41.978859</v>
      </c>
      <c r="AE5795">
        <v>-88.1083</v>
      </c>
      <c r="AF5795" s="5" t="str">
        <f>HYPERLINK("https://www.google.com/maps/search/?api=1&amp;query=41.978859,-88.1083","map")</f>
        <v>map</v>
      </c>
    </row>
    <row r="5796" spans="1:32">
      <c r="A5796" t="s">
        <v>5846</v>
      </c>
      <c r="B5796" t="s">
        <v>13371</v>
      </c>
      <c r="C5796" t="s">
        <v>15940</v>
      </c>
      <c r="D5796" t="s">
        <v>16207</v>
      </c>
      <c r="E5796" t="s">
        <v>16218</v>
      </c>
      <c r="F5796" t="s">
        <v>16221</v>
      </c>
      <c r="G5796" t="s">
        <v>16241</v>
      </c>
      <c r="H5796" t="s">
        <v>16241</v>
      </c>
      <c r="I5796" t="s">
        <v>16355</v>
      </c>
      <c r="J5796" t="s">
        <v>16385</v>
      </c>
      <c r="K5796">
        <v>0.145</v>
      </c>
      <c r="L5796">
        <v>6306</v>
      </c>
      <c r="M5796">
        <v>1979</v>
      </c>
      <c r="N5796" t="s">
        <v>16393</v>
      </c>
      <c r="O5796" s="4">
        <v>38692</v>
      </c>
      <c r="P5796" s="4">
        <v>80097</v>
      </c>
      <c r="Q5796" s="4">
        <v>118789</v>
      </c>
      <c r="R5796" s="4">
        <v>356367</v>
      </c>
      <c r="S5796" t="s">
        <v>22057</v>
      </c>
      <c r="T5796" s="6">
        <v>44348</v>
      </c>
      <c r="U5796" s="4">
        <v>380000</v>
      </c>
      <c r="V5796" t="s">
        <v>23739</v>
      </c>
      <c r="W5796" t="s">
        <v>26966</v>
      </c>
      <c r="X5796" t="s">
        <v>3</v>
      </c>
      <c r="AA5796" s="5" t="str">
        <f>HYPERLINK("https://www.zillow.com/homes/589-KINGSTON-CT-ROSELLE-IL-601722661_rb/","check listing")</f>
        <v>check listing</v>
      </c>
      <c r="AB5796" s="5" t="str">
        <f>HYPERLINK("https://propertylookup.dupagecounty.gov/Datalets/Datalet.aspx?UseSearch=no&amp;mode=sales&amp;pin=0209119011","sales record")</f>
        <v>sales record</v>
      </c>
      <c r="AC5796" t="s">
        <v>3</v>
      </c>
      <c r="AD5796">
        <v>41.972107</v>
      </c>
      <c r="AE5796">
        <v>-88.10879300000001</v>
      </c>
      <c r="AF5796" s="5" t="str">
        <f>HYPERLINK("https://www.google.com/maps/search/?api=1&amp;query=41.972107,-88.108793","map")</f>
        <v>map</v>
      </c>
    </row>
    <row r="5797" spans="1:32">
      <c r="A5797" t="s">
        <v>5847</v>
      </c>
      <c r="B5797" t="s">
        <v>13372</v>
      </c>
      <c r="C5797" t="s">
        <v>15830</v>
      </c>
      <c r="D5797" t="s">
        <v>16207</v>
      </c>
      <c r="E5797" t="s">
        <v>16218</v>
      </c>
      <c r="F5797" t="s">
        <v>16221</v>
      </c>
      <c r="G5797" t="s">
        <v>16241</v>
      </c>
      <c r="H5797" t="s">
        <v>16241</v>
      </c>
      <c r="I5797" t="s">
        <v>16355</v>
      </c>
      <c r="J5797" t="s">
        <v>16385</v>
      </c>
      <c r="K5797">
        <v>0.145</v>
      </c>
      <c r="L5797">
        <v>6306</v>
      </c>
      <c r="M5797">
        <v>1814</v>
      </c>
      <c r="N5797" t="s">
        <v>16393</v>
      </c>
      <c r="O5797" s="4">
        <v>38692</v>
      </c>
      <c r="P5797" s="4">
        <v>80097</v>
      </c>
      <c r="Q5797" s="4">
        <v>118789</v>
      </c>
      <c r="R5797" s="4">
        <v>356367</v>
      </c>
      <c r="S5797" t="s">
        <v>22058</v>
      </c>
      <c r="T5797" s="6">
        <v>31625</v>
      </c>
      <c r="U5797" s="4">
        <v>88500</v>
      </c>
      <c r="X5797" t="s">
        <v>3</v>
      </c>
      <c r="AA5797" s="5" t="str">
        <f>HYPERLINK("https://www.zillow.com/homes/875-STONEFIELD-PL-ROSELLE-IL-60172_rb/","check listing")</f>
        <v>check listing</v>
      </c>
      <c r="AB5797" s="5" t="str">
        <f>HYPERLINK("https://propertylookup.dupagecounty.gov/Datalets/Datalet.aspx?UseSearch=no&amp;mode=sales&amp;pin=0209102011","sales record")</f>
        <v>sales record</v>
      </c>
      <c r="AC5797" t="s">
        <v>3</v>
      </c>
      <c r="AD5797">
        <v>41.972025</v>
      </c>
      <c r="AE5797">
        <v>-88.102266</v>
      </c>
      <c r="AF5797" s="5" t="str">
        <f>HYPERLINK("https://www.google.com/maps/search/?api=1&amp;query=41.972025,-88.102266","map")</f>
        <v>map</v>
      </c>
    </row>
    <row r="5798" spans="1:32">
      <c r="A5798" t="s">
        <v>5848</v>
      </c>
      <c r="B5798" t="s">
        <v>13373</v>
      </c>
      <c r="C5798" t="s">
        <v>15830</v>
      </c>
      <c r="D5798" t="s">
        <v>16207</v>
      </c>
      <c r="E5798" t="s">
        <v>16218</v>
      </c>
      <c r="F5798" t="s">
        <v>16221</v>
      </c>
      <c r="G5798" t="s">
        <v>16241</v>
      </c>
      <c r="H5798" t="s">
        <v>16241</v>
      </c>
      <c r="I5798" t="s">
        <v>16355</v>
      </c>
      <c r="J5798" t="s">
        <v>16385</v>
      </c>
      <c r="K5798">
        <v>0.145</v>
      </c>
      <c r="L5798">
        <v>6303</v>
      </c>
      <c r="M5798">
        <v>1584</v>
      </c>
      <c r="N5798" t="s">
        <v>16393</v>
      </c>
      <c r="O5798" s="4">
        <v>38692</v>
      </c>
      <c r="P5798" s="4">
        <v>77599</v>
      </c>
      <c r="Q5798" s="4">
        <v>116291</v>
      </c>
      <c r="R5798" s="4">
        <v>348873</v>
      </c>
      <c r="S5798" t="s">
        <v>22059</v>
      </c>
      <c r="X5798" t="s">
        <v>3</v>
      </c>
      <c r="AA5798" s="5" t="str">
        <f>HYPERLINK("https://www.zillow.com/homes/485-GLENMORE-PL-ROSELLE-IL-60172_rb/","check listing")</f>
        <v>check listing</v>
      </c>
      <c r="AB5798" s="5" t="str">
        <f>HYPERLINK("https://propertylookup.dupagecounty.gov/Datalets/Datalet.aspx?UseSearch=no&amp;mode=sales&amp;pin=0209109002","sales record")</f>
        <v>sales record</v>
      </c>
      <c r="AC5798" t="s">
        <v>3</v>
      </c>
      <c r="AD5798">
        <v>41.973671</v>
      </c>
      <c r="AE5798">
        <v>-88.105107</v>
      </c>
      <c r="AF5798" s="5" t="str">
        <f>HYPERLINK("https://www.google.com/maps/search/?api=1&amp;query=41.973671,-88.105107","map")</f>
        <v>map</v>
      </c>
    </row>
    <row r="5799" spans="1:32">
      <c r="A5799" t="s">
        <v>5849</v>
      </c>
      <c r="B5799" t="s">
        <v>13374</v>
      </c>
      <c r="C5799" t="s">
        <v>15830</v>
      </c>
      <c r="D5799" t="s">
        <v>16207</v>
      </c>
      <c r="E5799" t="s">
        <v>16218</v>
      </c>
      <c r="F5799" t="s">
        <v>16221</v>
      </c>
      <c r="G5799" t="s">
        <v>16241</v>
      </c>
      <c r="H5799" t="s">
        <v>16241</v>
      </c>
      <c r="I5799" t="s">
        <v>16355</v>
      </c>
      <c r="J5799" t="s">
        <v>16385</v>
      </c>
      <c r="K5799">
        <v>0.144</v>
      </c>
      <c r="L5799">
        <v>6293</v>
      </c>
      <c r="M5799">
        <v>1268</v>
      </c>
      <c r="N5799" t="s">
        <v>16393</v>
      </c>
      <c r="O5799" s="4">
        <v>38692</v>
      </c>
      <c r="P5799" s="4">
        <v>80671</v>
      </c>
      <c r="Q5799" s="4">
        <v>119363</v>
      </c>
      <c r="R5799" s="4">
        <v>358089</v>
      </c>
      <c r="S5799" t="s">
        <v>22060</v>
      </c>
      <c r="T5799" s="6">
        <v>37530</v>
      </c>
      <c r="U5799" s="4">
        <v>204000</v>
      </c>
      <c r="V5799" t="s">
        <v>23739</v>
      </c>
      <c r="W5799" t="s">
        <v>26967</v>
      </c>
      <c r="X5799" t="s">
        <v>3</v>
      </c>
      <c r="AA5799" s="5" t="str">
        <f>HYPERLINK("https://www.zillow.com/homes/475-HAMPTON-LN-ROSELLE-IL-60172_rb/","check listing")</f>
        <v>check listing</v>
      </c>
      <c r="AB5799" s="5" t="str">
        <f>HYPERLINK("https://propertylookup.dupagecounty.gov/Datalets/Datalet.aspx?UseSearch=no&amp;mode=sales&amp;pin=0208208006","sales record")</f>
        <v>sales record</v>
      </c>
      <c r="AC5799" t="s">
        <v>3</v>
      </c>
      <c r="AD5799">
        <v>41.974047</v>
      </c>
      <c r="AE5799">
        <v>-88.110804</v>
      </c>
      <c r="AF5799" s="5" t="str">
        <f>HYPERLINK("https://www.google.com/maps/search/?api=1&amp;query=41.974047,-88.110804","map")</f>
        <v>map</v>
      </c>
    </row>
    <row r="5800" spans="1:32">
      <c r="A5800" t="s">
        <v>5850</v>
      </c>
      <c r="B5800" t="s">
        <v>13375</v>
      </c>
      <c r="C5800" t="s">
        <v>15830</v>
      </c>
      <c r="D5800" t="s">
        <v>16207</v>
      </c>
      <c r="E5800" t="s">
        <v>16218</v>
      </c>
      <c r="F5800" t="s">
        <v>16221</v>
      </c>
      <c r="G5800" t="s">
        <v>16241</v>
      </c>
      <c r="H5800" t="s">
        <v>16241</v>
      </c>
      <c r="I5800" t="s">
        <v>16355</v>
      </c>
      <c r="J5800" t="s">
        <v>16385</v>
      </c>
      <c r="K5800">
        <v>0.144</v>
      </c>
      <c r="L5800">
        <v>6288</v>
      </c>
      <c r="M5800">
        <v>1485</v>
      </c>
      <c r="N5800" t="s">
        <v>16393</v>
      </c>
      <c r="O5800" s="4">
        <v>38692</v>
      </c>
      <c r="P5800" s="4">
        <v>80097</v>
      </c>
      <c r="Q5800" s="4">
        <v>118789</v>
      </c>
      <c r="R5800" s="4">
        <v>356367</v>
      </c>
      <c r="S5800" t="s">
        <v>22061</v>
      </c>
      <c r="T5800" s="6">
        <v>36039</v>
      </c>
      <c r="U5800" s="4">
        <v>151900</v>
      </c>
      <c r="X5800" t="s">
        <v>3</v>
      </c>
      <c r="AA5800" s="5" t="str">
        <f>HYPERLINK("https://www.zillow.com/homes/655-RODENBURG-RD-ROSELLE-IL-60172_rb/","check listing")</f>
        <v>check listing</v>
      </c>
      <c r="AB5800" s="5" t="str">
        <f>HYPERLINK("https://propertylookup.dupagecounty.gov/Datalets/Datalet.aspx?UseSearch=no&amp;mode=sales&amp;pin=0209120011","sales record")</f>
        <v>sales record</v>
      </c>
      <c r="AC5800" t="s">
        <v>3</v>
      </c>
      <c r="AD5800">
        <v>41.971104</v>
      </c>
      <c r="AE5800">
        <v>-88.11031</v>
      </c>
      <c r="AF5800" s="5" t="str">
        <f>HYPERLINK("https://www.google.com/maps/search/?api=1&amp;query=41.971104,-88.11031","map")</f>
        <v>map</v>
      </c>
    </row>
    <row r="5801" spans="1:32">
      <c r="A5801" t="s">
        <v>5851</v>
      </c>
      <c r="B5801" t="s">
        <v>13376</v>
      </c>
      <c r="C5801" t="s">
        <v>15830</v>
      </c>
      <c r="D5801" t="s">
        <v>16207</v>
      </c>
      <c r="E5801" t="s">
        <v>16218</v>
      </c>
      <c r="F5801" t="s">
        <v>16221</v>
      </c>
      <c r="G5801" t="s">
        <v>16241</v>
      </c>
      <c r="H5801" t="s">
        <v>16241</v>
      </c>
      <c r="I5801" t="s">
        <v>16355</v>
      </c>
      <c r="J5801" t="s">
        <v>16385</v>
      </c>
      <c r="K5801">
        <v>0.144</v>
      </c>
      <c r="L5801">
        <v>6288</v>
      </c>
      <c r="M5801">
        <v>1633</v>
      </c>
      <c r="N5801" t="s">
        <v>16393</v>
      </c>
      <c r="O5801" s="4">
        <v>38692</v>
      </c>
      <c r="P5801" s="4">
        <v>77599</v>
      </c>
      <c r="Q5801" s="4">
        <v>116291</v>
      </c>
      <c r="R5801" s="4">
        <v>348873</v>
      </c>
      <c r="S5801" t="s">
        <v>22062</v>
      </c>
      <c r="T5801" s="6">
        <v>39234</v>
      </c>
      <c r="U5801" s="4">
        <v>262900</v>
      </c>
      <c r="V5801" t="s">
        <v>23739</v>
      </c>
      <c r="W5801" t="s">
        <v>22062</v>
      </c>
      <c r="X5801" t="s">
        <v>3</v>
      </c>
      <c r="AA5801" s="5" t="str">
        <f>HYPERLINK("https://www.zillow.com/homes/1171-W-BRYN-MAWR-AVE-ROSELLE-IL-60172_rb/","check listing")</f>
        <v>check listing</v>
      </c>
      <c r="AB5801" s="5" t="str">
        <f>HYPERLINK("https://propertylookup.dupagecounty.gov/Datalets/Datalet.aspx?UseSearch=no&amp;mode=sales&amp;pin=0209119003","sales record")</f>
        <v>sales record</v>
      </c>
      <c r="AC5801" t="s">
        <v>3</v>
      </c>
      <c r="AD5801">
        <v>41.972227</v>
      </c>
      <c r="AE5801">
        <v>-88.110062</v>
      </c>
      <c r="AF5801" s="5" t="str">
        <f>HYPERLINK("https://www.google.com/maps/search/?api=1&amp;query=41.972227,-88.110062","map")</f>
        <v>map</v>
      </c>
    </row>
    <row r="5802" spans="1:32">
      <c r="A5802" t="s">
        <v>5852</v>
      </c>
      <c r="B5802" t="s">
        <v>13377</v>
      </c>
      <c r="C5802" t="s">
        <v>15830</v>
      </c>
      <c r="D5802" t="s">
        <v>16207</v>
      </c>
      <c r="E5802" t="s">
        <v>16218</v>
      </c>
      <c r="F5802" t="s">
        <v>16221</v>
      </c>
      <c r="G5802" t="s">
        <v>16241</v>
      </c>
      <c r="H5802" t="s">
        <v>16241</v>
      </c>
      <c r="I5802" t="s">
        <v>16355</v>
      </c>
      <c r="J5802" t="s">
        <v>16385</v>
      </c>
      <c r="K5802">
        <v>0.144</v>
      </c>
      <c r="L5802">
        <v>6286</v>
      </c>
      <c r="M5802">
        <v>1697</v>
      </c>
      <c r="N5802" t="s">
        <v>16393</v>
      </c>
      <c r="O5802" s="4">
        <v>38692</v>
      </c>
      <c r="P5802" s="4">
        <v>81687</v>
      </c>
      <c r="Q5802" s="4">
        <v>120379</v>
      </c>
      <c r="R5802" s="4">
        <v>361137</v>
      </c>
      <c r="S5802" t="s">
        <v>22063</v>
      </c>
      <c r="T5802" s="6">
        <v>34516</v>
      </c>
      <c r="U5802" s="4">
        <v>138500</v>
      </c>
      <c r="X5802" t="s">
        <v>3</v>
      </c>
      <c r="AA5802" s="5" t="str">
        <f>HYPERLINK("https://www.zillow.com/homes/840-EDENWOOD-DR-ROSELLE-IL-60172_rb/","check listing")</f>
        <v>check listing</v>
      </c>
      <c r="AB5802" s="5" t="str">
        <f>HYPERLINK("https://propertylookup.dupagecounty.gov/Datalets/Datalet.aspx?UseSearch=no&amp;mode=sales&amp;pin=0209112017","sales record")</f>
        <v>sales record</v>
      </c>
      <c r="AC5802" t="s">
        <v>3</v>
      </c>
      <c r="AD5802">
        <v>41.973234</v>
      </c>
      <c r="AE5802">
        <v>-88.10180200000001</v>
      </c>
      <c r="AF5802" s="5" t="str">
        <f>HYPERLINK("https://www.google.com/maps/search/?api=1&amp;query=41.973234,-88.101802","map")</f>
        <v>map</v>
      </c>
    </row>
    <row r="5803" spans="1:32">
      <c r="A5803" t="s">
        <v>5853</v>
      </c>
      <c r="B5803" t="s">
        <v>13378</v>
      </c>
      <c r="C5803" t="s">
        <v>15830</v>
      </c>
      <c r="D5803" t="s">
        <v>16207</v>
      </c>
      <c r="E5803" t="s">
        <v>16218</v>
      </c>
      <c r="F5803" t="s">
        <v>16221</v>
      </c>
      <c r="G5803" t="s">
        <v>16241</v>
      </c>
      <c r="H5803" t="s">
        <v>16241</v>
      </c>
      <c r="I5803" t="s">
        <v>16355</v>
      </c>
      <c r="J5803" t="s">
        <v>16385</v>
      </c>
      <c r="K5803">
        <v>0.144</v>
      </c>
      <c r="L5803">
        <v>6285</v>
      </c>
      <c r="M5803">
        <v>1583</v>
      </c>
      <c r="N5803" t="s">
        <v>16393</v>
      </c>
      <c r="O5803" s="4">
        <v>38692</v>
      </c>
      <c r="P5803" s="4">
        <v>75101</v>
      </c>
      <c r="Q5803" s="4">
        <v>113793</v>
      </c>
      <c r="R5803" s="4">
        <v>341379</v>
      </c>
      <c r="S5803" t="s">
        <v>22064</v>
      </c>
      <c r="T5803" s="6">
        <v>43556</v>
      </c>
      <c r="U5803" s="4">
        <v>256000</v>
      </c>
      <c r="V5803" t="s">
        <v>23739</v>
      </c>
      <c r="W5803" t="s">
        <v>26968</v>
      </c>
      <c r="X5803" t="s">
        <v>3</v>
      </c>
      <c r="AA5803" s="5" t="str">
        <f>HYPERLINK("https://www.zillow.com/homes/703-RADNOR-DR-ROSELLE-IL-60172_rb/","check listing")</f>
        <v>check listing</v>
      </c>
      <c r="AB5803" s="5" t="str">
        <f>HYPERLINK("https://propertylookup.dupagecounty.gov/Datalets/Datalet.aspx?UseSearch=no&amp;mode=sales&amp;pin=0209110048","sales record")</f>
        <v>sales record</v>
      </c>
      <c r="AC5803" t="s">
        <v>3</v>
      </c>
      <c r="AD5803">
        <v>41.970152</v>
      </c>
      <c r="AE5803">
        <v>-88.106065</v>
      </c>
      <c r="AF5803" s="5" t="str">
        <f>HYPERLINK("https://www.google.com/maps/search/?api=1&amp;query=41.970152,-88.106065","map")</f>
        <v>map</v>
      </c>
    </row>
    <row r="5804" spans="1:32">
      <c r="A5804" t="s">
        <v>5854</v>
      </c>
      <c r="B5804" t="s">
        <v>13379</v>
      </c>
      <c r="C5804" t="s">
        <v>15918</v>
      </c>
      <c r="D5804" t="s">
        <v>16207</v>
      </c>
      <c r="E5804" t="s">
        <v>16218</v>
      </c>
      <c r="F5804" t="s">
        <v>16221</v>
      </c>
      <c r="G5804" t="s">
        <v>16241</v>
      </c>
      <c r="H5804" t="s">
        <v>16241</v>
      </c>
      <c r="I5804" t="s">
        <v>16355</v>
      </c>
      <c r="J5804" t="s">
        <v>16385</v>
      </c>
      <c r="K5804">
        <v>0.144</v>
      </c>
      <c r="L5804">
        <v>6284</v>
      </c>
      <c r="M5804">
        <v>1501</v>
      </c>
      <c r="N5804" t="s">
        <v>16393</v>
      </c>
      <c r="O5804" s="4">
        <v>45278</v>
      </c>
      <c r="P5804" s="4">
        <v>93258</v>
      </c>
      <c r="Q5804" s="4">
        <v>138536</v>
      </c>
      <c r="R5804" s="4">
        <v>415608</v>
      </c>
      <c r="S5804" t="s">
        <v>22065</v>
      </c>
      <c r="T5804" s="6">
        <v>44761</v>
      </c>
      <c r="U5804" s="4">
        <v>339000</v>
      </c>
      <c r="V5804" t="s">
        <v>23739</v>
      </c>
      <c r="W5804" t="s">
        <v>26969</v>
      </c>
      <c r="X5804" t="s">
        <v>3</v>
      </c>
      <c r="AA5804" s="5" t="str">
        <f>HYPERLINK("https://www.zillow.com/homes/1310-WATERBURY-LN-ROSELLE-IL-601722656_rb/","check listing")</f>
        <v>check listing</v>
      </c>
      <c r="AB5804" s="5" t="str">
        <f>HYPERLINK("https://propertylookup.dupagecounty.gov/Datalets/Datalet.aspx?UseSearch=no&amp;mode=sales&amp;pin=0205401050","sales record")</f>
        <v>sales record</v>
      </c>
      <c r="AC5804" t="s">
        <v>3</v>
      </c>
      <c r="AD5804">
        <v>41.975598</v>
      </c>
      <c r="AE5804">
        <v>-88.11424700000001</v>
      </c>
      <c r="AF5804" s="5" t="str">
        <f>HYPERLINK("https://www.google.com/maps/search/?api=1&amp;query=41.975598,-88.114247","map")</f>
        <v>map</v>
      </c>
    </row>
    <row r="5805" spans="1:32">
      <c r="A5805" t="s">
        <v>5855</v>
      </c>
      <c r="B5805" t="s">
        <v>13380</v>
      </c>
      <c r="C5805" t="s">
        <v>15944</v>
      </c>
      <c r="D5805" t="s">
        <v>16207</v>
      </c>
      <c r="E5805" t="s">
        <v>16218</v>
      </c>
      <c r="F5805" t="s">
        <v>16221</v>
      </c>
      <c r="G5805" t="s">
        <v>16241</v>
      </c>
      <c r="H5805" t="s">
        <v>16241</v>
      </c>
      <c r="I5805" t="s">
        <v>16355</v>
      </c>
      <c r="J5805" t="s">
        <v>16385</v>
      </c>
      <c r="K5805">
        <v>0.144</v>
      </c>
      <c r="L5805">
        <v>6280</v>
      </c>
      <c r="M5805">
        <v>1716</v>
      </c>
      <c r="N5805" t="s">
        <v>16393</v>
      </c>
      <c r="O5805" s="4">
        <v>38692</v>
      </c>
      <c r="P5805" s="4">
        <v>55546</v>
      </c>
      <c r="Q5805" s="4">
        <v>94238</v>
      </c>
      <c r="R5805" s="4">
        <v>282714</v>
      </c>
      <c r="S5805" t="s">
        <v>22066</v>
      </c>
      <c r="T5805" s="6">
        <v>44228</v>
      </c>
      <c r="U5805" s="4">
        <v>235000</v>
      </c>
      <c r="V5805" t="s">
        <v>23739</v>
      </c>
      <c r="W5805" t="s">
        <v>26970</v>
      </c>
      <c r="X5805" t="s">
        <v>3</v>
      </c>
      <c r="AA5805" s="5" t="str">
        <f>HYPERLINK("https://www.zillow.com/homes/713-BERWICK-PL-ROSELLE-IL-601722733_rb/","check listing")</f>
        <v>check listing</v>
      </c>
      <c r="AB5805" s="5" t="str">
        <f>HYPERLINK("https://propertylookup.dupagecounty.gov/Datalets/Datalet.aspx?UseSearch=no&amp;mode=sales&amp;pin=0208215007","sales record")</f>
        <v>sales record</v>
      </c>
      <c r="AC5805" t="s">
        <v>3</v>
      </c>
      <c r="AD5805">
        <v>41.969914</v>
      </c>
      <c r="AE5805">
        <v>-88.111199</v>
      </c>
      <c r="AF5805" s="5" t="str">
        <f>HYPERLINK("https://www.google.com/maps/search/?api=1&amp;query=41.969914,-88.111199","map")</f>
        <v>map</v>
      </c>
    </row>
    <row r="5806" spans="1:32">
      <c r="A5806" t="s">
        <v>5856</v>
      </c>
      <c r="B5806" t="s">
        <v>13381</v>
      </c>
      <c r="C5806" t="s">
        <v>15830</v>
      </c>
      <c r="D5806" t="s">
        <v>16207</v>
      </c>
      <c r="E5806" t="s">
        <v>16218</v>
      </c>
      <c r="F5806" t="s">
        <v>16221</v>
      </c>
      <c r="G5806" t="s">
        <v>16241</v>
      </c>
      <c r="H5806" t="s">
        <v>16241</v>
      </c>
      <c r="I5806" t="s">
        <v>16355</v>
      </c>
      <c r="J5806" t="s">
        <v>16385</v>
      </c>
      <c r="K5806">
        <v>0.144</v>
      </c>
      <c r="L5806">
        <v>6276</v>
      </c>
      <c r="M5806">
        <v>1563</v>
      </c>
      <c r="N5806" t="s">
        <v>16393</v>
      </c>
      <c r="O5806" s="4">
        <v>38692</v>
      </c>
      <c r="P5806" s="4">
        <v>79177</v>
      </c>
      <c r="Q5806" s="4">
        <v>117869</v>
      </c>
      <c r="R5806" s="4">
        <v>353607</v>
      </c>
      <c r="S5806" t="s">
        <v>22067</v>
      </c>
      <c r="T5806" s="6">
        <v>44981</v>
      </c>
      <c r="U5806" s="4">
        <v>290000</v>
      </c>
      <c r="V5806" t="s">
        <v>23739</v>
      </c>
      <c r="W5806" t="s">
        <v>26971</v>
      </c>
      <c r="X5806" t="s">
        <v>3</v>
      </c>
      <c r="AA5806" s="5" t="str">
        <f>HYPERLINK("https://www.zillow.com/homes/1185-DARBY-LN-ROSELLE-IL-60172_rb/","check listing")</f>
        <v>check listing</v>
      </c>
      <c r="AB5806" s="5" t="str">
        <f>HYPERLINK("https://propertylookup.dupagecounty.gov/Datalets/Datalet.aspx?UseSearch=no&amp;mode=sales&amp;pin=0204309068","sales record")</f>
        <v>sales record</v>
      </c>
      <c r="AC5806" t="s">
        <v>3</v>
      </c>
      <c r="AD5806">
        <v>41.977665</v>
      </c>
      <c r="AE5806">
        <v>-88.109899</v>
      </c>
      <c r="AF5806" s="5" t="str">
        <f>HYPERLINK("https://www.google.com/maps/search/?api=1&amp;query=41.977665,-88.109899","map")</f>
        <v>map</v>
      </c>
    </row>
    <row r="5807" spans="1:32">
      <c r="A5807" t="s">
        <v>5857</v>
      </c>
      <c r="B5807" t="s">
        <v>13382</v>
      </c>
      <c r="C5807" t="s">
        <v>15830</v>
      </c>
      <c r="D5807" t="s">
        <v>16207</v>
      </c>
      <c r="E5807" t="s">
        <v>16218</v>
      </c>
      <c r="F5807" t="s">
        <v>16221</v>
      </c>
      <c r="G5807" t="s">
        <v>16241</v>
      </c>
      <c r="H5807" t="s">
        <v>16241</v>
      </c>
      <c r="I5807" t="s">
        <v>16355</v>
      </c>
      <c r="J5807" t="s">
        <v>16385</v>
      </c>
      <c r="K5807">
        <v>0.144</v>
      </c>
      <c r="L5807">
        <v>6265</v>
      </c>
      <c r="M5807">
        <v>1697</v>
      </c>
      <c r="N5807" t="s">
        <v>16393</v>
      </c>
      <c r="O5807" s="4">
        <v>38692</v>
      </c>
      <c r="P5807" s="4">
        <v>77599</v>
      </c>
      <c r="Q5807" s="4">
        <v>116291</v>
      </c>
      <c r="R5807" s="4">
        <v>348873</v>
      </c>
      <c r="S5807" t="s">
        <v>22068</v>
      </c>
      <c r="T5807" s="6">
        <v>39052</v>
      </c>
      <c r="U5807" s="4">
        <v>253000</v>
      </c>
      <c r="V5807" t="s">
        <v>23739</v>
      </c>
      <c r="W5807" t="s">
        <v>22068</v>
      </c>
      <c r="X5807" t="s">
        <v>3</v>
      </c>
      <c r="AA5807" s="5" t="str">
        <f>HYPERLINK("https://www.zillow.com/homes/709-MIDDLETON-DR-ROSELLE-IL-60172_rb/","check listing")</f>
        <v>check listing</v>
      </c>
      <c r="AB5807" s="5" t="str">
        <f>HYPERLINK("https://propertylookup.dupagecounty.gov/Datalets/Datalet.aspx?UseSearch=no&amp;mode=sales&amp;pin=0209118001","sales record")</f>
        <v>sales record</v>
      </c>
      <c r="AC5807" t="s">
        <v>3</v>
      </c>
      <c r="AD5807">
        <v>41.969703</v>
      </c>
      <c r="AE5807">
        <v>-88.105208</v>
      </c>
      <c r="AF5807" s="5" t="str">
        <f>HYPERLINK("https://www.google.com/maps/search/?api=1&amp;query=41.969703,-88.105208","map")</f>
        <v>map</v>
      </c>
    </row>
    <row r="5808" spans="1:32">
      <c r="A5808" t="s">
        <v>5858</v>
      </c>
      <c r="B5808" t="s">
        <v>13383</v>
      </c>
      <c r="C5808" t="s">
        <v>15830</v>
      </c>
      <c r="D5808" t="s">
        <v>16207</v>
      </c>
      <c r="E5808" t="s">
        <v>16218</v>
      </c>
      <c r="F5808" t="s">
        <v>16221</v>
      </c>
      <c r="G5808" t="s">
        <v>16241</v>
      </c>
      <c r="H5808" t="s">
        <v>16241</v>
      </c>
      <c r="I5808" t="s">
        <v>16355</v>
      </c>
      <c r="J5808" t="s">
        <v>16385</v>
      </c>
      <c r="K5808">
        <v>0.144</v>
      </c>
      <c r="L5808">
        <v>6261</v>
      </c>
      <c r="M5808">
        <v>1583</v>
      </c>
      <c r="N5808" t="s">
        <v>16393</v>
      </c>
      <c r="O5808" s="4">
        <v>38692</v>
      </c>
      <c r="P5808" s="4">
        <v>78878</v>
      </c>
      <c r="Q5808" s="4">
        <v>117570</v>
      </c>
      <c r="R5808" s="4">
        <v>352710</v>
      </c>
      <c r="S5808" t="s">
        <v>22069</v>
      </c>
      <c r="T5808" s="6">
        <v>35278</v>
      </c>
      <c r="U5808" s="4">
        <v>137500</v>
      </c>
      <c r="X5808" t="s">
        <v>3</v>
      </c>
      <c r="AA5808" s="5" t="str">
        <f>HYPERLINK("https://www.zillow.com/homes/1170-DARBY-LN-ROSELLE-IL-60172_rb/","check listing")</f>
        <v>check listing</v>
      </c>
      <c r="AB5808" s="5" t="str">
        <f>HYPERLINK("https://propertylookup.dupagecounty.gov/Datalets/Datalet.aspx?UseSearch=no&amp;mode=sales&amp;pin=0204313018","sales record")</f>
        <v>sales record</v>
      </c>
      <c r="AC5808" t="s">
        <v>3</v>
      </c>
      <c r="AD5808">
        <v>41.978159</v>
      </c>
      <c r="AE5808">
        <v>-88.10968099999999</v>
      </c>
      <c r="AF5808" s="5" t="str">
        <f>HYPERLINK("https://www.google.com/maps/search/?api=1&amp;query=41.978159,-88.109681","map")</f>
        <v>map</v>
      </c>
    </row>
    <row r="5809" spans="1:32">
      <c r="A5809" t="s">
        <v>5859</v>
      </c>
      <c r="B5809" t="s">
        <v>13384</v>
      </c>
      <c r="C5809" t="s">
        <v>15944</v>
      </c>
      <c r="D5809" t="s">
        <v>16207</v>
      </c>
      <c r="E5809" t="s">
        <v>16218</v>
      </c>
      <c r="F5809" t="s">
        <v>16221</v>
      </c>
      <c r="G5809" t="s">
        <v>16241</v>
      </c>
      <c r="H5809" t="s">
        <v>16241</v>
      </c>
      <c r="I5809" t="s">
        <v>16355</v>
      </c>
      <c r="J5809" t="s">
        <v>16385</v>
      </c>
      <c r="K5809">
        <v>0.143</v>
      </c>
      <c r="L5809">
        <v>6245</v>
      </c>
      <c r="M5809">
        <v>1978</v>
      </c>
      <c r="N5809" t="s">
        <v>16393</v>
      </c>
      <c r="O5809" s="4">
        <v>38692</v>
      </c>
      <c r="P5809" s="4">
        <v>80097</v>
      </c>
      <c r="Q5809" s="4">
        <v>118789</v>
      </c>
      <c r="R5809" s="4">
        <v>356367</v>
      </c>
      <c r="S5809" t="s">
        <v>22070</v>
      </c>
      <c r="T5809" s="6">
        <v>45708</v>
      </c>
      <c r="U5809" s="4">
        <v>360000</v>
      </c>
      <c r="V5809" t="s">
        <v>23739</v>
      </c>
      <c r="W5809" t="s">
        <v>26972</v>
      </c>
      <c r="X5809" t="s">
        <v>3</v>
      </c>
      <c r="AA5809" s="5" t="str">
        <f>HYPERLINK("https://www.zillow.com/homes/717-BERWICK-PL-ROSELLE-IL-601722733_rb/","check listing")</f>
        <v>check listing</v>
      </c>
      <c r="AB5809" s="5" t="str">
        <f>HYPERLINK("https://propertylookup.dupagecounty.gov/Datalets/Datalet.aspx?UseSearch=no&amp;mode=sales&amp;pin=0208215008","sales record")</f>
        <v>sales record</v>
      </c>
      <c r="AC5809" t="s">
        <v>3</v>
      </c>
      <c r="AD5809">
        <v>41.969826</v>
      </c>
      <c r="AE5809">
        <v>-88.111012</v>
      </c>
      <c r="AF5809" s="5" t="str">
        <f>HYPERLINK("https://www.google.com/maps/search/?api=1&amp;query=41.969826,-88.111012","map")</f>
        <v>map</v>
      </c>
    </row>
    <row r="5810" spans="1:32">
      <c r="A5810" t="s">
        <v>5860</v>
      </c>
      <c r="B5810" t="s">
        <v>13385</v>
      </c>
      <c r="C5810" t="s">
        <v>15830</v>
      </c>
      <c r="D5810" t="s">
        <v>16207</v>
      </c>
      <c r="E5810" t="s">
        <v>16218</v>
      </c>
      <c r="F5810" t="s">
        <v>16221</v>
      </c>
      <c r="G5810" t="s">
        <v>16241</v>
      </c>
      <c r="H5810" t="s">
        <v>16241</v>
      </c>
      <c r="I5810" t="s">
        <v>16355</v>
      </c>
      <c r="J5810" t="s">
        <v>16385</v>
      </c>
      <c r="K5810">
        <v>0.143</v>
      </c>
      <c r="L5810">
        <v>6240</v>
      </c>
      <c r="M5810">
        <v>1583</v>
      </c>
      <c r="N5810" t="s">
        <v>16393</v>
      </c>
      <c r="O5810" s="4">
        <v>45278</v>
      </c>
      <c r="P5810" s="4">
        <v>86815</v>
      </c>
      <c r="Q5810" s="4">
        <v>132093</v>
      </c>
      <c r="R5810" s="4">
        <v>396279</v>
      </c>
      <c r="S5810" t="s">
        <v>22071</v>
      </c>
      <c r="T5810" s="6">
        <v>42186</v>
      </c>
      <c r="U5810" s="4">
        <v>221219</v>
      </c>
      <c r="V5810" t="s">
        <v>16232</v>
      </c>
      <c r="W5810" t="s">
        <v>22071</v>
      </c>
      <c r="X5810" t="s">
        <v>3</v>
      </c>
      <c r="AA5810" s="5" t="str">
        <f>HYPERLINK("https://www.zillow.com/homes/370-CHATHAM-LN-ROSELLE-IL-60172_rb/","check listing")</f>
        <v>check listing</v>
      </c>
      <c r="AB5810" s="5" t="str">
        <f>HYPERLINK("https://propertylookup.dupagecounty.gov/Datalets/Datalet.aspx?UseSearch=no&amp;mode=sales&amp;pin=0205401045","sales record")</f>
        <v>sales record</v>
      </c>
      <c r="AC5810" t="s">
        <v>3</v>
      </c>
      <c r="AD5810">
        <v>41.975806</v>
      </c>
      <c r="AE5810">
        <v>-88.114009</v>
      </c>
      <c r="AF5810" s="5" t="str">
        <f>HYPERLINK("https://www.google.com/maps/search/?api=1&amp;query=41.975806,-88.114009","map")</f>
        <v>map</v>
      </c>
    </row>
    <row r="5811" spans="1:32">
      <c r="A5811" t="s">
        <v>5861</v>
      </c>
      <c r="B5811" t="s">
        <v>13386</v>
      </c>
      <c r="C5811" t="s">
        <v>15886</v>
      </c>
      <c r="D5811" t="s">
        <v>16207</v>
      </c>
      <c r="E5811" t="s">
        <v>16218</v>
      </c>
      <c r="F5811" t="s">
        <v>16221</v>
      </c>
      <c r="G5811" t="s">
        <v>16241</v>
      </c>
      <c r="H5811" t="s">
        <v>16241</v>
      </c>
      <c r="I5811" t="s">
        <v>16355</v>
      </c>
      <c r="J5811" t="s">
        <v>16385</v>
      </c>
      <c r="K5811">
        <v>0.143</v>
      </c>
      <c r="L5811">
        <v>6229</v>
      </c>
      <c r="M5811">
        <v>1583</v>
      </c>
      <c r="N5811" t="s">
        <v>16393</v>
      </c>
      <c r="O5811" s="4">
        <v>38692</v>
      </c>
      <c r="P5811" s="4">
        <v>75794</v>
      </c>
      <c r="Q5811" s="4">
        <v>114486</v>
      </c>
      <c r="R5811" s="4">
        <v>343458</v>
      </c>
      <c r="S5811" t="s">
        <v>22072</v>
      </c>
      <c r="T5811" s="6">
        <v>40513</v>
      </c>
      <c r="U5811" s="4">
        <v>190000</v>
      </c>
      <c r="V5811" t="s">
        <v>16232</v>
      </c>
      <c r="W5811" t="s">
        <v>26973</v>
      </c>
      <c r="X5811" t="s">
        <v>3</v>
      </c>
      <c r="AA5811" s="5" t="str">
        <f>HYPERLINK("https://www.zillow.com/homes/711-RADNOR-DR-ROSELLE-IL-601722744_rb/","check listing")</f>
        <v>check listing</v>
      </c>
      <c r="AB5811" s="5" t="str">
        <f>HYPERLINK("https://propertylookup.dupagecounty.gov/Datalets/Datalet.aspx?UseSearch=no&amp;mode=sales&amp;pin=0209110050","sales record")</f>
        <v>sales record</v>
      </c>
      <c r="AC5811" t="s">
        <v>3</v>
      </c>
      <c r="AD5811">
        <v>41.97008</v>
      </c>
      <c r="AE5811">
        <v>-88.10649100000001</v>
      </c>
      <c r="AF5811" s="5" t="str">
        <f>HYPERLINK("https://www.google.com/maps/search/?api=1&amp;query=41.97008,-88.106491","map")</f>
        <v>map</v>
      </c>
    </row>
    <row r="5812" spans="1:32">
      <c r="A5812" t="s">
        <v>5862</v>
      </c>
      <c r="B5812" t="s">
        <v>13387</v>
      </c>
      <c r="C5812" t="s">
        <v>15830</v>
      </c>
      <c r="D5812" t="s">
        <v>16207</v>
      </c>
      <c r="E5812" t="s">
        <v>16218</v>
      </c>
      <c r="F5812" t="s">
        <v>16221</v>
      </c>
      <c r="G5812" t="s">
        <v>16241</v>
      </c>
      <c r="H5812" t="s">
        <v>16241</v>
      </c>
      <c r="I5812" t="s">
        <v>16355</v>
      </c>
      <c r="J5812" t="s">
        <v>16385</v>
      </c>
      <c r="K5812">
        <v>0.143</v>
      </c>
      <c r="L5812">
        <v>6226</v>
      </c>
      <c r="M5812">
        <v>1940</v>
      </c>
      <c r="N5812" t="s">
        <v>16393</v>
      </c>
      <c r="O5812" s="4">
        <v>38692</v>
      </c>
      <c r="P5812" s="4">
        <v>78866</v>
      </c>
      <c r="Q5812" s="4">
        <v>117558</v>
      </c>
      <c r="R5812" s="4">
        <v>352674</v>
      </c>
      <c r="S5812" t="s">
        <v>22073</v>
      </c>
      <c r="T5812" s="6">
        <v>44762</v>
      </c>
      <c r="U5812" s="4">
        <v>325000</v>
      </c>
      <c r="V5812" t="s">
        <v>23739</v>
      </c>
      <c r="W5812" t="s">
        <v>26974</v>
      </c>
      <c r="X5812" t="s">
        <v>3</v>
      </c>
      <c r="AA5812" s="5" t="str">
        <f>HYPERLINK("https://www.zillow.com/homes/1130-SINGLETON-DR-ROSELLE-IL-60172_rb/","check listing")</f>
        <v>check listing</v>
      </c>
      <c r="AB5812" s="5" t="str">
        <f>HYPERLINK("https://propertylookup.dupagecounty.gov/Datalets/Datalet.aspx?UseSearch=no&amp;mode=sales&amp;pin=0204309058","sales record")</f>
        <v>sales record</v>
      </c>
      <c r="AC5812" t="s">
        <v>3</v>
      </c>
      <c r="AD5812">
        <v>41.979363</v>
      </c>
      <c r="AE5812">
        <v>-88.108906</v>
      </c>
      <c r="AF5812" s="5" t="str">
        <f>HYPERLINK("https://www.google.com/maps/search/?api=1&amp;query=41.979363,-88.108906","map")</f>
        <v>map</v>
      </c>
    </row>
    <row r="5813" spans="1:32">
      <c r="A5813" t="s">
        <v>5863</v>
      </c>
      <c r="B5813" t="s">
        <v>13388</v>
      </c>
      <c r="C5813" t="s">
        <v>15945</v>
      </c>
      <c r="D5813" t="s">
        <v>16207</v>
      </c>
      <c r="E5813" t="s">
        <v>16218</v>
      </c>
      <c r="F5813" t="s">
        <v>16221</v>
      </c>
      <c r="G5813" t="s">
        <v>16241</v>
      </c>
      <c r="H5813" t="s">
        <v>16241</v>
      </c>
      <c r="I5813" t="s">
        <v>16355</v>
      </c>
      <c r="J5813" t="s">
        <v>16385</v>
      </c>
      <c r="K5813">
        <v>0.143</v>
      </c>
      <c r="L5813">
        <v>6215</v>
      </c>
      <c r="M5813">
        <v>1562</v>
      </c>
      <c r="N5813" t="s">
        <v>16393</v>
      </c>
      <c r="O5813" s="4">
        <v>38692</v>
      </c>
      <c r="P5813" s="4">
        <v>55546</v>
      </c>
      <c r="Q5813" s="4">
        <v>94238</v>
      </c>
      <c r="R5813" s="4">
        <v>282714</v>
      </c>
      <c r="S5813" t="s">
        <v>22074</v>
      </c>
      <c r="T5813" s="6">
        <v>44501</v>
      </c>
      <c r="U5813" s="4">
        <v>245000</v>
      </c>
      <c r="V5813" t="s">
        <v>23740</v>
      </c>
      <c r="W5813" t="s">
        <v>26975</v>
      </c>
      <c r="X5813" t="s">
        <v>3</v>
      </c>
      <c r="AA5813" s="5" t="str">
        <f>HYPERLINK("https://www.zillow.com/homes/845-STONEFIELD-PL-ROSELLE-IL-601722834_rb/","check listing")</f>
        <v>check listing</v>
      </c>
      <c r="AB5813" s="5" t="str">
        <f>HYPERLINK("https://propertylookup.dupagecounty.gov/Datalets/Datalet.aspx?UseSearch=no&amp;mode=sales&amp;pin=0209102015","sales record")</f>
        <v>sales record</v>
      </c>
      <c r="AC5813" t="s">
        <v>3</v>
      </c>
      <c r="AD5813">
        <v>41.972052</v>
      </c>
      <c r="AE5813">
        <v>-88.101478</v>
      </c>
      <c r="AF5813" s="5" t="str">
        <f>HYPERLINK("https://www.google.com/maps/search/?api=1&amp;query=41.972052,-88.101478","map")</f>
        <v>map</v>
      </c>
    </row>
    <row r="5814" spans="1:32">
      <c r="A5814" t="s">
        <v>5864</v>
      </c>
      <c r="B5814" t="s">
        <v>13389</v>
      </c>
      <c r="C5814" t="s">
        <v>15830</v>
      </c>
      <c r="D5814" t="s">
        <v>16207</v>
      </c>
      <c r="E5814" t="s">
        <v>16218</v>
      </c>
      <c r="F5814" t="s">
        <v>16221</v>
      </c>
      <c r="G5814" t="s">
        <v>16241</v>
      </c>
      <c r="H5814" t="s">
        <v>16241</v>
      </c>
      <c r="I5814" t="s">
        <v>16355</v>
      </c>
      <c r="J5814" t="s">
        <v>16385</v>
      </c>
      <c r="K5814">
        <v>0.143</v>
      </c>
      <c r="L5814">
        <v>6213</v>
      </c>
      <c r="M5814">
        <v>1320</v>
      </c>
      <c r="N5814" t="s">
        <v>16393</v>
      </c>
      <c r="O5814" s="4">
        <v>38692</v>
      </c>
      <c r="P5814" s="4">
        <v>75758</v>
      </c>
      <c r="Q5814" s="4">
        <v>114450</v>
      </c>
      <c r="R5814" s="4">
        <v>343350</v>
      </c>
      <c r="S5814" t="s">
        <v>22075</v>
      </c>
      <c r="T5814" s="6">
        <v>42156</v>
      </c>
      <c r="U5814" s="4">
        <v>246500</v>
      </c>
      <c r="V5814" t="s">
        <v>23739</v>
      </c>
      <c r="W5814" t="s">
        <v>22075</v>
      </c>
      <c r="X5814" t="s">
        <v>3</v>
      </c>
      <c r="AA5814" s="5" t="str">
        <f>HYPERLINK("https://www.zillow.com/homes/570-STAFFORD-DR-ROSELLE-IL-60172_rb/","check listing")</f>
        <v>check listing</v>
      </c>
      <c r="AB5814" s="5" t="str">
        <f>HYPERLINK("https://propertylookup.dupagecounty.gov/Datalets/Datalet.aspx?UseSearch=no&amp;mode=sales&amp;pin=0209119018","sales record")</f>
        <v>sales record</v>
      </c>
      <c r="AC5814" t="s">
        <v>3</v>
      </c>
      <c r="AD5814">
        <v>41.972335</v>
      </c>
      <c r="AE5814">
        <v>-88.10839900000001</v>
      </c>
      <c r="AF5814" s="5" t="str">
        <f>HYPERLINK("https://www.google.com/maps/search/?api=1&amp;query=41.972335,-88.108399","map")</f>
        <v>map</v>
      </c>
    </row>
    <row r="5815" spans="1:32">
      <c r="A5815" t="s">
        <v>5865</v>
      </c>
      <c r="B5815" t="s">
        <v>13390</v>
      </c>
      <c r="C5815" t="s">
        <v>15830</v>
      </c>
      <c r="D5815" t="s">
        <v>16207</v>
      </c>
      <c r="E5815" t="s">
        <v>16218</v>
      </c>
      <c r="F5815" t="s">
        <v>16221</v>
      </c>
      <c r="G5815" t="s">
        <v>16241</v>
      </c>
      <c r="H5815" t="s">
        <v>16241</v>
      </c>
      <c r="I5815" t="s">
        <v>16355</v>
      </c>
      <c r="J5815" t="s">
        <v>16385</v>
      </c>
      <c r="K5815">
        <v>0.143</v>
      </c>
      <c r="L5815">
        <v>6212</v>
      </c>
      <c r="M5815">
        <v>1451</v>
      </c>
      <c r="N5815" t="s">
        <v>16393</v>
      </c>
      <c r="O5815" s="4">
        <v>38692</v>
      </c>
      <c r="P5815" s="4">
        <v>77599</v>
      </c>
      <c r="Q5815" s="4">
        <v>116291</v>
      </c>
      <c r="R5815" s="4">
        <v>348873</v>
      </c>
      <c r="S5815" t="s">
        <v>22076</v>
      </c>
      <c r="T5815" s="6">
        <v>36708</v>
      </c>
      <c r="U5815" s="4">
        <v>173000</v>
      </c>
      <c r="V5815" t="s">
        <v>23739</v>
      </c>
      <c r="W5815" t="s">
        <v>26976</v>
      </c>
      <c r="X5815" t="s">
        <v>3</v>
      </c>
      <c r="AA5815" s="5" t="str">
        <f>HYPERLINK("https://www.zillow.com/homes/1225-WATERBURY-LN-ROSELLE-IL-60172_rb/","check listing")</f>
        <v>check listing</v>
      </c>
      <c r="AB5815" s="5" t="str">
        <f>HYPERLINK("https://propertylookup.dupagecounty.gov/Datalets/Datalet.aspx?UseSearch=no&amp;mode=sales&amp;pin=0208208001","sales record")</f>
        <v>sales record</v>
      </c>
      <c r="AC5815" t="s">
        <v>3</v>
      </c>
      <c r="AD5815">
        <v>41.974562</v>
      </c>
      <c r="AE5815">
        <v>-88.111037</v>
      </c>
      <c r="AF5815" s="5" t="str">
        <f>HYPERLINK("https://www.google.com/maps/search/?api=1&amp;query=41.974562,-88.111037","map")</f>
        <v>map</v>
      </c>
    </row>
    <row r="5816" spans="1:32">
      <c r="A5816" t="s">
        <v>5866</v>
      </c>
      <c r="B5816" t="s">
        <v>13391</v>
      </c>
      <c r="C5816" t="s">
        <v>15903</v>
      </c>
      <c r="D5816" t="s">
        <v>16207</v>
      </c>
      <c r="E5816" t="s">
        <v>16218</v>
      </c>
      <c r="F5816" t="s">
        <v>16221</v>
      </c>
      <c r="G5816" t="s">
        <v>16241</v>
      </c>
      <c r="H5816" t="s">
        <v>16241</v>
      </c>
      <c r="I5816" t="s">
        <v>16355</v>
      </c>
      <c r="J5816" t="s">
        <v>16385</v>
      </c>
      <c r="K5816">
        <v>0.143</v>
      </c>
      <c r="L5816">
        <v>6210</v>
      </c>
      <c r="N5816" t="s">
        <v>16393</v>
      </c>
      <c r="O5816" s="4">
        <v>39684</v>
      </c>
      <c r="P5816" s="4">
        <v>179813</v>
      </c>
      <c r="Q5816" s="4">
        <v>219497</v>
      </c>
      <c r="R5816" s="4">
        <v>658491</v>
      </c>
      <c r="S5816" t="s">
        <v>22077</v>
      </c>
      <c r="T5816" s="6">
        <v>45069</v>
      </c>
      <c r="U5816" s="4">
        <v>120000</v>
      </c>
      <c r="V5816" t="s">
        <v>23739</v>
      </c>
      <c r="W5816" t="s">
        <v>26977</v>
      </c>
      <c r="X5816" t="s">
        <v>3</v>
      </c>
      <c r="AA5816" s="5" t="str">
        <f>HYPERLINK("https://www.zillow.com/homes/540-FRANCESCA-LN-ROSELLE-IL-601722808_rb/","check listing")</f>
        <v>check listing</v>
      </c>
      <c r="AB5816" s="5" t="str">
        <f>HYPERLINK("https://propertylookup.dupagecounty.gov/Datalets/Datalet.aspx?UseSearch=no&amp;mode=sales&amp;pin=0208204046","sales record")</f>
        <v>sales record</v>
      </c>
      <c r="AC5816" t="s">
        <v>3</v>
      </c>
      <c r="AD5816">
        <v>41.9714</v>
      </c>
      <c r="AE5816">
        <v>-88.11489899999999</v>
      </c>
      <c r="AF5816" s="5" t="str">
        <f>HYPERLINK("https://www.google.com/maps/search/?api=1&amp;query=41.9714,-88.114899","map")</f>
        <v>map</v>
      </c>
    </row>
    <row r="5817" spans="1:32">
      <c r="A5817" t="s">
        <v>5867</v>
      </c>
      <c r="B5817" t="s">
        <v>13392</v>
      </c>
      <c r="C5817" t="s">
        <v>15830</v>
      </c>
      <c r="D5817" t="s">
        <v>16207</v>
      </c>
      <c r="E5817" t="s">
        <v>16218</v>
      </c>
      <c r="F5817" t="s">
        <v>16221</v>
      </c>
      <c r="G5817" t="s">
        <v>16241</v>
      </c>
      <c r="H5817" t="s">
        <v>16241</v>
      </c>
      <c r="I5817" t="s">
        <v>16355</v>
      </c>
      <c r="J5817" t="s">
        <v>16385</v>
      </c>
      <c r="K5817">
        <v>0.143</v>
      </c>
      <c r="L5817">
        <v>6210</v>
      </c>
      <c r="M5817">
        <v>1320</v>
      </c>
      <c r="N5817" t="s">
        <v>16393</v>
      </c>
      <c r="O5817" s="4">
        <v>38692</v>
      </c>
      <c r="P5817" s="4">
        <v>86791</v>
      </c>
      <c r="Q5817" s="4">
        <v>125483</v>
      </c>
      <c r="R5817" s="4">
        <v>376449</v>
      </c>
      <c r="S5817" t="s">
        <v>22078</v>
      </c>
      <c r="T5817" s="6">
        <v>30651</v>
      </c>
      <c r="U5817" s="4">
        <v>83500</v>
      </c>
      <c r="X5817" t="s">
        <v>3</v>
      </c>
      <c r="AA5817" s="5" t="str">
        <f>HYPERLINK("https://www.zillow.com/homes/721-S-BERWICK-PLACE-ROSELLE-IL-60172_rb/","check listing")</f>
        <v>check listing</v>
      </c>
      <c r="AB5817" s="5" t="str">
        <f>HYPERLINK("https://propertylookup.dupagecounty.gov/Datalets/Datalet.aspx?UseSearch=no&amp;mode=sales&amp;pin=0208215009","sales record")</f>
        <v>sales record</v>
      </c>
      <c r="AC5817" t="s">
        <v>3</v>
      </c>
      <c r="AD5817">
        <v>41.969739</v>
      </c>
      <c r="AE5817">
        <v>-88.11082500000001</v>
      </c>
      <c r="AF5817" s="5" t="str">
        <f>HYPERLINK("https://www.google.com/maps/search/?api=1&amp;query=41.969739,-88.110825","map")</f>
        <v>map</v>
      </c>
    </row>
    <row r="5818" spans="1:32">
      <c r="A5818" t="s">
        <v>5868</v>
      </c>
      <c r="B5818" t="s">
        <v>13393</v>
      </c>
      <c r="C5818" t="s">
        <v>15830</v>
      </c>
      <c r="D5818" t="s">
        <v>16207</v>
      </c>
      <c r="E5818" t="s">
        <v>16218</v>
      </c>
      <c r="F5818" t="s">
        <v>16221</v>
      </c>
      <c r="G5818" t="s">
        <v>16241</v>
      </c>
      <c r="H5818" t="s">
        <v>16241</v>
      </c>
      <c r="I5818" t="s">
        <v>16355</v>
      </c>
      <c r="J5818" t="s">
        <v>16385</v>
      </c>
      <c r="K5818">
        <v>0.142</v>
      </c>
      <c r="L5818">
        <v>6181</v>
      </c>
      <c r="M5818">
        <v>1633</v>
      </c>
      <c r="N5818" t="s">
        <v>16393</v>
      </c>
      <c r="O5818" s="4">
        <v>38692</v>
      </c>
      <c r="P5818" s="4">
        <v>76296</v>
      </c>
      <c r="Q5818" s="4">
        <v>114988</v>
      </c>
      <c r="R5818" s="4">
        <v>344964</v>
      </c>
      <c r="S5818" t="s">
        <v>22079</v>
      </c>
      <c r="T5818" s="6">
        <v>38261</v>
      </c>
      <c r="U5818" s="4">
        <v>222500</v>
      </c>
      <c r="V5818" t="s">
        <v>23739</v>
      </c>
      <c r="W5818" t="s">
        <v>26978</v>
      </c>
      <c r="X5818" t="s">
        <v>3</v>
      </c>
      <c r="AA5818" s="5" t="str">
        <f>HYPERLINK("https://www.zillow.com/homes/648-STAFFORD-DR-ROSELLE-IL-60172_rb/","check listing")</f>
        <v>check listing</v>
      </c>
      <c r="AB5818" s="5" t="str">
        <f>HYPERLINK("https://propertylookup.dupagecounty.gov/Datalets/Datalet.aspx?UseSearch=no&amp;mode=sales&amp;pin=0209119032","sales record")</f>
        <v>sales record</v>
      </c>
      <c r="AC5818" t="s">
        <v>3</v>
      </c>
      <c r="AD5818">
        <v>41.971479</v>
      </c>
      <c r="AE5818">
        <v>-88.11026699999999</v>
      </c>
      <c r="AF5818" s="5" t="str">
        <f>HYPERLINK("https://www.google.com/maps/search/?api=1&amp;query=41.971479,-88.110267","map")</f>
        <v>map</v>
      </c>
    </row>
    <row r="5819" spans="1:32">
      <c r="A5819" t="s">
        <v>5869</v>
      </c>
      <c r="B5819" t="s">
        <v>13394</v>
      </c>
      <c r="C5819" t="s">
        <v>15830</v>
      </c>
      <c r="D5819" t="s">
        <v>16207</v>
      </c>
      <c r="E5819" t="s">
        <v>16218</v>
      </c>
      <c r="F5819" t="s">
        <v>16221</v>
      </c>
      <c r="G5819" t="s">
        <v>16241</v>
      </c>
      <c r="H5819" t="s">
        <v>16241</v>
      </c>
      <c r="I5819" t="s">
        <v>16355</v>
      </c>
      <c r="J5819" t="s">
        <v>16385</v>
      </c>
      <c r="K5819">
        <v>0.142</v>
      </c>
      <c r="L5819">
        <v>6173</v>
      </c>
      <c r="M5819">
        <v>1583</v>
      </c>
      <c r="N5819" t="s">
        <v>16393</v>
      </c>
      <c r="O5819" s="4">
        <v>38692</v>
      </c>
      <c r="P5819" s="4">
        <v>55546</v>
      </c>
      <c r="Q5819" s="4">
        <v>94238</v>
      </c>
      <c r="R5819" s="4">
        <v>282714</v>
      </c>
      <c r="S5819" t="s">
        <v>22080</v>
      </c>
      <c r="T5819" s="6">
        <v>29129</v>
      </c>
      <c r="U5819" s="4">
        <v>61142</v>
      </c>
      <c r="X5819" t="s">
        <v>3</v>
      </c>
      <c r="AA5819" s="5" t="str">
        <f>HYPERLINK("https://www.zillow.com/homes/645-STAFFORD-DR-ROSELLE-IL-60172_rb/","check listing")</f>
        <v>check listing</v>
      </c>
      <c r="AB5819" s="5" t="str">
        <f>HYPERLINK("https://propertylookup.dupagecounty.gov/Datalets/Datalet.aspx?UseSearch=no&amp;mode=sales&amp;pin=0209120002","sales record")</f>
        <v>sales record</v>
      </c>
      <c r="AC5819" t="s">
        <v>3</v>
      </c>
      <c r="AD5819">
        <v>41.971208</v>
      </c>
      <c r="AE5819">
        <v>-88.109815</v>
      </c>
      <c r="AF5819" s="5" t="str">
        <f>HYPERLINK("https://www.google.com/maps/search/?api=1&amp;query=41.971208,-88.109815","map")</f>
        <v>map</v>
      </c>
    </row>
    <row r="5820" spans="1:32">
      <c r="A5820" t="s">
        <v>5870</v>
      </c>
      <c r="B5820" t="s">
        <v>13395</v>
      </c>
      <c r="C5820" t="s">
        <v>15830</v>
      </c>
      <c r="D5820" t="s">
        <v>16207</v>
      </c>
      <c r="E5820" t="s">
        <v>16218</v>
      </c>
      <c r="F5820" t="s">
        <v>16221</v>
      </c>
      <c r="G5820" t="s">
        <v>16241</v>
      </c>
      <c r="H5820" t="s">
        <v>16241</v>
      </c>
      <c r="I5820" t="s">
        <v>16355</v>
      </c>
      <c r="J5820" t="s">
        <v>16385</v>
      </c>
      <c r="K5820">
        <v>0.142</v>
      </c>
      <c r="L5820">
        <v>6173</v>
      </c>
      <c r="M5820">
        <v>1714</v>
      </c>
      <c r="N5820" t="s">
        <v>16393</v>
      </c>
      <c r="O5820" s="4">
        <v>38692</v>
      </c>
      <c r="P5820" s="4">
        <v>77599</v>
      </c>
      <c r="Q5820" s="4">
        <v>116291</v>
      </c>
      <c r="R5820" s="4">
        <v>348873</v>
      </c>
      <c r="S5820" t="s">
        <v>22081</v>
      </c>
      <c r="T5820" s="6">
        <v>41061</v>
      </c>
      <c r="U5820" s="4">
        <v>180200</v>
      </c>
      <c r="V5820" t="s">
        <v>23739</v>
      </c>
      <c r="W5820" t="s">
        <v>22081</v>
      </c>
      <c r="X5820" t="s">
        <v>3</v>
      </c>
      <c r="AA5820" s="5" t="str">
        <f>HYPERLINK("https://www.zillow.com/homes/725-BERWICK-PL-ROSELLE-IL-60172_rb/","check listing")</f>
        <v>check listing</v>
      </c>
      <c r="AB5820" s="5" t="str">
        <f>HYPERLINK("https://propertylookup.dupagecounty.gov/Datalets/Datalet.aspx?UseSearch=no&amp;mode=sales&amp;pin=0208215010","sales record")</f>
        <v>sales record</v>
      </c>
      <c r="AC5820" t="s">
        <v>3</v>
      </c>
      <c r="AD5820">
        <v>41.969651</v>
      </c>
      <c r="AE5820">
        <v>-88.11063799999999</v>
      </c>
      <c r="AF5820" s="5" t="str">
        <f>HYPERLINK("https://www.google.com/maps/search/?api=1&amp;query=41.969651,-88.110638","map")</f>
        <v>map</v>
      </c>
    </row>
    <row r="5821" spans="1:32">
      <c r="A5821" t="s">
        <v>5871</v>
      </c>
      <c r="B5821" t="s">
        <v>13396</v>
      </c>
      <c r="C5821" t="s">
        <v>15830</v>
      </c>
      <c r="D5821" t="s">
        <v>16207</v>
      </c>
      <c r="E5821" t="s">
        <v>16218</v>
      </c>
      <c r="F5821" t="s">
        <v>16221</v>
      </c>
      <c r="G5821" t="s">
        <v>16241</v>
      </c>
      <c r="H5821" t="s">
        <v>16241</v>
      </c>
      <c r="I5821" t="s">
        <v>16355</v>
      </c>
      <c r="J5821" t="s">
        <v>16385</v>
      </c>
      <c r="K5821">
        <v>0.141</v>
      </c>
      <c r="L5821">
        <v>6162</v>
      </c>
      <c r="M5821">
        <v>2034</v>
      </c>
      <c r="N5821" t="s">
        <v>16393</v>
      </c>
      <c r="O5821" s="4">
        <v>45278</v>
      </c>
      <c r="P5821" s="4">
        <v>93868</v>
      </c>
      <c r="Q5821" s="4">
        <v>139146</v>
      </c>
      <c r="R5821" s="4">
        <v>417438</v>
      </c>
      <c r="S5821" t="s">
        <v>22082</v>
      </c>
      <c r="T5821" s="6">
        <v>41852</v>
      </c>
      <c r="U5821" s="4">
        <v>248000</v>
      </c>
      <c r="V5821" t="s">
        <v>23739</v>
      </c>
      <c r="W5821" t="s">
        <v>26979</v>
      </c>
      <c r="X5821" t="s">
        <v>3</v>
      </c>
      <c r="AA5821" s="5" t="str">
        <f>HYPERLINK("https://www.zillow.com/homes/315-BRIGHTON-BAY-ROSELLE-IL-60172_rb/","check listing")</f>
        <v>check listing</v>
      </c>
      <c r="AB5821" s="5" t="str">
        <f>HYPERLINK("https://propertylookup.dupagecounty.gov/Datalets/Datalet.aspx?UseSearch=no&amp;mode=sales&amp;pin=0205401037","sales record")</f>
        <v>sales record</v>
      </c>
      <c r="AC5821" t="s">
        <v>3</v>
      </c>
      <c r="AD5821">
        <v>41.976868</v>
      </c>
      <c r="AE5821">
        <v>-88.114649</v>
      </c>
      <c r="AF5821" s="5" t="str">
        <f>HYPERLINK("https://www.google.com/maps/search/?api=1&amp;query=41.976868,-88.114649","map")</f>
        <v>map</v>
      </c>
    </row>
    <row r="5822" spans="1:32">
      <c r="A5822" t="s">
        <v>5872</v>
      </c>
      <c r="B5822" t="s">
        <v>13397</v>
      </c>
      <c r="C5822" t="s">
        <v>15830</v>
      </c>
      <c r="D5822" t="s">
        <v>16207</v>
      </c>
      <c r="E5822" t="s">
        <v>16218</v>
      </c>
      <c r="F5822" t="s">
        <v>16221</v>
      </c>
      <c r="G5822" t="s">
        <v>16241</v>
      </c>
      <c r="H5822" t="s">
        <v>16241</v>
      </c>
      <c r="I5822" t="s">
        <v>16355</v>
      </c>
      <c r="J5822" t="s">
        <v>16385</v>
      </c>
      <c r="K5822">
        <v>0.141</v>
      </c>
      <c r="L5822">
        <v>6160</v>
      </c>
      <c r="M5822">
        <v>1806</v>
      </c>
      <c r="N5822" t="s">
        <v>16393</v>
      </c>
      <c r="O5822" s="4">
        <v>38692</v>
      </c>
      <c r="P5822" s="4">
        <v>82225</v>
      </c>
      <c r="Q5822" s="4">
        <v>120917</v>
      </c>
      <c r="R5822" s="4">
        <v>362751</v>
      </c>
      <c r="S5822" t="s">
        <v>22083</v>
      </c>
      <c r="T5822" s="6">
        <v>37165</v>
      </c>
      <c r="U5822" s="4">
        <v>188500</v>
      </c>
      <c r="V5822" t="s">
        <v>23739</v>
      </c>
      <c r="W5822" t="s">
        <v>26980</v>
      </c>
      <c r="X5822" t="s">
        <v>3</v>
      </c>
      <c r="AA5822" s="5" t="str">
        <f>HYPERLINK("https://www.zillow.com/homes/683-MIDDLETON-DR-ROSELLE-IL-60172_rb/","check listing")</f>
        <v>check listing</v>
      </c>
      <c r="AB5822" s="5" t="str">
        <f>HYPERLINK("https://propertylookup.dupagecounty.gov/Datalets/Datalet.aspx?UseSearch=no&amp;mode=sales&amp;pin=0209101034","sales record")</f>
        <v>sales record</v>
      </c>
      <c r="AC5822" t="s">
        <v>3</v>
      </c>
      <c r="AD5822">
        <v>41.970358</v>
      </c>
      <c r="AE5822">
        <v>-88.104488</v>
      </c>
      <c r="AF5822" s="5" t="str">
        <f>HYPERLINK("https://www.google.com/maps/search/?api=1&amp;query=41.970358,-88.104488","map")</f>
        <v>map</v>
      </c>
    </row>
    <row r="5823" spans="1:32">
      <c r="A5823" t="s">
        <v>5873</v>
      </c>
      <c r="B5823" t="s">
        <v>13398</v>
      </c>
      <c r="C5823" t="s">
        <v>15922</v>
      </c>
      <c r="D5823" t="s">
        <v>16207</v>
      </c>
      <c r="E5823" t="s">
        <v>16218</v>
      </c>
      <c r="F5823" t="s">
        <v>16221</v>
      </c>
      <c r="G5823" t="s">
        <v>16241</v>
      </c>
      <c r="H5823" t="s">
        <v>16241</v>
      </c>
      <c r="I5823" t="s">
        <v>16355</v>
      </c>
      <c r="J5823" t="s">
        <v>16385</v>
      </c>
      <c r="K5823">
        <v>0.141</v>
      </c>
      <c r="L5823">
        <v>6150</v>
      </c>
      <c r="M5823">
        <v>1569</v>
      </c>
      <c r="N5823" t="s">
        <v>16393</v>
      </c>
      <c r="O5823" s="4">
        <v>45278</v>
      </c>
      <c r="P5823" s="4">
        <v>86815</v>
      </c>
      <c r="Q5823" s="4">
        <v>132093</v>
      </c>
      <c r="R5823" s="4">
        <v>396279</v>
      </c>
      <c r="S5823" t="s">
        <v>22084</v>
      </c>
      <c r="T5823" s="6">
        <v>44105</v>
      </c>
      <c r="U5823" s="4">
        <v>244850</v>
      </c>
      <c r="V5823" t="s">
        <v>16232</v>
      </c>
      <c r="W5823" t="s">
        <v>26981</v>
      </c>
      <c r="X5823" t="s">
        <v>3</v>
      </c>
      <c r="AA5823" s="5" t="str">
        <f>HYPERLINK("https://www.zillow.com/homes/325-BRIGHTON-BAY-ROSELLE-IL-601721608_rb/","check listing")</f>
        <v>check listing</v>
      </c>
      <c r="AB5823" s="5" t="str">
        <f>HYPERLINK("https://propertylookup.dupagecounty.gov/Datalets/Datalet.aspx?UseSearch=no&amp;mode=sales&amp;pin=0205401036","sales record")</f>
        <v>sales record</v>
      </c>
      <c r="AC5823" t="s">
        <v>3</v>
      </c>
      <c r="AD5823">
        <v>41.976659</v>
      </c>
      <c r="AE5823">
        <v>-88.114577</v>
      </c>
      <c r="AF5823" s="5" t="str">
        <f>HYPERLINK("https://www.google.com/maps/search/?api=1&amp;query=41.976659,-88.114577","map")</f>
        <v>map</v>
      </c>
    </row>
    <row r="5824" spans="1:32">
      <c r="A5824" t="s">
        <v>5874</v>
      </c>
      <c r="B5824" t="s">
        <v>13399</v>
      </c>
      <c r="C5824" t="s">
        <v>15830</v>
      </c>
      <c r="D5824" t="s">
        <v>16207</v>
      </c>
      <c r="E5824" t="s">
        <v>16218</v>
      </c>
      <c r="F5824" t="s">
        <v>16221</v>
      </c>
      <c r="G5824" t="s">
        <v>16241</v>
      </c>
      <c r="H5824" t="s">
        <v>16241</v>
      </c>
      <c r="I5824" t="s">
        <v>16355</v>
      </c>
      <c r="J5824" t="s">
        <v>16385</v>
      </c>
      <c r="K5824">
        <v>0.141</v>
      </c>
      <c r="L5824">
        <v>6137</v>
      </c>
      <c r="M5824">
        <v>1451</v>
      </c>
      <c r="N5824" t="s">
        <v>16393</v>
      </c>
      <c r="O5824" s="4">
        <v>38692</v>
      </c>
      <c r="P5824" s="4">
        <v>55606</v>
      </c>
      <c r="Q5824" s="4">
        <v>94298</v>
      </c>
      <c r="R5824" s="4">
        <v>282894</v>
      </c>
      <c r="S5824" t="s">
        <v>22085</v>
      </c>
      <c r="T5824" s="6">
        <v>41214</v>
      </c>
      <c r="U5824" s="4">
        <v>165000</v>
      </c>
      <c r="V5824" t="s">
        <v>23739</v>
      </c>
      <c r="W5824" t="s">
        <v>26982</v>
      </c>
      <c r="X5824" t="s">
        <v>3</v>
      </c>
      <c r="AA5824" s="5" t="str">
        <f>HYPERLINK("https://www.zillow.com/homes/729-BERWICK-PL-ROSELLE-IL-60172_rb/","check listing")</f>
        <v>check listing</v>
      </c>
      <c r="AB5824" s="5" t="str">
        <f>HYPERLINK("https://propertylookup.dupagecounty.gov/Datalets/Datalet.aspx?UseSearch=no&amp;mode=sales&amp;pin=0209123006","sales record")</f>
        <v>sales record</v>
      </c>
      <c r="AC5824" t="s">
        <v>3</v>
      </c>
      <c r="AD5824">
        <v>41.969531</v>
      </c>
      <c r="AE5824">
        <v>-88.11048</v>
      </c>
      <c r="AF5824" s="5" t="str">
        <f>HYPERLINK("https://www.google.com/maps/search/?api=1&amp;query=41.969531,-88.11048","map")</f>
        <v>map</v>
      </c>
    </row>
    <row r="5825" spans="1:32">
      <c r="A5825" t="s">
        <v>5875</v>
      </c>
      <c r="B5825" t="s">
        <v>13400</v>
      </c>
      <c r="C5825" t="s">
        <v>15926</v>
      </c>
      <c r="D5825" t="s">
        <v>16207</v>
      </c>
      <c r="E5825" t="s">
        <v>16218</v>
      </c>
      <c r="F5825" t="s">
        <v>16221</v>
      </c>
      <c r="G5825" t="s">
        <v>16241</v>
      </c>
      <c r="H5825" t="s">
        <v>16241</v>
      </c>
      <c r="I5825" t="s">
        <v>16355</v>
      </c>
      <c r="J5825" t="s">
        <v>16385</v>
      </c>
      <c r="K5825">
        <v>0.141</v>
      </c>
      <c r="L5825">
        <v>6132</v>
      </c>
      <c r="M5825">
        <v>1484</v>
      </c>
      <c r="N5825" t="s">
        <v>16393</v>
      </c>
      <c r="O5825" s="4">
        <v>38692</v>
      </c>
      <c r="P5825" s="4">
        <v>81974</v>
      </c>
      <c r="Q5825" s="4">
        <v>120666</v>
      </c>
      <c r="R5825" s="4">
        <v>361998</v>
      </c>
      <c r="S5825" t="s">
        <v>22086</v>
      </c>
      <c r="T5825" s="6">
        <v>44105</v>
      </c>
      <c r="U5825" s="4">
        <v>287000</v>
      </c>
      <c r="V5825" t="s">
        <v>23739</v>
      </c>
      <c r="W5825" t="s">
        <v>26983</v>
      </c>
      <c r="X5825" t="s">
        <v>3</v>
      </c>
      <c r="AA5825" s="5" t="str">
        <f>HYPERLINK("https://www.zillow.com/homes/540-RADNOR-DR-ROSELLE-IL-601722741_rb/","check listing")</f>
        <v>check listing</v>
      </c>
      <c r="AB5825" s="5" t="str">
        <f>HYPERLINK("https://propertylookup.dupagecounty.gov/Datalets/Datalet.aspx?UseSearch=no&amp;mode=sales&amp;pin=0209121021","sales record")</f>
        <v>sales record</v>
      </c>
      <c r="AC5825" t="s">
        <v>3</v>
      </c>
      <c r="AD5825">
        <v>41.972758</v>
      </c>
      <c r="AE5825">
        <v>-88.10610200000001</v>
      </c>
      <c r="AF5825" s="5" t="str">
        <f>HYPERLINK("https://www.google.com/maps/search/?api=1&amp;query=41.972758,-88.106102","map")</f>
        <v>map</v>
      </c>
    </row>
    <row r="5826" spans="1:32">
      <c r="A5826" t="s">
        <v>5876</v>
      </c>
      <c r="B5826" t="s">
        <v>13401</v>
      </c>
      <c r="C5826" t="s">
        <v>15830</v>
      </c>
      <c r="D5826" t="s">
        <v>16207</v>
      </c>
      <c r="E5826" t="s">
        <v>16218</v>
      </c>
      <c r="F5826" t="s">
        <v>16221</v>
      </c>
      <c r="G5826" t="s">
        <v>16241</v>
      </c>
      <c r="H5826" t="s">
        <v>16241</v>
      </c>
      <c r="I5826" t="s">
        <v>16355</v>
      </c>
      <c r="J5826" t="s">
        <v>16385</v>
      </c>
      <c r="K5826">
        <v>0.141</v>
      </c>
      <c r="L5826">
        <v>6125</v>
      </c>
      <c r="M5826">
        <v>1602</v>
      </c>
      <c r="N5826" t="s">
        <v>16393</v>
      </c>
      <c r="O5826" s="4">
        <v>38692</v>
      </c>
      <c r="P5826" s="4">
        <v>75974</v>
      </c>
      <c r="Q5826" s="4">
        <v>114666</v>
      </c>
      <c r="R5826" s="4">
        <v>343998</v>
      </c>
      <c r="S5826" t="s">
        <v>22087</v>
      </c>
      <c r="T5826" s="6">
        <v>33025</v>
      </c>
      <c r="U5826" s="4">
        <v>119000</v>
      </c>
      <c r="X5826" t="s">
        <v>3</v>
      </c>
      <c r="AA5826" s="5" t="str">
        <f>HYPERLINK("https://www.zillow.com/homes/724-BERWICK-PL-ROSELLE-IL-60172_rb/","check listing")</f>
        <v>check listing</v>
      </c>
      <c r="AB5826" s="5" t="str">
        <f>HYPERLINK("https://propertylookup.dupagecounty.gov/Datalets/Datalet.aspx?UseSearch=no&amp;mode=sales&amp;pin=0208205029","sales record")</f>
        <v>sales record</v>
      </c>
      <c r="AC5826" t="s">
        <v>3</v>
      </c>
      <c r="AD5826">
        <v>41.969701</v>
      </c>
      <c r="AE5826">
        <v>-88.111768</v>
      </c>
      <c r="AF5826" s="5" t="str">
        <f>HYPERLINK("https://www.google.com/maps/search/?api=1&amp;query=41.969701,-88.111768","map")</f>
        <v>map</v>
      </c>
    </row>
    <row r="5827" spans="1:32">
      <c r="A5827" t="s">
        <v>5877</v>
      </c>
      <c r="B5827" t="s">
        <v>13402</v>
      </c>
      <c r="C5827" t="s">
        <v>15830</v>
      </c>
      <c r="D5827" t="s">
        <v>16207</v>
      </c>
      <c r="E5827" t="s">
        <v>16218</v>
      </c>
      <c r="F5827" t="s">
        <v>16221</v>
      </c>
      <c r="G5827" t="s">
        <v>16241</v>
      </c>
      <c r="H5827" t="s">
        <v>16241</v>
      </c>
      <c r="I5827" t="s">
        <v>16355</v>
      </c>
      <c r="J5827" t="s">
        <v>16385</v>
      </c>
      <c r="K5827">
        <v>0.141</v>
      </c>
      <c r="L5827">
        <v>6124</v>
      </c>
      <c r="M5827">
        <v>1482</v>
      </c>
      <c r="N5827" t="s">
        <v>16393</v>
      </c>
      <c r="O5827" s="4">
        <v>38692</v>
      </c>
      <c r="P5827" s="4">
        <v>74790</v>
      </c>
      <c r="Q5827" s="4">
        <v>113482</v>
      </c>
      <c r="R5827" s="4">
        <v>340446</v>
      </c>
      <c r="S5827" t="s">
        <v>22088</v>
      </c>
      <c r="T5827" s="6">
        <v>34425</v>
      </c>
      <c r="U5827" s="4">
        <v>131000</v>
      </c>
      <c r="X5827" t="s">
        <v>3</v>
      </c>
      <c r="AA5827" s="5" t="str">
        <f>HYPERLINK("https://www.zillow.com/homes/965-EDENWOOD-DR-ROSELLE-IL-60172_rb/","check listing")</f>
        <v>check listing</v>
      </c>
      <c r="AB5827" s="5" t="str">
        <f>HYPERLINK("https://propertylookup.dupagecounty.gov/Datalets/Datalet.aspx?UseSearch=no&amp;mode=sales&amp;pin=0209101008","sales record")</f>
        <v>sales record</v>
      </c>
      <c r="AC5827" t="s">
        <v>3</v>
      </c>
      <c r="AD5827">
        <v>41.972223</v>
      </c>
      <c r="AE5827">
        <v>-88.104251</v>
      </c>
      <c r="AF5827" s="5" t="str">
        <f>HYPERLINK("https://www.google.com/maps/search/?api=1&amp;query=41.972223,-88.104251","map")</f>
        <v>map</v>
      </c>
    </row>
    <row r="5828" spans="1:32">
      <c r="A5828" t="s">
        <v>5878</v>
      </c>
      <c r="B5828" t="s">
        <v>13403</v>
      </c>
      <c r="C5828" t="s">
        <v>15830</v>
      </c>
      <c r="D5828" t="s">
        <v>16207</v>
      </c>
      <c r="E5828" t="s">
        <v>16218</v>
      </c>
      <c r="F5828" t="s">
        <v>16221</v>
      </c>
      <c r="G5828" t="s">
        <v>16241</v>
      </c>
      <c r="H5828" t="s">
        <v>16241</v>
      </c>
      <c r="I5828" t="s">
        <v>16355</v>
      </c>
      <c r="J5828" t="s">
        <v>16385</v>
      </c>
      <c r="K5828">
        <v>0.141</v>
      </c>
      <c r="L5828">
        <v>6122</v>
      </c>
      <c r="M5828">
        <v>907</v>
      </c>
      <c r="N5828" t="s">
        <v>16393</v>
      </c>
      <c r="O5828" s="4">
        <v>38692</v>
      </c>
      <c r="P5828" s="4">
        <v>89480</v>
      </c>
      <c r="Q5828" s="4">
        <v>128172</v>
      </c>
      <c r="R5828" s="4">
        <v>384516</v>
      </c>
      <c r="S5828" t="s">
        <v>22089</v>
      </c>
      <c r="T5828" s="6">
        <v>34090</v>
      </c>
      <c r="U5828" s="4">
        <v>137000</v>
      </c>
      <c r="X5828" t="s">
        <v>3</v>
      </c>
      <c r="AA5828" s="5" t="str">
        <f>HYPERLINK("https://www.zillow.com/homes/731-BERWICK-PL-ROSELLE-IL-60172_rb/","check listing")</f>
        <v>check listing</v>
      </c>
      <c r="AB5828" s="5" t="str">
        <f>HYPERLINK("https://propertylookup.dupagecounty.gov/Datalets/Datalet.aspx?UseSearch=no&amp;mode=sales&amp;pin=0209123008","sales record")</f>
        <v>sales record</v>
      </c>
      <c r="AC5828" t="s">
        <v>3</v>
      </c>
      <c r="AD5828">
        <v>41.969642</v>
      </c>
      <c r="AE5828">
        <v>-88.11004</v>
      </c>
      <c r="AF5828" s="5" t="str">
        <f>HYPERLINK("https://www.google.com/maps/search/?api=1&amp;query=41.969642,-88.11004","map")</f>
        <v>map</v>
      </c>
    </row>
    <row r="5829" spans="1:32">
      <c r="A5829" t="s">
        <v>5879</v>
      </c>
      <c r="B5829" t="s">
        <v>13404</v>
      </c>
      <c r="C5829" t="s">
        <v>15946</v>
      </c>
      <c r="D5829" t="s">
        <v>16207</v>
      </c>
      <c r="E5829" t="s">
        <v>16218</v>
      </c>
      <c r="F5829" t="s">
        <v>16221</v>
      </c>
      <c r="G5829" t="s">
        <v>16241</v>
      </c>
      <c r="H5829" t="s">
        <v>16241</v>
      </c>
      <c r="I5829" t="s">
        <v>16355</v>
      </c>
      <c r="J5829" t="s">
        <v>16385</v>
      </c>
      <c r="K5829">
        <v>0.141</v>
      </c>
      <c r="L5829">
        <v>6121</v>
      </c>
      <c r="M5829">
        <v>1632</v>
      </c>
      <c r="N5829" t="s">
        <v>16393</v>
      </c>
      <c r="O5829" s="4">
        <v>38692</v>
      </c>
      <c r="P5829" s="4">
        <v>82285</v>
      </c>
      <c r="Q5829" s="4">
        <v>120977</v>
      </c>
      <c r="R5829" s="4">
        <v>362931</v>
      </c>
      <c r="S5829" t="s">
        <v>22090</v>
      </c>
      <c r="T5829" s="6">
        <v>44378</v>
      </c>
      <c r="U5829" s="4">
        <v>330000</v>
      </c>
      <c r="V5829" t="s">
        <v>23739</v>
      </c>
      <c r="W5829" t="s">
        <v>26984</v>
      </c>
      <c r="X5829" t="s">
        <v>3</v>
      </c>
      <c r="AA5829" s="5" t="str">
        <f>HYPERLINK("https://www.zillow.com/homes/660-RADNOR-DR-ROSELLE-IL-601722743_rb/","check listing")</f>
        <v>check listing</v>
      </c>
      <c r="AB5829" s="5" t="str">
        <f>HYPERLINK("https://propertylookup.dupagecounty.gov/Datalets/Datalet.aspx?UseSearch=no&amp;mode=sales&amp;pin=0209121033","sales record")</f>
        <v>sales record</v>
      </c>
      <c r="AC5829" t="s">
        <v>3</v>
      </c>
      <c r="AD5829">
        <v>41.970818</v>
      </c>
      <c r="AE5829">
        <v>-88.105958</v>
      </c>
      <c r="AF5829" s="5" t="str">
        <f>HYPERLINK("https://www.google.com/maps/search/?api=1&amp;query=41.970818,-88.105958","map")</f>
        <v>map</v>
      </c>
    </row>
    <row r="5830" spans="1:32">
      <c r="A5830" t="s">
        <v>5880</v>
      </c>
      <c r="B5830" t="s">
        <v>13405</v>
      </c>
      <c r="C5830" t="s">
        <v>15946</v>
      </c>
      <c r="D5830" t="s">
        <v>16207</v>
      </c>
      <c r="E5830" t="s">
        <v>16218</v>
      </c>
      <c r="F5830" t="s">
        <v>16221</v>
      </c>
      <c r="G5830" t="s">
        <v>16241</v>
      </c>
      <c r="H5830" t="s">
        <v>16241</v>
      </c>
      <c r="I5830" t="s">
        <v>16355</v>
      </c>
      <c r="J5830" t="s">
        <v>16385</v>
      </c>
      <c r="K5830">
        <v>0.141</v>
      </c>
      <c r="L5830">
        <v>6121</v>
      </c>
      <c r="M5830">
        <v>825</v>
      </c>
      <c r="N5830" t="s">
        <v>16393</v>
      </c>
      <c r="O5830" s="4">
        <v>38692</v>
      </c>
      <c r="P5830" s="4">
        <v>80002</v>
      </c>
      <c r="Q5830" s="4">
        <v>118694</v>
      </c>
      <c r="R5830" s="4">
        <v>356082</v>
      </c>
      <c r="S5830" t="s">
        <v>22091</v>
      </c>
      <c r="T5830" s="6">
        <v>44013</v>
      </c>
      <c r="U5830" s="4">
        <v>275017</v>
      </c>
      <c r="V5830" t="s">
        <v>23739</v>
      </c>
      <c r="W5830" t="s">
        <v>26985</v>
      </c>
      <c r="X5830" t="s">
        <v>3</v>
      </c>
      <c r="AA5830" s="5" t="str">
        <f>HYPERLINK("https://www.zillow.com/homes/630-RADNOR-DR-ROSELLE-IL-601722743_rb/","check listing")</f>
        <v>check listing</v>
      </c>
      <c r="AB5830" s="5" t="str">
        <f>HYPERLINK("https://propertylookup.dupagecounty.gov/Datalets/Datalet.aspx?UseSearch=no&amp;mode=sales&amp;pin=0209121030","sales record")</f>
        <v>sales record</v>
      </c>
      <c r="AC5830" t="s">
        <v>3</v>
      </c>
      <c r="AD5830">
        <v>41.971312</v>
      </c>
      <c r="AE5830">
        <v>-88.105942</v>
      </c>
      <c r="AF5830" s="5" t="str">
        <f>HYPERLINK("https://www.google.com/maps/search/?api=1&amp;query=41.971312,-88.105942","map")</f>
        <v>map</v>
      </c>
    </row>
    <row r="5831" spans="1:32">
      <c r="A5831" t="s">
        <v>5881</v>
      </c>
      <c r="B5831" t="s">
        <v>13406</v>
      </c>
      <c r="C5831" t="s">
        <v>15830</v>
      </c>
      <c r="D5831" t="s">
        <v>16207</v>
      </c>
      <c r="E5831" t="s">
        <v>16218</v>
      </c>
      <c r="F5831" t="s">
        <v>16221</v>
      </c>
      <c r="G5831" t="s">
        <v>16241</v>
      </c>
      <c r="H5831" t="s">
        <v>16241</v>
      </c>
      <c r="I5831" t="s">
        <v>16355</v>
      </c>
      <c r="J5831" t="s">
        <v>16385</v>
      </c>
      <c r="K5831">
        <v>0.141</v>
      </c>
      <c r="L5831">
        <v>6121</v>
      </c>
      <c r="M5831">
        <v>1320</v>
      </c>
      <c r="N5831" t="s">
        <v>16393</v>
      </c>
      <c r="O5831" s="4">
        <v>38692</v>
      </c>
      <c r="P5831" s="4">
        <v>77315</v>
      </c>
      <c r="Q5831" s="4">
        <v>116007</v>
      </c>
      <c r="R5831" s="4">
        <v>348021</v>
      </c>
      <c r="S5831" t="s">
        <v>22092</v>
      </c>
      <c r="T5831" s="6">
        <v>45562</v>
      </c>
      <c r="U5831" s="4">
        <v>410000</v>
      </c>
      <c r="V5831" t="s">
        <v>23739</v>
      </c>
      <c r="W5831" t="s">
        <v>26986</v>
      </c>
      <c r="X5831" t="s">
        <v>3</v>
      </c>
      <c r="AA5831" s="5" t="str">
        <f>HYPERLINK("https://www.zillow.com/homes/600-RADNOR-DR-ROSELLE-IL-60172_rb/","check listing")</f>
        <v>check listing</v>
      </c>
      <c r="AB5831" s="5" t="str">
        <f>HYPERLINK("https://propertylookup.dupagecounty.gov/Datalets/Datalet.aspx?UseSearch=no&amp;mode=sales&amp;pin=0209121027","sales record")</f>
        <v>sales record</v>
      </c>
      <c r="AC5831" t="s">
        <v>3</v>
      </c>
      <c r="AD5831">
        <v>41.971805</v>
      </c>
      <c r="AE5831">
        <v>-88.105925</v>
      </c>
      <c r="AF5831" s="5" t="str">
        <f>HYPERLINK("https://www.google.com/maps/search/?api=1&amp;query=41.971805,-88.105925","map")</f>
        <v>map</v>
      </c>
    </row>
    <row r="5832" spans="1:32">
      <c r="A5832" t="s">
        <v>5882</v>
      </c>
      <c r="B5832" t="s">
        <v>13407</v>
      </c>
      <c r="C5832" t="s">
        <v>15830</v>
      </c>
      <c r="D5832" t="s">
        <v>16207</v>
      </c>
      <c r="E5832" t="s">
        <v>16218</v>
      </c>
      <c r="F5832" t="s">
        <v>16221</v>
      </c>
      <c r="G5832" t="s">
        <v>16241</v>
      </c>
      <c r="H5832" t="s">
        <v>16241</v>
      </c>
      <c r="I5832" t="s">
        <v>16355</v>
      </c>
      <c r="J5832" t="s">
        <v>16385</v>
      </c>
      <c r="K5832">
        <v>0.141</v>
      </c>
      <c r="L5832">
        <v>6121</v>
      </c>
      <c r="M5832">
        <v>1649</v>
      </c>
      <c r="N5832" t="s">
        <v>16393</v>
      </c>
      <c r="O5832" s="4">
        <v>38692</v>
      </c>
      <c r="P5832" s="4">
        <v>77599</v>
      </c>
      <c r="Q5832" s="4">
        <v>116291</v>
      </c>
      <c r="R5832" s="4">
        <v>348873</v>
      </c>
      <c r="S5832" t="s">
        <v>22093</v>
      </c>
      <c r="T5832" s="6">
        <v>35582</v>
      </c>
      <c r="U5832" s="4">
        <v>142500</v>
      </c>
      <c r="X5832" t="s">
        <v>3</v>
      </c>
      <c r="AA5832" s="5" t="str">
        <f>HYPERLINK("https://www.zillow.com/homes/727-BERWICK-PL-ROSELLE-IL-60172_rb/","check listing")</f>
        <v>check listing</v>
      </c>
      <c r="AB5832" s="5" t="str">
        <f>HYPERLINK("https://propertylookup.dupagecounty.gov/Datalets/Datalet.aspx?UseSearch=no&amp;mode=sales&amp;pin=0209123009","sales record")</f>
        <v>sales record</v>
      </c>
      <c r="AC5832" t="s">
        <v>3</v>
      </c>
      <c r="AD5832">
        <v>41.969785</v>
      </c>
      <c r="AE5832">
        <v>-88.109931</v>
      </c>
      <c r="AF5832" s="5" t="str">
        <f>HYPERLINK("https://www.google.com/maps/search/?api=1&amp;query=41.969785,-88.109931","map")</f>
        <v>map</v>
      </c>
    </row>
    <row r="5833" spans="1:32">
      <c r="A5833" t="s">
        <v>5883</v>
      </c>
      <c r="B5833" t="s">
        <v>13408</v>
      </c>
      <c r="C5833" t="s">
        <v>15947</v>
      </c>
      <c r="D5833" t="s">
        <v>16207</v>
      </c>
      <c r="E5833" t="s">
        <v>16218</v>
      </c>
      <c r="F5833" t="s">
        <v>16221</v>
      </c>
      <c r="G5833" t="s">
        <v>16241</v>
      </c>
      <c r="H5833" t="s">
        <v>16241</v>
      </c>
      <c r="I5833" t="s">
        <v>16355</v>
      </c>
      <c r="J5833" t="s">
        <v>16385</v>
      </c>
      <c r="K5833">
        <v>0.141</v>
      </c>
      <c r="L5833">
        <v>6121</v>
      </c>
      <c r="M5833">
        <v>1813</v>
      </c>
      <c r="N5833" t="s">
        <v>16393</v>
      </c>
      <c r="O5833" s="4">
        <v>38692</v>
      </c>
      <c r="P5833" s="4">
        <v>55546</v>
      </c>
      <c r="Q5833" s="4">
        <v>94238</v>
      </c>
      <c r="R5833" s="4">
        <v>282714</v>
      </c>
      <c r="S5833" t="s">
        <v>22094</v>
      </c>
      <c r="T5833" s="6">
        <v>43160</v>
      </c>
      <c r="U5833" s="4">
        <v>195265</v>
      </c>
      <c r="V5833" t="s">
        <v>23739</v>
      </c>
      <c r="W5833" t="s">
        <v>26987</v>
      </c>
      <c r="X5833" t="s">
        <v>3</v>
      </c>
      <c r="AA5833" s="5" t="str">
        <f>HYPERLINK("https://www.zillow.com/homes/685-BERWICK-PL-ROSELLE-IL-601722731_rb/","check listing")</f>
        <v>check listing</v>
      </c>
      <c r="AB5833" s="5" t="str">
        <f>HYPERLINK("https://propertylookup.dupagecounty.gov/Datalets/Datalet.aspx?UseSearch=no&amp;mode=sales&amp;pin=0208215003","sales record")</f>
        <v>sales record</v>
      </c>
      <c r="AC5833" t="s">
        <v>3</v>
      </c>
      <c r="AD5833">
        <v>41.970502</v>
      </c>
      <c r="AE5833">
        <v>-88.111052</v>
      </c>
      <c r="AF5833" s="5" t="str">
        <f>HYPERLINK("https://www.google.com/maps/search/?api=1&amp;query=41.970502,-88.111052","map")</f>
        <v>map</v>
      </c>
    </row>
    <row r="5834" spans="1:32">
      <c r="A5834" t="s">
        <v>5884</v>
      </c>
      <c r="B5834" t="s">
        <v>13409</v>
      </c>
      <c r="C5834" t="s">
        <v>15830</v>
      </c>
      <c r="D5834" t="s">
        <v>16207</v>
      </c>
      <c r="E5834" t="s">
        <v>16218</v>
      </c>
      <c r="F5834" t="s">
        <v>16221</v>
      </c>
      <c r="G5834" t="s">
        <v>16241</v>
      </c>
      <c r="H5834" t="s">
        <v>16241</v>
      </c>
      <c r="I5834" t="s">
        <v>16355</v>
      </c>
      <c r="J5834" t="s">
        <v>16385</v>
      </c>
      <c r="K5834">
        <v>0.141</v>
      </c>
      <c r="L5834">
        <v>6121</v>
      </c>
      <c r="M5834">
        <v>2506</v>
      </c>
      <c r="N5834" t="s">
        <v>16393</v>
      </c>
      <c r="O5834" s="4">
        <v>38692</v>
      </c>
      <c r="P5834" s="4">
        <v>91274</v>
      </c>
      <c r="Q5834" s="4">
        <v>129966</v>
      </c>
      <c r="R5834" s="4">
        <v>389898</v>
      </c>
      <c r="S5834" t="s">
        <v>22095</v>
      </c>
      <c r="T5834" s="6">
        <v>32509</v>
      </c>
      <c r="U5834" s="4">
        <v>112200</v>
      </c>
      <c r="X5834" t="s">
        <v>3</v>
      </c>
      <c r="AA5834" s="5" t="str">
        <f>HYPERLINK("https://www.zillow.com/homes/705-BERWICK-CT-ROSELLE-IL-60172_rb/","check listing")</f>
        <v>check listing</v>
      </c>
      <c r="AB5834" s="5" t="str">
        <f>HYPERLINK("https://propertylookup.dupagecounty.gov/Datalets/Datalet.aspx?UseSearch=no&amp;mode=sales&amp;pin=0208215005","sales record")</f>
        <v>sales record</v>
      </c>
      <c r="AC5834" t="s">
        <v>3</v>
      </c>
      <c r="AD5834">
        <v>41.970224</v>
      </c>
      <c r="AE5834">
        <v>-88.111289</v>
      </c>
      <c r="AF5834" s="5" t="str">
        <f>HYPERLINK("https://www.google.com/maps/search/?api=1&amp;query=41.970224,-88.111289","map")</f>
        <v>map</v>
      </c>
    </row>
    <row r="5835" spans="1:32">
      <c r="A5835" t="s">
        <v>5885</v>
      </c>
      <c r="B5835" t="s">
        <v>13410</v>
      </c>
      <c r="C5835" t="s">
        <v>15830</v>
      </c>
      <c r="D5835" t="s">
        <v>16207</v>
      </c>
      <c r="E5835" t="s">
        <v>16218</v>
      </c>
      <c r="F5835" t="s">
        <v>16221</v>
      </c>
      <c r="G5835" t="s">
        <v>16241</v>
      </c>
      <c r="H5835" t="s">
        <v>16241</v>
      </c>
      <c r="I5835" t="s">
        <v>16355</v>
      </c>
      <c r="J5835" t="s">
        <v>16385</v>
      </c>
      <c r="K5835">
        <v>0.14</v>
      </c>
      <c r="L5835">
        <v>6120</v>
      </c>
      <c r="M5835">
        <v>1814</v>
      </c>
      <c r="N5835" t="s">
        <v>16393</v>
      </c>
      <c r="O5835" s="4">
        <v>38692</v>
      </c>
      <c r="P5835" s="4">
        <v>83516</v>
      </c>
      <c r="Q5835" s="4">
        <v>122208</v>
      </c>
      <c r="R5835" s="4">
        <v>366624</v>
      </c>
      <c r="S5835" t="s">
        <v>22096</v>
      </c>
      <c r="T5835" s="6">
        <v>42125</v>
      </c>
      <c r="U5835" s="4">
        <v>256000</v>
      </c>
      <c r="V5835" t="s">
        <v>23739</v>
      </c>
      <c r="W5835" t="s">
        <v>26988</v>
      </c>
      <c r="X5835" t="s">
        <v>3</v>
      </c>
      <c r="AA5835" s="5" t="str">
        <f>HYPERLINK("https://www.zillow.com/homes/580-RADNOR-DR-ROSELLE-IL-60172_rb/","check listing")</f>
        <v>check listing</v>
      </c>
      <c r="AB5835" s="5" t="str">
        <f>HYPERLINK("https://propertylookup.dupagecounty.gov/Datalets/Datalet.aspx?UseSearch=no&amp;mode=sales&amp;pin=0209121025","sales record")</f>
        <v>sales record</v>
      </c>
      <c r="AC5835" t="s">
        <v>3</v>
      </c>
      <c r="AD5835">
        <v>41.972135</v>
      </c>
      <c r="AE5835">
        <v>-88.105913</v>
      </c>
      <c r="AF5835" s="5" t="str">
        <f>HYPERLINK("https://www.google.com/maps/search/?api=1&amp;query=41.972135,-88.105913","map")</f>
        <v>map</v>
      </c>
    </row>
    <row r="5836" spans="1:32">
      <c r="A5836" t="s">
        <v>5886</v>
      </c>
      <c r="B5836" t="s">
        <v>13411</v>
      </c>
      <c r="C5836" t="s">
        <v>15830</v>
      </c>
      <c r="D5836" t="s">
        <v>16207</v>
      </c>
      <c r="E5836" t="s">
        <v>16218</v>
      </c>
      <c r="F5836" t="s">
        <v>16221</v>
      </c>
      <c r="G5836" t="s">
        <v>16241</v>
      </c>
      <c r="H5836" t="s">
        <v>16241</v>
      </c>
      <c r="I5836" t="s">
        <v>16355</v>
      </c>
      <c r="J5836" t="s">
        <v>16385</v>
      </c>
      <c r="K5836">
        <v>0.14</v>
      </c>
      <c r="L5836">
        <v>6120</v>
      </c>
      <c r="M5836">
        <v>1781</v>
      </c>
      <c r="N5836" t="s">
        <v>16393</v>
      </c>
      <c r="O5836" s="4">
        <v>38692</v>
      </c>
      <c r="P5836" s="4">
        <v>86791</v>
      </c>
      <c r="Q5836" s="4">
        <v>125483</v>
      </c>
      <c r="R5836" s="4">
        <v>376449</v>
      </c>
      <c r="S5836" t="s">
        <v>22097</v>
      </c>
      <c r="T5836" s="6">
        <v>34912</v>
      </c>
      <c r="U5836" s="4">
        <v>135000</v>
      </c>
      <c r="X5836" t="s">
        <v>3</v>
      </c>
      <c r="AA5836" s="5" t="str">
        <f>HYPERLINK("https://www.zillow.com/homes/719-BERWICK-PL-ROSELLE-IL-60172_rb/","check listing")</f>
        <v>check listing</v>
      </c>
      <c r="AB5836" s="5" t="str">
        <f>HYPERLINK("https://propertylookup.dupagecounty.gov/Datalets/Datalet.aspx?UseSearch=no&amp;mode=sales&amp;pin=0209123011","sales record")</f>
        <v>sales record</v>
      </c>
      <c r="AC5836" t="s">
        <v>3</v>
      </c>
      <c r="AD5836">
        <v>41.970072</v>
      </c>
      <c r="AE5836">
        <v>-88.109714</v>
      </c>
      <c r="AF5836" s="5" t="str">
        <f>HYPERLINK("https://www.google.com/maps/search/?api=1&amp;query=41.970072,-88.109714","map")</f>
        <v>map</v>
      </c>
    </row>
    <row r="5837" spans="1:32">
      <c r="A5837" t="s">
        <v>5887</v>
      </c>
      <c r="B5837" t="s">
        <v>13412</v>
      </c>
      <c r="C5837" t="s">
        <v>15830</v>
      </c>
      <c r="D5837" t="s">
        <v>16207</v>
      </c>
      <c r="E5837" t="s">
        <v>16218</v>
      </c>
      <c r="F5837" t="s">
        <v>16221</v>
      </c>
      <c r="G5837" t="s">
        <v>16241</v>
      </c>
      <c r="H5837" t="s">
        <v>16241</v>
      </c>
      <c r="I5837" t="s">
        <v>16355</v>
      </c>
      <c r="J5837" t="s">
        <v>16385</v>
      </c>
      <c r="K5837">
        <v>0.14</v>
      </c>
      <c r="L5837">
        <v>6120</v>
      </c>
      <c r="M5837">
        <v>1979</v>
      </c>
      <c r="N5837" t="s">
        <v>16393</v>
      </c>
      <c r="O5837" s="4">
        <v>38692</v>
      </c>
      <c r="P5837" s="4">
        <v>86839</v>
      </c>
      <c r="Q5837" s="4">
        <v>125531</v>
      </c>
      <c r="R5837" s="4">
        <v>376593</v>
      </c>
      <c r="S5837" t="s">
        <v>22098</v>
      </c>
      <c r="T5837" s="6">
        <v>34274</v>
      </c>
      <c r="U5837" s="4">
        <v>135000</v>
      </c>
      <c r="X5837" t="s">
        <v>3</v>
      </c>
      <c r="AA5837" s="5" t="str">
        <f>HYPERLINK("https://www.zillow.com/homes/640-RADNOR-DR-ROSELLE-IL-60172_rb/","check listing")</f>
        <v>check listing</v>
      </c>
      <c r="AB5837" s="5" t="str">
        <f>HYPERLINK("https://propertylookup.dupagecounty.gov/Datalets/Datalet.aspx?UseSearch=no&amp;mode=sales&amp;pin=0209121031","sales record")</f>
        <v>sales record</v>
      </c>
      <c r="AC5837" t="s">
        <v>3</v>
      </c>
      <c r="AD5837">
        <v>41.971147</v>
      </c>
      <c r="AE5837">
        <v>-88.105947</v>
      </c>
      <c r="AF5837" s="5" t="str">
        <f>HYPERLINK("https://www.google.com/maps/search/?api=1&amp;query=41.971147,-88.105947","map")</f>
        <v>map</v>
      </c>
    </row>
    <row r="5838" spans="1:32">
      <c r="A5838" t="s">
        <v>5888</v>
      </c>
      <c r="B5838" t="s">
        <v>13413</v>
      </c>
      <c r="C5838" t="s">
        <v>15830</v>
      </c>
      <c r="D5838" t="s">
        <v>16207</v>
      </c>
      <c r="E5838" t="s">
        <v>16218</v>
      </c>
      <c r="F5838" t="s">
        <v>16221</v>
      </c>
      <c r="G5838" t="s">
        <v>16241</v>
      </c>
      <c r="H5838" t="s">
        <v>16241</v>
      </c>
      <c r="I5838" t="s">
        <v>16355</v>
      </c>
      <c r="J5838" t="s">
        <v>16385</v>
      </c>
      <c r="K5838">
        <v>0.14</v>
      </c>
      <c r="L5838">
        <v>6120</v>
      </c>
      <c r="M5838">
        <v>1980</v>
      </c>
      <c r="N5838" t="s">
        <v>16393</v>
      </c>
      <c r="O5838" s="4">
        <v>38692</v>
      </c>
      <c r="P5838" s="4">
        <v>86348</v>
      </c>
      <c r="Q5838" s="4">
        <v>125040</v>
      </c>
      <c r="R5838" s="4">
        <v>375120</v>
      </c>
      <c r="S5838" t="s">
        <v>22099</v>
      </c>
      <c r="T5838" s="6">
        <v>36982</v>
      </c>
      <c r="U5838" s="4">
        <v>188900</v>
      </c>
      <c r="V5838" t="s">
        <v>23739</v>
      </c>
      <c r="W5838" t="s">
        <v>26989</v>
      </c>
      <c r="X5838" t="s">
        <v>3</v>
      </c>
      <c r="AA5838" s="5" t="str">
        <f>HYPERLINK("https://www.zillow.com/homes/650-RADNOR-DR-ROSELLE-IL-60172_rb/","check listing")</f>
        <v>check listing</v>
      </c>
      <c r="AB5838" s="5" t="str">
        <f>HYPERLINK("https://propertylookup.dupagecounty.gov/Datalets/Datalet.aspx?UseSearch=no&amp;mode=sales&amp;pin=0209121032","sales record")</f>
        <v>sales record</v>
      </c>
      <c r="AC5838" t="s">
        <v>3</v>
      </c>
      <c r="AD5838">
        <v>41.970982</v>
      </c>
      <c r="AE5838">
        <v>-88.105953</v>
      </c>
      <c r="AF5838" s="5" t="str">
        <f>HYPERLINK("https://www.google.com/maps/search/?api=1&amp;query=41.970982,-88.105953","map")</f>
        <v>map</v>
      </c>
    </row>
    <row r="5839" spans="1:32">
      <c r="A5839" t="s">
        <v>5889</v>
      </c>
      <c r="B5839" t="s">
        <v>13414</v>
      </c>
      <c r="C5839" t="s">
        <v>15926</v>
      </c>
      <c r="D5839" t="s">
        <v>16207</v>
      </c>
      <c r="E5839" t="s">
        <v>16218</v>
      </c>
      <c r="F5839" t="s">
        <v>16221</v>
      </c>
      <c r="G5839" t="s">
        <v>16241</v>
      </c>
      <c r="H5839" t="s">
        <v>16241</v>
      </c>
      <c r="I5839" t="s">
        <v>16355</v>
      </c>
      <c r="J5839" t="s">
        <v>16385</v>
      </c>
      <c r="K5839">
        <v>0.14</v>
      </c>
      <c r="L5839">
        <v>6120</v>
      </c>
      <c r="M5839">
        <v>1320</v>
      </c>
      <c r="N5839" t="s">
        <v>16393</v>
      </c>
      <c r="O5839" s="4">
        <v>38692</v>
      </c>
      <c r="P5839" s="4">
        <v>86791</v>
      </c>
      <c r="Q5839" s="4">
        <v>125483</v>
      </c>
      <c r="R5839" s="4">
        <v>376449</v>
      </c>
      <c r="S5839" t="s">
        <v>22100</v>
      </c>
      <c r="T5839" s="6">
        <v>34455</v>
      </c>
      <c r="U5839" s="4">
        <v>148000</v>
      </c>
      <c r="X5839" t="s">
        <v>3</v>
      </c>
      <c r="AA5839" s="5" t="str">
        <f>HYPERLINK("https://www.zillow.com/homes/590-RADNOR-DR-ROSELLE-IL-601722741_rb/","check listing")</f>
        <v>check listing</v>
      </c>
      <c r="AB5839" s="5" t="str">
        <f>HYPERLINK("https://propertylookup.dupagecounty.gov/Datalets/Datalet.aspx?UseSearch=no&amp;mode=sales&amp;pin=0209121026","sales record")</f>
        <v>sales record</v>
      </c>
      <c r="AC5839" t="s">
        <v>3</v>
      </c>
      <c r="AD5839">
        <v>41.97197</v>
      </c>
      <c r="AE5839">
        <v>-88.105919</v>
      </c>
      <c r="AF5839" s="5" t="str">
        <f>HYPERLINK("https://www.google.com/maps/search/?api=1&amp;query=41.97197,-88.105919","map")</f>
        <v>map</v>
      </c>
    </row>
    <row r="5840" spans="1:32">
      <c r="A5840" t="s">
        <v>5890</v>
      </c>
      <c r="B5840" t="s">
        <v>13415</v>
      </c>
      <c r="C5840" t="s">
        <v>15830</v>
      </c>
      <c r="D5840" t="s">
        <v>16207</v>
      </c>
      <c r="E5840" t="s">
        <v>16218</v>
      </c>
      <c r="F5840" t="s">
        <v>16221</v>
      </c>
      <c r="G5840" t="s">
        <v>16241</v>
      </c>
      <c r="H5840" t="s">
        <v>16241</v>
      </c>
      <c r="I5840" t="s">
        <v>16355</v>
      </c>
      <c r="J5840" t="s">
        <v>16385</v>
      </c>
      <c r="K5840">
        <v>0.14</v>
      </c>
      <c r="L5840">
        <v>6120</v>
      </c>
      <c r="M5840">
        <v>1583</v>
      </c>
      <c r="N5840" t="s">
        <v>16393</v>
      </c>
      <c r="O5840" s="4">
        <v>38692</v>
      </c>
      <c r="P5840" s="4">
        <v>80229</v>
      </c>
      <c r="Q5840" s="4">
        <v>118921</v>
      </c>
      <c r="R5840" s="4">
        <v>356763</v>
      </c>
      <c r="S5840" t="s">
        <v>22101</v>
      </c>
      <c r="T5840" s="6">
        <v>38292</v>
      </c>
      <c r="U5840" s="4">
        <v>238000</v>
      </c>
      <c r="V5840" t="s">
        <v>23739</v>
      </c>
      <c r="W5840" t="s">
        <v>26990</v>
      </c>
      <c r="X5840" t="s">
        <v>3</v>
      </c>
      <c r="AA5840" s="5" t="str">
        <f>HYPERLINK("https://www.zillow.com/homes/723-BERWICK-PL-ROSELLE-IL-60172_rb/","check listing")</f>
        <v>check listing</v>
      </c>
      <c r="AB5840" s="5" t="str">
        <f>HYPERLINK("https://propertylookup.dupagecounty.gov/Datalets/Datalet.aspx?UseSearch=no&amp;mode=sales&amp;pin=0209123010","sales record")</f>
        <v>sales record</v>
      </c>
      <c r="AC5840" t="s">
        <v>3</v>
      </c>
      <c r="AD5840">
        <v>41.969929</v>
      </c>
      <c r="AE5840">
        <v>-88.10982300000001</v>
      </c>
      <c r="AF5840" s="5" t="str">
        <f>HYPERLINK("https://www.google.com/maps/search/?api=1&amp;query=41.969929,-88.109823","map")</f>
        <v>map</v>
      </c>
    </row>
    <row r="5841" spans="1:32">
      <c r="A5841" t="s">
        <v>5891</v>
      </c>
      <c r="B5841" t="s">
        <v>13416</v>
      </c>
      <c r="C5841" t="s">
        <v>15830</v>
      </c>
      <c r="D5841" t="s">
        <v>16207</v>
      </c>
      <c r="E5841" t="s">
        <v>16218</v>
      </c>
      <c r="F5841" t="s">
        <v>16221</v>
      </c>
      <c r="G5841" t="s">
        <v>16241</v>
      </c>
      <c r="H5841" t="s">
        <v>16241</v>
      </c>
      <c r="I5841" t="s">
        <v>16355</v>
      </c>
      <c r="J5841" t="s">
        <v>16385</v>
      </c>
      <c r="K5841">
        <v>0.14</v>
      </c>
      <c r="L5841">
        <v>6120</v>
      </c>
      <c r="M5841">
        <v>1979</v>
      </c>
      <c r="N5841" t="s">
        <v>16393</v>
      </c>
      <c r="O5841" s="4">
        <v>38692</v>
      </c>
      <c r="P5841" s="4">
        <v>83385</v>
      </c>
      <c r="Q5841" s="4">
        <v>122077</v>
      </c>
      <c r="R5841" s="4">
        <v>366231</v>
      </c>
      <c r="S5841" t="s">
        <v>22102</v>
      </c>
      <c r="T5841" s="6">
        <v>34851</v>
      </c>
      <c r="U5841" s="4">
        <v>149000</v>
      </c>
      <c r="X5841" t="s">
        <v>3</v>
      </c>
      <c r="AA5841" s="5" t="str">
        <f>HYPERLINK("https://www.zillow.com/homes/610-RADNOR-DR-ROSELLE-IL-60172_rb/","check listing")</f>
        <v>check listing</v>
      </c>
      <c r="AB5841" s="5" t="str">
        <f>HYPERLINK("https://propertylookup.dupagecounty.gov/Datalets/Datalet.aspx?UseSearch=no&amp;mode=sales&amp;pin=0209121028","sales record")</f>
        <v>sales record</v>
      </c>
      <c r="AC5841" t="s">
        <v>3</v>
      </c>
      <c r="AD5841">
        <v>41.971641</v>
      </c>
      <c r="AE5841">
        <v>-88.10593</v>
      </c>
      <c r="AF5841" s="5" t="str">
        <f>HYPERLINK("https://www.google.com/maps/search/?api=1&amp;query=41.971641,-88.10593","map")</f>
        <v>map</v>
      </c>
    </row>
    <row r="5842" spans="1:32">
      <c r="A5842" t="s">
        <v>5892</v>
      </c>
      <c r="B5842" t="s">
        <v>13417</v>
      </c>
      <c r="C5842" t="s">
        <v>15946</v>
      </c>
      <c r="D5842" t="s">
        <v>16207</v>
      </c>
      <c r="E5842" t="s">
        <v>16218</v>
      </c>
      <c r="F5842" t="s">
        <v>16221</v>
      </c>
      <c r="G5842" t="s">
        <v>16241</v>
      </c>
      <c r="H5842" t="s">
        <v>16241</v>
      </c>
      <c r="I5842" t="s">
        <v>16355</v>
      </c>
      <c r="J5842" t="s">
        <v>16385</v>
      </c>
      <c r="K5842">
        <v>0.14</v>
      </c>
      <c r="L5842">
        <v>6120</v>
      </c>
      <c r="M5842">
        <v>1451</v>
      </c>
      <c r="N5842" t="s">
        <v>16393</v>
      </c>
      <c r="O5842" s="4">
        <v>38692</v>
      </c>
      <c r="P5842" s="4">
        <v>90819</v>
      </c>
      <c r="Q5842" s="4">
        <v>129511</v>
      </c>
      <c r="R5842" s="4">
        <v>388533</v>
      </c>
      <c r="S5842" t="s">
        <v>22103</v>
      </c>
      <c r="T5842" s="6">
        <v>45408</v>
      </c>
      <c r="U5842" s="4">
        <v>475000</v>
      </c>
      <c r="V5842" t="s">
        <v>23739</v>
      </c>
      <c r="W5842" t="s">
        <v>26991</v>
      </c>
      <c r="X5842" t="s">
        <v>3</v>
      </c>
      <c r="AA5842" s="5" t="str">
        <f>HYPERLINK("https://www.zillow.com/homes/620-RADNOR-DR-ROSELLE-IL-601722743_rb/","check listing")</f>
        <v>check listing</v>
      </c>
      <c r="AB5842" s="5" t="str">
        <f>HYPERLINK("https://propertylookup.dupagecounty.gov/Datalets/Datalet.aspx?UseSearch=no&amp;mode=sales&amp;pin=0209121029","sales record")</f>
        <v>sales record</v>
      </c>
      <c r="AC5842" t="s">
        <v>3</v>
      </c>
      <c r="AD5842">
        <v>41.971476</v>
      </c>
      <c r="AE5842">
        <v>-88.105936</v>
      </c>
      <c r="AF5842" s="5" t="str">
        <f>HYPERLINK("https://www.google.com/maps/search/?api=1&amp;query=41.971476,-88.105936","map")</f>
        <v>map</v>
      </c>
    </row>
    <row r="5843" spans="1:32">
      <c r="A5843" t="s">
        <v>5893</v>
      </c>
      <c r="B5843" t="s">
        <v>13418</v>
      </c>
      <c r="C5843" t="s">
        <v>15830</v>
      </c>
      <c r="D5843" t="s">
        <v>16207</v>
      </c>
      <c r="E5843" t="s">
        <v>16218</v>
      </c>
      <c r="F5843" t="s">
        <v>16221</v>
      </c>
      <c r="G5843" t="s">
        <v>16241</v>
      </c>
      <c r="H5843" t="s">
        <v>16241</v>
      </c>
      <c r="I5843" t="s">
        <v>16355</v>
      </c>
      <c r="J5843" t="s">
        <v>16385</v>
      </c>
      <c r="K5843">
        <v>0.14</v>
      </c>
      <c r="L5843">
        <v>6119</v>
      </c>
      <c r="M5843">
        <v>2359</v>
      </c>
      <c r="N5843" t="s">
        <v>16393</v>
      </c>
      <c r="O5843" s="4">
        <v>38692</v>
      </c>
      <c r="P5843" s="4">
        <v>83839</v>
      </c>
      <c r="Q5843" s="4">
        <v>122531</v>
      </c>
      <c r="R5843" s="4">
        <v>367593</v>
      </c>
      <c r="S5843" t="s">
        <v>22104</v>
      </c>
      <c r="T5843" s="6">
        <v>37257</v>
      </c>
      <c r="U5843" s="4">
        <v>195000</v>
      </c>
      <c r="V5843" t="s">
        <v>23739</v>
      </c>
      <c r="W5843" t="s">
        <v>26992</v>
      </c>
      <c r="X5843" t="s">
        <v>3</v>
      </c>
      <c r="AA5843" s="5" t="str">
        <f>HYPERLINK("https://www.zillow.com/homes/695-BERWICK-PL-ROSELLE-IL-60172_rb/","check listing")</f>
        <v>check listing</v>
      </c>
      <c r="AB5843" s="5" t="str">
        <f>HYPERLINK("https://propertylookup.dupagecounty.gov/Datalets/Datalet.aspx?UseSearch=no&amp;mode=sales&amp;pin=0208215004","sales record")</f>
        <v>sales record</v>
      </c>
      <c r="AC5843" t="s">
        <v>3</v>
      </c>
      <c r="AD5843">
        <v>41.970363</v>
      </c>
      <c r="AE5843">
        <v>-88.111171</v>
      </c>
      <c r="AF5843" s="5" t="str">
        <f>HYPERLINK("https://www.google.com/maps/search/?api=1&amp;query=41.970363,-88.111171","map")</f>
        <v>map</v>
      </c>
    </row>
    <row r="5844" spans="1:32">
      <c r="A5844" t="s">
        <v>5894</v>
      </c>
      <c r="B5844" t="s">
        <v>13419</v>
      </c>
      <c r="C5844" t="s">
        <v>15948</v>
      </c>
      <c r="D5844" t="s">
        <v>16207</v>
      </c>
      <c r="E5844" t="s">
        <v>16218</v>
      </c>
      <c r="F5844" t="s">
        <v>16221</v>
      </c>
      <c r="G5844" t="s">
        <v>16241</v>
      </c>
      <c r="H5844" t="s">
        <v>16241</v>
      </c>
      <c r="I5844" t="s">
        <v>16355</v>
      </c>
      <c r="J5844" t="s">
        <v>16385</v>
      </c>
      <c r="K5844">
        <v>0.14</v>
      </c>
      <c r="L5844">
        <v>6116</v>
      </c>
      <c r="M5844">
        <v>1842</v>
      </c>
      <c r="N5844" t="s">
        <v>16393</v>
      </c>
      <c r="O5844" s="4">
        <v>38692</v>
      </c>
      <c r="P5844" s="4">
        <v>55606</v>
      </c>
      <c r="Q5844" s="4">
        <v>94298</v>
      </c>
      <c r="R5844" s="4">
        <v>282894</v>
      </c>
      <c r="S5844" t="s">
        <v>22105</v>
      </c>
      <c r="T5844" s="6">
        <v>44501</v>
      </c>
      <c r="U5844" s="4">
        <v>250000</v>
      </c>
      <c r="V5844" t="s">
        <v>23739</v>
      </c>
      <c r="W5844" t="s">
        <v>26993</v>
      </c>
      <c r="X5844" t="s">
        <v>3</v>
      </c>
      <c r="AA5844" s="5" t="str">
        <f>HYPERLINK("https://www.zillow.com/homes/755-EDENWOOD-DR-ROSELLE-IL-601722824_rb/","check listing")</f>
        <v>check listing</v>
      </c>
      <c r="AB5844" s="5" t="str">
        <f>HYPERLINK("https://propertylookup.dupagecounty.gov/Datalets/Datalet.aspx?UseSearch=no&amp;mode=sales&amp;pin=0209203028","sales record")</f>
        <v>sales record</v>
      </c>
      <c r="AC5844" t="s">
        <v>3</v>
      </c>
      <c r="AD5844">
        <v>41.972097</v>
      </c>
      <c r="AE5844">
        <v>-88.100078</v>
      </c>
      <c r="AF5844" s="5" t="str">
        <f>HYPERLINK("https://www.google.com/maps/search/?api=1&amp;query=41.972097,-88.100078","map")</f>
        <v>map</v>
      </c>
    </row>
    <row r="5845" spans="1:32">
      <c r="A5845" t="s">
        <v>5895</v>
      </c>
      <c r="B5845" t="s">
        <v>13420</v>
      </c>
      <c r="C5845" t="s">
        <v>15830</v>
      </c>
      <c r="D5845" t="s">
        <v>16207</v>
      </c>
      <c r="E5845" t="s">
        <v>16218</v>
      </c>
      <c r="F5845" t="s">
        <v>16221</v>
      </c>
      <c r="G5845" t="s">
        <v>16241</v>
      </c>
      <c r="H5845" t="s">
        <v>16241</v>
      </c>
      <c r="I5845" t="s">
        <v>16355</v>
      </c>
      <c r="J5845" t="s">
        <v>16385</v>
      </c>
      <c r="K5845">
        <v>0.14</v>
      </c>
      <c r="L5845">
        <v>6115</v>
      </c>
      <c r="M5845">
        <v>1385</v>
      </c>
      <c r="N5845" t="s">
        <v>16393</v>
      </c>
      <c r="O5845" s="4">
        <v>38692</v>
      </c>
      <c r="P5845" s="4">
        <v>93689</v>
      </c>
      <c r="Q5845" s="4">
        <v>132381</v>
      </c>
      <c r="R5845" s="4">
        <v>397143</v>
      </c>
      <c r="S5845" t="s">
        <v>22106</v>
      </c>
      <c r="T5845" s="6">
        <v>35977</v>
      </c>
      <c r="U5845" s="4">
        <v>172000</v>
      </c>
      <c r="X5845" t="s">
        <v>3</v>
      </c>
      <c r="AA5845" s="5" t="str">
        <f>HYPERLINK("https://www.zillow.com/homes/703-BRIARWOOD-LN-ROSELLE-IL-60172_rb/","check listing")</f>
        <v>check listing</v>
      </c>
      <c r="AB5845" s="5" t="str">
        <f>HYPERLINK("https://propertylookup.dupagecounty.gov/Datalets/Datalet.aspx?UseSearch=no&amp;mode=sales&amp;pin=0209121017","sales record")</f>
        <v>sales record</v>
      </c>
      <c r="AC5845" t="s">
        <v>3</v>
      </c>
      <c r="AD5845">
        <v>41.970389</v>
      </c>
      <c r="AE5845">
        <v>-88.108147</v>
      </c>
      <c r="AF5845" s="5" t="str">
        <f>HYPERLINK("https://www.google.com/maps/search/?api=1&amp;query=41.970389,-88.108147","map")</f>
        <v>map</v>
      </c>
    </row>
    <row r="5846" spans="1:32">
      <c r="A5846" t="s">
        <v>5896</v>
      </c>
      <c r="B5846" t="s">
        <v>13421</v>
      </c>
      <c r="C5846" t="s">
        <v>15830</v>
      </c>
      <c r="D5846" t="s">
        <v>16207</v>
      </c>
      <c r="E5846" t="s">
        <v>16218</v>
      </c>
      <c r="F5846" t="s">
        <v>16221</v>
      </c>
      <c r="G5846" t="s">
        <v>16241</v>
      </c>
      <c r="H5846" t="s">
        <v>16241</v>
      </c>
      <c r="I5846" t="s">
        <v>16355</v>
      </c>
      <c r="J5846" t="s">
        <v>16385</v>
      </c>
      <c r="K5846">
        <v>0.14</v>
      </c>
      <c r="L5846">
        <v>6106</v>
      </c>
      <c r="M5846">
        <v>1451</v>
      </c>
      <c r="N5846" t="s">
        <v>16393</v>
      </c>
      <c r="O5846" s="4">
        <v>38692</v>
      </c>
      <c r="P5846" s="4">
        <v>76189</v>
      </c>
      <c r="Q5846" s="4">
        <v>114881</v>
      </c>
      <c r="R5846" s="4">
        <v>344643</v>
      </c>
      <c r="S5846" t="s">
        <v>22107</v>
      </c>
      <c r="T5846" s="6">
        <v>40391</v>
      </c>
      <c r="U5846" s="4">
        <v>203000</v>
      </c>
      <c r="V5846" t="s">
        <v>23739</v>
      </c>
      <c r="W5846" t="s">
        <v>26994</v>
      </c>
      <c r="X5846" t="s">
        <v>3</v>
      </c>
      <c r="AA5846" s="5" t="str">
        <f>HYPERLINK("https://www.zillow.com/homes/705-WOODSIDE-DR-ROSELLE-IL-60172_rb/","check listing")</f>
        <v>check listing</v>
      </c>
      <c r="AB5846" s="5" t="str">
        <f>HYPERLINK("https://propertylookup.dupagecounty.gov/Datalets/Datalet.aspx?UseSearch=no&amp;mode=sales&amp;pin=0209101037","sales record")</f>
        <v>sales record</v>
      </c>
      <c r="AC5846" t="s">
        <v>3</v>
      </c>
      <c r="AD5846">
        <v>41.969962</v>
      </c>
      <c r="AE5846">
        <v>-88.104889</v>
      </c>
      <c r="AF5846" s="5" t="str">
        <f>HYPERLINK("https://www.google.com/maps/search/?api=1&amp;query=41.969962,-88.104889","map")</f>
        <v>map</v>
      </c>
    </row>
    <row r="5847" spans="1:32">
      <c r="A5847" t="s">
        <v>5897</v>
      </c>
      <c r="B5847" t="s">
        <v>13422</v>
      </c>
      <c r="C5847" t="s">
        <v>15927</v>
      </c>
      <c r="D5847" t="s">
        <v>16207</v>
      </c>
      <c r="E5847" t="s">
        <v>16218</v>
      </c>
      <c r="F5847" t="s">
        <v>16221</v>
      </c>
      <c r="G5847" t="s">
        <v>16241</v>
      </c>
      <c r="H5847" t="s">
        <v>16241</v>
      </c>
      <c r="I5847" t="s">
        <v>16355</v>
      </c>
      <c r="J5847" t="s">
        <v>16385</v>
      </c>
      <c r="K5847">
        <v>0.14</v>
      </c>
      <c r="L5847">
        <v>6104</v>
      </c>
      <c r="M5847">
        <v>1650</v>
      </c>
      <c r="N5847" t="s">
        <v>16393</v>
      </c>
      <c r="O5847" s="4">
        <v>38692</v>
      </c>
      <c r="P5847" s="4">
        <v>77277</v>
      </c>
      <c r="Q5847" s="4">
        <v>115969</v>
      </c>
      <c r="R5847" s="4">
        <v>347907</v>
      </c>
      <c r="S5847" t="s">
        <v>22108</v>
      </c>
      <c r="T5847" s="6">
        <v>43617</v>
      </c>
      <c r="U5847" s="4">
        <v>260000</v>
      </c>
      <c r="V5847" t="s">
        <v>23739</v>
      </c>
      <c r="W5847" t="s">
        <v>26995</v>
      </c>
      <c r="X5847" t="s">
        <v>3</v>
      </c>
      <c r="AA5847" s="5" t="str">
        <f>HYPERLINK("https://www.zillow.com/homes/545-RADNOR-DR-ROSELLE-IL-601722740_rb/","check listing")</f>
        <v>check listing</v>
      </c>
      <c r="AB5847" s="5" t="str">
        <f>HYPERLINK("https://propertylookup.dupagecounty.gov/Datalets/Datalet.aspx?UseSearch=no&amp;mode=sales&amp;pin=0209110031","sales record")</f>
        <v>sales record</v>
      </c>
      <c r="AC5847" t="s">
        <v>3</v>
      </c>
      <c r="AD5847">
        <v>41.972703</v>
      </c>
      <c r="AE5847">
        <v>-88.105502</v>
      </c>
      <c r="AF5847" s="5" t="str">
        <f>HYPERLINK("https://www.google.com/maps/search/?api=1&amp;query=41.972703,-88.105502","map")</f>
        <v>map</v>
      </c>
    </row>
    <row r="5848" spans="1:32">
      <c r="A5848" t="s">
        <v>5898</v>
      </c>
      <c r="B5848" t="s">
        <v>13423</v>
      </c>
      <c r="C5848" t="s">
        <v>15830</v>
      </c>
      <c r="D5848" t="s">
        <v>16207</v>
      </c>
      <c r="E5848" t="s">
        <v>16218</v>
      </c>
      <c r="F5848" t="s">
        <v>16221</v>
      </c>
      <c r="G5848" t="s">
        <v>16241</v>
      </c>
      <c r="H5848" t="s">
        <v>16241</v>
      </c>
      <c r="I5848" t="s">
        <v>16355</v>
      </c>
      <c r="J5848" t="s">
        <v>16385</v>
      </c>
      <c r="K5848">
        <v>0.14</v>
      </c>
      <c r="L5848">
        <v>6089</v>
      </c>
      <c r="N5848" t="s">
        <v>16393</v>
      </c>
      <c r="O5848" s="4">
        <v>38692</v>
      </c>
      <c r="P5848" s="4">
        <v>78161</v>
      </c>
      <c r="Q5848" s="4">
        <v>116853</v>
      </c>
      <c r="R5848" s="4">
        <v>350559</v>
      </c>
      <c r="S5848" t="s">
        <v>22109</v>
      </c>
      <c r="T5848" s="6">
        <v>35704</v>
      </c>
      <c r="U5848" s="4">
        <v>144000</v>
      </c>
      <c r="X5848" t="s">
        <v>3</v>
      </c>
      <c r="AA5848" s="5" t="str">
        <f>HYPERLINK("https://www.zillow.com/homes/484-GLENMORE-PL-ROSELLE-IL-60172_rb/","check listing")</f>
        <v>check listing</v>
      </c>
      <c r="AB5848" s="5" t="str">
        <f>HYPERLINK("https://propertylookup.dupagecounty.gov/Datalets/Datalet.aspx?UseSearch=no&amp;mode=sales&amp;pin=0209108016","sales record")</f>
        <v>sales record</v>
      </c>
      <c r="AC5848" t="s">
        <v>3</v>
      </c>
      <c r="AD5848">
        <v>41.973962</v>
      </c>
      <c r="AE5848">
        <v>-88.105569</v>
      </c>
      <c r="AF5848" s="5" t="str">
        <f>HYPERLINK("https://www.google.com/maps/search/?api=1&amp;query=41.973962,-88.105569","map")</f>
        <v>map</v>
      </c>
    </row>
    <row r="5849" spans="1:32">
      <c r="A5849" t="s">
        <v>5899</v>
      </c>
      <c r="B5849" t="s">
        <v>13424</v>
      </c>
      <c r="C5849" t="s">
        <v>15830</v>
      </c>
      <c r="D5849" t="s">
        <v>16207</v>
      </c>
      <c r="E5849" t="s">
        <v>16218</v>
      </c>
      <c r="F5849" t="s">
        <v>16221</v>
      </c>
      <c r="G5849" t="s">
        <v>16241</v>
      </c>
      <c r="H5849" t="s">
        <v>16241</v>
      </c>
      <c r="I5849" t="s">
        <v>16355</v>
      </c>
      <c r="J5849" t="s">
        <v>16385</v>
      </c>
      <c r="K5849">
        <v>0.14</v>
      </c>
      <c r="L5849">
        <v>6087</v>
      </c>
      <c r="M5849">
        <v>1444</v>
      </c>
      <c r="N5849" t="s">
        <v>16393</v>
      </c>
      <c r="O5849" s="4">
        <v>38692</v>
      </c>
      <c r="P5849" s="4">
        <v>80097</v>
      </c>
      <c r="Q5849" s="4">
        <v>118789</v>
      </c>
      <c r="R5849" s="4">
        <v>356367</v>
      </c>
      <c r="S5849" t="s">
        <v>22110</v>
      </c>
      <c r="T5849" s="6">
        <v>36678</v>
      </c>
      <c r="U5849" s="4">
        <v>159000</v>
      </c>
      <c r="V5849" t="s">
        <v>23739</v>
      </c>
      <c r="W5849" t="s">
        <v>26996</v>
      </c>
      <c r="X5849" t="s">
        <v>3</v>
      </c>
      <c r="AA5849" s="5" t="str">
        <f>HYPERLINK("https://www.zillow.com/homes/450-WATERBURY-LN-ROSELLE-IL-60172_rb/","check listing")</f>
        <v>check listing</v>
      </c>
      <c r="AB5849" s="5" t="str">
        <f>HYPERLINK("https://propertylookup.dupagecounty.gov/Datalets/Datalet.aspx?UseSearch=no&amp;mode=sales&amp;pin=0208208008","sales record")</f>
        <v>sales record</v>
      </c>
      <c r="AC5849" t="s">
        <v>3</v>
      </c>
      <c r="AD5849">
        <v>41.974382</v>
      </c>
      <c r="AE5849">
        <v>-88.110727</v>
      </c>
      <c r="AF5849" s="5" t="str">
        <f>HYPERLINK("https://www.google.com/maps/search/?api=1&amp;query=41.974382,-88.110727","map")</f>
        <v>map</v>
      </c>
    </row>
    <row r="5850" spans="1:32">
      <c r="A5850" t="s">
        <v>5900</v>
      </c>
      <c r="B5850" t="s">
        <v>13425</v>
      </c>
      <c r="C5850" t="s">
        <v>15949</v>
      </c>
      <c r="D5850" t="s">
        <v>16207</v>
      </c>
      <c r="E5850" t="s">
        <v>16218</v>
      </c>
      <c r="F5850" t="s">
        <v>16221</v>
      </c>
      <c r="G5850" t="s">
        <v>16241</v>
      </c>
      <c r="H5850" t="s">
        <v>16241</v>
      </c>
      <c r="I5850" t="s">
        <v>16355</v>
      </c>
      <c r="J5850" t="s">
        <v>16385</v>
      </c>
      <c r="K5850">
        <v>0.14</v>
      </c>
      <c r="L5850">
        <v>6079</v>
      </c>
      <c r="M5850">
        <v>1450</v>
      </c>
      <c r="N5850" t="s">
        <v>16393</v>
      </c>
      <c r="O5850" s="4">
        <v>38692</v>
      </c>
      <c r="P5850" s="4">
        <v>75974</v>
      </c>
      <c r="Q5850" s="4">
        <v>114666</v>
      </c>
      <c r="R5850" s="4">
        <v>343998</v>
      </c>
      <c r="S5850" t="s">
        <v>22111</v>
      </c>
      <c r="T5850" s="6">
        <v>43678</v>
      </c>
      <c r="U5850" s="4">
        <v>275000</v>
      </c>
      <c r="V5850" t="s">
        <v>23739</v>
      </c>
      <c r="W5850" t="s">
        <v>26997</v>
      </c>
      <c r="X5850" t="s">
        <v>3</v>
      </c>
      <c r="AA5850" s="5" t="str">
        <f>HYPERLINK("https://www.zillow.com/homes/520-GLENMORE-PL-ROSELLE-IL-601722708_rb/","check listing")</f>
        <v>check listing</v>
      </c>
      <c r="AB5850" s="5" t="str">
        <f>HYPERLINK("https://propertylookup.dupagecounty.gov/Datalets/Datalet.aspx?UseSearch=no&amp;mode=sales&amp;pin=0209108020","sales record")</f>
        <v>sales record</v>
      </c>
      <c r="AC5850" t="s">
        <v>3</v>
      </c>
      <c r="AD5850">
        <v>41.973364</v>
      </c>
      <c r="AE5850">
        <v>-88.105898</v>
      </c>
      <c r="AF5850" s="5" t="str">
        <f>HYPERLINK("https://www.google.com/maps/search/?api=1&amp;query=41.973364,-88.105898","map")</f>
        <v>map</v>
      </c>
    </row>
    <row r="5851" spans="1:32">
      <c r="A5851" t="s">
        <v>5901</v>
      </c>
      <c r="B5851" t="s">
        <v>13426</v>
      </c>
      <c r="C5851" t="s">
        <v>15830</v>
      </c>
      <c r="D5851" t="s">
        <v>16207</v>
      </c>
      <c r="E5851" t="s">
        <v>16218</v>
      </c>
      <c r="F5851" t="s">
        <v>16221</v>
      </c>
      <c r="G5851" t="s">
        <v>16241</v>
      </c>
      <c r="H5851" t="s">
        <v>16241</v>
      </c>
      <c r="I5851" t="s">
        <v>16355</v>
      </c>
      <c r="J5851" t="s">
        <v>16385</v>
      </c>
      <c r="K5851">
        <v>0.139</v>
      </c>
      <c r="L5851">
        <v>6074</v>
      </c>
      <c r="M5851">
        <v>1979</v>
      </c>
      <c r="N5851" t="s">
        <v>16393</v>
      </c>
      <c r="O5851" s="4">
        <v>38692</v>
      </c>
      <c r="P5851" s="4">
        <v>87784</v>
      </c>
      <c r="Q5851" s="4">
        <v>126476</v>
      </c>
      <c r="R5851" s="4">
        <v>379428</v>
      </c>
      <c r="S5851" t="s">
        <v>22112</v>
      </c>
      <c r="T5851" s="6">
        <v>41821</v>
      </c>
      <c r="U5851" s="4">
        <v>230000</v>
      </c>
      <c r="V5851" t="s">
        <v>23739</v>
      </c>
      <c r="W5851" t="s">
        <v>22112</v>
      </c>
      <c r="X5851" t="s">
        <v>3</v>
      </c>
      <c r="AA5851" s="5" t="str">
        <f>HYPERLINK("https://www.zillow.com/homes/649-STAFFORD-DR-ROSELLE-IL-60172_rb/","check listing")</f>
        <v>check listing</v>
      </c>
      <c r="AB5851" s="5" t="str">
        <f>HYPERLINK("https://propertylookup.dupagecounty.gov/Datalets/Datalet.aspx?UseSearch=no&amp;mode=sales&amp;pin=0209120001","sales record")</f>
        <v>sales record</v>
      </c>
      <c r="AC5851" t="s">
        <v>3</v>
      </c>
      <c r="AD5851">
        <v>41.971198</v>
      </c>
      <c r="AE5851">
        <v>-88.110033</v>
      </c>
      <c r="AF5851" s="5" t="str">
        <f>HYPERLINK("https://www.google.com/maps/search/?api=1&amp;query=41.971198,-88.110033","map")</f>
        <v>map</v>
      </c>
    </row>
    <row r="5852" spans="1:32">
      <c r="A5852" t="s">
        <v>5902</v>
      </c>
      <c r="B5852" t="s">
        <v>13427</v>
      </c>
      <c r="C5852" t="s">
        <v>15830</v>
      </c>
      <c r="D5852" t="s">
        <v>16207</v>
      </c>
      <c r="E5852" t="s">
        <v>16218</v>
      </c>
      <c r="F5852" t="s">
        <v>16221</v>
      </c>
      <c r="G5852" t="s">
        <v>16241</v>
      </c>
      <c r="H5852" t="s">
        <v>16241</v>
      </c>
      <c r="I5852" t="s">
        <v>16355</v>
      </c>
      <c r="J5852" t="s">
        <v>16385</v>
      </c>
      <c r="K5852">
        <v>0.139</v>
      </c>
      <c r="L5852">
        <v>6071</v>
      </c>
      <c r="M5852">
        <v>2309</v>
      </c>
      <c r="N5852" t="s">
        <v>16393</v>
      </c>
      <c r="O5852" s="4">
        <v>38692</v>
      </c>
      <c r="P5852" s="4">
        <v>90090</v>
      </c>
      <c r="Q5852" s="4">
        <v>128782</v>
      </c>
      <c r="R5852" s="4">
        <v>386346</v>
      </c>
      <c r="S5852" t="s">
        <v>22113</v>
      </c>
      <c r="T5852" s="6">
        <v>37926</v>
      </c>
      <c r="U5852" s="4">
        <v>244000</v>
      </c>
      <c r="V5852" t="s">
        <v>23739</v>
      </c>
      <c r="W5852" t="s">
        <v>22113</v>
      </c>
      <c r="X5852" t="s">
        <v>3</v>
      </c>
      <c r="AA5852" s="5" t="str">
        <f>HYPERLINK("https://www.zillow.com/homes/695-RADNOR-DR-ROSELLE-IL-60172_rb/","check listing")</f>
        <v>check listing</v>
      </c>
      <c r="AB5852" s="5" t="str">
        <f>HYPERLINK("https://propertylookup.dupagecounty.gov/Datalets/Datalet.aspx?UseSearch=no&amp;mode=sales&amp;pin=0209110046","sales record")</f>
        <v>sales record</v>
      </c>
      <c r="AC5852" t="s">
        <v>3</v>
      </c>
      <c r="AD5852">
        <v>41.970313</v>
      </c>
      <c r="AE5852">
        <v>-88.105667</v>
      </c>
      <c r="AF5852" s="5" t="str">
        <f>HYPERLINK("https://www.google.com/maps/search/?api=1&amp;query=41.970313,-88.105667","map")</f>
        <v>map</v>
      </c>
    </row>
    <row r="5853" spans="1:32">
      <c r="A5853" t="s">
        <v>5903</v>
      </c>
      <c r="B5853" t="s">
        <v>13428</v>
      </c>
      <c r="C5853" t="s">
        <v>15927</v>
      </c>
      <c r="D5853" t="s">
        <v>16207</v>
      </c>
      <c r="E5853" t="s">
        <v>16218</v>
      </c>
      <c r="F5853" t="s">
        <v>16221</v>
      </c>
      <c r="G5853" t="s">
        <v>16241</v>
      </c>
      <c r="H5853" t="s">
        <v>16241</v>
      </c>
      <c r="I5853" t="s">
        <v>16355</v>
      </c>
      <c r="J5853" t="s">
        <v>16385</v>
      </c>
      <c r="K5853">
        <v>0.139</v>
      </c>
      <c r="L5853">
        <v>6071</v>
      </c>
      <c r="M5853">
        <v>1484</v>
      </c>
      <c r="N5853" t="s">
        <v>16393</v>
      </c>
      <c r="O5853" s="4">
        <v>38692</v>
      </c>
      <c r="P5853" s="4">
        <v>86791</v>
      </c>
      <c r="Q5853" s="4">
        <v>125483</v>
      </c>
      <c r="R5853" s="4">
        <v>376449</v>
      </c>
      <c r="S5853" t="s">
        <v>22114</v>
      </c>
      <c r="T5853" s="6">
        <v>44044</v>
      </c>
      <c r="U5853" s="4">
        <v>285000</v>
      </c>
      <c r="V5853" t="s">
        <v>23739</v>
      </c>
      <c r="W5853" t="s">
        <v>22114</v>
      </c>
      <c r="X5853" t="s">
        <v>3</v>
      </c>
      <c r="AA5853" s="5" t="str">
        <f>HYPERLINK("https://www.zillow.com/homes/555-RADNOR-DR-ROSELLE-IL-601722740_rb/","check listing")</f>
        <v>check listing</v>
      </c>
      <c r="AB5853" s="5" t="str">
        <f>HYPERLINK("https://propertylookup.dupagecounty.gov/Datalets/Datalet.aspx?UseSearch=no&amp;mode=sales&amp;pin=0209110032","sales record")</f>
        <v>sales record</v>
      </c>
      <c r="AC5853" t="s">
        <v>3</v>
      </c>
      <c r="AD5853">
        <v>41.972554</v>
      </c>
      <c r="AE5853">
        <v>-88.105448</v>
      </c>
      <c r="AF5853" s="5" t="str">
        <f>HYPERLINK("https://www.google.com/maps/search/?api=1&amp;query=41.972554,-88.105448","map")</f>
        <v>map</v>
      </c>
    </row>
    <row r="5854" spans="1:32">
      <c r="A5854" t="s">
        <v>5904</v>
      </c>
      <c r="B5854" t="s">
        <v>13429</v>
      </c>
      <c r="C5854" t="s">
        <v>15830</v>
      </c>
      <c r="D5854" t="s">
        <v>16207</v>
      </c>
      <c r="E5854" t="s">
        <v>16218</v>
      </c>
      <c r="F5854" t="s">
        <v>16221</v>
      </c>
      <c r="G5854" t="s">
        <v>16241</v>
      </c>
      <c r="H5854" t="s">
        <v>16241</v>
      </c>
      <c r="I5854" t="s">
        <v>16355</v>
      </c>
      <c r="J5854" t="s">
        <v>16385</v>
      </c>
      <c r="K5854">
        <v>0.139</v>
      </c>
      <c r="L5854">
        <v>6068</v>
      </c>
      <c r="M5854">
        <v>1807</v>
      </c>
      <c r="N5854" t="s">
        <v>16393</v>
      </c>
      <c r="O5854" s="4">
        <v>38692</v>
      </c>
      <c r="P5854" s="4">
        <v>55546</v>
      </c>
      <c r="Q5854" s="4">
        <v>94238</v>
      </c>
      <c r="R5854" s="4">
        <v>282714</v>
      </c>
      <c r="S5854" t="s">
        <v>22115</v>
      </c>
      <c r="T5854" s="6">
        <v>37834</v>
      </c>
      <c r="U5854" s="4">
        <v>198000</v>
      </c>
      <c r="V5854" t="s">
        <v>23739</v>
      </c>
      <c r="W5854" t="s">
        <v>26998</v>
      </c>
      <c r="X5854" t="s">
        <v>3</v>
      </c>
      <c r="AA5854" s="5" t="str">
        <f>HYPERLINK("https://www.zillow.com/homes/480-GLENMORE-PL-ROSELLE-IL-60172_rb/","check listing")</f>
        <v>check listing</v>
      </c>
      <c r="AB5854" s="5" t="str">
        <f>HYPERLINK("https://propertylookup.dupagecounty.gov/Datalets/Datalet.aspx?UseSearch=no&amp;mode=sales&amp;pin=0209108015","sales record")</f>
        <v>sales record</v>
      </c>
      <c r="AC5854" t="s">
        <v>3</v>
      </c>
      <c r="AD5854">
        <v>41.974045</v>
      </c>
      <c r="AE5854">
        <v>-88.105374</v>
      </c>
      <c r="AF5854" s="5" t="str">
        <f>HYPERLINK("https://www.google.com/maps/search/?api=1&amp;query=41.974045,-88.105374","map")</f>
        <v>map</v>
      </c>
    </row>
    <row r="5855" spans="1:32">
      <c r="A5855" t="s">
        <v>5905</v>
      </c>
      <c r="B5855" t="s">
        <v>13430</v>
      </c>
      <c r="C5855" t="s">
        <v>15830</v>
      </c>
      <c r="D5855" t="s">
        <v>16207</v>
      </c>
      <c r="E5855" t="s">
        <v>16218</v>
      </c>
      <c r="F5855" t="s">
        <v>16221</v>
      </c>
      <c r="G5855" t="s">
        <v>16241</v>
      </c>
      <c r="H5855" t="s">
        <v>16241</v>
      </c>
      <c r="I5855" t="s">
        <v>16355</v>
      </c>
      <c r="J5855" t="s">
        <v>16385</v>
      </c>
      <c r="K5855">
        <v>0.139</v>
      </c>
      <c r="L5855">
        <v>6068</v>
      </c>
      <c r="M5855">
        <v>1039</v>
      </c>
      <c r="N5855" t="s">
        <v>16393</v>
      </c>
      <c r="O5855" s="4">
        <v>38692</v>
      </c>
      <c r="P5855" s="4">
        <v>77109</v>
      </c>
      <c r="Q5855" s="4">
        <v>115801</v>
      </c>
      <c r="R5855" s="4">
        <v>347403</v>
      </c>
      <c r="S5855" t="s">
        <v>22116</v>
      </c>
      <c r="T5855" s="6">
        <v>43344</v>
      </c>
      <c r="U5855" s="4">
        <v>255000</v>
      </c>
      <c r="V5855" t="s">
        <v>23739</v>
      </c>
      <c r="W5855" t="s">
        <v>26999</v>
      </c>
      <c r="X5855" t="s">
        <v>3</v>
      </c>
      <c r="AA5855" s="5" t="str">
        <f>HYPERLINK("https://www.zillow.com/homes/490-GLENMORE-PL-ROSELLE-IL-60172_rb/","check listing")</f>
        <v>check listing</v>
      </c>
      <c r="AB5855" s="5" t="str">
        <f>HYPERLINK("https://propertylookup.dupagecounty.gov/Datalets/Datalet.aspx?UseSearch=no&amp;mode=sales&amp;pin=0209108017","sales record")</f>
        <v>sales record</v>
      </c>
      <c r="AC5855" t="s">
        <v>3</v>
      </c>
      <c r="AD5855">
        <v>41.973944</v>
      </c>
      <c r="AE5855">
        <v>-88.105777</v>
      </c>
      <c r="AF5855" s="5" t="str">
        <f>HYPERLINK("https://www.google.com/maps/search/?api=1&amp;query=41.973944,-88.105777","map")</f>
        <v>map</v>
      </c>
    </row>
    <row r="5856" spans="1:32">
      <c r="A5856" t="s">
        <v>5906</v>
      </c>
      <c r="B5856" t="s">
        <v>13431</v>
      </c>
      <c r="C5856" t="s">
        <v>15830</v>
      </c>
      <c r="D5856" t="s">
        <v>16207</v>
      </c>
      <c r="E5856" t="s">
        <v>16218</v>
      </c>
      <c r="F5856" t="s">
        <v>16221</v>
      </c>
      <c r="G5856" t="s">
        <v>16241</v>
      </c>
      <c r="H5856" t="s">
        <v>16241</v>
      </c>
      <c r="I5856" t="s">
        <v>16355</v>
      </c>
      <c r="J5856" t="s">
        <v>16385</v>
      </c>
      <c r="K5856">
        <v>0.139</v>
      </c>
      <c r="L5856">
        <v>6065</v>
      </c>
      <c r="M5856">
        <v>723</v>
      </c>
      <c r="N5856" t="s">
        <v>16393</v>
      </c>
      <c r="O5856" s="4">
        <v>38692</v>
      </c>
      <c r="P5856" s="4">
        <v>77134</v>
      </c>
      <c r="Q5856" s="4">
        <v>115826</v>
      </c>
      <c r="R5856" s="4">
        <v>347478</v>
      </c>
      <c r="S5856" t="s">
        <v>22117</v>
      </c>
      <c r="T5856" s="6">
        <v>35217</v>
      </c>
      <c r="U5856" s="4">
        <v>145000</v>
      </c>
      <c r="X5856" t="s">
        <v>3</v>
      </c>
      <c r="AA5856" s="5" t="str">
        <f>HYPERLINK("https://www.zillow.com/homes/510-GLENMORE-PL-ROSELLE-IL-60172_rb/","check listing")</f>
        <v>check listing</v>
      </c>
      <c r="AB5856" s="5" t="str">
        <f>HYPERLINK("https://propertylookup.dupagecounty.gov/Datalets/Datalet.aspx?UseSearch=no&amp;mode=sales&amp;pin=0209108019","sales record")</f>
        <v>sales record</v>
      </c>
      <c r="AC5856" t="s">
        <v>3</v>
      </c>
      <c r="AD5856">
        <v>41.973581</v>
      </c>
      <c r="AE5856">
        <v>-88.10589899999999</v>
      </c>
      <c r="AF5856" s="5" t="str">
        <f>HYPERLINK("https://www.google.com/maps/search/?api=1&amp;query=41.973581,-88.105899","map")</f>
        <v>map</v>
      </c>
    </row>
    <row r="5857" spans="1:32">
      <c r="A5857" t="s">
        <v>5907</v>
      </c>
      <c r="B5857" t="s">
        <v>13432</v>
      </c>
      <c r="C5857" t="s">
        <v>15830</v>
      </c>
      <c r="D5857" t="s">
        <v>16207</v>
      </c>
      <c r="E5857" t="s">
        <v>16218</v>
      </c>
      <c r="F5857" t="s">
        <v>16221</v>
      </c>
      <c r="G5857" t="s">
        <v>16241</v>
      </c>
      <c r="H5857" t="s">
        <v>16241</v>
      </c>
      <c r="I5857" t="s">
        <v>16355</v>
      </c>
      <c r="J5857" t="s">
        <v>16385</v>
      </c>
      <c r="K5857">
        <v>0.139</v>
      </c>
      <c r="L5857">
        <v>6062</v>
      </c>
      <c r="M5857">
        <v>1089</v>
      </c>
      <c r="N5857" t="s">
        <v>16393</v>
      </c>
      <c r="O5857" s="4">
        <v>38692</v>
      </c>
      <c r="P5857" s="4">
        <v>75974</v>
      </c>
      <c r="Q5857" s="4">
        <v>114666</v>
      </c>
      <c r="R5857" s="4">
        <v>343998</v>
      </c>
      <c r="S5857" t="s">
        <v>22118</v>
      </c>
      <c r="T5857" s="6">
        <v>45588</v>
      </c>
      <c r="U5857" s="4">
        <v>350000</v>
      </c>
      <c r="V5857" t="s">
        <v>23741</v>
      </c>
      <c r="W5857" t="s">
        <v>27000</v>
      </c>
      <c r="X5857" t="s">
        <v>3</v>
      </c>
      <c r="AA5857" s="5" t="str">
        <f>HYPERLINK("https://www.zillow.com/homes/500-GLENMORE-PL-ROSELLE-IL-60172_rb/","check listing")</f>
        <v>check listing</v>
      </c>
      <c r="AB5857" s="5" t="str">
        <f>HYPERLINK("https://propertylookup.dupagecounty.gov/Datalets/Datalet.aspx?UseSearch=no&amp;mode=sales&amp;pin=0209108018","sales record")</f>
        <v>sales record</v>
      </c>
      <c r="AC5857" t="s">
        <v>3</v>
      </c>
      <c r="AD5857">
        <v>41.973793</v>
      </c>
      <c r="AE5857">
        <v>-88.105898</v>
      </c>
      <c r="AF5857" s="5" t="str">
        <f>HYPERLINK("https://www.google.com/maps/search/?api=1&amp;query=41.973793,-88.105898","map")</f>
        <v>map</v>
      </c>
    </row>
    <row r="5858" spans="1:32">
      <c r="A5858" t="s">
        <v>5908</v>
      </c>
      <c r="B5858" t="s">
        <v>13433</v>
      </c>
      <c r="C5858" t="s">
        <v>15830</v>
      </c>
      <c r="D5858" t="s">
        <v>16207</v>
      </c>
      <c r="E5858" t="s">
        <v>16218</v>
      </c>
      <c r="F5858" t="s">
        <v>16221</v>
      </c>
      <c r="G5858" t="s">
        <v>16241</v>
      </c>
      <c r="H5858" t="s">
        <v>16241</v>
      </c>
      <c r="I5858" t="s">
        <v>16355</v>
      </c>
      <c r="J5858" t="s">
        <v>16385</v>
      </c>
      <c r="K5858">
        <v>0.139</v>
      </c>
      <c r="L5858">
        <v>6060</v>
      </c>
      <c r="M5858">
        <v>1543</v>
      </c>
      <c r="N5858" t="s">
        <v>16393</v>
      </c>
      <c r="O5858" s="4">
        <v>38692</v>
      </c>
      <c r="P5858" s="4">
        <v>75794</v>
      </c>
      <c r="Q5858" s="4">
        <v>114486</v>
      </c>
      <c r="R5858" s="4">
        <v>343458</v>
      </c>
      <c r="S5858" t="s">
        <v>22119</v>
      </c>
      <c r="T5858" s="6">
        <v>31686</v>
      </c>
      <c r="U5858" s="4">
        <v>95000</v>
      </c>
      <c r="X5858" t="s">
        <v>3</v>
      </c>
      <c r="AA5858" s="5" t="str">
        <f>HYPERLINK("https://www.zillow.com/homes/685-RADNOR-DR-ROSELLE-IL-60172_rb/","check listing")</f>
        <v>check listing</v>
      </c>
      <c r="AB5858" s="5" t="str">
        <f>HYPERLINK("https://propertylookup.dupagecounty.gov/Datalets/Datalet.aspx?UseSearch=no&amp;mode=sales&amp;pin=0209110045","sales record")</f>
        <v>sales record</v>
      </c>
      <c r="AC5858" t="s">
        <v>3</v>
      </c>
      <c r="AD5858">
        <v>41.970365</v>
      </c>
      <c r="AE5858">
        <v>-88.105456</v>
      </c>
      <c r="AF5858" s="5" t="str">
        <f>HYPERLINK("https://www.google.com/maps/search/?api=1&amp;query=41.970365,-88.105456","map")</f>
        <v>map</v>
      </c>
    </row>
    <row r="5859" spans="1:32">
      <c r="A5859" t="s">
        <v>5909</v>
      </c>
      <c r="B5859" t="s">
        <v>13434</v>
      </c>
      <c r="C5859" t="s">
        <v>15830</v>
      </c>
      <c r="D5859" t="s">
        <v>16207</v>
      </c>
      <c r="E5859" t="s">
        <v>16218</v>
      </c>
      <c r="F5859" t="s">
        <v>16221</v>
      </c>
      <c r="G5859" t="s">
        <v>16241</v>
      </c>
      <c r="H5859" t="s">
        <v>16241</v>
      </c>
      <c r="I5859" t="s">
        <v>16355</v>
      </c>
      <c r="J5859" t="s">
        <v>16385</v>
      </c>
      <c r="K5859">
        <v>0.139</v>
      </c>
      <c r="L5859">
        <v>6055</v>
      </c>
      <c r="M5859">
        <v>1992</v>
      </c>
      <c r="N5859" t="s">
        <v>16393</v>
      </c>
      <c r="O5859" s="4">
        <v>38692</v>
      </c>
      <c r="P5859" s="4">
        <v>91238</v>
      </c>
      <c r="Q5859" s="4">
        <v>129930</v>
      </c>
      <c r="R5859" s="4">
        <v>389790</v>
      </c>
      <c r="S5859" t="s">
        <v>22120</v>
      </c>
      <c r="T5859" s="6">
        <v>31564</v>
      </c>
      <c r="U5859" s="4">
        <v>40000</v>
      </c>
      <c r="X5859" t="s">
        <v>3</v>
      </c>
      <c r="AA5859" s="5" t="str">
        <f>HYPERLINK("https://www.zillow.com/homes/612-STAFFORD-DR-ROSELLE-IL-60172_rb/","check listing")</f>
        <v>check listing</v>
      </c>
      <c r="AB5859" s="5" t="str">
        <f>HYPERLINK("https://propertylookup.dupagecounty.gov/Datalets/Datalet.aspx?UseSearch=no&amp;mode=sales&amp;pin=0209119023","sales record")</f>
        <v>sales record</v>
      </c>
      <c r="AC5859" t="s">
        <v>3</v>
      </c>
      <c r="AD5859">
        <v>41.971746</v>
      </c>
      <c r="AE5859">
        <v>-88.108853</v>
      </c>
      <c r="AF5859" s="5" t="str">
        <f>HYPERLINK("https://www.google.com/maps/search/?api=1&amp;query=41.971746,-88.108853","map")</f>
        <v>map</v>
      </c>
    </row>
    <row r="5860" spans="1:32">
      <c r="A5860" t="s">
        <v>5910</v>
      </c>
      <c r="B5860" t="s">
        <v>13435</v>
      </c>
      <c r="C5860" t="s">
        <v>15830</v>
      </c>
      <c r="D5860" t="s">
        <v>16207</v>
      </c>
      <c r="E5860" t="s">
        <v>16218</v>
      </c>
      <c r="F5860" t="s">
        <v>16221</v>
      </c>
      <c r="G5860" t="s">
        <v>16241</v>
      </c>
      <c r="H5860" t="s">
        <v>16241</v>
      </c>
      <c r="I5860" t="s">
        <v>16355</v>
      </c>
      <c r="J5860" t="s">
        <v>16385</v>
      </c>
      <c r="K5860">
        <v>0.139</v>
      </c>
      <c r="L5860">
        <v>6049</v>
      </c>
      <c r="M5860">
        <v>1319</v>
      </c>
      <c r="N5860" t="s">
        <v>16393</v>
      </c>
      <c r="O5860" s="4">
        <v>38692</v>
      </c>
      <c r="P5860" s="4">
        <v>76189</v>
      </c>
      <c r="Q5860" s="4">
        <v>114881</v>
      </c>
      <c r="R5860" s="4">
        <v>344643</v>
      </c>
      <c r="S5860" t="s">
        <v>22121</v>
      </c>
      <c r="T5860" s="6">
        <v>41153</v>
      </c>
      <c r="U5860" s="4">
        <v>182500</v>
      </c>
      <c r="V5860" t="s">
        <v>23739</v>
      </c>
      <c r="W5860" t="s">
        <v>27001</v>
      </c>
      <c r="X5860" t="s">
        <v>3</v>
      </c>
      <c r="AA5860" s="5" t="str">
        <f>HYPERLINK("https://www.zillow.com/homes/625-RODENBURG-RD-ROSELLE-IL-60172_rb/","check listing")</f>
        <v>check listing</v>
      </c>
      <c r="AB5860" s="5" t="str">
        <f>HYPERLINK("https://propertylookup.dupagecounty.gov/Datalets/Datalet.aspx?UseSearch=no&amp;mode=sales&amp;pin=0208214005","sales record")</f>
        <v>sales record</v>
      </c>
      <c r="AC5860" t="s">
        <v>3</v>
      </c>
      <c r="AD5860">
        <v>41.97157</v>
      </c>
      <c r="AE5860">
        <v>-88.11080699999999</v>
      </c>
      <c r="AF5860" s="5" t="str">
        <f>HYPERLINK("https://www.google.com/maps/search/?api=1&amp;query=41.97157,-88.110807","map")</f>
        <v>map</v>
      </c>
    </row>
    <row r="5861" spans="1:32">
      <c r="A5861" t="s">
        <v>5911</v>
      </c>
      <c r="B5861" t="s">
        <v>13436</v>
      </c>
      <c r="C5861" t="s">
        <v>15830</v>
      </c>
      <c r="D5861" t="s">
        <v>16207</v>
      </c>
      <c r="E5861" t="s">
        <v>16218</v>
      </c>
      <c r="F5861" t="s">
        <v>16221</v>
      </c>
      <c r="G5861" t="s">
        <v>16241</v>
      </c>
      <c r="H5861" t="s">
        <v>16241</v>
      </c>
      <c r="I5861" t="s">
        <v>16355</v>
      </c>
      <c r="J5861" t="s">
        <v>16385</v>
      </c>
      <c r="K5861">
        <v>0.139</v>
      </c>
      <c r="L5861">
        <v>6047</v>
      </c>
      <c r="M5861">
        <v>1789</v>
      </c>
      <c r="N5861" t="s">
        <v>16393</v>
      </c>
      <c r="O5861" s="4">
        <v>38692</v>
      </c>
      <c r="P5861" s="4">
        <v>79786</v>
      </c>
      <c r="Q5861" s="4">
        <v>118478</v>
      </c>
      <c r="R5861" s="4">
        <v>355434</v>
      </c>
      <c r="S5861" t="s">
        <v>22122</v>
      </c>
      <c r="T5861" s="6">
        <v>31929</v>
      </c>
      <c r="U5861" s="4">
        <v>103000</v>
      </c>
      <c r="X5861" t="s">
        <v>3</v>
      </c>
      <c r="AA5861" s="5" t="str">
        <f>HYPERLINK("https://www.zillow.com/homes/746-BERWICK-PL-ROSELLE-IL-60172_rb/","check listing")</f>
        <v>check listing</v>
      </c>
      <c r="AB5861" s="5" t="str">
        <f>HYPERLINK("https://propertylookup.dupagecounty.gov/Datalets/Datalet.aspx?UseSearch=no&amp;mode=sales&amp;pin=0209124005","sales record")</f>
        <v>sales record</v>
      </c>
      <c r="AC5861" t="s">
        <v>3</v>
      </c>
      <c r="AD5861">
        <v>41.969203</v>
      </c>
      <c r="AE5861">
        <v>-88.109758</v>
      </c>
      <c r="AF5861" s="5" t="str">
        <f>HYPERLINK("https://www.google.com/maps/search/?api=1&amp;query=41.969203,-88.109758","map")</f>
        <v>map</v>
      </c>
    </row>
    <row r="5862" spans="1:32">
      <c r="A5862" t="s">
        <v>5912</v>
      </c>
      <c r="B5862" t="s">
        <v>13437</v>
      </c>
      <c r="C5862" t="s">
        <v>15950</v>
      </c>
      <c r="D5862" t="s">
        <v>16207</v>
      </c>
      <c r="E5862" t="s">
        <v>16218</v>
      </c>
      <c r="F5862" t="s">
        <v>16221</v>
      </c>
      <c r="G5862" t="s">
        <v>16241</v>
      </c>
      <c r="H5862" t="s">
        <v>16241</v>
      </c>
      <c r="I5862" t="s">
        <v>16355</v>
      </c>
      <c r="J5862" t="s">
        <v>16385</v>
      </c>
      <c r="K5862">
        <v>0.139</v>
      </c>
      <c r="L5862">
        <v>6047</v>
      </c>
      <c r="M5862">
        <v>1790</v>
      </c>
      <c r="N5862" t="s">
        <v>16393</v>
      </c>
      <c r="O5862" s="4">
        <v>38692</v>
      </c>
      <c r="P5862" s="4">
        <v>79607</v>
      </c>
      <c r="Q5862" s="4">
        <v>118299</v>
      </c>
      <c r="R5862" s="4">
        <v>354897</v>
      </c>
      <c r="S5862" t="s">
        <v>22123</v>
      </c>
      <c r="T5862" s="6">
        <v>38169</v>
      </c>
      <c r="U5862" s="4">
        <v>255000</v>
      </c>
      <c r="V5862" t="s">
        <v>23739</v>
      </c>
      <c r="W5862" t="s">
        <v>27002</v>
      </c>
      <c r="X5862" t="s">
        <v>3</v>
      </c>
      <c r="AA5862" s="5" t="str">
        <f>HYPERLINK("https://www.zillow.com/homes/635-RODENBURG-RD-ROSELLE-IL-601722746_rb/","check listing")</f>
        <v>check listing</v>
      </c>
      <c r="AB5862" s="5" t="str">
        <f>HYPERLINK("https://propertylookup.dupagecounty.gov/Datalets/Datalet.aspx?UseSearch=no&amp;mode=sales&amp;pin=0208214006","sales record")</f>
        <v>sales record</v>
      </c>
      <c r="AC5862" t="s">
        <v>3</v>
      </c>
      <c r="AD5862">
        <v>41.971463</v>
      </c>
      <c r="AE5862">
        <v>-88.110668</v>
      </c>
      <c r="AF5862" s="5" t="str">
        <f>HYPERLINK("https://www.google.com/maps/search/?api=1&amp;query=41.971463,-88.110668","map")</f>
        <v>map</v>
      </c>
    </row>
    <row r="5863" spans="1:32">
      <c r="A5863" t="s">
        <v>5913</v>
      </c>
      <c r="B5863" t="s">
        <v>13438</v>
      </c>
      <c r="C5863" t="s">
        <v>15830</v>
      </c>
      <c r="D5863" t="s">
        <v>16207</v>
      </c>
      <c r="E5863" t="s">
        <v>16218</v>
      </c>
      <c r="F5863" t="s">
        <v>16221</v>
      </c>
      <c r="G5863" t="s">
        <v>16241</v>
      </c>
      <c r="H5863" t="s">
        <v>16241</v>
      </c>
      <c r="I5863" t="s">
        <v>16355</v>
      </c>
      <c r="J5863" t="s">
        <v>16385</v>
      </c>
      <c r="K5863">
        <v>0.139</v>
      </c>
      <c r="L5863">
        <v>6046</v>
      </c>
      <c r="M5863">
        <v>1714</v>
      </c>
      <c r="N5863" t="s">
        <v>16393</v>
      </c>
      <c r="O5863" s="4">
        <v>38692</v>
      </c>
      <c r="P5863" s="4">
        <v>80097</v>
      </c>
      <c r="Q5863" s="4">
        <v>118789</v>
      </c>
      <c r="R5863" s="4">
        <v>356367</v>
      </c>
      <c r="S5863" t="s">
        <v>22124</v>
      </c>
      <c r="T5863" s="6">
        <v>32660</v>
      </c>
      <c r="U5863" s="4">
        <v>109000</v>
      </c>
      <c r="X5863" t="s">
        <v>3</v>
      </c>
      <c r="AA5863" s="5" t="str">
        <f>HYPERLINK("https://www.zillow.com/homes/615-RODENBURG-RD-ROSELLE-IL-60172_rb/","check listing")</f>
        <v>check listing</v>
      </c>
      <c r="AB5863" s="5" t="str">
        <f>HYPERLINK("https://propertylookup.dupagecounty.gov/Datalets/Datalet.aspx?UseSearch=no&amp;mode=sales&amp;pin=0208214004","sales record")</f>
        <v>sales record</v>
      </c>
      <c r="AC5863" t="s">
        <v>3</v>
      </c>
      <c r="AD5863">
        <v>41.971687</v>
      </c>
      <c r="AE5863">
        <v>-88.110929</v>
      </c>
      <c r="AF5863" s="5" t="str">
        <f>HYPERLINK("https://www.google.com/maps/search/?api=1&amp;query=41.971687,-88.110929","map")</f>
        <v>map</v>
      </c>
    </row>
    <row r="5864" spans="1:32">
      <c r="A5864" t="s">
        <v>5914</v>
      </c>
      <c r="B5864" t="s">
        <v>13439</v>
      </c>
      <c r="C5864" t="s">
        <v>15912</v>
      </c>
      <c r="D5864" t="s">
        <v>16207</v>
      </c>
      <c r="E5864" t="s">
        <v>16218</v>
      </c>
      <c r="F5864" t="s">
        <v>16221</v>
      </c>
      <c r="G5864" t="s">
        <v>16241</v>
      </c>
      <c r="H5864" t="s">
        <v>16241</v>
      </c>
      <c r="I5864" t="s">
        <v>16355</v>
      </c>
      <c r="J5864" t="s">
        <v>16385</v>
      </c>
      <c r="K5864">
        <v>0.139</v>
      </c>
      <c r="L5864">
        <v>6045</v>
      </c>
      <c r="M5864">
        <v>1930</v>
      </c>
      <c r="N5864" t="s">
        <v>16393</v>
      </c>
      <c r="O5864" s="4">
        <v>38692</v>
      </c>
      <c r="P5864" s="4">
        <v>58092</v>
      </c>
      <c r="Q5864" s="4">
        <v>96784</v>
      </c>
      <c r="R5864" s="4">
        <v>290352</v>
      </c>
      <c r="S5864" t="s">
        <v>22125</v>
      </c>
      <c r="T5864" s="6">
        <v>44562</v>
      </c>
      <c r="U5864" s="4">
        <v>263000</v>
      </c>
      <c r="V5864" t="s">
        <v>23739</v>
      </c>
      <c r="W5864" t="s">
        <v>22125</v>
      </c>
      <c r="X5864" t="s">
        <v>3</v>
      </c>
      <c r="AA5864" s="5" t="str">
        <f>HYPERLINK("https://www.zillow.com/homes/860-STONEFIELD-PL-ROSELLE-IL-601722835_rb/","check listing")</f>
        <v>check listing</v>
      </c>
      <c r="AB5864" s="5" t="str">
        <f>HYPERLINK("https://propertylookup.dupagecounty.gov/Datalets/Datalet.aspx?UseSearch=no&amp;mode=sales&amp;pin=0209113007","sales record")</f>
        <v>sales record</v>
      </c>
      <c r="AC5864" t="s">
        <v>3</v>
      </c>
      <c r="AD5864">
        <v>41.972454</v>
      </c>
      <c r="AE5864">
        <v>-88.102118</v>
      </c>
      <c r="AF5864" s="5" t="str">
        <f>HYPERLINK("https://www.google.com/maps/search/?api=1&amp;query=41.972454,-88.102118","map")</f>
        <v>map</v>
      </c>
    </row>
    <row r="5865" spans="1:32">
      <c r="A5865" t="s">
        <v>5915</v>
      </c>
      <c r="B5865" t="s">
        <v>13440</v>
      </c>
      <c r="C5865" t="s">
        <v>15830</v>
      </c>
      <c r="D5865" t="s">
        <v>16207</v>
      </c>
      <c r="E5865" t="s">
        <v>16218</v>
      </c>
      <c r="F5865" t="s">
        <v>16221</v>
      </c>
      <c r="G5865" t="s">
        <v>16241</v>
      </c>
      <c r="H5865" t="s">
        <v>16241</v>
      </c>
      <c r="I5865" t="s">
        <v>16355</v>
      </c>
      <c r="J5865" t="s">
        <v>16385</v>
      </c>
      <c r="K5865">
        <v>0.139</v>
      </c>
      <c r="L5865">
        <v>6044</v>
      </c>
      <c r="M5865">
        <v>1650</v>
      </c>
      <c r="N5865" t="s">
        <v>16393</v>
      </c>
      <c r="O5865" s="4">
        <v>38692</v>
      </c>
      <c r="P5865" s="4">
        <v>74934</v>
      </c>
      <c r="Q5865" s="4">
        <v>113626</v>
      </c>
      <c r="R5865" s="4">
        <v>340878</v>
      </c>
      <c r="S5865" t="s">
        <v>22126</v>
      </c>
      <c r="T5865" s="6">
        <v>41883</v>
      </c>
      <c r="U5865" s="4">
        <v>263000</v>
      </c>
      <c r="V5865" t="s">
        <v>23739</v>
      </c>
      <c r="W5865" t="s">
        <v>27003</v>
      </c>
      <c r="X5865" t="s">
        <v>3</v>
      </c>
      <c r="AA5865" s="5" t="str">
        <f>HYPERLINK("https://www.zillow.com/homes/735-MEADE-LN-ROSELLE-IL-60172_rb/","check listing")</f>
        <v>check listing</v>
      </c>
      <c r="AB5865" s="5" t="str">
        <f>HYPERLINK("https://propertylookup.dupagecounty.gov/Datalets/Datalet.aspx?UseSearch=no&amp;mode=sales&amp;pin=0209118004","sales record")</f>
        <v>sales record</v>
      </c>
      <c r="AC5865" t="s">
        <v>3</v>
      </c>
      <c r="AD5865">
        <v>41.969326</v>
      </c>
      <c r="AE5865">
        <v>-88.10547099999999</v>
      </c>
      <c r="AF5865" s="5" t="str">
        <f>HYPERLINK("https://www.google.com/maps/search/?api=1&amp;query=41.969326,-88.105471","map")</f>
        <v>map</v>
      </c>
    </row>
    <row r="5866" spans="1:32">
      <c r="A5866" t="s">
        <v>5916</v>
      </c>
      <c r="B5866" t="s">
        <v>13441</v>
      </c>
      <c r="C5866" t="s">
        <v>15883</v>
      </c>
      <c r="D5866" t="s">
        <v>16207</v>
      </c>
      <c r="E5866" t="s">
        <v>16218</v>
      </c>
      <c r="F5866" t="s">
        <v>16221</v>
      </c>
      <c r="G5866" t="s">
        <v>16241</v>
      </c>
      <c r="H5866" t="s">
        <v>16241</v>
      </c>
      <c r="I5866" t="s">
        <v>16355</v>
      </c>
      <c r="J5866" t="s">
        <v>16385</v>
      </c>
      <c r="K5866">
        <v>0.139</v>
      </c>
      <c r="L5866">
        <v>6044</v>
      </c>
      <c r="N5866" t="s">
        <v>16393</v>
      </c>
      <c r="O5866" s="4">
        <v>38692</v>
      </c>
      <c r="P5866" s="4">
        <v>77599</v>
      </c>
      <c r="Q5866" s="4">
        <v>116291</v>
      </c>
      <c r="R5866" s="4">
        <v>348873</v>
      </c>
      <c r="S5866" t="s">
        <v>22127</v>
      </c>
      <c r="T5866" s="6">
        <v>45975</v>
      </c>
      <c r="U5866" s="4">
        <v>390000</v>
      </c>
      <c r="V5866" t="s">
        <v>23739</v>
      </c>
      <c r="W5866" t="s">
        <v>27004</v>
      </c>
      <c r="X5866" t="s">
        <v>3</v>
      </c>
      <c r="AA5866" s="5" t="str">
        <f>HYPERLINK("https://www.zillow.com/homes/640-RODENBURG-RD-ROSELLE-IL-601722747_rb/","check listing")</f>
        <v>check listing</v>
      </c>
      <c r="AB5866" s="5" t="str">
        <f>HYPERLINK("https://propertylookup.dupagecounty.gov/Datalets/Datalet.aspx?UseSearch=no&amp;mode=sales&amp;pin=0208205017","sales record")</f>
        <v>sales record</v>
      </c>
      <c r="AC5866" t="s">
        <v>3</v>
      </c>
      <c r="AD5866">
        <v>41.971171</v>
      </c>
      <c r="AE5866">
        <v>-88.111197</v>
      </c>
      <c r="AF5866" s="5" t="str">
        <f>HYPERLINK("https://www.google.com/maps/search/?api=1&amp;query=41.971171,-88.111197","map")</f>
        <v>map</v>
      </c>
    </row>
    <row r="5867" spans="1:32">
      <c r="A5867" t="s">
        <v>5917</v>
      </c>
      <c r="B5867" t="s">
        <v>13442</v>
      </c>
      <c r="C5867" t="s">
        <v>15896</v>
      </c>
      <c r="D5867" t="s">
        <v>16207</v>
      </c>
      <c r="E5867" t="s">
        <v>16218</v>
      </c>
      <c r="F5867" t="s">
        <v>16221</v>
      </c>
      <c r="G5867" t="s">
        <v>16241</v>
      </c>
      <c r="H5867" t="s">
        <v>16241</v>
      </c>
      <c r="I5867" t="s">
        <v>16355</v>
      </c>
      <c r="J5867" t="s">
        <v>16385</v>
      </c>
      <c r="K5867">
        <v>0.139</v>
      </c>
      <c r="L5867">
        <v>6042</v>
      </c>
      <c r="N5867" t="s">
        <v>16393</v>
      </c>
      <c r="O5867" s="4">
        <v>39672</v>
      </c>
      <c r="P5867" s="4">
        <v>174596</v>
      </c>
      <c r="Q5867" s="4">
        <v>214268</v>
      </c>
      <c r="R5867" s="4">
        <v>642804</v>
      </c>
      <c r="S5867" t="s">
        <v>22128</v>
      </c>
      <c r="T5867" s="6">
        <v>44531</v>
      </c>
      <c r="U5867" s="4">
        <v>588058</v>
      </c>
      <c r="V5867" t="s">
        <v>23739</v>
      </c>
      <c r="W5867" t="s">
        <v>27005</v>
      </c>
      <c r="X5867" t="s">
        <v>3</v>
      </c>
      <c r="AA5867" s="5" t="str">
        <f>HYPERLINK("https://www.zillow.com/homes/580-FRANCESCA-LN-ROSELLE-IL-601722759_rb/","check listing")</f>
        <v>check listing</v>
      </c>
      <c r="AB5867" s="5" t="str">
        <f>HYPERLINK("https://propertylookup.dupagecounty.gov/Datalets/Datalet.aspx?UseSearch=no&amp;mode=sales&amp;pin=0208204042","sales record")</f>
        <v>sales record</v>
      </c>
      <c r="AC5867" t="s">
        <v>3</v>
      </c>
      <c r="AD5867">
        <v>41.97124</v>
      </c>
      <c r="AE5867">
        <v>-88.114029</v>
      </c>
      <c r="AF5867" s="5" t="str">
        <f>HYPERLINK("https://www.google.com/maps/search/?api=1&amp;query=41.97124,-88.114029","map")</f>
        <v>map</v>
      </c>
    </row>
    <row r="5868" spans="1:32">
      <c r="A5868" t="s">
        <v>5918</v>
      </c>
      <c r="B5868" t="s">
        <v>13443</v>
      </c>
      <c r="C5868" t="s">
        <v>15943</v>
      </c>
      <c r="D5868" t="s">
        <v>16207</v>
      </c>
      <c r="E5868" t="s">
        <v>16218</v>
      </c>
      <c r="F5868" t="s">
        <v>16221</v>
      </c>
      <c r="G5868" t="s">
        <v>16241</v>
      </c>
      <c r="H5868" t="s">
        <v>16241</v>
      </c>
      <c r="I5868" t="s">
        <v>16355</v>
      </c>
      <c r="J5868" t="s">
        <v>16385</v>
      </c>
      <c r="K5868">
        <v>0.139</v>
      </c>
      <c r="L5868">
        <v>6038</v>
      </c>
      <c r="M5868">
        <v>990</v>
      </c>
      <c r="N5868" t="s">
        <v>16393</v>
      </c>
      <c r="O5868" s="4">
        <v>38692</v>
      </c>
      <c r="P5868" s="4">
        <v>77599</v>
      </c>
      <c r="Q5868" s="4">
        <v>116291</v>
      </c>
      <c r="R5868" s="4">
        <v>348873</v>
      </c>
      <c r="S5868" t="s">
        <v>22129</v>
      </c>
      <c r="T5868" s="6">
        <v>43709</v>
      </c>
      <c r="U5868" s="4">
        <v>275000</v>
      </c>
      <c r="V5868" t="s">
        <v>23739</v>
      </c>
      <c r="W5868" t="s">
        <v>27006</v>
      </c>
      <c r="X5868" t="s">
        <v>3</v>
      </c>
      <c r="AA5868" s="5" t="str">
        <f>HYPERLINK("https://www.zillow.com/homes/608-STAFFORD-DR-ROSELLE-IL-601722751_rb/","check listing")</f>
        <v>check listing</v>
      </c>
      <c r="AB5868" s="5" t="str">
        <f>HYPERLINK("https://propertylookup.dupagecounty.gov/Datalets/Datalet.aspx?UseSearch=no&amp;mode=sales&amp;pin=0209119022","sales record")</f>
        <v>sales record</v>
      </c>
      <c r="AC5868" t="s">
        <v>3</v>
      </c>
      <c r="AD5868">
        <v>41.971832</v>
      </c>
      <c r="AE5868">
        <v>-88.108695</v>
      </c>
      <c r="AF5868" s="5" t="str">
        <f>HYPERLINK("https://www.google.com/maps/search/?api=1&amp;query=41.971832,-88.108695","map")</f>
        <v>map</v>
      </c>
    </row>
    <row r="5869" spans="1:32">
      <c r="A5869" t="s">
        <v>5919</v>
      </c>
      <c r="B5869" t="s">
        <v>13444</v>
      </c>
      <c r="C5869" t="s">
        <v>15910</v>
      </c>
      <c r="D5869" t="s">
        <v>16207</v>
      </c>
      <c r="E5869" t="s">
        <v>16218</v>
      </c>
      <c r="F5869" t="s">
        <v>16221</v>
      </c>
      <c r="G5869" t="s">
        <v>16241</v>
      </c>
      <c r="H5869" t="s">
        <v>16241</v>
      </c>
      <c r="I5869" t="s">
        <v>16355</v>
      </c>
      <c r="J5869" t="s">
        <v>16385</v>
      </c>
      <c r="K5869">
        <v>0.138</v>
      </c>
      <c r="L5869">
        <v>6033</v>
      </c>
      <c r="M5869">
        <v>1715</v>
      </c>
      <c r="N5869" t="s">
        <v>16393</v>
      </c>
      <c r="O5869" s="4">
        <v>38692</v>
      </c>
      <c r="P5869" s="4">
        <v>70858</v>
      </c>
      <c r="Q5869" s="4">
        <v>109550</v>
      </c>
      <c r="R5869" s="4">
        <v>328650</v>
      </c>
      <c r="S5869" t="s">
        <v>22130</v>
      </c>
      <c r="T5869" s="6">
        <v>40725</v>
      </c>
      <c r="U5869" s="4">
        <v>200000</v>
      </c>
      <c r="V5869" t="s">
        <v>23739</v>
      </c>
      <c r="W5869" t="s">
        <v>27007</v>
      </c>
      <c r="X5869" t="s">
        <v>3</v>
      </c>
      <c r="AA5869" s="5" t="str">
        <f>HYPERLINK("https://www.zillow.com/homes/845-W-BRYN-MAWR-AVE-ROSELLE-IL-601722819_rb/","check listing")</f>
        <v>check listing</v>
      </c>
      <c r="AB5869" s="5" t="str">
        <f>HYPERLINK("https://propertylookup.dupagecounty.gov/Datalets/Datalet.aspx?UseSearch=no&amp;mode=sales&amp;pin=0209112007","sales record")</f>
        <v>sales record</v>
      </c>
      <c r="AC5869" t="s">
        <v>3</v>
      </c>
      <c r="AD5869">
        <v>41.973605</v>
      </c>
      <c r="AE5869">
        <v>-88.101585</v>
      </c>
      <c r="AF5869" s="5" t="str">
        <f>HYPERLINK("https://www.google.com/maps/search/?api=1&amp;query=41.973605,-88.101585","map")</f>
        <v>map</v>
      </c>
    </row>
    <row r="5870" spans="1:32">
      <c r="A5870" t="s">
        <v>5920</v>
      </c>
      <c r="B5870" t="s">
        <v>13445</v>
      </c>
      <c r="C5870" t="s">
        <v>15830</v>
      </c>
      <c r="D5870" t="s">
        <v>16207</v>
      </c>
      <c r="E5870" t="s">
        <v>16218</v>
      </c>
      <c r="F5870" t="s">
        <v>16221</v>
      </c>
      <c r="G5870" t="s">
        <v>16241</v>
      </c>
      <c r="H5870" t="s">
        <v>16241</v>
      </c>
      <c r="I5870" t="s">
        <v>16355</v>
      </c>
      <c r="J5870" t="s">
        <v>16385</v>
      </c>
      <c r="K5870">
        <v>0.138</v>
      </c>
      <c r="L5870">
        <v>6028</v>
      </c>
      <c r="M5870">
        <v>1649</v>
      </c>
      <c r="N5870" t="s">
        <v>16393</v>
      </c>
      <c r="O5870" s="4">
        <v>38692</v>
      </c>
      <c r="P5870" s="4">
        <v>95876</v>
      </c>
      <c r="Q5870" s="4">
        <v>134568</v>
      </c>
      <c r="R5870" s="4">
        <v>403704</v>
      </c>
      <c r="S5870" t="s">
        <v>22131</v>
      </c>
      <c r="T5870" s="6">
        <v>30621</v>
      </c>
      <c r="U5870" s="4">
        <v>79000</v>
      </c>
      <c r="X5870" t="s">
        <v>3</v>
      </c>
      <c r="AA5870" s="5" t="str">
        <f>HYPERLINK("https://www.zillow.com/homes/630-RODENBURG-RD-ROSELLE-IL-60172_rb/","check listing")</f>
        <v>check listing</v>
      </c>
      <c r="AB5870" s="5" t="str">
        <f>HYPERLINK("https://propertylookup.dupagecounty.gov/Datalets/Datalet.aspx?UseSearch=no&amp;mode=sales&amp;pin=0208205016","sales record")</f>
        <v>sales record</v>
      </c>
      <c r="AC5870" t="s">
        <v>3</v>
      </c>
      <c r="AD5870">
        <v>41.971293</v>
      </c>
      <c r="AE5870">
        <v>-88.11134</v>
      </c>
      <c r="AF5870" s="5" t="str">
        <f>HYPERLINK("https://www.google.com/maps/search/?api=1&amp;query=41.971293,-88.11134","map")</f>
        <v>map</v>
      </c>
    </row>
    <row r="5871" spans="1:32">
      <c r="A5871" t="s">
        <v>5921</v>
      </c>
      <c r="B5871" t="s">
        <v>13446</v>
      </c>
      <c r="C5871" t="s">
        <v>15830</v>
      </c>
      <c r="D5871" t="s">
        <v>16207</v>
      </c>
      <c r="E5871" t="s">
        <v>16218</v>
      </c>
      <c r="F5871" t="s">
        <v>16221</v>
      </c>
      <c r="G5871" t="s">
        <v>16241</v>
      </c>
      <c r="H5871" t="s">
        <v>16241</v>
      </c>
      <c r="I5871" t="s">
        <v>16355</v>
      </c>
      <c r="J5871" t="s">
        <v>16385</v>
      </c>
      <c r="K5871">
        <v>0.138</v>
      </c>
      <c r="L5871">
        <v>6028</v>
      </c>
      <c r="M5871">
        <v>1716</v>
      </c>
      <c r="N5871" t="s">
        <v>16393</v>
      </c>
      <c r="O5871" s="4">
        <v>38692</v>
      </c>
      <c r="P5871" s="4">
        <v>77599</v>
      </c>
      <c r="Q5871" s="4">
        <v>116291</v>
      </c>
      <c r="R5871" s="4">
        <v>348873</v>
      </c>
      <c r="S5871" t="s">
        <v>22132</v>
      </c>
      <c r="T5871" s="6">
        <v>34213</v>
      </c>
      <c r="U5871" s="4">
        <v>122000</v>
      </c>
      <c r="X5871" t="s">
        <v>3</v>
      </c>
      <c r="AA5871" s="5" t="str">
        <f>HYPERLINK("https://www.zillow.com/homes/665-RODENBURG-RD-ROSELLE-IL-60172_rb/","check listing")</f>
        <v>check listing</v>
      </c>
      <c r="AB5871" s="5" t="str">
        <f>HYPERLINK("https://propertylookup.dupagecounty.gov/Datalets/Datalet.aspx?UseSearch=no&amp;mode=sales&amp;pin=0209120012","sales record")</f>
        <v>sales record</v>
      </c>
      <c r="AC5871" t="s">
        <v>3</v>
      </c>
      <c r="AD5871">
        <v>41.970976</v>
      </c>
      <c r="AE5871">
        <v>-88.11016499999999</v>
      </c>
      <c r="AF5871" s="5" t="str">
        <f>HYPERLINK("https://www.google.com/maps/search/?api=1&amp;query=41.970976,-88.110165","map")</f>
        <v>map</v>
      </c>
    </row>
    <row r="5872" spans="1:32">
      <c r="A5872" t="s">
        <v>5922</v>
      </c>
      <c r="B5872" t="s">
        <v>13447</v>
      </c>
      <c r="C5872" t="s">
        <v>15830</v>
      </c>
      <c r="D5872" t="s">
        <v>16207</v>
      </c>
      <c r="E5872" t="s">
        <v>16218</v>
      </c>
      <c r="F5872" t="s">
        <v>16221</v>
      </c>
      <c r="G5872" t="s">
        <v>16241</v>
      </c>
      <c r="H5872" t="s">
        <v>16241</v>
      </c>
      <c r="I5872" t="s">
        <v>16355</v>
      </c>
      <c r="J5872" t="s">
        <v>16385</v>
      </c>
      <c r="K5872">
        <v>0.138</v>
      </c>
      <c r="L5872">
        <v>6027</v>
      </c>
      <c r="M5872">
        <v>1848</v>
      </c>
      <c r="N5872" t="s">
        <v>16393</v>
      </c>
      <c r="O5872" s="4">
        <v>38692</v>
      </c>
      <c r="P5872" s="4">
        <v>77599</v>
      </c>
      <c r="Q5872" s="4">
        <v>116291</v>
      </c>
      <c r="R5872" s="4">
        <v>348873</v>
      </c>
      <c r="S5872" t="s">
        <v>22133</v>
      </c>
      <c r="T5872" s="6">
        <v>37926</v>
      </c>
      <c r="U5872" s="4">
        <v>218000</v>
      </c>
      <c r="V5872" t="s">
        <v>23739</v>
      </c>
      <c r="W5872" t="s">
        <v>27008</v>
      </c>
      <c r="X5872" t="s">
        <v>3</v>
      </c>
      <c r="AA5872" s="5" t="str">
        <f>HYPERLINK("https://www.zillow.com/homes/993-WOODSIDE-DR-ROSELLE-IL-60172_rb/","check listing")</f>
        <v>check listing</v>
      </c>
      <c r="AB5872" s="5" t="str">
        <f>HYPERLINK("https://propertylookup.dupagecounty.gov/Datalets/Datalet.aspx?UseSearch=no&amp;mode=sales&amp;pin=0209305009","sales record")</f>
        <v>sales record</v>
      </c>
      <c r="AC5872" t="s">
        <v>3</v>
      </c>
      <c r="AD5872">
        <v>41.967306</v>
      </c>
      <c r="AE5872">
        <v>-88.10544400000001</v>
      </c>
      <c r="AF5872" s="5" t="str">
        <f>HYPERLINK("https://www.google.com/maps/search/?api=1&amp;query=41.967306,-88.105444","map")</f>
        <v>map</v>
      </c>
    </row>
    <row r="5873" spans="1:32">
      <c r="A5873" t="s">
        <v>5923</v>
      </c>
      <c r="B5873" t="s">
        <v>13448</v>
      </c>
      <c r="C5873" t="s">
        <v>15951</v>
      </c>
      <c r="D5873" t="s">
        <v>16207</v>
      </c>
      <c r="E5873" t="s">
        <v>16218</v>
      </c>
      <c r="F5873" t="s">
        <v>16221</v>
      </c>
      <c r="G5873" t="s">
        <v>16241</v>
      </c>
      <c r="H5873" t="s">
        <v>16241</v>
      </c>
      <c r="I5873" t="s">
        <v>16355</v>
      </c>
      <c r="J5873" t="s">
        <v>16385</v>
      </c>
      <c r="K5873">
        <v>0.138</v>
      </c>
      <c r="L5873">
        <v>6027</v>
      </c>
      <c r="M5873">
        <v>1582</v>
      </c>
      <c r="N5873" t="s">
        <v>16393</v>
      </c>
      <c r="O5873" s="4">
        <v>38692</v>
      </c>
      <c r="P5873" s="4">
        <v>75974</v>
      </c>
      <c r="Q5873" s="4">
        <v>114666</v>
      </c>
      <c r="R5873" s="4">
        <v>343998</v>
      </c>
      <c r="S5873" t="s">
        <v>22134</v>
      </c>
      <c r="T5873" s="6">
        <v>35551</v>
      </c>
      <c r="U5873" s="4">
        <v>139000</v>
      </c>
      <c r="X5873" t="s">
        <v>3</v>
      </c>
      <c r="AA5873" s="5" t="str">
        <f>HYPERLINK("https://www.zillow.com/homes/820-WOODSIDE-DR-ROSELLE-IL-601722726_rb/","check listing")</f>
        <v>check listing</v>
      </c>
      <c r="AB5873" s="5" t="str">
        <f>HYPERLINK("https://propertylookup.dupagecounty.gov/Datalets/Datalet.aspx?UseSearch=no&amp;mode=sales&amp;pin=0209304005","sales record")</f>
        <v>sales record</v>
      </c>
      <c r="AC5873" t="s">
        <v>3</v>
      </c>
      <c r="AD5873">
        <v>41.967868</v>
      </c>
      <c r="AE5873">
        <v>-88.105118</v>
      </c>
      <c r="AF5873" s="5" t="str">
        <f>HYPERLINK("https://www.google.com/maps/search/?api=1&amp;query=41.967868,-88.105118","map")</f>
        <v>map</v>
      </c>
    </row>
    <row r="5874" spans="1:32">
      <c r="A5874" t="s">
        <v>5924</v>
      </c>
      <c r="B5874" t="s">
        <v>13449</v>
      </c>
      <c r="C5874" t="s">
        <v>15830</v>
      </c>
      <c r="D5874" t="s">
        <v>16207</v>
      </c>
      <c r="E5874" t="s">
        <v>16218</v>
      </c>
      <c r="F5874" t="s">
        <v>16221</v>
      </c>
      <c r="G5874" t="s">
        <v>16241</v>
      </c>
      <c r="H5874" t="s">
        <v>16241</v>
      </c>
      <c r="I5874" t="s">
        <v>16355</v>
      </c>
      <c r="J5874" t="s">
        <v>16385</v>
      </c>
      <c r="K5874">
        <v>0.138</v>
      </c>
      <c r="L5874">
        <v>6019</v>
      </c>
      <c r="M5874">
        <v>2075</v>
      </c>
      <c r="N5874" t="s">
        <v>16393</v>
      </c>
      <c r="O5874" s="4">
        <v>45278</v>
      </c>
      <c r="P5874" s="4">
        <v>101804</v>
      </c>
      <c r="Q5874" s="4">
        <v>147082</v>
      </c>
      <c r="R5874" s="4">
        <v>441246</v>
      </c>
      <c r="S5874" t="s">
        <v>22135</v>
      </c>
      <c r="T5874" s="6">
        <v>28946</v>
      </c>
      <c r="U5874" s="4">
        <v>87000</v>
      </c>
      <c r="X5874" t="s">
        <v>3</v>
      </c>
      <c r="AA5874" s="5" t="str">
        <f>HYPERLINK("https://www.zillow.com/homes/1325-PEMBROOK-CIR-ROSELLE-IL-60172_rb/","check listing")</f>
        <v>check listing</v>
      </c>
      <c r="AB5874" s="5" t="str">
        <f>HYPERLINK("https://propertylookup.dupagecounty.gov/Datalets/Datalet.aspx?UseSearch=no&amp;mode=sales&amp;pin=0205403002","sales record")</f>
        <v>sales record</v>
      </c>
      <c r="AC5874" t="s">
        <v>3</v>
      </c>
      <c r="AD5874">
        <v>41.980206</v>
      </c>
      <c r="AE5874">
        <v>-88.11428100000001</v>
      </c>
      <c r="AF5874" s="5" t="str">
        <f>HYPERLINK("https://www.google.com/maps/search/?api=1&amp;query=41.980206,-88.114281","map")</f>
        <v>map</v>
      </c>
    </row>
    <row r="5875" spans="1:32">
      <c r="A5875" t="s">
        <v>5925</v>
      </c>
      <c r="B5875" t="s">
        <v>13450</v>
      </c>
      <c r="C5875" t="s">
        <v>15830</v>
      </c>
      <c r="D5875" t="s">
        <v>16207</v>
      </c>
      <c r="E5875" t="s">
        <v>16218</v>
      </c>
      <c r="F5875" t="s">
        <v>16221</v>
      </c>
      <c r="G5875" t="s">
        <v>16241</v>
      </c>
      <c r="H5875" t="s">
        <v>16241</v>
      </c>
      <c r="I5875" t="s">
        <v>16355</v>
      </c>
      <c r="J5875" t="s">
        <v>16385</v>
      </c>
      <c r="K5875">
        <v>0.138</v>
      </c>
      <c r="L5875">
        <v>6014</v>
      </c>
      <c r="M5875">
        <v>1980</v>
      </c>
      <c r="N5875" t="s">
        <v>16393</v>
      </c>
      <c r="O5875" s="4">
        <v>38692</v>
      </c>
      <c r="P5875" s="4">
        <v>69136</v>
      </c>
      <c r="Q5875" s="4">
        <v>107828</v>
      </c>
      <c r="R5875" s="4">
        <v>323484</v>
      </c>
      <c r="S5875" t="s">
        <v>22136</v>
      </c>
      <c r="T5875" s="6">
        <v>32387</v>
      </c>
      <c r="U5875" s="4">
        <v>109500</v>
      </c>
      <c r="X5875" t="s">
        <v>3</v>
      </c>
      <c r="AA5875" s="5" t="str">
        <f>HYPERLINK("https://www.zillow.com/homes/699-RADNOR-ROSELLE-IL-60172_rb/","check listing")</f>
        <v>check listing</v>
      </c>
      <c r="AB5875" s="5" t="str">
        <f>HYPERLINK("https://propertylookup.dupagecounty.gov/Datalets/Datalet.aspx?UseSearch=no&amp;mode=sales&amp;pin=0209110047","sales record")</f>
        <v>sales record</v>
      </c>
      <c r="AC5875" t="s">
        <v>3</v>
      </c>
      <c r="AD5875">
        <v>41.970216</v>
      </c>
      <c r="AE5875">
        <v>-88.105858</v>
      </c>
      <c r="AF5875" s="5" t="str">
        <f>HYPERLINK("https://www.google.com/maps/search/?api=1&amp;query=41.970216,-88.105858","map")</f>
        <v>map</v>
      </c>
    </row>
    <row r="5876" spans="1:32">
      <c r="A5876" t="s">
        <v>5926</v>
      </c>
      <c r="B5876" t="s">
        <v>13451</v>
      </c>
      <c r="C5876" t="s">
        <v>15830</v>
      </c>
      <c r="D5876" t="s">
        <v>16207</v>
      </c>
      <c r="E5876" t="s">
        <v>16218</v>
      </c>
      <c r="F5876" t="s">
        <v>16221</v>
      </c>
      <c r="G5876" t="s">
        <v>16241</v>
      </c>
      <c r="H5876" t="s">
        <v>16241</v>
      </c>
      <c r="I5876" t="s">
        <v>16355</v>
      </c>
      <c r="J5876" t="s">
        <v>16385</v>
      </c>
      <c r="K5876">
        <v>0.138</v>
      </c>
      <c r="L5876">
        <v>6013</v>
      </c>
      <c r="M5876">
        <v>1917</v>
      </c>
      <c r="N5876" t="s">
        <v>16393</v>
      </c>
      <c r="O5876" s="4">
        <v>38692</v>
      </c>
      <c r="P5876" s="4">
        <v>55546</v>
      </c>
      <c r="Q5876" s="4">
        <v>94238</v>
      </c>
      <c r="R5876" s="4">
        <v>282714</v>
      </c>
      <c r="S5876" t="s">
        <v>22137</v>
      </c>
      <c r="T5876" s="6">
        <v>45001</v>
      </c>
      <c r="U5876" s="4">
        <v>240000</v>
      </c>
      <c r="V5876" t="s">
        <v>23741</v>
      </c>
      <c r="W5876" t="s">
        <v>27009</v>
      </c>
      <c r="X5876" t="s">
        <v>3</v>
      </c>
      <c r="AA5876" s="5" t="str">
        <f>HYPERLINK("https://www.zillow.com/homes/1121-W-BRYN-MAWR-AVE-ROSELLE-IL-60172_rb/","check listing")</f>
        <v>check listing</v>
      </c>
      <c r="AB5876" s="5" t="str">
        <f>HYPERLINK("https://propertylookup.dupagecounty.gov/Datalets/Datalet.aspx?UseSearch=no&amp;mode=sales&amp;pin=0209119016","sales record")</f>
        <v>sales record</v>
      </c>
      <c r="AC5876" t="s">
        <v>3</v>
      </c>
      <c r="AD5876">
        <v>41.97257</v>
      </c>
      <c r="AE5876">
        <v>-88.10849899999999</v>
      </c>
      <c r="AF5876" s="5" t="str">
        <f>HYPERLINK("https://www.google.com/maps/search/?api=1&amp;query=41.97257,-88.108499","map")</f>
        <v>map</v>
      </c>
    </row>
    <row r="5877" spans="1:32">
      <c r="A5877" t="s">
        <v>5927</v>
      </c>
      <c r="B5877" t="s">
        <v>13452</v>
      </c>
      <c r="C5877" t="s">
        <v>15903</v>
      </c>
      <c r="D5877" t="s">
        <v>16207</v>
      </c>
      <c r="E5877" t="s">
        <v>16218</v>
      </c>
      <c r="F5877" t="s">
        <v>16221</v>
      </c>
      <c r="G5877" t="s">
        <v>16241</v>
      </c>
      <c r="H5877" t="s">
        <v>16241</v>
      </c>
      <c r="I5877" t="s">
        <v>16355</v>
      </c>
      <c r="J5877" t="s">
        <v>16385</v>
      </c>
      <c r="K5877">
        <v>0.138</v>
      </c>
      <c r="L5877">
        <v>6013</v>
      </c>
      <c r="N5877" t="s">
        <v>16393</v>
      </c>
      <c r="O5877" s="4">
        <v>39684</v>
      </c>
      <c r="P5877" s="4">
        <v>199377</v>
      </c>
      <c r="Q5877" s="4">
        <v>239061</v>
      </c>
      <c r="R5877" s="4">
        <v>717183</v>
      </c>
      <c r="S5877" t="s">
        <v>22138</v>
      </c>
      <c r="T5877" s="6">
        <v>45180</v>
      </c>
      <c r="U5877" s="4">
        <v>615000</v>
      </c>
      <c r="V5877" t="s">
        <v>23739</v>
      </c>
      <c r="W5877" t="s">
        <v>27010</v>
      </c>
      <c r="X5877" t="s">
        <v>3</v>
      </c>
      <c r="AA5877" s="5" t="str">
        <f>HYPERLINK("https://www.zillow.com/homes/590-FRANCESCA-LN-ROSELLE-IL-601722808_rb/","check listing")</f>
        <v>check listing</v>
      </c>
      <c r="AB5877" s="5" t="str">
        <f>HYPERLINK("https://propertylookup.dupagecounty.gov/Datalets/Datalet.aspx?UseSearch=no&amp;mode=sales&amp;pin=0208204041","sales record")</f>
        <v>sales record</v>
      </c>
      <c r="AC5877" t="s">
        <v>3</v>
      </c>
      <c r="AD5877">
        <v>41.971144</v>
      </c>
      <c r="AE5877">
        <v>-88.11387999999999</v>
      </c>
      <c r="AF5877" s="5" t="str">
        <f>HYPERLINK("https://www.google.com/maps/search/?api=1&amp;query=41.971144,-88.11388","map")</f>
        <v>map</v>
      </c>
    </row>
    <row r="5878" spans="1:32">
      <c r="A5878" t="s">
        <v>5928</v>
      </c>
      <c r="B5878" t="s">
        <v>13453</v>
      </c>
      <c r="C5878" t="s">
        <v>15903</v>
      </c>
      <c r="D5878" t="s">
        <v>16207</v>
      </c>
      <c r="E5878" t="s">
        <v>16218</v>
      </c>
      <c r="F5878" t="s">
        <v>16221</v>
      </c>
      <c r="G5878" t="s">
        <v>16241</v>
      </c>
      <c r="H5878" t="s">
        <v>16241</v>
      </c>
      <c r="I5878" t="s">
        <v>16355</v>
      </c>
      <c r="J5878" t="s">
        <v>16385</v>
      </c>
      <c r="K5878">
        <v>0.138</v>
      </c>
      <c r="L5878">
        <v>6012</v>
      </c>
      <c r="N5878" t="s">
        <v>16393</v>
      </c>
      <c r="O5878" s="4">
        <v>39684</v>
      </c>
      <c r="P5878" s="4">
        <v>161249</v>
      </c>
      <c r="Q5878" s="4">
        <v>200933</v>
      </c>
      <c r="R5878" s="4">
        <v>602799</v>
      </c>
      <c r="S5878" t="s">
        <v>22139</v>
      </c>
      <c r="T5878" s="6">
        <v>45066</v>
      </c>
      <c r="U5878" s="4">
        <v>602800</v>
      </c>
      <c r="V5878" t="s">
        <v>23739</v>
      </c>
      <c r="W5878" t="s">
        <v>27011</v>
      </c>
      <c r="X5878" t="s">
        <v>3</v>
      </c>
      <c r="AA5878" s="5" t="str">
        <f>HYPERLINK("https://www.zillow.com/homes/FRANCESCA-LN-ROSELLE-IL-601722808_rb/","check listing")</f>
        <v>check listing</v>
      </c>
      <c r="AB5878" s="5" t="str">
        <f>HYPERLINK("https://propertylookup.dupagecounty.gov/Datalets/Datalet.aspx?UseSearch=no&amp;mode=sales&amp;pin=0208204039","sales record")</f>
        <v>sales record</v>
      </c>
      <c r="AC5878" t="s">
        <v>3</v>
      </c>
      <c r="AD5878">
        <v>41.970938</v>
      </c>
      <c r="AE5878">
        <v>-88.11358300000001</v>
      </c>
      <c r="AF5878" s="5" t="str">
        <f>HYPERLINK("https://www.google.com/maps/search/?api=1&amp;query=41.970938,-88.113583","map")</f>
        <v>map</v>
      </c>
    </row>
    <row r="5879" spans="1:32">
      <c r="A5879" t="s">
        <v>5929</v>
      </c>
      <c r="B5879" t="s">
        <v>13454</v>
      </c>
      <c r="C5879" t="s">
        <v>15903</v>
      </c>
      <c r="D5879" t="s">
        <v>16207</v>
      </c>
      <c r="E5879" t="s">
        <v>16218</v>
      </c>
      <c r="F5879" t="s">
        <v>16221</v>
      </c>
      <c r="G5879" t="s">
        <v>16241</v>
      </c>
      <c r="H5879" t="s">
        <v>16241</v>
      </c>
      <c r="I5879" t="s">
        <v>16355</v>
      </c>
      <c r="J5879" t="s">
        <v>16385</v>
      </c>
      <c r="K5879">
        <v>0.138</v>
      </c>
      <c r="L5879">
        <v>6010</v>
      </c>
      <c r="N5879" t="s">
        <v>16393</v>
      </c>
      <c r="O5879" s="4">
        <v>39684</v>
      </c>
      <c r="P5879" s="4">
        <v>146649</v>
      </c>
      <c r="Q5879" s="4">
        <v>186333</v>
      </c>
      <c r="R5879" s="4">
        <v>558999</v>
      </c>
      <c r="S5879" t="s">
        <v>22140</v>
      </c>
      <c r="T5879" s="6">
        <v>45010</v>
      </c>
      <c r="U5879" s="4">
        <v>559000</v>
      </c>
      <c r="V5879" t="s">
        <v>23739</v>
      </c>
      <c r="W5879" t="s">
        <v>27012</v>
      </c>
      <c r="X5879" t="s">
        <v>3</v>
      </c>
      <c r="AA5879" s="5" t="str">
        <f>HYPERLINK("https://www.zillow.com/homes/600-FRANCESCA-LN-ROSELLE-IL-601722808_rb/","check listing")</f>
        <v>check listing</v>
      </c>
      <c r="AB5879" s="5" t="str">
        <f>HYPERLINK("https://propertylookup.dupagecounty.gov/Datalets/Datalet.aspx?UseSearch=no&amp;mode=sales&amp;pin=0208204040","sales record")</f>
        <v>sales record</v>
      </c>
      <c r="AC5879" t="s">
        <v>3</v>
      </c>
      <c r="AD5879">
        <v>41.971041</v>
      </c>
      <c r="AE5879">
        <v>-88.113731</v>
      </c>
      <c r="AF5879" s="5" t="str">
        <f>HYPERLINK("https://www.google.com/maps/search/?api=1&amp;query=41.971041,-88.113731","map")</f>
        <v>map</v>
      </c>
    </row>
    <row r="5880" spans="1:32">
      <c r="A5880" t="s">
        <v>5930</v>
      </c>
      <c r="B5880" t="s">
        <v>13455</v>
      </c>
      <c r="C5880" t="s">
        <v>15830</v>
      </c>
      <c r="D5880" t="s">
        <v>16207</v>
      </c>
      <c r="E5880" t="s">
        <v>16218</v>
      </c>
      <c r="F5880" t="s">
        <v>16221</v>
      </c>
      <c r="G5880" t="s">
        <v>16241</v>
      </c>
      <c r="H5880" t="s">
        <v>16241</v>
      </c>
      <c r="I5880" t="s">
        <v>16355</v>
      </c>
      <c r="J5880" t="s">
        <v>16385</v>
      </c>
      <c r="K5880">
        <v>0.137</v>
      </c>
      <c r="L5880">
        <v>5976</v>
      </c>
      <c r="M5880">
        <v>1979</v>
      </c>
      <c r="N5880" t="s">
        <v>16393</v>
      </c>
      <c r="O5880" s="4">
        <v>38692</v>
      </c>
      <c r="P5880" s="4">
        <v>86348</v>
      </c>
      <c r="Q5880" s="4">
        <v>125040</v>
      </c>
      <c r="R5880" s="4">
        <v>375120</v>
      </c>
      <c r="S5880" t="s">
        <v>22141</v>
      </c>
      <c r="T5880" s="6">
        <v>32752</v>
      </c>
      <c r="U5880" s="4">
        <v>131250</v>
      </c>
      <c r="X5880" t="s">
        <v>3</v>
      </c>
      <c r="AA5880" s="5" t="str">
        <f>HYPERLINK("https://www.zillow.com/homes/692-RADNOR-DR-ROSELLE-IL-60172_rb/","check listing")</f>
        <v>check listing</v>
      </c>
      <c r="AB5880" s="5" t="str">
        <f>HYPERLINK("https://propertylookup.dupagecounty.gov/Datalets/Datalet.aspx?UseSearch=no&amp;mode=sales&amp;pin=0209121037","sales record")</f>
        <v>sales record</v>
      </c>
      <c r="AC5880" t="s">
        <v>3</v>
      </c>
      <c r="AD5880">
        <v>41.970418</v>
      </c>
      <c r="AE5880">
        <v>-88.107039</v>
      </c>
      <c r="AF5880" s="5" t="str">
        <f>HYPERLINK("https://www.google.com/maps/search/?api=1&amp;query=41.970418,-88.107039","map")</f>
        <v>map</v>
      </c>
    </row>
    <row r="5881" spans="1:32">
      <c r="A5881" t="s">
        <v>5931</v>
      </c>
      <c r="B5881" t="s">
        <v>13456</v>
      </c>
      <c r="C5881" t="s">
        <v>15952</v>
      </c>
      <c r="D5881" t="s">
        <v>16207</v>
      </c>
      <c r="E5881" t="s">
        <v>16218</v>
      </c>
      <c r="F5881" t="s">
        <v>16221</v>
      </c>
      <c r="G5881" t="s">
        <v>16241</v>
      </c>
      <c r="H5881" t="s">
        <v>16241</v>
      </c>
      <c r="I5881" t="s">
        <v>16355</v>
      </c>
      <c r="J5881" t="s">
        <v>16385</v>
      </c>
      <c r="K5881">
        <v>0.137</v>
      </c>
      <c r="L5881">
        <v>5970</v>
      </c>
      <c r="M5881">
        <v>891</v>
      </c>
      <c r="N5881" t="s">
        <v>16393</v>
      </c>
      <c r="O5881" s="4">
        <v>38692</v>
      </c>
      <c r="P5881" s="4">
        <v>80097</v>
      </c>
      <c r="Q5881" s="4">
        <v>118789</v>
      </c>
      <c r="R5881" s="4">
        <v>356367</v>
      </c>
      <c r="S5881" t="s">
        <v>22142</v>
      </c>
      <c r="T5881" s="6">
        <v>43313</v>
      </c>
      <c r="U5881" s="4">
        <v>252500</v>
      </c>
      <c r="V5881" t="s">
        <v>23739</v>
      </c>
      <c r="W5881" t="s">
        <v>27013</v>
      </c>
      <c r="X5881" t="s">
        <v>3</v>
      </c>
      <c r="AA5881" s="5" t="str">
        <f>HYPERLINK("https://www.zillow.com/homes/785-MEADE-LN-ROSELLE-IL-601722710_rb/","check listing")</f>
        <v>check listing</v>
      </c>
      <c r="AB5881" s="5" t="str">
        <f>HYPERLINK("https://propertylookup.dupagecounty.gov/Datalets/Datalet.aspx?UseSearch=no&amp;mode=sales&amp;pin=0209118009","sales record")</f>
        <v>sales record</v>
      </c>
      <c r="AC5881" t="s">
        <v>3</v>
      </c>
      <c r="AD5881">
        <v>41.968563</v>
      </c>
      <c r="AE5881">
        <v>-88.105502</v>
      </c>
      <c r="AF5881" s="5" t="str">
        <f>HYPERLINK("https://www.google.com/maps/search/?api=1&amp;query=41.968563,-88.105502","map")</f>
        <v>map</v>
      </c>
    </row>
    <row r="5882" spans="1:32">
      <c r="A5882" t="s">
        <v>5932</v>
      </c>
      <c r="B5882" t="s">
        <v>13457</v>
      </c>
      <c r="C5882" t="s">
        <v>15830</v>
      </c>
      <c r="D5882" t="s">
        <v>16207</v>
      </c>
      <c r="E5882" t="s">
        <v>16218</v>
      </c>
      <c r="F5882" t="s">
        <v>16221</v>
      </c>
      <c r="G5882" t="s">
        <v>16241</v>
      </c>
      <c r="H5882" t="s">
        <v>16241</v>
      </c>
      <c r="I5882" t="s">
        <v>16355</v>
      </c>
      <c r="J5882" t="s">
        <v>16385</v>
      </c>
      <c r="K5882">
        <v>0.137</v>
      </c>
      <c r="L5882">
        <v>5968</v>
      </c>
      <c r="M5882">
        <v>1452</v>
      </c>
      <c r="N5882" t="s">
        <v>16393</v>
      </c>
      <c r="O5882" s="4">
        <v>38692</v>
      </c>
      <c r="P5882" s="4">
        <v>78161</v>
      </c>
      <c r="Q5882" s="4">
        <v>116853</v>
      </c>
      <c r="R5882" s="4">
        <v>350559</v>
      </c>
      <c r="S5882" t="s">
        <v>22143</v>
      </c>
      <c r="T5882" s="6">
        <v>40695</v>
      </c>
      <c r="U5882" s="4">
        <v>200000</v>
      </c>
      <c r="V5882" t="s">
        <v>23739</v>
      </c>
      <c r="W5882" t="s">
        <v>22143</v>
      </c>
      <c r="X5882" t="s">
        <v>3</v>
      </c>
      <c r="AA5882" s="5" t="str">
        <f>HYPERLINK("https://www.zillow.com/homes/410-DOVER-DR-ROSELLE-IL-60172_rb/","check listing")</f>
        <v>check listing</v>
      </c>
      <c r="AB5882" s="5" t="str">
        <f>HYPERLINK("https://propertylookup.dupagecounty.gov/Datalets/Datalet.aspx?UseSearch=no&amp;mode=sales&amp;pin=0208207023","sales record")</f>
        <v>sales record</v>
      </c>
      <c r="AC5882" t="s">
        <v>3</v>
      </c>
      <c r="AD5882">
        <v>41.974759</v>
      </c>
      <c r="AE5882">
        <v>-88.111456</v>
      </c>
      <c r="AF5882" s="5" t="str">
        <f>HYPERLINK("https://www.google.com/maps/search/?api=1&amp;query=41.974759,-88.111456","map")</f>
        <v>map</v>
      </c>
    </row>
    <row r="5883" spans="1:32">
      <c r="A5883" t="s">
        <v>5933</v>
      </c>
      <c r="B5883" t="s">
        <v>13458</v>
      </c>
      <c r="C5883" t="s">
        <v>15830</v>
      </c>
      <c r="D5883" t="s">
        <v>16207</v>
      </c>
      <c r="E5883" t="s">
        <v>16218</v>
      </c>
      <c r="F5883" t="s">
        <v>16221</v>
      </c>
      <c r="G5883" t="s">
        <v>16241</v>
      </c>
      <c r="H5883" t="s">
        <v>16241</v>
      </c>
      <c r="I5883" t="s">
        <v>16355</v>
      </c>
      <c r="J5883" t="s">
        <v>16385</v>
      </c>
      <c r="K5883">
        <v>0.137</v>
      </c>
      <c r="L5883">
        <v>5949</v>
      </c>
      <c r="M5883">
        <v>1715</v>
      </c>
      <c r="N5883" t="s">
        <v>16393</v>
      </c>
      <c r="O5883" s="4">
        <v>38692</v>
      </c>
      <c r="P5883" s="4">
        <v>81915</v>
      </c>
      <c r="Q5883" s="4">
        <v>120607</v>
      </c>
      <c r="R5883" s="4">
        <v>361821</v>
      </c>
      <c r="S5883" t="s">
        <v>22144</v>
      </c>
      <c r="T5883" s="6">
        <v>41821</v>
      </c>
      <c r="U5883" s="4">
        <v>260000</v>
      </c>
      <c r="V5883" t="s">
        <v>23739</v>
      </c>
      <c r="W5883" t="s">
        <v>27014</v>
      </c>
      <c r="X5883" t="s">
        <v>3</v>
      </c>
      <c r="AA5883" s="5" t="str">
        <f>HYPERLINK("https://www.zillow.com/homes/465-NORMAN-LN-ROSELLE-IL-60172_rb/","check listing")</f>
        <v>check listing</v>
      </c>
      <c r="AB5883" s="5" t="str">
        <f>HYPERLINK("https://propertylookup.dupagecounty.gov/Datalets/Datalet.aspx?UseSearch=no&amp;mode=sales&amp;pin=0209106009","sales record")</f>
        <v>sales record</v>
      </c>
      <c r="AC5883" t="s">
        <v>3</v>
      </c>
      <c r="AD5883">
        <v>41.974454</v>
      </c>
      <c r="AE5883">
        <v>-88.109903</v>
      </c>
      <c r="AF5883" s="5" t="str">
        <f>HYPERLINK("https://www.google.com/maps/search/?api=1&amp;query=41.974454,-88.109903","map")</f>
        <v>map</v>
      </c>
    </row>
    <row r="5884" spans="1:32">
      <c r="A5884" t="s">
        <v>5934</v>
      </c>
      <c r="B5884" t="s">
        <v>13459</v>
      </c>
      <c r="C5884" t="s">
        <v>15830</v>
      </c>
      <c r="D5884" t="s">
        <v>16207</v>
      </c>
      <c r="E5884" t="s">
        <v>16218</v>
      </c>
      <c r="F5884" t="s">
        <v>16221</v>
      </c>
      <c r="G5884" t="s">
        <v>16241</v>
      </c>
      <c r="H5884" t="s">
        <v>16241</v>
      </c>
      <c r="I5884" t="s">
        <v>16355</v>
      </c>
      <c r="J5884" t="s">
        <v>16385</v>
      </c>
      <c r="K5884">
        <v>0.137</v>
      </c>
      <c r="L5884">
        <v>5948</v>
      </c>
      <c r="M5884">
        <v>1649</v>
      </c>
      <c r="N5884" t="s">
        <v>16393</v>
      </c>
      <c r="O5884" s="4">
        <v>38692</v>
      </c>
      <c r="P5884" s="4">
        <v>82273</v>
      </c>
      <c r="Q5884" s="4">
        <v>120965</v>
      </c>
      <c r="R5884" s="4">
        <v>362895</v>
      </c>
      <c r="S5884" t="s">
        <v>22145</v>
      </c>
      <c r="T5884" s="6">
        <v>29768</v>
      </c>
      <c r="U5884" s="4">
        <v>88140</v>
      </c>
      <c r="X5884" t="s">
        <v>3</v>
      </c>
      <c r="AA5884" s="5" t="str">
        <f>HYPERLINK("https://www.zillow.com/homes/665-RADNOR-DR-ROSELLE-IL-60172_rb/","check listing")</f>
        <v>check listing</v>
      </c>
      <c r="AB5884" s="5" t="str">
        <f>HYPERLINK("https://propertylookup.dupagecounty.gov/Datalets/Datalet.aspx?UseSearch=no&amp;mode=sales&amp;pin=0209110043","sales record")</f>
        <v>sales record</v>
      </c>
      <c r="AC5884" t="s">
        <v>3</v>
      </c>
      <c r="AD5884">
        <v>41.970758</v>
      </c>
      <c r="AE5884">
        <v>-88.105405</v>
      </c>
      <c r="AF5884" s="5" t="str">
        <f>HYPERLINK("https://www.google.com/maps/search/?api=1&amp;query=41.970758,-88.105405","map")</f>
        <v>map</v>
      </c>
    </row>
    <row r="5885" spans="1:32">
      <c r="A5885" t="s">
        <v>5935</v>
      </c>
      <c r="B5885" t="s">
        <v>13460</v>
      </c>
      <c r="C5885" t="s">
        <v>15940</v>
      </c>
      <c r="D5885" t="s">
        <v>16207</v>
      </c>
      <c r="E5885" t="s">
        <v>16218</v>
      </c>
      <c r="F5885" t="s">
        <v>16221</v>
      </c>
      <c r="G5885" t="s">
        <v>16241</v>
      </c>
      <c r="H5885" t="s">
        <v>16241</v>
      </c>
      <c r="I5885" t="s">
        <v>16355</v>
      </c>
      <c r="J5885" t="s">
        <v>16385</v>
      </c>
      <c r="K5885">
        <v>0.136</v>
      </c>
      <c r="L5885">
        <v>5930</v>
      </c>
      <c r="M5885">
        <v>1650</v>
      </c>
      <c r="N5885" t="s">
        <v>16393</v>
      </c>
      <c r="O5885" s="4">
        <v>38692</v>
      </c>
      <c r="P5885" s="4">
        <v>86791</v>
      </c>
      <c r="Q5885" s="4">
        <v>125483</v>
      </c>
      <c r="R5885" s="4">
        <v>376449</v>
      </c>
      <c r="S5885" t="s">
        <v>22146</v>
      </c>
      <c r="T5885" s="6">
        <v>45593</v>
      </c>
      <c r="U5885" s="4">
        <v>410000</v>
      </c>
      <c r="V5885" t="s">
        <v>23739</v>
      </c>
      <c r="W5885" t="s">
        <v>27015</v>
      </c>
      <c r="X5885" t="s">
        <v>3</v>
      </c>
      <c r="AA5885" s="5" t="str">
        <f>HYPERLINK("https://www.zillow.com/homes/585-KINGSTON-CT-ROSELLE-IL-601722661_rb/","check listing")</f>
        <v>check listing</v>
      </c>
      <c r="AB5885" s="5" t="str">
        <f>HYPERLINK("https://propertylookup.dupagecounty.gov/Datalets/Datalet.aspx?UseSearch=no&amp;mode=sales&amp;pin=0209119012","sales record")</f>
        <v>sales record</v>
      </c>
      <c r="AC5885" t="s">
        <v>3</v>
      </c>
      <c r="AD5885">
        <v>41.972415</v>
      </c>
      <c r="AE5885">
        <v>-88.10881000000001</v>
      </c>
      <c r="AF5885" s="5" t="str">
        <f>HYPERLINK("https://www.google.com/maps/search/?api=1&amp;query=41.972415,-88.10881","map")</f>
        <v>map</v>
      </c>
    </row>
    <row r="5886" spans="1:32">
      <c r="A5886" t="s">
        <v>5936</v>
      </c>
      <c r="B5886" t="s">
        <v>13461</v>
      </c>
      <c r="C5886" t="s">
        <v>15830</v>
      </c>
      <c r="D5886" t="s">
        <v>16207</v>
      </c>
      <c r="E5886" t="s">
        <v>16218</v>
      </c>
      <c r="F5886" t="s">
        <v>16221</v>
      </c>
      <c r="G5886" t="s">
        <v>16241</v>
      </c>
      <c r="H5886" t="s">
        <v>16241</v>
      </c>
      <c r="I5886" t="s">
        <v>16355</v>
      </c>
      <c r="J5886" t="s">
        <v>16385</v>
      </c>
      <c r="K5886">
        <v>0.136</v>
      </c>
      <c r="L5886">
        <v>5929</v>
      </c>
      <c r="M5886">
        <v>1715</v>
      </c>
      <c r="N5886" t="s">
        <v>16393</v>
      </c>
      <c r="O5886" s="4">
        <v>38692</v>
      </c>
      <c r="P5886" s="4">
        <v>81687</v>
      </c>
      <c r="Q5886" s="4">
        <v>120379</v>
      </c>
      <c r="R5886" s="4">
        <v>361137</v>
      </c>
      <c r="S5886" t="s">
        <v>22147</v>
      </c>
      <c r="T5886" s="6">
        <v>35977</v>
      </c>
      <c r="U5886" s="4">
        <v>154000</v>
      </c>
      <c r="X5886" t="s">
        <v>3</v>
      </c>
      <c r="AA5886" s="5" t="str">
        <f>HYPERLINK("https://www.zillow.com/homes/645-MIDDLETON-DR-ROSELLE-IL-60172_rb/","check listing")</f>
        <v>check listing</v>
      </c>
      <c r="AB5886" s="5" t="str">
        <f>HYPERLINK("https://propertylookup.dupagecounty.gov/Datalets/Datalet.aspx?UseSearch=no&amp;mode=sales&amp;pin=0209101019","sales record")</f>
        <v>sales record</v>
      </c>
      <c r="AC5886" t="s">
        <v>3</v>
      </c>
      <c r="AD5886">
        <v>41.971224</v>
      </c>
      <c r="AE5886">
        <v>-88.104455</v>
      </c>
      <c r="AF5886" s="5" t="str">
        <f>HYPERLINK("https://www.google.com/maps/search/?api=1&amp;query=41.971224,-88.104455","map")</f>
        <v>map</v>
      </c>
    </row>
    <row r="5887" spans="1:32">
      <c r="A5887" t="s">
        <v>5937</v>
      </c>
      <c r="B5887" t="s">
        <v>13462</v>
      </c>
      <c r="C5887" t="s">
        <v>15830</v>
      </c>
      <c r="D5887" t="s">
        <v>16207</v>
      </c>
      <c r="E5887" t="s">
        <v>16218</v>
      </c>
      <c r="F5887" t="s">
        <v>16221</v>
      </c>
      <c r="G5887" t="s">
        <v>16241</v>
      </c>
      <c r="H5887" t="s">
        <v>16241</v>
      </c>
      <c r="I5887" t="s">
        <v>16355</v>
      </c>
      <c r="J5887" t="s">
        <v>16385</v>
      </c>
      <c r="K5887">
        <v>0.136</v>
      </c>
      <c r="L5887">
        <v>5928</v>
      </c>
      <c r="M5887">
        <v>1704</v>
      </c>
      <c r="N5887" t="s">
        <v>16393</v>
      </c>
      <c r="O5887" s="4">
        <v>38692</v>
      </c>
      <c r="P5887" s="4">
        <v>81687</v>
      </c>
      <c r="Q5887" s="4">
        <v>120379</v>
      </c>
      <c r="R5887" s="4">
        <v>361137</v>
      </c>
      <c r="S5887" t="s">
        <v>22148</v>
      </c>
      <c r="T5887" s="6">
        <v>35643</v>
      </c>
      <c r="U5887" s="4">
        <v>151000</v>
      </c>
      <c r="X5887" t="s">
        <v>3</v>
      </c>
      <c r="AA5887" s="5" t="str">
        <f>HYPERLINK("https://www.zillow.com/homes/655-MIDDLETON-DR-ROSELLE-IL-60172_rb/","check listing")</f>
        <v>check listing</v>
      </c>
      <c r="AB5887" s="5" t="str">
        <f>HYPERLINK("https://propertylookup.dupagecounty.gov/Datalets/Datalet.aspx?UseSearch=no&amp;mode=sales&amp;pin=0209101020","sales record")</f>
        <v>sales record</v>
      </c>
      <c r="AC5887" t="s">
        <v>3</v>
      </c>
      <c r="AD5887">
        <v>41.971068</v>
      </c>
      <c r="AE5887">
        <v>-88.10446</v>
      </c>
      <c r="AF5887" s="5" t="str">
        <f>HYPERLINK("https://www.google.com/maps/search/?api=1&amp;query=41.971068,-88.10446","map")</f>
        <v>map</v>
      </c>
    </row>
    <row r="5888" spans="1:32">
      <c r="A5888" t="s">
        <v>5938</v>
      </c>
      <c r="B5888" t="s">
        <v>13463</v>
      </c>
      <c r="C5888" t="s">
        <v>15830</v>
      </c>
      <c r="D5888" t="s">
        <v>16207</v>
      </c>
      <c r="E5888" t="s">
        <v>16218</v>
      </c>
      <c r="F5888" t="s">
        <v>16221</v>
      </c>
      <c r="G5888" t="s">
        <v>16241</v>
      </c>
      <c r="H5888" t="s">
        <v>16241</v>
      </c>
      <c r="I5888" t="s">
        <v>16355</v>
      </c>
      <c r="J5888" t="s">
        <v>16385</v>
      </c>
      <c r="K5888">
        <v>0.136</v>
      </c>
      <c r="L5888">
        <v>5927</v>
      </c>
      <c r="M5888">
        <v>2267</v>
      </c>
      <c r="N5888" t="s">
        <v>16393</v>
      </c>
      <c r="O5888" s="4">
        <v>38692</v>
      </c>
      <c r="P5888" s="4">
        <v>83851</v>
      </c>
      <c r="Q5888" s="4">
        <v>122543</v>
      </c>
      <c r="R5888" s="4">
        <v>367629</v>
      </c>
      <c r="S5888" t="s">
        <v>22149</v>
      </c>
      <c r="T5888" s="6">
        <v>43313</v>
      </c>
      <c r="U5888" s="4">
        <v>254000</v>
      </c>
      <c r="V5888" t="s">
        <v>23739</v>
      </c>
      <c r="W5888" t="s">
        <v>27016</v>
      </c>
      <c r="X5888" t="s">
        <v>3</v>
      </c>
      <c r="AA5888" s="5" t="str">
        <f>HYPERLINK("https://www.zillow.com/homes/744-BERWICK-PL-ROSELLE-IL-60172_rb/","check listing")</f>
        <v>check listing</v>
      </c>
      <c r="AB5888" s="5" t="str">
        <f>HYPERLINK("https://propertylookup.dupagecounty.gov/Datalets/Datalet.aspx?UseSearch=no&amp;mode=sales&amp;pin=0208205034","sales record")</f>
        <v>sales record</v>
      </c>
      <c r="AC5888" t="s">
        <v>3</v>
      </c>
      <c r="AD5888">
        <v>41.969258</v>
      </c>
      <c r="AE5888">
        <v>-88.110843</v>
      </c>
      <c r="AF5888" s="5" t="str">
        <f>HYPERLINK("https://www.google.com/maps/search/?api=1&amp;query=41.969258,-88.110843","map")</f>
        <v>map</v>
      </c>
    </row>
    <row r="5889" spans="1:32">
      <c r="A5889" t="s">
        <v>5939</v>
      </c>
      <c r="B5889" t="s">
        <v>13464</v>
      </c>
      <c r="C5889" t="s">
        <v>15953</v>
      </c>
      <c r="D5889" t="s">
        <v>16207</v>
      </c>
      <c r="E5889" t="s">
        <v>16218</v>
      </c>
      <c r="F5889" t="s">
        <v>16221</v>
      </c>
      <c r="G5889" t="s">
        <v>16241</v>
      </c>
      <c r="H5889" t="s">
        <v>16241</v>
      </c>
      <c r="I5889" t="s">
        <v>16355</v>
      </c>
      <c r="J5889" t="s">
        <v>16385</v>
      </c>
      <c r="K5889">
        <v>0.136</v>
      </c>
      <c r="L5889">
        <v>5921</v>
      </c>
      <c r="M5889">
        <v>578</v>
      </c>
      <c r="N5889" t="s">
        <v>16393</v>
      </c>
      <c r="O5889" s="4">
        <v>38692</v>
      </c>
      <c r="P5889" s="4">
        <v>79595</v>
      </c>
      <c r="Q5889" s="4">
        <v>118287</v>
      </c>
      <c r="R5889" s="4">
        <v>354861</v>
      </c>
      <c r="S5889" t="s">
        <v>22150</v>
      </c>
      <c r="T5889" s="6">
        <v>43252</v>
      </c>
      <c r="U5889" s="4">
        <v>270000</v>
      </c>
      <c r="V5889" t="s">
        <v>23739</v>
      </c>
      <c r="W5889" t="s">
        <v>27017</v>
      </c>
      <c r="X5889" t="s">
        <v>3</v>
      </c>
      <c r="AA5889" s="5" t="str">
        <f>HYPERLINK("https://www.zillow.com/homes/450-S-GARDEN-AVE-ROSELLE-IL-601722813_rb/","check listing")</f>
        <v>check listing</v>
      </c>
      <c r="AB5889" s="5" t="str">
        <f>HYPERLINK("https://propertylookup.dupagecounty.gov/Datalets/Datalet.aspx?UseSearch=no&amp;mode=sales&amp;pin=0209108007","sales record")</f>
        <v>sales record</v>
      </c>
      <c r="AC5889" t="s">
        <v>3</v>
      </c>
      <c r="AD5889">
        <v>41.974511</v>
      </c>
      <c r="AE5889">
        <v>-88.104382</v>
      </c>
      <c r="AF5889" s="5" t="str">
        <f>HYPERLINK("https://www.google.com/maps/search/?api=1&amp;query=41.974511,-88.104382","map")</f>
        <v>map</v>
      </c>
    </row>
    <row r="5890" spans="1:32">
      <c r="A5890" t="s">
        <v>5940</v>
      </c>
      <c r="B5890" t="s">
        <v>13465</v>
      </c>
      <c r="C5890" t="s">
        <v>15830</v>
      </c>
      <c r="D5890" t="s">
        <v>16207</v>
      </c>
      <c r="E5890" t="s">
        <v>16218</v>
      </c>
      <c r="F5890" t="s">
        <v>16221</v>
      </c>
      <c r="G5890" t="s">
        <v>16241</v>
      </c>
      <c r="H5890" t="s">
        <v>16241</v>
      </c>
      <c r="I5890" t="s">
        <v>16355</v>
      </c>
      <c r="J5890" t="s">
        <v>16385</v>
      </c>
      <c r="K5890">
        <v>0.136</v>
      </c>
      <c r="L5890">
        <v>5918</v>
      </c>
      <c r="M5890">
        <v>1961</v>
      </c>
      <c r="N5890" t="s">
        <v>16393</v>
      </c>
      <c r="O5890" s="4">
        <v>38692</v>
      </c>
      <c r="P5890" s="4">
        <v>90090</v>
      </c>
      <c r="Q5890" s="4">
        <v>128782</v>
      </c>
      <c r="R5890" s="4">
        <v>386346</v>
      </c>
      <c r="S5890" t="s">
        <v>22151</v>
      </c>
      <c r="T5890" s="6">
        <v>34121</v>
      </c>
      <c r="U5890" s="4">
        <v>132000</v>
      </c>
      <c r="X5890" t="s">
        <v>3</v>
      </c>
      <c r="AA5890" s="5" t="str">
        <f>HYPERLINK("https://www.zillow.com/homes/709-BRIARWOOD-ROSELLE-IL-60172_rb/","check listing")</f>
        <v>check listing</v>
      </c>
      <c r="AB5890" s="5" t="str">
        <f>HYPERLINK("https://propertylookup.dupagecounty.gov/Datalets/Datalet.aspx?UseSearch=no&amp;mode=sales&amp;pin=0209121018","sales record")</f>
        <v>sales record</v>
      </c>
      <c r="AC5890" t="s">
        <v>3</v>
      </c>
      <c r="AD5890">
        <v>41.970175</v>
      </c>
      <c r="AE5890">
        <v>-88.108163</v>
      </c>
      <c r="AF5890" s="5" t="str">
        <f>HYPERLINK("https://www.google.com/maps/search/?api=1&amp;query=41.970175,-88.108163","map")</f>
        <v>map</v>
      </c>
    </row>
    <row r="5891" spans="1:32">
      <c r="A5891" t="s">
        <v>5941</v>
      </c>
      <c r="B5891" t="s">
        <v>13466</v>
      </c>
      <c r="C5891" t="s">
        <v>15830</v>
      </c>
      <c r="D5891" t="s">
        <v>16207</v>
      </c>
      <c r="E5891" t="s">
        <v>16218</v>
      </c>
      <c r="F5891" t="s">
        <v>16221</v>
      </c>
      <c r="G5891" t="s">
        <v>16241</v>
      </c>
      <c r="H5891" t="s">
        <v>16241</v>
      </c>
      <c r="I5891" t="s">
        <v>16355</v>
      </c>
      <c r="J5891" t="s">
        <v>16385</v>
      </c>
      <c r="K5891">
        <v>0.136</v>
      </c>
      <c r="L5891">
        <v>5907</v>
      </c>
      <c r="M5891">
        <v>2199</v>
      </c>
      <c r="N5891" t="s">
        <v>16393</v>
      </c>
      <c r="O5891" s="4">
        <v>38692</v>
      </c>
      <c r="P5891" s="4">
        <v>86146</v>
      </c>
      <c r="Q5891" s="4">
        <v>124838</v>
      </c>
      <c r="R5891" s="4">
        <v>374514</v>
      </c>
      <c r="S5891" t="s">
        <v>22152</v>
      </c>
      <c r="T5891" s="6">
        <v>31868</v>
      </c>
      <c r="U5891" s="4">
        <v>93000</v>
      </c>
      <c r="X5891" t="s">
        <v>3</v>
      </c>
      <c r="AA5891" s="5" t="str">
        <f>HYPERLINK("https://www.zillow.com/homes/580-STAFFORD-DR-ROSELLE-IL-60172_rb/","check listing")</f>
        <v>check listing</v>
      </c>
      <c r="AB5891" s="5" t="str">
        <f>HYPERLINK("https://propertylookup.dupagecounty.gov/Datalets/Datalet.aspx?UseSearch=no&amp;mode=sales&amp;pin=0209119019","sales record")</f>
        <v>sales record</v>
      </c>
      <c r="AC5891" t="s">
        <v>3</v>
      </c>
      <c r="AD5891">
        <v>41.972179</v>
      </c>
      <c r="AE5891">
        <v>-88.108422</v>
      </c>
      <c r="AF5891" s="5" t="str">
        <f>HYPERLINK("https://www.google.com/maps/search/?api=1&amp;query=41.972179,-88.108422","map")</f>
        <v>map</v>
      </c>
    </row>
    <row r="5892" spans="1:32">
      <c r="A5892" t="s">
        <v>5942</v>
      </c>
      <c r="B5892" t="s">
        <v>13467</v>
      </c>
      <c r="C5892" t="s">
        <v>15939</v>
      </c>
      <c r="D5892" t="s">
        <v>16207</v>
      </c>
      <c r="E5892" t="s">
        <v>16218</v>
      </c>
      <c r="F5892" t="s">
        <v>16221</v>
      </c>
      <c r="G5892" t="s">
        <v>16241</v>
      </c>
      <c r="H5892" t="s">
        <v>16241</v>
      </c>
      <c r="I5892" t="s">
        <v>16355</v>
      </c>
      <c r="J5892" t="s">
        <v>16385</v>
      </c>
      <c r="K5892">
        <v>0.135</v>
      </c>
      <c r="L5892">
        <v>5900</v>
      </c>
      <c r="M5892">
        <v>1951</v>
      </c>
      <c r="N5892" t="s">
        <v>16393</v>
      </c>
      <c r="O5892" s="4">
        <v>38692</v>
      </c>
      <c r="P5892" s="4">
        <v>63268</v>
      </c>
      <c r="Q5892" s="4">
        <v>101960</v>
      </c>
      <c r="R5892" s="4">
        <v>305880</v>
      </c>
      <c r="S5892" t="s">
        <v>22153</v>
      </c>
      <c r="T5892" s="6">
        <v>42339</v>
      </c>
      <c r="U5892" s="4">
        <v>147000</v>
      </c>
      <c r="V5892" t="s">
        <v>23739</v>
      </c>
      <c r="W5892" t="s">
        <v>27018</v>
      </c>
      <c r="X5892" t="s">
        <v>3</v>
      </c>
      <c r="AA5892" s="5" t="str">
        <f>HYPERLINK("https://www.zillow.com/homes/765-RODENBURG-RD-ROSELLE-IL-601722719_rb/","check listing")</f>
        <v>check listing</v>
      </c>
      <c r="AB5892" s="5" t="str">
        <f>HYPERLINK("https://propertylookup.dupagecounty.gov/Datalets/Datalet.aspx?UseSearch=no&amp;mode=sales&amp;pin=0209117005","sales record")</f>
        <v>sales record</v>
      </c>
      <c r="AC5892" t="s">
        <v>3</v>
      </c>
      <c r="AD5892">
        <v>41.96877</v>
      </c>
      <c r="AE5892">
        <v>-88.106461</v>
      </c>
      <c r="AF5892" s="5" t="str">
        <f>HYPERLINK("https://www.google.com/maps/search/?api=1&amp;query=41.96877,-88.106461","map")</f>
        <v>map</v>
      </c>
    </row>
    <row r="5893" spans="1:32">
      <c r="A5893" t="s">
        <v>5943</v>
      </c>
      <c r="B5893" t="s">
        <v>13468</v>
      </c>
      <c r="C5893" t="s">
        <v>15830</v>
      </c>
      <c r="D5893" t="s">
        <v>16207</v>
      </c>
      <c r="E5893" t="s">
        <v>16218</v>
      </c>
      <c r="F5893" t="s">
        <v>16221</v>
      </c>
      <c r="G5893" t="s">
        <v>16241</v>
      </c>
      <c r="H5893" t="s">
        <v>16241</v>
      </c>
      <c r="I5893" t="s">
        <v>16355</v>
      </c>
      <c r="J5893" t="s">
        <v>16385</v>
      </c>
      <c r="K5893">
        <v>0.135</v>
      </c>
      <c r="L5893">
        <v>5900</v>
      </c>
      <c r="M5893">
        <v>990</v>
      </c>
      <c r="N5893" t="s">
        <v>16393</v>
      </c>
      <c r="O5893" s="4">
        <v>38692</v>
      </c>
      <c r="P5893" s="4">
        <v>54458</v>
      </c>
      <c r="Q5893" s="4">
        <v>93150</v>
      </c>
      <c r="R5893" s="4">
        <v>279450</v>
      </c>
      <c r="S5893" t="s">
        <v>22154</v>
      </c>
      <c r="T5893" s="6">
        <v>30560</v>
      </c>
      <c r="U5893" s="4">
        <v>60270</v>
      </c>
      <c r="X5893" t="s">
        <v>3</v>
      </c>
      <c r="AA5893" s="5" t="str">
        <f>HYPERLINK("https://www.zillow.com/homes/635-RADNOR-DR-ROSELLE-IL-60172_rb/","check listing")</f>
        <v>check listing</v>
      </c>
      <c r="AB5893" s="5" t="str">
        <f>HYPERLINK("https://propertylookup.dupagecounty.gov/Datalets/Datalet.aspx?UseSearch=no&amp;mode=sales&amp;pin=0209110040","sales record")</f>
        <v>sales record</v>
      </c>
      <c r="AC5893" t="s">
        <v>3</v>
      </c>
      <c r="AD5893">
        <v>41.971216</v>
      </c>
      <c r="AE5893">
        <v>-88.105389</v>
      </c>
      <c r="AF5893" s="5" t="str">
        <f>HYPERLINK("https://www.google.com/maps/search/?api=1&amp;query=41.971216,-88.105389","map")</f>
        <v>map</v>
      </c>
    </row>
    <row r="5894" spans="1:32">
      <c r="A5894" t="s">
        <v>5944</v>
      </c>
      <c r="B5894" t="s">
        <v>13469</v>
      </c>
      <c r="C5894" t="s">
        <v>15830</v>
      </c>
      <c r="D5894" t="s">
        <v>16207</v>
      </c>
      <c r="E5894" t="s">
        <v>16218</v>
      </c>
      <c r="F5894" t="s">
        <v>16221</v>
      </c>
      <c r="G5894" t="s">
        <v>16241</v>
      </c>
      <c r="H5894" t="s">
        <v>16241</v>
      </c>
      <c r="I5894" t="s">
        <v>16355</v>
      </c>
      <c r="J5894" t="s">
        <v>16385</v>
      </c>
      <c r="K5894">
        <v>0.135</v>
      </c>
      <c r="L5894">
        <v>5899</v>
      </c>
      <c r="M5894">
        <v>1979</v>
      </c>
      <c r="N5894" t="s">
        <v>16393</v>
      </c>
      <c r="O5894" s="4">
        <v>38692</v>
      </c>
      <c r="P5894" s="4">
        <v>90090</v>
      </c>
      <c r="Q5894" s="4">
        <v>128782</v>
      </c>
      <c r="R5894" s="4">
        <v>386346</v>
      </c>
      <c r="S5894" t="s">
        <v>22155</v>
      </c>
      <c r="T5894" s="6">
        <v>31898</v>
      </c>
      <c r="U5894" s="4">
        <v>112900</v>
      </c>
      <c r="X5894" t="s">
        <v>3</v>
      </c>
      <c r="AA5894" s="5" t="str">
        <f>HYPERLINK("https://www.zillow.com/homes/585-RADNOR-DR-ROSELLE-IL-60172_rb/","check listing")</f>
        <v>check listing</v>
      </c>
      <c r="AB5894" s="5" t="str">
        <f>HYPERLINK("https://propertylookup.dupagecounty.gov/Datalets/Datalet.aspx?UseSearch=no&amp;mode=sales&amp;pin=0209110035","sales record")</f>
        <v>sales record</v>
      </c>
      <c r="AC5894" t="s">
        <v>3</v>
      </c>
      <c r="AD5894">
        <v>41.972042</v>
      </c>
      <c r="AE5894">
        <v>-88.105361</v>
      </c>
      <c r="AF5894" s="5" t="str">
        <f>HYPERLINK("https://www.google.com/maps/search/?api=1&amp;query=41.972042,-88.105361","map")</f>
        <v>map</v>
      </c>
    </row>
    <row r="5895" spans="1:32">
      <c r="A5895" t="s">
        <v>5945</v>
      </c>
      <c r="B5895" t="s">
        <v>13470</v>
      </c>
      <c r="C5895" t="s">
        <v>15830</v>
      </c>
      <c r="D5895" t="s">
        <v>16207</v>
      </c>
      <c r="E5895" t="s">
        <v>16218</v>
      </c>
      <c r="F5895" t="s">
        <v>16221</v>
      </c>
      <c r="G5895" t="s">
        <v>16241</v>
      </c>
      <c r="H5895" t="s">
        <v>16241</v>
      </c>
      <c r="I5895" t="s">
        <v>16355</v>
      </c>
      <c r="J5895" t="s">
        <v>16385</v>
      </c>
      <c r="K5895">
        <v>0.135</v>
      </c>
      <c r="L5895">
        <v>5899</v>
      </c>
      <c r="M5895">
        <v>1632</v>
      </c>
      <c r="N5895" t="s">
        <v>16393</v>
      </c>
      <c r="O5895" s="4">
        <v>38692</v>
      </c>
      <c r="P5895" s="4">
        <v>55546</v>
      </c>
      <c r="Q5895" s="4">
        <v>94238</v>
      </c>
      <c r="R5895" s="4">
        <v>282714</v>
      </c>
      <c r="S5895" t="s">
        <v>22156</v>
      </c>
      <c r="T5895" s="6">
        <v>41852</v>
      </c>
      <c r="U5895" s="4">
        <v>175000</v>
      </c>
      <c r="V5895" t="s">
        <v>23739</v>
      </c>
      <c r="W5895" t="s">
        <v>27019</v>
      </c>
      <c r="X5895" t="s">
        <v>3</v>
      </c>
      <c r="AA5895" s="5" t="str">
        <f>HYPERLINK("https://www.zillow.com/homes/615-RADNOR-DR-ROSELLE-IL-60172_rb/","check listing")</f>
        <v>check listing</v>
      </c>
      <c r="AB5895" s="5" t="str">
        <f>HYPERLINK("https://propertylookup.dupagecounty.gov/Datalets/Datalet.aspx?UseSearch=no&amp;mode=sales&amp;pin=0209110038","sales record")</f>
        <v>sales record</v>
      </c>
      <c r="AC5895" t="s">
        <v>3</v>
      </c>
      <c r="AD5895">
        <v>41.971514</v>
      </c>
      <c r="AE5895">
        <v>-88.105379</v>
      </c>
      <c r="AF5895" s="5" t="str">
        <f>HYPERLINK("https://www.google.com/maps/search/?api=1&amp;query=41.971514,-88.105379","map")</f>
        <v>map</v>
      </c>
    </row>
    <row r="5896" spans="1:32">
      <c r="A5896" t="s">
        <v>5946</v>
      </c>
      <c r="B5896" t="s">
        <v>13471</v>
      </c>
      <c r="C5896" t="s">
        <v>15830</v>
      </c>
      <c r="D5896" t="s">
        <v>16207</v>
      </c>
      <c r="E5896" t="s">
        <v>16218</v>
      </c>
      <c r="F5896" t="s">
        <v>16221</v>
      </c>
      <c r="G5896" t="s">
        <v>16241</v>
      </c>
      <c r="H5896" t="s">
        <v>16241</v>
      </c>
      <c r="I5896" t="s">
        <v>16355</v>
      </c>
      <c r="J5896" t="s">
        <v>16385</v>
      </c>
      <c r="K5896">
        <v>0.135</v>
      </c>
      <c r="L5896">
        <v>5898</v>
      </c>
      <c r="M5896">
        <v>1814</v>
      </c>
      <c r="N5896" t="s">
        <v>16393</v>
      </c>
      <c r="O5896" s="4">
        <v>38692</v>
      </c>
      <c r="P5896" s="4">
        <v>78663</v>
      </c>
      <c r="Q5896" s="4">
        <v>117355</v>
      </c>
      <c r="R5896" s="4">
        <v>352065</v>
      </c>
      <c r="S5896" t="s">
        <v>22157</v>
      </c>
      <c r="T5896" s="6">
        <v>36708</v>
      </c>
      <c r="U5896" s="4">
        <v>181000</v>
      </c>
      <c r="V5896" t="s">
        <v>23739</v>
      </c>
      <c r="W5896" t="s">
        <v>22157</v>
      </c>
      <c r="X5896" t="s">
        <v>3</v>
      </c>
      <c r="AA5896" s="5" t="str">
        <f>HYPERLINK("https://www.zillow.com/homes/655-RADNOR-DR-ROSELLE-IL-60172_rb/","check listing")</f>
        <v>check listing</v>
      </c>
      <c r="AB5896" s="5" t="str">
        <f>HYPERLINK("https://propertylookup.dupagecounty.gov/Datalets/Datalet.aspx?UseSearch=no&amp;mode=sales&amp;pin=0209110042","sales record")</f>
        <v>sales record</v>
      </c>
      <c r="AC5896" t="s">
        <v>3</v>
      </c>
      <c r="AD5896">
        <v>41.970907</v>
      </c>
      <c r="AE5896">
        <v>-88.1054</v>
      </c>
      <c r="AF5896" s="5" t="str">
        <f>HYPERLINK("https://www.google.com/maps/search/?api=1&amp;query=41.970907,-88.1054","map")</f>
        <v>map</v>
      </c>
    </row>
    <row r="5897" spans="1:32">
      <c r="A5897" t="s">
        <v>5947</v>
      </c>
      <c r="B5897" t="s">
        <v>13472</v>
      </c>
      <c r="C5897" t="s">
        <v>15830</v>
      </c>
      <c r="D5897" t="s">
        <v>16207</v>
      </c>
      <c r="E5897" t="s">
        <v>16218</v>
      </c>
      <c r="F5897" t="s">
        <v>16221</v>
      </c>
      <c r="G5897" t="s">
        <v>16241</v>
      </c>
      <c r="H5897" t="s">
        <v>16241</v>
      </c>
      <c r="I5897" t="s">
        <v>16355</v>
      </c>
      <c r="J5897" t="s">
        <v>16385</v>
      </c>
      <c r="K5897">
        <v>0.135</v>
      </c>
      <c r="L5897">
        <v>5898</v>
      </c>
      <c r="M5897">
        <v>1814</v>
      </c>
      <c r="N5897" t="s">
        <v>16393</v>
      </c>
      <c r="O5897" s="4">
        <v>38692</v>
      </c>
      <c r="P5897" s="4">
        <v>83851</v>
      </c>
      <c r="Q5897" s="4">
        <v>122543</v>
      </c>
      <c r="R5897" s="4">
        <v>367629</v>
      </c>
      <c r="S5897" t="s">
        <v>22158</v>
      </c>
      <c r="T5897" s="6">
        <v>36312</v>
      </c>
      <c r="U5897" s="4">
        <v>159000</v>
      </c>
      <c r="X5897" t="s">
        <v>3</v>
      </c>
      <c r="AA5897" s="5" t="str">
        <f>HYPERLINK("https://www.zillow.com/homes/625-RADNOR-DR-ROSELLE-IL-60172_rb/","check listing")</f>
        <v>check listing</v>
      </c>
      <c r="AB5897" s="5" t="str">
        <f>HYPERLINK("https://propertylookup.dupagecounty.gov/Datalets/Datalet.aspx?UseSearch=no&amp;mode=sales&amp;pin=0209110039","sales record")</f>
        <v>sales record</v>
      </c>
      <c r="AC5897" t="s">
        <v>3</v>
      </c>
      <c r="AD5897">
        <v>41.971365</v>
      </c>
      <c r="AE5897">
        <v>-88.105384</v>
      </c>
      <c r="AF5897" s="5" t="str">
        <f>HYPERLINK("https://www.google.com/maps/search/?api=1&amp;query=41.971365,-88.105384","map")</f>
        <v>map</v>
      </c>
    </row>
    <row r="5898" spans="1:32">
      <c r="A5898" t="s">
        <v>5948</v>
      </c>
      <c r="B5898" t="s">
        <v>13473</v>
      </c>
      <c r="C5898" t="s">
        <v>15830</v>
      </c>
      <c r="D5898" t="s">
        <v>16207</v>
      </c>
      <c r="E5898" t="s">
        <v>16218</v>
      </c>
      <c r="F5898" t="s">
        <v>16221</v>
      </c>
      <c r="G5898" t="s">
        <v>16241</v>
      </c>
      <c r="H5898" t="s">
        <v>16241</v>
      </c>
      <c r="I5898" t="s">
        <v>16355</v>
      </c>
      <c r="J5898" t="s">
        <v>16385</v>
      </c>
      <c r="K5898">
        <v>0.135</v>
      </c>
      <c r="L5898">
        <v>5898</v>
      </c>
      <c r="M5898">
        <v>1450</v>
      </c>
      <c r="N5898" t="s">
        <v>16393</v>
      </c>
      <c r="O5898" s="4">
        <v>38692</v>
      </c>
      <c r="P5898" s="4">
        <v>75974</v>
      </c>
      <c r="Q5898" s="4">
        <v>114666</v>
      </c>
      <c r="R5898" s="4">
        <v>343998</v>
      </c>
      <c r="S5898" t="s">
        <v>22159</v>
      </c>
      <c r="T5898" s="6">
        <v>44348</v>
      </c>
      <c r="U5898" s="4">
        <v>335000</v>
      </c>
      <c r="V5898" t="s">
        <v>23739</v>
      </c>
      <c r="W5898" t="s">
        <v>27020</v>
      </c>
      <c r="X5898" t="s">
        <v>3</v>
      </c>
      <c r="AA5898" s="5" t="str">
        <f>HYPERLINK("https://www.zillow.com/homes/595-RADNOR-DR-ROSELLE-IL-60172_rb/","check listing")</f>
        <v>check listing</v>
      </c>
      <c r="AB5898" s="5" t="str">
        <f>HYPERLINK("https://propertylookup.dupagecounty.gov/Datalets/Datalet.aspx?UseSearch=no&amp;mode=sales&amp;pin=0209110036","sales record")</f>
        <v>sales record</v>
      </c>
      <c r="AC5898" t="s">
        <v>3</v>
      </c>
      <c r="AD5898">
        <v>41.971892</v>
      </c>
      <c r="AE5898">
        <v>-88.105366</v>
      </c>
      <c r="AF5898" s="5" t="str">
        <f>HYPERLINK("https://www.google.com/maps/search/?api=1&amp;query=41.971892,-88.105366","map")</f>
        <v>map</v>
      </c>
    </row>
    <row r="5899" spans="1:32">
      <c r="A5899" t="s">
        <v>5949</v>
      </c>
      <c r="B5899" t="s">
        <v>13474</v>
      </c>
      <c r="C5899" t="s">
        <v>15954</v>
      </c>
      <c r="D5899" t="s">
        <v>16207</v>
      </c>
      <c r="E5899" t="s">
        <v>16218</v>
      </c>
      <c r="F5899" t="s">
        <v>16221</v>
      </c>
      <c r="G5899" t="s">
        <v>16241</v>
      </c>
      <c r="H5899" t="s">
        <v>16241</v>
      </c>
      <c r="I5899" t="s">
        <v>16355</v>
      </c>
      <c r="J5899" t="s">
        <v>16385</v>
      </c>
      <c r="K5899">
        <v>0.135</v>
      </c>
      <c r="L5899">
        <v>5897</v>
      </c>
      <c r="M5899">
        <v>989</v>
      </c>
      <c r="N5899" t="s">
        <v>16393</v>
      </c>
      <c r="O5899" s="4">
        <v>38692</v>
      </c>
      <c r="P5899" s="4">
        <v>77730</v>
      </c>
      <c r="Q5899" s="4">
        <v>116422</v>
      </c>
      <c r="R5899" s="4">
        <v>349266</v>
      </c>
      <c r="S5899" t="s">
        <v>22160</v>
      </c>
      <c r="T5899" s="6">
        <v>44409</v>
      </c>
      <c r="U5899" s="4">
        <v>310000</v>
      </c>
      <c r="V5899" t="s">
        <v>23739</v>
      </c>
      <c r="W5899" t="s">
        <v>27021</v>
      </c>
      <c r="X5899" t="s">
        <v>3</v>
      </c>
      <c r="AA5899" s="5" t="str">
        <f>HYPERLINK("https://www.zillow.com/homes/645-RADNOR-DR-ROSELLE-IL-601722742_rb/","check listing")</f>
        <v>check listing</v>
      </c>
      <c r="AB5899" s="5" t="str">
        <f>HYPERLINK("https://propertylookup.dupagecounty.gov/Datalets/Datalet.aspx?UseSearch=no&amp;mode=sales&amp;pin=0209110041","sales record")</f>
        <v>sales record</v>
      </c>
      <c r="AC5899" t="s">
        <v>3</v>
      </c>
      <c r="AD5899">
        <v>41.971057</v>
      </c>
      <c r="AE5899">
        <v>-88.105395</v>
      </c>
      <c r="AF5899" s="5" t="str">
        <f>HYPERLINK("https://www.google.com/maps/search/?api=1&amp;query=41.971057,-88.105395","map")</f>
        <v>map</v>
      </c>
    </row>
    <row r="5900" spans="1:32">
      <c r="A5900" t="s">
        <v>5950</v>
      </c>
      <c r="B5900" t="s">
        <v>13475</v>
      </c>
      <c r="C5900" t="s">
        <v>15830</v>
      </c>
      <c r="D5900" t="s">
        <v>16207</v>
      </c>
      <c r="E5900" t="s">
        <v>16218</v>
      </c>
      <c r="F5900" t="s">
        <v>16221</v>
      </c>
      <c r="G5900" t="s">
        <v>16241</v>
      </c>
      <c r="H5900" t="s">
        <v>16241</v>
      </c>
      <c r="I5900" t="s">
        <v>16355</v>
      </c>
      <c r="J5900" t="s">
        <v>16385</v>
      </c>
      <c r="K5900">
        <v>0.135</v>
      </c>
      <c r="L5900">
        <v>5897</v>
      </c>
      <c r="M5900">
        <v>1187</v>
      </c>
      <c r="N5900" t="s">
        <v>16393</v>
      </c>
      <c r="O5900" s="4">
        <v>38692</v>
      </c>
      <c r="P5900" s="4">
        <v>87353</v>
      </c>
      <c r="Q5900" s="4">
        <v>126045</v>
      </c>
      <c r="R5900" s="4">
        <v>378135</v>
      </c>
      <c r="S5900" t="s">
        <v>22161</v>
      </c>
      <c r="T5900" s="6">
        <v>30103</v>
      </c>
      <c r="U5900" s="4">
        <v>85610</v>
      </c>
      <c r="X5900" t="s">
        <v>3</v>
      </c>
      <c r="AA5900" s="5" t="str">
        <f>HYPERLINK("https://www.zillow.com/homes/605-RADNOR-DR-ROSELLE-IL-60172_rb/","check listing")</f>
        <v>check listing</v>
      </c>
      <c r="AB5900" s="5" t="str">
        <f>HYPERLINK("https://propertylookup.dupagecounty.gov/Datalets/Datalet.aspx?UseSearch=no&amp;mode=sales&amp;pin=0209110037","sales record")</f>
        <v>sales record</v>
      </c>
      <c r="AC5900" t="s">
        <v>3</v>
      </c>
      <c r="AD5900">
        <v>41.971664</v>
      </c>
      <c r="AE5900">
        <v>-88.105374</v>
      </c>
      <c r="AF5900" s="5" t="str">
        <f>HYPERLINK("https://www.google.com/maps/search/?api=1&amp;query=41.971664,-88.105374","map")</f>
        <v>map</v>
      </c>
    </row>
    <row r="5901" spans="1:32">
      <c r="A5901" t="s">
        <v>5951</v>
      </c>
      <c r="B5901" t="s">
        <v>13476</v>
      </c>
      <c r="C5901" t="s">
        <v>15830</v>
      </c>
      <c r="D5901" t="s">
        <v>16207</v>
      </c>
      <c r="E5901" t="s">
        <v>16218</v>
      </c>
      <c r="F5901" t="s">
        <v>16221</v>
      </c>
      <c r="G5901" t="s">
        <v>16241</v>
      </c>
      <c r="H5901" t="s">
        <v>16241</v>
      </c>
      <c r="I5901" t="s">
        <v>16355</v>
      </c>
      <c r="J5901" t="s">
        <v>16385</v>
      </c>
      <c r="K5901">
        <v>0.135</v>
      </c>
      <c r="L5901">
        <v>5892</v>
      </c>
      <c r="M5901">
        <v>1904</v>
      </c>
      <c r="N5901" t="s">
        <v>16393</v>
      </c>
      <c r="O5901" s="4">
        <v>38692</v>
      </c>
      <c r="P5901" s="4">
        <v>83851</v>
      </c>
      <c r="Q5901" s="4">
        <v>122543</v>
      </c>
      <c r="R5901" s="4">
        <v>367629</v>
      </c>
      <c r="S5901" t="s">
        <v>22162</v>
      </c>
      <c r="T5901" s="6">
        <v>30682</v>
      </c>
      <c r="U5901" s="4">
        <v>69990</v>
      </c>
      <c r="X5901" t="s">
        <v>3</v>
      </c>
      <c r="AA5901" s="5" t="str">
        <f>HYPERLINK("https://www.zillow.com/homes/740-BERWICK-PLACE-ROSELLE-IL-60172_rb/","check listing")</f>
        <v>check listing</v>
      </c>
      <c r="AB5901" s="5" t="str">
        <f>HYPERLINK("https://propertylookup.dupagecounty.gov/Datalets/Datalet.aspx?UseSearch=no&amp;mode=sales&amp;pin=0208205033","sales record")</f>
        <v>sales record</v>
      </c>
      <c r="AC5901" t="s">
        <v>3</v>
      </c>
      <c r="AD5901">
        <v>41.969344</v>
      </c>
      <c r="AE5901">
        <v>-88.11102700000001</v>
      </c>
      <c r="AF5901" s="5" t="str">
        <f>HYPERLINK("https://www.google.com/maps/search/?api=1&amp;query=41.969344,-88.111027","map")</f>
        <v>map</v>
      </c>
    </row>
    <row r="5902" spans="1:32">
      <c r="A5902" t="s">
        <v>5952</v>
      </c>
      <c r="B5902" t="s">
        <v>13477</v>
      </c>
      <c r="C5902" t="s">
        <v>15830</v>
      </c>
      <c r="D5902" t="s">
        <v>16207</v>
      </c>
      <c r="E5902" t="s">
        <v>16218</v>
      </c>
      <c r="F5902" t="s">
        <v>16221</v>
      </c>
      <c r="G5902" t="s">
        <v>16241</v>
      </c>
      <c r="H5902" t="s">
        <v>16241</v>
      </c>
      <c r="I5902" t="s">
        <v>16355</v>
      </c>
      <c r="J5902" t="s">
        <v>16385</v>
      </c>
      <c r="K5902">
        <v>0.135</v>
      </c>
      <c r="L5902">
        <v>5889</v>
      </c>
      <c r="M5902">
        <v>1963</v>
      </c>
      <c r="N5902" t="s">
        <v>16393</v>
      </c>
      <c r="O5902" s="4">
        <v>38692</v>
      </c>
      <c r="P5902" s="4">
        <v>58176</v>
      </c>
      <c r="Q5902" s="4">
        <v>96868</v>
      </c>
      <c r="R5902" s="4">
        <v>290604</v>
      </c>
      <c r="S5902" t="s">
        <v>22163</v>
      </c>
      <c r="T5902" s="6">
        <v>42248</v>
      </c>
      <c r="U5902" s="4">
        <v>219000</v>
      </c>
      <c r="V5902" t="s">
        <v>23739</v>
      </c>
      <c r="W5902" t="s">
        <v>27022</v>
      </c>
      <c r="X5902" t="s">
        <v>3</v>
      </c>
      <c r="AA5902" s="5" t="str">
        <f>HYPERLINK("https://www.zillow.com/homes/520-HAMPTON-LN-ROSELLE-IL-60172_rb/","check listing")</f>
        <v>check listing</v>
      </c>
      <c r="AB5902" s="5" t="str">
        <f>HYPERLINK("https://propertylookup.dupagecounty.gov/Datalets/Datalet.aspx?UseSearch=no&amp;mode=sales&amp;pin=0209103002","sales record")</f>
        <v>sales record</v>
      </c>
      <c r="AC5902" t="s">
        <v>3</v>
      </c>
      <c r="AD5902">
        <v>41.973335</v>
      </c>
      <c r="AE5902">
        <v>-88.11038000000001</v>
      </c>
      <c r="AF5902" s="5" t="str">
        <f>HYPERLINK("https://www.google.com/maps/search/?api=1&amp;query=41.973335,-88.11038","map")</f>
        <v>map</v>
      </c>
    </row>
    <row r="5903" spans="1:32">
      <c r="A5903" t="s">
        <v>5953</v>
      </c>
      <c r="B5903" t="s">
        <v>13478</v>
      </c>
      <c r="C5903" t="s">
        <v>15952</v>
      </c>
      <c r="D5903" t="s">
        <v>16207</v>
      </c>
      <c r="E5903" t="s">
        <v>16218</v>
      </c>
      <c r="F5903" t="s">
        <v>16221</v>
      </c>
      <c r="G5903" t="s">
        <v>16241</v>
      </c>
      <c r="H5903" t="s">
        <v>16241</v>
      </c>
      <c r="I5903" t="s">
        <v>16355</v>
      </c>
      <c r="J5903" t="s">
        <v>16385</v>
      </c>
      <c r="K5903">
        <v>0.135</v>
      </c>
      <c r="L5903">
        <v>5886</v>
      </c>
      <c r="M5903">
        <v>1319</v>
      </c>
      <c r="N5903" t="s">
        <v>16393</v>
      </c>
      <c r="O5903" s="4">
        <v>38692</v>
      </c>
      <c r="P5903" s="4">
        <v>75758</v>
      </c>
      <c r="Q5903" s="4">
        <v>114450</v>
      </c>
      <c r="R5903" s="4">
        <v>343350</v>
      </c>
      <c r="S5903" t="s">
        <v>22164</v>
      </c>
      <c r="T5903" s="6">
        <v>42309</v>
      </c>
      <c r="U5903" s="4">
        <v>170000</v>
      </c>
      <c r="V5903" t="s">
        <v>23739</v>
      </c>
      <c r="W5903" t="s">
        <v>27023</v>
      </c>
      <c r="X5903" t="s">
        <v>3</v>
      </c>
      <c r="AA5903" s="5" t="str">
        <f>HYPERLINK("https://www.zillow.com/homes/789-MEADE-LN-ROSELLE-IL-601722710_rb/","check listing")</f>
        <v>check listing</v>
      </c>
      <c r="AB5903" s="5" t="str">
        <f>HYPERLINK("https://propertylookup.dupagecounty.gov/Datalets/Datalet.aspx?UseSearch=no&amp;mode=sales&amp;pin=0209118010","sales record")</f>
        <v>sales record</v>
      </c>
      <c r="AC5903" t="s">
        <v>3</v>
      </c>
      <c r="AD5903">
        <v>41.968434</v>
      </c>
      <c r="AE5903">
        <v>-88.105424</v>
      </c>
      <c r="AF5903" s="5" t="str">
        <f>HYPERLINK("https://www.google.com/maps/search/?api=1&amp;query=41.968434,-88.105424","map")</f>
        <v>map</v>
      </c>
    </row>
    <row r="5904" spans="1:32">
      <c r="A5904" t="s">
        <v>5954</v>
      </c>
      <c r="B5904" t="s">
        <v>13479</v>
      </c>
      <c r="C5904" t="s">
        <v>15830</v>
      </c>
      <c r="D5904" t="s">
        <v>16207</v>
      </c>
      <c r="E5904" t="s">
        <v>16218</v>
      </c>
      <c r="F5904" t="s">
        <v>16221</v>
      </c>
      <c r="G5904" t="s">
        <v>16241</v>
      </c>
      <c r="H5904" t="s">
        <v>16241</v>
      </c>
      <c r="I5904" t="s">
        <v>16355</v>
      </c>
      <c r="J5904" t="s">
        <v>16385</v>
      </c>
      <c r="K5904">
        <v>0.135</v>
      </c>
      <c r="L5904">
        <v>5885</v>
      </c>
      <c r="N5904" t="s">
        <v>16393</v>
      </c>
      <c r="O5904" s="4">
        <v>38692</v>
      </c>
      <c r="P5904" s="4">
        <v>75974</v>
      </c>
      <c r="Q5904" s="4">
        <v>114666</v>
      </c>
      <c r="R5904" s="4">
        <v>343998</v>
      </c>
      <c r="S5904" t="s">
        <v>22165</v>
      </c>
      <c r="T5904" s="6">
        <v>30803</v>
      </c>
      <c r="U5904" s="4">
        <v>75000</v>
      </c>
      <c r="X5904" t="s">
        <v>3</v>
      </c>
      <c r="AA5904" s="5" t="str">
        <f>HYPERLINK("https://www.zillow.com/homes/510-HAMPTON-LN-ROSELLE-IL-60172_rb/","check listing")</f>
        <v>check listing</v>
      </c>
      <c r="AB5904" s="5" t="str">
        <f>HYPERLINK("https://propertylookup.dupagecounty.gov/Datalets/Datalet.aspx?UseSearch=no&amp;mode=sales&amp;pin=0209103001","sales record")</f>
        <v>sales record</v>
      </c>
      <c r="AC5904" t="s">
        <v>3</v>
      </c>
      <c r="AD5904">
        <v>41.973435</v>
      </c>
      <c r="AE5904">
        <v>-88.110524</v>
      </c>
      <c r="AF5904" s="5" t="str">
        <f>HYPERLINK("https://www.google.com/maps/search/?api=1&amp;query=41.973435,-88.110524","map")</f>
        <v>map</v>
      </c>
    </row>
    <row r="5905" spans="1:32">
      <c r="A5905" t="s">
        <v>5955</v>
      </c>
      <c r="B5905" t="s">
        <v>13480</v>
      </c>
      <c r="C5905" t="s">
        <v>15830</v>
      </c>
      <c r="D5905" t="s">
        <v>16207</v>
      </c>
      <c r="E5905" t="s">
        <v>16218</v>
      </c>
      <c r="F5905" t="s">
        <v>16221</v>
      </c>
      <c r="G5905" t="s">
        <v>16241</v>
      </c>
      <c r="H5905" t="s">
        <v>16241</v>
      </c>
      <c r="I5905" t="s">
        <v>16355</v>
      </c>
      <c r="J5905" t="s">
        <v>16385</v>
      </c>
      <c r="K5905">
        <v>0.135</v>
      </c>
      <c r="L5905">
        <v>5884</v>
      </c>
      <c r="M5905">
        <v>1155</v>
      </c>
      <c r="N5905" t="s">
        <v>16393</v>
      </c>
      <c r="O5905" s="4">
        <v>38692</v>
      </c>
      <c r="P5905" s="4">
        <v>78663</v>
      </c>
      <c r="Q5905" s="4">
        <v>117355</v>
      </c>
      <c r="R5905" s="4">
        <v>352065</v>
      </c>
      <c r="S5905" t="s">
        <v>22166</v>
      </c>
      <c r="T5905" s="6">
        <v>29252</v>
      </c>
      <c r="U5905" s="4">
        <v>69526</v>
      </c>
      <c r="X5905" t="s">
        <v>3</v>
      </c>
      <c r="AA5905" s="5" t="str">
        <f>HYPERLINK("https://www.zillow.com/homes/675-BRIARWOOD-LN-ROSELLE-IL-60172_rb/","check listing")</f>
        <v>check listing</v>
      </c>
      <c r="AB5905" s="5" t="str">
        <f>HYPERLINK("https://propertylookup.dupagecounty.gov/Datalets/Datalet.aspx?UseSearch=no&amp;mode=sales&amp;pin=0209121013","sales record")</f>
        <v>sales record</v>
      </c>
      <c r="AC5905" t="s">
        <v>3</v>
      </c>
      <c r="AD5905">
        <v>41.970966</v>
      </c>
      <c r="AE5905">
        <v>-88.108132</v>
      </c>
      <c r="AF5905" s="5" t="str">
        <f>HYPERLINK("https://www.google.com/maps/search/?api=1&amp;query=41.970966,-88.108132","map")</f>
        <v>map</v>
      </c>
    </row>
    <row r="5906" spans="1:32">
      <c r="A5906" t="s">
        <v>5956</v>
      </c>
      <c r="B5906" t="s">
        <v>13481</v>
      </c>
      <c r="C5906" t="s">
        <v>15913</v>
      </c>
      <c r="D5906" t="s">
        <v>16207</v>
      </c>
      <c r="E5906" t="s">
        <v>16218</v>
      </c>
      <c r="F5906" t="s">
        <v>16221</v>
      </c>
      <c r="G5906" t="s">
        <v>16241</v>
      </c>
      <c r="H5906" t="s">
        <v>16241</v>
      </c>
      <c r="I5906" t="s">
        <v>16355</v>
      </c>
      <c r="J5906" t="s">
        <v>16385</v>
      </c>
      <c r="K5906">
        <v>0.135</v>
      </c>
      <c r="L5906">
        <v>5882</v>
      </c>
      <c r="M5906">
        <v>1781</v>
      </c>
      <c r="N5906" t="s">
        <v>16393</v>
      </c>
      <c r="O5906" s="4">
        <v>38692</v>
      </c>
      <c r="P5906" s="4">
        <v>58092</v>
      </c>
      <c r="Q5906" s="4">
        <v>96784</v>
      </c>
      <c r="R5906" s="4">
        <v>290352</v>
      </c>
      <c r="S5906" t="s">
        <v>22167</v>
      </c>
      <c r="T5906" s="6">
        <v>45919</v>
      </c>
      <c r="U5906" s="4">
        <v>265000</v>
      </c>
      <c r="V5906" t="s">
        <v>23739</v>
      </c>
      <c r="W5906" t="s">
        <v>27024</v>
      </c>
      <c r="X5906" t="s">
        <v>3</v>
      </c>
      <c r="AA5906" s="5" t="str">
        <f>HYPERLINK("https://www.zillow.com/homes/850-EDENWOOD-DR-ROSELLE-IL-601722877_rb/","check listing")</f>
        <v>check listing</v>
      </c>
      <c r="AB5906" s="5" t="str">
        <f>HYPERLINK("https://propertylookup.dupagecounty.gov/Datalets/Datalet.aspx?UseSearch=no&amp;mode=sales&amp;pin=0209112016","sales record")</f>
        <v>sales record</v>
      </c>
      <c r="AC5906" t="s">
        <v>3</v>
      </c>
      <c r="AD5906">
        <v>41.97321</v>
      </c>
      <c r="AE5906">
        <v>-88.10201000000001</v>
      </c>
      <c r="AF5906" s="5" t="str">
        <f>HYPERLINK("https://www.google.com/maps/search/?api=1&amp;query=41.97321,-88.10201","map")</f>
        <v>map</v>
      </c>
    </row>
    <row r="5907" spans="1:32">
      <c r="A5907" t="s">
        <v>5957</v>
      </c>
      <c r="B5907" t="s">
        <v>13482</v>
      </c>
      <c r="C5907" t="s">
        <v>15955</v>
      </c>
      <c r="D5907" t="s">
        <v>16207</v>
      </c>
      <c r="E5907" t="s">
        <v>16218</v>
      </c>
      <c r="F5907" t="s">
        <v>16221</v>
      </c>
      <c r="G5907" t="s">
        <v>16241</v>
      </c>
      <c r="H5907" t="s">
        <v>16241</v>
      </c>
      <c r="I5907" t="s">
        <v>16355</v>
      </c>
      <c r="J5907" t="s">
        <v>16385</v>
      </c>
      <c r="K5907">
        <v>0.135</v>
      </c>
      <c r="L5907">
        <v>5882</v>
      </c>
      <c r="M5907">
        <v>1564</v>
      </c>
      <c r="N5907" t="s">
        <v>16393</v>
      </c>
      <c r="O5907" s="4">
        <v>38692</v>
      </c>
      <c r="P5907" s="4">
        <v>55546</v>
      </c>
      <c r="Q5907" s="4">
        <v>94238</v>
      </c>
      <c r="R5907" s="4">
        <v>282714</v>
      </c>
      <c r="S5907" t="s">
        <v>22168</v>
      </c>
      <c r="T5907" s="6">
        <v>43374</v>
      </c>
      <c r="U5907" s="4">
        <v>224500</v>
      </c>
      <c r="V5907" t="s">
        <v>23739</v>
      </c>
      <c r="W5907" t="s">
        <v>22168</v>
      </c>
      <c r="X5907" t="s">
        <v>3</v>
      </c>
      <c r="AA5907" s="5" t="str">
        <f>HYPERLINK("https://www.zillow.com/homes/595-MIDDLETON-DR-ROSELLE-IL-601722713_rb/","check listing")</f>
        <v>check listing</v>
      </c>
      <c r="AB5907" s="5" t="str">
        <f>HYPERLINK("https://propertylookup.dupagecounty.gov/Datalets/Datalet.aspx?UseSearch=no&amp;mode=sales&amp;pin=0209101013","sales record")</f>
        <v>sales record</v>
      </c>
      <c r="AC5907" t="s">
        <v>3</v>
      </c>
      <c r="AD5907">
        <v>41.972035</v>
      </c>
      <c r="AE5907">
        <v>-88.104412</v>
      </c>
      <c r="AF5907" s="5" t="str">
        <f>HYPERLINK("https://www.google.com/maps/search/?api=1&amp;query=41.972035,-88.104412","map")</f>
        <v>map</v>
      </c>
    </row>
    <row r="5908" spans="1:32">
      <c r="A5908" t="s">
        <v>5958</v>
      </c>
      <c r="B5908" t="s">
        <v>13483</v>
      </c>
      <c r="C5908" t="s">
        <v>15830</v>
      </c>
      <c r="D5908" t="s">
        <v>16207</v>
      </c>
      <c r="E5908" t="s">
        <v>16218</v>
      </c>
      <c r="F5908" t="s">
        <v>16221</v>
      </c>
      <c r="G5908" t="s">
        <v>16241</v>
      </c>
      <c r="H5908" t="s">
        <v>16241</v>
      </c>
      <c r="I5908" t="s">
        <v>16355</v>
      </c>
      <c r="J5908" t="s">
        <v>16385</v>
      </c>
      <c r="K5908">
        <v>0.135</v>
      </c>
      <c r="L5908">
        <v>5879</v>
      </c>
      <c r="M5908">
        <v>1484</v>
      </c>
      <c r="N5908" t="s">
        <v>16393</v>
      </c>
      <c r="O5908" s="4">
        <v>38692</v>
      </c>
      <c r="P5908" s="4">
        <v>86791</v>
      </c>
      <c r="Q5908" s="4">
        <v>125483</v>
      </c>
      <c r="R5908" s="4">
        <v>376449</v>
      </c>
      <c r="S5908" t="s">
        <v>22169</v>
      </c>
      <c r="T5908" s="6">
        <v>41456</v>
      </c>
      <c r="U5908" s="4">
        <v>156000</v>
      </c>
      <c r="V5908" t="s">
        <v>23739</v>
      </c>
      <c r="W5908" t="s">
        <v>27025</v>
      </c>
      <c r="X5908" t="s">
        <v>3</v>
      </c>
      <c r="AA5908" s="5" t="str">
        <f>HYPERLINK("https://www.zillow.com/homes/728-BERWICK-PL-ROSELLE-IL-60172_rb/","check listing")</f>
        <v>check listing</v>
      </c>
      <c r="AB5908" s="5" t="str">
        <f>HYPERLINK("https://propertylookup.dupagecounty.gov/Datalets/Datalet.aspx?UseSearch=no&amp;mode=sales&amp;pin=0208205030","sales record")</f>
        <v>sales record</v>
      </c>
      <c r="AC5908" t="s">
        <v>3</v>
      </c>
      <c r="AD5908">
        <v>41.969607</v>
      </c>
      <c r="AE5908">
        <v>-88.111582</v>
      </c>
      <c r="AF5908" s="5" t="str">
        <f>HYPERLINK("https://www.google.com/maps/search/?api=1&amp;query=41.969607,-88.111582","map")</f>
        <v>map</v>
      </c>
    </row>
    <row r="5909" spans="1:32">
      <c r="A5909" t="s">
        <v>5959</v>
      </c>
      <c r="B5909" t="s">
        <v>13484</v>
      </c>
      <c r="C5909" t="s">
        <v>15830</v>
      </c>
      <c r="D5909" t="s">
        <v>16207</v>
      </c>
      <c r="E5909" t="s">
        <v>16218</v>
      </c>
      <c r="F5909" t="s">
        <v>16221</v>
      </c>
      <c r="G5909" t="s">
        <v>16241</v>
      </c>
      <c r="H5909" t="s">
        <v>16241</v>
      </c>
      <c r="I5909" t="s">
        <v>16355</v>
      </c>
      <c r="J5909" t="s">
        <v>16385</v>
      </c>
      <c r="K5909">
        <v>0.135</v>
      </c>
      <c r="L5909">
        <v>5874</v>
      </c>
      <c r="M5909">
        <v>1649</v>
      </c>
      <c r="N5909" t="s">
        <v>16393</v>
      </c>
      <c r="O5909" s="4">
        <v>38692</v>
      </c>
      <c r="P5909" s="4">
        <v>89480</v>
      </c>
      <c r="Q5909" s="4">
        <v>128172</v>
      </c>
      <c r="R5909" s="4">
        <v>384516</v>
      </c>
      <c r="S5909" t="s">
        <v>22170</v>
      </c>
      <c r="T5909" s="6">
        <v>33055</v>
      </c>
      <c r="U5909" s="4">
        <v>130000</v>
      </c>
      <c r="X5909" t="s">
        <v>3</v>
      </c>
      <c r="AA5909" s="5" t="str">
        <f>HYPERLINK("https://www.zillow.com/homes/685-BRIARWOOD-LN-ROSELLE-IL-60172_rb/","check listing")</f>
        <v>check listing</v>
      </c>
      <c r="AB5909" s="5" t="str">
        <f>HYPERLINK("https://propertylookup.dupagecounty.gov/Datalets/Datalet.aspx?UseSearch=no&amp;mode=sales&amp;pin=0209121014","sales record")</f>
        <v>sales record</v>
      </c>
      <c r="AC5909" t="s">
        <v>3</v>
      </c>
      <c r="AD5909">
        <v>41.970838</v>
      </c>
      <c r="AE5909">
        <v>-88.10809999999999</v>
      </c>
      <c r="AF5909" s="5" t="str">
        <f>HYPERLINK("https://www.google.com/maps/search/?api=1&amp;query=41.970838,-88.1081","map")</f>
        <v>map</v>
      </c>
    </row>
    <row r="5910" spans="1:32">
      <c r="A5910" t="s">
        <v>5960</v>
      </c>
      <c r="B5910" t="s">
        <v>13485</v>
      </c>
      <c r="C5910" t="s">
        <v>15910</v>
      </c>
      <c r="D5910" t="s">
        <v>16207</v>
      </c>
      <c r="E5910" t="s">
        <v>16218</v>
      </c>
      <c r="F5910" t="s">
        <v>16221</v>
      </c>
      <c r="G5910" t="s">
        <v>16241</v>
      </c>
      <c r="H5910" t="s">
        <v>16241</v>
      </c>
      <c r="I5910" t="s">
        <v>16355</v>
      </c>
      <c r="J5910" t="s">
        <v>16385</v>
      </c>
      <c r="K5910">
        <v>0.135</v>
      </c>
      <c r="L5910">
        <v>5873</v>
      </c>
      <c r="M5910">
        <v>990</v>
      </c>
      <c r="N5910" t="s">
        <v>16393</v>
      </c>
      <c r="O5910" s="4">
        <v>38692</v>
      </c>
      <c r="P5910" s="4">
        <v>77599</v>
      </c>
      <c r="Q5910" s="4">
        <v>116291</v>
      </c>
      <c r="R5910" s="4">
        <v>348873</v>
      </c>
      <c r="S5910" t="s">
        <v>22171</v>
      </c>
      <c r="T5910" s="6">
        <v>42583</v>
      </c>
      <c r="U5910" s="4">
        <v>258500</v>
      </c>
      <c r="V5910" t="s">
        <v>23739</v>
      </c>
      <c r="W5910" t="s">
        <v>22171</v>
      </c>
      <c r="X5910" t="s">
        <v>3</v>
      </c>
      <c r="AA5910" s="5" t="str">
        <f>HYPERLINK("https://www.zillow.com/homes/835-W-BRYN-MAWR-AVE-ROSELLE-IL-601722819_rb/","check listing")</f>
        <v>check listing</v>
      </c>
      <c r="AB5910" s="5" t="str">
        <f>HYPERLINK("https://propertylookup.dupagecounty.gov/Datalets/Datalet.aspx?UseSearch=no&amp;mode=sales&amp;pin=0209112008","sales record")</f>
        <v>sales record</v>
      </c>
      <c r="AC5910" t="s">
        <v>3</v>
      </c>
      <c r="AD5910">
        <v>41.973659</v>
      </c>
      <c r="AE5910">
        <v>-88.101411</v>
      </c>
      <c r="AF5910" s="5" t="str">
        <f>HYPERLINK("https://www.google.com/maps/search/?api=1&amp;query=41.973659,-88.101411","map")</f>
        <v>map</v>
      </c>
    </row>
    <row r="5911" spans="1:32">
      <c r="A5911" t="s">
        <v>5961</v>
      </c>
      <c r="B5911" t="s">
        <v>13486</v>
      </c>
      <c r="C5911" t="s">
        <v>15830</v>
      </c>
      <c r="D5911" t="s">
        <v>16207</v>
      </c>
      <c r="E5911" t="s">
        <v>16218</v>
      </c>
      <c r="F5911" t="s">
        <v>16221</v>
      </c>
      <c r="G5911" t="s">
        <v>16241</v>
      </c>
      <c r="H5911" t="s">
        <v>16241</v>
      </c>
      <c r="I5911" t="s">
        <v>16355</v>
      </c>
      <c r="J5911" t="s">
        <v>16385</v>
      </c>
      <c r="K5911">
        <v>0.135</v>
      </c>
      <c r="L5911">
        <v>5870</v>
      </c>
      <c r="M5911">
        <v>1500</v>
      </c>
      <c r="N5911" t="s">
        <v>16393</v>
      </c>
      <c r="O5911" s="4">
        <v>38692</v>
      </c>
      <c r="P5911" s="4">
        <v>80097</v>
      </c>
      <c r="Q5911" s="4">
        <v>118789</v>
      </c>
      <c r="R5911" s="4">
        <v>356367</v>
      </c>
      <c r="S5911" t="s">
        <v>22172</v>
      </c>
      <c r="T5911" s="6">
        <v>43191</v>
      </c>
      <c r="U5911" s="4">
        <v>260000</v>
      </c>
      <c r="V5911" t="s">
        <v>23739</v>
      </c>
      <c r="W5911" t="s">
        <v>27026</v>
      </c>
      <c r="X5911" t="s">
        <v>3</v>
      </c>
      <c r="AA5911" s="5" t="str">
        <f>HYPERLINK("https://www.zillow.com/homes/575-KINGSTON-CT-ROSELLE-IL-60172_rb/","check listing")</f>
        <v>check listing</v>
      </c>
      <c r="AB5911" s="5" t="str">
        <f>HYPERLINK("https://propertylookup.dupagecounty.gov/Datalets/Datalet.aspx?UseSearch=no&amp;mode=sales&amp;pin=0209119013","sales record")</f>
        <v>sales record</v>
      </c>
      <c r="AC5911" t="s">
        <v>3</v>
      </c>
      <c r="AD5911">
        <v>41.972437</v>
      </c>
      <c r="AE5911">
        <v>-88.10901800000001</v>
      </c>
      <c r="AF5911" s="5" t="str">
        <f>HYPERLINK("https://www.google.com/maps/search/?api=1&amp;query=41.972437,-88.109018","map")</f>
        <v>map</v>
      </c>
    </row>
    <row r="5912" spans="1:32">
      <c r="A5912" t="s">
        <v>5962</v>
      </c>
      <c r="B5912" t="s">
        <v>13487</v>
      </c>
      <c r="C5912" t="s">
        <v>15830</v>
      </c>
      <c r="D5912" t="s">
        <v>16207</v>
      </c>
      <c r="E5912" t="s">
        <v>16218</v>
      </c>
      <c r="F5912" t="s">
        <v>16221</v>
      </c>
      <c r="G5912" t="s">
        <v>16241</v>
      </c>
      <c r="H5912" t="s">
        <v>16241</v>
      </c>
      <c r="I5912" t="s">
        <v>16355</v>
      </c>
      <c r="J5912" t="s">
        <v>16385</v>
      </c>
      <c r="K5912">
        <v>0.135</v>
      </c>
      <c r="L5912">
        <v>5861</v>
      </c>
      <c r="M5912">
        <v>1269</v>
      </c>
      <c r="N5912" t="s">
        <v>16393</v>
      </c>
      <c r="O5912" s="4">
        <v>38692</v>
      </c>
      <c r="P5912" s="4">
        <v>76189</v>
      </c>
      <c r="Q5912" s="4">
        <v>114881</v>
      </c>
      <c r="R5912" s="4">
        <v>344643</v>
      </c>
      <c r="S5912" t="s">
        <v>22173</v>
      </c>
      <c r="T5912" s="6">
        <v>39934</v>
      </c>
      <c r="U5912" s="4">
        <v>222000</v>
      </c>
      <c r="V5912" t="s">
        <v>23739</v>
      </c>
      <c r="W5912" t="s">
        <v>22173</v>
      </c>
      <c r="X5912" t="s">
        <v>3</v>
      </c>
      <c r="AA5912" s="5" t="str">
        <f>HYPERLINK("https://www.zillow.com/homes/1124-SINGLETON-DR-ROSELLE-IL-60172_rb/","check listing")</f>
        <v>check listing</v>
      </c>
      <c r="AB5912" s="5" t="str">
        <f>HYPERLINK("https://propertylookup.dupagecounty.gov/Datalets/Datalet.aspx?UseSearch=no&amp;mode=sales&amp;pin=0204309059","sales record")</f>
        <v>sales record</v>
      </c>
      <c r="AC5912" t="s">
        <v>3</v>
      </c>
      <c r="AD5912">
        <v>41.979366</v>
      </c>
      <c r="AE5912">
        <v>-88.108711</v>
      </c>
      <c r="AF5912" s="5" t="str">
        <f>HYPERLINK("https://www.google.com/maps/search/?api=1&amp;query=41.979366,-88.108711","map")</f>
        <v>map</v>
      </c>
    </row>
    <row r="5913" spans="1:32">
      <c r="A5913" t="s">
        <v>5963</v>
      </c>
      <c r="B5913" t="s">
        <v>13488</v>
      </c>
      <c r="C5913" t="s">
        <v>15830</v>
      </c>
      <c r="D5913" t="s">
        <v>16207</v>
      </c>
      <c r="E5913" t="s">
        <v>16218</v>
      </c>
      <c r="F5913" t="s">
        <v>16221</v>
      </c>
      <c r="G5913" t="s">
        <v>16241</v>
      </c>
      <c r="H5913" t="s">
        <v>16241</v>
      </c>
      <c r="I5913" t="s">
        <v>16355</v>
      </c>
      <c r="J5913" t="s">
        <v>16385</v>
      </c>
      <c r="K5913">
        <v>0.134</v>
      </c>
      <c r="L5913">
        <v>5857</v>
      </c>
      <c r="M5913">
        <v>1450</v>
      </c>
      <c r="N5913" t="s">
        <v>16393</v>
      </c>
      <c r="O5913" s="4">
        <v>38692</v>
      </c>
      <c r="P5913" s="4">
        <v>77599</v>
      </c>
      <c r="Q5913" s="4">
        <v>116291</v>
      </c>
      <c r="R5913" s="4">
        <v>348873</v>
      </c>
      <c r="S5913" t="s">
        <v>22174</v>
      </c>
      <c r="T5913" s="6">
        <v>39264</v>
      </c>
      <c r="U5913" s="4">
        <v>274000</v>
      </c>
      <c r="V5913" t="s">
        <v>23739</v>
      </c>
      <c r="W5913" t="s">
        <v>27027</v>
      </c>
      <c r="X5913" t="s">
        <v>3</v>
      </c>
      <c r="AA5913" s="5" t="str">
        <f>HYPERLINK("https://www.zillow.com/homes/530-HAMPTON-LN-ROSELLE-IL-60172_rb/","check listing")</f>
        <v>check listing</v>
      </c>
      <c r="AB5913" s="5" t="str">
        <f>HYPERLINK("https://propertylookup.dupagecounty.gov/Datalets/Datalet.aspx?UseSearch=no&amp;mode=sales&amp;pin=0209103003","sales record")</f>
        <v>sales record</v>
      </c>
      <c r="AC5913" t="s">
        <v>3</v>
      </c>
      <c r="AD5913">
        <v>41.973199</v>
      </c>
      <c r="AE5913">
        <v>-88.110339</v>
      </c>
      <c r="AF5913" s="5" t="str">
        <f>HYPERLINK("https://www.google.com/maps/search/?api=1&amp;query=41.973199,-88.110339","map")</f>
        <v>map</v>
      </c>
    </row>
    <row r="5914" spans="1:32">
      <c r="A5914" t="s">
        <v>5964</v>
      </c>
      <c r="B5914" t="s">
        <v>13489</v>
      </c>
      <c r="C5914" t="s">
        <v>15830</v>
      </c>
      <c r="D5914" t="s">
        <v>16207</v>
      </c>
      <c r="E5914" t="s">
        <v>16218</v>
      </c>
      <c r="F5914" t="s">
        <v>16221</v>
      </c>
      <c r="G5914" t="s">
        <v>16241</v>
      </c>
      <c r="H5914" t="s">
        <v>16241</v>
      </c>
      <c r="I5914" t="s">
        <v>16355</v>
      </c>
      <c r="J5914" t="s">
        <v>16385</v>
      </c>
      <c r="K5914">
        <v>0.134</v>
      </c>
      <c r="L5914">
        <v>5856</v>
      </c>
      <c r="M5914">
        <v>2037</v>
      </c>
      <c r="N5914" t="s">
        <v>16393</v>
      </c>
      <c r="O5914" s="4">
        <v>38692</v>
      </c>
      <c r="P5914" s="4">
        <v>79607</v>
      </c>
      <c r="Q5914" s="4">
        <v>118299</v>
      </c>
      <c r="R5914" s="4">
        <v>354897</v>
      </c>
      <c r="S5914" t="s">
        <v>22175</v>
      </c>
      <c r="T5914" s="6">
        <v>29342</v>
      </c>
      <c r="U5914" s="4">
        <v>76310</v>
      </c>
      <c r="X5914" t="s">
        <v>3</v>
      </c>
      <c r="AA5914" s="5" t="str">
        <f>HYPERLINK("https://www.zillow.com/homes/748-BERWICK-PL-ROSELLE-IL-60172_rb/","check listing")</f>
        <v>check listing</v>
      </c>
      <c r="AB5914" s="5" t="str">
        <f>HYPERLINK("https://propertylookup.dupagecounty.gov/Datalets/Datalet.aspx?UseSearch=no&amp;mode=sales&amp;pin=0208205035","sales record")</f>
        <v>sales record</v>
      </c>
      <c r="AC5914" t="s">
        <v>3</v>
      </c>
      <c r="AD5914">
        <v>41.969185</v>
      </c>
      <c r="AE5914">
        <v>-88.110649</v>
      </c>
      <c r="AF5914" s="5" t="str">
        <f>HYPERLINK("https://www.google.com/maps/search/?api=1&amp;query=41.969185,-88.110649","map")</f>
        <v>map</v>
      </c>
    </row>
    <row r="5915" spans="1:32">
      <c r="A5915" t="s">
        <v>5965</v>
      </c>
      <c r="B5915" t="s">
        <v>13490</v>
      </c>
      <c r="C5915" t="s">
        <v>15830</v>
      </c>
      <c r="D5915" t="s">
        <v>16207</v>
      </c>
      <c r="E5915" t="s">
        <v>16218</v>
      </c>
      <c r="F5915" t="s">
        <v>16221</v>
      </c>
      <c r="G5915" t="s">
        <v>16241</v>
      </c>
      <c r="H5915" t="s">
        <v>16241</v>
      </c>
      <c r="I5915" t="s">
        <v>16355</v>
      </c>
      <c r="J5915" t="s">
        <v>16385</v>
      </c>
      <c r="K5915">
        <v>0.134</v>
      </c>
      <c r="L5915">
        <v>5855</v>
      </c>
      <c r="M5915">
        <v>1776</v>
      </c>
      <c r="N5915" t="s">
        <v>16393</v>
      </c>
      <c r="O5915" s="4">
        <v>38692</v>
      </c>
      <c r="P5915" s="4">
        <v>94154</v>
      </c>
      <c r="Q5915" s="4">
        <v>132846</v>
      </c>
      <c r="R5915" s="4">
        <v>398538</v>
      </c>
      <c r="S5915" t="s">
        <v>22176</v>
      </c>
      <c r="T5915" s="6">
        <v>33239</v>
      </c>
      <c r="U5915" s="4">
        <v>138000</v>
      </c>
      <c r="X5915" t="s">
        <v>3</v>
      </c>
      <c r="AA5915" s="5" t="str">
        <f>HYPERLINK("https://www.zillow.com/homes/736-BERWICK-PL-ROSELLE-IL-60172_rb/","check listing")</f>
        <v>check listing</v>
      </c>
      <c r="AB5915" s="5" t="str">
        <f>HYPERLINK("https://propertylookup.dupagecounty.gov/Datalets/Datalet.aspx?UseSearch=no&amp;mode=sales&amp;pin=0208205032","sales record")</f>
        <v>sales record</v>
      </c>
      <c r="AC5915" t="s">
        <v>3</v>
      </c>
      <c r="AD5915">
        <v>41.96943</v>
      </c>
      <c r="AE5915">
        <v>-88.11121199999999</v>
      </c>
      <c r="AF5915" s="5" t="str">
        <f>HYPERLINK("https://www.google.com/maps/search/?api=1&amp;query=41.96943,-88.111212","map")</f>
        <v>map</v>
      </c>
    </row>
    <row r="5916" spans="1:32">
      <c r="A5916" t="s">
        <v>5966</v>
      </c>
      <c r="B5916" t="s">
        <v>13491</v>
      </c>
      <c r="C5916" t="s">
        <v>15830</v>
      </c>
      <c r="D5916" t="s">
        <v>16207</v>
      </c>
      <c r="E5916" t="s">
        <v>16218</v>
      </c>
      <c r="F5916" t="s">
        <v>16221</v>
      </c>
      <c r="G5916" t="s">
        <v>16241</v>
      </c>
      <c r="H5916" t="s">
        <v>16241</v>
      </c>
      <c r="I5916" t="s">
        <v>16355</v>
      </c>
      <c r="J5916" t="s">
        <v>16385</v>
      </c>
      <c r="K5916">
        <v>0.134</v>
      </c>
      <c r="L5916">
        <v>5852</v>
      </c>
      <c r="M5916">
        <v>1319</v>
      </c>
      <c r="N5916" t="s">
        <v>16393</v>
      </c>
      <c r="O5916" s="4">
        <v>38692</v>
      </c>
      <c r="P5916" s="4">
        <v>78878</v>
      </c>
      <c r="Q5916" s="4">
        <v>117570</v>
      </c>
      <c r="R5916" s="4">
        <v>352710</v>
      </c>
      <c r="S5916" t="s">
        <v>22177</v>
      </c>
      <c r="X5916" t="s">
        <v>3</v>
      </c>
      <c r="AA5916" s="5" t="str">
        <f>HYPERLINK("https://www.zillow.com/homes/806-MEADE-LN-ROSELLE-IL-60172_rb/","check listing")</f>
        <v>check listing</v>
      </c>
      <c r="AB5916" s="5" t="str">
        <f>HYPERLINK("https://propertylookup.dupagecounty.gov/Datalets/Datalet.aspx?UseSearch=no&amp;mode=sales&amp;pin=0209304003","sales record")</f>
        <v>sales record</v>
      </c>
      <c r="AC5916" t="s">
        <v>3</v>
      </c>
      <c r="AD5916">
        <v>41.968057</v>
      </c>
      <c r="AE5916">
        <v>-88.105413</v>
      </c>
      <c r="AF5916" s="5" t="str">
        <f>HYPERLINK("https://www.google.com/maps/search/?api=1&amp;query=41.968057,-88.105413","map")</f>
        <v>map</v>
      </c>
    </row>
    <row r="5917" spans="1:32">
      <c r="A5917" t="s">
        <v>5967</v>
      </c>
      <c r="B5917" t="s">
        <v>13492</v>
      </c>
      <c r="C5917" t="s">
        <v>15830</v>
      </c>
      <c r="D5917" t="s">
        <v>16207</v>
      </c>
      <c r="E5917" t="s">
        <v>16218</v>
      </c>
      <c r="F5917" t="s">
        <v>16221</v>
      </c>
      <c r="G5917" t="s">
        <v>16241</v>
      </c>
      <c r="H5917" t="s">
        <v>16241</v>
      </c>
      <c r="I5917" t="s">
        <v>16355</v>
      </c>
      <c r="J5917" t="s">
        <v>16385</v>
      </c>
      <c r="K5917">
        <v>0.134</v>
      </c>
      <c r="L5917">
        <v>5849</v>
      </c>
      <c r="M5917">
        <v>1484</v>
      </c>
      <c r="N5917" t="s">
        <v>16393</v>
      </c>
      <c r="O5917" s="4">
        <v>38692</v>
      </c>
      <c r="P5917" s="4">
        <v>74934</v>
      </c>
      <c r="Q5917" s="4">
        <v>113626</v>
      </c>
      <c r="R5917" s="4">
        <v>340878</v>
      </c>
      <c r="S5917" t="s">
        <v>22178</v>
      </c>
      <c r="T5917" s="6">
        <v>41913</v>
      </c>
      <c r="U5917" s="4">
        <v>231000</v>
      </c>
      <c r="V5917" t="s">
        <v>23739</v>
      </c>
      <c r="W5917" t="s">
        <v>27028</v>
      </c>
      <c r="X5917" t="s">
        <v>3</v>
      </c>
      <c r="AA5917" s="5" t="str">
        <f>HYPERLINK("https://www.zillow.com/homes/851-BRYN-MAWR-AVE-ROSELLE-IL-60172_rb/","check listing")</f>
        <v>check listing</v>
      </c>
      <c r="AB5917" s="5" t="str">
        <f>HYPERLINK("https://propertylookup.dupagecounty.gov/Datalets/Datalet.aspx?UseSearch=no&amp;mode=sales&amp;pin=0209112006","sales record")</f>
        <v>sales record</v>
      </c>
      <c r="AC5917" t="s">
        <v>3</v>
      </c>
      <c r="AD5917">
        <v>41.973563</v>
      </c>
      <c r="AE5917">
        <v>-88.101764</v>
      </c>
      <c r="AF5917" s="5" t="str">
        <f>HYPERLINK("https://www.google.com/maps/search/?api=1&amp;query=41.973563,-88.101764","map")</f>
        <v>map</v>
      </c>
    </row>
    <row r="5918" spans="1:32">
      <c r="A5918" t="s">
        <v>5968</v>
      </c>
      <c r="B5918" t="s">
        <v>13493</v>
      </c>
      <c r="C5918" t="s">
        <v>15830</v>
      </c>
      <c r="D5918" t="s">
        <v>16207</v>
      </c>
      <c r="E5918" t="s">
        <v>16218</v>
      </c>
      <c r="F5918" t="s">
        <v>16221</v>
      </c>
      <c r="G5918" t="s">
        <v>16241</v>
      </c>
      <c r="H5918" t="s">
        <v>16241</v>
      </c>
      <c r="I5918" t="s">
        <v>16355</v>
      </c>
      <c r="J5918" t="s">
        <v>16385</v>
      </c>
      <c r="K5918">
        <v>0.134</v>
      </c>
      <c r="L5918">
        <v>5848</v>
      </c>
      <c r="M5918">
        <v>1702</v>
      </c>
      <c r="N5918" t="s">
        <v>16393</v>
      </c>
      <c r="O5918" s="4">
        <v>38692</v>
      </c>
      <c r="P5918" s="4">
        <v>77599</v>
      </c>
      <c r="Q5918" s="4">
        <v>116291</v>
      </c>
      <c r="R5918" s="4">
        <v>348873</v>
      </c>
      <c r="S5918" t="s">
        <v>22179</v>
      </c>
      <c r="T5918" s="6">
        <v>41852</v>
      </c>
      <c r="U5918" s="4">
        <v>209000</v>
      </c>
      <c r="V5918" t="s">
        <v>23739</v>
      </c>
      <c r="W5918" t="s">
        <v>22179</v>
      </c>
      <c r="X5918" t="s">
        <v>3</v>
      </c>
      <c r="AA5918" s="5" t="str">
        <f>HYPERLINK("https://www.zillow.com/homes/711-MIDDLETON-DR-ROSELLE-IL-60172_rb/","check listing")</f>
        <v>check listing</v>
      </c>
      <c r="AB5918" s="5" t="str">
        <f>HYPERLINK("https://propertylookup.dupagecounty.gov/Datalets/Datalet.aspx?UseSearch=no&amp;mode=sales&amp;pin=0209118002","sales record")</f>
        <v>sales record</v>
      </c>
      <c r="AC5918" t="s">
        <v>3</v>
      </c>
      <c r="AD5918">
        <v>41.9696</v>
      </c>
      <c r="AE5918">
        <v>-88.105385</v>
      </c>
      <c r="AF5918" s="5" t="str">
        <f>HYPERLINK("https://www.google.com/maps/search/?api=1&amp;query=41.9696,-88.105385","map")</f>
        <v>map</v>
      </c>
    </row>
    <row r="5919" spans="1:32">
      <c r="A5919" t="s">
        <v>5969</v>
      </c>
      <c r="B5919" t="s">
        <v>13494</v>
      </c>
      <c r="C5919" t="s">
        <v>15956</v>
      </c>
      <c r="D5919" t="s">
        <v>16207</v>
      </c>
      <c r="E5919" t="s">
        <v>16218</v>
      </c>
      <c r="F5919" t="s">
        <v>16221</v>
      </c>
      <c r="G5919" t="s">
        <v>16241</v>
      </c>
      <c r="H5919" t="s">
        <v>16241</v>
      </c>
      <c r="I5919" t="s">
        <v>16355</v>
      </c>
      <c r="J5919" t="s">
        <v>16385</v>
      </c>
      <c r="K5919">
        <v>0.134</v>
      </c>
      <c r="L5919">
        <v>5844</v>
      </c>
      <c r="M5919">
        <v>1616</v>
      </c>
      <c r="N5919" t="s">
        <v>16393</v>
      </c>
      <c r="O5919" s="4">
        <v>38692</v>
      </c>
      <c r="P5919" s="4">
        <v>80671</v>
      </c>
      <c r="Q5919" s="4">
        <v>119363</v>
      </c>
      <c r="R5919" s="4">
        <v>358089</v>
      </c>
      <c r="S5919" t="s">
        <v>22180</v>
      </c>
      <c r="T5919" s="6">
        <v>43678</v>
      </c>
      <c r="U5919" s="4">
        <v>246500</v>
      </c>
      <c r="V5919" t="s">
        <v>23739</v>
      </c>
      <c r="W5919" t="s">
        <v>27029</v>
      </c>
      <c r="X5919" t="s">
        <v>3</v>
      </c>
      <c r="AA5919" s="5" t="str">
        <f>HYPERLINK("https://www.zillow.com/homes/490-HAMPTON-LN-ROSELLE-IL-601722619_rb/","check listing")</f>
        <v>check listing</v>
      </c>
      <c r="AB5919" s="5" t="str">
        <f>HYPERLINK("https://propertylookup.dupagecounty.gov/Datalets/Datalet.aspx?UseSearch=no&amp;mode=sales&amp;pin=0208209004","sales record")</f>
        <v>sales record</v>
      </c>
      <c r="AC5919" t="s">
        <v>3</v>
      </c>
      <c r="AD5919">
        <v>41.973517</v>
      </c>
      <c r="AE5919">
        <v>-88.11069500000001</v>
      </c>
      <c r="AF5919" s="5" t="str">
        <f>HYPERLINK("https://www.google.com/maps/search/?api=1&amp;query=41.973517,-88.110695","map")</f>
        <v>map</v>
      </c>
    </row>
    <row r="5920" spans="1:32">
      <c r="A5920" t="s">
        <v>5970</v>
      </c>
      <c r="B5920" t="s">
        <v>13495</v>
      </c>
      <c r="C5920" t="s">
        <v>15957</v>
      </c>
      <c r="D5920" t="s">
        <v>16207</v>
      </c>
      <c r="E5920" t="s">
        <v>16218</v>
      </c>
      <c r="F5920" t="s">
        <v>16221</v>
      </c>
      <c r="G5920" t="s">
        <v>16241</v>
      </c>
      <c r="H5920" t="s">
        <v>16241</v>
      </c>
      <c r="I5920" t="s">
        <v>16355</v>
      </c>
      <c r="J5920" t="s">
        <v>16385</v>
      </c>
      <c r="K5920">
        <v>0.134</v>
      </c>
      <c r="L5920">
        <v>5823</v>
      </c>
      <c r="M5920">
        <v>1932</v>
      </c>
      <c r="N5920" t="s">
        <v>16393</v>
      </c>
      <c r="O5920" s="4">
        <v>38692</v>
      </c>
      <c r="P5920" s="4">
        <v>80097</v>
      </c>
      <c r="Q5920" s="4">
        <v>118789</v>
      </c>
      <c r="R5920" s="4">
        <v>356367</v>
      </c>
      <c r="S5920" t="s">
        <v>22181</v>
      </c>
      <c r="T5920" s="6">
        <v>41579</v>
      </c>
      <c r="U5920" s="4">
        <v>175100</v>
      </c>
      <c r="V5920" t="s">
        <v>16232</v>
      </c>
      <c r="W5920" t="s">
        <v>27030</v>
      </c>
      <c r="X5920" t="s">
        <v>3</v>
      </c>
      <c r="AA5920" s="5" t="str">
        <f>HYPERLINK("https://www.zillow.com/homes/1180-DARBY-LN-ROSELLE-IL-601721754_rb/","check listing")</f>
        <v>check listing</v>
      </c>
      <c r="AB5920" s="5" t="str">
        <f>HYPERLINK("https://propertylookup.dupagecounty.gov/Datalets/Datalet.aspx?UseSearch=no&amp;mode=sales&amp;pin=0204313017","sales record")</f>
        <v>sales record</v>
      </c>
      <c r="AC5920" t="s">
        <v>3</v>
      </c>
      <c r="AD5920">
        <v>41.978078</v>
      </c>
      <c r="AE5920">
        <v>-88.10988999999999</v>
      </c>
      <c r="AF5920" s="5" t="str">
        <f>HYPERLINK("https://www.google.com/maps/search/?api=1&amp;query=41.978078,-88.10989","map")</f>
        <v>map</v>
      </c>
    </row>
    <row r="5921" spans="1:32">
      <c r="A5921" t="s">
        <v>5971</v>
      </c>
      <c r="B5921" t="s">
        <v>13496</v>
      </c>
      <c r="C5921" t="s">
        <v>15830</v>
      </c>
      <c r="D5921" t="s">
        <v>16207</v>
      </c>
      <c r="E5921" t="s">
        <v>16218</v>
      </c>
      <c r="F5921" t="s">
        <v>16221</v>
      </c>
      <c r="G5921" t="s">
        <v>16241</v>
      </c>
      <c r="H5921" t="s">
        <v>16241</v>
      </c>
      <c r="I5921" t="s">
        <v>16355</v>
      </c>
      <c r="J5921" t="s">
        <v>16385</v>
      </c>
      <c r="K5921">
        <v>0.134</v>
      </c>
      <c r="L5921">
        <v>5821</v>
      </c>
      <c r="M5921">
        <v>1649</v>
      </c>
      <c r="N5921" t="s">
        <v>16393</v>
      </c>
      <c r="O5921" s="4">
        <v>38692</v>
      </c>
      <c r="P5921" s="4">
        <v>77599</v>
      </c>
      <c r="Q5921" s="4">
        <v>116291</v>
      </c>
      <c r="R5921" s="4">
        <v>348873</v>
      </c>
      <c r="S5921" t="s">
        <v>22182</v>
      </c>
      <c r="T5921" s="6">
        <v>29465</v>
      </c>
      <c r="U5921" s="4">
        <v>73860</v>
      </c>
      <c r="X5921" t="s">
        <v>3</v>
      </c>
      <c r="AA5921" s="5" t="str">
        <f>HYPERLINK("https://www.zillow.com/homes/732-BERWICK-PLACE-ROSELLE-IL-60172_rb/","check listing")</f>
        <v>check listing</v>
      </c>
      <c r="AB5921" s="5" t="str">
        <f>HYPERLINK("https://propertylookup.dupagecounty.gov/Datalets/Datalet.aspx?UseSearch=no&amp;mode=sales&amp;pin=0208205031","sales record")</f>
        <v>sales record</v>
      </c>
      <c r="AC5921" t="s">
        <v>3</v>
      </c>
      <c r="AD5921">
        <v>41.969516</v>
      </c>
      <c r="AE5921">
        <v>-88.111396</v>
      </c>
      <c r="AF5921" s="5" t="str">
        <f>HYPERLINK("https://www.google.com/maps/search/?api=1&amp;query=41.969516,-88.111396","map")</f>
        <v>map</v>
      </c>
    </row>
    <row r="5922" spans="1:32">
      <c r="A5922" t="s">
        <v>5972</v>
      </c>
      <c r="B5922" t="s">
        <v>13497</v>
      </c>
      <c r="C5922" t="s">
        <v>15830</v>
      </c>
      <c r="D5922" t="s">
        <v>16207</v>
      </c>
      <c r="E5922" t="s">
        <v>16218</v>
      </c>
      <c r="F5922" t="s">
        <v>16221</v>
      </c>
      <c r="G5922" t="s">
        <v>16241</v>
      </c>
      <c r="H5922" t="s">
        <v>16241</v>
      </c>
      <c r="I5922" t="s">
        <v>16355</v>
      </c>
      <c r="J5922" t="s">
        <v>16385</v>
      </c>
      <c r="K5922">
        <v>0.134</v>
      </c>
      <c r="L5922">
        <v>5816</v>
      </c>
      <c r="M5922">
        <v>1698</v>
      </c>
      <c r="N5922" t="s">
        <v>16393</v>
      </c>
      <c r="O5922" s="4">
        <v>38692</v>
      </c>
      <c r="P5922" s="4">
        <v>78675</v>
      </c>
      <c r="Q5922" s="4">
        <v>117367</v>
      </c>
      <c r="R5922" s="4">
        <v>352101</v>
      </c>
      <c r="S5922" t="s">
        <v>22183</v>
      </c>
      <c r="T5922" s="6">
        <v>44930</v>
      </c>
      <c r="U5922" s="4">
        <v>280000</v>
      </c>
      <c r="V5922" t="s">
        <v>23739</v>
      </c>
      <c r="W5922" t="s">
        <v>27031</v>
      </c>
      <c r="X5922" t="s">
        <v>3</v>
      </c>
      <c r="AA5922" s="5" t="str">
        <f>HYPERLINK("https://www.zillow.com/homes/370-NORMAN-LN-ROSELLE-IL-60172_rb/","check listing")</f>
        <v>check listing</v>
      </c>
      <c r="AB5922" s="5" t="str">
        <f>HYPERLINK("https://propertylookup.dupagecounty.gov/Datalets/Datalet.aspx?UseSearch=no&amp;mode=sales&amp;pin=0204302004","sales record")</f>
        <v>sales record</v>
      </c>
      <c r="AC5922" t="s">
        <v>3</v>
      </c>
      <c r="AD5922">
        <v>41.975844</v>
      </c>
      <c r="AE5922">
        <v>-88.109556</v>
      </c>
      <c r="AF5922" s="5" t="str">
        <f>HYPERLINK("https://www.google.com/maps/search/?api=1&amp;query=41.975844,-88.109556","map")</f>
        <v>map</v>
      </c>
    </row>
    <row r="5923" spans="1:32">
      <c r="A5923" t="s">
        <v>5973</v>
      </c>
      <c r="B5923" t="s">
        <v>13498</v>
      </c>
      <c r="C5923" t="s">
        <v>15958</v>
      </c>
      <c r="D5923" t="s">
        <v>16207</v>
      </c>
      <c r="E5923" t="s">
        <v>16218</v>
      </c>
      <c r="F5923" t="s">
        <v>16221</v>
      </c>
      <c r="G5923" t="s">
        <v>16241</v>
      </c>
      <c r="H5923" t="s">
        <v>16241</v>
      </c>
      <c r="I5923" t="s">
        <v>16355</v>
      </c>
      <c r="J5923" t="s">
        <v>16385</v>
      </c>
      <c r="K5923">
        <v>0.133</v>
      </c>
      <c r="L5923">
        <v>5814</v>
      </c>
      <c r="M5923">
        <v>1369</v>
      </c>
      <c r="N5923" t="s">
        <v>16393</v>
      </c>
      <c r="O5923" s="4">
        <v>38692</v>
      </c>
      <c r="P5923" s="4">
        <v>56694</v>
      </c>
      <c r="Q5923" s="4">
        <v>95386</v>
      </c>
      <c r="R5923" s="4">
        <v>286158</v>
      </c>
      <c r="S5923" t="s">
        <v>22184</v>
      </c>
      <c r="T5923" s="6">
        <v>45934</v>
      </c>
      <c r="U5923" s="4">
        <v>323026</v>
      </c>
      <c r="V5923" t="s">
        <v>23739</v>
      </c>
      <c r="W5923" t="s">
        <v>27032</v>
      </c>
      <c r="X5923" t="s">
        <v>3</v>
      </c>
      <c r="AA5923" s="5" t="str">
        <f>HYPERLINK("https://www.zillow.com/homes/654-MIDDLETON-DR-ROSELLE-IL-601722716_rb/","check listing")</f>
        <v>check listing</v>
      </c>
      <c r="AB5923" s="5" t="str">
        <f>HYPERLINK("https://propertylookup.dupagecounty.gov/Datalets/Datalet.aspx?UseSearch=no&amp;mode=sales&amp;pin=0209110014","sales record")</f>
        <v>sales record</v>
      </c>
      <c r="AC5923" t="s">
        <v>3</v>
      </c>
      <c r="AD5923">
        <v>41.971056</v>
      </c>
      <c r="AE5923">
        <v>-88.105024</v>
      </c>
      <c r="AF5923" s="5" t="str">
        <f>HYPERLINK("https://www.google.com/maps/search/?api=1&amp;query=41.971056,-88.105024","map")</f>
        <v>map</v>
      </c>
    </row>
    <row r="5924" spans="1:32">
      <c r="A5924" t="s">
        <v>5974</v>
      </c>
      <c r="B5924" t="s">
        <v>13499</v>
      </c>
      <c r="C5924" t="s">
        <v>15830</v>
      </c>
      <c r="D5924" t="s">
        <v>16207</v>
      </c>
      <c r="E5924" t="s">
        <v>16218</v>
      </c>
      <c r="F5924" t="s">
        <v>16221</v>
      </c>
      <c r="G5924" t="s">
        <v>16241</v>
      </c>
      <c r="H5924" t="s">
        <v>16241</v>
      </c>
      <c r="I5924" t="s">
        <v>16355</v>
      </c>
      <c r="J5924" t="s">
        <v>16385</v>
      </c>
      <c r="K5924">
        <v>0.133</v>
      </c>
      <c r="L5924">
        <v>5814</v>
      </c>
      <c r="M5924">
        <v>1814</v>
      </c>
      <c r="N5924" t="s">
        <v>16393</v>
      </c>
      <c r="O5924" s="4">
        <v>38692</v>
      </c>
      <c r="P5924" s="4">
        <v>95218</v>
      </c>
      <c r="Q5924" s="4">
        <v>133910</v>
      </c>
      <c r="R5924" s="4">
        <v>401730</v>
      </c>
      <c r="S5924" t="s">
        <v>22185</v>
      </c>
      <c r="T5924" s="6">
        <v>30773</v>
      </c>
      <c r="U5924" s="4">
        <v>68000</v>
      </c>
      <c r="X5924" t="s">
        <v>3</v>
      </c>
      <c r="AA5924" s="5" t="str">
        <f>HYPERLINK("https://www.zillow.com/homes/650-MIDDLETON-DR-ROSELLE-IL-60172_rb/","check listing")</f>
        <v>check listing</v>
      </c>
      <c r="AB5924" s="5" t="str">
        <f>HYPERLINK("https://propertylookup.dupagecounty.gov/Datalets/Datalet.aspx?UseSearch=no&amp;mode=sales&amp;pin=0209110013","sales record")</f>
        <v>sales record</v>
      </c>
      <c r="AC5924" t="s">
        <v>3</v>
      </c>
      <c r="AD5924">
        <v>41.971214</v>
      </c>
      <c r="AE5924">
        <v>-88.105018</v>
      </c>
      <c r="AF5924" s="5" t="str">
        <f>HYPERLINK("https://www.google.com/maps/search/?api=1&amp;query=41.971214,-88.105018","map")</f>
        <v>map</v>
      </c>
    </row>
    <row r="5925" spans="1:32">
      <c r="A5925" t="s">
        <v>5975</v>
      </c>
      <c r="B5925" t="s">
        <v>13500</v>
      </c>
      <c r="C5925" t="s">
        <v>15830</v>
      </c>
      <c r="D5925" t="s">
        <v>16207</v>
      </c>
      <c r="E5925" t="s">
        <v>16218</v>
      </c>
      <c r="F5925" t="s">
        <v>16221</v>
      </c>
      <c r="G5925" t="s">
        <v>16241</v>
      </c>
      <c r="H5925" t="s">
        <v>16241</v>
      </c>
      <c r="I5925" t="s">
        <v>16355</v>
      </c>
      <c r="J5925" t="s">
        <v>16385</v>
      </c>
      <c r="K5925">
        <v>0.133</v>
      </c>
      <c r="L5925">
        <v>5812</v>
      </c>
      <c r="M5925">
        <v>1451</v>
      </c>
      <c r="N5925" t="s">
        <v>16393</v>
      </c>
      <c r="O5925" s="4">
        <v>38692</v>
      </c>
      <c r="P5925" s="4">
        <v>78878</v>
      </c>
      <c r="Q5925" s="4">
        <v>117570</v>
      </c>
      <c r="R5925" s="4">
        <v>352710</v>
      </c>
      <c r="S5925" t="s">
        <v>22186</v>
      </c>
      <c r="T5925" s="6">
        <v>35156</v>
      </c>
      <c r="U5925" s="4">
        <v>133000</v>
      </c>
      <c r="X5925" t="s">
        <v>3</v>
      </c>
      <c r="AA5925" s="5" t="str">
        <f>HYPERLINK("https://www.zillow.com/homes/730-WOODSIDE-DR-ROSELLE-IL-60172_rb/","check listing")</f>
        <v>check listing</v>
      </c>
      <c r="AB5925" s="5" t="str">
        <f>HYPERLINK("https://propertylookup.dupagecounty.gov/Datalets/Datalet.aspx?UseSearch=no&amp;mode=sales&amp;pin=0209118011","sales record")</f>
        <v>sales record</v>
      </c>
      <c r="AC5925" t="s">
        <v>3</v>
      </c>
      <c r="AD5925">
        <v>41.969551</v>
      </c>
      <c r="AE5925">
        <v>-88.105042</v>
      </c>
      <c r="AF5925" s="5" t="str">
        <f>HYPERLINK("https://www.google.com/maps/search/?api=1&amp;query=41.969551,-88.105042","map")</f>
        <v>map</v>
      </c>
    </row>
    <row r="5926" spans="1:32">
      <c r="A5926" t="s">
        <v>5976</v>
      </c>
      <c r="B5926" t="s">
        <v>13501</v>
      </c>
      <c r="C5926" t="s">
        <v>15830</v>
      </c>
      <c r="D5926" t="s">
        <v>16207</v>
      </c>
      <c r="E5926" t="s">
        <v>16218</v>
      </c>
      <c r="F5926" t="s">
        <v>16221</v>
      </c>
      <c r="G5926" t="s">
        <v>16241</v>
      </c>
      <c r="H5926" t="s">
        <v>16241</v>
      </c>
      <c r="I5926" t="s">
        <v>16355</v>
      </c>
      <c r="J5926" t="s">
        <v>16385</v>
      </c>
      <c r="K5926">
        <v>0.133</v>
      </c>
      <c r="L5926">
        <v>5803</v>
      </c>
      <c r="M5926">
        <v>1995</v>
      </c>
      <c r="N5926" t="s">
        <v>16393</v>
      </c>
      <c r="O5926" s="4">
        <v>38692</v>
      </c>
      <c r="P5926" s="4">
        <v>95242</v>
      </c>
      <c r="Q5926" s="4">
        <v>133934</v>
      </c>
      <c r="R5926" s="4">
        <v>401802</v>
      </c>
      <c r="S5926" t="s">
        <v>22187</v>
      </c>
      <c r="T5926" s="6">
        <v>37288</v>
      </c>
      <c r="U5926" s="4">
        <v>154800</v>
      </c>
      <c r="V5926" t="s">
        <v>23739</v>
      </c>
      <c r="W5926" t="s">
        <v>27033</v>
      </c>
      <c r="X5926" t="s">
        <v>3</v>
      </c>
      <c r="AA5926" s="5" t="str">
        <f>HYPERLINK("https://www.zillow.com/homes/815-STONEFIELD-PL-ROSELLE-IL-60172_rb/","check listing")</f>
        <v>check listing</v>
      </c>
      <c r="AB5926" s="5" t="str">
        <f>HYPERLINK("https://propertylookup.dupagecounty.gov/Datalets/Datalet.aspx?UseSearch=no&amp;mode=sales&amp;pin=0209102018","sales record")</f>
        <v>sales record</v>
      </c>
      <c r="AC5926" t="s">
        <v>3</v>
      </c>
      <c r="AD5926">
        <v>41.972319</v>
      </c>
      <c r="AE5926">
        <v>-88.10098499999999</v>
      </c>
      <c r="AF5926" s="5" t="str">
        <f>HYPERLINK("https://www.google.com/maps/search/?api=1&amp;query=41.972319,-88.100985","map")</f>
        <v>map</v>
      </c>
    </row>
    <row r="5927" spans="1:32">
      <c r="A5927" t="s">
        <v>5977</v>
      </c>
      <c r="B5927" t="s">
        <v>13502</v>
      </c>
      <c r="C5927" t="s">
        <v>15959</v>
      </c>
      <c r="D5927" t="s">
        <v>16207</v>
      </c>
      <c r="E5927" t="s">
        <v>16218</v>
      </c>
      <c r="F5927" t="s">
        <v>16221</v>
      </c>
      <c r="G5927" t="s">
        <v>16241</v>
      </c>
      <c r="H5927" t="s">
        <v>16241</v>
      </c>
      <c r="I5927" t="s">
        <v>16355</v>
      </c>
      <c r="J5927" t="s">
        <v>16385</v>
      </c>
      <c r="K5927">
        <v>0.133</v>
      </c>
      <c r="L5927">
        <v>5801</v>
      </c>
      <c r="M5927">
        <v>2111</v>
      </c>
      <c r="N5927" t="s">
        <v>16393</v>
      </c>
      <c r="O5927" s="4">
        <v>38692</v>
      </c>
      <c r="P5927" s="4">
        <v>52988</v>
      </c>
      <c r="Q5927" s="4">
        <v>91680</v>
      </c>
      <c r="R5927" s="4">
        <v>275040</v>
      </c>
      <c r="S5927" t="s">
        <v>22188</v>
      </c>
      <c r="T5927" s="6">
        <v>44075</v>
      </c>
      <c r="U5927" s="4">
        <v>235000</v>
      </c>
      <c r="V5927" t="s">
        <v>23739</v>
      </c>
      <c r="W5927" t="s">
        <v>22188</v>
      </c>
      <c r="X5927" t="s">
        <v>3</v>
      </c>
      <c r="AA5927" s="5" t="str">
        <f>HYPERLINK("https://www.zillow.com/homes/535-HAMPTON-LN-ROSELLE-IL-601722620_rb/","check listing")</f>
        <v>check listing</v>
      </c>
      <c r="AB5927" s="5" t="str">
        <f>HYPERLINK("https://propertylookup.dupagecounty.gov/Datalets/Datalet.aspx?UseSearch=no&amp;mode=sales&amp;pin=0209104007","sales record")</f>
        <v>sales record</v>
      </c>
      <c r="AC5927" t="s">
        <v>3</v>
      </c>
      <c r="AD5927">
        <v>41.973223</v>
      </c>
      <c r="AE5927">
        <v>-88.109763</v>
      </c>
      <c r="AF5927" s="5" t="str">
        <f>HYPERLINK("https://www.google.com/maps/search/?api=1&amp;query=41.973223,-88.109763","map")</f>
        <v>map</v>
      </c>
    </row>
    <row r="5928" spans="1:32">
      <c r="A5928" t="s">
        <v>5978</v>
      </c>
      <c r="B5928" t="s">
        <v>13503</v>
      </c>
      <c r="C5928" t="s">
        <v>15960</v>
      </c>
      <c r="D5928" t="s">
        <v>16207</v>
      </c>
      <c r="E5928" t="s">
        <v>16218</v>
      </c>
      <c r="F5928" t="s">
        <v>16221</v>
      </c>
      <c r="G5928" t="s">
        <v>16241</v>
      </c>
      <c r="H5928" t="s">
        <v>16241</v>
      </c>
      <c r="I5928" t="s">
        <v>16355</v>
      </c>
      <c r="J5928" t="s">
        <v>16385</v>
      </c>
      <c r="K5928">
        <v>0.133</v>
      </c>
      <c r="L5928">
        <v>5800</v>
      </c>
      <c r="M5928">
        <v>1650</v>
      </c>
      <c r="N5928" t="s">
        <v>16393</v>
      </c>
      <c r="O5928" s="4">
        <v>38692</v>
      </c>
      <c r="P5928" s="4">
        <v>80671</v>
      </c>
      <c r="Q5928" s="4">
        <v>119363</v>
      </c>
      <c r="R5928" s="4">
        <v>358089</v>
      </c>
      <c r="S5928" t="s">
        <v>22189</v>
      </c>
      <c r="T5928" s="6">
        <v>35278</v>
      </c>
      <c r="U5928" s="4">
        <v>130000</v>
      </c>
      <c r="X5928" t="s">
        <v>3</v>
      </c>
      <c r="AA5928" s="5" t="str">
        <f>HYPERLINK("https://www.zillow.com/homes/405-RODENBURG-RD-ROSELLE-IL-601722667_rb/","check listing")</f>
        <v>check listing</v>
      </c>
      <c r="AB5928" s="5" t="str">
        <f>HYPERLINK("https://propertylookup.dupagecounty.gov/Datalets/Datalet.aspx?UseSearch=no&amp;mode=sales&amp;pin=0208207001","sales record")</f>
        <v>sales record</v>
      </c>
      <c r="AC5928" t="s">
        <v>3</v>
      </c>
      <c r="AD5928">
        <v>41.974948</v>
      </c>
      <c r="AE5928">
        <v>-88.11182700000001</v>
      </c>
      <c r="AF5928" s="5" t="str">
        <f>HYPERLINK("https://www.google.com/maps/search/?api=1&amp;query=41.974948,-88.111827","map")</f>
        <v>map</v>
      </c>
    </row>
    <row r="5929" spans="1:32">
      <c r="A5929" t="s">
        <v>5979</v>
      </c>
      <c r="B5929" t="s">
        <v>13504</v>
      </c>
      <c r="C5929" t="s">
        <v>15961</v>
      </c>
      <c r="D5929" t="s">
        <v>16207</v>
      </c>
      <c r="E5929" t="s">
        <v>16218</v>
      </c>
      <c r="F5929" t="s">
        <v>16221</v>
      </c>
      <c r="G5929" t="s">
        <v>16241</v>
      </c>
      <c r="H5929" t="s">
        <v>16241</v>
      </c>
      <c r="I5929" t="s">
        <v>16355</v>
      </c>
      <c r="J5929" t="s">
        <v>16385</v>
      </c>
      <c r="K5929">
        <v>0.133</v>
      </c>
      <c r="L5929">
        <v>5800</v>
      </c>
      <c r="M5929">
        <v>1320</v>
      </c>
      <c r="N5929" t="s">
        <v>16393</v>
      </c>
      <c r="O5929" s="4">
        <v>38692</v>
      </c>
      <c r="P5929" s="4">
        <v>55606</v>
      </c>
      <c r="Q5929" s="4">
        <v>94298</v>
      </c>
      <c r="R5929" s="4">
        <v>282894</v>
      </c>
      <c r="S5929" t="s">
        <v>21734</v>
      </c>
      <c r="T5929" s="6">
        <v>42705</v>
      </c>
      <c r="U5929" s="4">
        <v>171111</v>
      </c>
      <c r="V5929" t="s">
        <v>23739</v>
      </c>
      <c r="W5929" t="s">
        <v>21734</v>
      </c>
      <c r="X5929" t="s">
        <v>3</v>
      </c>
      <c r="AA5929" s="5" t="str">
        <f>HYPERLINK("https://www.zillow.com/homes/479-HAMPTON-LN-ROSELLE-IL-601722618_rb/","check listing")</f>
        <v>check listing</v>
      </c>
      <c r="AB5929" s="5" t="str">
        <f>HYPERLINK("https://propertylookup.dupagecounty.gov/Datalets/Datalet.aspx?UseSearch=no&amp;mode=sales&amp;pin=0208208007","sales record")</f>
        <v>sales record</v>
      </c>
      <c r="AC5929" t="s">
        <v>3</v>
      </c>
      <c r="AD5929">
        <v>41.97402</v>
      </c>
      <c r="AE5929">
        <v>-88.110589</v>
      </c>
      <c r="AF5929" s="5" t="str">
        <f>HYPERLINK("https://www.google.com/maps/search/?api=1&amp;query=41.97402,-88.110589","map")</f>
        <v>map</v>
      </c>
    </row>
    <row r="5930" spans="1:32">
      <c r="A5930" t="s">
        <v>5980</v>
      </c>
      <c r="B5930" t="s">
        <v>13505</v>
      </c>
      <c r="C5930" t="s">
        <v>15830</v>
      </c>
      <c r="D5930" t="s">
        <v>16207</v>
      </c>
      <c r="E5930" t="s">
        <v>16218</v>
      </c>
      <c r="F5930" t="s">
        <v>16221</v>
      </c>
      <c r="G5930" t="s">
        <v>16241</v>
      </c>
      <c r="H5930" t="s">
        <v>16241</v>
      </c>
      <c r="I5930" t="s">
        <v>16355</v>
      </c>
      <c r="J5930" t="s">
        <v>16385</v>
      </c>
      <c r="K5930">
        <v>0.133</v>
      </c>
      <c r="L5930">
        <v>5795</v>
      </c>
      <c r="M5930">
        <v>1566</v>
      </c>
      <c r="N5930" t="s">
        <v>16393</v>
      </c>
      <c r="O5930" s="4">
        <v>38692</v>
      </c>
      <c r="P5930" s="4">
        <v>75758</v>
      </c>
      <c r="Q5930" s="4">
        <v>114450</v>
      </c>
      <c r="R5930" s="4">
        <v>343350</v>
      </c>
      <c r="S5930" t="s">
        <v>22190</v>
      </c>
      <c r="T5930" s="6">
        <v>33664</v>
      </c>
      <c r="U5930" s="4">
        <v>111000</v>
      </c>
      <c r="X5930" t="s">
        <v>3</v>
      </c>
      <c r="AA5930" s="5" t="str">
        <f>HYPERLINK("https://www.zillow.com/homes/999-WOODSIDE-DR-ROSELLE-IL-60172_rb/","check listing")</f>
        <v>check listing</v>
      </c>
      <c r="AB5930" s="5" t="str">
        <f>HYPERLINK("https://propertylookup.dupagecounty.gov/Datalets/Datalet.aspx?UseSearch=no&amp;mode=sales&amp;pin=0209305008","sales record")</f>
        <v>sales record</v>
      </c>
      <c r="AC5930" t="s">
        <v>3</v>
      </c>
      <c r="AD5930">
        <v>41.967314</v>
      </c>
      <c r="AE5930">
        <v>-88.105642</v>
      </c>
      <c r="AF5930" s="5" t="str">
        <f>HYPERLINK("https://www.google.com/maps/search/?api=1&amp;query=41.967314,-88.105642","map")</f>
        <v>map</v>
      </c>
    </row>
    <row r="5931" spans="1:32">
      <c r="A5931" t="s">
        <v>5981</v>
      </c>
      <c r="B5931" t="s">
        <v>13506</v>
      </c>
      <c r="C5931" t="s">
        <v>15901</v>
      </c>
      <c r="D5931" t="s">
        <v>16207</v>
      </c>
      <c r="E5931" t="s">
        <v>16218</v>
      </c>
      <c r="F5931" t="s">
        <v>16221</v>
      </c>
      <c r="G5931" t="s">
        <v>16241</v>
      </c>
      <c r="H5931" t="s">
        <v>16241</v>
      </c>
      <c r="I5931" t="s">
        <v>16355</v>
      </c>
      <c r="J5931" t="s">
        <v>16385</v>
      </c>
      <c r="K5931">
        <v>0.133</v>
      </c>
      <c r="L5931">
        <v>5794</v>
      </c>
      <c r="M5931">
        <v>1979</v>
      </c>
      <c r="N5931" t="s">
        <v>16393</v>
      </c>
      <c r="O5931" s="4">
        <v>38692</v>
      </c>
      <c r="P5931" s="4">
        <v>79607</v>
      </c>
      <c r="Q5931" s="4">
        <v>118299</v>
      </c>
      <c r="R5931" s="4">
        <v>354897</v>
      </c>
      <c r="S5931" t="s">
        <v>22191</v>
      </c>
      <c r="T5931" s="6">
        <v>42461</v>
      </c>
      <c r="U5931" s="4">
        <v>270000</v>
      </c>
      <c r="V5931" t="s">
        <v>23739</v>
      </c>
      <c r="W5931" t="s">
        <v>27034</v>
      </c>
      <c r="X5931" t="s">
        <v>3</v>
      </c>
      <c r="AA5931" s="5" t="str">
        <f>HYPERLINK("https://www.zillow.com/homes/609-STAFFORD-DR-ROSELLE-IL-601722748_rb/","check listing")</f>
        <v>check listing</v>
      </c>
      <c r="AB5931" s="5" t="str">
        <f>HYPERLINK("https://propertylookup.dupagecounty.gov/Datalets/Datalet.aspx?UseSearch=no&amp;mode=sales&amp;pin=0209121007","sales record")</f>
        <v>sales record</v>
      </c>
      <c r="AC5931" t="s">
        <v>3</v>
      </c>
      <c r="AD5931">
        <v>41.971678</v>
      </c>
      <c r="AE5931">
        <v>-88.10794</v>
      </c>
      <c r="AF5931" s="5" t="str">
        <f>HYPERLINK("https://www.google.com/maps/search/?api=1&amp;query=41.971678,-88.10794","map")</f>
        <v>map</v>
      </c>
    </row>
    <row r="5932" spans="1:32">
      <c r="A5932" t="s">
        <v>5982</v>
      </c>
      <c r="B5932" t="s">
        <v>13507</v>
      </c>
      <c r="C5932" t="s">
        <v>15830</v>
      </c>
      <c r="D5932" t="s">
        <v>16207</v>
      </c>
      <c r="E5932" t="s">
        <v>16218</v>
      </c>
      <c r="F5932" t="s">
        <v>16221</v>
      </c>
      <c r="G5932" t="s">
        <v>16241</v>
      </c>
      <c r="H5932" t="s">
        <v>16241</v>
      </c>
      <c r="I5932" t="s">
        <v>16355</v>
      </c>
      <c r="J5932" t="s">
        <v>16385</v>
      </c>
      <c r="K5932">
        <v>0.133</v>
      </c>
      <c r="L5932">
        <v>5784</v>
      </c>
      <c r="M5932">
        <v>1650</v>
      </c>
      <c r="N5932" t="s">
        <v>16393</v>
      </c>
      <c r="O5932" s="4">
        <v>38692</v>
      </c>
      <c r="P5932" s="4">
        <v>77599</v>
      </c>
      <c r="Q5932" s="4">
        <v>116291</v>
      </c>
      <c r="R5932" s="4">
        <v>348873</v>
      </c>
      <c r="S5932" t="s">
        <v>22192</v>
      </c>
      <c r="T5932" s="6">
        <v>42795</v>
      </c>
      <c r="U5932" s="4">
        <v>220000</v>
      </c>
      <c r="V5932" t="s">
        <v>23739</v>
      </c>
      <c r="W5932" t="s">
        <v>22192</v>
      </c>
      <c r="X5932" t="s">
        <v>3</v>
      </c>
      <c r="AA5932" s="5" t="str">
        <f>HYPERLINK("https://www.zillow.com/homes/775-RODENBURG-RD-ROSELLE-IL-60172_rb/","check listing")</f>
        <v>check listing</v>
      </c>
      <c r="AB5932" s="5" t="str">
        <f>HYPERLINK("https://propertylookup.dupagecounty.gov/Datalets/Datalet.aspx?UseSearch=no&amp;mode=sales&amp;pin=0209117006","sales record")</f>
        <v>sales record</v>
      </c>
      <c r="AC5932" t="s">
        <v>3</v>
      </c>
      <c r="AD5932">
        <v>41.968633</v>
      </c>
      <c r="AE5932">
        <v>-88.10648999999999</v>
      </c>
      <c r="AF5932" s="5" t="str">
        <f>HYPERLINK("https://www.google.com/maps/search/?api=1&amp;query=41.968633,-88.10649","map")</f>
        <v>map</v>
      </c>
    </row>
    <row r="5933" spans="1:32">
      <c r="A5933" t="s">
        <v>5983</v>
      </c>
      <c r="B5933" t="s">
        <v>13508</v>
      </c>
      <c r="C5933" t="s">
        <v>15830</v>
      </c>
      <c r="D5933" t="s">
        <v>16207</v>
      </c>
      <c r="E5933" t="s">
        <v>16218</v>
      </c>
      <c r="F5933" t="s">
        <v>16221</v>
      </c>
      <c r="G5933" t="s">
        <v>16241</v>
      </c>
      <c r="H5933" t="s">
        <v>16241</v>
      </c>
      <c r="I5933" t="s">
        <v>16355</v>
      </c>
      <c r="J5933" t="s">
        <v>16385</v>
      </c>
      <c r="K5933">
        <v>0.133</v>
      </c>
      <c r="L5933">
        <v>5778</v>
      </c>
      <c r="M5933">
        <v>1756</v>
      </c>
      <c r="N5933" t="s">
        <v>16393</v>
      </c>
      <c r="O5933" s="4">
        <v>38692</v>
      </c>
      <c r="P5933" s="4">
        <v>55546</v>
      </c>
      <c r="Q5933" s="4">
        <v>94238</v>
      </c>
      <c r="R5933" s="4">
        <v>282714</v>
      </c>
      <c r="S5933" t="s">
        <v>21834</v>
      </c>
      <c r="T5933" s="6">
        <v>39934</v>
      </c>
      <c r="U5933" s="4">
        <v>100000</v>
      </c>
      <c r="V5933" t="s">
        <v>16232</v>
      </c>
      <c r="W5933" t="s">
        <v>27035</v>
      </c>
      <c r="X5933" t="s">
        <v>3</v>
      </c>
      <c r="AA5933" s="5" t="str">
        <f>HYPERLINK("https://www.zillow.com/homes/1175-SINGLETON-DR-ROSELLE-IL-60172_rb/","check listing")</f>
        <v>check listing</v>
      </c>
      <c r="AB5933" s="5" t="str">
        <f>HYPERLINK("https://propertylookup.dupagecounty.gov/Datalets/Datalet.aspx?UseSearch=no&amp;mode=sales&amp;pin=0204313003","sales record")</f>
        <v>sales record</v>
      </c>
      <c r="AC5933" t="s">
        <v>3</v>
      </c>
      <c r="AD5933">
        <v>41.978984</v>
      </c>
      <c r="AE5933">
        <v>-88.109979</v>
      </c>
      <c r="AF5933" s="5" t="str">
        <f>HYPERLINK("https://www.google.com/maps/search/?api=1&amp;query=41.978984,-88.109979","map")</f>
        <v>map</v>
      </c>
    </row>
    <row r="5934" spans="1:32">
      <c r="A5934" t="s">
        <v>5984</v>
      </c>
      <c r="B5934" t="s">
        <v>13509</v>
      </c>
      <c r="C5934" t="s">
        <v>15830</v>
      </c>
      <c r="D5934" t="s">
        <v>16207</v>
      </c>
      <c r="E5934" t="s">
        <v>16218</v>
      </c>
      <c r="F5934" t="s">
        <v>16221</v>
      </c>
      <c r="G5934" t="s">
        <v>16241</v>
      </c>
      <c r="H5934" t="s">
        <v>16241</v>
      </c>
      <c r="I5934" t="s">
        <v>16355</v>
      </c>
      <c r="J5934" t="s">
        <v>16385</v>
      </c>
      <c r="K5934">
        <v>0.133</v>
      </c>
      <c r="L5934">
        <v>5776</v>
      </c>
      <c r="M5934">
        <v>1188</v>
      </c>
      <c r="N5934" t="s">
        <v>16393</v>
      </c>
      <c r="O5934" s="4">
        <v>38692</v>
      </c>
      <c r="P5934" s="4">
        <v>77599</v>
      </c>
      <c r="Q5934" s="4">
        <v>116291</v>
      </c>
      <c r="R5934" s="4">
        <v>348873</v>
      </c>
      <c r="S5934" t="s">
        <v>22193</v>
      </c>
      <c r="T5934" s="6">
        <v>33817</v>
      </c>
      <c r="U5934" s="4">
        <v>118000</v>
      </c>
      <c r="X5934" t="s">
        <v>3</v>
      </c>
      <c r="AA5934" s="5" t="str">
        <f>HYPERLINK("https://www.zillow.com/homes/480-HAMPTON-LN-ROSELLE-IL-60172_rb/","check listing")</f>
        <v>check listing</v>
      </c>
      <c r="AB5934" s="5" t="str">
        <f>HYPERLINK("https://propertylookup.dupagecounty.gov/Datalets/Datalet.aspx?UseSearch=no&amp;mode=sales&amp;pin=0208209003","sales record")</f>
        <v>sales record</v>
      </c>
      <c r="AC5934" t="s">
        <v>3</v>
      </c>
      <c r="AD5934">
        <v>41.973612</v>
      </c>
      <c r="AE5934">
        <v>-88.110854</v>
      </c>
      <c r="AF5934" s="5" t="str">
        <f>HYPERLINK("https://www.google.com/maps/search/?api=1&amp;query=41.973612,-88.110854","map")</f>
        <v>map</v>
      </c>
    </row>
    <row r="5935" spans="1:32">
      <c r="A5935" t="s">
        <v>5985</v>
      </c>
      <c r="B5935" t="s">
        <v>13510</v>
      </c>
      <c r="C5935" t="s">
        <v>15916</v>
      </c>
      <c r="D5935" t="s">
        <v>16207</v>
      </c>
      <c r="E5935" t="s">
        <v>16218</v>
      </c>
      <c r="F5935" t="s">
        <v>16221</v>
      </c>
      <c r="G5935" t="s">
        <v>16241</v>
      </c>
      <c r="H5935" t="s">
        <v>16241</v>
      </c>
      <c r="I5935" t="s">
        <v>16355</v>
      </c>
      <c r="J5935" t="s">
        <v>16385</v>
      </c>
      <c r="K5935">
        <v>0.132</v>
      </c>
      <c r="L5935">
        <v>5761</v>
      </c>
      <c r="M5935">
        <v>1583</v>
      </c>
      <c r="N5935" t="s">
        <v>16393</v>
      </c>
      <c r="O5935" s="4">
        <v>38692</v>
      </c>
      <c r="P5935" s="4">
        <v>82010</v>
      </c>
      <c r="Q5935" s="4">
        <v>120702</v>
      </c>
      <c r="R5935" s="4">
        <v>362106</v>
      </c>
      <c r="S5935" t="s">
        <v>22194</v>
      </c>
      <c r="T5935" s="6">
        <v>43862</v>
      </c>
      <c r="U5935" s="4">
        <v>255000</v>
      </c>
      <c r="V5935" t="s">
        <v>23739</v>
      </c>
      <c r="W5935" t="s">
        <v>27036</v>
      </c>
      <c r="X5935" t="s">
        <v>3</v>
      </c>
      <c r="AA5935" s="5" t="str">
        <f>HYPERLINK("https://www.zillow.com/homes/535-DOVER-CT-ROSELLE-IL-601722607_rb/","check listing")</f>
        <v>check listing</v>
      </c>
      <c r="AB5935" s="5" t="str">
        <f>HYPERLINK("https://propertylookup.dupagecounty.gov/Datalets/Datalet.aspx?UseSearch=no&amp;mode=sales&amp;pin=0208209008","sales record")</f>
        <v>sales record</v>
      </c>
      <c r="AC5935" t="s">
        <v>3</v>
      </c>
      <c r="AD5935">
        <v>41.973194</v>
      </c>
      <c r="AE5935">
        <v>-88.110691</v>
      </c>
      <c r="AF5935" s="5" t="str">
        <f>HYPERLINK("https://www.google.com/maps/search/?api=1&amp;query=41.973194,-88.110691","map")</f>
        <v>map</v>
      </c>
    </row>
    <row r="5936" spans="1:32">
      <c r="A5936" t="s">
        <v>5986</v>
      </c>
      <c r="B5936" t="s">
        <v>13511</v>
      </c>
      <c r="C5936" t="s">
        <v>15830</v>
      </c>
      <c r="D5936" t="s">
        <v>16207</v>
      </c>
      <c r="E5936" t="s">
        <v>16218</v>
      </c>
      <c r="F5936" t="s">
        <v>16221</v>
      </c>
      <c r="G5936" t="s">
        <v>16241</v>
      </c>
      <c r="H5936" t="s">
        <v>16241</v>
      </c>
      <c r="I5936" t="s">
        <v>16355</v>
      </c>
      <c r="J5936" t="s">
        <v>16385</v>
      </c>
      <c r="K5936">
        <v>0.132</v>
      </c>
      <c r="L5936">
        <v>5760</v>
      </c>
      <c r="M5936">
        <v>2165</v>
      </c>
      <c r="N5936" t="s">
        <v>16393</v>
      </c>
      <c r="O5936" s="4">
        <v>38692</v>
      </c>
      <c r="P5936" s="4">
        <v>79942</v>
      </c>
      <c r="Q5936" s="4">
        <v>118634</v>
      </c>
      <c r="R5936" s="4">
        <v>355902</v>
      </c>
      <c r="S5936" t="s">
        <v>22195</v>
      </c>
      <c r="T5936" s="6">
        <v>40299</v>
      </c>
      <c r="U5936" s="4">
        <v>214900</v>
      </c>
      <c r="V5936" t="s">
        <v>23739</v>
      </c>
      <c r="W5936" t="s">
        <v>27037</v>
      </c>
      <c r="X5936" t="s">
        <v>3</v>
      </c>
      <c r="AA5936" s="5" t="str">
        <f>HYPERLINK("https://www.zillow.com/homes/595-RODENBURG-RD-ROSELLE-IL-60172_rb/","check listing")</f>
        <v>check listing</v>
      </c>
      <c r="AB5936" s="5" t="str">
        <f>HYPERLINK("https://propertylookup.dupagecounty.gov/Datalets/Datalet.aspx?UseSearch=no&amp;mode=sales&amp;pin=0208207022","sales record")</f>
        <v>sales record</v>
      </c>
      <c r="AC5936" t="s">
        <v>3</v>
      </c>
      <c r="AD5936">
        <v>41.972102</v>
      </c>
      <c r="AE5936">
        <v>-88.111389</v>
      </c>
      <c r="AF5936" s="5" t="str">
        <f>HYPERLINK("https://www.google.com/maps/search/?api=1&amp;query=41.972102,-88.111389","map")</f>
        <v>map</v>
      </c>
    </row>
    <row r="5937" spans="1:32">
      <c r="A5937" t="s">
        <v>5987</v>
      </c>
      <c r="B5937" t="s">
        <v>13512</v>
      </c>
      <c r="C5937" t="s">
        <v>15919</v>
      </c>
      <c r="D5937" t="s">
        <v>16207</v>
      </c>
      <c r="E5937" t="s">
        <v>16218</v>
      </c>
      <c r="F5937" t="s">
        <v>16221</v>
      </c>
      <c r="G5937" t="s">
        <v>16241</v>
      </c>
      <c r="H5937" t="s">
        <v>16241</v>
      </c>
      <c r="I5937" t="s">
        <v>16355</v>
      </c>
      <c r="J5937" t="s">
        <v>16385</v>
      </c>
      <c r="K5937">
        <v>0.132</v>
      </c>
      <c r="L5937">
        <v>5752</v>
      </c>
      <c r="M5937">
        <v>1451</v>
      </c>
      <c r="N5937" t="s">
        <v>16393</v>
      </c>
      <c r="O5937" s="4">
        <v>38692</v>
      </c>
      <c r="P5937" s="4">
        <v>77599</v>
      </c>
      <c r="Q5937" s="4">
        <v>116291</v>
      </c>
      <c r="R5937" s="4">
        <v>348873</v>
      </c>
      <c r="S5937" t="s">
        <v>22196</v>
      </c>
      <c r="T5937" s="6">
        <v>29068</v>
      </c>
      <c r="U5937" s="4">
        <v>66675</v>
      </c>
      <c r="X5937" t="s">
        <v>3</v>
      </c>
      <c r="AA5937" s="5" t="str">
        <f>HYPERLINK("https://www.zillow.com/homes/752-BERWICK-PL-ROSELLE-IL-601722734_rb/","check listing")</f>
        <v>check listing</v>
      </c>
      <c r="AB5937" s="5" t="str">
        <f>HYPERLINK("https://propertylookup.dupagecounty.gov/Datalets/Datalet.aspx?UseSearch=no&amp;mode=sales&amp;pin=0209124001","sales record")</f>
        <v>sales record</v>
      </c>
      <c r="AC5937" t="s">
        <v>3</v>
      </c>
      <c r="AD5937">
        <v>41.969069</v>
      </c>
      <c r="AE5937">
        <v>-88.110511</v>
      </c>
      <c r="AF5937" s="5" t="str">
        <f>HYPERLINK("https://www.google.com/maps/search/?api=1&amp;query=41.969069,-88.110511","map")</f>
        <v>map</v>
      </c>
    </row>
    <row r="5938" spans="1:32">
      <c r="A5938" t="s">
        <v>5988</v>
      </c>
      <c r="B5938" t="s">
        <v>13513</v>
      </c>
      <c r="C5938" t="s">
        <v>15849</v>
      </c>
      <c r="D5938" t="s">
        <v>16207</v>
      </c>
      <c r="E5938" t="s">
        <v>16218</v>
      </c>
      <c r="F5938" t="s">
        <v>16221</v>
      </c>
      <c r="G5938" t="s">
        <v>16241</v>
      </c>
      <c r="H5938" t="s">
        <v>16241</v>
      </c>
      <c r="I5938" t="s">
        <v>16355</v>
      </c>
      <c r="J5938" t="s">
        <v>16385</v>
      </c>
      <c r="K5938">
        <v>0.132</v>
      </c>
      <c r="L5938">
        <v>5738</v>
      </c>
      <c r="M5938">
        <v>1484</v>
      </c>
      <c r="N5938" t="s">
        <v>16393</v>
      </c>
      <c r="O5938" s="4">
        <v>38692</v>
      </c>
      <c r="P5938" s="4">
        <v>77599</v>
      </c>
      <c r="Q5938" s="4">
        <v>116291</v>
      </c>
      <c r="R5938" s="4">
        <v>348873</v>
      </c>
      <c r="S5938" t="s">
        <v>22197</v>
      </c>
      <c r="T5938" s="6">
        <v>45966</v>
      </c>
      <c r="U5938" s="4">
        <v>375000</v>
      </c>
      <c r="V5938" t="s">
        <v>23739</v>
      </c>
      <c r="W5938" t="s">
        <v>27038</v>
      </c>
      <c r="X5938" t="s">
        <v>3</v>
      </c>
      <c r="AA5938" s="5" t="str">
        <f>HYPERLINK("https://www.zillow.com/homes/815-WOODSIDE-DR-ROSELLE-IL-601722725_rb/","check listing")</f>
        <v>check listing</v>
      </c>
      <c r="AB5938" s="5" t="str">
        <f>HYPERLINK("https://propertylookup.dupagecounty.gov/Datalets/Datalet.aspx?UseSearch=no&amp;mode=sales&amp;pin=0209305003","sales record")</f>
        <v>sales record</v>
      </c>
      <c r="AC5938" t="s">
        <v>3</v>
      </c>
      <c r="AD5938">
        <v>41.967858</v>
      </c>
      <c r="AE5938">
        <v>-88.10456499999999</v>
      </c>
      <c r="AF5938" s="5" t="str">
        <f>HYPERLINK("https://www.google.com/maps/search/?api=1&amp;query=41.967858,-88.104565","map")</f>
        <v>map</v>
      </c>
    </row>
    <row r="5939" spans="1:32">
      <c r="A5939" t="s">
        <v>5989</v>
      </c>
      <c r="B5939" t="s">
        <v>13514</v>
      </c>
      <c r="C5939" t="s">
        <v>15962</v>
      </c>
      <c r="D5939" t="s">
        <v>16207</v>
      </c>
      <c r="E5939" t="s">
        <v>16218</v>
      </c>
      <c r="F5939" t="s">
        <v>16221</v>
      </c>
      <c r="G5939" t="s">
        <v>16241</v>
      </c>
      <c r="H5939" t="s">
        <v>16241</v>
      </c>
      <c r="I5939" t="s">
        <v>16355</v>
      </c>
      <c r="J5939" t="s">
        <v>16385</v>
      </c>
      <c r="K5939">
        <v>0.132</v>
      </c>
      <c r="L5939">
        <v>5733</v>
      </c>
      <c r="M5939">
        <v>1186</v>
      </c>
      <c r="N5939" t="s">
        <v>16393</v>
      </c>
      <c r="O5939" s="4">
        <v>38692</v>
      </c>
      <c r="P5939" s="4">
        <v>76189</v>
      </c>
      <c r="Q5939" s="4">
        <v>114881</v>
      </c>
      <c r="R5939" s="4">
        <v>344643</v>
      </c>
      <c r="S5939" t="s">
        <v>22198</v>
      </c>
      <c r="T5939" s="6">
        <v>42917</v>
      </c>
      <c r="U5939" s="4">
        <v>232000</v>
      </c>
      <c r="V5939" t="s">
        <v>23739</v>
      </c>
      <c r="W5939" t="s">
        <v>27039</v>
      </c>
      <c r="X5939" t="s">
        <v>3</v>
      </c>
      <c r="AA5939" s="5" t="str">
        <f>HYPERLINK("https://www.zillow.com/homes/730-MIDDLETON-DR-ROSELLE-IL-601722718_rb/","check listing")</f>
        <v>check listing</v>
      </c>
      <c r="AB5939" s="5" t="str">
        <f>HYPERLINK("https://propertylookup.dupagecounty.gov/Datalets/Datalet.aspx?UseSearch=no&amp;mode=sales&amp;pin=0209110020","sales record")</f>
        <v>sales record</v>
      </c>
      <c r="AC5939" t="s">
        <v>3</v>
      </c>
      <c r="AD5939">
        <v>41.969768</v>
      </c>
      <c r="AE5939">
        <v>-88.106497</v>
      </c>
      <c r="AF5939" s="5" t="str">
        <f>HYPERLINK("https://www.google.com/maps/search/?api=1&amp;query=41.969768,-88.106497","map")</f>
        <v>map</v>
      </c>
    </row>
    <row r="5940" spans="1:32">
      <c r="A5940" t="s">
        <v>5990</v>
      </c>
      <c r="B5940" t="s">
        <v>13515</v>
      </c>
      <c r="C5940" t="s">
        <v>15962</v>
      </c>
      <c r="D5940" t="s">
        <v>16207</v>
      </c>
      <c r="E5940" t="s">
        <v>16218</v>
      </c>
      <c r="F5940" t="s">
        <v>16221</v>
      </c>
      <c r="G5940" t="s">
        <v>16241</v>
      </c>
      <c r="H5940" t="s">
        <v>16241</v>
      </c>
      <c r="I5940" t="s">
        <v>16355</v>
      </c>
      <c r="J5940" t="s">
        <v>16385</v>
      </c>
      <c r="K5940">
        <v>0.131</v>
      </c>
      <c r="L5940">
        <v>5728</v>
      </c>
      <c r="M5940">
        <v>1319</v>
      </c>
      <c r="N5940" t="s">
        <v>16393</v>
      </c>
      <c r="O5940" s="4">
        <v>38692</v>
      </c>
      <c r="P5940" s="4">
        <v>73906</v>
      </c>
      <c r="Q5940" s="4">
        <v>112598</v>
      </c>
      <c r="R5940" s="4">
        <v>337794</v>
      </c>
      <c r="S5940" t="s">
        <v>22199</v>
      </c>
      <c r="T5940" s="6">
        <v>44348</v>
      </c>
      <c r="U5940" s="4">
        <v>305000</v>
      </c>
      <c r="V5940" t="s">
        <v>23739</v>
      </c>
      <c r="W5940" t="s">
        <v>27040</v>
      </c>
      <c r="X5940" t="s">
        <v>3</v>
      </c>
      <c r="AA5940" s="5" t="str">
        <f>HYPERLINK("https://www.zillow.com/homes/724-MIDDLETON-DR-ROSELLE-IL-601722718_rb/","check listing")</f>
        <v>check listing</v>
      </c>
      <c r="AB5940" s="5" t="str">
        <f>HYPERLINK("https://propertylookup.dupagecounty.gov/Datalets/Datalet.aspx?UseSearch=no&amp;mode=sales&amp;pin=0209110021","sales record")</f>
        <v>sales record</v>
      </c>
      <c r="AC5940" t="s">
        <v>3</v>
      </c>
      <c r="AD5940">
        <v>41.969816</v>
      </c>
      <c r="AE5940">
        <v>-88.106307</v>
      </c>
      <c r="AF5940" s="5" t="str">
        <f>HYPERLINK("https://www.google.com/maps/search/?api=1&amp;query=41.969816,-88.106307","map")</f>
        <v>map</v>
      </c>
    </row>
    <row r="5941" spans="1:32">
      <c r="A5941" t="s">
        <v>5991</v>
      </c>
      <c r="B5941" t="s">
        <v>13516</v>
      </c>
      <c r="C5941" t="s">
        <v>15830</v>
      </c>
      <c r="D5941" t="s">
        <v>16207</v>
      </c>
      <c r="E5941" t="s">
        <v>16218</v>
      </c>
      <c r="F5941" t="s">
        <v>16221</v>
      </c>
      <c r="G5941" t="s">
        <v>16241</v>
      </c>
      <c r="H5941" t="s">
        <v>16241</v>
      </c>
      <c r="I5941" t="s">
        <v>16355</v>
      </c>
      <c r="J5941" t="s">
        <v>16385</v>
      </c>
      <c r="K5941">
        <v>0.131</v>
      </c>
      <c r="L5941">
        <v>5713</v>
      </c>
      <c r="M5941">
        <v>1815</v>
      </c>
      <c r="N5941" t="s">
        <v>16393</v>
      </c>
      <c r="O5941" s="4">
        <v>38692</v>
      </c>
      <c r="P5941" s="4">
        <v>90090</v>
      </c>
      <c r="Q5941" s="4">
        <v>128782</v>
      </c>
      <c r="R5941" s="4">
        <v>386346</v>
      </c>
      <c r="S5941" t="s">
        <v>22200</v>
      </c>
      <c r="T5941" s="6">
        <v>39600</v>
      </c>
      <c r="U5941" s="4">
        <v>210000</v>
      </c>
      <c r="V5941" t="s">
        <v>23739</v>
      </c>
      <c r="W5941" t="s">
        <v>22200</v>
      </c>
      <c r="X5941" t="s">
        <v>3</v>
      </c>
      <c r="AA5941" s="5" t="str">
        <f>HYPERLINK("https://www.zillow.com/homes/680-RADNOR-DR-ROSELLE-IL-60172_rb/","check listing")</f>
        <v>check listing</v>
      </c>
      <c r="AB5941" s="5" t="str">
        <f>HYPERLINK("https://propertylookup.dupagecounty.gov/Datalets/Datalet.aspx?UseSearch=no&amp;mode=sales&amp;pin=0209121034","sales record")</f>
        <v>sales record</v>
      </c>
      <c r="AC5941" t="s">
        <v>3</v>
      </c>
      <c r="AD5941">
        <v>41.97052</v>
      </c>
      <c r="AE5941">
        <v>-88.10643</v>
      </c>
      <c r="AF5941" s="5" t="str">
        <f>HYPERLINK("https://www.google.com/maps/search/?api=1&amp;query=41.97052,-88.10643","map")</f>
        <v>map</v>
      </c>
    </row>
    <row r="5942" spans="1:32">
      <c r="A5942" t="s">
        <v>5992</v>
      </c>
      <c r="B5942" t="s">
        <v>13517</v>
      </c>
      <c r="C5942" t="s">
        <v>15830</v>
      </c>
      <c r="D5942" t="s">
        <v>16207</v>
      </c>
      <c r="E5942" t="s">
        <v>16218</v>
      </c>
      <c r="F5942" t="s">
        <v>16221</v>
      </c>
      <c r="G5942" t="s">
        <v>16241</v>
      </c>
      <c r="H5942" t="s">
        <v>16241</v>
      </c>
      <c r="I5942" t="s">
        <v>16355</v>
      </c>
      <c r="J5942" t="s">
        <v>16385</v>
      </c>
      <c r="K5942">
        <v>0.131</v>
      </c>
      <c r="L5942">
        <v>5708</v>
      </c>
      <c r="M5942">
        <v>1319</v>
      </c>
      <c r="N5942" t="s">
        <v>16393</v>
      </c>
      <c r="O5942" s="4">
        <v>38692</v>
      </c>
      <c r="P5942" s="4">
        <v>78663</v>
      </c>
      <c r="Q5942" s="4">
        <v>117355</v>
      </c>
      <c r="R5942" s="4">
        <v>352065</v>
      </c>
      <c r="S5942" t="s">
        <v>22201</v>
      </c>
      <c r="T5942" s="6">
        <v>32325</v>
      </c>
      <c r="U5942" s="4">
        <v>105500</v>
      </c>
      <c r="X5942" t="s">
        <v>3</v>
      </c>
      <c r="AA5942" s="5" t="str">
        <f>HYPERLINK("https://www.zillow.com/homes/855-W-BRYN-MAWR-AVE-ROSELLE-IL-60172_rb/","check listing")</f>
        <v>check listing</v>
      </c>
      <c r="AB5942" s="5" t="str">
        <f>HYPERLINK("https://propertylookup.dupagecounty.gov/Datalets/Datalet.aspx?UseSearch=no&amp;mode=sales&amp;pin=0209112005","sales record")</f>
        <v>sales record</v>
      </c>
      <c r="AC5942" t="s">
        <v>3</v>
      </c>
      <c r="AD5942">
        <v>41.973528</v>
      </c>
      <c r="AE5942">
        <v>-88.101946</v>
      </c>
      <c r="AF5942" s="5" t="str">
        <f>HYPERLINK("https://www.google.com/maps/search/?api=1&amp;query=41.973528,-88.101946","map")</f>
        <v>map</v>
      </c>
    </row>
    <row r="5943" spans="1:32">
      <c r="A5943" t="s">
        <v>5993</v>
      </c>
      <c r="B5943" t="s">
        <v>13518</v>
      </c>
      <c r="C5943" t="s">
        <v>15830</v>
      </c>
      <c r="D5943" t="s">
        <v>16207</v>
      </c>
      <c r="E5943" t="s">
        <v>16218</v>
      </c>
      <c r="F5943" t="s">
        <v>16221</v>
      </c>
      <c r="G5943" t="s">
        <v>16241</v>
      </c>
      <c r="H5943" t="s">
        <v>16241</v>
      </c>
      <c r="I5943" t="s">
        <v>16355</v>
      </c>
      <c r="J5943" t="s">
        <v>16385</v>
      </c>
      <c r="K5943">
        <v>0.131</v>
      </c>
      <c r="L5943">
        <v>5701</v>
      </c>
      <c r="M5943">
        <v>1977</v>
      </c>
      <c r="N5943" t="s">
        <v>16393</v>
      </c>
      <c r="O5943" s="4">
        <v>38692</v>
      </c>
      <c r="P5943" s="4">
        <v>67918</v>
      </c>
      <c r="Q5943" s="4">
        <v>106610</v>
      </c>
      <c r="R5943" s="4">
        <v>319830</v>
      </c>
      <c r="S5943" t="s">
        <v>22202</v>
      </c>
      <c r="T5943" s="6">
        <v>40603</v>
      </c>
      <c r="U5943" s="4">
        <v>185800</v>
      </c>
      <c r="V5943" t="s">
        <v>23739</v>
      </c>
      <c r="W5943" t="s">
        <v>27041</v>
      </c>
      <c r="X5943" t="s">
        <v>3</v>
      </c>
      <c r="AA5943" s="5" t="str">
        <f>HYPERLINK("https://www.zillow.com/homes/525-DOVER-DR-ROSELLE-IL-60172_rb/","check listing")</f>
        <v>check listing</v>
      </c>
      <c r="AB5943" s="5" t="str">
        <f>HYPERLINK("https://propertylookup.dupagecounty.gov/Datalets/Datalet.aspx?UseSearch=no&amp;mode=sales&amp;pin=0208209007","sales record")</f>
        <v>sales record</v>
      </c>
      <c r="AC5943" t="s">
        <v>3</v>
      </c>
      <c r="AD5943">
        <v>41.973355</v>
      </c>
      <c r="AE5943">
        <v>-88.11079100000001</v>
      </c>
      <c r="AF5943" s="5" t="str">
        <f>HYPERLINK("https://www.google.com/maps/search/?api=1&amp;query=41.973355,-88.110791","map")</f>
        <v>map</v>
      </c>
    </row>
    <row r="5944" spans="1:32">
      <c r="A5944" t="s">
        <v>5994</v>
      </c>
      <c r="B5944" t="s">
        <v>13519</v>
      </c>
      <c r="C5944" t="s">
        <v>15830</v>
      </c>
      <c r="D5944" t="s">
        <v>16207</v>
      </c>
      <c r="E5944" t="s">
        <v>16218</v>
      </c>
      <c r="F5944" t="s">
        <v>16221</v>
      </c>
      <c r="G5944" t="s">
        <v>16241</v>
      </c>
      <c r="H5944" t="s">
        <v>16241</v>
      </c>
      <c r="I5944" t="s">
        <v>16355</v>
      </c>
      <c r="J5944" t="s">
        <v>16385</v>
      </c>
      <c r="K5944">
        <v>0.131</v>
      </c>
      <c r="L5944">
        <v>5686</v>
      </c>
      <c r="M5944">
        <v>1452</v>
      </c>
      <c r="N5944" t="s">
        <v>16393</v>
      </c>
      <c r="O5944" s="4">
        <v>38692</v>
      </c>
      <c r="P5944" s="4">
        <v>55606</v>
      </c>
      <c r="Q5944" s="4">
        <v>94298</v>
      </c>
      <c r="R5944" s="4">
        <v>282894</v>
      </c>
      <c r="S5944" t="s">
        <v>22203</v>
      </c>
      <c r="T5944" s="6">
        <v>41030</v>
      </c>
      <c r="U5944" s="4">
        <v>98000</v>
      </c>
      <c r="V5944" t="s">
        <v>16232</v>
      </c>
      <c r="W5944" t="s">
        <v>27042</v>
      </c>
      <c r="X5944" t="s">
        <v>3</v>
      </c>
      <c r="AA5944" s="5" t="str">
        <f>HYPERLINK("https://www.zillow.com/homes/710-MIDDLETON-DR-ROSELLE-IL-60172_rb/","check listing")</f>
        <v>check listing</v>
      </c>
      <c r="AB5944" s="5" t="str">
        <f>HYPERLINK("https://propertylookup.dupagecounty.gov/Datalets/Datalet.aspx?UseSearch=no&amp;mode=sales&amp;pin=0209110024","sales record")</f>
        <v>sales record</v>
      </c>
      <c r="AC5944" t="s">
        <v>3</v>
      </c>
      <c r="AD5944">
        <v>41.969925</v>
      </c>
      <c r="AE5944">
        <v>-88.105763</v>
      </c>
      <c r="AF5944" s="5" t="str">
        <f>HYPERLINK("https://www.google.com/maps/search/?api=1&amp;query=41.969925,-88.105763","map")</f>
        <v>map</v>
      </c>
    </row>
    <row r="5945" spans="1:32">
      <c r="A5945" t="s">
        <v>5995</v>
      </c>
      <c r="B5945" t="s">
        <v>13520</v>
      </c>
      <c r="C5945" t="s">
        <v>15913</v>
      </c>
      <c r="D5945" t="s">
        <v>16207</v>
      </c>
      <c r="E5945" t="s">
        <v>16218</v>
      </c>
      <c r="F5945" t="s">
        <v>16221</v>
      </c>
      <c r="G5945" t="s">
        <v>16241</v>
      </c>
      <c r="H5945" t="s">
        <v>16241</v>
      </c>
      <c r="I5945" t="s">
        <v>16355</v>
      </c>
      <c r="J5945" t="s">
        <v>16385</v>
      </c>
      <c r="K5945">
        <v>0.13</v>
      </c>
      <c r="L5945">
        <v>5680</v>
      </c>
      <c r="M5945">
        <v>1557</v>
      </c>
      <c r="N5945" t="s">
        <v>16393</v>
      </c>
      <c r="O5945" s="4">
        <v>38692</v>
      </c>
      <c r="P5945" s="4">
        <v>78663</v>
      </c>
      <c r="Q5945" s="4">
        <v>117355</v>
      </c>
      <c r="R5945" s="4">
        <v>352065</v>
      </c>
      <c r="S5945" t="s">
        <v>22204</v>
      </c>
      <c r="T5945" s="6">
        <v>44348</v>
      </c>
      <c r="U5945" s="4">
        <v>285900</v>
      </c>
      <c r="V5945" t="s">
        <v>16232</v>
      </c>
      <c r="W5945" t="s">
        <v>22204</v>
      </c>
      <c r="X5945" t="s">
        <v>3</v>
      </c>
      <c r="AA5945" s="5" t="str">
        <f>HYPERLINK("https://www.zillow.com/homes/824-EDENWOOD-DR-ROSELLE-IL-601722877_rb/","check listing")</f>
        <v>check listing</v>
      </c>
      <c r="AB5945" s="5" t="str">
        <f>HYPERLINK("https://propertylookup.dupagecounty.gov/Datalets/Datalet.aspx?UseSearch=no&amp;mode=sales&amp;pin=0209112020","sales record")</f>
        <v>sales record</v>
      </c>
      <c r="AC5945" t="s">
        <v>3</v>
      </c>
      <c r="AD5945">
        <v>41.973111</v>
      </c>
      <c r="AE5945">
        <v>-88.10121100000001</v>
      </c>
      <c r="AF5945" s="5" t="str">
        <f>HYPERLINK("https://www.google.com/maps/search/?api=1&amp;query=41.973111,-88.101211","map")</f>
        <v>map</v>
      </c>
    </row>
    <row r="5946" spans="1:32">
      <c r="A5946" t="s">
        <v>5996</v>
      </c>
      <c r="B5946" t="s">
        <v>13521</v>
      </c>
      <c r="C5946" t="s">
        <v>15830</v>
      </c>
      <c r="D5946" t="s">
        <v>16207</v>
      </c>
      <c r="E5946" t="s">
        <v>16218</v>
      </c>
      <c r="F5946" t="s">
        <v>16221</v>
      </c>
      <c r="G5946" t="s">
        <v>16241</v>
      </c>
      <c r="H5946" t="s">
        <v>16241</v>
      </c>
      <c r="I5946" t="s">
        <v>16355</v>
      </c>
      <c r="J5946" t="s">
        <v>16385</v>
      </c>
      <c r="K5946">
        <v>0.13</v>
      </c>
      <c r="L5946">
        <v>5676</v>
      </c>
      <c r="M5946">
        <v>1573</v>
      </c>
      <c r="N5946" t="s">
        <v>16393</v>
      </c>
      <c r="O5946" s="4">
        <v>38692</v>
      </c>
      <c r="P5946" s="4">
        <v>75974</v>
      </c>
      <c r="Q5946" s="4">
        <v>114666</v>
      </c>
      <c r="R5946" s="4">
        <v>343998</v>
      </c>
      <c r="S5946" t="s">
        <v>22205</v>
      </c>
      <c r="T5946" s="6">
        <v>32690</v>
      </c>
      <c r="U5946" s="4">
        <v>105000</v>
      </c>
      <c r="X5946" t="s">
        <v>3</v>
      </c>
      <c r="AA5946" s="5" t="str">
        <f>HYPERLINK("https://www.zillow.com/homes/435-DOVER-DR-ROSELLE-IL-60172_rb/","check listing")</f>
        <v>check listing</v>
      </c>
      <c r="AB5946" s="5" t="str">
        <f>HYPERLINK("https://propertylookup.dupagecounty.gov/Datalets/Datalet.aspx?UseSearch=no&amp;mode=sales&amp;pin=0208208003","sales record")</f>
        <v>sales record</v>
      </c>
      <c r="AC5946" t="s">
        <v>3</v>
      </c>
      <c r="AD5946">
        <v>41.974316</v>
      </c>
      <c r="AE5946">
        <v>-88.111119</v>
      </c>
      <c r="AF5946" s="5" t="str">
        <f>HYPERLINK("https://www.google.com/maps/search/?api=1&amp;query=41.974316,-88.111119","map")</f>
        <v>map</v>
      </c>
    </row>
    <row r="5947" spans="1:32">
      <c r="A5947" t="s">
        <v>5997</v>
      </c>
      <c r="B5947" t="s">
        <v>13522</v>
      </c>
      <c r="C5947" t="s">
        <v>15900</v>
      </c>
      <c r="D5947" t="s">
        <v>16207</v>
      </c>
      <c r="E5947" t="s">
        <v>16218</v>
      </c>
      <c r="F5947" t="s">
        <v>16221</v>
      </c>
      <c r="G5947" t="s">
        <v>16241</v>
      </c>
      <c r="H5947" t="s">
        <v>16241</v>
      </c>
      <c r="I5947" t="s">
        <v>16355</v>
      </c>
      <c r="J5947" t="s">
        <v>16385</v>
      </c>
      <c r="K5947">
        <v>0.13</v>
      </c>
      <c r="L5947">
        <v>5676</v>
      </c>
      <c r="M5947">
        <v>1584</v>
      </c>
      <c r="N5947" t="s">
        <v>16393</v>
      </c>
      <c r="O5947" s="4">
        <v>38692</v>
      </c>
      <c r="P5947" s="4">
        <v>58176</v>
      </c>
      <c r="Q5947" s="4">
        <v>96868</v>
      </c>
      <c r="R5947" s="4">
        <v>290604</v>
      </c>
      <c r="S5947" t="s">
        <v>22206</v>
      </c>
      <c r="T5947" s="6">
        <v>43009</v>
      </c>
      <c r="U5947" s="4">
        <v>195000</v>
      </c>
      <c r="V5947" t="s">
        <v>23739</v>
      </c>
      <c r="W5947" t="s">
        <v>27043</v>
      </c>
      <c r="X5947" t="s">
        <v>3</v>
      </c>
      <c r="AA5947" s="5" t="str">
        <f>HYPERLINK("https://www.zillow.com/homes/770-MEADE-LN-ROSELLE-IL-601722711_rb/","check listing")</f>
        <v>check listing</v>
      </c>
      <c r="AB5947" s="5" t="str">
        <f>HYPERLINK("https://propertylookup.dupagecounty.gov/Datalets/Datalet.aspx?UseSearch=no&amp;mode=sales&amp;pin=0209117015","sales record")</f>
        <v>sales record</v>
      </c>
      <c r="AC5947" t="s">
        <v>3</v>
      </c>
      <c r="AD5947">
        <v>41.96874</v>
      </c>
      <c r="AE5947">
        <v>-88.106053</v>
      </c>
      <c r="AF5947" s="5" t="str">
        <f>HYPERLINK("https://www.google.com/maps/search/?api=1&amp;query=41.96874,-88.106053","map")</f>
        <v>map</v>
      </c>
    </row>
    <row r="5948" spans="1:32">
      <c r="A5948" t="s">
        <v>5998</v>
      </c>
      <c r="B5948" t="s">
        <v>13523</v>
      </c>
      <c r="C5948" t="s">
        <v>15895</v>
      </c>
      <c r="D5948" t="s">
        <v>16207</v>
      </c>
      <c r="E5948" t="s">
        <v>16218</v>
      </c>
      <c r="F5948" t="s">
        <v>16221</v>
      </c>
      <c r="G5948" t="s">
        <v>16241</v>
      </c>
      <c r="H5948" t="s">
        <v>16241</v>
      </c>
      <c r="I5948" t="s">
        <v>16355</v>
      </c>
      <c r="J5948" t="s">
        <v>16385</v>
      </c>
      <c r="K5948">
        <v>0.13</v>
      </c>
      <c r="L5948">
        <v>5674</v>
      </c>
      <c r="M5948">
        <v>1916</v>
      </c>
      <c r="N5948" t="s">
        <v>16393</v>
      </c>
      <c r="O5948" s="4">
        <v>38692</v>
      </c>
      <c r="P5948" s="4">
        <v>76069</v>
      </c>
      <c r="Q5948" s="4">
        <v>114761</v>
      </c>
      <c r="R5948" s="4">
        <v>344283</v>
      </c>
      <c r="S5948" t="s">
        <v>22207</v>
      </c>
      <c r="T5948" s="6">
        <v>38534</v>
      </c>
      <c r="U5948" s="4">
        <v>279900</v>
      </c>
      <c r="V5948" t="s">
        <v>23739</v>
      </c>
      <c r="W5948" t="s">
        <v>27044</v>
      </c>
      <c r="X5948" t="s">
        <v>3</v>
      </c>
      <c r="AA5948" s="5" t="str">
        <f>HYPERLINK("https://www.zillow.com/homes/1010-WOODSIDE-DR-ROSELLE-IL-601722730_rb/","check listing")</f>
        <v>check listing</v>
      </c>
      <c r="AB5948" s="5" t="str">
        <f>HYPERLINK("https://propertylookup.dupagecounty.gov/Datalets/Datalet.aspx?UseSearch=no&amp;mode=sales&amp;pin=0209304010","sales record")</f>
        <v>sales record</v>
      </c>
      <c r="AC5948" t="s">
        <v>3</v>
      </c>
      <c r="AD5948">
        <v>41.967774</v>
      </c>
      <c r="AE5948">
        <v>-88.105801</v>
      </c>
      <c r="AF5948" s="5" t="str">
        <f>HYPERLINK("https://www.google.com/maps/search/?api=1&amp;query=41.967774,-88.105801","map")</f>
        <v>map</v>
      </c>
    </row>
    <row r="5949" spans="1:32">
      <c r="A5949" t="s">
        <v>5999</v>
      </c>
      <c r="B5949" t="s">
        <v>13524</v>
      </c>
      <c r="C5949" t="s">
        <v>15953</v>
      </c>
      <c r="D5949" t="s">
        <v>16207</v>
      </c>
      <c r="E5949" t="s">
        <v>16218</v>
      </c>
      <c r="F5949" t="s">
        <v>16221</v>
      </c>
      <c r="G5949" t="s">
        <v>16241</v>
      </c>
      <c r="H5949" t="s">
        <v>16241</v>
      </c>
      <c r="I5949" t="s">
        <v>16355</v>
      </c>
      <c r="J5949" t="s">
        <v>16385</v>
      </c>
      <c r="K5949">
        <v>0.13</v>
      </c>
      <c r="L5949">
        <v>5671</v>
      </c>
      <c r="M5949">
        <v>1814</v>
      </c>
      <c r="N5949" t="s">
        <v>16393</v>
      </c>
      <c r="O5949" s="4">
        <v>38692</v>
      </c>
      <c r="P5949" s="4">
        <v>77109</v>
      </c>
      <c r="Q5949" s="4">
        <v>115801</v>
      </c>
      <c r="R5949" s="4">
        <v>347403</v>
      </c>
      <c r="S5949" t="s">
        <v>22208</v>
      </c>
      <c r="T5949" s="6">
        <v>44841</v>
      </c>
      <c r="U5949" s="4">
        <v>310000</v>
      </c>
      <c r="V5949" t="s">
        <v>23739</v>
      </c>
      <c r="W5949" t="s">
        <v>27045</v>
      </c>
      <c r="X5949" t="s">
        <v>3</v>
      </c>
      <c r="AA5949" s="5" t="str">
        <f>HYPERLINK("https://www.zillow.com/homes/420-S-GARDEN-AVE-ROSELLE-IL-601722813_rb/","check listing")</f>
        <v>check listing</v>
      </c>
      <c r="AB5949" s="5" t="str">
        <f>HYPERLINK("https://propertylookup.dupagecounty.gov/Datalets/Datalet.aspx?UseSearch=no&amp;mode=sales&amp;pin=0209108004","sales record")</f>
        <v>sales record</v>
      </c>
      <c r="AC5949" t="s">
        <v>3</v>
      </c>
      <c r="AD5949">
        <v>41.974984</v>
      </c>
      <c r="AE5949">
        <v>-88.104567</v>
      </c>
      <c r="AF5949" s="5" t="str">
        <f>HYPERLINK("https://www.google.com/maps/search/?api=1&amp;query=41.974984,-88.104567","map")</f>
        <v>map</v>
      </c>
    </row>
    <row r="5950" spans="1:32">
      <c r="A5950" t="s">
        <v>6000</v>
      </c>
      <c r="B5950" t="s">
        <v>13525</v>
      </c>
      <c r="C5950" t="s">
        <v>15830</v>
      </c>
      <c r="D5950" t="s">
        <v>16207</v>
      </c>
      <c r="E5950" t="s">
        <v>16218</v>
      </c>
      <c r="F5950" t="s">
        <v>16221</v>
      </c>
      <c r="G5950" t="s">
        <v>16241</v>
      </c>
      <c r="H5950" t="s">
        <v>16241</v>
      </c>
      <c r="I5950" t="s">
        <v>16355</v>
      </c>
      <c r="J5950" t="s">
        <v>16385</v>
      </c>
      <c r="K5950">
        <v>0.13</v>
      </c>
      <c r="L5950">
        <v>5663</v>
      </c>
      <c r="M5950">
        <v>1806</v>
      </c>
      <c r="N5950" t="s">
        <v>16393</v>
      </c>
      <c r="O5950" s="4">
        <v>38692</v>
      </c>
      <c r="P5950" s="4">
        <v>80467</v>
      </c>
      <c r="Q5950" s="4">
        <v>119159</v>
      </c>
      <c r="R5950" s="4">
        <v>357477</v>
      </c>
      <c r="S5950" t="s">
        <v>22209</v>
      </c>
      <c r="T5950" s="6">
        <v>44044</v>
      </c>
      <c r="U5950" s="4">
        <v>280000</v>
      </c>
      <c r="V5950" t="s">
        <v>23739</v>
      </c>
      <c r="W5950" t="s">
        <v>27046</v>
      </c>
      <c r="X5950" t="s">
        <v>3</v>
      </c>
      <c r="AA5950" s="5" t="str">
        <f>HYPERLINK("https://www.zillow.com/homes/1165-SINGLETON-DR-ROSELLE-IL-60172_rb/","check listing")</f>
        <v>check listing</v>
      </c>
      <c r="AB5950" s="5" t="str">
        <f>HYPERLINK("https://propertylookup.dupagecounty.gov/Datalets/Datalet.aspx?UseSearch=no&amp;mode=sales&amp;pin=0204313004","sales record")</f>
        <v>sales record</v>
      </c>
      <c r="AC5950" t="s">
        <v>3</v>
      </c>
      <c r="AD5950">
        <v>41.97896</v>
      </c>
      <c r="AE5950">
        <v>-88.109796</v>
      </c>
      <c r="AF5950" s="5" t="str">
        <f>HYPERLINK("https://www.google.com/maps/search/?api=1&amp;query=41.97896,-88.109796","map")</f>
        <v>map</v>
      </c>
    </row>
    <row r="5951" spans="1:32">
      <c r="A5951" t="s">
        <v>6001</v>
      </c>
      <c r="B5951" t="s">
        <v>13526</v>
      </c>
      <c r="C5951" t="s">
        <v>15830</v>
      </c>
      <c r="D5951" t="s">
        <v>16207</v>
      </c>
      <c r="E5951" t="s">
        <v>16218</v>
      </c>
      <c r="F5951" t="s">
        <v>16221</v>
      </c>
      <c r="G5951" t="s">
        <v>16241</v>
      </c>
      <c r="H5951" t="s">
        <v>16241</v>
      </c>
      <c r="I5951" t="s">
        <v>16355</v>
      </c>
      <c r="J5951" t="s">
        <v>16385</v>
      </c>
      <c r="K5951">
        <v>0.13</v>
      </c>
      <c r="L5951">
        <v>5656</v>
      </c>
      <c r="M5951">
        <v>1649</v>
      </c>
      <c r="N5951" t="s">
        <v>16393</v>
      </c>
      <c r="O5951" s="4">
        <v>38692</v>
      </c>
      <c r="P5951" s="4">
        <v>75758</v>
      </c>
      <c r="Q5951" s="4">
        <v>114450</v>
      </c>
      <c r="R5951" s="4">
        <v>343350</v>
      </c>
      <c r="S5951" t="s">
        <v>22210</v>
      </c>
      <c r="T5951" s="6">
        <v>36039</v>
      </c>
      <c r="U5951" s="4">
        <v>146000</v>
      </c>
      <c r="X5951" t="s">
        <v>3</v>
      </c>
      <c r="AA5951" s="5" t="str">
        <f>HYPERLINK("https://www.zillow.com/homes/430-GARDEN-AVE-ROSELLE-IL-60172_rb/","check listing")</f>
        <v>check listing</v>
      </c>
      <c r="AB5951" s="5" t="str">
        <f>HYPERLINK("https://propertylookup.dupagecounty.gov/Datalets/Datalet.aspx?UseSearch=no&amp;mode=sales&amp;pin=0209108005","sales record")</f>
        <v>sales record</v>
      </c>
      <c r="AC5951" t="s">
        <v>3</v>
      </c>
      <c r="AD5951">
        <v>41.974853</v>
      </c>
      <c r="AE5951">
        <v>-88.104522</v>
      </c>
      <c r="AF5951" s="5" t="str">
        <f>HYPERLINK("https://www.google.com/maps/search/?api=1&amp;query=41.974853,-88.104522","map")</f>
        <v>map</v>
      </c>
    </row>
    <row r="5952" spans="1:32">
      <c r="A5952" t="s">
        <v>6002</v>
      </c>
      <c r="B5952" t="s">
        <v>13527</v>
      </c>
      <c r="C5952" t="s">
        <v>15830</v>
      </c>
      <c r="D5952" t="s">
        <v>16207</v>
      </c>
      <c r="E5952" t="s">
        <v>16218</v>
      </c>
      <c r="F5952" t="s">
        <v>16221</v>
      </c>
      <c r="G5952" t="s">
        <v>16241</v>
      </c>
      <c r="H5952" t="s">
        <v>16241</v>
      </c>
      <c r="I5952" t="s">
        <v>16355</v>
      </c>
      <c r="J5952" t="s">
        <v>16385</v>
      </c>
      <c r="K5952">
        <v>0.13</v>
      </c>
      <c r="L5952">
        <v>5654</v>
      </c>
      <c r="M5952">
        <v>1582</v>
      </c>
      <c r="N5952" t="s">
        <v>16393</v>
      </c>
      <c r="O5952" s="4">
        <v>38692</v>
      </c>
      <c r="P5952" s="4">
        <v>77599</v>
      </c>
      <c r="Q5952" s="4">
        <v>116291</v>
      </c>
      <c r="R5952" s="4">
        <v>348873</v>
      </c>
      <c r="S5952" t="s">
        <v>22211</v>
      </c>
      <c r="T5952" s="6">
        <v>42156</v>
      </c>
      <c r="U5952" s="4">
        <v>196800</v>
      </c>
      <c r="V5952" t="s">
        <v>23739</v>
      </c>
      <c r="W5952" t="s">
        <v>22211</v>
      </c>
      <c r="X5952" t="s">
        <v>3</v>
      </c>
      <c r="AA5952" s="5" t="str">
        <f>HYPERLINK("https://www.zillow.com/homes/540-HAMPTON-LN-ROSELLE-IL-60172_rb/","check listing")</f>
        <v>check listing</v>
      </c>
      <c r="AB5952" s="5" t="str">
        <f>HYPERLINK("https://propertylookup.dupagecounty.gov/Datalets/Datalet.aspx?UseSearch=no&amp;mode=sales&amp;pin=0209103004","sales record")</f>
        <v>sales record</v>
      </c>
      <c r="AC5952" t="s">
        <v>3</v>
      </c>
      <c r="AD5952">
        <v>41.97304</v>
      </c>
      <c r="AE5952">
        <v>-88.110302</v>
      </c>
      <c r="AF5952" s="5" t="str">
        <f>HYPERLINK("https://www.google.com/maps/search/?api=1&amp;query=41.97304,-88.110302","map")</f>
        <v>map</v>
      </c>
    </row>
    <row r="5953" spans="1:32">
      <c r="A5953" t="s">
        <v>6003</v>
      </c>
      <c r="B5953" t="s">
        <v>13528</v>
      </c>
      <c r="C5953" t="s">
        <v>15963</v>
      </c>
      <c r="D5953" t="s">
        <v>16207</v>
      </c>
      <c r="E5953" t="s">
        <v>16218</v>
      </c>
      <c r="F5953" t="s">
        <v>16221</v>
      </c>
      <c r="G5953" t="s">
        <v>16241</v>
      </c>
      <c r="H5953" t="s">
        <v>16241</v>
      </c>
      <c r="I5953" t="s">
        <v>16355</v>
      </c>
      <c r="J5953" t="s">
        <v>16385</v>
      </c>
      <c r="K5953">
        <v>0.13</v>
      </c>
      <c r="L5953">
        <v>5650</v>
      </c>
      <c r="N5953" t="s">
        <v>16393</v>
      </c>
      <c r="O5953" s="4">
        <v>38692</v>
      </c>
      <c r="P5953" s="4">
        <v>65646</v>
      </c>
      <c r="Q5953" s="4">
        <v>104338</v>
      </c>
      <c r="R5953" s="4">
        <v>313014</v>
      </c>
      <c r="S5953" t="s">
        <v>22212</v>
      </c>
      <c r="T5953" s="6">
        <v>42552</v>
      </c>
      <c r="U5953" s="4">
        <v>199000</v>
      </c>
      <c r="V5953" t="s">
        <v>23739</v>
      </c>
      <c r="W5953" t="s">
        <v>27047</v>
      </c>
      <c r="X5953" t="s">
        <v>3</v>
      </c>
      <c r="AA5953" s="5" t="str">
        <f>HYPERLINK("https://www.zillow.com/homes/600-S-GARDEN-AVE-ROSELLE-IL-601722829_rb/","check listing")</f>
        <v>check listing</v>
      </c>
      <c r="AB5953" s="5" t="str">
        <f>HYPERLINK("https://propertylookup.dupagecounty.gov/Datalets/Datalet.aspx?UseSearch=no&amp;mode=sales&amp;pin=0209101033","sales record")</f>
        <v>sales record</v>
      </c>
      <c r="AC5953" t="s">
        <v>3</v>
      </c>
      <c r="AD5953">
        <v>41.971982</v>
      </c>
      <c r="AE5953">
        <v>-88.102816</v>
      </c>
      <c r="AF5953" s="5" t="str">
        <f>HYPERLINK("https://www.google.com/maps/search/?api=1&amp;query=41.971982,-88.102816","map")</f>
        <v>map</v>
      </c>
    </row>
    <row r="5954" spans="1:32">
      <c r="A5954" t="s">
        <v>6004</v>
      </c>
      <c r="B5954" t="s">
        <v>13529</v>
      </c>
      <c r="C5954" t="s">
        <v>15830</v>
      </c>
      <c r="D5954" t="s">
        <v>16207</v>
      </c>
      <c r="E5954" t="s">
        <v>16218</v>
      </c>
      <c r="F5954" t="s">
        <v>16221</v>
      </c>
      <c r="G5954" t="s">
        <v>16241</v>
      </c>
      <c r="H5954" t="s">
        <v>16241</v>
      </c>
      <c r="I5954" t="s">
        <v>16355</v>
      </c>
      <c r="J5954" t="s">
        <v>16385</v>
      </c>
      <c r="K5954">
        <v>0.13</v>
      </c>
      <c r="L5954">
        <v>5648</v>
      </c>
      <c r="M5954">
        <v>1450</v>
      </c>
      <c r="N5954" t="s">
        <v>16393</v>
      </c>
      <c r="O5954" s="4">
        <v>38692</v>
      </c>
      <c r="P5954" s="4">
        <v>76189</v>
      </c>
      <c r="Q5954" s="4">
        <v>114881</v>
      </c>
      <c r="R5954" s="4">
        <v>344643</v>
      </c>
      <c r="S5954" t="s">
        <v>22213</v>
      </c>
      <c r="T5954" s="6">
        <v>28672</v>
      </c>
      <c r="U5954" s="4">
        <v>63180</v>
      </c>
      <c r="X5954" t="s">
        <v>3</v>
      </c>
      <c r="AA5954" s="5" t="str">
        <f>HYPERLINK("https://www.zillow.com/homes/1101-SINGLETON-DR-ROSELLE-IL-60172_rb/","check listing")</f>
        <v>check listing</v>
      </c>
      <c r="AB5954" s="5" t="str">
        <f>HYPERLINK("https://propertylookup.dupagecounty.gov/Datalets/Datalet.aspx?UseSearch=no&amp;mode=sales&amp;pin=0204309065","sales record")</f>
        <v>sales record</v>
      </c>
      <c r="AC5954" t="s">
        <v>27873</v>
      </c>
      <c r="AD5954">
        <v>41.978599</v>
      </c>
      <c r="AE5954">
        <v>-88.108283</v>
      </c>
      <c r="AF5954" s="5" t="str">
        <f>HYPERLINK("https://www.google.com/maps/search/?api=1&amp;query=41.978599,-88.108283","map")</f>
        <v>map</v>
      </c>
    </row>
    <row r="5955" spans="1:32">
      <c r="A5955" t="s">
        <v>6005</v>
      </c>
      <c r="B5955" t="s">
        <v>13530</v>
      </c>
      <c r="C5955" t="s">
        <v>15901</v>
      </c>
      <c r="D5955" t="s">
        <v>16207</v>
      </c>
      <c r="E5955" t="s">
        <v>16218</v>
      </c>
      <c r="F5955" t="s">
        <v>16221</v>
      </c>
      <c r="G5955" t="s">
        <v>16241</v>
      </c>
      <c r="H5955" t="s">
        <v>16241</v>
      </c>
      <c r="I5955" t="s">
        <v>16355</v>
      </c>
      <c r="J5955" t="s">
        <v>16385</v>
      </c>
      <c r="K5955">
        <v>0.13</v>
      </c>
      <c r="L5955">
        <v>5644</v>
      </c>
      <c r="M5955">
        <v>1979</v>
      </c>
      <c r="N5955" t="s">
        <v>16393</v>
      </c>
      <c r="O5955" s="4">
        <v>38692</v>
      </c>
      <c r="P5955" s="4">
        <v>86791</v>
      </c>
      <c r="Q5955" s="4">
        <v>125483</v>
      </c>
      <c r="R5955" s="4">
        <v>376449</v>
      </c>
      <c r="S5955" t="s">
        <v>22214</v>
      </c>
      <c r="T5955" s="6">
        <v>43647</v>
      </c>
      <c r="U5955" s="4">
        <v>268000</v>
      </c>
      <c r="V5955" t="s">
        <v>23739</v>
      </c>
      <c r="W5955" t="s">
        <v>22214</v>
      </c>
      <c r="X5955" t="s">
        <v>3</v>
      </c>
      <c r="AA5955" s="5" t="str">
        <f>HYPERLINK("https://www.zillow.com/homes/605-STAFFORD-DR-ROSELLE-IL-601722748_rb/","check listing")</f>
        <v>check listing</v>
      </c>
      <c r="AB5955" s="5" t="str">
        <f>HYPERLINK("https://propertylookup.dupagecounty.gov/Datalets/Datalet.aspx?UseSearch=no&amp;mode=sales&amp;pin=0209121006","sales record")</f>
        <v>sales record</v>
      </c>
      <c r="AC5955" t="s">
        <v>3</v>
      </c>
      <c r="AD5955">
        <v>41.971904</v>
      </c>
      <c r="AE5955">
        <v>-88.107929</v>
      </c>
      <c r="AF5955" s="5" t="str">
        <f>HYPERLINK("https://www.google.com/maps/search/?api=1&amp;query=41.971904,-88.107929","map")</f>
        <v>map</v>
      </c>
    </row>
    <row r="5956" spans="1:32">
      <c r="A5956" t="s">
        <v>6006</v>
      </c>
      <c r="B5956" t="s">
        <v>13531</v>
      </c>
      <c r="C5956" t="s">
        <v>15953</v>
      </c>
      <c r="D5956" t="s">
        <v>16207</v>
      </c>
      <c r="E5956" t="s">
        <v>16218</v>
      </c>
      <c r="F5956" t="s">
        <v>16221</v>
      </c>
      <c r="G5956" t="s">
        <v>16241</v>
      </c>
      <c r="H5956" t="s">
        <v>16241</v>
      </c>
      <c r="I5956" t="s">
        <v>16355</v>
      </c>
      <c r="J5956" t="s">
        <v>16385</v>
      </c>
      <c r="K5956">
        <v>0.13</v>
      </c>
      <c r="L5956">
        <v>5642</v>
      </c>
      <c r="M5956">
        <v>1715</v>
      </c>
      <c r="N5956" t="s">
        <v>16393</v>
      </c>
      <c r="O5956" s="4">
        <v>38692</v>
      </c>
      <c r="P5956" s="4">
        <v>79942</v>
      </c>
      <c r="Q5956" s="4">
        <v>118634</v>
      </c>
      <c r="R5956" s="4">
        <v>355902</v>
      </c>
      <c r="S5956" t="s">
        <v>22215</v>
      </c>
      <c r="T5956" s="6">
        <v>43678</v>
      </c>
      <c r="U5956" s="4">
        <v>277000</v>
      </c>
      <c r="V5956" t="s">
        <v>23739</v>
      </c>
      <c r="W5956" t="s">
        <v>22215</v>
      </c>
      <c r="X5956" t="s">
        <v>3</v>
      </c>
      <c r="AA5956" s="5" t="str">
        <f>HYPERLINK("https://www.zillow.com/homes/440-S-GARDEN-AVE-ROSELLE-IL-601722813_rb/","check listing")</f>
        <v>check listing</v>
      </c>
      <c r="AB5956" s="5" t="str">
        <f>HYPERLINK("https://propertylookup.dupagecounty.gov/Datalets/Datalet.aspx?UseSearch=no&amp;mode=sales&amp;pin=0209108006","sales record")</f>
        <v>sales record</v>
      </c>
      <c r="AC5956" t="s">
        <v>3</v>
      </c>
      <c r="AD5956">
        <v>41.974631</v>
      </c>
      <c r="AE5956">
        <v>-88.10449</v>
      </c>
      <c r="AF5956" s="5" t="str">
        <f>HYPERLINK("https://www.google.com/maps/search/?api=1&amp;query=41.974631,-88.10449","map")</f>
        <v>map</v>
      </c>
    </row>
    <row r="5957" spans="1:32">
      <c r="A5957" t="s">
        <v>6007</v>
      </c>
      <c r="B5957" t="s">
        <v>13532</v>
      </c>
      <c r="C5957" t="s">
        <v>15830</v>
      </c>
      <c r="D5957" t="s">
        <v>16207</v>
      </c>
      <c r="E5957" t="s">
        <v>16218</v>
      </c>
      <c r="F5957" t="s">
        <v>16221</v>
      </c>
      <c r="G5957" t="s">
        <v>16241</v>
      </c>
      <c r="H5957" t="s">
        <v>16241</v>
      </c>
      <c r="I5957" t="s">
        <v>16355</v>
      </c>
      <c r="J5957" t="s">
        <v>16385</v>
      </c>
      <c r="K5957">
        <v>0.13</v>
      </c>
      <c r="L5957">
        <v>5642</v>
      </c>
      <c r="M5957">
        <v>1726</v>
      </c>
      <c r="N5957" t="s">
        <v>16393</v>
      </c>
      <c r="O5957" s="4">
        <v>38692</v>
      </c>
      <c r="P5957" s="4">
        <v>77599</v>
      </c>
      <c r="Q5957" s="4">
        <v>116291</v>
      </c>
      <c r="R5957" s="4">
        <v>348873</v>
      </c>
      <c r="S5957" t="s">
        <v>22216</v>
      </c>
      <c r="T5957" s="6">
        <v>43160</v>
      </c>
      <c r="U5957" s="4">
        <v>250000</v>
      </c>
      <c r="V5957" t="s">
        <v>23739</v>
      </c>
      <c r="W5957" t="s">
        <v>22216</v>
      </c>
      <c r="X5957" t="s">
        <v>3</v>
      </c>
      <c r="AA5957" s="5" t="str">
        <f>HYPERLINK("https://www.zillow.com/homes/489-HAMPTON-LN-ROSELLE-IL-60172_rb/","check listing")</f>
        <v>check listing</v>
      </c>
      <c r="AB5957" s="5" t="str">
        <f>HYPERLINK("https://propertylookup.dupagecounty.gov/Datalets/Datalet.aspx?UseSearch=no&amp;mode=sales&amp;pin=0209104002","sales record")</f>
        <v>sales record</v>
      </c>
      <c r="AC5957" t="s">
        <v>3</v>
      </c>
      <c r="AD5957">
        <v>41.973836</v>
      </c>
      <c r="AE5957">
        <v>-88.110255</v>
      </c>
      <c r="AF5957" s="5" t="str">
        <f>HYPERLINK("https://www.google.com/maps/search/?api=1&amp;query=41.973836,-88.110255","map")</f>
        <v>map</v>
      </c>
    </row>
    <row r="5958" spans="1:32">
      <c r="A5958" t="s">
        <v>6008</v>
      </c>
      <c r="B5958" t="s">
        <v>13533</v>
      </c>
      <c r="C5958" t="s">
        <v>15964</v>
      </c>
      <c r="D5958" t="s">
        <v>16207</v>
      </c>
      <c r="E5958" t="s">
        <v>16218</v>
      </c>
      <c r="F5958" t="s">
        <v>16221</v>
      </c>
      <c r="G5958" t="s">
        <v>16241</v>
      </c>
      <c r="H5958" t="s">
        <v>16241</v>
      </c>
      <c r="I5958" t="s">
        <v>16355</v>
      </c>
      <c r="J5958" t="s">
        <v>16385</v>
      </c>
      <c r="K5958">
        <v>0.129</v>
      </c>
      <c r="L5958">
        <v>5635</v>
      </c>
      <c r="M5958">
        <v>1320</v>
      </c>
      <c r="N5958" t="s">
        <v>16393</v>
      </c>
      <c r="O5958" s="4">
        <v>38692</v>
      </c>
      <c r="P5958" s="4">
        <v>77599</v>
      </c>
      <c r="Q5958" s="4">
        <v>116291</v>
      </c>
      <c r="R5958" s="4">
        <v>348873</v>
      </c>
      <c r="S5958" t="s">
        <v>22217</v>
      </c>
      <c r="T5958" s="6">
        <v>44348</v>
      </c>
      <c r="U5958" s="4">
        <v>275000</v>
      </c>
      <c r="V5958" t="s">
        <v>23739</v>
      </c>
      <c r="W5958" t="s">
        <v>27048</v>
      </c>
      <c r="X5958" t="s">
        <v>3</v>
      </c>
      <c r="AA5958" s="5" t="str">
        <f>HYPERLINK("https://www.zillow.com/homes/225-RODENBURG-RD-ROSELLE-IL-601721644_rb/","check listing")</f>
        <v>check listing</v>
      </c>
      <c r="AB5958" s="5" t="str">
        <f>HYPERLINK("https://propertylookup.dupagecounty.gov/Datalets/Datalet.aspx?UseSearch=no&amp;mode=sales&amp;pin=0204313012","sales record")</f>
        <v>sales record</v>
      </c>
      <c r="AC5958" t="s">
        <v>3</v>
      </c>
      <c r="AD5958">
        <v>41.978659</v>
      </c>
      <c r="AE5958">
        <v>-88.110213</v>
      </c>
      <c r="AF5958" s="5" t="str">
        <f>HYPERLINK("https://www.google.com/maps/search/?api=1&amp;query=41.978659,-88.110213","map")</f>
        <v>map</v>
      </c>
    </row>
    <row r="5959" spans="1:32">
      <c r="A5959" t="s">
        <v>6009</v>
      </c>
      <c r="B5959" t="s">
        <v>13534</v>
      </c>
      <c r="C5959" t="s">
        <v>15830</v>
      </c>
      <c r="D5959" t="s">
        <v>16207</v>
      </c>
      <c r="E5959" t="s">
        <v>16218</v>
      </c>
      <c r="F5959" t="s">
        <v>16221</v>
      </c>
      <c r="G5959" t="s">
        <v>16241</v>
      </c>
      <c r="H5959" t="s">
        <v>16241</v>
      </c>
      <c r="I5959" t="s">
        <v>16355</v>
      </c>
      <c r="J5959" t="s">
        <v>16385</v>
      </c>
      <c r="K5959">
        <v>0.129</v>
      </c>
      <c r="L5959">
        <v>5631</v>
      </c>
      <c r="M5959">
        <v>1945</v>
      </c>
      <c r="N5959" t="s">
        <v>16393</v>
      </c>
      <c r="O5959" s="4">
        <v>38692</v>
      </c>
      <c r="P5959" s="4">
        <v>80898</v>
      </c>
      <c r="Q5959" s="4">
        <v>119590</v>
      </c>
      <c r="R5959" s="4">
        <v>358770</v>
      </c>
      <c r="S5959" t="s">
        <v>22218</v>
      </c>
      <c r="T5959" s="6">
        <v>36800</v>
      </c>
      <c r="U5959" s="4">
        <v>181900</v>
      </c>
      <c r="V5959" t="s">
        <v>23739</v>
      </c>
      <c r="W5959" t="s">
        <v>27049</v>
      </c>
      <c r="X5959" t="s">
        <v>3</v>
      </c>
      <c r="AA5959" s="5" t="str">
        <f>HYPERLINK("https://www.zillow.com/homes/575-STAFFORD-DR-ROSELLE-IL-60172_rb/","check listing")</f>
        <v>check listing</v>
      </c>
      <c r="AB5959" s="5" t="str">
        <f>HYPERLINK("https://propertylookup.dupagecounty.gov/Datalets/Datalet.aspx?UseSearch=no&amp;mode=sales&amp;pin=0209121003","sales record")</f>
        <v>sales record</v>
      </c>
      <c r="AC5959" t="s">
        <v>3</v>
      </c>
      <c r="AD5959">
        <v>41.972338</v>
      </c>
      <c r="AE5959">
        <v>-88.107811</v>
      </c>
      <c r="AF5959" s="5" t="str">
        <f>HYPERLINK("https://www.google.com/maps/search/?api=1&amp;query=41.972338,-88.107811","map")</f>
        <v>map</v>
      </c>
    </row>
    <row r="5960" spans="1:32">
      <c r="A5960" t="s">
        <v>6010</v>
      </c>
      <c r="B5960" t="s">
        <v>13535</v>
      </c>
      <c r="C5960" t="s">
        <v>15830</v>
      </c>
      <c r="D5960" t="s">
        <v>16207</v>
      </c>
      <c r="E5960" t="s">
        <v>16218</v>
      </c>
      <c r="F5960" t="s">
        <v>16221</v>
      </c>
      <c r="G5960" t="s">
        <v>16241</v>
      </c>
      <c r="H5960" t="s">
        <v>16241</v>
      </c>
      <c r="I5960" t="s">
        <v>16355</v>
      </c>
      <c r="J5960" t="s">
        <v>16385</v>
      </c>
      <c r="K5960">
        <v>0.129</v>
      </c>
      <c r="L5960">
        <v>5631</v>
      </c>
      <c r="M5960">
        <v>1612</v>
      </c>
      <c r="N5960" t="s">
        <v>16393</v>
      </c>
      <c r="O5960" s="4">
        <v>38692</v>
      </c>
      <c r="P5960" s="4">
        <v>74407</v>
      </c>
      <c r="Q5960" s="4">
        <v>113099</v>
      </c>
      <c r="R5960" s="4">
        <v>339297</v>
      </c>
      <c r="S5960" t="s">
        <v>22219</v>
      </c>
      <c r="T5960" s="6">
        <v>37834</v>
      </c>
      <c r="U5960" s="4">
        <v>238000</v>
      </c>
      <c r="V5960" t="s">
        <v>23739</v>
      </c>
      <c r="W5960" t="s">
        <v>22219</v>
      </c>
      <c r="X5960" t="s">
        <v>3</v>
      </c>
      <c r="AA5960" s="5" t="str">
        <f>HYPERLINK("https://www.zillow.com/homes/825-W-BRYN-MAWR-AVE-ROSELLE-IL-60172_rb/","check listing")</f>
        <v>check listing</v>
      </c>
      <c r="AB5960" s="5" t="str">
        <f>HYPERLINK("https://propertylookup.dupagecounty.gov/Datalets/Datalet.aspx?UseSearch=no&amp;mode=sales&amp;pin=0209112009","sales record")</f>
        <v>sales record</v>
      </c>
      <c r="AC5960" t="s">
        <v>3</v>
      </c>
      <c r="AD5960">
        <v>41.973715</v>
      </c>
      <c r="AE5960">
        <v>-88.101238</v>
      </c>
      <c r="AF5960" s="5" t="str">
        <f>HYPERLINK("https://www.google.com/maps/search/?api=1&amp;query=41.973715,-88.101238","map")</f>
        <v>map</v>
      </c>
    </row>
    <row r="5961" spans="1:32">
      <c r="A5961" t="s">
        <v>6011</v>
      </c>
      <c r="B5961" t="s">
        <v>13536</v>
      </c>
      <c r="C5961" t="s">
        <v>15830</v>
      </c>
      <c r="D5961" t="s">
        <v>16207</v>
      </c>
      <c r="E5961" t="s">
        <v>16218</v>
      </c>
      <c r="F5961" t="s">
        <v>16221</v>
      </c>
      <c r="G5961" t="s">
        <v>16241</v>
      </c>
      <c r="H5961" t="s">
        <v>16241</v>
      </c>
      <c r="I5961" t="s">
        <v>16355</v>
      </c>
      <c r="J5961" t="s">
        <v>16385</v>
      </c>
      <c r="K5961">
        <v>0.129</v>
      </c>
      <c r="L5961">
        <v>5630</v>
      </c>
      <c r="M5961">
        <v>1088</v>
      </c>
      <c r="N5961" t="s">
        <v>16393</v>
      </c>
      <c r="O5961" s="4">
        <v>38692</v>
      </c>
      <c r="P5961" s="4">
        <v>78663</v>
      </c>
      <c r="Q5961" s="4">
        <v>117355</v>
      </c>
      <c r="R5961" s="4">
        <v>352065</v>
      </c>
      <c r="S5961" t="s">
        <v>22220</v>
      </c>
      <c r="T5961" s="6">
        <v>44797</v>
      </c>
      <c r="U5961" s="4">
        <v>275900</v>
      </c>
      <c r="V5961" t="s">
        <v>23741</v>
      </c>
      <c r="W5961" t="s">
        <v>27050</v>
      </c>
      <c r="X5961" t="s">
        <v>3</v>
      </c>
      <c r="AA5961" s="5" t="str">
        <f>HYPERLINK("https://www.zillow.com/homes/590-DOVER-DR-ROSELLE-IL-60172_rb/","check listing")</f>
        <v>check listing</v>
      </c>
      <c r="AB5961" s="5" t="str">
        <f>HYPERLINK("https://propertylookup.dupagecounty.gov/Datalets/Datalet.aspx?UseSearch=no&amp;mode=sales&amp;pin=0208207041","sales record")</f>
        <v>sales record</v>
      </c>
      <c r="AC5961" t="s">
        <v>3</v>
      </c>
      <c r="AD5961">
        <v>41.972268</v>
      </c>
      <c r="AE5961">
        <v>-88.111097</v>
      </c>
      <c r="AF5961" s="5" t="str">
        <f>HYPERLINK("https://www.google.com/maps/search/?api=1&amp;query=41.972268,-88.111097","map")</f>
        <v>map</v>
      </c>
    </row>
    <row r="5962" spans="1:32">
      <c r="A5962" t="s">
        <v>6012</v>
      </c>
      <c r="B5962" t="s">
        <v>13537</v>
      </c>
      <c r="C5962" t="s">
        <v>15830</v>
      </c>
      <c r="D5962" t="s">
        <v>16207</v>
      </c>
      <c r="E5962" t="s">
        <v>16218</v>
      </c>
      <c r="F5962" t="s">
        <v>16221</v>
      </c>
      <c r="G5962" t="s">
        <v>16241</v>
      </c>
      <c r="H5962" t="s">
        <v>16241</v>
      </c>
      <c r="I5962" t="s">
        <v>16355</v>
      </c>
      <c r="J5962" t="s">
        <v>16385</v>
      </c>
      <c r="K5962">
        <v>0.129</v>
      </c>
      <c r="L5962">
        <v>5611</v>
      </c>
      <c r="M5962">
        <v>1451</v>
      </c>
      <c r="N5962" t="s">
        <v>16393</v>
      </c>
      <c r="O5962" s="4">
        <v>38692</v>
      </c>
      <c r="P5962" s="4">
        <v>77599</v>
      </c>
      <c r="Q5962" s="4">
        <v>116291</v>
      </c>
      <c r="R5962" s="4">
        <v>348873</v>
      </c>
      <c r="S5962" t="s">
        <v>22221</v>
      </c>
      <c r="T5962" s="6">
        <v>36617</v>
      </c>
      <c r="U5962" s="4">
        <v>164000</v>
      </c>
      <c r="V5962" t="s">
        <v>23739</v>
      </c>
      <c r="W5962" t="s">
        <v>22221</v>
      </c>
      <c r="X5962" t="s">
        <v>3</v>
      </c>
      <c r="AA5962" s="5" t="str">
        <f>HYPERLINK("https://www.zillow.com/homes/400-GARDEN-AVE-ROSELLE-IL-60172_rb/","check listing")</f>
        <v>check listing</v>
      </c>
      <c r="AB5962" s="5" t="str">
        <f>HYPERLINK("https://propertylookup.dupagecounty.gov/Datalets/Datalet.aspx?UseSearch=no&amp;mode=sales&amp;pin=0209108001","sales record")</f>
        <v>sales record</v>
      </c>
      <c r="AC5962" t="s">
        <v>3</v>
      </c>
      <c r="AD5962">
        <v>41.97543</v>
      </c>
      <c r="AE5962">
        <v>-88.104608</v>
      </c>
      <c r="AF5962" s="5" t="str">
        <f>HYPERLINK("https://www.google.com/maps/search/?api=1&amp;query=41.97543,-88.104608","map")</f>
        <v>map</v>
      </c>
    </row>
    <row r="5963" spans="1:32">
      <c r="A5963" t="s">
        <v>6013</v>
      </c>
      <c r="B5963" t="s">
        <v>13538</v>
      </c>
      <c r="C5963" t="s">
        <v>15830</v>
      </c>
      <c r="D5963" t="s">
        <v>16207</v>
      </c>
      <c r="E5963" t="s">
        <v>16218</v>
      </c>
      <c r="F5963" t="s">
        <v>16221</v>
      </c>
      <c r="G5963" t="s">
        <v>16241</v>
      </c>
      <c r="H5963" t="s">
        <v>16241</v>
      </c>
      <c r="I5963" t="s">
        <v>16355</v>
      </c>
      <c r="J5963" t="s">
        <v>16385</v>
      </c>
      <c r="K5963">
        <v>0.129</v>
      </c>
      <c r="L5963">
        <v>5611</v>
      </c>
      <c r="M5963">
        <v>1714</v>
      </c>
      <c r="N5963" t="s">
        <v>16393</v>
      </c>
      <c r="O5963" s="4">
        <v>38692</v>
      </c>
      <c r="P5963" s="4">
        <v>74934</v>
      </c>
      <c r="Q5963" s="4">
        <v>113626</v>
      </c>
      <c r="R5963" s="4">
        <v>340878</v>
      </c>
      <c r="S5963" t="s">
        <v>22222</v>
      </c>
      <c r="T5963" s="6">
        <v>36678</v>
      </c>
      <c r="U5963" s="4">
        <v>180000</v>
      </c>
      <c r="V5963" t="s">
        <v>23739</v>
      </c>
      <c r="W5963" t="s">
        <v>27051</v>
      </c>
      <c r="X5963" t="s">
        <v>3</v>
      </c>
      <c r="AA5963" s="5" t="str">
        <f>HYPERLINK("https://www.zillow.com/homes/515-HAMPTON-LN-ROSELLE-IL-60172_rb/","check listing")</f>
        <v>check listing</v>
      </c>
      <c r="AB5963" s="5" t="str">
        <f>HYPERLINK("https://propertylookup.dupagecounty.gov/Datalets/Datalet.aspx?UseSearch=no&amp;mode=sales&amp;pin=0209104005","sales record")</f>
        <v>sales record</v>
      </c>
      <c r="AC5963" t="s">
        <v>3</v>
      </c>
      <c r="AD5963">
        <v>41.97352</v>
      </c>
      <c r="AE5963">
        <v>-88.10985100000001</v>
      </c>
      <c r="AF5963" s="5" t="str">
        <f>HYPERLINK("https://www.google.com/maps/search/?api=1&amp;query=41.97352,-88.109851","map")</f>
        <v>map</v>
      </c>
    </row>
    <row r="5964" spans="1:32">
      <c r="A5964" t="s">
        <v>6014</v>
      </c>
      <c r="B5964" t="s">
        <v>13539</v>
      </c>
      <c r="C5964" t="s">
        <v>15830</v>
      </c>
      <c r="D5964" t="s">
        <v>16207</v>
      </c>
      <c r="E5964" t="s">
        <v>16218</v>
      </c>
      <c r="F5964" t="s">
        <v>16221</v>
      </c>
      <c r="G5964" t="s">
        <v>16241</v>
      </c>
      <c r="H5964" t="s">
        <v>16241</v>
      </c>
      <c r="I5964" t="s">
        <v>16355</v>
      </c>
      <c r="J5964" t="s">
        <v>16385</v>
      </c>
      <c r="K5964">
        <v>0.129</v>
      </c>
      <c r="L5964">
        <v>5605</v>
      </c>
      <c r="M5964">
        <v>1649</v>
      </c>
      <c r="N5964" t="s">
        <v>16393</v>
      </c>
      <c r="O5964" s="4">
        <v>38692</v>
      </c>
      <c r="P5964" s="4">
        <v>77013</v>
      </c>
      <c r="Q5964" s="4">
        <v>115705</v>
      </c>
      <c r="R5964" s="4">
        <v>347115</v>
      </c>
      <c r="S5964" t="s">
        <v>22223</v>
      </c>
      <c r="T5964" s="6">
        <v>37653</v>
      </c>
      <c r="U5964" s="4">
        <v>224000</v>
      </c>
      <c r="V5964" t="s">
        <v>23739</v>
      </c>
      <c r="W5964" t="s">
        <v>27052</v>
      </c>
      <c r="X5964" t="s">
        <v>3</v>
      </c>
      <c r="AA5964" s="5" t="str">
        <f>HYPERLINK("https://www.zillow.com/homes/495-HAMPTON-LN-ROSELLE-IL-60172_rb/","check listing")</f>
        <v>check listing</v>
      </c>
      <c r="AB5964" s="5" t="str">
        <f>HYPERLINK("https://propertylookup.dupagecounty.gov/Datalets/Datalet.aspx?UseSearch=no&amp;mode=sales&amp;pin=0209104003","sales record")</f>
        <v>sales record</v>
      </c>
      <c r="AC5964" t="s">
        <v>3</v>
      </c>
      <c r="AD5964">
        <v>41.973733</v>
      </c>
      <c r="AE5964">
        <v>-88.11010400000001</v>
      </c>
      <c r="AF5964" s="5" t="str">
        <f>HYPERLINK("https://www.google.com/maps/search/?api=1&amp;query=41.973733,-88.110104","map")</f>
        <v>map</v>
      </c>
    </row>
    <row r="5965" spans="1:32">
      <c r="A5965" t="s">
        <v>6015</v>
      </c>
      <c r="B5965" t="s">
        <v>13540</v>
      </c>
      <c r="C5965" t="s">
        <v>15830</v>
      </c>
      <c r="D5965" t="s">
        <v>16207</v>
      </c>
      <c r="E5965" t="s">
        <v>16218</v>
      </c>
      <c r="F5965" t="s">
        <v>16221</v>
      </c>
      <c r="G5965" t="s">
        <v>16241</v>
      </c>
      <c r="H5965" t="s">
        <v>16241</v>
      </c>
      <c r="I5965" t="s">
        <v>16355</v>
      </c>
      <c r="J5965" t="s">
        <v>16385</v>
      </c>
      <c r="K5965">
        <v>0.129</v>
      </c>
      <c r="L5965">
        <v>5603</v>
      </c>
      <c r="M5965">
        <v>1584</v>
      </c>
      <c r="N5965" t="s">
        <v>16393</v>
      </c>
      <c r="O5965" s="4">
        <v>38692</v>
      </c>
      <c r="P5965" s="4">
        <v>68407</v>
      </c>
      <c r="Q5965" s="4">
        <v>107099</v>
      </c>
      <c r="R5965" s="4">
        <v>321297</v>
      </c>
      <c r="S5965" t="s">
        <v>22224</v>
      </c>
      <c r="T5965" s="6">
        <v>37956</v>
      </c>
      <c r="U5965" s="4">
        <v>228000</v>
      </c>
      <c r="V5965" t="s">
        <v>23739</v>
      </c>
      <c r="W5965" t="s">
        <v>27053</v>
      </c>
      <c r="X5965" t="s">
        <v>3</v>
      </c>
      <c r="AA5965" s="5" t="str">
        <f>HYPERLINK("https://www.zillow.com/homes/590-S-GARDEN-AVE-ROSELLE-IL-60172_rb/","check listing")</f>
        <v>check listing</v>
      </c>
      <c r="AB5965" s="5" t="str">
        <f>HYPERLINK("https://propertylookup.dupagecounty.gov/Datalets/Datalet.aspx?UseSearch=no&amp;mode=sales&amp;pin=0209101032","sales record")</f>
        <v>sales record</v>
      </c>
      <c r="AC5965" t="s">
        <v>3</v>
      </c>
      <c r="AD5965">
        <v>41.972084</v>
      </c>
      <c r="AE5965">
        <v>-88.102819</v>
      </c>
      <c r="AF5965" s="5" t="str">
        <f>HYPERLINK("https://www.google.com/maps/search/?api=1&amp;query=41.972084,-88.102819","map")</f>
        <v>map</v>
      </c>
    </row>
    <row r="5966" spans="1:32">
      <c r="A5966" t="s">
        <v>6016</v>
      </c>
      <c r="B5966" t="s">
        <v>13541</v>
      </c>
      <c r="C5966" t="s">
        <v>15965</v>
      </c>
      <c r="D5966" t="s">
        <v>16207</v>
      </c>
      <c r="E5966" t="s">
        <v>16218</v>
      </c>
      <c r="F5966" t="s">
        <v>16221</v>
      </c>
      <c r="G5966" t="s">
        <v>16241</v>
      </c>
      <c r="H5966" t="s">
        <v>16241</v>
      </c>
      <c r="I5966" t="s">
        <v>16355</v>
      </c>
      <c r="J5966" t="s">
        <v>16385</v>
      </c>
      <c r="K5966">
        <v>0.128</v>
      </c>
      <c r="L5966">
        <v>5597</v>
      </c>
      <c r="M5966">
        <v>1633</v>
      </c>
      <c r="N5966" t="s">
        <v>16393</v>
      </c>
      <c r="O5966" s="4">
        <v>38692</v>
      </c>
      <c r="P5966" s="4">
        <v>77599</v>
      </c>
      <c r="Q5966" s="4">
        <v>116291</v>
      </c>
      <c r="R5966" s="4">
        <v>348873</v>
      </c>
      <c r="S5966" t="s">
        <v>22225</v>
      </c>
      <c r="T5966" s="6">
        <v>44771</v>
      </c>
      <c r="U5966" s="4">
        <v>350000</v>
      </c>
      <c r="V5966" t="s">
        <v>23739</v>
      </c>
      <c r="W5966" t="s">
        <v>27054</v>
      </c>
      <c r="X5966" t="s">
        <v>3</v>
      </c>
      <c r="AA5966" s="5" t="str">
        <f>HYPERLINK("https://www.zillow.com/homes/1180-W-BRYN-MAWR-AVE-ROSELLE-IL-601722764_rb/","check listing")</f>
        <v>check listing</v>
      </c>
      <c r="AB5966" s="5" t="str">
        <f>HYPERLINK("https://propertylookup.dupagecounty.gov/Datalets/Datalet.aspx?UseSearch=no&amp;mode=sales&amp;pin=0209103006","sales record")</f>
        <v>sales record</v>
      </c>
      <c r="AC5966" t="s">
        <v>3</v>
      </c>
      <c r="AD5966">
        <v>41.972619</v>
      </c>
      <c r="AE5966">
        <v>-88.110483</v>
      </c>
      <c r="AF5966" s="5" t="str">
        <f>HYPERLINK("https://www.google.com/maps/search/?api=1&amp;query=41.972619,-88.110483","map")</f>
        <v>map</v>
      </c>
    </row>
    <row r="5967" spans="1:32">
      <c r="A5967" t="s">
        <v>6017</v>
      </c>
      <c r="B5967" t="s">
        <v>13542</v>
      </c>
      <c r="C5967" t="s">
        <v>15830</v>
      </c>
      <c r="D5967" t="s">
        <v>16207</v>
      </c>
      <c r="E5967" t="s">
        <v>16218</v>
      </c>
      <c r="F5967" t="s">
        <v>16221</v>
      </c>
      <c r="G5967" t="s">
        <v>16241</v>
      </c>
      <c r="H5967" t="s">
        <v>16241</v>
      </c>
      <c r="I5967" t="s">
        <v>16355</v>
      </c>
      <c r="J5967" t="s">
        <v>16385</v>
      </c>
      <c r="K5967">
        <v>0.128</v>
      </c>
      <c r="L5967">
        <v>5595</v>
      </c>
      <c r="M5967">
        <v>1979</v>
      </c>
      <c r="N5967" t="s">
        <v>16393</v>
      </c>
      <c r="O5967" s="4">
        <v>38692</v>
      </c>
      <c r="P5967" s="4">
        <v>83851</v>
      </c>
      <c r="Q5967" s="4">
        <v>122543</v>
      </c>
      <c r="R5967" s="4">
        <v>367629</v>
      </c>
      <c r="S5967" t="s">
        <v>22226</v>
      </c>
      <c r="T5967" s="6">
        <v>30317</v>
      </c>
      <c r="U5967" s="4">
        <v>81982</v>
      </c>
      <c r="X5967" t="s">
        <v>3</v>
      </c>
      <c r="AA5967" s="5" t="str">
        <f>HYPERLINK("https://www.zillow.com/homes/734-BERWICK-PL-ROSELLE-IL-60172_rb/","check listing")</f>
        <v>check listing</v>
      </c>
      <c r="AB5967" s="5" t="str">
        <f>HYPERLINK("https://propertylookup.dupagecounty.gov/Datalets/Datalet.aspx?UseSearch=no&amp;mode=sales&amp;pin=0209124006","sales record")</f>
        <v>sales record</v>
      </c>
      <c r="AC5967" t="s">
        <v>3</v>
      </c>
      <c r="AD5967">
        <v>41.969335</v>
      </c>
      <c r="AE5967">
        <v>-88.10965400000001</v>
      </c>
      <c r="AF5967" s="5" t="str">
        <f>HYPERLINK("https://www.google.com/maps/search/?api=1&amp;query=41.969335,-88.109654","map")</f>
        <v>map</v>
      </c>
    </row>
    <row r="5968" spans="1:32">
      <c r="A5968" t="s">
        <v>6018</v>
      </c>
      <c r="B5968" t="s">
        <v>13543</v>
      </c>
      <c r="C5968" t="s">
        <v>15830</v>
      </c>
      <c r="D5968" t="s">
        <v>16207</v>
      </c>
      <c r="E5968" t="s">
        <v>16218</v>
      </c>
      <c r="F5968" t="s">
        <v>16221</v>
      </c>
      <c r="G5968" t="s">
        <v>16241</v>
      </c>
      <c r="H5968" t="s">
        <v>16241</v>
      </c>
      <c r="I5968" t="s">
        <v>16355</v>
      </c>
      <c r="J5968" t="s">
        <v>16385</v>
      </c>
      <c r="K5968">
        <v>0.128</v>
      </c>
      <c r="L5968">
        <v>5594</v>
      </c>
      <c r="M5968">
        <v>1649</v>
      </c>
      <c r="N5968" t="s">
        <v>16393</v>
      </c>
      <c r="O5968" s="4">
        <v>38692</v>
      </c>
      <c r="P5968" s="4">
        <v>75974</v>
      </c>
      <c r="Q5968" s="4">
        <v>114666</v>
      </c>
      <c r="R5968" s="4">
        <v>343998</v>
      </c>
      <c r="S5968" t="s">
        <v>22227</v>
      </c>
      <c r="T5968" s="6">
        <v>30803</v>
      </c>
      <c r="U5968" s="4">
        <v>74500</v>
      </c>
      <c r="X5968" t="s">
        <v>3</v>
      </c>
      <c r="AA5968" s="5" t="str">
        <f>HYPERLINK("https://www.zillow.com/homes/499-HAMPTON-LN-ROSELLE-IL-60172_rb/","check listing")</f>
        <v>check listing</v>
      </c>
      <c r="AB5968" s="5" t="str">
        <f>HYPERLINK("https://propertylookup.dupagecounty.gov/Datalets/Datalet.aspx?UseSearch=no&amp;mode=sales&amp;pin=0209104004","sales record")</f>
        <v>sales record</v>
      </c>
      <c r="AC5968" t="s">
        <v>3</v>
      </c>
      <c r="AD5968">
        <v>41.973643</v>
      </c>
      <c r="AE5968">
        <v>-88.109944</v>
      </c>
      <c r="AF5968" s="5" t="str">
        <f>HYPERLINK("https://www.google.com/maps/search/?api=1&amp;query=41.973643,-88.109944","map")</f>
        <v>map</v>
      </c>
    </row>
    <row r="5969" spans="1:32">
      <c r="A5969" t="s">
        <v>6019</v>
      </c>
      <c r="B5969" t="s">
        <v>13544</v>
      </c>
      <c r="C5969" t="s">
        <v>15830</v>
      </c>
      <c r="D5969" t="s">
        <v>16207</v>
      </c>
      <c r="E5969" t="s">
        <v>16218</v>
      </c>
      <c r="F5969" t="s">
        <v>16221</v>
      </c>
      <c r="G5969" t="s">
        <v>16241</v>
      </c>
      <c r="H5969" t="s">
        <v>16241</v>
      </c>
      <c r="I5969" t="s">
        <v>16355</v>
      </c>
      <c r="J5969" t="s">
        <v>16385</v>
      </c>
      <c r="K5969">
        <v>0.128</v>
      </c>
      <c r="L5969">
        <v>5582</v>
      </c>
      <c r="M5969">
        <v>1707</v>
      </c>
      <c r="N5969" t="s">
        <v>16393</v>
      </c>
      <c r="O5969" s="4">
        <v>38692</v>
      </c>
      <c r="P5969" s="4">
        <v>78711</v>
      </c>
      <c r="Q5969" s="4">
        <v>117403</v>
      </c>
      <c r="R5969" s="4">
        <v>352209</v>
      </c>
      <c r="S5969" t="s">
        <v>22228</v>
      </c>
      <c r="T5969" s="6">
        <v>45235</v>
      </c>
      <c r="U5969" s="4">
        <v>325000</v>
      </c>
      <c r="V5969" t="s">
        <v>23739</v>
      </c>
      <c r="W5969" t="s">
        <v>27055</v>
      </c>
      <c r="X5969" t="s">
        <v>3</v>
      </c>
      <c r="AA5969" s="5" t="str">
        <f>HYPERLINK("https://www.zillow.com/homes/716-BERWICK-PL-ROSELLE-IL-60172_rb/","check listing")</f>
        <v>check listing</v>
      </c>
      <c r="AB5969" s="5" t="str">
        <f>HYPERLINK("https://propertylookup.dupagecounty.gov/Datalets/Datalet.aspx?UseSearch=no&amp;mode=sales&amp;pin=0209124010","sales record")</f>
        <v>sales record</v>
      </c>
      <c r="AC5969" t="s">
        <v>3</v>
      </c>
      <c r="AD5969">
        <v>41.969899</v>
      </c>
      <c r="AE5969">
        <v>-88.109219</v>
      </c>
      <c r="AF5969" s="5" t="str">
        <f>HYPERLINK("https://www.google.com/maps/search/?api=1&amp;query=41.969899,-88.109219","map")</f>
        <v>map</v>
      </c>
    </row>
    <row r="5970" spans="1:32">
      <c r="A5970" t="s">
        <v>6020</v>
      </c>
      <c r="B5970" t="s">
        <v>13545</v>
      </c>
      <c r="C5970" t="s">
        <v>15830</v>
      </c>
      <c r="D5970" t="s">
        <v>16207</v>
      </c>
      <c r="E5970" t="s">
        <v>16218</v>
      </c>
      <c r="F5970" t="s">
        <v>16221</v>
      </c>
      <c r="G5970" t="s">
        <v>16241</v>
      </c>
      <c r="H5970" t="s">
        <v>16241</v>
      </c>
      <c r="I5970" t="s">
        <v>16355</v>
      </c>
      <c r="J5970" t="s">
        <v>16385</v>
      </c>
      <c r="K5970">
        <v>0.128</v>
      </c>
      <c r="L5970">
        <v>5582</v>
      </c>
      <c r="M5970">
        <v>1979</v>
      </c>
      <c r="N5970" t="s">
        <v>16393</v>
      </c>
      <c r="O5970" s="4">
        <v>38692</v>
      </c>
      <c r="P5970" s="4">
        <v>83851</v>
      </c>
      <c r="Q5970" s="4">
        <v>122543</v>
      </c>
      <c r="R5970" s="4">
        <v>367629</v>
      </c>
      <c r="S5970" t="s">
        <v>22229</v>
      </c>
      <c r="T5970" s="6">
        <v>30529</v>
      </c>
      <c r="U5970" s="4">
        <v>75490</v>
      </c>
      <c r="X5970" t="s">
        <v>3</v>
      </c>
      <c r="AA5970" s="5" t="str">
        <f>HYPERLINK("https://www.zillow.com/homes/718-BERWICK-PLACE-ROSELLE-IL-60172_rb/","check listing")</f>
        <v>check listing</v>
      </c>
      <c r="AB5970" s="5" t="str">
        <f>HYPERLINK("https://propertylookup.dupagecounty.gov/Datalets/Datalet.aspx?UseSearch=no&amp;mode=sales&amp;pin=0209124009","sales record")</f>
        <v>sales record</v>
      </c>
      <c r="AC5970" t="s">
        <v>3</v>
      </c>
      <c r="AD5970">
        <v>41.969758</v>
      </c>
      <c r="AE5970">
        <v>-88.109325</v>
      </c>
      <c r="AF5970" s="5" t="str">
        <f>HYPERLINK("https://www.google.com/maps/search/?api=1&amp;query=41.969758,-88.109325","map")</f>
        <v>map</v>
      </c>
    </row>
    <row r="5971" spans="1:32">
      <c r="A5971" t="s">
        <v>6021</v>
      </c>
      <c r="B5971" t="s">
        <v>13546</v>
      </c>
      <c r="C5971" t="s">
        <v>15830</v>
      </c>
      <c r="D5971" t="s">
        <v>16207</v>
      </c>
      <c r="E5971" t="s">
        <v>16218</v>
      </c>
      <c r="F5971" t="s">
        <v>16221</v>
      </c>
      <c r="G5971" t="s">
        <v>16241</v>
      </c>
      <c r="H5971" t="s">
        <v>16241</v>
      </c>
      <c r="I5971" t="s">
        <v>16355</v>
      </c>
      <c r="J5971" t="s">
        <v>16385</v>
      </c>
      <c r="K5971">
        <v>0.128</v>
      </c>
      <c r="L5971">
        <v>5581</v>
      </c>
      <c r="M5971">
        <v>1808</v>
      </c>
      <c r="N5971" t="s">
        <v>16393</v>
      </c>
      <c r="O5971" s="4">
        <v>38692</v>
      </c>
      <c r="P5971" s="4">
        <v>77599</v>
      </c>
      <c r="Q5971" s="4">
        <v>116291</v>
      </c>
      <c r="R5971" s="4">
        <v>348873</v>
      </c>
      <c r="S5971" t="s">
        <v>22230</v>
      </c>
      <c r="X5971" t="s">
        <v>3</v>
      </c>
      <c r="AA5971" s="5" t="str">
        <f>HYPERLINK("https://www.zillow.com/homes/704-MIDDLETON-DR-ROSELLE-IL-60172_rb/","check listing")</f>
        <v>check listing</v>
      </c>
      <c r="AB5971" s="5" t="str">
        <f>HYPERLINK("https://propertylookup.dupagecounty.gov/Datalets/Datalet.aspx?UseSearch=no&amp;mode=sales&amp;pin=0209110025","sales record")</f>
        <v>sales record</v>
      </c>
      <c r="AC5971" t="s">
        <v>3</v>
      </c>
      <c r="AD5971">
        <v>41.970001</v>
      </c>
      <c r="AE5971">
        <v>-88.105609</v>
      </c>
      <c r="AF5971" s="5" t="str">
        <f>HYPERLINK("https://www.google.com/maps/search/?api=1&amp;query=41.970001,-88.105609","map")</f>
        <v>map</v>
      </c>
    </row>
    <row r="5972" spans="1:32">
      <c r="A5972" t="s">
        <v>6022</v>
      </c>
      <c r="B5972" t="s">
        <v>13547</v>
      </c>
      <c r="C5972" t="s">
        <v>15830</v>
      </c>
      <c r="D5972" t="s">
        <v>16207</v>
      </c>
      <c r="E5972" t="s">
        <v>16218</v>
      </c>
      <c r="F5972" t="s">
        <v>16221</v>
      </c>
      <c r="G5972" t="s">
        <v>16241</v>
      </c>
      <c r="H5972" t="s">
        <v>16241</v>
      </c>
      <c r="I5972" t="s">
        <v>16355</v>
      </c>
      <c r="J5972" t="s">
        <v>16385</v>
      </c>
      <c r="K5972">
        <v>0.128</v>
      </c>
      <c r="L5972">
        <v>5578</v>
      </c>
      <c r="M5972">
        <v>1574</v>
      </c>
      <c r="N5972" t="s">
        <v>16393</v>
      </c>
      <c r="O5972" s="4">
        <v>38692</v>
      </c>
      <c r="P5972" s="4">
        <v>75890</v>
      </c>
      <c r="Q5972" s="4">
        <v>114582</v>
      </c>
      <c r="R5972" s="4">
        <v>343746</v>
      </c>
      <c r="S5972" t="s">
        <v>22231</v>
      </c>
      <c r="T5972" s="6">
        <v>46031</v>
      </c>
      <c r="U5972" s="4">
        <v>396729</v>
      </c>
      <c r="V5972" t="s">
        <v>23739</v>
      </c>
      <c r="W5972" t="s">
        <v>27056</v>
      </c>
      <c r="X5972" t="s">
        <v>3</v>
      </c>
      <c r="AA5972" s="5" t="str">
        <f>HYPERLINK("https://www.zillow.com/homes/595-STAFFORD-DR-ROSELLE-IL-60172_rb/","check listing")</f>
        <v>check listing</v>
      </c>
      <c r="AB5972" s="5" t="str">
        <f>HYPERLINK("https://propertylookup.dupagecounty.gov/Datalets/Datalet.aspx?UseSearch=no&amp;mode=sales&amp;pin=0209121005","sales record")</f>
        <v>sales record</v>
      </c>
      <c r="AC5972" t="s">
        <v>3</v>
      </c>
      <c r="AD5972">
        <v>41.972033</v>
      </c>
      <c r="AE5972">
        <v>-88.107873</v>
      </c>
      <c r="AF5972" s="5" t="str">
        <f>HYPERLINK("https://www.google.com/maps/search/?api=1&amp;query=41.972033,-88.107873","map")</f>
        <v>map</v>
      </c>
    </row>
    <row r="5973" spans="1:32">
      <c r="A5973" t="s">
        <v>6023</v>
      </c>
      <c r="B5973" t="s">
        <v>13548</v>
      </c>
      <c r="C5973" t="s">
        <v>15830</v>
      </c>
      <c r="D5973" t="s">
        <v>16207</v>
      </c>
      <c r="E5973" t="s">
        <v>16218</v>
      </c>
      <c r="F5973" t="s">
        <v>16221</v>
      </c>
      <c r="G5973" t="s">
        <v>16241</v>
      </c>
      <c r="H5973" t="s">
        <v>16241</v>
      </c>
      <c r="I5973" t="s">
        <v>16355</v>
      </c>
      <c r="J5973" t="s">
        <v>16385</v>
      </c>
      <c r="K5973">
        <v>0.128</v>
      </c>
      <c r="L5973">
        <v>5577</v>
      </c>
      <c r="M5973">
        <v>1438</v>
      </c>
      <c r="N5973" t="s">
        <v>16393</v>
      </c>
      <c r="O5973" s="4">
        <v>38692</v>
      </c>
      <c r="P5973" s="4">
        <v>78663</v>
      </c>
      <c r="Q5973" s="4">
        <v>117355</v>
      </c>
      <c r="R5973" s="4">
        <v>352065</v>
      </c>
      <c r="S5973" t="s">
        <v>22232</v>
      </c>
      <c r="T5973" s="6">
        <v>36281</v>
      </c>
      <c r="U5973" s="4">
        <v>148000</v>
      </c>
      <c r="X5973" t="s">
        <v>3</v>
      </c>
      <c r="AA5973" s="5" t="str">
        <f>HYPERLINK("https://www.zillow.com/homes/525-HAMPTON-LN-ROSELLE-IL-60172_rb/","check listing")</f>
        <v>check listing</v>
      </c>
      <c r="AB5973" s="5" t="str">
        <f>HYPERLINK("https://propertylookup.dupagecounty.gov/Datalets/Datalet.aspx?UseSearch=no&amp;mode=sales&amp;pin=0209104006","sales record")</f>
        <v>sales record</v>
      </c>
      <c r="AC5973" t="s">
        <v>3</v>
      </c>
      <c r="AD5973">
        <v>41.97334</v>
      </c>
      <c r="AE5973">
        <v>-88.109802</v>
      </c>
      <c r="AF5973" s="5" t="str">
        <f>HYPERLINK("https://www.google.com/maps/search/?api=1&amp;query=41.97334,-88.109802","map")</f>
        <v>map</v>
      </c>
    </row>
    <row r="5974" spans="1:32">
      <c r="A5974" t="s">
        <v>6024</v>
      </c>
      <c r="B5974" t="s">
        <v>13549</v>
      </c>
      <c r="C5974" t="s">
        <v>15830</v>
      </c>
      <c r="D5974" t="s">
        <v>16207</v>
      </c>
      <c r="E5974" t="s">
        <v>16218</v>
      </c>
      <c r="F5974" t="s">
        <v>16221</v>
      </c>
      <c r="G5974" t="s">
        <v>16241</v>
      </c>
      <c r="H5974" t="s">
        <v>16241</v>
      </c>
      <c r="I5974" t="s">
        <v>16355</v>
      </c>
      <c r="J5974" t="s">
        <v>16385</v>
      </c>
      <c r="K5974">
        <v>0.128</v>
      </c>
      <c r="L5974">
        <v>5572</v>
      </c>
      <c r="M5974">
        <v>1649</v>
      </c>
      <c r="N5974" t="s">
        <v>16393</v>
      </c>
      <c r="O5974" s="4">
        <v>38692</v>
      </c>
      <c r="P5974" s="4">
        <v>86014</v>
      </c>
      <c r="Q5974" s="4">
        <v>124706</v>
      </c>
      <c r="R5974" s="4">
        <v>374118</v>
      </c>
      <c r="S5974" t="s">
        <v>22233</v>
      </c>
      <c r="T5974" s="6">
        <v>35186</v>
      </c>
      <c r="U5974" s="4">
        <v>138000</v>
      </c>
      <c r="X5974" t="s">
        <v>3</v>
      </c>
      <c r="AA5974" s="5" t="str">
        <f>HYPERLINK("https://www.zillow.com/homes/745-MEADE-LN-ROSELLE-IL-60172_rb/","check listing")</f>
        <v>check listing</v>
      </c>
      <c r="AB5974" s="5" t="str">
        <f>HYPERLINK("https://propertylookup.dupagecounty.gov/Datalets/Datalet.aspx?UseSearch=no&amp;mode=sales&amp;pin=0209118005","sales record")</f>
        <v>sales record</v>
      </c>
      <c r="AC5974" t="s">
        <v>3</v>
      </c>
      <c r="AD5974">
        <v>41.969197</v>
      </c>
      <c r="AE5974">
        <v>-88.105462</v>
      </c>
      <c r="AF5974" s="5" t="str">
        <f>HYPERLINK("https://www.google.com/maps/search/?api=1&amp;query=41.969197,-88.105462","map")</f>
        <v>map</v>
      </c>
    </row>
    <row r="5975" spans="1:32">
      <c r="A5975" t="s">
        <v>6025</v>
      </c>
      <c r="B5975" t="s">
        <v>13550</v>
      </c>
      <c r="C5975" t="s">
        <v>15961</v>
      </c>
      <c r="D5975" t="s">
        <v>16207</v>
      </c>
      <c r="E5975" t="s">
        <v>16218</v>
      </c>
      <c r="F5975" t="s">
        <v>16221</v>
      </c>
      <c r="G5975" t="s">
        <v>16241</v>
      </c>
      <c r="H5975" t="s">
        <v>16241</v>
      </c>
      <c r="I5975" t="s">
        <v>16355</v>
      </c>
      <c r="J5975" t="s">
        <v>16385</v>
      </c>
      <c r="K5975">
        <v>0.127</v>
      </c>
      <c r="L5975">
        <v>5547</v>
      </c>
      <c r="M5975">
        <v>1185</v>
      </c>
      <c r="N5975" t="s">
        <v>16393</v>
      </c>
      <c r="O5975" s="4">
        <v>38692</v>
      </c>
      <c r="P5975" s="4">
        <v>77313</v>
      </c>
      <c r="Q5975" s="4">
        <v>116005</v>
      </c>
      <c r="R5975" s="4">
        <v>348015</v>
      </c>
      <c r="S5975" t="s">
        <v>22234</v>
      </c>
      <c r="T5975" s="6">
        <v>42887</v>
      </c>
      <c r="U5975" s="4">
        <v>255000</v>
      </c>
      <c r="V5975" t="s">
        <v>23739</v>
      </c>
      <c r="W5975" t="s">
        <v>27057</v>
      </c>
      <c r="X5975" t="s">
        <v>3</v>
      </c>
      <c r="AA5975" s="5" t="str">
        <f>HYPERLINK("https://www.zillow.com/homes/485-HAMPTON-LN-ROSELLE-IL-601722618_rb/","check listing")</f>
        <v>check listing</v>
      </c>
      <c r="AB5975" s="5" t="str">
        <f>HYPERLINK("https://propertylookup.dupagecounty.gov/Datalets/Datalet.aspx?UseSearch=no&amp;mode=sales&amp;pin=0209104001","sales record")</f>
        <v>sales record</v>
      </c>
      <c r="AC5975" t="s">
        <v>3</v>
      </c>
      <c r="AD5975">
        <v>41.973896</v>
      </c>
      <c r="AE5975">
        <v>-88.110444</v>
      </c>
      <c r="AF5975" s="5" t="str">
        <f>HYPERLINK("https://www.google.com/maps/search/?api=1&amp;query=41.973896,-88.110444","map")</f>
        <v>map</v>
      </c>
    </row>
    <row r="5976" spans="1:32">
      <c r="A5976" t="s">
        <v>6026</v>
      </c>
      <c r="B5976" t="s">
        <v>13551</v>
      </c>
      <c r="C5976" t="s">
        <v>15830</v>
      </c>
      <c r="D5976" t="s">
        <v>16207</v>
      </c>
      <c r="E5976" t="s">
        <v>16218</v>
      </c>
      <c r="F5976" t="s">
        <v>16221</v>
      </c>
      <c r="G5976" t="s">
        <v>16241</v>
      </c>
      <c r="H5976" t="s">
        <v>16241</v>
      </c>
      <c r="I5976" t="s">
        <v>16355</v>
      </c>
      <c r="J5976" t="s">
        <v>16385</v>
      </c>
      <c r="K5976">
        <v>0.127</v>
      </c>
      <c r="L5976">
        <v>5540</v>
      </c>
      <c r="M5976">
        <v>1319</v>
      </c>
      <c r="N5976" t="s">
        <v>16393</v>
      </c>
      <c r="O5976" s="4">
        <v>38692</v>
      </c>
      <c r="P5976" s="4">
        <v>77313</v>
      </c>
      <c r="Q5976" s="4">
        <v>116005</v>
      </c>
      <c r="R5976" s="4">
        <v>348015</v>
      </c>
      <c r="S5976" t="s">
        <v>22235</v>
      </c>
      <c r="T5976" s="6">
        <v>40360</v>
      </c>
      <c r="U5976" s="4">
        <v>215000</v>
      </c>
      <c r="V5976" t="s">
        <v>23739</v>
      </c>
      <c r="W5976" t="s">
        <v>27058</v>
      </c>
      <c r="X5976" t="s">
        <v>3</v>
      </c>
      <c r="AA5976" s="5" t="str">
        <f>HYPERLINK("https://www.zillow.com/homes/470-HAMPTON-LN-ROSELLE-IL-60172_rb/","check listing")</f>
        <v>check listing</v>
      </c>
      <c r="AB5976" s="5" t="str">
        <f>HYPERLINK("https://propertylookup.dupagecounty.gov/Datalets/Datalet.aspx?UseSearch=no&amp;mode=sales&amp;pin=0208209002","sales record")</f>
        <v>sales record</v>
      </c>
      <c r="AC5976" t="s">
        <v>3</v>
      </c>
      <c r="AD5976">
        <v>41.973657</v>
      </c>
      <c r="AE5976">
        <v>-88.11105000000001</v>
      </c>
      <c r="AF5976" s="5" t="str">
        <f>HYPERLINK("https://www.google.com/maps/search/?api=1&amp;query=41.973657,-88.11105","map")</f>
        <v>map</v>
      </c>
    </row>
    <row r="5977" spans="1:32">
      <c r="A5977" t="s">
        <v>6027</v>
      </c>
      <c r="B5977" t="s">
        <v>13552</v>
      </c>
      <c r="C5977" t="s">
        <v>15830</v>
      </c>
      <c r="D5977" t="s">
        <v>16207</v>
      </c>
      <c r="E5977" t="s">
        <v>16218</v>
      </c>
      <c r="F5977" t="s">
        <v>16221</v>
      </c>
      <c r="G5977" t="s">
        <v>16241</v>
      </c>
      <c r="H5977" t="s">
        <v>16241</v>
      </c>
      <c r="I5977" t="s">
        <v>16355</v>
      </c>
      <c r="J5977" t="s">
        <v>16385</v>
      </c>
      <c r="K5977">
        <v>0.127</v>
      </c>
      <c r="L5977">
        <v>5532</v>
      </c>
      <c r="M5977">
        <v>1314</v>
      </c>
      <c r="N5977" t="s">
        <v>16393</v>
      </c>
      <c r="O5977" s="4">
        <v>38692</v>
      </c>
      <c r="P5977" s="4">
        <v>75758</v>
      </c>
      <c r="Q5977" s="4">
        <v>114450</v>
      </c>
      <c r="R5977" s="4">
        <v>343350</v>
      </c>
      <c r="S5977" t="s">
        <v>22236</v>
      </c>
      <c r="T5977" s="6">
        <v>42917</v>
      </c>
      <c r="U5977" s="4">
        <v>218000</v>
      </c>
      <c r="V5977" t="s">
        <v>16232</v>
      </c>
      <c r="W5977" t="s">
        <v>22236</v>
      </c>
      <c r="X5977" t="s">
        <v>3</v>
      </c>
      <c r="AA5977" s="5" t="str">
        <f>HYPERLINK("https://www.zillow.com/homes/785-RODENBURG-RD-ROSELLE-IL-60172_rb/","check listing")</f>
        <v>check listing</v>
      </c>
      <c r="AB5977" s="5" t="str">
        <f>HYPERLINK("https://propertylookup.dupagecounty.gov/Datalets/Datalet.aspx?UseSearch=no&amp;mode=sales&amp;pin=0209117007","sales record")</f>
        <v>sales record</v>
      </c>
      <c r="AC5977" t="s">
        <v>3</v>
      </c>
      <c r="AD5977">
        <v>41.968477</v>
      </c>
      <c r="AE5977">
        <v>-88.106511</v>
      </c>
      <c r="AF5977" s="5" t="str">
        <f>HYPERLINK("https://www.google.com/maps/search/?api=1&amp;query=41.968477,-88.106511","map")</f>
        <v>map</v>
      </c>
    </row>
    <row r="5978" spans="1:32">
      <c r="A5978" t="s">
        <v>6028</v>
      </c>
      <c r="B5978" t="s">
        <v>13553</v>
      </c>
      <c r="C5978" t="s">
        <v>15830</v>
      </c>
      <c r="D5978" t="s">
        <v>16207</v>
      </c>
      <c r="E5978" t="s">
        <v>16218</v>
      </c>
      <c r="F5978" t="s">
        <v>16221</v>
      </c>
      <c r="G5978" t="s">
        <v>16241</v>
      </c>
      <c r="H5978" t="s">
        <v>16241</v>
      </c>
      <c r="I5978" t="s">
        <v>16355</v>
      </c>
      <c r="J5978" t="s">
        <v>16385</v>
      </c>
      <c r="K5978">
        <v>0.127</v>
      </c>
      <c r="L5978">
        <v>5527</v>
      </c>
      <c r="M5978">
        <v>1450</v>
      </c>
      <c r="N5978" t="s">
        <v>16393</v>
      </c>
      <c r="O5978" s="4">
        <v>38692</v>
      </c>
      <c r="P5978" s="4">
        <v>75758</v>
      </c>
      <c r="Q5978" s="4">
        <v>114450</v>
      </c>
      <c r="R5978" s="4">
        <v>343350</v>
      </c>
      <c r="S5978" t="s">
        <v>22237</v>
      </c>
      <c r="T5978" s="6">
        <v>45124</v>
      </c>
      <c r="U5978" s="4">
        <v>260000</v>
      </c>
      <c r="V5978" t="s">
        <v>23739</v>
      </c>
      <c r="W5978" t="s">
        <v>27059</v>
      </c>
      <c r="X5978" t="s">
        <v>3</v>
      </c>
      <c r="AA5978" s="5" t="str">
        <f>HYPERLINK("https://www.zillow.com/homes/714-MIDDLETON-DR-ROSELLE-IL-60172_rb/","check listing")</f>
        <v>check listing</v>
      </c>
      <c r="AB5978" s="5" t="str">
        <f>HYPERLINK("https://propertylookup.dupagecounty.gov/Datalets/Datalet.aspx?UseSearch=no&amp;mode=sales&amp;pin=0209110023","sales record")</f>
        <v>sales record</v>
      </c>
      <c r="AC5978" t="s">
        <v>3</v>
      </c>
      <c r="AD5978">
        <v>41.969861</v>
      </c>
      <c r="AE5978">
        <v>-88.10593</v>
      </c>
      <c r="AF5978" s="5" t="str">
        <f>HYPERLINK("https://www.google.com/maps/search/?api=1&amp;query=41.969861,-88.10593","map")</f>
        <v>map</v>
      </c>
    </row>
    <row r="5979" spans="1:32">
      <c r="A5979" t="s">
        <v>6029</v>
      </c>
      <c r="B5979" t="s">
        <v>13554</v>
      </c>
      <c r="C5979" t="s">
        <v>15939</v>
      </c>
      <c r="D5979" t="s">
        <v>16207</v>
      </c>
      <c r="E5979" t="s">
        <v>16218</v>
      </c>
      <c r="F5979" t="s">
        <v>16221</v>
      </c>
      <c r="G5979" t="s">
        <v>16241</v>
      </c>
      <c r="H5979" t="s">
        <v>16241</v>
      </c>
      <c r="I5979" t="s">
        <v>16355</v>
      </c>
      <c r="J5979" t="s">
        <v>16385</v>
      </c>
      <c r="K5979">
        <v>0.127</v>
      </c>
      <c r="L5979">
        <v>5513</v>
      </c>
      <c r="M5979">
        <v>1780</v>
      </c>
      <c r="N5979" t="s">
        <v>16393</v>
      </c>
      <c r="O5979" s="4">
        <v>38692</v>
      </c>
      <c r="P5979" s="4">
        <v>75974</v>
      </c>
      <c r="Q5979" s="4">
        <v>114666</v>
      </c>
      <c r="R5979" s="4">
        <v>343998</v>
      </c>
      <c r="S5979" t="s">
        <v>22238</v>
      </c>
      <c r="T5979" s="6">
        <v>41609</v>
      </c>
      <c r="U5979" s="4">
        <v>175000</v>
      </c>
      <c r="V5979" t="s">
        <v>16232</v>
      </c>
      <c r="W5979" t="s">
        <v>24395</v>
      </c>
      <c r="X5979" t="s">
        <v>3</v>
      </c>
      <c r="AA5979" s="5" t="str">
        <f>HYPERLINK("https://www.zillow.com/homes/751-RODENBURG-RD-ROSELLE-IL-601722719_rb/","check listing")</f>
        <v>check listing</v>
      </c>
      <c r="AB5979" s="5" t="str">
        <f>HYPERLINK("https://propertylookup.dupagecounty.gov/Datalets/Datalet.aspx?UseSearch=no&amp;mode=sales&amp;pin=0209117003","sales record")</f>
        <v>sales record</v>
      </c>
      <c r="AC5979" t="s">
        <v>3</v>
      </c>
      <c r="AD5979">
        <v>41.969046</v>
      </c>
      <c r="AE5979">
        <v>-88.106385</v>
      </c>
      <c r="AF5979" s="5" t="str">
        <f>HYPERLINK("https://www.google.com/maps/search/?api=1&amp;query=41.969046,-88.106385","map")</f>
        <v>map</v>
      </c>
    </row>
    <row r="5980" spans="1:32">
      <c r="A5980" t="s">
        <v>6030</v>
      </c>
      <c r="B5980" t="s">
        <v>13555</v>
      </c>
      <c r="C5980" t="s">
        <v>15926</v>
      </c>
      <c r="D5980" t="s">
        <v>16207</v>
      </c>
      <c r="E5980" t="s">
        <v>16218</v>
      </c>
      <c r="F5980" t="s">
        <v>16221</v>
      </c>
      <c r="G5980" t="s">
        <v>16241</v>
      </c>
      <c r="H5980" t="s">
        <v>16241</v>
      </c>
      <c r="I5980" t="s">
        <v>16355</v>
      </c>
      <c r="J5980" t="s">
        <v>16385</v>
      </c>
      <c r="K5980">
        <v>0.126</v>
      </c>
      <c r="L5980">
        <v>5508</v>
      </c>
      <c r="M5980">
        <v>1484</v>
      </c>
      <c r="N5980" t="s">
        <v>16393</v>
      </c>
      <c r="O5980" s="4">
        <v>38692</v>
      </c>
      <c r="P5980" s="4">
        <v>53059</v>
      </c>
      <c r="Q5980" s="4">
        <v>91751</v>
      </c>
      <c r="R5980" s="4">
        <v>275253</v>
      </c>
      <c r="S5980" t="s">
        <v>22239</v>
      </c>
      <c r="T5980" s="6">
        <v>41426</v>
      </c>
      <c r="U5980" s="4">
        <v>145000</v>
      </c>
      <c r="V5980" t="s">
        <v>23739</v>
      </c>
      <c r="W5980" t="s">
        <v>27060</v>
      </c>
      <c r="X5980" t="s">
        <v>3</v>
      </c>
      <c r="AA5980" s="5" t="str">
        <f>HYPERLINK("https://www.zillow.com/homes/550-RADNOR-DR-ROSELLE-IL-601722741_rb/","check listing")</f>
        <v>check listing</v>
      </c>
      <c r="AB5980" s="5" t="str">
        <f>HYPERLINK("https://propertylookup.dupagecounty.gov/Datalets/Datalet.aspx?UseSearch=no&amp;mode=sales&amp;pin=0209121022","sales record")</f>
        <v>sales record</v>
      </c>
      <c r="AC5980" t="s">
        <v>3</v>
      </c>
      <c r="AD5980">
        <v>41.972608</v>
      </c>
      <c r="AE5980">
        <v>-88.10604600000001</v>
      </c>
      <c r="AF5980" s="5" t="str">
        <f>HYPERLINK("https://www.google.com/maps/search/?api=1&amp;query=41.972608,-88.106046","map")</f>
        <v>map</v>
      </c>
    </row>
    <row r="5981" spans="1:32">
      <c r="A5981" t="s">
        <v>6031</v>
      </c>
      <c r="B5981" t="s">
        <v>13556</v>
      </c>
      <c r="C5981" t="s">
        <v>15903</v>
      </c>
      <c r="D5981" t="s">
        <v>16207</v>
      </c>
      <c r="E5981" t="s">
        <v>16218</v>
      </c>
      <c r="F5981" t="s">
        <v>16221</v>
      </c>
      <c r="G5981" t="s">
        <v>16241</v>
      </c>
      <c r="H5981" t="s">
        <v>16241</v>
      </c>
      <c r="I5981" t="s">
        <v>16355</v>
      </c>
      <c r="J5981" t="s">
        <v>16385</v>
      </c>
      <c r="K5981">
        <v>0.126</v>
      </c>
      <c r="L5981">
        <v>5506</v>
      </c>
      <c r="N5981" t="s">
        <v>16393</v>
      </c>
      <c r="O5981" s="4">
        <v>39684</v>
      </c>
      <c r="P5981" s="4">
        <v>146316</v>
      </c>
      <c r="Q5981" s="4">
        <v>186000</v>
      </c>
      <c r="R5981" s="4">
        <v>558000</v>
      </c>
      <c r="S5981" t="s">
        <v>22240</v>
      </c>
      <c r="T5981" s="6">
        <v>44727</v>
      </c>
      <c r="U5981" s="4">
        <v>558000</v>
      </c>
      <c r="V5981" t="s">
        <v>23739</v>
      </c>
      <c r="W5981" t="s">
        <v>27061</v>
      </c>
      <c r="X5981" t="s">
        <v>3</v>
      </c>
      <c r="AA5981" s="5" t="str">
        <f>HYPERLINK("https://www.zillow.com/homes/560-FRANCESCA-LN-ROSELLE-IL-601722808_rb/","check listing")</f>
        <v>check listing</v>
      </c>
      <c r="AB5981" s="5" t="str">
        <f>HYPERLINK("https://propertylookup.dupagecounty.gov/Datalets/Datalet.aspx?UseSearch=no&amp;mode=sales&amp;pin=0208204044","sales record")</f>
        <v>sales record</v>
      </c>
      <c r="AC5981" t="s">
        <v>3</v>
      </c>
      <c r="AD5981">
        <v>41.971343</v>
      </c>
      <c r="AE5981">
        <v>-88.114437</v>
      </c>
      <c r="AF5981" s="5" t="str">
        <f>HYPERLINK("https://www.google.com/maps/search/?api=1&amp;query=41.971343,-88.114437","map")</f>
        <v>map</v>
      </c>
    </row>
    <row r="5982" spans="1:32">
      <c r="A5982" t="s">
        <v>6032</v>
      </c>
      <c r="B5982" t="s">
        <v>13557</v>
      </c>
      <c r="C5982" t="s">
        <v>15966</v>
      </c>
      <c r="D5982" t="s">
        <v>16207</v>
      </c>
      <c r="E5982" t="s">
        <v>16218</v>
      </c>
      <c r="F5982" t="s">
        <v>16221</v>
      </c>
      <c r="G5982" t="s">
        <v>16241</v>
      </c>
      <c r="H5982" t="s">
        <v>16241</v>
      </c>
      <c r="I5982" t="s">
        <v>16355</v>
      </c>
      <c r="J5982" t="s">
        <v>16385</v>
      </c>
      <c r="K5982">
        <v>0.126</v>
      </c>
      <c r="L5982">
        <v>5503</v>
      </c>
      <c r="M5982">
        <v>1451</v>
      </c>
      <c r="N5982" t="s">
        <v>16393</v>
      </c>
      <c r="O5982" s="4">
        <v>38692</v>
      </c>
      <c r="P5982" s="4">
        <v>55546</v>
      </c>
      <c r="Q5982" s="4">
        <v>94238</v>
      </c>
      <c r="R5982" s="4">
        <v>282714</v>
      </c>
      <c r="S5982" t="s">
        <v>22241</v>
      </c>
      <c r="T5982" s="6">
        <v>44348</v>
      </c>
      <c r="U5982" s="4">
        <v>250000</v>
      </c>
      <c r="V5982" t="s">
        <v>23739</v>
      </c>
      <c r="W5982" t="s">
        <v>27062</v>
      </c>
      <c r="X5982" t="s">
        <v>3</v>
      </c>
      <c r="AA5982" s="5" t="str">
        <f>HYPERLINK("https://www.zillow.com/homes/515-WATERBURY-LN-ROSELLE-IL-601722653_rb/","check listing")</f>
        <v>check listing</v>
      </c>
      <c r="AB5982" s="5" t="str">
        <f>HYPERLINK("https://propertylookup.dupagecounty.gov/Datalets/Datalet.aspx?UseSearch=no&amp;mode=sales&amp;pin=0209107015","sales record")</f>
        <v>sales record</v>
      </c>
      <c r="AC5982" t="s">
        <v>3</v>
      </c>
      <c r="AD5982">
        <v>41.973513</v>
      </c>
      <c r="AE5982">
        <v>-88.10889899999999</v>
      </c>
      <c r="AF5982" s="5" t="str">
        <f>HYPERLINK("https://www.google.com/maps/search/?api=1&amp;query=41.973513,-88.108899","map")</f>
        <v>map</v>
      </c>
    </row>
    <row r="5983" spans="1:32">
      <c r="A5983" t="s">
        <v>6033</v>
      </c>
      <c r="B5983" t="s">
        <v>13558</v>
      </c>
      <c r="C5983" t="s">
        <v>15830</v>
      </c>
      <c r="D5983" t="s">
        <v>16207</v>
      </c>
      <c r="E5983" t="s">
        <v>16218</v>
      </c>
      <c r="F5983" t="s">
        <v>16221</v>
      </c>
      <c r="G5983" t="s">
        <v>16241</v>
      </c>
      <c r="H5983" t="s">
        <v>16241</v>
      </c>
      <c r="I5983" t="s">
        <v>16355</v>
      </c>
      <c r="J5983" t="s">
        <v>16385</v>
      </c>
      <c r="K5983">
        <v>0.126</v>
      </c>
      <c r="L5983">
        <v>5503</v>
      </c>
      <c r="M5983">
        <v>1846</v>
      </c>
      <c r="N5983" t="s">
        <v>16393</v>
      </c>
      <c r="O5983" s="4">
        <v>38692</v>
      </c>
      <c r="P5983" s="4">
        <v>87234</v>
      </c>
      <c r="Q5983" s="4">
        <v>125926</v>
      </c>
      <c r="R5983" s="4">
        <v>377778</v>
      </c>
      <c r="S5983" t="s">
        <v>22242</v>
      </c>
      <c r="T5983" s="6">
        <v>38991</v>
      </c>
      <c r="U5983" s="4">
        <v>292500</v>
      </c>
      <c r="V5983" t="s">
        <v>23740</v>
      </c>
      <c r="W5983" t="s">
        <v>27063</v>
      </c>
      <c r="X5983" t="s">
        <v>3</v>
      </c>
      <c r="AA5983" s="5" t="str">
        <f>HYPERLINK("https://www.zillow.com/homes/564-MIDDLETON-DR-ROSELLE-IL-60172_rb/","check listing")</f>
        <v>check listing</v>
      </c>
      <c r="AB5983" s="5" t="str">
        <f>HYPERLINK("https://propertylookup.dupagecounty.gov/Datalets/Datalet.aspx?UseSearch=no&amp;mode=sales&amp;pin=0209110004","sales record")</f>
        <v>sales record</v>
      </c>
      <c r="AC5983" t="s">
        <v>3</v>
      </c>
      <c r="AD5983">
        <v>41.972468</v>
      </c>
      <c r="AE5983">
        <v>-88.105035</v>
      </c>
      <c r="AF5983" s="5" t="str">
        <f>HYPERLINK("https://www.google.com/maps/search/?api=1&amp;query=41.972468,-88.105035","map")</f>
        <v>map</v>
      </c>
    </row>
    <row r="5984" spans="1:32">
      <c r="A5984" t="s">
        <v>6034</v>
      </c>
      <c r="B5984" t="s">
        <v>13559</v>
      </c>
      <c r="C5984" t="s">
        <v>15830</v>
      </c>
      <c r="D5984" t="s">
        <v>16207</v>
      </c>
      <c r="E5984" t="s">
        <v>16218</v>
      </c>
      <c r="F5984" t="s">
        <v>16221</v>
      </c>
      <c r="G5984" t="s">
        <v>16241</v>
      </c>
      <c r="H5984" t="s">
        <v>16241</v>
      </c>
      <c r="I5984" t="s">
        <v>16355</v>
      </c>
      <c r="J5984" t="s">
        <v>16385</v>
      </c>
      <c r="K5984">
        <v>0.126</v>
      </c>
      <c r="L5984">
        <v>5501</v>
      </c>
      <c r="M5984">
        <v>1320</v>
      </c>
      <c r="N5984" t="s">
        <v>16393</v>
      </c>
      <c r="O5984" s="4">
        <v>38692</v>
      </c>
      <c r="P5984" s="4">
        <v>75758</v>
      </c>
      <c r="Q5984" s="4">
        <v>114450</v>
      </c>
      <c r="R5984" s="4">
        <v>343350</v>
      </c>
      <c r="S5984" t="s">
        <v>22243</v>
      </c>
      <c r="T5984" s="6">
        <v>32752</v>
      </c>
      <c r="U5984" s="4">
        <v>117500</v>
      </c>
      <c r="X5984" t="s">
        <v>3</v>
      </c>
      <c r="AA5984" s="5" t="str">
        <f>HYPERLINK("https://www.zillow.com/homes/456-WATERBURY-LN-ROSELLE-IL-60172_rb/","check listing")</f>
        <v>check listing</v>
      </c>
      <c r="AB5984" s="5" t="str">
        <f>HYPERLINK("https://propertylookup.dupagecounty.gov/Datalets/Datalet.aspx?UseSearch=no&amp;mode=sales&amp;pin=0208208009","sales record")</f>
        <v>sales record</v>
      </c>
      <c r="AC5984" t="s">
        <v>3</v>
      </c>
      <c r="AD5984">
        <v>41.97432</v>
      </c>
      <c r="AE5984">
        <v>-88.110563</v>
      </c>
      <c r="AF5984" s="5" t="str">
        <f>HYPERLINK("https://www.google.com/maps/search/?api=1&amp;query=41.97432,-88.110563","map")</f>
        <v>map</v>
      </c>
    </row>
    <row r="5985" spans="1:32">
      <c r="A5985" t="s">
        <v>6035</v>
      </c>
      <c r="B5985" t="s">
        <v>13560</v>
      </c>
      <c r="C5985" t="s">
        <v>15830</v>
      </c>
      <c r="D5985" t="s">
        <v>16207</v>
      </c>
      <c r="E5985" t="s">
        <v>16218</v>
      </c>
      <c r="F5985" t="s">
        <v>16221</v>
      </c>
      <c r="G5985" t="s">
        <v>16241</v>
      </c>
      <c r="H5985" t="s">
        <v>16241</v>
      </c>
      <c r="I5985" t="s">
        <v>16355</v>
      </c>
      <c r="J5985" t="s">
        <v>16385</v>
      </c>
      <c r="K5985">
        <v>0.126</v>
      </c>
      <c r="L5985">
        <v>5499</v>
      </c>
      <c r="M5985">
        <v>1584</v>
      </c>
      <c r="N5985" t="s">
        <v>16393</v>
      </c>
      <c r="O5985" s="4">
        <v>38692</v>
      </c>
      <c r="P5985" s="4">
        <v>78878</v>
      </c>
      <c r="Q5985" s="4">
        <v>117570</v>
      </c>
      <c r="R5985" s="4">
        <v>352710</v>
      </c>
      <c r="S5985" t="s">
        <v>22244</v>
      </c>
      <c r="T5985" s="6">
        <v>43221</v>
      </c>
      <c r="U5985" s="4">
        <v>238000</v>
      </c>
      <c r="V5985" t="s">
        <v>23740</v>
      </c>
      <c r="W5985" t="s">
        <v>27064</v>
      </c>
      <c r="X5985" t="s">
        <v>3</v>
      </c>
      <c r="AA5985" s="5" t="str">
        <f>HYPERLINK("https://www.zillow.com/homes/1145-SINGLETON-DR-ROSELLE-IL-60172_rb/","check listing")</f>
        <v>check listing</v>
      </c>
      <c r="AB5985" s="5" t="str">
        <f>HYPERLINK("https://propertylookup.dupagecounty.gov/Datalets/Datalet.aspx?UseSearch=no&amp;mode=sales&amp;pin=0204313006","sales record")</f>
        <v>sales record</v>
      </c>
      <c r="AC5985" t="s">
        <v>3</v>
      </c>
      <c r="AD5985">
        <v>41.978959</v>
      </c>
      <c r="AE5985">
        <v>-88.10941699999999</v>
      </c>
      <c r="AF5985" s="5" t="str">
        <f>HYPERLINK("https://www.google.com/maps/search/?api=1&amp;query=41.978959,-88.109417","map")</f>
        <v>map</v>
      </c>
    </row>
    <row r="5986" spans="1:32">
      <c r="A5986" t="s">
        <v>6036</v>
      </c>
      <c r="B5986" t="s">
        <v>13561</v>
      </c>
      <c r="C5986" t="s">
        <v>15830</v>
      </c>
      <c r="D5986" t="s">
        <v>16207</v>
      </c>
      <c r="E5986" t="s">
        <v>16218</v>
      </c>
      <c r="F5986" t="s">
        <v>16221</v>
      </c>
      <c r="G5986" t="s">
        <v>16241</v>
      </c>
      <c r="H5986" t="s">
        <v>16241</v>
      </c>
      <c r="I5986" t="s">
        <v>16355</v>
      </c>
      <c r="J5986" t="s">
        <v>16385</v>
      </c>
      <c r="K5986">
        <v>0.126</v>
      </c>
      <c r="L5986">
        <v>5497</v>
      </c>
      <c r="M5986">
        <v>1697</v>
      </c>
      <c r="N5986" t="s">
        <v>16393</v>
      </c>
      <c r="O5986" s="4">
        <v>38692</v>
      </c>
      <c r="P5986" s="4">
        <v>81544</v>
      </c>
      <c r="Q5986" s="4">
        <v>120236</v>
      </c>
      <c r="R5986" s="4">
        <v>360708</v>
      </c>
      <c r="S5986" t="s">
        <v>22245</v>
      </c>
      <c r="T5986" s="6">
        <v>34182</v>
      </c>
      <c r="U5986" s="4">
        <v>136750</v>
      </c>
      <c r="X5986" t="s">
        <v>3</v>
      </c>
      <c r="AA5986" s="5" t="str">
        <f>HYPERLINK("https://www.zillow.com/homes/465-OXFORD-PL-ROSELLE-IL-60172_rb/","check listing")</f>
        <v>check listing</v>
      </c>
      <c r="AB5986" s="5" t="str">
        <f>HYPERLINK("https://propertylookup.dupagecounty.gov/Datalets/Datalet.aspx?UseSearch=no&amp;mode=sales&amp;pin=0209107009","sales record")</f>
        <v>sales record</v>
      </c>
      <c r="AC5986" t="s">
        <v>3</v>
      </c>
      <c r="AD5986">
        <v>41.974304</v>
      </c>
      <c r="AE5986">
        <v>-88.108946</v>
      </c>
      <c r="AF5986" s="5" t="str">
        <f>HYPERLINK("https://www.google.com/maps/search/?api=1&amp;query=41.974304,-88.108946","map")</f>
        <v>map</v>
      </c>
    </row>
    <row r="5987" spans="1:32">
      <c r="A5987" t="s">
        <v>6037</v>
      </c>
      <c r="B5987" t="s">
        <v>13562</v>
      </c>
      <c r="C5987" t="s">
        <v>15830</v>
      </c>
      <c r="D5987" t="s">
        <v>16207</v>
      </c>
      <c r="E5987" t="s">
        <v>16218</v>
      </c>
      <c r="F5987" t="s">
        <v>16221</v>
      </c>
      <c r="G5987" t="s">
        <v>16241</v>
      </c>
      <c r="H5987" t="s">
        <v>16241</v>
      </c>
      <c r="I5987" t="s">
        <v>16355</v>
      </c>
      <c r="J5987" t="s">
        <v>16385</v>
      </c>
      <c r="K5987">
        <v>0.126</v>
      </c>
      <c r="L5987">
        <v>5497</v>
      </c>
      <c r="M5987">
        <v>1319</v>
      </c>
      <c r="N5987" t="s">
        <v>16393</v>
      </c>
      <c r="O5987" s="4">
        <v>38692</v>
      </c>
      <c r="P5987" s="4">
        <v>77599</v>
      </c>
      <c r="Q5987" s="4">
        <v>116291</v>
      </c>
      <c r="R5987" s="4">
        <v>348873</v>
      </c>
      <c r="S5987" t="s">
        <v>22246</v>
      </c>
      <c r="T5987" s="6">
        <v>31472</v>
      </c>
      <c r="U5987" s="4">
        <v>85500</v>
      </c>
      <c r="X5987" t="s">
        <v>3</v>
      </c>
      <c r="AA5987" s="5" t="str">
        <f>HYPERLINK("https://www.zillow.com/homes/560-RADNOR-DR-ROSELLE-IL-60172_rb/","check listing")</f>
        <v>check listing</v>
      </c>
      <c r="AB5987" s="5" t="str">
        <f>HYPERLINK("https://propertylookup.dupagecounty.gov/Datalets/Datalet.aspx?UseSearch=no&amp;mode=sales&amp;pin=0209121023","sales record")</f>
        <v>sales record</v>
      </c>
      <c r="AC5987" t="s">
        <v>3</v>
      </c>
      <c r="AD5987">
        <v>41.972465</v>
      </c>
      <c r="AE5987">
        <v>-88.105994</v>
      </c>
      <c r="AF5987" s="5" t="str">
        <f>HYPERLINK("https://www.google.com/maps/search/?api=1&amp;query=41.972465,-88.105994","map")</f>
        <v>map</v>
      </c>
    </row>
    <row r="5988" spans="1:32">
      <c r="A5988" t="s">
        <v>6038</v>
      </c>
      <c r="B5988" t="s">
        <v>13563</v>
      </c>
      <c r="C5988" t="s">
        <v>15967</v>
      </c>
      <c r="D5988" t="s">
        <v>16207</v>
      </c>
      <c r="E5988" t="s">
        <v>16218</v>
      </c>
      <c r="F5988" t="s">
        <v>16221</v>
      </c>
      <c r="G5988" t="s">
        <v>16241</v>
      </c>
      <c r="H5988" t="s">
        <v>16241</v>
      </c>
      <c r="I5988" t="s">
        <v>16355</v>
      </c>
      <c r="J5988" t="s">
        <v>16385</v>
      </c>
      <c r="K5988">
        <v>0.126</v>
      </c>
      <c r="L5988">
        <v>5497</v>
      </c>
      <c r="N5988" t="s">
        <v>16393</v>
      </c>
      <c r="O5988" s="4">
        <v>39684</v>
      </c>
      <c r="P5988" s="4">
        <v>180316</v>
      </c>
      <c r="Q5988" s="4">
        <v>220000</v>
      </c>
      <c r="R5988" s="4">
        <v>660000</v>
      </c>
      <c r="S5988" t="s">
        <v>22247</v>
      </c>
      <c r="T5988" s="6">
        <v>45903</v>
      </c>
      <c r="U5988" s="4">
        <v>761000</v>
      </c>
      <c r="V5988" t="s">
        <v>23739</v>
      </c>
      <c r="W5988" t="s">
        <v>27065</v>
      </c>
      <c r="X5988" t="s">
        <v>3</v>
      </c>
      <c r="AA5988" s="5" t="str">
        <f>HYPERLINK("https://www.zillow.com/homes/550-FRANCESCA-LN-ROSELLE-IL-60107_rb/","check listing")</f>
        <v>check listing</v>
      </c>
      <c r="AB5988" s="5" t="str">
        <f>HYPERLINK("https://propertylookup.dupagecounty.gov/Datalets/Datalet.aspx?UseSearch=no&amp;mode=sales&amp;pin=0208204045","sales record")</f>
        <v>sales record</v>
      </c>
      <c r="AC5988" t="s">
        <v>3</v>
      </c>
      <c r="AD5988">
        <v>41.971345</v>
      </c>
      <c r="AE5988">
        <v>-88.114639</v>
      </c>
      <c r="AF5988" s="5" t="str">
        <f>HYPERLINK("https://www.google.com/maps/search/?api=1&amp;query=41.971345,-88.114639","map")</f>
        <v>map</v>
      </c>
    </row>
    <row r="5989" spans="1:32">
      <c r="A5989" t="s">
        <v>6039</v>
      </c>
      <c r="B5989" t="s">
        <v>13564</v>
      </c>
      <c r="C5989" t="s">
        <v>15889</v>
      </c>
      <c r="D5989" t="s">
        <v>16207</v>
      </c>
      <c r="E5989" t="s">
        <v>16218</v>
      </c>
      <c r="F5989" t="s">
        <v>16221</v>
      </c>
      <c r="G5989" t="s">
        <v>16241</v>
      </c>
      <c r="H5989" t="s">
        <v>16241</v>
      </c>
      <c r="I5989" t="s">
        <v>16355</v>
      </c>
      <c r="J5989" t="s">
        <v>16385</v>
      </c>
      <c r="K5989">
        <v>0.126</v>
      </c>
      <c r="L5989">
        <v>5491</v>
      </c>
      <c r="M5989">
        <v>1814</v>
      </c>
      <c r="N5989" t="s">
        <v>16393</v>
      </c>
      <c r="O5989" s="4">
        <v>38692</v>
      </c>
      <c r="P5989" s="4">
        <v>77599</v>
      </c>
      <c r="Q5989" s="4">
        <v>116291</v>
      </c>
      <c r="R5989" s="4">
        <v>348873</v>
      </c>
      <c r="S5989" t="s">
        <v>22248</v>
      </c>
      <c r="T5989" s="6">
        <v>42095</v>
      </c>
      <c r="U5989" s="4">
        <v>146520</v>
      </c>
      <c r="V5989" t="s">
        <v>23742</v>
      </c>
      <c r="W5989" t="s">
        <v>27066</v>
      </c>
      <c r="X5989" t="s">
        <v>3</v>
      </c>
      <c r="AA5989" s="5" t="str">
        <f>HYPERLINK("https://www.zillow.com/homes/1145-DARBY-LN-ROSELLE-IL-601721721_rb/","check listing")</f>
        <v>check listing</v>
      </c>
      <c r="AB5989" s="5" t="str">
        <f>HYPERLINK("https://propertylookup.dupagecounty.gov/Datalets/Datalet.aspx?UseSearch=no&amp;mode=sales&amp;pin=0204309072","sales record")</f>
        <v>sales record</v>
      </c>
      <c r="AC5989" t="s">
        <v>3</v>
      </c>
      <c r="AD5989">
        <v>41.977849</v>
      </c>
      <c r="AE5989">
        <v>-88.109144</v>
      </c>
      <c r="AF5989" s="5" t="str">
        <f>HYPERLINK("https://www.google.com/maps/search/?api=1&amp;query=41.977849,-88.109144","map")</f>
        <v>map</v>
      </c>
    </row>
    <row r="5990" spans="1:32">
      <c r="A5990" t="s">
        <v>6040</v>
      </c>
      <c r="B5990" t="s">
        <v>13565</v>
      </c>
      <c r="C5990" t="s">
        <v>15968</v>
      </c>
      <c r="D5990" t="s">
        <v>16207</v>
      </c>
      <c r="E5990" t="s">
        <v>16218</v>
      </c>
      <c r="F5990" t="s">
        <v>16221</v>
      </c>
      <c r="G5990" t="s">
        <v>16241</v>
      </c>
      <c r="H5990" t="s">
        <v>16241</v>
      </c>
      <c r="I5990" t="s">
        <v>16355</v>
      </c>
      <c r="J5990" t="s">
        <v>16385</v>
      </c>
      <c r="K5990">
        <v>0.126</v>
      </c>
      <c r="L5990">
        <v>5487</v>
      </c>
      <c r="M5990">
        <v>1633</v>
      </c>
      <c r="N5990" t="s">
        <v>16393</v>
      </c>
      <c r="O5990" s="4">
        <v>38692</v>
      </c>
      <c r="P5990" s="4">
        <v>82046</v>
      </c>
      <c r="Q5990" s="4">
        <v>120738</v>
      </c>
      <c r="R5990" s="4">
        <v>362214</v>
      </c>
      <c r="S5990" t="s">
        <v>22249</v>
      </c>
      <c r="T5990" s="6">
        <v>44166</v>
      </c>
      <c r="U5990" s="4">
        <v>280000</v>
      </c>
      <c r="V5990" t="s">
        <v>23739</v>
      </c>
      <c r="W5990" t="s">
        <v>27067</v>
      </c>
      <c r="X5990" t="s">
        <v>3</v>
      </c>
      <c r="AA5990" s="5" t="str">
        <f>HYPERLINK("https://www.zillow.com/homes/486-WATERBURY-LN-ROSELLE-IL-601722652_rb/","check listing")</f>
        <v>check listing</v>
      </c>
      <c r="AB5990" s="5" t="str">
        <f>HYPERLINK("https://propertylookup.dupagecounty.gov/Datalets/Datalet.aspx?UseSearch=no&amp;mode=sales&amp;pin=0209104015","sales record")</f>
        <v>sales record</v>
      </c>
      <c r="AC5990" t="s">
        <v>3</v>
      </c>
      <c r="AD5990">
        <v>41.973789</v>
      </c>
      <c r="AE5990">
        <v>-88.10968200000001</v>
      </c>
      <c r="AF5990" s="5" t="str">
        <f>HYPERLINK("https://www.google.com/maps/search/?api=1&amp;query=41.973789,-88.109682","map")</f>
        <v>map</v>
      </c>
    </row>
    <row r="5991" spans="1:32">
      <c r="A5991" t="s">
        <v>6041</v>
      </c>
      <c r="B5991" t="s">
        <v>13566</v>
      </c>
      <c r="C5991" t="s">
        <v>15969</v>
      </c>
      <c r="D5991" t="s">
        <v>16207</v>
      </c>
      <c r="E5991" t="s">
        <v>16218</v>
      </c>
      <c r="F5991" t="s">
        <v>16221</v>
      </c>
      <c r="G5991" t="s">
        <v>16241</v>
      </c>
      <c r="H5991" t="s">
        <v>16241</v>
      </c>
      <c r="I5991" t="s">
        <v>16355</v>
      </c>
      <c r="J5991" t="s">
        <v>16385</v>
      </c>
      <c r="K5991">
        <v>0.126</v>
      </c>
      <c r="L5991">
        <v>5486</v>
      </c>
      <c r="M5991">
        <v>1381</v>
      </c>
      <c r="N5991" t="s">
        <v>16393</v>
      </c>
      <c r="O5991" s="4">
        <v>38692</v>
      </c>
      <c r="P5991" s="4">
        <v>55606</v>
      </c>
      <c r="Q5991" s="4">
        <v>94298</v>
      </c>
      <c r="R5991" s="4">
        <v>282894</v>
      </c>
      <c r="S5991" t="s">
        <v>22250</v>
      </c>
      <c r="T5991" s="6">
        <v>43800</v>
      </c>
      <c r="U5991" s="4">
        <v>212000</v>
      </c>
      <c r="V5991" t="s">
        <v>23739</v>
      </c>
      <c r="W5991" t="s">
        <v>22250</v>
      </c>
      <c r="X5991" t="s">
        <v>3</v>
      </c>
      <c r="AA5991" s="5" t="str">
        <f>HYPERLINK("https://www.zillow.com/homes/739-WOODSIDE-DR-ROSELLE-IL-601722723_rb/","check listing")</f>
        <v>check listing</v>
      </c>
      <c r="AB5991" s="5" t="str">
        <f>HYPERLINK("https://propertylookup.dupagecounty.gov/Datalets/Datalet.aspx?UseSearch=no&amp;mode=sales&amp;pin=0209101041","sales record")</f>
        <v>sales record</v>
      </c>
      <c r="AC5991" t="s">
        <v>3</v>
      </c>
      <c r="AD5991">
        <v>41.969397</v>
      </c>
      <c r="AE5991">
        <v>-88.104517</v>
      </c>
      <c r="AF5991" s="5" t="str">
        <f>HYPERLINK("https://www.google.com/maps/search/?api=1&amp;query=41.969397,-88.104517","map")</f>
        <v>map</v>
      </c>
    </row>
    <row r="5992" spans="1:32">
      <c r="A5992" t="s">
        <v>6042</v>
      </c>
      <c r="B5992" t="s">
        <v>13567</v>
      </c>
      <c r="C5992" t="s">
        <v>15937</v>
      </c>
      <c r="D5992" t="s">
        <v>16207</v>
      </c>
      <c r="E5992" t="s">
        <v>16218</v>
      </c>
      <c r="F5992" t="s">
        <v>16221</v>
      </c>
      <c r="G5992" t="s">
        <v>16241</v>
      </c>
      <c r="H5992" t="s">
        <v>16241</v>
      </c>
      <c r="I5992" t="s">
        <v>16355</v>
      </c>
      <c r="J5992" t="s">
        <v>16385</v>
      </c>
      <c r="K5992">
        <v>0.126</v>
      </c>
      <c r="L5992">
        <v>5484</v>
      </c>
      <c r="M5992">
        <v>1261</v>
      </c>
      <c r="N5992" t="s">
        <v>16393</v>
      </c>
      <c r="O5992" s="4">
        <v>38692</v>
      </c>
      <c r="P5992" s="4">
        <v>78663</v>
      </c>
      <c r="Q5992" s="4">
        <v>117355</v>
      </c>
      <c r="R5992" s="4">
        <v>352065</v>
      </c>
      <c r="S5992" t="s">
        <v>22251</v>
      </c>
      <c r="T5992" s="6">
        <v>44105</v>
      </c>
      <c r="U5992" s="4">
        <v>247000</v>
      </c>
      <c r="V5992" t="s">
        <v>23739</v>
      </c>
      <c r="W5992" t="s">
        <v>22251</v>
      </c>
      <c r="X5992" t="s">
        <v>3</v>
      </c>
      <c r="AA5992" s="5" t="str">
        <f>HYPERLINK("https://www.zillow.com/homes/510-WATERBURY-LN-ROSELLE-IL-601722654_rb/","check listing")</f>
        <v>check listing</v>
      </c>
      <c r="AB5992" s="5" t="str">
        <f>HYPERLINK("https://propertylookup.dupagecounty.gov/Datalets/Datalet.aspx?UseSearch=no&amp;mode=sales&amp;pin=0209104017","sales record")</f>
        <v>sales record</v>
      </c>
      <c r="AC5992" t="s">
        <v>3</v>
      </c>
      <c r="AD5992">
        <v>41.973535</v>
      </c>
      <c r="AE5992">
        <v>-88.109497</v>
      </c>
      <c r="AF5992" s="5" t="str">
        <f>HYPERLINK("https://www.google.com/maps/search/?api=1&amp;query=41.973535,-88.109497","map")</f>
        <v>map</v>
      </c>
    </row>
    <row r="5993" spans="1:32">
      <c r="A5993" t="s">
        <v>6043</v>
      </c>
      <c r="B5993" t="s">
        <v>13568</v>
      </c>
      <c r="C5993" t="s">
        <v>15830</v>
      </c>
      <c r="D5993" t="s">
        <v>16207</v>
      </c>
      <c r="E5993" t="s">
        <v>16218</v>
      </c>
      <c r="F5993" t="s">
        <v>16221</v>
      </c>
      <c r="G5993" t="s">
        <v>16241</v>
      </c>
      <c r="H5993" t="s">
        <v>16241</v>
      </c>
      <c r="I5993" t="s">
        <v>16355</v>
      </c>
      <c r="J5993" t="s">
        <v>16385</v>
      </c>
      <c r="K5993">
        <v>0.126</v>
      </c>
      <c r="L5993">
        <v>5483</v>
      </c>
      <c r="M5993">
        <v>1914</v>
      </c>
      <c r="N5993" t="s">
        <v>16393</v>
      </c>
      <c r="O5993" s="4">
        <v>38692</v>
      </c>
      <c r="P5993" s="4">
        <v>55606</v>
      </c>
      <c r="Q5993" s="4">
        <v>94298</v>
      </c>
      <c r="R5993" s="4">
        <v>282894</v>
      </c>
      <c r="S5993" t="s">
        <v>22252</v>
      </c>
      <c r="T5993" s="6">
        <v>34486</v>
      </c>
      <c r="U5993" s="4">
        <v>110500</v>
      </c>
      <c r="X5993" t="s">
        <v>3</v>
      </c>
      <c r="AA5993" s="5" t="str">
        <f>HYPERLINK("https://www.zillow.com/homes/476-WATERBURY-LN-ROSELLE-IL-60172_rb/","check listing")</f>
        <v>check listing</v>
      </c>
      <c r="AB5993" s="5" t="str">
        <f>HYPERLINK("https://propertylookup.dupagecounty.gov/Datalets/Datalet.aspx?UseSearch=no&amp;mode=sales&amp;pin=0209104013","sales record")</f>
        <v>sales record</v>
      </c>
      <c r="AC5993" t="s">
        <v>3</v>
      </c>
      <c r="AD5993">
        <v>41.974007</v>
      </c>
      <c r="AE5993">
        <v>-88.109937</v>
      </c>
      <c r="AF5993" s="5" t="str">
        <f>HYPERLINK("https://www.google.com/maps/search/?api=1&amp;query=41.974007,-88.109937","map")</f>
        <v>map</v>
      </c>
    </row>
    <row r="5994" spans="1:32">
      <c r="A5994" t="s">
        <v>6044</v>
      </c>
      <c r="B5994" t="s">
        <v>13569</v>
      </c>
      <c r="C5994" t="s">
        <v>15830</v>
      </c>
      <c r="D5994" t="s">
        <v>16207</v>
      </c>
      <c r="E5994" t="s">
        <v>16218</v>
      </c>
      <c r="F5994" t="s">
        <v>16221</v>
      </c>
      <c r="G5994" t="s">
        <v>16241</v>
      </c>
      <c r="H5994" t="s">
        <v>16241</v>
      </c>
      <c r="I5994" t="s">
        <v>16355</v>
      </c>
      <c r="J5994" t="s">
        <v>16385</v>
      </c>
      <c r="K5994">
        <v>0.126</v>
      </c>
      <c r="L5994">
        <v>5475</v>
      </c>
      <c r="M5994">
        <v>1537</v>
      </c>
      <c r="N5994" t="s">
        <v>16393</v>
      </c>
      <c r="O5994" s="4">
        <v>38692</v>
      </c>
      <c r="P5994" s="4">
        <v>75758</v>
      </c>
      <c r="Q5994" s="4">
        <v>114450</v>
      </c>
      <c r="R5994" s="4">
        <v>343350</v>
      </c>
      <c r="S5994" t="s">
        <v>22253</v>
      </c>
      <c r="X5994" t="s">
        <v>3</v>
      </c>
      <c r="AA5994" s="5" t="str">
        <f>HYPERLINK("https://www.zillow.com/homes/1134-SINGLETON-DR-ROSELLE-IL-60172_rb/","check listing")</f>
        <v>check listing</v>
      </c>
      <c r="AB5994" s="5" t="str">
        <f>HYPERLINK("https://propertylookup.dupagecounty.gov/Datalets/Datalet.aspx?UseSearch=no&amp;mode=sales&amp;pin=0204309057","sales record")</f>
        <v>sales record</v>
      </c>
      <c r="AC5994" t="s">
        <v>3</v>
      </c>
      <c r="AD5994">
        <v>41.97937</v>
      </c>
      <c r="AE5994">
        <v>-88.109098</v>
      </c>
      <c r="AF5994" s="5" t="str">
        <f>HYPERLINK("https://www.google.com/maps/search/?api=1&amp;query=41.97937,-88.109098","map")</f>
        <v>map</v>
      </c>
    </row>
    <row r="5995" spans="1:32">
      <c r="A5995" t="s">
        <v>6045</v>
      </c>
      <c r="B5995" t="s">
        <v>13570</v>
      </c>
      <c r="C5995" t="s">
        <v>15964</v>
      </c>
      <c r="D5995" t="s">
        <v>16207</v>
      </c>
      <c r="E5995" t="s">
        <v>16218</v>
      </c>
      <c r="F5995" t="s">
        <v>16221</v>
      </c>
      <c r="G5995" t="s">
        <v>16241</v>
      </c>
      <c r="H5995" t="s">
        <v>16241</v>
      </c>
      <c r="I5995" t="s">
        <v>16355</v>
      </c>
      <c r="J5995" t="s">
        <v>16385</v>
      </c>
      <c r="K5995">
        <v>0.126</v>
      </c>
      <c r="L5995">
        <v>5474</v>
      </c>
      <c r="M5995">
        <v>1705</v>
      </c>
      <c r="N5995" t="s">
        <v>16393</v>
      </c>
      <c r="O5995" s="4">
        <v>38692</v>
      </c>
      <c r="P5995" s="4">
        <v>80360</v>
      </c>
      <c r="Q5995" s="4">
        <v>119052</v>
      </c>
      <c r="R5995" s="4">
        <v>357156</v>
      </c>
      <c r="S5995" t="s">
        <v>22254</v>
      </c>
      <c r="T5995" s="6">
        <v>44105</v>
      </c>
      <c r="U5995" s="4">
        <v>305000</v>
      </c>
      <c r="V5995" t="s">
        <v>23739</v>
      </c>
      <c r="W5995" t="s">
        <v>27068</v>
      </c>
      <c r="X5995" t="s">
        <v>3</v>
      </c>
      <c r="AA5995" s="5" t="str">
        <f>HYPERLINK("https://www.zillow.com/homes/255-RODENBURG-RD-ROSELLE-IL-601721644_rb/","check listing")</f>
        <v>check listing</v>
      </c>
      <c r="AB5995" s="5" t="str">
        <f>HYPERLINK("https://propertylookup.dupagecounty.gov/Datalets/Datalet.aspx?UseSearch=no&amp;mode=sales&amp;pin=0204313015","sales record")</f>
        <v>sales record</v>
      </c>
      <c r="AC5995" t="s">
        <v>3</v>
      </c>
      <c r="AD5995">
        <v>41.978246</v>
      </c>
      <c r="AE5995">
        <v>-88.110116</v>
      </c>
      <c r="AF5995" s="5" t="str">
        <f>HYPERLINK("https://www.google.com/maps/search/?api=1&amp;query=41.978246,-88.110116","map")</f>
        <v>map</v>
      </c>
    </row>
    <row r="5996" spans="1:32">
      <c r="A5996" t="s">
        <v>6046</v>
      </c>
      <c r="B5996" t="s">
        <v>13571</v>
      </c>
      <c r="C5996" t="s">
        <v>15830</v>
      </c>
      <c r="D5996" t="s">
        <v>16207</v>
      </c>
      <c r="E5996" t="s">
        <v>16218</v>
      </c>
      <c r="F5996" t="s">
        <v>16221</v>
      </c>
      <c r="G5996" t="s">
        <v>16241</v>
      </c>
      <c r="H5996" t="s">
        <v>16241</v>
      </c>
      <c r="I5996" t="s">
        <v>16355</v>
      </c>
      <c r="J5996" t="s">
        <v>16385</v>
      </c>
      <c r="K5996">
        <v>0.126</v>
      </c>
      <c r="L5996">
        <v>5474</v>
      </c>
      <c r="M5996">
        <v>1268</v>
      </c>
      <c r="N5996" t="s">
        <v>16393</v>
      </c>
      <c r="O5996" s="4">
        <v>38692</v>
      </c>
      <c r="P5996" s="4">
        <v>86791</v>
      </c>
      <c r="Q5996" s="4">
        <v>125483</v>
      </c>
      <c r="R5996" s="4">
        <v>376449</v>
      </c>
      <c r="S5996" t="s">
        <v>22255</v>
      </c>
      <c r="T5996" s="6">
        <v>44735</v>
      </c>
      <c r="U5996" s="4">
        <v>352000</v>
      </c>
      <c r="V5996" t="s">
        <v>23739</v>
      </c>
      <c r="W5996" t="s">
        <v>27069</v>
      </c>
      <c r="X5996" t="s">
        <v>3</v>
      </c>
      <c r="AA5996" s="5" t="str">
        <f>HYPERLINK("https://www.zillow.com/homes/585-STAFFORD-DR-ROSELLE-IL-60172_rb/","check listing")</f>
        <v>check listing</v>
      </c>
      <c r="AB5996" s="5" t="str">
        <f>HYPERLINK("https://propertylookup.dupagecounty.gov/Datalets/Datalet.aspx?UseSearch=no&amp;mode=sales&amp;pin=0209121004","sales record")</f>
        <v>sales record</v>
      </c>
      <c r="AC5996" t="s">
        <v>3</v>
      </c>
      <c r="AD5996">
        <v>41.972218</v>
      </c>
      <c r="AE5996">
        <v>-88.107828</v>
      </c>
      <c r="AF5996" s="5" t="str">
        <f>HYPERLINK("https://www.google.com/maps/search/?api=1&amp;query=41.972218,-88.107828","map")</f>
        <v>map</v>
      </c>
    </row>
    <row r="5997" spans="1:32">
      <c r="A5997" t="s">
        <v>6047</v>
      </c>
      <c r="B5997" t="s">
        <v>13572</v>
      </c>
      <c r="C5997" t="s">
        <v>15830</v>
      </c>
      <c r="D5997" t="s">
        <v>16207</v>
      </c>
      <c r="E5997" t="s">
        <v>16218</v>
      </c>
      <c r="F5997" t="s">
        <v>16221</v>
      </c>
      <c r="G5997" t="s">
        <v>16241</v>
      </c>
      <c r="H5997" t="s">
        <v>16241</v>
      </c>
      <c r="I5997" t="s">
        <v>16355</v>
      </c>
      <c r="J5997" t="s">
        <v>16385</v>
      </c>
      <c r="K5997">
        <v>0.125</v>
      </c>
      <c r="L5997">
        <v>5465</v>
      </c>
      <c r="M5997">
        <v>1546</v>
      </c>
      <c r="N5997" t="s">
        <v>16393</v>
      </c>
      <c r="O5997" s="4">
        <v>38692</v>
      </c>
      <c r="P5997" s="4">
        <v>75974</v>
      </c>
      <c r="Q5997" s="4">
        <v>114666</v>
      </c>
      <c r="R5997" s="4">
        <v>343998</v>
      </c>
      <c r="S5997" t="s">
        <v>22256</v>
      </c>
      <c r="T5997" s="6">
        <v>37681</v>
      </c>
      <c r="U5997" s="4">
        <v>200000</v>
      </c>
      <c r="V5997" t="s">
        <v>23739</v>
      </c>
      <c r="W5997" t="s">
        <v>27070</v>
      </c>
      <c r="X5997" t="s">
        <v>3</v>
      </c>
      <c r="AA5997" s="5" t="str">
        <f>HYPERLINK("https://www.zillow.com/homes/815-W-BRYN-MAWR-AVE-ROSELLE-IL-60172_rb/","check listing")</f>
        <v>check listing</v>
      </c>
      <c r="AB5997" s="5" t="str">
        <f>HYPERLINK("https://propertylookup.dupagecounty.gov/Datalets/Datalet.aspx?UseSearch=no&amp;mode=sales&amp;pin=0209112010","sales record")</f>
        <v>sales record</v>
      </c>
      <c r="AC5997" t="s">
        <v>3</v>
      </c>
      <c r="AD5997">
        <v>41.973772</v>
      </c>
      <c r="AE5997">
        <v>-88.10106500000001</v>
      </c>
      <c r="AF5997" s="5" t="str">
        <f>HYPERLINK("https://www.google.com/maps/search/?api=1&amp;query=41.973772,-88.101065","map")</f>
        <v>map</v>
      </c>
    </row>
    <row r="5998" spans="1:32">
      <c r="A5998" t="s">
        <v>6048</v>
      </c>
      <c r="B5998" t="s">
        <v>13573</v>
      </c>
      <c r="C5998" t="s">
        <v>15830</v>
      </c>
      <c r="D5998" t="s">
        <v>16207</v>
      </c>
      <c r="E5998" t="s">
        <v>16218</v>
      </c>
      <c r="F5998" t="s">
        <v>16221</v>
      </c>
      <c r="G5998" t="s">
        <v>16241</v>
      </c>
      <c r="H5998" t="s">
        <v>16241</v>
      </c>
      <c r="I5998" t="s">
        <v>16355</v>
      </c>
      <c r="J5998" t="s">
        <v>16385</v>
      </c>
      <c r="K5998">
        <v>0.125</v>
      </c>
      <c r="L5998">
        <v>5454</v>
      </c>
      <c r="M5998">
        <v>1584</v>
      </c>
      <c r="N5998" t="s">
        <v>16393</v>
      </c>
      <c r="O5998" s="4">
        <v>38692</v>
      </c>
      <c r="P5998" s="4">
        <v>77599</v>
      </c>
      <c r="Q5998" s="4">
        <v>116291</v>
      </c>
      <c r="R5998" s="4">
        <v>348873</v>
      </c>
      <c r="S5998" t="s">
        <v>22257</v>
      </c>
      <c r="T5998" s="6">
        <v>37742</v>
      </c>
      <c r="U5998" s="4">
        <v>215000</v>
      </c>
      <c r="V5998" t="s">
        <v>23739</v>
      </c>
      <c r="W5998" t="s">
        <v>27071</v>
      </c>
      <c r="X5998" t="s">
        <v>3</v>
      </c>
      <c r="AA5998" s="5" t="str">
        <f>HYPERLINK("https://www.zillow.com/homes/805-RODENBURG-RD-ROSELLE-IL-60172_rb/","check listing")</f>
        <v>check listing</v>
      </c>
      <c r="AB5998" s="5" t="str">
        <f>HYPERLINK("https://propertylookup.dupagecounty.gov/Datalets/Datalet.aspx?UseSearch=no&amp;mode=sales&amp;pin=0209304006","sales record")</f>
        <v>sales record</v>
      </c>
      <c r="AC5998" t="s">
        <v>3</v>
      </c>
      <c r="AD5998">
        <v>41.968086</v>
      </c>
      <c r="AE5998">
        <v>-88.106405</v>
      </c>
      <c r="AF5998" s="5" t="str">
        <f>HYPERLINK("https://www.google.com/maps/search/?api=1&amp;query=41.968086,-88.106405","map")</f>
        <v>map</v>
      </c>
    </row>
    <row r="5999" spans="1:32">
      <c r="A5999" t="s">
        <v>6049</v>
      </c>
      <c r="B5999" t="s">
        <v>13574</v>
      </c>
      <c r="C5999" t="s">
        <v>15830</v>
      </c>
      <c r="D5999" t="s">
        <v>16207</v>
      </c>
      <c r="E5999" t="s">
        <v>16218</v>
      </c>
      <c r="F5999" t="s">
        <v>16221</v>
      </c>
      <c r="G5999" t="s">
        <v>16241</v>
      </c>
      <c r="H5999" t="s">
        <v>16241</v>
      </c>
      <c r="I5999" t="s">
        <v>16355</v>
      </c>
      <c r="J5999" t="s">
        <v>16385</v>
      </c>
      <c r="K5999">
        <v>0.125</v>
      </c>
      <c r="L5999">
        <v>5433</v>
      </c>
      <c r="M5999">
        <v>1400</v>
      </c>
      <c r="N5999" t="s">
        <v>16393</v>
      </c>
      <c r="O5999" s="4">
        <v>38692</v>
      </c>
      <c r="P5999" s="4">
        <v>78878</v>
      </c>
      <c r="Q5999" s="4">
        <v>117570</v>
      </c>
      <c r="R5999" s="4">
        <v>352710</v>
      </c>
      <c r="S5999" t="s">
        <v>22258</v>
      </c>
      <c r="T5999" s="6">
        <v>33909</v>
      </c>
      <c r="U5999" s="4">
        <v>124500</v>
      </c>
      <c r="X5999" t="s">
        <v>3</v>
      </c>
      <c r="AA5999" s="5" t="str">
        <f>HYPERLINK("https://www.zillow.com/homes/1105-SINGLETON-DR-ROSELLE-IL-60172_rb/","check listing")</f>
        <v>check listing</v>
      </c>
      <c r="AB5999" s="5" t="str">
        <f>HYPERLINK("https://propertylookup.dupagecounty.gov/Datalets/Datalet.aspx?UseSearch=no&amp;mode=sales&amp;pin=0204309064","sales record")</f>
        <v>sales record</v>
      </c>
      <c r="AC5999" t="s">
        <v>27873</v>
      </c>
      <c r="AD5999">
        <v>41.978758</v>
      </c>
      <c r="AE5999">
        <v>-88.108285</v>
      </c>
      <c r="AF5999" s="5" t="str">
        <f>HYPERLINK("https://www.google.com/maps/search/?api=1&amp;query=41.978758,-88.108285","map")</f>
        <v>map</v>
      </c>
    </row>
    <row r="6000" spans="1:32">
      <c r="A6000" t="s">
        <v>6050</v>
      </c>
      <c r="B6000" t="s">
        <v>13575</v>
      </c>
      <c r="C6000" t="s">
        <v>15830</v>
      </c>
      <c r="D6000" t="s">
        <v>16207</v>
      </c>
      <c r="E6000" t="s">
        <v>16218</v>
      </c>
      <c r="F6000" t="s">
        <v>16221</v>
      </c>
      <c r="G6000" t="s">
        <v>16241</v>
      </c>
      <c r="H6000" t="s">
        <v>16241</v>
      </c>
      <c r="I6000" t="s">
        <v>16355</v>
      </c>
      <c r="J6000" t="s">
        <v>16385</v>
      </c>
      <c r="K6000">
        <v>0.124</v>
      </c>
      <c r="L6000">
        <v>5417</v>
      </c>
      <c r="M6000">
        <v>1716</v>
      </c>
      <c r="N6000" t="s">
        <v>16393</v>
      </c>
      <c r="O6000" s="4">
        <v>38692</v>
      </c>
      <c r="P6000" s="4">
        <v>77444</v>
      </c>
      <c r="Q6000" s="4">
        <v>116136</v>
      </c>
      <c r="R6000" s="4">
        <v>348408</v>
      </c>
      <c r="S6000" t="s">
        <v>22259</v>
      </c>
      <c r="T6000" s="6">
        <v>38200</v>
      </c>
      <c r="U6000" s="4">
        <v>244000</v>
      </c>
      <c r="V6000" t="s">
        <v>23739</v>
      </c>
      <c r="W6000" t="s">
        <v>27072</v>
      </c>
      <c r="X6000" t="s">
        <v>3</v>
      </c>
      <c r="AA6000" s="5" t="str">
        <f>HYPERLINK("https://www.zillow.com/homes/495-WATERBURY-LN-ROSELLE-IL-60172_rb/","check listing")</f>
        <v>check listing</v>
      </c>
      <c r="AB6000" s="5" t="str">
        <f>HYPERLINK("https://propertylookup.dupagecounty.gov/Datalets/Datalet.aspx?UseSearch=no&amp;mode=sales&amp;pin=0209107014","sales record")</f>
        <v>sales record</v>
      </c>
      <c r="AC6000" t="s">
        <v>3</v>
      </c>
      <c r="AD6000">
        <v>41.973655</v>
      </c>
      <c r="AE6000">
        <v>-88.108951</v>
      </c>
      <c r="AF6000" s="5" t="str">
        <f>HYPERLINK("https://www.google.com/maps/search/?api=1&amp;query=41.973655,-88.108951","map")</f>
        <v>map</v>
      </c>
    </row>
    <row r="6001" spans="1:32">
      <c r="A6001" t="s">
        <v>6051</v>
      </c>
      <c r="B6001" t="s">
        <v>13576</v>
      </c>
      <c r="C6001" t="s">
        <v>15830</v>
      </c>
      <c r="D6001" t="s">
        <v>16207</v>
      </c>
      <c r="E6001" t="s">
        <v>16218</v>
      </c>
      <c r="F6001" t="s">
        <v>16221</v>
      </c>
      <c r="G6001" t="s">
        <v>16241</v>
      </c>
      <c r="H6001" t="s">
        <v>16241</v>
      </c>
      <c r="I6001" t="s">
        <v>16355</v>
      </c>
      <c r="J6001" t="s">
        <v>16385</v>
      </c>
      <c r="K6001">
        <v>0.124</v>
      </c>
      <c r="L6001">
        <v>5415</v>
      </c>
      <c r="M6001">
        <v>1452</v>
      </c>
      <c r="N6001" t="s">
        <v>16393</v>
      </c>
      <c r="O6001" s="4">
        <v>38692</v>
      </c>
      <c r="P6001" s="4">
        <v>76320</v>
      </c>
      <c r="Q6001" s="4">
        <v>115012</v>
      </c>
      <c r="R6001" s="4">
        <v>345036</v>
      </c>
      <c r="S6001" t="s">
        <v>22260</v>
      </c>
      <c r="T6001" s="6">
        <v>36951</v>
      </c>
      <c r="U6001" s="4">
        <v>184000</v>
      </c>
      <c r="V6001" t="s">
        <v>23739</v>
      </c>
      <c r="W6001" t="s">
        <v>27073</v>
      </c>
      <c r="X6001" t="s">
        <v>3</v>
      </c>
      <c r="AA6001" s="5" t="str">
        <f>HYPERLINK("https://www.zillow.com/homes/530-DOVER-DR-ROSELLE-IL-60172_rb/","check listing")</f>
        <v>check listing</v>
      </c>
      <c r="AB6001" s="5" t="str">
        <f>HYPERLINK("https://propertylookup.dupagecounty.gov/Datalets/Datalet.aspx?UseSearch=no&amp;mode=sales&amp;pin=0208207035","sales record")</f>
        <v>sales record</v>
      </c>
      <c r="AC6001" t="s">
        <v>3</v>
      </c>
      <c r="AD6001">
        <v>41.973045</v>
      </c>
      <c r="AE6001">
        <v>-88.11162899999999</v>
      </c>
      <c r="AF6001" s="5" t="str">
        <f>HYPERLINK("https://www.google.com/maps/search/?api=1&amp;query=41.973045,-88.111629","map")</f>
        <v>map</v>
      </c>
    </row>
    <row r="6002" spans="1:32">
      <c r="A6002" t="s">
        <v>6052</v>
      </c>
      <c r="B6002" t="s">
        <v>13577</v>
      </c>
      <c r="C6002" t="s">
        <v>15910</v>
      </c>
      <c r="D6002" t="s">
        <v>16207</v>
      </c>
      <c r="E6002" t="s">
        <v>16218</v>
      </c>
      <c r="F6002" t="s">
        <v>16221</v>
      </c>
      <c r="G6002" t="s">
        <v>16241</v>
      </c>
      <c r="H6002" t="s">
        <v>16241</v>
      </c>
      <c r="I6002" t="s">
        <v>16355</v>
      </c>
      <c r="J6002" t="s">
        <v>16385</v>
      </c>
      <c r="K6002">
        <v>0.124</v>
      </c>
      <c r="L6002">
        <v>5404</v>
      </c>
      <c r="M6002">
        <v>986</v>
      </c>
      <c r="N6002" t="s">
        <v>16393</v>
      </c>
      <c r="O6002" s="4">
        <v>38692</v>
      </c>
      <c r="P6002" s="4">
        <v>81341</v>
      </c>
      <c r="Q6002" s="4">
        <v>120033</v>
      </c>
      <c r="R6002" s="4">
        <v>360099</v>
      </c>
      <c r="S6002" t="s">
        <v>22261</v>
      </c>
      <c r="T6002" s="6">
        <v>45880</v>
      </c>
      <c r="U6002" s="4">
        <v>445000</v>
      </c>
      <c r="V6002" t="s">
        <v>23739</v>
      </c>
      <c r="W6002" t="s">
        <v>27074</v>
      </c>
      <c r="X6002" t="s">
        <v>3</v>
      </c>
      <c r="AA6002" s="5" t="str">
        <f>HYPERLINK("https://www.zillow.com/homes/865-W-BRYN-MAWR-AVE-ROSELLE-IL-601722819_rb/","check listing")</f>
        <v>check listing</v>
      </c>
      <c r="AB6002" s="5" t="str">
        <f>HYPERLINK("https://propertylookup.dupagecounty.gov/Datalets/Datalet.aspx?UseSearch=no&amp;mode=sales&amp;pin=0209112004","sales record")</f>
        <v>sales record</v>
      </c>
      <c r="AC6002" t="s">
        <v>3</v>
      </c>
      <c r="AD6002">
        <v>41.973494</v>
      </c>
      <c r="AE6002">
        <v>-88.102124</v>
      </c>
      <c r="AF6002" s="5" t="str">
        <f>HYPERLINK("https://www.google.com/maps/search/?api=1&amp;query=41.973494,-88.102124","map")</f>
        <v>map</v>
      </c>
    </row>
    <row r="6003" spans="1:32">
      <c r="A6003" t="s">
        <v>6053</v>
      </c>
      <c r="B6003" t="s">
        <v>13578</v>
      </c>
      <c r="C6003" t="s">
        <v>15830</v>
      </c>
      <c r="D6003" t="s">
        <v>16207</v>
      </c>
      <c r="E6003" t="s">
        <v>16218</v>
      </c>
      <c r="F6003" t="s">
        <v>16221</v>
      </c>
      <c r="G6003" t="s">
        <v>16241</v>
      </c>
      <c r="H6003" t="s">
        <v>16241</v>
      </c>
      <c r="I6003" t="s">
        <v>16355</v>
      </c>
      <c r="J6003" t="s">
        <v>16385</v>
      </c>
      <c r="K6003">
        <v>0.124</v>
      </c>
      <c r="L6003">
        <v>5399</v>
      </c>
      <c r="M6003">
        <v>1452</v>
      </c>
      <c r="N6003" t="s">
        <v>16393</v>
      </c>
      <c r="O6003" s="4">
        <v>38692</v>
      </c>
      <c r="P6003" s="4">
        <v>77599</v>
      </c>
      <c r="Q6003" s="4">
        <v>116291</v>
      </c>
      <c r="R6003" s="4">
        <v>348873</v>
      </c>
      <c r="S6003" t="s">
        <v>22262</v>
      </c>
      <c r="T6003" s="6">
        <v>31809</v>
      </c>
      <c r="U6003" s="4">
        <v>97150</v>
      </c>
      <c r="X6003" t="s">
        <v>3</v>
      </c>
      <c r="AA6003" s="5" t="str">
        <f>HYPERLINK("https://www.zillow.com/homes/605-MIDDLETON-DR-ROSELLE-IL-60172_rb/","check listing")</f>
        <v>check listing</v>
      </c>
      <c r="AB6003" s="5" t="str">
        <f>HYPERLINK("https://propertylookup.dupagecounty.gov/Datalets/Datalet.aspx?UseSearch=no&amp;mode=sales&amp;pin=0209101014","sales record")</f>
        <v>sales record</v>
      </c>
      <c r="AC6003" t="s">
        <v>3</v>
      </c>
      <c r="AD6003">
        <v>41.971889</v>
      </c>
      <c r="AE6003">
        <v>-88.104429</v>
      </c>
      <c r="AF6003" s="5" t="str">
        <f>HYPERLINK("https://www.google.com/maps/search/?api=1&amp;query=41.971889,-88.104429","map")</f>
        <v>map</v>
      </c>
    </row>
    <row r="6004" spans="1:32">
      <c r="A6004" t="s">
        <v>6054</v>
      </c>
      <c r="B6004" t="s">
        <v>13579</v>
      </c>
      <c r="C6004" t="s">
        <v>15905</v>
      </c>
      <c r="D6004" t="s">
        <v>16207</v>
      </c>
      <c r="E6004" t="s">
        <v>16218</v>
      </c>
      <c r="F6004" t="s">
        <v>16221</v>
      </c>
      <c r="G6004" t="s">
        <v>16241</v>
      </c>
      <c r="H6004" t="s">
        <v>16241</v>
      </c>
      <c r="I6004" t="s">
        <v>16355</v>
      </c>
      <c r="J6004" t="s">
        <v>16385</v>
      </c>
      <c r="K6004">
        <v>0.124</v>
      </c>
      <c r="L6004">
        <v>5399</v>
      </c>
      <c r="M6004">
        <v>1929</v>
      </c>
      <c r="N6004" t="s">
        <v>16393</v>
      </c>
      <c r="O6004" s="4">
        <v>38692</v>
      </c>
      <c r="P6004" s="4">
        <v>60494</v>
      </c>
      <c r="Q6004" s="4">
        <v>99186</v>
      </c>
      <c r="R6004" s="4">
        <v>297558</v>
      </c>
      <c r="S6004" t="s">
        <v>22263</v>
      </c>
      <c r="T6004" s="6">
        <v>44287</v>
      </c>
      <c r="U6004" s="4">
        <v>244000</v>
      </c>
      <c r="V6004" t="s">
        <v>23739</v>
      </c>
      <c r="W6004" t="s">
        <v>27075</v>
      </c>
      <c r="X6004" t="s">
        <v>3</v>
      </c>
      <c r="AA6004" s="5" t="str">
        <f>HYPERLINK("https://www.zillow.com/homes/580-MIDDLETON-DR-ROSELLE-IL-601722714_rb/","check listing")</f>
        <v>check listing</v>
      </c>
      <c r="AB6004" s="5" t="str">
        <f>HYPERLINK("https://propertylookup.dupagecounty.gov/Datalets/Datalet.aspx?UseSearch=no&amp;mode=sales&amp;pin=0209110006","sales record")</f>
        <v>sales record</v>
      </c>
      <c r="AC6004" t="s">
        <v>3</v>
      </c>
      <c r="AD6004">
        <v>41.972158</v>
      </c>
      <c r="AE6004">
        <v>-88.10498699999999</v>
      </c>
      <c r="AF6004" s="5" t="str">
        <f>HYPERLINK("https://www.google.com/maps/search/?api=1&amp;query=41.972158,-88.104987","map")</f>
        <v>map</v>
      </c>
    </row>
    <row r="6005" spans="1:32">
      <c r="A6005" t="s">
        <v>6055</v>
      </c>
      <c r="B6005" t="s">
        <v>13580</v>
      </c>
      <c r="C6005" t="s">
        <v>15830</v>
      </c>
      <c r="D6005" t="s">
        <v>16207</v>
      </c>
      <c r="E6005" t="s">
        <v>16218</v>
      </c>
      <c r="F6005" t="s">
        <v>16221</v>
      </c>
      <c r="G6005" t="s">
        <v>16241</v>
      </c>
      <c r="H6005" t="s">
        <v>16241</v>
      </c>
      <c r="I6005" t="s">
        <v>16355</v>
      </c>
      <c r="J6005" t="s">
        <v>16385</v>
      </c>
      <c r="K6005">
        <v>0.124</v>
      </c>
      <c r="L6005">
        <v>5392</v>
      </c>
      <c r="M6005">
        <v>1088</v>
      </c>
      <c r="N6005" t="s">
        <v>16393</v>
      </c>
      <c r="O6005" s="4">
        <v>38692</v>
      </c>
      <c r="P6005" s="4">
        <v>78447</v>
      </c>
      <c r="Q6005" s="4">
        <v>117139</v>
      </c>
      <c r="R6005" s="4">
        <v>351417</v>
      </c>
      <c r="S6005" t="s">
        <v>22264</v>
      </c>
      <c r="T6005" s="6">
        <v>39904</v>
      </c>
      <c r="U6005" s="4">
        <v>181000</v>
      </c>
      <c r="V6005" t="s">
        <v>23739</v>
      </c>
      <c r="W6005" t="s">
        <v>22264</v>
      </c>
      <c r="X6005" t="s">
        <v>3</v>
      </c>
      <c r="AA6005" s="5" t="str">
        <f>HYPERLINK("https://www.zillow.com/homes/410-GARDEN-AVE-ROSELLE-IL-60172_rb/","check listing")</f>
        <v>check listing</v>
      </c>
      <c r="AB6005" s="5" t="str">
        <f>HYPERLINK("https://propertylookup.dupagecounty.gov/Datalets/Datalet.aspx?UseSearch=no&amp;mode=sales&amp;pin=0209108003","sales record")</f>
        <v>sales record</v>
      </c>
      <c r="AC6005" t="s">
        <v>3</v>
      </c>
      <c r="AD6005">
        <v>41.97514</v>
      </c>
      <c r="AE6005">
        <v>-88.10459299999999</v>
      </c>
      <c r="AF6005" s="5" t="str">
        <f>HYPERLINK("https://www.google.com/maps/search/?api=1&amp;query=41.97514,-88.104593","map")</f>
        <v>map</v>
      </c>
    </row>
    <row r="6006" spans="1:32">
      <c r="A6006" t="s">
        <v>6056</v>
      </c>
      <c r="B6006" t="s">
        <v>13581</v>
      </c>
      <c r="C6006" t="s">
        <v>15830</v>
      </c>
      <c r="D6006" t="s">
        <v>16207</v>
      </c>
      <c r="E6006" t="s">
        <v>16218</v>
      </c>
      <c r="F6006" t="s">
        <v>16221</v>
      </c>
      <c r="G6006" t="s">
        <v>16241</v>
      </c>
      <c r="H6006" t="s">
        <v>16241</v>
      </c>
      <c r="I6006" t="s">
        <v>16355</v>
      </c>
      <c r="J6006" t="s">
        <v>16385</v>
      </c>
      <c r="K6006">
        <v>0.124</v>
      </c>
      <c r="L6006">
        <v>5391</v>
      </c>
      <c r="M6006">
        <v>1540</v>
      </c>
      <c r="N6006" t="s">
        <v>16393</v>
      </c>
      <c r="O6006" s="4">
        <v>38692</v>
      </c>
      <c r="P6006" s="4">
        <v>55546</v>
      </c>
      <c r="Q6006" s="4">
        <v>94238</v>
      </c>
      <c r="R6006" s="4">
        <v>282714</v>
      </c>
      <c r="S6006" t="s">
        <v>22265</v>
      </c>
      <c r="T6006" s="6">
        <v>37500</v>
      </c>
      <c r="U6006" s="4">
        <v>158000</v>
      </c>
      <c r="V6006" t="s">
        <v>23739</v>
      </c>
      <c r="W6006" t="s">
        <v>22265</v>
      </c>
      <c r="X6006" t="s">
        <v>3</v>
      </c>
      <c r="AA6006" s="5" t="str">
        <f>HYPERLINK("https://www.zillow.com/homes/1135-SINGLETON-DR-ROSELLE-IL-60172_rb/","check listing")</f>
        <v>check listing</v>
      </c>
      <c r="AB6006" s="5" t="str">
        <f>HYPERLINK("https://propertylookup.dupagecounty.gov/Datalets/Datalet.aspx?UseSearch=no&amp;mode=sales&amp;pin=0204313007","sales record")</f>
        <v>sales record</v>
      </c>
      <c r="AC6006" t="s">
        <v>3</v>
      </c>
      <c r="AD6006">
        <v>41.978952</v>
      </c>
      <c r="AE6006">
        <v>-88.109217</v>
      </c>
      <c r="AF6006" s="5" t="str">
        <f>HYPERLINK("https://www.google.com/maps/search/?api=1&amp;query=41.978952,-88.109217","map")</f>
        <v>map</v>
      </c>
    </row>
    <row r="6007" spans="1:32">
      <c r="A6007" t="s">
        <v>6057</v>
      </c>
      <c r="B6007" t="s">
        <v>13582</v>
      </c>
      <c r="C6007" t="s">
        <v>15970</v>
      </c>
      <c r="D6007" t="s">
        <v>16207</v>
      </c>
      <c r="E6007" t="s">
        <v>16218</v>
      </c>
      <c r="F6007" t="s">
        <v>16221</v>
      </c>
      <c r="G6007" t="s">
        <v>16241</v>
      </c>
      <c r="H6007" t="s">
        <v>16241</v>
      </c>
      <c r="I6007" t="s">
        <v>16355</v>
      </c>
      <c r="J6007" t="s">
        <v>16385</v>
      </c>
      <c r="K6007">
        <v>0.124</v>
      </c>
      <c r="L6007">
        <v>5388</v>
      </c>
      <c r="M6007">
        <v>1451</v>
      </c>
      <c r="N6007" t="s">
        <v>16393</v>
      </c>
      <c r="O6007" s="4">
        <v>38692</v>
      </c>
      <c r="P6007" s="4">
        <v>74934</v>
      </c>
      <c r="Q6007" s="4">
        <v>113626</v>
      </c>
      <c r="R6007" s="4">
        <v>340878</v>
      </c>
      <c r="S6007" t="s">
        <v>22266</v>
      </c>
      <c r="T6007" s="6">
        <v>44957</v>
      </c>
      <c r="U6007" s="4">
        <v>325000</v>
      </c>
      <c r="V6007" t="s">
        <v>23739</v>
      </c>
      <c r="W6007" t="s">
        <v>27076</v>
      </c>
      <c r="X6007" t="s">
        <v>3</v>
      </c>
      <c r="AA6007" s="5" t="str">
        <f>HYPERLINK("https://www.zillow.com/homes/560-DOVER-DR-ROSELLE-IL-601722611_rb/","check listing")</f>
        <v>check listing</v>
      </c>
      <c r="AB6007" s="5" t="str">
        <f>HYPERLINK("https://propertylookup.dupagecounty.gov/Datalets/Datalet.aspx?UseSearch=no&amp;mode=sales&amp;pin=0208207038","sales record")</f>
        <v>sales record</v>
      </c>
      <c r="AC6007" t="s">
        <v>3</v>
      </c>
      <c r="AD6007">
        <v>41.972612</v>
      </c>
      <c r="AE6007">
        <v>-88.111434</v>
      </c>
      <c r="AF6007" s="5" t="str">
        <f>HYPERLINK("https://www.google.com/maps/search/?api=1&amp;query=41.972612,-88.111434","map")</f>
        <v>map</v>
      </c>
    </row>
    <row r="6008" spans="1:32">
      <c r="A6008" t="s">
        <v>6058</v>
      </c>
      <c r="B6008" t="s">
        <v>13583</v>
      </c>
      <c r="C6008" t="s">
        <v>15830</v>
      </c>
      <c r="D6008" t="s">
        <v>16207</v>
      </c>
      <c r="E6008" t="s">
        <v>16218</v>
      </c>
      <c r="F6008" t="s">
        <v>16221</v>
      </c>
      <c r="G6008" t="s">
        <v>16241</v>
      </c>
      <c r="H6008" t="s">
        <v>16241</v>
      </c>
      <c r="I6008" t="s">
        <v>16355</v>
      </c>
      <c r="J6008" t="s">
        <v>16385</v>
      </c>
      <c r="K6008">
        <v>0.124</v>
      </c>
      <c r="L6008">
        <v>5384</v>
      </c>
      <c r="M6008">
        <v>1551</v>
      </c>
      <c r="N6008" t="s">
        <v>16393</v>
      </c>
      <c r="O6008" s="4">
        <v>38692</v>
      </c>
      <c r="P6008" s="4">
        <v>75974</v>
      </c>
      <c r="Q6008" s="4">
        <v>114666</v>
      </c>
      <c r="R6008" s="4">
        <v>343998</v>
      </c>
      <c r="S6008" t="s">
        <v>22267</v>
      </c>
      <c r="T6008" s="6">
        <v>33664</v>
      </c>
      <c r="U6008" s="4">
        <v>125000</v>
      </c>
      <c r="X6008" t="s">
        <v>3</v>
      </c>
      <c r="AA6008" s="5" t="str">
        <f>HYPERLINK("https://www.zillow.com/homes/795-W-BRYN-MAWR-AVE-ROSELLE-IL-60172_rb/","check listing")</f>
        <v>check listing</v>
      </c>
      <c r="AB6008" s="5" t="str">
        <f>HYPERLINK("https://propertylookup.dupagecounty.gov/Datalets/Datalet.aspx?UseSearch=no&amp;mode=sales&amp;pin=0209209001","sales record")</f>
        <v>sales record</v>
      </c>
      <c r="AC6008" t="s">
        <v>3</v>
      </c>
      <c r="AD6008">
        <v>41.97394</v>
      </c>
      <c r="AE6008">
        <v>-88.10054700000001</v>
      </c>
      <c r="AF6008" s="5" t="str">
        <f>HYPERLINK("https://www.google.com/maps/search/?api=1&amp;query=41.97394,-88.100547","map")</f>
        <v>map</v>
      </c>
    </row>
    <row r="6009" spans="1:32">
      <c r="A6009" t="s">
        <v>6059</v>
      </c>
      <c r="B6009" t="s">
        <v>13584</v>
      </c>
      <c r="C6009" t="s">
        <v>15830</v>
      </c>
      <c r="D6009" t="s">
        <v>16207</v>
      </c>
      <c r="E6009" t="s">
        <v>16218</v>
      </c>
      <c r="F6009" t="s">
        <v>16221</v>
      </c>
      <c r="G6009" t="s">
        <v>16241</v>
      </c>
      <c r="H6009" t="s">
        <v>16241</v>
      </c>
      <c r="I6009" t="s">
        <v>16355</v>
      </c>
      <c r="J6009" t="s">
        <v>16385</v>
      </c>
      <c r="K6009">
        <v>0.124</v>
      </c>
      <c r="L6009">
        <v>5382</v>
      </c>
      <c r="M6009">
        <v>1451</v>
      </c>
      <c r="N6009" t="s">
        <v>16393</v>
      </c>
      <c r="O6009" s="4">
        <v>38692</v>
      </c>
      <c r="P6009" s="4">
        <v>81687</v>
      </c>
      <c r="Q6009" s="4">
        <v>120379</v>
      </c>
      <c r="R6009" s="4">
        <v>361137</v>
      </c>
      <c r="S6009" t="s">
        <v>22268</v>
      </c>
      <c r="T6009" s="6">
        <v>33878</v>
      </c>
      <c r="U6009" s="4">
        <v>136000</v>
      </c>
      <c r="X6009" t="s">
        <v>3</v>
      </c>
      <c r="AA6009" s="5" t="str">
        <f>HYPERLINK("https://www.zillow.com/homes/540-DOVER-DR-ROSELLE-IL-60172_rb/","check listing")</f>
        <v>check listing</v>
      </c>
      <c r="AB6009" s="5" t="str">
        <f>HYPERLINK("https://propertylookup.dupagecounty.gov/Datalets/Datalet.aspx?UseSearch=no&amp;mode=sales&amp;pin=0208207036","sales record")</f>
        <v>sales record</v>
      </c>
      <c r="AC6009" t="s">
        <v>3</v>
      </c>
      <c r="AD6009">
        <v>41.972907</v>
      </c>
      <c r="AE6009">
        <v>-88.111566</v>
      </c>
      <c r="AF6009" s="5" t="str">
        <f>HYPERLINK("https://www.google.com/maps/search/?api=1&amp;query=41.972907,-88.111566","map")</f>
        <v>map</v>
      </c>
    </row>
    <row r="6010" spans="1:32">
      <c r="A6010" t="s">
        <v>6060</v>
      </c>
      <c r="B6010" t="s">
        <v>13585</v>
      </c>
      <c r="C6010" t="s">
        <v>15830</v>
      </c>
      <c r="D6010" t="s">
        <v>16207</v>
      </c>
      <c r="E6010" t="s">
        <v>16218</v>
      </c>
      <c r="F6010" t="s">
        <v>16221</v>
      </c>
      <c r="G6010" t="s">
        <v>16241</v>
      </c>
      <c r="H6010" t="s">
        <v>16241</v>
      </c>
      <c r="I6010" t="s">
        <v>16355</v>
      </c>
      <c r="J6010" t="s">
        <v>16385</v>
      </c>
      <c r="K6010">
        <v>0.124</v>
      </c>
      <c r="L6010">
        <v>5381</v>
      </c>
      <c r="M6010">
        <v>1691</v>
      </c>
      <c r="N6010" t="s">
        <v>16393</v>
      </c>
      <c r="O6010" s="4">
        <v>38692</v>
      </c>
      <c r="P6010" s="4">
        <v>68335</v>
      </c>
      <c r="Q6010" s="4">
        <v>107027</v>
      </c>
      <c r="R6010" s="4">
        <v>321081</v>
      </c>
      <c r="S6010" t="s">
        <v>22269</v>
      </c>
      <c r="T6010" s="6">
        <v>35886</v>
      </c>
      <c r="U6010" s="4">
        <v>145000</v>
      </c>
      <c r="X6010" t="s">
        <v>3</v>
      </c>
      <c r="AA6010" s="5" t="str">
        <f>HYPERLINK("https://www.zillow.com/homes/490-DOVER-DR-ROSELLE-IL-60172_rb/","check listing")</f>
        <v>check listing</v>
      </c>
      <c r="AB6010" s="5" t="str">
        <f>HYPERLINK("https://propertylookup.dupagecounty.gov/Datalets/Datalet.aspx?UseSearch=no&amp;mode=sales&amp;pin=0208207031","sales record")</f>
        <v>sales record</v>
      </c>
      <c r="AC6010" t="s">
        <v>3</v>
      </c>
      <c r="AD6010">
        <v>41.973606</v>
      </c>
      <c r="AE6010">
        <v>-88.111762</v>
      </c>
      <c r="AF6010" s="5" t="str">
        <f>HYPERLINK("https://www.google.com/maps/search/?api=1&amp;query=41.973606,-88.111762","map")</f>
        <v>map</v>
      </c>
    </row>
    <row r="6011" spans="1:32">
      <c r="A6011" t="s">
        <v>6061</v>
      </c>
      <c r="B6011" t="s">
        <v>13586</v>
      </c>
      <c r="C6011" t="s">
        <v>15830</v>
      </c>
      <c r="D6011" t="s">
        <v>16207</v>
      </c>
      <c r="E6011" t="s">
        <v>16218</v>
      </c>
      <c r="F6011" t="s">
        <v>16221</v>
      </c>
      <c r="G6011" t="s">
        <v>16241</v>
      </c>
      <c r="H6011" t="s">
        <v>16241</v>
      </c>
      <c r="I6011" t="s">
        <v>16355</v>
      </c>
      <c r="J6011" t="s">
        <v>16385</v>
      </c>
      <c r="K6011">
        <v>0.123</v>
      </c>
      <c r="L6011">
        <v>5379</v>
      </c>
      <c r="M6011">
        <v>1187</v>
      </c>
      <c r="N6011" t="s">
        <v>16393</v>
      </c>
      <c r="O6011" s="4">
        <v>38692</v>
      </c>
      <c r="P6011" s="4">
        <v>75843</v>
      </c>
      <c r="Q6011" s="4">
        <v>114535</v>
      </c>
      <c r="R6011" s="4">
        <v>343605</v>
      </c>
      <c r="S6011" t="s">
        <v>22270</v>
      </c>
      <c r="T6011" s="6">
        <v>32356</v>
      </c>
      <c r="U6011" s="4">
        <v>115000</v>
      </c>
      <c r="X6011" t="s">
        <v>3</v>
      </c>
      <c r="AA6011" s="5" t="str">
        <f>HYPERLINK("https://www.zillow.com/homes/510-DOVER-DR-ROSELLE-IL-60172_rb/","check listing")</f>
        <v>check listing</v>
      </c>
      <c r="AB6011" s="5" t="str">
        <f>HYPERLINK("https://propertylookup.dupagecounty.gov/Datalets/Datalet.aspx?UseSearch=no&amp;mode=sales&amp;pin=0208207033","sales record")</f>
        <v>sales record</v>
      </c>
      <c r="AC6011" t="s">
        <v>3</v>
      </c>
      <c r="AD6011">
        <v>41.973307</v>
      </c>
      <c r="AE6011">
        <v>-88.111715</v>
      </c>
      <c r="AF6011" s="5" t="str">
        <f>HYPERLINK("https://www.google.com/maps/search/?api=1&amp;query=41.973307,-88.111715","map")</f>
        <v>map</v>
      </c>
    </row>
    <row r="6012" spans="1:32">
      <c r="A6012" t="s">
        <v>6062</v>
      </c>
      <c r="B6012" t="s">
        <v>13587</v>
      </c>
      <c r="C6012" t="s">
        <v>15830</v>
      </c>
      <c r="D6012" t="s">
        <v>16207</v>
      </c>
      <c r="E6012" t="s">
        <v>16218</v>
      </c>
      <c r="F6012" t="s">
        <v>16221</v>
      </c>
      <c r="G6012" t="s">
        <v>16241</v>
      </c>
      <c r="H6012" t="s">
        <v>16241</v>
      </c>
      <c r="I6012" t="s">
        <v>16355</v>
      </c>
      <c r="J6012" t="s">
        <v>16385</v>
      </c>
      <c r="K6012">
        <v>0.123</v>
      </c>
      <c r="L6012">
        <v>5378</v>
      </c>
      <c r="M6012">
        <v>1632</v>
      </c>
      <c r="N6012" t="s">
        <v>16393</v>
      </c>
      <c r="O6012" s="4">
        <v>38692</v>
      </c>
      <c r="P6012" s="4">
        <v>79942</v>
      </c>
      <c r="Q6012" s="4">
        <v>118634</v>
      </c>
      <c r="R6012" s="4">
        <v>355902</v>
      </c>
      <c r="S6012" t="s">
        <v>22271</v>
      </c>
      <c r="T6012" s="6">
        <v>37803</v>
      </c>
      <c r="U6012" s="4">
        <v>199900</v>
      </c>
      <c r="V6012" t="s">
        <v>23739</v>
      </c>
      <c r="W6012" t="s">
        <v>27077</v>
      </c>
      <c r="X6012" t="s">
        <v>3</v>
      </c>
      <c r="AA6012" s="5" t="str">
        <f>HYPERLINK("https://www.zillow.com/homes/440-DOVER-DR-ROSELLE-IL-60172_rb/","check listing")</f>
        <v>check listing</v>
      </c>
      <c r="AB6012" s="5" t="str">
        <f>HYPERLINK("https://propertylookup.dupagecounty.gov/Datalets/Datalet.aspx?UseSearch=no&amp;mode=sales&amp;pin=0208207026","sales record")</f>
        <v>sales record</v>
      </c>
      <c r="AC6012" t="s">
        <v>3</v>
      </c>
      <c r="AD6012">
        <v>41.974322</v>
      </c>
      <c r="AE6012">
        <v>-88.111665</v>
      </c>
      <c r="AF6012" s="5" t="str">
        <f>HYPERLINK("https://www.google.com/maps/search/?api=1&amp;query=41.974322,-88.111665","map")</f>
        <v>map</v>
      </c>
    </row>
    <row r="6013" spans="1:32">
      <c r="A6013" t="s">
        <v>6063</v>
      </c>
      <c r="B6013" t="s">
        <v>13588</v>
      </c>
      <c r="C6013" t="s">
        <v>15830</v>
      </c>
      <c r="D6013" t="s">
        <v>16207</v>
      </c>
      <c r="E6013" t="s">
        <v>16218</v>
      </c>
      <c r="F6013" t="s">
        <v>16221</v>
      </c>
      <c r="G6013" t="s">
        <v>16241</v>
      </c>
      <c r="H6013" t="s">
        <v>16241</v>
      </c>
      <c r="I6013" t="s">
        <v>16355</v>
      </c>
      <c r="J6013" t="s">
        <v>16385</v>
      </c>
      <c r="K6013">
        <v>0.123</v>
      </c>
      <c r="L6013">
        <v>5375</v>
      </c>
      <c r="M6013">
        <v>1717</v>
      </c>
      <c r="N6013" t="s">
        <v>16393</v>
      </c>
      <c r="O6013" s="4">
        <v>38692</v>
      </c>
      <c r="P6013" s="4">
        <v>77599</v>
      </c>
      <c r="Q6013" s="4">
        <v>116291</v>
      </c>
      <c r="R6013" s="4">
        <v>348873</v>
      </c>
      <c r="S6013" t="s">
        <v>22272</v>
      </c>
      <c r="T6013" s="6">
        <v>45363</v>
      </c>
      <c r="U6013" s="4">
        <v>325000</v>
      </c>
      <c r="V6013" t="s">
        <v>23739</v>
      </c>
      <c r="W6013" t="s">
        <v>27078</v>
      </c>
      <c r="X6013" t="s">
        <v>3</v>
      </c>
      <c r="AA6013" s="5" t="str">
        <f>HYPERLINK("https://www.zillow.com/homes/750-MEADE-LN-ROSELLE-IL-60172_rb/","check listing")</f>
        <v>check listing</v>
      </c>
      <c r="AB6013" s="5" t="str">
        <f>HYPERLINK("https://propertylookup.dupagecounty.gov/Datalets/Datalet.aspx?UseSearch=no&amp;mode=sales&amp;pin=0209117013","sales record")</f>
        <v>sales record</v>
      </c>
      <c r="AC6013" t="s">
        <v>3</v>
      </c>
      <c r="AD6013">
        <v>41.96901</v>
      </c>
      <c r="AE6013">
        <v>-88.106021</v>
      </c>
      <c r="AF6013" s="5" t="str">
        <f>HYPERLINK("https://www.google.com/maps/search/?api=1&amp;query=41.96901,-88.106021","map")</f>
        <v>map</v>
      </c>
    </row>
    <row r="6014" spans="1:32">
      <c r="A6014" t="s">
        <v>6064</v>
      </c>
      <c r="B6014" t="s">
        <v>13589</v>
      </c>
      <c r="C6014" t="s">
        <v>15971</v>
      </c>
      <c r="D6014" t="s">
        <v>16207</v>
      </c>
      <c r="E6014" t="s">
        <v>16218</v>
      </c>
      <c r="F6014" t="s">
        <v>16221</v>
      </c>
      <c r="G6014" t="s">
        <v>16241</v>
      </c>
      <c r="H6014" t="s">
        <v>16241</v>
      </c>
      <c r="I6014" t="s">
        <v>16355</v>
      </c>
      <c r="J6014" t="s">
        <v>16385</v>
      </c>
      <c r="K6014">
        <v>0.123</v>
      </c>
      <c r="L6014">
        <v>5375</v>
      </c>
      <c r="M6014">
        <v>1670</v>
      </c>
      <c r="N6014" t="s">
        <v>16393</v>
      </c>
      <c r="O6014" s="4">
        <v>38692</v>
      </c>
      <c r="P6014" s="4">
        <v>58176</v>
      </c>
      <c r="Q6014" s="4">
        <v>96868</v>
      </c>
      <c r="R6014" s="4">
        <v>290604</v>
      </c>
      <c r="S6014" t="s">
        <v>22273</v>
      </c>
      <c r="T6014" s="6">
        <v>43678</v>
      </c>
      <c r="U6014" s="4">
        <v>223900</v>
      </c>
      <c r="V6014" t="s">
        <v>23739</v>
      </c>
      <c r="W6014" t="s">
        <v>27079</v>
      </c>
      <c r="X6014" t="s">
        <v>3</v>
      </c>
      <c r="AA6014" s="5" t="str">
        <f>HYPERLINK("https://www.zillow.com/homes/801-RODENBURG-RD-ROSELLE-IL-601722720_rb/","check listing")</f>
        <v>check listing</v>
      </c>
      <c r="AB6014" s="5" t="str">
        <f>HYPERLINK("https://propertylookup.dupagecounty.gov/Datalets/Datalet.aspx?UseSearch=no&amp;mode=sales&amp;pin=0209117009","sales record")</f>
        <v>sales record</v>
      </c>
      <c r="AC6014" t="s">
        <v>3</v>
      </c>
      <c r="AD6014">
        <v>41.968231</v>
      </c>
      <c r="AE6014">
        <v>-88.10646800000001</v>
      </c>
      <c r="AF6014" s="5" t="str">
        <f>HYPERLINK("https://www.google.com/maps/search/?api=1&amp;query=41.968231,-88.106468","map")</f>
        <v>map</v>
      </c>
    </row>
    <row r="6015" spans="1:32">
      <c r="A6015" t="s">
        <v>6065</v>
      </c>
      <c r="B6015" t="s">
        <v>13590</v>
      </c>
      <c r="C6015" t="s">
        <v>15972</v>
      </c>
      <c r="D6015" t="s">
        <v>16207</v>
      </c>
      <c r="E6015" t="s">
        <v>16218</v>
      </c>
      <c r="F6015" t="s">
        <v>16221</v>
      </c>
      <c r="G6015" t="s">
        <v>16241</v>
      </c>
      <c r="H6015" t="s">
        <v>16241</v>
      </c>
      <c r="I6015" t="s">
        <v>16355</v>
      </c>
      <c r="J6015" t="s">
        <v>16385</v>
      </c>
      <c r="K6015">
        <v>0.123</v>
      </c>
      <c r="L6015">
        <v>5371</v>
      </c>
      <c r="M6015">
        <v>1650</v>
      </c>
      <c r="N6015" t="s">
        <v>16393</v>
      </c>
      <c r="O6015" s="4">
        <v>38692</v>
      </c>
      <c r="P6015" s="4">
        <v>68826</v>
      </c>
      <c r="Q6015" s="4">
        <v>107518</v>
      </c>
      <c r="R6015" s="4">
        <v>322554</v>
      </c>
      <c r="S6015" t="s">
        <v>22274</v>
      </c>
      <c r="T6015" s="6">
        <v>44166</v>
      </c>
      <c r="U6015" s="4">
        <v>170000</v>
      </c>
      <c r="V6015" t="s">
        <v>23739</v>
      </c>
      <c r="W6015" t="s">
        <v>27080</v>
      </c>
      <c r="X6015" t="s">
        <v>3</v>
      </c>
      <c r="AA6015" s="5" t="str">
        <f>HYPERLINK("https://www.zillow.com/homes/460-DOVER-DR-ROSELLE-IL-601722668_rb/","check listing")</f>
        <v>check listing</v>
      </c>
      <c r="AB6015" s="5" t="str">
        <f>HYPERLINK("https://propertylookup.dupagecounty.gov/Datalets/Datalet.aspx?UseSearch=no&amp;mode=sales&amp;pin=0208207028","sales record")</f>
        <v>sales record</v>
      </c>
      <c r="AC6015" t="s">
        <v>3</v>
      </c>
      <c r="AD6015">
        <v>41.974047</v>
      </c>
      <c r="AE6015">
        <v>-88.11173700000001</v>
      </c>
      <c r="AF6015" s="5" t="str">
        <f>HYPERLINK("https://www.google.com/maps/search/?api=1&amp;query=41.974047,-88.111737","map")</f>
        <v>map</v>
      </c>
    </row>
    <row r="6016" spans="1:32">
      <c r="A6016" t="s">
        <v>6066</v>
      </c>
      <c r="B6016" t="s">
        <v>13591</v>
      </c>
      <c r="C6016" t="s">
        <v>15830</v>
      </c>
      <c r="D6016" t="s">
        <v>16207</v>
      </c>
      <c r="E6016" t="s">
        <v>16218</v>
      </c>
      <c r="F6016" t="s">
        <v>16221</v>
      </c>
      <c r="G6016" t="s">
        <v>16241</v>
      </c>
      <c r="H6016" t="s">
        <v>16241</v>
      </c>
      <c r="I6016" t="s">
        <v>16355</v>
      </c>
      <c r="J6016" t="s">
        <v>16385</v>
      </c>
      <c r="K6016">
        <v>0.123</v>
      </c>
      <c r="L6016">
        <v>5371</v>
      </c>
      <c r="M6016">
        <v>693</v>
      </c>
      <c r="N6016" t="s">
        <v>16393</v>
      </c>
      <c r="O6016" s="4">
        <v>38692</v>
      </c>
      <c r="P6016" s="4">
        <v>76463</v>
      </c>
      <c r="Q6016" s="4">
        <v>115155</v>
      </c>
      <c r="R6016" s="4">
        <v>345465</v>
      </c>
      <c r="S6016" t="s">
        <v>22275</v>
      </c>
      <c r="T6016" s="6">
        <v>39264</v>
      </c>
      <c r="U6016" s="4">
        <v>282000</v>
      </c>
      <c r="V6016" t="s">
        <v>23739</v>
      </c>
      <c r="W6016" t="s">
        <v>22275</v>
      </c>
      <c r="X6016" t="s">
        <v>3</v>
      </c>
      <c r="AA6016" s="5" t="str">
        <f>HYPERLINK("https://www.zillow.com/homes/470-DOVER-DR-ROSELLE-IL-60172_rb/","check listing")</f>
        <v>check listing</v>
      </c>
      <c r="AB6016" s="5" t="str">
        <f>HYPERLINK("https://propertylookup.dupagecounty.gov/Datalets/Datalet.aspx?UseSearch=no&amp;mode=sales&amp;pin=0208207029","sales record")</f>
        <v>sales record</v>
      </c>
      <c r="AC6016" t="s">
        <v>3</v>
      </c>
      <c r="AD6016">
        <v>41.973912</v>
      </c>
      <c r="AE6016">
        <v>-88.111756</v>
      </c>
      <c r="AF6016" s="5" t="str">
        <f>HYPERLINK("https://www.google.com/maps/search/?api=1&amp;query=41.973912,-88.111756","map")</f>
        <v>map</v>
      </c>
    </row>
    <row r="6017" spans="1:32">
      <c r="A6017" t="s">
        <v>6067</v>
      </c>
      <c r="B6017" t="s">
        <v>13592</v>
      </c>
      <c r="C6017" t="s">
        <v>15971</v>
      </c>
      <c r="D6017" t="s">
        <v>16207</v>
      </c>
      <c r="E6017" t="s">
        <v>16218</v>
      </c>
      <c r="F6017" t="s">
        <v>16221</v>
      </c>
      <c r="G6017" t="s">
        <v>16241</v>
      </c>
      <c r="H6017" t="s">
        <v>16241</v>
      </c>
      <c r="I6017" t="s">
        <v>16355</v>
      </c>
      <c r="J6017" t="s">
        <v>16385</v>
      </c>
      <c r="K6017">
        <v>0.123</v>
      </c>
      <c r="L6017">
        <v>5369</v>
      </c>
      <c r="M6017">
        <v>1155</v>
      </c>
      <c r="N6017" t="s">
        <v>16393</v>
      </c>
      <c r="O6017" s="4">
        <v>38692</v>
      </c>
      <c r="P6017" s="4">
        <v>76189</v>
      </c>
      <c r="Q6017" s="4">
        <v>114881</v>
      </c>
      <c r="R6017" s="4">
        <v>344643</v>
      </c>
      <c r="S6017" t="s">
        <v>22276</v>
      </c>
      <c r="T6017" s="6">
        <v>44075</v>
      </c>
      <c r="U6017" s="4">
        <v>250000</v>
      </c>
      <c r="V6017" t="s">
        <v>23739</v>
      </c>
      <c r="W6017" t="s">
        <v>27081</v>
      </c>
      <c r="X6017" t="s">
        <v>3</v>
      </c>
      <c r="AA6017" s="5" t="str">
        <f>HYPERLINK("https://www.zillow.com/homes/815-RODENBURG-RD-ROSELLE-IL-601722720_rb/","check listing")</f>
        <v>check listing</v>
      </c>
      <c r="AB6017" s="5" t="str">
        <f>HYPERLINK("https://propertylookup.dupagecounty.gov/Datalets/Datalet.aspx?UseSearch=no&amp;mode=sales&amp;pin=0209304007","sales record")</f>
        <v>sales record</v>
      </c>
      <c r="AC6017" t="s">
        <v>3</v>
      </c>
      <c r="AD6017">
        <v>41.967941</v>
      </c>
      <c r="AE6017">
        <v>-88.106328</v>
      </c>
      <c r="AF6017" s="5" t="str">
        <f>HYPERLINK("https://www.google.com/maps/search/?api=1&amp;query=41.967941,-88.106328","map")</f>
        <v>map</v>
      </c>
    </row>
    <row r="6018" spans="1:32">
      <c r="A6018" t="s">
        <v>6068</v>
      </c>
      <c r="B6018" t="s">
        <v>13593</v>
      </c>
      <c r="C6018" t="s">
        <v>15830</v>
      </c>
      <c r="D6018" t="s">
        <v>16207</v>
      </c>
      <c r="E6018" t="s">
        <v>16218</v>
      </c>
      <c r="F6018" t="s">
        <v>16221</v>
      </c>
      <c r="G6018" t="s">
        <v>16241</v>
      </c>
      <c r="H6018" t="s">
        <v>16241</v>
      </c>
      <c r="I6018" t="s">
        <v>16355</v>
      </c>
      <c r="J6018" t="s">
        <v>16385</v>
      </c>
      <c r="K6018">
        <v>0.123</v>
      </c>
      <c r="L6018">
        <v>5366</v>
      </c>
      <c r="M6018">
        <v>990</v>
      </c>
      <c r="N6018" t="s">
        <v>16393</v>
      </c>
      <c r="O6018" s="4">
        <v>38692</v>
      </c>
      <c r="P6018" s="4">
        <v>81687</v>
      </c>
      <c r="Q6018" s="4">
        <v>120379</v>
      </c>
      <c r="R6018" s="4">
        <v>361137</v>
      </c>
      <c r="S6018" t="s">
        <v>22277</v>
      </c>
      <c r="T6018" s="6">
        <v>33848</v>
      </c>
      <c r="U6018" s="4">
        <v>130000</v>
      </c>
      <c r="X6018" t="s">
        <v>3</v>
      </c>
      <c r="AA6018" s="5" t="str">
        <f>HYPERLINK("https://www.zillow.com/homes/805-W-BRYN-MAWR-ROSELLE-IL-60172_rb/","check listing")</f>
        <v>check listing</v>
      </c>
      <c r="AB6018" s="5" t="str">
        <f>HYPERLINK("https://propertylookup.dupagecounty.gov/Datalets/Datalet.aspx?UseSearch=no&amp;mode=sales&amp;pin=0209112011","sales record")</f>
        <v>sales record</v>
      </c>
      <c r="AC6018" t="s">
        <v>3</v>
      </c>
      <c r="AD6018">
        <v>41.97383</v>
      </c>
      <c r="AE6018">
        <v>-88.100894</v>
      </c>
      <c r="AF6018" s="5" t="str">
        <f>HYPERLINK("https://www.google.com/maps/search/?api=1&amp;query=41.97383,-88.100894","map")</f>
        <v>map</v>
      </c>
    </row>
    <row r="6019" spans="1:32">
      <c r="A6019" t="s">
        <v>6069</v>
      </c>
      <c r="B6019" t="s">
        <v>13594</v>
      </c>
      <c r="C6019" t="s">
        <v>15830</v>
      </c>
      <c r="D6019" t="s">
        <v>16207</v>
      </c>
      <c r="E6019" t="s">
        <v>16218</v>
      </c>
      <c r="F6019" t="s">
        <v>16221</v>
      </c>
      <c r="G6019" t="s">
        <v>16241</v>
      </c>
      <c r="H6019" t="s">
        <v>16241</v>
      </c>
      <c r="I6019" t="s">
        <v>16355</v>
      </c>
      <c r="J6019" t="s">
        <v>16385</v>
      </c>
      <c r="K6019">
        <v>0.123</v>
      </c>
      <c r="L6019">
        <v>5366</v>
      </c>
      <c r="M6019">
        <v>1451</v>
      </c>
      <c r="N6019" t="s">
        <v>16393</v>
      </c>
      <c r="O6019" s="4">
        <v>38692</v>
      </c>
      <c r="P6019" s="4">
        <v>75974</v>
      </c>
      <c r="Q6019" s="4">
        <v>114666</v>
      </c>
      <c r="R6019" s="4">
        <v>343998</v>
      </c>
      <c r="S6019" t="s">
        <v>21734</v>
      </c>
      <c r="T6019" s="6">
        <v>41944</v>
      </c>
      <c r="U6019" s="4">
        <v>195000</v>
      </c>
      <c r="V6019" t="s">
        <v>23739</v>
      </c>
      <c r="W6019" t="s">
        <v>21734</v>
      </c>
      <c r="X6019" t="s">
        <v>3</v>
      </c>
      <c r="AA6019" s="5" t="str">
        <f>HYPERLINK("https://www.zillow.com/homes/545-HAMPTON-LN-ROSELLE-IL-60172_rb/","check listing")</f>
        <v>check listing</v>
      </c>
      <c r="AB6019" s="5" t="str">
        <f>HYPERLINK("https://propertylookup.dupagecounty.gov/Datalets/Datalet.aspx?UseSearch=no&amp;mode=sales&amp;pin=0209104008","sales record")</f>
        <v>sales record</v>
      </c>
      <c r="AC6019" t="s">
        <v>3</v>
      </c>
      <c r="AD6019">
        <v>41.973073</v>
      </c>
      <c r="AE6019">
        <v>-88.10973199999999</v>
      </c>
      <c r="AF6019" s="5" t="str">
        <f>HYPERLINK("https://www.google.com/maps/search/?api=1&amp;query=41.973073,-88.109732","map")</f>
        <v>map</v>
      </c>
    </row>
    <row r="6020" spans="1:32">
      <c r="A6020" t="s">
        <v>6070</v>
      </c>
      <c r="B6020" t="s">
        <v>13595</v>
      </c>
      <c r="C6020" t="s">
        <v>15830</v>
      </c>
      <c r="D6020" t="s">
        <v>16207</v>
      </c>
      <c r="E6020" t="s">
        <v>16218</v>
      </c>
      <c r="F6020" t="s">
        <v>16221</v>
      </c>
      <c r="G6020" t="s">
        <v>16241</v>
      </c>
      <c r="H6020" t="s">
        <v>16241</v>
      </c>
      <c r="I6020" t="s">
        <v>16355</v>
      </c>
      <c r="J6020" t="s">
        <v>16385</v>
      </c>
      <c r="K6020">
        <v>0.123</v>
      </c>
      <c r="L6020">
        <v>5364</v>
      </c>
      <c r="M6020">
        <v>1556</v>
      </c>
      <c r="N6020" t="s">
        <v>16393</v>
      </c>
      <c r="O6020" s="4">
        <v>38692</v>
      </c>
      <c r="P6020" s="4">
        <v>75436</v>
      </c>
      <c r="Q6020" s="4">
        <v>114128</v>
      </c>
      <c r="R6020" s="4">
        <v>342384</v>
      </c>
      <c r="S6020" t="s">
        <v>22278</v>
      </c>
      <c r="T6020" s="6">
        <v>31656</v>
      </c>
      <c r="U6020" s="4">
        <v>101400</v>
      </c>
      <c r="X6020" t="s">
        <v>3</v>
      </c>
      <c r="AA6020" s="5" t="str">
        <f>HYPERLINK("https://www.zillow.com/homes/570-DOVER-DR-ROSELLE-IL-60172_rb/","check listing")</f>
        <v>check listing</v>
      </c>
      <c r="AB6020" s="5" t="str">
        <f>HYPERLINK("https://propertylookup.dupagecounty.gov/Datalets/Datalet.aspx?UseSearch=no&amp;mode=sales&amp;pin=0208207039","sales record")</f>
        <v>sales record</v>
      </c>
      <c r="AC6020" t="s">
        <v>3</v>
      </c>
      <c r="AD6020">
        <v>41.972514</v>
      </c>
      <c r="AE6020">
        <v>-88.111312</v>
      </c>
      <c r="AF6020" s="5" t="str">
        <f>HYPERLINK("https://www.google.com/maps/search/?api=1&amp;query=41.972514,-88.111312","map")</f>
        <v>map</v>
      </c>
    </row>
    <row r="6021" spans="1:32">
      <c r="A6021" t="s">
        <v>6071</v>
      </c>
      <c r="B6021" t="s">
        <v>13596</v>
      </c>
      <c r="C6021" t="s">
        <v>15830</v>
      </c>
      <c r="D6021" t="s">
        <v>16207</v>
      </c>
      <c r="E6021" t="s">
        <v>16218</v>
      </c>
      <c r="F6021" t="s">
        <v>16221</v>
      </c>
      <c r="G6021" t="s">
        <v>16241</v>
      </c>
      <c r="H6021" t="s">
        <v>16241</v>
      </c>
      <c r="I6021" t="s">
        <v>16355</v>
      </c>
      <c r="J6021" t="s">
        <v>16385</v>
      </c>
      <c r="K6021">
        <v>0.123</v>
      </c>
      <c r="L6021">
        <v>5363</v>
      </c>
      <c r="M6021">
        <v>922</v>
      </c>
      <c r="N6021" t="s">
        <v>16393</v>
      </c>
      <c r="O6021" s="4">
        <v>38692</v>
      </c>
      <c r="P6021" s="4">
        <v>55606</v>
      </c>
      <c r="Q6021" s="4">
        <v>94298</v>
      </c>
      <c r="R6021" s="4">
        <v>282894</v>
      </c>
      <c r="S6021" t="s">
        <v>22279</v>
      </c>
      <c r="T6021" s="6">
        <v>44932</v>
      </c>
      <c r="U6021" s="4">
        <v>220000</v>
      </c>
      <c r="V6021" t="s">
        <v>23739</v>
      </c>
      <c r="W6021" t="s">
        <v>27082</v>
      </c>
      <c r="X6021" t="s">
        <v>3</v>
      </c>
      <c r="AA6021" s="5" t="str">
        <f>HYPERLINK("https://www.zillow.com/homes/420-DOVER-DR-ROSELLE-IL-60172_rb/","check listing")</f>
        <v>check listing</v>
      </c>
      <c r="AB6021" s="5" t="str">
        <f>HYPERLINK("https://propertylookup.dupagecounty.gov/Datalets/Datalet.aspx?UseSearch=no&amp;mode=sales&amp;pin=0208207024","sales record")</f>
        <v>sales record</v>
      </c>
      <c r="AC6021" t="s">
        <v>3</v>
      </c>
      <c r="AD6021">
        <v>41.974607</v>
      </c>
      <c r="AE6021">
        <v>-88.111541</v>
      </c>
      <c r="AF6021" s="5" t="str">
        <f>HYPERLINK("https://www.google.com/maps/search/?api=1&amp;query=41.974607,-88.111541","map")</f>
        <v>map</v>
      </c>
    </row>
    <row r="6022" spans="1:32">
      <c r="A6022" t="s">
        <v>6072</v>
      </c>
      <c r="B6022" t="s">
        <v>13597</v>
      </c>
      <c r="C6022" t="s">
        <v>15830</v>
      </c>
      <c r="D6022" t="s">
        <v>16207</v>
      </c>
      <c r="E6022" t="s">
        <v>16218</v>
      </c>
      <c r="F6022" t="s">
        <v>16221</v>
      </c>
      <c r="G6022" t="s">
        <v>16241</v>
      </c>
      <c r="H6022" t="s">
        <v>16241</v>
      </c>
      <c r="I6022" t="s">
        <v>16355</v>
      </c>
      <c r="J6022" t="s">
        <v>16385</v>
      </c>
      <c r="K6022">
        <v>0.123</v>
      </c>
      <c r="L6022">
        <v>5360</v>
      </c>
      <c r="M6022">
        <v>1703</v>
      </c>
      <c r="N6022" t="s">
        <v>16393</v>
      </c>
      <c r="O6022" s="4">
        <v>38692</v>
      </c>
      <c r="P6022" s="4">
        <v>61582</v>
      </c>
      <c r="Q6022" s="4">
        <v>100274</v>
      </c>
      <c r="R6022" s="4">
        <v>300822</v>
      </c>
      <c r="S6022" t="s">
        <v>22280</v>
      </c>
      <c r="T6022" s="6">
        <v>42005</v>
      </c>
      <c r="U6022" s="4">
        <v>164212</v>
      </c>
      <c r="V6022" t="s">
        <v>16232</v>
      </c>
      <c r="W6022" t="s">
        <v>22280</v>
      </c>
      <c r="X6022" t="s">
        <v>3</v>
      </c>
      <c r="AA6022" s="5" t="str">
        <f>HYPERLINK("https://www.zillow.com/homes/550-DOVER-DR-ROSELLE-IL-60172_rb/","check listing")</f>
        <v>check listing</v>
      </c>
      <c r="AB6022" s="5" t="str">
        <f>HYPERLINK("https://propertylookup.dupagecounty.gov/Datalets/Datalet.aspx?UseSearch=no&amp;mode=sales&amp;pin=0208207037","sales record")</f>
        <v>sales record</v>
      </c>
      <c r="AC6022" t="s">
        <v>3</v>
      </c>
      <c r="AD6022">
        <v>41.97277</v>
      </c>
      <c r="AE6022">
        <v>-88.111492</v>
      </c>
      <c r="AF6022" s="5" t="str">
        <f>HYPERLINK("https://www.google.com/maps/search/?api=1&amp;query=41.97277,-88.111492","map")</f>
        <v>map</v>
      </c>
    </row>
    <row r="6023" spans="1:32">
      <c r="A6023" t="s">
        <v>6073</v>
      </c>
      <c r="B6023" t="s">
        <v>13598</v>
      </c>
      <c r="C6023" t="s">
        <v>15830</v>
      </c>
      <c r="D6023" t="s">
        <v>16207</v>
      </c>
      <c r="E6023" t="s">
        <v>16218</v>
      </c>
      <c r="F6023" t="s">
        <v>16221</v>
      </c>
      <c r="G6023" t="s">
        <v>16241</v>
      </c>
      <c r="H6023" t="s">
        <v>16241</v>
      </c>
      <c r="I6023" t="s">
        <v>16355</v>
      </c>
      <c r="J6023" t="s">
        <v>16385</v>
      </c>
      <c r="K6023">
        <v>0.123</v>
      </c>
      <c r="L6023">
        <v>5359</v>
      </c>
      <c r="M6023">
        <v>1452</v>
      </c>
      <c r="N6023" t="s">
        <v>16393</v>
      </c>
      <c r="O6023" s="4">
        <v>38692</v>
      </c>
      <c r="P6023" s="4">
        <v>75758</v>
      </c>
      <c r="Q6023" s="4">
        <v>114450</v>
      </c>
      <c r="R6023" s="4">
        <v>343350</v>
      </c>
      <c r="S6023" t="s">
        <v>22281</v>
      </c>
      <c r="T6023" s="6">
        <v>38565</v>
      </c>
      <c r="U6023" s="4">
        <v>256000</v>
      </c>
      <c r="V6023" t="s">
        <v>23739</v>
      </c>
      <c r="W6023" t="s">
        <v>27083</v>
      </c>
      <c r="X6023" t="s">
        <v>3</v>
      </c>
      <c r="AA6023" s="5" t="str">
        <f>HYPERLINK("https://www.zillow.com/homes/525-WATERBURY-LN-ROSELLE-IL-60172_rb/","check listing")</f>
        <v>check listing</v>
      </c>
      <c r="AB6023" s="5" t="str">
        <f>HYPERLINK("https://propertylookup.dupagecounty.gov/Datalets/Datalet.aspx?UseSearch=no&amp;mode=sales&amp;pin=0209107016","sales record")</f>
        <v>sales record</v>
      </c>
      <c r="AC6023" t="s">
        <v>3</v>
      </c>
      <c r="AD6023">
        <v>41.973387</v>
      </c>
      <c r="AE6023">
        <v>-88.108863</v>
      </c>
      <c r="AF6023" s="5" t="str">
        <f>HYPERLINK("https://www.google.com/maps/search/?api=1&amp;query=41.973387,-88.108863","map")</f>
        <v>map</v>
      </c>
    </row>
    <row r="6024" spans="1:32">
      <c r="A6024" t="s">
        <v>6074</v>
      </c>
      <c r="B6024" t="s">
        <v>13599</v>
      </c>
      <c r="C6024" t="s">
        <v>15830</v>
      </c>
      <c r="D6024" t="s">
        <v>16207</v>
      </c>
      <c r="E6024" t="s">
        <v>16218</v>
      </c>
      <c r="F6024" t="s">
        <v>16221</v>
      </c>
      <c r="G6024" t="s">
        <v>16241</v>
      </c>
      <c r="H6024" t="s">
        <v>16241</v>
      </c>
      <c r="I6024" t="s">
        <v>16355</v>
      </c>
      <c r="J6024" t="s">
        <v>16385</v>
      </c>
      <c r="K6024">
        <v>0.123</v>
      </c>
      <c r="L6024">
        <v>5353</v>
      </c>
      <c r="M6024">
        <v>1715</v>
      </c>
      <c r="N6024" t="s">
        <v>16393</v>
      </c>
      <c r="O6024" s="4">
        <v>38692</v>
      </c>
      <c r="P6024" s="4">
        <v>81544</v>
      </c>
      <c r="Q6024" s="4">
        <v>120236</v>
      </c>
      <c r="R6024" s="4">
        <v>360708</v>
      </c>
      <c r="S6024" t="s">
        <v>22282</v>
      </c>
      <c r="X6024" t="s">
        <v>3</v>
      </c>
      <c r="AA6024" s="5" t="str">
        <f>HYPERLINK("https://www.zillow.com/homes/500-DOVER-DR-ROSELLE-IL-60172_rb/","check listing")</f>
        <v>check listing</v>
      </c>
      <c r="AB6024" s="5" t="str">
        <f>HYPERLINK("https://propertylookup.dupagecounty.gov/Datalets/Datalet.aspx?UseSearch=no&amp;mode=sales&amp;pin=0208207032","sales record")</f>
        <v>sales record</v>
      </c>
      <c r="AC6024" t="s">
        <v>3</v>
      </c>
      <c r="AD6024">
        <v>41.973441</v>
      </c>
      <c r="AE6024">
        <v>-88.11174099999999</v>
      </c>
      <c r="AF6024" s="5" t="str">
        <f>HYPERLINK("https://www.google.com/maps/search/?api=1&amp;query=41.973441,-88.111741","map")</f>
        <v>map</v>
      </c>
    </row>
    <row r="6025" spans="1:32">
      <c r="A6025" t="s">
        <v>6075</v>
      </c>
      <c r="B6025" t="s">
        <v>13600</v>
      </c>
      <c r="C6025" t="s">
        <v>15972</v>
      </c>
      <c r="D6025" t="s">
        <v>16207</v>
      </c>
      <c r="E6025" t="s">
        <v>16218</v>
      </c>
      <c r="F6025" t="s">
        <v>16221</v>
      </c>
      <c r="G6025" t="s">
        <v>16241</v>
      </c>
      <c r="H6025" t="s">
        <v>16241</v>
      </c>
      <c r="I6025" t="s">
        <v>16355</v>
      </c>
      <c r="J6025" t="s">
        <v>16385</v>
      </c>
      <c r="K6025">
        <v>0.123</v>
      </c>
      <c r="L6025">
        <v>5353</v>
      </c>
      <c r="M6025">
        <v>1579</v>
      </c>
      <c r="N6025" t="s">
        <v>16393</v>
      </c>
      <c r="O6025" s="4">
        <v>38692</v>
      </c>
      <c r="P6025" s="4">
        <v>74934</v>
      </c>
      <c r="Q6025" s="4">
        <v>113626</v>
      </c>
      <c r="R6025" s="4">
        <v>340878</v>
      </c>
      <c r="S6025" t="s">
        <v>22283</v>
      </c>
      <c r="T6025" s="6">
        <v>43647</v>
      </c>
      <c r="U6025" s="4">
        <v>260000</v>
      </c>
      <c r="V6025" t="s">
        <v>23739</v>
      </c>
      <c r="W6025" t="s">
        <v>27084</v>
      </c>
      <c r="X6025" t="s">
        <v>3</v>
      </c>
      <c r="AA6025" s="5" t="str">
        <f>HYPERLINK("https://www.zillow.com/homes/480-DOVER-DR-ROSELLE-IL-601722668_rb/","check listing")</f>
        <v>check listing</v>
      </c>
      <c r="AB6025" s="5" t="str">
        <f>HYPERLINK("https://propertylookup.dupagecounty.gov/Datalets/Datalet.aspx?UseSearch=no&amp;mode=sales&amp;pin=0208207030","sales record")</f>
        <v>sales record</v>
      </c>
      <c r="AC6025" t="s">
        <v>3</v>
      </c>
      <c r="AD6025">
        <v>41.973782</v>
      </c>
      <c r="AE6025">
        <v>-88.11176399999999</v>
      </c>
      <c r="AF6025" s="5" t="str">
        <f>HYPERLINK("https://www.google.com/maps/search/?api=1&amp;query=41.973782,-88.111764","map")</f>
        <v>map</v>
      </c>
    </row>
    <row r="6026" spans="1:32">
      <c r="A6026" t="s">
        <v>6076</v>
      </c>
      <c r="B6026" t="s">
        <v>13601</v>
      </c>
      <c r="C6026" t="s">
        <v>15830</v>
      </c>
      <c r="D6026" t="s">
        <v>16207</v>
      </c>
      <c r="E6026" t="s">
        <v>16218</v>
      </c>
      <c r="F6026" t="s">
        <v>16221</v>
      </c>
      <c r="G6026" t="s">
        <v>16241</v>
      </c>
      <c r="H6026" t="s">
        <v>16241</v>
      </c>
      <c r="I6026" t="s">
        <v>16355</v>
      </c>
      <c r="J6026" t="s">
        <v>16385</v>
      </c>
      <c r="K6026">
        <v>0.123</v>
      </c>
      <c r="L6026">
        <v>5353</v>
      </c>
      <c r="M6026">
        <v>1633</v>
      </c>
      <c r="N6026" t="s">
        <v>16393</v>
      </c>
      <c r="O6026" s="4">
        <v>38692</v>
      </c>
      <c r="P6026" s="4">
        <v>81687</v>
      </c>
      <c r="Q6026" s="4">
        <v>120379</v>
      </c>
      <c r="R6026" s="4">
        <v>361137</v>
      </c>
      <c r="S6026" t="s">
        <v>22284</v>
      </c>
      <c r="T6026" s="6">
        <v>45563</v>
      </c>
      <c r="U6026" s="4">
        <v>397000</v>
      </c>
      <c r="V6026" t="s">
        <v>23739</v>
      </c>
      <c r="W6026" t="s">
        <v>27085</v>
      </c>
      <c r="X6026" t="s">
        <v>3</v>
      </c>
      <c r="AA6026" s="5" t="str">
        <f>HYPERLINK("https://www.zillow.com/homes/450-DOVER-DR-ROSELLE-IL-60172_rb/","check listing")</f>
        <v>check listing</v>
      </c>
      <c r="AB6026" s="5" t="str">
        <f>HYPERLINK("https://propertylookup.dupagecounty.gov/Datalets/Datalet.aspx?UseSearch=no&amp;mode=sales&amp;pin=0208207027","sales record")</f>
        <v>sales record</v>
      </c>
      <c r="AC6026" t="s">
        <v>3</v>
      </c>
      <c r="AD6026">
        <v>41.9742</v>
      </c>
      <c r="AE6026">
        <v>-88.11170300000001</v>
      </c>
      <c r="AF6026" s="5" t="str">
        <f>HYPERLINK("https://www.google.com/maps/search/?api=1&amp;query=41.9742,-88.111703","map")</f>
        <v>map</v>
      </c>
    </row>
    <row r="6027" spans="1:32">
      <c r="A6027" t="s">
        <v>6077</v>
      </c>
      <c r="B6027" t="s">
        <v>13602</v>
      </c>
      <c r="C6027" t="s">
        <v>15830</v>
      </c>
      <c r="D6027" t="s">
        <v>16207</v>
      </c>
      <c r="E6027" t="s">
        <v>16218</v>
      </c>
      <c r="F6027" t="s">
        <v>16221</v>
      </c>
      <c r="G6027" t="s">
        <v>16241</v>
      </c>
      <c r="H6027" t="s">
        <v>16241</v>
      </c>
      <c r="I6027" t="s">
        <v>16355</v>
      </c>
      <c r="J6027" t="s">
        <v>16385</v>
      </c>
      <c r="K6027">
        <v>0.123</v>
      </c>
      <c r="L6027">
        <v>5347</v>
      </c>
      <c r="M6027">
        <v>1990</v>
      </c>
      <c r="N6027" t="s">
        <v>16393</v>
      </c>
      <c r="O6027" s="4">
        <v>38692</v>
      </c>
      <c r="P6027" s="4">
        <v>55606</v>
      </c>
      <c r="Q6027" s="4">
        <v>94298</v>
      </c>
      <c r="R6027" s="4">
        <v>282894</v>
      </c>
      <c r="S6027" t="s">
        <v>22285</v>
      </c>
      <c r="T6027" s="6">
        <v>40848</v>
      </c>
      <c r="U6027" s="4">
        <v>103679</v>
      </c>
      <c r="V6027" t="s">
        <v>16232</v>
      </c>
      <c r="W6027" t="s">
        <v>27086</v>
      </c>
      <c r="X6027" t="s">
        <v>3</v>
      </c>
      <c r="AA6027" s="5" t="str">
        <f>HYPERLINK("https://www.zillow.com/homes/1000-WOODSIDE-DR-ROSELLE-IL-60172_rb/","check listing")</f>
        <v>check listing</v>
      </c>
      <c r="AB6027" s="5" t="str">
        <f>HYPERLINK("https://propertylookup.dupagecounty.gov/Datalets/Datalet.aspx?UseSearch=no&amp;mode=sales&amp;pin=0209304011","sales record")</f>
        <v>sales record</v>
      </c>
      <c r="AC6027" t="s">
        <v>3</v>
      </c>
      <c r="AD6027">
        <v>41.967761</v>
      </c>
      <c r="AE6027">
        <v>-88.10561300000001</v>
      </c>
      <c r="AF6027" s="5" t="str">
        <f>HYPERLINK("https://www.google.com/maps/search/?api=1&amp;query=41.967761,-88.105613","map")</f>
        <v>map</v>
      </c>
    </row>
    <row r="6028" spans="1:32">
      <c r="A6028" t="s">
        <v>6078</v>
      </c>
      <c r="B6028" t="s">
        <v>13603</v>
      </c>
      <c r="C6028" t="s">
        <v>15830</v>
      </c>
      <c r="D6028" t="s">
        <v>16207</v>
      </c>
      <c r="E6028" t="s">
        <v>16218</v>
      </c>
      <c r="F6028" t="s">
        <v>16221</v>
      </c>
      <c r="G6028" t="s">
        <v>16241</v>
      </c>
      <c r="H6028" t="s">
        <v>16241</v>
      </c>
      <c r="I6028" t="s">
        <v>16355</v>
      </c>
      <c r="J6028" t="s">
        <v>16385</v>
      </c>
      <c r="K6028">
        <v>0.123</v>
      </c>
      <c r="L6028">
        <v>5346</v>
      </c>
      <c r="M6028">
        <v>1498</v>
      </c>
      <c r="N6028" t="s">
        <v>16393</v>
      </c>
      <c r="O6028" s="4">
        <v>38692</v>
      </c>
      <c r="P6028" s="4">
        <v>58092</v>
      </c>
      <c r="Q6028" s="4">
        <v>96784</v>
      </c>
      <c r="R6028" s="4">
        <v>290352</v>
      </c>
      <c r="S6028" t="s">
        <v>22286</v>
      </c>
      <c r="T6028" s="6">
        <v>41365</v>
      </c>
      <c r="U6028" s="4">
        <v>100000</v>
      </c>
      <c r="V6028" t="s">
        <v>23739</v>
      </c>
      <c r="W6028" t="s">
        <v>27087</v>
      </c>
      <c r="X6028" t="s">
        <v>3</v>
      </c>
      <c r="AA6028" s="5" t="str">
        <f>HYPERLINK("https://www.zillow.com/homes/235-RODENBURG-RD-ROSELLE-IL-60172_rb/","check listing")</f>
        <v>check listing</v>
      </c>
      <c r="AB6028" s="5" t="str">
        <f>HYPERLINK("https://propertylookup.dupagecounty.gov/Datalets/Datalet.aspx?UseSearch=no&amp;mode=sales&amp;pin=0204313013","sales record")</f>
        <v>sales record</v>
      </c>
      <c r="AC6028" t="s">
        <v>3</v>
      </c>
      <c r="AD6028">
        <v>41.978531</v>
      </c>
      <c r="AE6028">
        <v>-88.110191</v>
      </c>
      <c r="AF6028" s="5" t="str">
        <f>HYPERLINK("https://www.google.com/maps/search/?api=1&amp;query=41.978531,-88.110191","map")</f>
        <v>map</v>
      </c>
    </row>
    <row r="6029" spans="1:32">
      <c r="A6029" t="s">
        <v>6079</v>
      </c>
      <c r="B6029" t="s">
        <v>13604</v>
      </c>
      <c r="C6029" t="s">
        <v>15830</v>
      </c>
      <c r="D6029" t="s">
        <v>16207</v>
      </c>
      <c r="E6029" t="s">
        <v>16218</v>
      </c>
      <c r="F6029" t="s">
        <v>16221</v>
      </c>
      <c r="G6029" t="s">
        <v>16241</v>
      </c>
      <c r="H6029" t="s">
        <v>16241</v>
      </c>
      <c r="I6029" t="s">
        <v>16355</v>
      </c>
      <c r="J6029" t="s">
        <v>16385</v>
      </c>
      <c r="K6029">
        <v>0.123</v>
      </c>
      <c r="L6029">
        <v>5345</v>
      </c>
      <c r="M6029">
        <v>1995</v>
      </c>
      <c r="N6029" t="s">
        <v>16393</v>
      </c>
      <c r="O6029" s="4">
        <v>38692</v>
      </c>
      <c r="P6029" s="4">
        <v>92445</v>
      </c>
      <c r="Q6029" s="4">
        <v>131137</v>
      </c>
      <c r="R6029" s="4">
        <v>393411</v>
      </c>
      <c r="S6029" t="s">
        <v>22287</v>
      </c>
      <c r="T6029" s="6">
        <v>30713</v>
      </c>
      <c r="U6029" s="4">
        <v>70000</v>
      </c>
      <c r="X6029" t="s">
        <v>3</v>
      </c>
      <c r="AA6029" s="5" t="str">
        <f>HYPERLINK("https://www.zillow.com/homes/430-DOVER-DR-ROSELLE-IL-60172_rb/","check listing")</f>
        <v>check listing</v>
      </c>
      <c r="AB6029" s="5" t="str">
        <f>HYPERLINK("https://propertylookup.dupagecounty.gov/Datalets/Datalet.aspx?UseSearch=no&amp;mode=sales&amp;pin=0208207025","sales record")</f>
        <v>sales record</v>
      </c>
      <c r="AC6029" t="s">
        <v>3</v>
      </c>
      <c r="AD6029">
        <v>41.974481</v>
      </c>
      <c r="AE6029">
        <v>-88.111602</v>
      </c>
      <c r="AF6029" s="5" t="str">
        <f>HYPERLINK("https://www.google.com/maps/search/?api=1&amp;query=41.974481,-88.111602","map")</f>
        <v>map</v>
      </c>
    </row>
    <row r="6030" spans="1:32">
      <c r="A6030" t="s">
        <v>6080</v>
      </c>
      <c r="B6030" t="s">
        <v>13605</v>
      </c>
      <c r="C6030" t="s">
        <v>15830</v>
      </c>
      <c r="D6030" t="s">
        <v>16207</v>
      </c>
      <c r="E6030" t="s">
        <v>16218</v>
      </c>
      <c r="F6030" t="s">
        <v>16221</v>
      </c>
      <c r="G6030" t="s">
        <v>16241</v>
      </c>
      <c r="H6030" t="s">
        <v>16241</v>
      </c>
      <c r="I6030" t="s">
        <v>16355</v>
      </c>
      <c r="J6030" t="s">
        <v>16385</v>
      </c>
      <c r="K6030">
        <v>0.123</v>
      </c>
      <c r="L6030">
        <v>5337</v>
      </c>
      <c r="M6030">
        <v>1451</v>
      </c>
      <c r="N6030" t="s">
        <v>16393</v>
      </c>
      <c r="O6030" s="4">
        <v>38692</v>
      </c>
      <c r="P6030" s="4">
        <v>75974</v>
      </c>
      <c r="Q6030" s="4">
        <v>114666</v>
      </c>
      <c r="R6030" s="4">
        <v>343998</v>
      </c>
      <c r="S6030" t="s">
        <v>22288</v>
      </c>
      <c r="T6030" s="6">
        <v>42370</v>
      </c>
      <c r="U6030" s="4">
        <v>220000</v>
      </c>
      <c r="V6030" t="s">
        <v>16232</v>
      </c>
      <c r="W6030" t="s">
        <v>27088</v>
      </c>
      <c r="X6030" t="s">
        <v>3</v>
      </c>
      <c r="AA6030" s="5" t="str">
        <f>HYPERLINK("https://www.zillow.com/homes/469-HAMPTON-LN-ROSELLE-IL-60172_rb/","check listing")</f>
        <v>check listing</v>
      </c>
      <c r="AB6030" s="5" t="str">
        <f>HYPERLINK("https://propertylookup.dupagecounty.gov/Datalets/Datalet.aspx?UseSearch=no&amp;mode=sales&amp;pin=0208208005","sales record")</f>
        <v>sales record</v>
      </c>
      <c r="AC6030" t="s">
        <v>3</v>
      </c>
      <c r="AD6030">
        <v>41.974074</v>
      </c>
      <c r="AE6030">
        <v>-88.111012</v>
      </c>
      <c r="AF6030" s="5" t="str">
        <f>HYPERLINK("https://www.google.com/maps/search/?api=1&amp;query=41.974074,-88.111012","map")</f>
        <v>map</v>
      </c>
    </row>
    <row r="6031" spans="1:32">
      <c r="A6031" t="s">
        <v>6081</v>
      </c>
      <c r="B6031" t="s">
        <v>13606</v>
      </c>
      <c r="C6031" t="s">
        <v>15830</v>
      </c>
      <c r="D6031" t="s">
        <v>16207</v>
      </c>
      <c r="E6031" t="s">
        <v>16218</v>
      </c>
      <c r="F6031" t="s">
        <v>16221</v>
      </c>
      <c r="G6031" t="s">
        <v>16241</v>
      </c>
      <c r="H6031" t="s">
        <v>16241</v>
      </c>
      <c r="I6031" t="s">
        <v>16355</v>
      </c>
      <c r="J6031" t="s">
        <v>16385</v>
      </c>
      <c r="K6031">
        <v>0.123</v>
      </c>
      <c r="L6031">
        <v>5337</v>
      </c>
      <c r="M6031">
        <v>1910</v>
      </c>
      <c r="N6031" t="s">
        <v>16393</v>
      </c>
      <c r="O6031" s="4">
        <v>38692</v>
      </c>
      <c r="P6031" s="4">
        <v>81687</v>
      </c>
      <c r="Q6031" s="4">
        <v>120379</v>
      </c>
      <c r="R6031" s="4">
        <v>361137</v>
      </c>
      <c r="S6031" t="s">
        <v>22289</v>
      </c>
      <c r="T6031" s="6">
        <v>45125</v>
      </c>
      <c r="U6031" s="4">
        <v>349525</v>
      </c>
      <c r="V6031" t="s">
        <v>23739</v>
      </c>
      <c r="W6031" t="s">
        <v>27089</v>
      </c>
      <c r="X6031" t="s">
        <v>3</v>
      </c>
      <c r="AA6031" s="5" t="str">
        <f>HYPERLINK("https://www.zillow.com/homes/801-W-BRYN-MAWR-AVE-ROSELLE-IL-60172_rb/","check listing")</f>
        <v>check listing</v>
      </c>
      <c r="AB6031" s="5" t="str">
        <f>HYPERLINK("https://propertylookup.dupagecounty.gov/Datalets/Datalet.aspx?UseSearch=no&amp;mode=sales&amp;pin=0209112012","sales record")</f>
        <v>sales record</v>
      </c>
      <c r="AC6031" t="s">
        <v>3</v>
      </c>
      <c r="AD6031">
        <v>41.97389</v>
      </c>
      <c r="AE6031">
        <v>-88.100724</v>
      </c>
      <c r="AF6031" s="5" t="str">
        <f>HYPERLINK("https://www.google.com/maps/search/?api=1&amp;query=41.97389,-88.100724","map")</f>
        <v>map</v>
      </c>
    </row>
    <row r="6032" spans="1:32">
      <c r="A6032" t="s">
        <v>6082</v>
      </c>
      <c r="B6032" t="s">
        <v>13607</v>
      </c>
      <c r="C6032" t="s">
        <v>15830</v>
      </c>
      <c r="D6032" t="s">
        <v>16207</v>
      </c>
      <c r="E6032" t="s">
        <v>16218</v>
      </c>
      <c r="F6032" t="s">
        <v>16221</v>
      </c>
      <c r="G6032" t="s">
        <v>16241</v>
      </c>
      <c r="H6032" t="s">
        <v>16241</v>
      </c>
      <c r="I6032" t="s">
        <v>16355</v>
      </c>
      <c r="J6032" t="s">
        <v>16385</v>
      </c>
      <c r="K6032">
        <v>0.122</v>
      </c>
      <c r="L6032">
        <v>5332</v>
      </c>
      <c r="M6032">
        <v>1564</v>
      </c>
      <c r="N6032" t="s">
        <v>16393</v>
      </c>
      <c r="O6032" s="4">
        <v>38692</v>
      </c>
      <c r="P6032" s="4">
        <v>75974</v>
      </c>
      <c r="Q6032" s="4">
        <v>114666</v>
      </c>
      <c r="R6032" s="4">
        <v>343998</v>
      </c>
      <c r="S6032" t="s">
        <v>22290</v>
      </c>
      <c r="T6032" s="6">
        <v>41791</v>
      </c>
      <c r="U6032" s="4">
        <v>215000</v>
      </c>
      <c r="V6032" t="s">
        <v>23739</v>
      </c>
      <c r="W6032" t="s">
        <v>27090</v>
      </c>
      <c r="X6032" t="s">
        <v>3</v>
      </c>
      <c r="AA6032" s="5" t="str">
        <f>HYPERLINK("https://www.zillow.com/homes/851-STONEFIELD-PL-ROSELLE-IL-60172_rb/","check listing")</f>
        <v>check listing</v>
      </c>
      <c r="AB6032" s="5" t="str">
        <f>HYPERLINK("https://propertylookup.dupagecounty.gov/Datalets/Datalet.aspx?UseSearch=no&amp;mode=sales&amp;pin=0209102014","sales record")</f>
        <v>sales record</v>
      </c>
      <c r="AC6032" t="s">
        <v>3</v>
      </c>
      <c r="AD6032">
        <v>41.972044</v>
      </c>
      <c r="AE6032">
        <v>-88.101682</v>
      </c>
      <c r="AF6032" s="5" t="str">
        <f>HYPERLINK("https://www.google.com/maps/search/?api=1&amp;query=41.972044,-88.101682","map")</f>
        <v>map</v>
      </c>
    </row>
    <row r="6033" spans="1:32">
      <c r="A6033" t="s">
        <v>6083</v>
      </c>
      <c r="B6033" t="s">
        <v>13608</v>
      </c>
      <c r="C6033" t="s">
        <v>15830</v>
      </c>
      <c r="D6033" t="s">
        <v>16207</v>
      </c>
      <c r="E6033" t="s">
        <v>16218</v>
      </c>
      <c r="F6033" t="s">
        <v>16221</v>
      </c>
      <c r="G6033" t="s">
        <v>16241</v>
      </c>
      <c r="H6033" t="s">
        <v>16241</v>
      </c>
      <c r="I6033" t="s">
        <v>16355</v>
      </c>
      <c r="J6033" t="s">
        <v>16385</v>
      </c>
      <c r="K6033">
        <v>0.122</v>
      </c>
      <c r="L6033">
        <v>5329</v>
      </c>
      <c r="M6033">
        <v>1697</v>
      </c>
      <c r="N6033" t="s">
        <v>16393</v>
      </c>
      <c r="O6033" s="4">
        <v>38692</v>
      </c>
      <c r="P6033" s="4">
        <v>77444</v>
      </c>
      <c r="Q6033" s="4">
        <v>116136</v>
      </c>
      <c r="R6033" s="4">
        <v>348408</v>
      </c>
      <c r="S6033" t="s">
        <v>22291</v>
      </c>
      <c r="T6033" s="6">
        <v>40422</v>
      </c>
      <c r="U6033" s="4">
        <v>149000</v>
      </c>
      <c r="V6033" t="s">
        <v>23739</v>
      </c>
      <c r="W6033" t="s">
        <v>27091</v>
      </c>
      <c r="X6033" t="s">
        <v>3</v>
      </c>
      <c r="AA6033" s="5" t="str">
        <f>HYPERLINK("https://www.zillow.com/homes/795-RODENBURG-RD-ROSELLE-IL-60172_rb/","check listing")</f>
        <v>check listing</v>
      </c>
      <c r="AB6033" s="5" t="str">
        <f>HYPERLINK("https://propertylookup.dupagecounty.gov/Datalets/Datalet.aspx?UseSearch=no&amp;mode=sales&amp;pin=0209117008","sales record")</f>
        <v>sales record</v>
      </c>
      <c r="AC6033" t="s">
        <v>3</v>
      </c>
      <c r="AD6033">
        <v>41.968346</v>
      </c>
      <c r="AE6033">
        <v>-88.10650099999999</v>
      </c>
      <c r="AF6033" s="5" t="str">
        <f>HYPERLINK("https://www.google.com/maps/search/?api=1&amp;query=41.968346,-88.106501","map")</f>
        <v>map</v>
      </c>
    </row>
    <row r="6034" spans="1:32">
      <c r="A6034" t="s">
        <v>6084</v>
      </c>
      <c r="B6034" t="s">
        <v>13609</v>
      </c>
      <c r="C6034" t="s">
        <v>15830</v>
      </c>
      <c r="D6034" t="s">
        <v>16207</v>
      </c>
      <c r="E6034" t="s">
        <v>16218</v>
      </c>
      <c r="F6034" t="s">
        <v>16221</v>
      </c>
      <c r="G6034" t="s">
        <v>16241</v>
      </c>
      <c r="H6034" t="s">
        <v>16241</v>
      </c>
      <c r="I6034" t="s">
        <v>16355</v>
      </c>
      <c r="J6034" t="s">
        <v>16385</v>
      </c>
      <c r="K6034">
        <v>0.122</v>
      </c>
      <c r="L6034">
        <v>5327</v>
      </c>
      <c r="M6034">
        <v>1187</v>
      </c>
      <c r="N6034" t="s">
        <v>16393</v>
      </c>
      <c r="O6034" s="4">
        <v>38692</v>
      </c>
      <c r="P6034" s="4">
        <v>84568</v>
      </c>
      <c r="Q6034" s="4">
        <v>123260</v>
      </c>
      <c r="R6034" s="4">
        <v>369780</v>
      </c>
      <c r="S6034" t="s">
        <v>22292</v>
      </c>
      <c r="T6034" s="6">
        <v>42095</v>
      </c>
      <c r="U6034" s="4">
        <v>230000</v>
      </c>
      <c r="V6034" t="s">
        <v>23739</v>
      </c>
      <c r="W6034" t="s">
        <v>22292</v>
      </c>
      <c r="X6034" t="s">
        <v>3</v>
      </c>
      <c r="AA6034" s="5" t="str">
        <f>HYPERLINK("https://www.zillow.com/homes/520-DOVER-DR-ROSELLE-IL-60172_rb/","check listing")</f>
        <v>check listing</v>
      </c>
      <c r="AB6034" s="5" t="str">
        <f>HYPERLINK("https://propertylookup.dupagecounty.gov/Datalets/Datalet.aspx?UseSearch=no&amp;mode=sales&amp;pin=0208207034","sales record")</f>
        <v>sales record</v>
      </c>
      <c r="AC6034" t="s">
        <v>3</v>
      </c>
      <c r="AD6034">
        <v>41.973175</v>
      </c>
      <c r="AE6034">
        <v>-88.111676</v>
      </c>
      <c r="AF6034" s="5" t="str">
        <f>HYPERLINK("https://www.google.com/maps/search/?api=1&amp;query=41.973175,-88.111676","map")</f>
        <v>map</v>
      </c>
    </row>
    <row r="6035" spans="1:32">
      <c r="A6035" t="s">
        <v>6085</v>
      </c>
      <c r="B6035" t="s">
        <v>13610</v>
      </c>
      <c r="C6035" t="s">
        <v>15941</v>
      </c>
      <c r="D6035" t="s">
        <v>16207</v>
      </c>
      <c r="E6035" t="s">
        <v>16218</v>
      </c>
      <c r="F6035" t="s">
        <v>16221</v>
      </c>
      <c r="G6035" t="s">
        <v>16241</v>
      </c>
      <c r="H6035" t="s">
        <v>16241</v>
      </c>
      <c r="I6035" t="s">
        <v>16355</v>
      </c>
      <c r="J6035" t="s">
        <v>16385</v>
      </c>
      <c r="K6035">
        <v>0.122</v>
      </c>
      <c r="L6035">
        <v>5326</v>
      </c>
      <c r="M6035">
        <v>1485</v>
      </c>
      <c r="N6035" t="s">
        <v>16393</v>
      </c>
      <c r="O6035" s="4">
        <v>38692</v>
      </c>
      <c r="P6035" s="4">
        <v>77599</v>
      </c>
      <c r="Q6035" s="4">
        <v>116291</v>
      </c>
      <c r="R6035" s="4">
        <v>348873</v>
      </c>
      <c r="S6035" t="s">
        <v>22293</v>
      </c>
      <c r="T6035" s="6">
        <v>45858</v>
      </c>
      <c r="U6035" s="4">
        <v>360000</v>
      </c>
      <c r="V6035" t="s">
        <v>23739</v>
      </c>
      <c r="W6035" t="s">
        <v>27092</v>
      </c>
      <c r="X6035" t="s">
        <v>3</v>
      </c>
      <c r="AA6035" s="5" t="str">
        <f>HYPERLINK("https://www.zillow.com/homes/1100-SINGLETON-DR-ROSELLE-IL-601721729_rb/","check listing")</f>
        <v>check listing</v>
      </c>
      <c r="AB6035" s="5" t="str">
        <f>HYPERLINK("https://propertylookup.dupagecounty.gov/Datalets/Datalet.aspx?UseSearch=no&amp;mode=sales&amp;pin=0204313010","sales record")</f>
        <v>sales record</v>
      </c>
      <c r="AC6035" t="s">
        <v>3</v>
      </c>
      <c r="AD6035">
        <v>41.978616</v>
      </c>
      <c r="AE6035">
        <v>-88.108836</v>
      </c>
      <c r="AF6035" s="5" t="str">
        <f>HYPERLINK("https://www.google.com/maps/search/?api=1&amp;query=41.978616,-88.108836","map")</f>
        <v>map</v>
      </c>
    </row>
    <row r="6036" spans="1:32">
      <c r="A6036" t="s">
        <v>6086</v>
      </c>
      <c r="B6036" t="s">
        <v>13611</v>
      </c>
      <c r="C6036" t="s">
        <v>15830</v>
      </c>
      <c r="D6036" t="s">
        <v>16207</v>
      </c>
      <c r="E6036" t="s">
        <v>16218</v>
      </c>
      <c r="F6036" t="s">
        <v>16221</v>
      </c>
      <c r="G6036" t="s">
        <v>16241</v>
      </c>
      <c r="H6036" t="s">
        <v>16241</v>
      </c>
      <c r="I6036" t="s">
        <v>16355</v>
      </c>
      <c r="J6036" t="s">
        <v>16385</v>
      </c>
      <c r="K6036">
        <v>0.122</v>
      </c>
      <c r="L6036">
        <v>5306</v>
      </c>
      <c r="M6036">
        <v>1431</v>
      </c>
      <c r="N6036" t="s">
        <v>16393</v>
      </c>
      <c r="O6036" s="4">
        <v>38692</v>
      </c>
      <c r="P6036" s="4">
        <v>76189</v>
      </c>
      <c r="Q6036" s="4">
        <v>114881</v>
      </c>
      <c r="R6036" s="4">
        <v>344643</v>
      </c>
      <c r="S6036" t="s">
        <v>22294</v>
      </c>
      <c r="T6036" s="6">
        <v>36770</v>
      </c>
      <c r="U6036" s="4">
        <v>168000</v>
      </c>
      <c r="V6036" t="s">
        <v>23739</v>
      </c>
      <c r="W6036" t="s">
        <v>27093</v>
      </c>
      <c r="X6036" t="s">
        <v>3</v>
      </c>
      <c r="AA6036" s="5" t="str">
        <f>HYPERLINK("https://www.zillow.com/homes/245-RODENBURG-RD-ROSELLE-IL-60172_rb/","check listing")</f>
        <v>check listing</v>
      </c>
      <c r="AB6036" s="5" t="str">
        <f>HYPERLINK("https://propertylookup.dupagecounty.gov/Datalets/Datalet.aspx?UseSearch=no&amp;mode=sales&amp;pin=0204313014","sales record")</f>
        <v>sales record</v>
      </c>
      <c r="AC6036" t="s">
        <v>3</v>
      </c>
      <c r="AD6036">
        <v>41.978407</v>
      </c>
      <c r="AE6036">
        <v>-88.110169</v>
      </c>
      <c r="AF6036" s="5" t="str">
        <f>HYPERLINK("https://www.google.com/maps/search/?api=1&amp;query=41.978407,-88.110169","map")</f>
        <v>map</v>
      </c>
    </row>
    <row r="6037" spans="1:32">
      <c r="A6037" t="s">
        <v>6087</v>
      </c>
      <c r="B6037" t="s">
        <v>13612</v>
      </c>
      <c r="C6037" t="s">
        <v>15900</v>
      </c>
      <c r="D6037" t="s">
        <v>16207</v>
      </c>
      <c r="E6037" t="s">
        <v>16218</v>
      </c>
      <c r="F6037" t="s">
        <v>16221</v>
      </c>
      <c r="G6037" t="s">
        <v>16241</v>
      </c>
      <c r="H6037" t="s">
        <v>16241</v>
      </c>
      <c r="I6037" t="s">
        <v>16355</v>
      </c>
      <c r="J6037" t="s">
        <v>16385</v>
      </c>
      <c r="K6037">
        <v>0.122</v>
      </c>
      <c r="L6037">
        <v>5302</v>
      </c>
      <c r="M6037">
        <v>1319</v>
      </c>
      <c r="N6037" t="s">
        <v>16393</v>
      </c>
      <c r="O6037" s="4">
        <v>38692</v>
      </c>
      <c r="P6037" s="4">
        <v>75974</v>
      </c>
      <c r="Q6037" s="4">
        <v>114666</v>
      </c>
      <c r="R6037" s="4">
        <v>343998</v>
      </c>
      <c r="S6037" t="s">
        <v>22295</v>
      </c>
      <c r="T6037" s="6">
        <v>39965</v>
      </c>
      <c r="U6037" s="4">
        <v>175000</v>
      </c>
      <c r="V6037" t="s">
        <v>16232</v>
      </c>
      <c r="W6037" t="s">
        <v>27094</v>
      </c>
      <c r="X6037" t="s">
        <v>3</v>
      </c>
      <c r="AA6037" s="5" t="str">
        <f>HYPERLINK("https://www.zillow.com/homes/760-MEADE-LN-ROSELLE-IL-601722711_rb/","check listing")</f>
        <v>check listing</v>
      </c>
      <c r="AB6037" s="5" t="str">
        <f>HYPERLINK("https://propertylookup.dupagecounty.gov/Datalets/Datalet.aspx?UseSearch=no&amp;mode=sales&amp;pin=0209117014","sales record")</f>
        <v>sales record</v>
      </c>
      <c r="AC6037" t="s">
        <v>3</v>
      </c>
      <c r="AD6037">
        <v>41.968873</v>
      </c>
      <c r="AE6037">
        <v>-88.106036</v>
      </c>
      <c r="AF6037" s="5" t="str">
        <f>HYPERLINK("https://www.google.com/maps/search/?api=1&amp;query=41.968873,-88.106036","map")</f>
        <v>map</v>
      </c>
    </row>
    <row r="6038" spans="1:32">
      <c r="A6038" t="s">
        <v>6088</v>
      </c>
      <c r="B6038" t="s">
        <v>13613</v>
      </c>
      <c r="C6038" t="s">
        <v>15830</v>
      </c>
      <c r="D6038" t="s">
        <v>16207</v>
      </c>
      <c r="E6038" t="s">
        <v>16218</v>
      </c>
      <c r="F6038" t="s">
        <v>16221</v>
      </c>
      <c r="G6038" t="s">
        <v>16241</v>
      </c>
      <c r="H6038" t="s">
        <v>16241</v>
      </c>
      <c r="I6038" t="s">
        <v>16355</v>
      </c>
      <c r="J6038" t="s">
        <v>16385</v>
      </c>
      <c r="K6038">
        <v>0.122</v>
      </c>
      <c r="L6038">
        <v>5300</v>
      </c>
      <c r="M6038">
        <v>1320</v>
      </c>
      <c r="N6038" t="s">
        <v>16393</v>
      </c>
      <c r="O6038" s="4">
        <v>38692</v>
      </c>
      <c r="P6038" s="4">
        <v>76189</v>
      </c>
      <c r="Q6038" s="4">
        <v>114881</v>
      </c>
      <c r="R6038" s="4">
        <v>344643</v>
      </c>
      <c r="S6038" t="s">
        <v>22296</v>
      </c>
      <c r="T6038" s="6">
        <v>41153</v>
      </c>
      <c r="U6038" s="4">
        <v>179900</v>
      </c>
      <c r="V6038" t="s">
        <v>16232</v>
      </c>
      <c r="W6038" t="s">
        <v>27095</v>
      </c>
      <c r="X6038" t="s">
        <v>3</v>
      </c>
      <c r="AA6038" s="5" t="str">
        <f>HYPERLINK("https://www.zillow.com/homes/741-WOODSIDE-DR-ROSELLE-IL-60172_rb/","check listing")</f>
        <v>check listing</v>
      </c>
      <c r="AB6038" s="5" t="str">
        <f>HYPERLINK("https://propertylookup.dupagecounty.gov/Datalets/Datalet.aspx?UseSearch=no&amp;mode=sales&amp;pin=0209101042","sales record")</f>
        <v>sales record</v>
      </c>
      <c r="AC6038" t="s">
        <v>3</v>
      </c>
      <c r="AD6038">
        <v>41.969274</v>
      </c>
      <c r="AE6038">
        <v>-88.10452100000001</v>
      </c>
      <c r="AF6038" s="5" t="str">
        <f>HYPERLINK("https://www.google.com/maps/search/?api=1&amp;query=41.969274,-88.104521","map")</f>
        <v>map</v>
      </c>
    </row>
    <row r="6039" spans="1:32">
      <c r="A6039" t="s">
        <v>6089</v>
      </c>
      <c r="B6039" t="s">
        <v>13614</v>
      </c>
      <c r="C6039" t="s">
        <v>15830</v>
      </c>
      <c r="D6039" t="s">
        <v>16207</v>
      </c>
      <c r="E6039" t="s">
        <v>16218</v>
      </c>
      <c r="F6039" t="s">
        <v>16221</v>
      </c>
      <c r="G6039" t="s">
        <v>16241</v>
      </c>
      <c r="H6039" t="s">
        <v>16241</v>
      </c>
      <c r="I6039" t="s">
        <v>16355</v>
      </c>
      <c r="J6039" t="s">
        <v>16385</v>
      </c>
      <c r="K6039">
        <v>0.122</v>
      </c>
      <c r="L6039">
        <v>5298</v>
      </c>
      <c r="M6039">
        <v>1583</v>
      </c>
      <c r="N6039" t="s">
        <v>16393</v>
      </c>
      <c r="O6039" s="4">
        <v>38692</v>
      </c>
      <c r="P6039" s="4">
        <v>79942</v>
      </c>
      <c r="Q6039" s="4">
        <v>118634</v>
      </c>
      <c r="R6039" s="4">
        <v>355902</v>
      </c>
      <c r="S6039" t="s">
        <v>22297</v>
      </c>
      <c r="T6039" s="6">
        <v>37408</v>
      </c>
      <c r="U6039" s="4">
        <v>196500</v>
      </c>
      <c r="V6039" t="s">
        <v>23739</v>
      </c>
      <c r="W6039" t="s">
        <v>22297</v>
      </c>
      <c r="X6039" t="s">
        <v>3</v>
      </c>
      <c r="AA6039" s="5" t="str">
        <f>HYPERLINK("https://www.zillow.com/homes/470-WATERBURY-LN-ROSELLE-IL-60172_rb/","check listing")</f>
        <v>check listing</v>
      </c>
      <c r="AB6039" s="5" t="str">
        <f>HYPERLINK("https://propertylookup.dupagecounty.gov/Datalets/Datalet.aspx?UseSearch=no&amp;mode=sales&amp;pin=0209104012","sales record")</f>
        <v>sales record</v>
      </c>
      <c r="AC6039" t="s">
        <v>3</v>
      </c>
      <c r="AD6039">
        <v>41.974096</v>
      </c>
      <c r="AE6039">
        <v>-88.110089</v>
      </c>
      <c r="AF6039" s="5" t="str">
        <f>HYPERLINK("https://www.google.com/maps/search/?api=1&amp;query=41.974096,-88.110089","map")</f>
        <v>map</v>
      </c>
    </row>
    <row r="6040" spans="1:32">
      <c r="A6040" t="s">
        <v>6090</v>
      </c>
      <c r="B6040" t="s">
        <v>13615</v>
      </c>
      <c r="C6040" t="s">
        <v>15830</v>
      </c>
      <c r="D6040" t="s">
        <v>16207</v>
      </c>
      <c r="E6040" t="s">
        <v>16218</v>
      </c>
      <c r="F6040" t="s">
        <v>16221</v>
      </c>
      <c r="G6040" t="s">
        <v>16241</v>
      </c>
      <c r="H6040" t="s">
        <v>16241</v>
      </c>
      <c r="I6040" t="s">
        <v>16355</v>
      </c>
      <c r="J6040" t="s">
        <v>16385</v>
      </c>
      <c r="K6040">
        <v>0.122</v>
      </c>
      <c r="L6040">
        <v>5297</v>
      </c>
      <c r="M6040">
        <v>792</v>
      </c>
      <c r="N6040" t="s">
        <v>16393</v>
      </c>
      <c r="O6040" s="4">
        <v>38692</v>
      </c>
      <c r="P6040" s="4">
        <v>76965</v>
      </c>
      <c r="Q6040" s="4">
        <v>115657</v>
      </c>
      <c r="R6040" s="4">
        <v>346971</v>
      </c>
      <c r="S6040" t="s">
        <v>22298</v>
      </c>
      <c r="T6040" s="6">
        <v>37773</v>
      </c>
      <c r="U6040" s="4">
        <v>240000</v>
      </c>
      <c r="V6040" t="s">
        <v>23739</v>
      </c>
      <c r="W6040" t="s">
        <v>27096</v>
      </c>
      <c r="X6040" t="s">
        <v>3</v>
      </c>
      <c r="AA6040" s="5" t="str">
        <f>HYPERLINK("https://www.zillow.com/homes/490-WATERBURY-LN-ROSELLE-IL-60172_rb/","check listing")</f>
        <v>check listing</v>
      </c>
      <c r="AB6040" s="5" t="str">
        <f>HYPERLINK("https://propertylookup.dupagecounty.gov/Datalets/Datalet.aspx?UseSearch=no&amp;mode=sales&amp;pin=0209104016","sales record")</f>
        <v>sales record</v>
      </c>
      <c r="AC6040" t="s">
        <v>3</v>
      </c>
      <c r="AD6040">
        <v>41.973701</v>
      </c>
      <c r="AE6040">
        <v>-88.10954700000001</v>
      </c>
      <c r="AF6040" s="5" t="str">
        <f>HYPERLINK("https://www.google.com/maps/search/?api=1&amp;query=41.973701,-88.109547","map")</f>
        <v>map</v>
      </c>
    </row>
    <row r="6041" spans="1:32">
      <c r="A6041" t="s">
        <v>6091</v>
      </c>
      <c r="B6041" t="s">
        <v>13616</v>
      </c>
      <c r="C6041" t="s">
        <v>15969</v>
      </c>
      <c r="D6041" t="s">
        <v>16207</v>
      </c>
      <c r="E6041" t="s">
        <v>16218</v>
      </c>
      <c r="F6041" t="s">
        <v>16221</v>
      </c>
      <c r="G6041" t="s">
        <v>16241</v>
      </c>
      <c r="H6041" t="s">
        <v>16241</v>
      </c>
      <c r="I6041" t="s">
        <v>16355</v>
      </c>
      <c r="J6041" t="s">
        <v>16385</v>
      </c>
      <c r="K6041">
        <v>0.122</v>
      </c>
      <c r="L6041">
        <v>5296</v>
      </c>
      <c r="M6041">
        <v>1433</v>
      </c>
      <c r="N6041" t="s">
        <v>16393</v>
      </c>
      <c r="O6041" s="4">
        <v>38692</v>
      </c>
      <c r="P6041" s="4">
        <v>77599</v>
      </c>
      <c r="Q6041" s="4">
        <v>116291</v>
      </c>
      <c r="R6041" s="4">
        <v>348873</v>
      </c>
      <c r="S6041" t="s">
        <v>22299</v>
      </c>
      <c r="T6041" s="6">
        <v>43770</v>
      </c>
      <c r="U6041" s="4">
        <v>257000</v>
      </c>
      <c r="V6041" t="s">
        <v>23739</v>
      </c>
      <c r="W6041" t="s">
        <v>27097</v>
      </c>
      <c r="X6041" t="s">
        <v>3</v>
      </c>
      <c r="AA6041" s="5" t="str">
        <f>HYPERLINK("https://www.zillow.com/homes/745-WOODSIDE-DR-ROSELLE-IL-601722723_rb/","check listing")</f>
        <v>check listing</v>
      </c>
      <c r="AB6041" s="5" t="str">
        <f>HYPERLINK("https://propertylookup.dupagecounty.gov/Datalets/Datalet.aspx?UseSearch=no&amp;mode=sales&amp;pin=0209101043","sales record")</f>
        <v>sales record</v>
      </c>
      <c r="AC6041" t="s">
        <v>3</v>
      </c>
      <c r="AD6041">
        <v>41.969105</v>
      </c>
      <c r="AE6041">
        <v>-88.10452600000001</v>
      </c>
      <c r="AF6041" s="5" t="str">
        <f>HYPERLINK("https://www.google.com/maps/search/?api=1&amp;query=41.969105,-88.104526","map")</f>
        <v>map</v>
      </c>
    </row>
    <row r="6042" spans="1:32">
      <c r="A6042" t="s">
        <v>6092</v>
      </c>
      <c r="B6042" t="s">
        <v>13617</v>
      </c>
      <c r="C6042" t="s">
        <v>15968</v>
      </c>
      <c r="D6042" t="s">
        <v>16207</v>
      </c>
      <c r="E6042" t="s">
        <v>16218</v>
      </c>
      <c r="F6042" t="s">
        <v>16221</v>
      </c>
      <c r="G6042" t="s">
        <v>16241</v>
      </c>
      <c r="H6042" t="s">
        <v>16241</v>
      </c>
      <c r="I6042" t="s">
        <v>16355</v>
      </c>
      <c r="J6042" t="s">
        <v>16385</v>
      </c>
      <c r="K6042">
        <v>0.122</v>
      </c>
      <c r="L6042">
        <v>5293</v>
      </c>
      <c r="M6042">
        <v>1649</v>
      </c>
      <c r="N6042" t="s">
        <v>16393</v>
      </c>
      <c r="O6042" s="4">
        <v>38692</v>
      </c>
      <c r="P6042" s="4">
        <v>75974</v>
      </c>
      <c r="Q6042" s="4">
        <v>114666</v>
      </c>
      <c r="R6042" s="4">
        <v>343998</v>
      </c>
      <c r="S6042" t="s">
        <v>22300</v>
      </c>
      <c r="T6042" s="6">
        <v>44470</v>
      </c>
      <c r="U6042" s="4">
        <v>358000</v>
      </c>
      <c r="V6042" t="s">
        <v>23739</v>
      </c>
      <c r="W6042" t="s">
        <v>22300</v>
      </c>
      <c r="X6042" t="s">
        <v>3</v>
      </c>
      <c r="AA6042" s="5" t="str">
        <f>HYPERLINK("https://www.zillow.com/homes/480-WATERBURY-LN-ROSELLE-IL-601722652_rb/","check listing")</f>
        <v>check listing</v>
      </c>
      <c r="AB6042" s="5" t="str">
        <f>HYPERLINK("https://propertylookup.dupagecounty.gov/Datalets/Datalet.aspx?UseSearch=no&amp;mode=sales&amp;pin=0209104014","sales record")</f>
        <v>sales record</v>
      </c>
      <c r="AC6042" t="s">
        <v>3</v>
      </c>
      <c r="AD6042">
        <v>41.973901</v>
      </c>
      <c r="AE6042">
        <v>-88.10980600000001</v>
      </c>
      <c r="AF6042" s="5" t="str">
        <f>HYPERLINK("https://www.google.com/maps/search/?api=1&amp;query=41.973901,-88.109806","map")</f>
        <v>map</v>
      </c>
    </row>
    <row r="6043" spans="1:32">
      <c r="A6043" t="s">
        <v>6093</v>
      </c>
      <c r="B6043" t="s">
        <v>13618</v>
      </c>
      <c r="C6043" t="s">
        <v>15830</v>
      </c>
      <c r="D6043" t="s">
        <v>16207</v>
      </c>
      <c r="E6043" t="s">
        <v>16218</v>
      </c>
      <c r="F6043" t="s">
        <v>16221</v>
      </c>
      <c r="G6043" t="s">
        <v>16241</v>
      </c>
      <c r="H6043" t="s">
        <v>16241</v>
      </c>
      <c r="I6043" t="s">
        <v>16355</v>
      </c>
      <c r="J6043" t="s">
        <v>16385</v>
      </c>
      <c r="K6043">
        <v>0.121</v>
      </c>
      <c r="L6043">
        <v>5292</v>
      </c>
      <c r="M6043">
        <v>1694</v>
      </c>
      <c r="N6043" t="s">
        <v>16393</v>
      </c>
      <c r="O6043" s="4">
        <v>38692</v>
      </c>
      <c r="P6043" s="4">
        <v>80097</v>
      </c>
      <c r="Q6043" s="4">
        <v>118789</v>
      </c>
      <c r="R6043" s="4">
        <v>356367</v>
      </c>
      <c r="S6043" t="s">
        <v>22301</v>
      </c>
      <c r="T6043" s="6">
        <v>33420</v>
      </c>
      <c r="U6043" s="4">
        <v>120000</v>
      </c>
      <c r="X6043" t="s">
        <v>3</v>
      </c>
      <c r="AA6043" s="5" t="str">
        <f>HYPERLINK("https://www.zillow.com/homes/755-WOODSIDE-DR-ROSELLE-IL-60172_rb/","check listing")</f>
        <v>check listing</v>
      </c>
      <c r="AB6043" s="5" t="str">
        <f>HYPERLINK("https://propertylookup.dupagecounty.gov/Datalets/Datalet.aspx?UseSearch=no&amp;mode=sales&amp;pin=0209101044","sales record")</f>
        <v>sales record</v>
      </c>
      <c r="AC6043" t="s">
        <v>3</v>
      </c>
      <c r="AD6043">
        <v>41.968994</v>
      </c>
      <c r="AE6043">
        <v>-88.104529</v>
      </c>
      <c r="AF6043" s="5" t="str">
        <f>HYPERLINK("https://www.google.com/maps/search/?api=1&amp;query=41.968994,-88.104529","map")</f>
        <v>map</v>
      </c>
    </row>
    <row r="6044" spans="1:32">
      <c r="A6044" t="s">
        <v>6094</v>
      </c>
      <c r="B6044" t="s">
        <v>13619</v>
      </c>
      <c r="C6044" t="s">
        <v>15830</v>
      </c>
      <c r="D6044" t="s">
        <v>16207</v>
      </c>
      <c r="E6044" t="s">
        <v>16218</v>
      </c>
      <c r="F6044" t="s">
        <v>16221</v>
      </c>
      <c r="G6044" t="s">
        <v>16241</v>
      </c>
      <c r="H6044" t="s">
        <v>16241</v>
      </c>
      <c r="I6044" t="s">
        <v>16355</v>
      </c>
      <c r="J6044" t="s">
        <v>16385</v>
      </c>
      <c r="K6044">
        <v>0.121</v>
      </c>
      <c r="L6044">
        <v>5291</v>
      </c>
      <c r="M6044">
        <v>1395</v>
      </c>
      <c r="N6044" t="s">
        <v>16393</v>
      </c>
      <c r="O6044" s="4">
        <v>38692</v>
      </c>
      <c r="P6044" s="4">
        <v>75758</v>
      </c>
      <c r="Q6044" s="4">
        <v>114450</v>
      </c>
      <c r="R6044" s="4">
        <v>343350</v>
      </c>
      <c r="S6044" t="s">
        <v>22302</v>
      </c>
      <c r="X6044" t="s">
        <v>3</v>
      </c>
      <c r="AA6044" s="5" t="str">
        <f>HYPERLINK("https://www.zillow.com/homes/466-WATERBURY-LN-ROSELLE-IL-60172_rb/","check listing")</f>
        <v>check listing</v>
      </c>
      <c r="AB6044" s="5" t="str">
        <f>HYPERLINK("https://propertylookup.dupagecounty.gov/Datalets/Datalet.aspx?UseSearch=no&amp;mode=sales&amp;pin=0209104011","sales record")</f>
        <v>sales record</v>
      </c>
      <c r="AC6044" t="s">
        <v>3</v>
      </c>
      <c r="AD6044">
        <v>41.974175</v>
      </c>
      <c r="AE6044">
        <v>-88.110246</v>
      </c>
      <c r="AF6044" s="5" t="str">
        <f>HYPERLINK("https://www.google.com/maps/search/?api=1&amp;query=41.974175,-88.110246","map")</f>
        <v>map</v>
      </c>
    </row>
    <row r="6045" spans="1:32">
      <c r="A6045" t="s">
        <v>6095</v>
      </c>
      <c r="B6045" t="s">
        <v>13620</v>
      </c>
      <c r="C6045" t="s">
        <v>15830</v>
      </c>
      <c r="D6045" t="s">
        <v>16207</v>
      </c>
      <c r="E6045" t="s">
        <v>16218</v>
      </c>
      <c r="F6045" t="s">
        <v>16221</v>
      </c>
      <c r="G6045" t="s">
        <v>16241</v>
      </c>
      <c r="H6045" t="s">
        <v>16241</v>
      </c>
      <c r="I6045" t="s">
        <v>16355</v>
      </c>
      <c r="J6045" t="s">
        <v>16385</v>
      </c>
      <c r="K6045">
        <v>0.121</v>
      </c>
      <c r="L6045">
        <v>5287</v>
      </c>
      <c r="M6045">
        <v>1579</v>
      </c>
      <c r="N6045" t="s">
        <v>16393</v>
      </c>
      <c r="O6045" s="4">
        <v>38692</v>
      </c>
      <c r="P6045" s="4">
        <v>76045</v>
      </c>
      <c r="Q6045" s="4">
        <v>114737</v>
      </c>
      <c r="R6045" s="4">
        <v>344211</v>
      </c>
      <c r="S6045" t="s">
        <v>22303</v>
      </c>
      <c r="T6045" s="6">
        <v>42522</v>
      </c>
      <c r="U6045" s="4">
        <v>243000</v>
      </c>
      <c r="V6045" t="s">
        <v>23739</v>
      </c>
      <c r="W6045" t="s">
        <v>27098</v>
      </c>
      <c r="X6045" t="s">
        <v>3</v>
      </c>
      <c r="AA6045" s="5" t="str">
        <f>HYPERLINK("https://www.zillow.com/homes/755-RODENBURG-RD-ROSELLE-IL-60172_rb/","check listing")</f>
        <v>check listing</v>
      </c>
      <c r="AB6045" s="5" t="str">
        <f>HYPERLINK("https://propertylookup.dupagecounty.gov/Datalets/Datalet.aspx?UseSearch=no&amp;mode=sales&amp;pin=0209117004","sales record")</f>
        <v>sales record</v>
      </c>
      <c r="AC6045" t="s">
        <v>3</v>
      </c>
      <c r="AD6045">
        <v>41.968917</v>
      </c>
      <c r="AE6045">
        <v>-88.10642</v>
      </c>
      <c r="AF6045" s="5" t="str">
        <f>HYPERLINK("https://www.google.com/maps/search/?api=1&amp;query=41.968917,-88.10642","map")</f>
        <v>map</v>
      </c>
    </row>
    <row r="6046" spans="1:32">
      <c r="A6046" t="s">
        <v>6096</v>
      </c>
      <c r="B6046" t="s">
        <v>13621</v>
      </c>
      <c r="C6046" t="s">
        <v>15830</v>
      </c>
      <c r="D6046" t="s">
        <v>16207</v>
      </c>
      <c r="E6046" t="s">
        <v>16218</v>
      </c>
      <c r="F6046" t="s">
        <v>16221</v>
      </c>
      <c r="G6046" t="s">
        <v>16241</v>
      </c>
      <c r="H6046" t="s">
        <v>16241</v>
      </c>
      <c r="I6046" t="s">
        <v>16355</v>
      </c>
      <c r="J6046" t="s">
        <v>16385</v>
      </c>
      <c r="K6046">
        <v>0.121</v>
      </c>
      <c r="L6046">
        <v>5286</v>
      </c>
      <c r="M6046">
        <v>1347</v>
      </c>
      <c r="N6046" t="s">
        <v>16393</v>
      </c>
      <c r="O6046" s="4">
        <v>38692</v>
      </c>
      <c r="P6046" s="4">
        <v>75758</v>
      </c>
      <c r="Q6046" s="4">
        <v>114450</v>
      </c>
      <c r="R6046" s="4">
        <v>343350</v>
      </c>
      <c r="S6046" t="s">
        <v>22304</v>
      </c>
      <c r="T6046" s="6">
        <v>45791</v>
      </c>
      <c r="U6046" s="4">
        <v>385000</v>
      </c>
      <c r="V6046" t="s">
        <v>23741</v>
      </c>
      <c r="W6046" t="s">
        <v>27099</v>
      </c>
      <c r="X6046" t="s">
        <v>3</v>
      </c>
      <c r="AA6046" s="5" t="str">
        <f>HYPERLINK("https://www.zillow.com/homes/765-WOODSIDE-DR-ROSELLE-IL-60172_rb/","check listing")</f>
        <v>check listing</v>
      </c>
      <c r="AB6046" s="5" t="str">
        <f>HYPERLINK("https://propertylookup.dupagecounty.gov/Datalets/Datalet.aspx?UseSearch=no&amp;mode=sales&amp;pin=0209101045","sales record")</f>
        <v>sales record</v>
      </c>
      <c r="AC6046" t="s">
        <v>3</v>
      </c>
      <c r="AD6046">
        <v>41.968874</v>
      </c>
      <c r="AE6046">
        <v>-88.104533</v>
      </c>
      <c r="AF6046" s="5" t="str">
        <f>HYPERLINK("https://www.google.com/maps/search/?api=1&amp;query=41.968874,-88.104533","map")</f>
        <v>map</v>
      </c>
    </row>
    <row r="6047" spans="1:32">
      <c r="A6047" t="s">
        <v>6097</v>
      </c>
      <c r="B6047" t="s">
        <v>13622</v>
      </c>
      <c r="C6047" t="s">
        <v>15830</v>
      </c>
      <c r="D6047" t="s">
        <v>16207</v>
      </c>
      <c r="E6047" t="s">
        <v>16218</v>
      </c>
      <c r="F6047" t="s">
        <v>16221</v>
      </c>
      <c r="G6047" t="s">
        <v>16241</v>
      </c>
      <c r="H6047" t="s">
        <v>16241</v>
      </c>
      <c r="I6047" t="s">
        <v>16355</v>
      </c>
      <c r="J6047" t="s">
        <v>16385</v>
      </c>
      <c r="K6047">
        <v>0.121</v>
      </c>
      <c r="L6047">
        <v>5284</v>
      </c>
      <c r="M6047">
        <v>1315</v>
      </c>
      <c r="N6047" t="s">
        <v>16393</v>
      </c>
      <c r="O6047" s="4">
        <v>38692</v>
      </c>
      <c r="P6047" s="4">
        <v>80097</v>
      </c>
      <c r="Q6047" s="4">
        <v>118789</v>
      </c>
      <c r="R6047" s="4">
        <v>356367</v>
      </c>
      <c r="S6047" t="s">
        <v>22305</v>
      </c>
      <c r="T6047" s="6">
        <v>35796</v>
      </c>
      <c r="U6047" s="4">
        <v>141000</v>
      </c>
      <c r="X6047" t="s">
        <v>3</v>
      </c>
      <c r="AA6047" s="5" t="str">
        <f>HYPERLINK("https://www.zillow.com/homes/775-WOODSIDE-DR-ROSELLE-IL-60172_rb/","check listing")</f>
        <v>check listing</v>
      </c>
      <c r="AB6047" s="5" t="str">
        <f>HYPERLINK("https://propertylookup.dupagecounty.gov/Datalets/Datalet.aspx?UseSearch=no&amp;mode=sales&amp;pin=0209101046","sales record")</f>
        <v>sales record</v>
      </c>
      <c r="AC6047" t="s">
        <v>3</v>
      </c>
      <c r="AD6047">
        <v>41.968714</v>
      </c>
      <c r="AE6047">
        <v>-88.10453699999999</v>
      </c>
      <c r="AF6047" s="5" t="str">
        <f>HYPERLINK("https://www.google.com/maps/search/?api=1&amp;query=41.968714,-88.104537","map")</f>
        <v>map</v>
      </c>
    </row>
    <row r="6048" spans="1:32">
      <c r="A6048" t="s">
        <v>6098</v>
      </c>
      <c r="B6048" t="s">
        <v>13623</v>
      </c>
      <c r="C6048" t="s">
        <v>15937</v>
      </c>
      <c r="D6048" t="s">
        <v>16207</v>
      </c>
      <c r="E6048" t="s">
        <v>16218</v>
      </c>
      <c r="F6048" t="s">
        <v>16221</v>
      </c>
      <c r="G6048" t="s">
        <v>16241</v>
      </c>
      <c r="H6048" t="s">
        <v>16241</v>
      </c>
      <c r="I6048" t="s">
        <v>16355</v>
      </c>
      <c r="J6048" t="s">
        <v>16385</v>
      </c>
      <c r="K6048">
        <v>0.121</v>
      </c>
      <c r="L6048">
        <v>5283</v>
      </c>
      <c r="M6048">
        <v>1485</v>
      </c>
      <c r="N6048" t="s">
        <v>16393</v>
      </c>
      <c r="O6048" s="4">
        <v>38692</v>
      </c>
      <c r="P6048" s="4">
        <v>79309</v>
      </c>
      <c r="Q6048" s="4">
        <v>118001</v>
      </c>
      <c r="R6048" s="4">
        <v>354003</v>
      </c>
      <c r="S6048" t="s">
        <v>22306</v>
      </c>
      <c r="T6048" s="6">
        <v>44378</v>
      </c>
      <c r="U6048" s="4">
        <v>300000</v>
      </c>
      <c r="V6048" t="s">
        <v>23739</v>
      </c>
      <c r="W6048" t="s">
        <v>27100</v>
      </c>
      <c r="X6048" t="s">
        <v>3</v>
      </c>
      <c r="AA6048" s="5" t="str">
        <f>HYPERLINK("https://www.zillow.com/homes/520-WATERBURY-LN-ROSELLE-IL-601722654_rb/","check listing")</f>
        <v>check listing</v>
      </c>
      <c r="AB6048" s="5" t="str">
        <f>HYPERLINK("https://propertylookup.dupagecounty.gov/Datalets/Datalet.aspx?UseSearch=no&amp;mode=sales&amp;pin=0209104018","sales record")</f>
        <v>sales record</v>
      </c>
      <c r="AC6048" t="s">
        <v>3</v>
      </c>
      <c r="AD6048">
        <v>41.973397</v>
      </c>
      <c r="AE6048">
        <v>-88.109438</v>
      </c>
      <c r="AF6048" s="5" t="str">
        <f>HYPERLINK("https://www.google.com/maps/search/?api=1&amp;query=41.973397,-88.109438","map")</f>
        <v>map</v>
      </c>
    </row>
    <row r="6049" spans="1:32">
      <c r="A6049" t="s">
        <v>6099</v>
      </c>
      <c r="B6049" t="s">
        <v>13624</v>
      </c>
      <c r="C6049" t="s">
        <v>15830</v>
      </c>
      <c r="D6049" t="s">
        <v>16207</v>
      </c>
      <c r="E6049" t="s">
        <v>16218</v>
      </c>
      <c r="F6049" t="s">
        <v>16221</v>
      </c>
      <c r="G6049" t="s">
        <v>16241</v>
      </c>
      <c r="H6049" t="s">
        <v>16241</v>
      </c>
      <c r="I6049" t="s">
        <v>16355</v>
      </c>
      <c r="J6049" t="s">
        <v>16385</v>
      </c>
      <c r="K6049">
        <v>0.121</v>
      </c>
      <c r="L6049">
        <v>5278</v>
      </c>
      <c r="M6049">
        <v>1650</v>
      </c>
      <c r="N6049" t="s">
        <v>16393</v>
      </c>
      <c r="O6049" s="4">
        <v>38692</v>
      </c>
      <c r="P6049" s="4">
        <v>77539</v>
      </c>
      <c r="Q6049" s="4">
        <v>116231</v>
      </c>
      <c r="R6049" s="4">
        <v>348693</v>
      </c>
      <c r="S6049" t="s">
        <v>22307</v>
      </c>
      <c r="T6049" s="6">
        <v>44044</v>
      </c>
      <c r="U6049" s="4">
        <v>260000</v>
      </c>
      <c r="V6049" t="s">
        <v>23739</v>
      </c>
      <c r="W6049" t="s">
        <v>22307</v>
      </c>
      <c r="X6049" t="s">
        <v>3</v>
      </c>
      <c r="AA6049" s="5" t="str">
        <f>HYPERLINK("https://www.zillow.com/homes/795-WOODSIDE-DR-ROSELLE-IL-60172_rb/","check listing")</f>
        <v>check listing</v>
      </c>
      <c r="AB6049" s="5" t="str">
        <f>HYPERLINK("https://propertylookup.dupagecounty.gov/Datalets/Datalet.aspx?UseSearch=no&amp;mode=sales&amp;pin=0209101048","sales record")</f>
        <v>sales record</v>
      </c>
      <c r="AC6049" t="s">
        <v>3</v>
      </c>
      <c r="AD6049">
        <v>41.968434</v>
      </c>
      <c r="AE6049">
        <v>-88.104546</v>
      </c>
      <c r="AF6049" s="5" t="str">
        <f>HYPERLINK("https://www.google.com/maps/search/?api=1&amp;query=41.968434,-88.104546","map")</f>
        <v>map</v>
      </c>
    </row>
    <row r="6050" spans="1:32">
      <c r="A6050" t="s">
        <v>6100</v>
      </c>
      <c r="B6050" t="s">
        <v>13625</v>
      </c>
      <c r="C6050" t="s">
        <v>15830</v>
      </c>
      <c r="D6050" t="s">
        <v>16207</v>
      </c>
      <c r="E6050" t="s">
        <v>16218</v>
      </c>
      <c r="F6050" t="s">
        <v>16221</v>
      </c>
      <c r="G6050" t="s">
        <v>16241</v>
      </c>
      <c r="H6050" t="s">
        <v>16241</v>
      </c>
      <c r="I6050" t="s">
        <v>16355</v>
      </c>
      <c r="J6050" t="s">
        <v>16385</v>
      </c>
      <c r="K6050">
        <v>0.121</v>
      </c>
      <c r="L6050">
        <v>5278</v>
      </c>
      <c r="M6050">
        <v>1516</v>
      </c>
      <c r="N6050" t="s">
        <v>16393</v>
      </c>
      <c r="O6050" s="4">
        <v>38692</v>
      </c>
      <c r="P6050" s="4">
        <v>76189</v>
      </c>
      <c r="Q6050" s="4">
        <v>114881</v>
      </c>
      <c r="R6050" s="4">
        <v>344643</v>
      </c>
      <c r="S6050" t="s">
        <v>22308</v>
      </c>
      <c r="T6050" s="6">
        <v>34151</v>
      </c>
      <c r="U6050" s="4">
        <v>126500</v>
      </c>
      <c r="X6050" t="s">
        <v>3</v>
      </c>
      <c r="AA6050" s="5" t="str">
        <f>HYPERLINK("https://www.zillow.com/homes/785-WOODSIDE-DR-ROSELLE-IL-60172_rb/","check listing")</f>
        <v>check listing</v>
      </c>
      <c r="AB6050" s="5" t="str">
        <f>HYPERLINK("https://propertylookup.dupagecounty.gov/Datalets/Datalet.aspx?UseSearch=no&amp;mode=sales&amp;pin=0209101047","sales record")</f>
        <v>sales record</v>
      </c>
      <c r="AC6050" t="s">
        <v>3</v>
      </c>
      <c r="AD6050">
        <v>41.968589</v>
      </c>
      <c r="AE6050">
        <v>-88.104541</v>
      </c>
      <c r="AF6050" s="5" t="str">
        <f>HYPERLINK("https://www.google.com/maps/search/?api=1&amp;query=41.968589,-88.104541","map")</f>
        <v>map</v>
      </c>
    </row>
    <row r="6051" spans="1:32">
      <c r="A6051" t="s">
        <v>6101</v>
      </c>
      <c r="B6051" t="s">
        <v>13626</v>
      </c>
      <c r="C6051" t="s">
        <v>15830</v>
      </c>
      <c r="D6051" t="s">
        <v>16207</v>
      </c>
      <c r="E6051" t="s">
        <v>16218</v>
      </c>
      <c r="F6051" t="s">
        <v>16221</v>
      </c>
      <c r="G6051" t="s">
        <v>16241</v>
      </c>
      <c r="H6051" t="s">
        <v>16241</v>
      </c>
      <c r="I6051" t="s">
        <v>16355</v>
      </c>
      <c r="J6051" t="s">
        <v>16385</v>
      </c>
      <c r="K6051">
        <v>0.121</v>
      </c>
      <c r="L6051">
        <v>5278</v>
      </c>
      <c r="M6051">
        <v>1451</v>
      </c>
      <c r="N6051" t="s">
        <v>16393</v>
      </c>
      <c r="O6051" s="4">
        <v>38692</v>
      </c>
      <c r="P6051" s="4">
        <v>76189</v>
      </c>
      <c r="Q6051" s="4">
        <v>114881</v>
      </c>
      <c r="R6051" s="4">
        <v>344643</v>
      </c>
      <c r="S6051" t="s">
        <v>22309</v>
      </c>
      <c r="T6051" s="6">
        <v>33482</v>
      </c>
      <c r="U6051" s="4">
        <v>108500</v>
      </c>
      <c r="V6051" t="s">
        <v>23739</v>
      </c>
      <c r="W6051" t="s">
        <v>27101</v>
      </c>
      <c r="X6051" t="s">
        <v>3</v>
      </c>
      <c r="AA6051" s="5" t="str">
        <f>HYPERLINK("https://www.zillow.com/homes/745-RODENBURG-RD-ROSELLE-IL-60172_rb/","check listing")</f>
        <v>check listing</v>
      </c>
      <c r="AB6051" s="5" t="str">
        <f>HYPERLINK("https://propertylookup.dupagecounty.gov/Datalets/Datalet.aspx?UseSearch=no&amp;mode=sales&amp;pin=0209117002","sales record")</f>
        <v>sales record</v>
      </c>
      <c r="AC6051" t="s">
        <v>3</v>
      </c>
      <c r="AD6051">
        <v>41.969224</v>
      </c>
      <c r="AE6051">
        <v>-88.10637</v>
      </c>
      <c r="AF6051" s="5" t="str">
        <f>HYPERLINK("https://www.google.com/maps/search/?api=1&amp;query=41.969224,-88.10637","map")</f>
        <v>map</v>
      </c>
    </row>
    <row r="6052" spans="1:32">
      <c r="A6052" t="s">
        <v>6102</v>
      </c>
      <c r="B6052" t="s">
        <v>13627</v>
      </c>
      <c r="C6052" t="s">
        <v>15969</v>
      </c>
      <c r="D6052" t="s">
        <v>16207</v>
      </c>
      <c r="E6052" t="s">
        <v>16218</v>
      </c>
      <c r="F6052" t="s">
        <v>16221</v>
      </c>
      <c r="G6052" t="s">
        <v>16241</v>
      </c>
      <c r="H6052" t="s">
        <v>16241</v>
      </c>
      <c r="I6052" t="s">
        <v>16355</v>
      </c>
      <c r="J6052" t="s">
        <v>16385</v>
      </c>
      <c r="K6052">
        <v>0.121</v>
      </c>
      <c r="L6052">
        <v>5270</v>
      </c>
      <c r="M6052">
        <v>1451</v>
      </c>
      <c r="N6052" t="s">
        <v>16393</v>
      </c>
      <c r="O6052" s="4">
        <v>38692</v>
      </c>
      <c r="P6052" s="4">
        <v>77599</v>
      </c>
      <c r="Q6052" s="4">
        <v>116291</v>
      </c>
      <c r="R6052" s="4">
        <v>348873</v>
      </c>
      <c r="S6052" t="s">
        <v>22310</v>
      </c>
      <c r="T6052" s="6">
        <v>44044</v>
      </c>
      <c r="U6052" s="4">
        <v>243000</v>
      </c>
      <c r="V6052" t="s">
        <v>23740</v>
      </c>
      <c r="W6052" t="s">
        <v>22310</v>
      </c>
      <c r="X6052" t="s">
        <v>3</v>
      </c>
      <c r="AA6052" s="5" t="str">
        <f>HYPERLINK("https://www.zillow.com/homes/799-WOODSIDE-DR-ROSELLE-IL-601722723_rb/","check listing")</f>
        <v>check listing</v>
      </c>
      <c r="AB6052" s="5" t="str">
        <f>HYPERLINK("https://propertylookup.dupagecounty.gov/Datalets/Datalet.aspx?UseSearch=no&amp;mode=sales&amp;pin=0209101049","sales record")</f>
        <v>sales record</v>
      </c>
      <c r="AC6052" t="s">
        <v>3</v>
      </c>
      <c r="AD6052">
        <v>41.968295</v>
      </c>
      <c r="AE6052">
        <v>-88.10455</v>
      </c>
      <c r="AF6052" s="5" t="str">
        <f>HYPERLINK("https://www.google.com/maps/search/?api=1&amp;query=41.968295,-88.10455","map")</f>
        <v>map</v>
      </c>
    </row>
    <row r="6053" spans="1:32">
      <c r="A6053" t="s">
        <v>6103</v>
      </c>
      <c r="B6053" t="s">
        <v>13628</v>
      </c>
      <c r="C6053" t="s">
        <v>15830</v>
      </c>
      <c r="D6053" t="s">
        <v>16207</v>
      </c>
      <c r="E6053" t="s">
        <v>16218</v>
      </c>
      <c r="F6053" t="s">
        <v>16221</v>
      </c>
      <c r="G6053" t="s">
        <v>16241</v>
      </c>
      <c r="H6053" t="s">
        <v>16241</v>
      </c>
      <c r="I6053" t="s">
        <v>16355</v>
      </c>
      <c r="J6053" t="s">
        <v>16385</v>
      </c>
      <c r="K6053">
        <v>0.121</v>
      </c>
      <c r="L6053">
        <v>5269</v>
      </c>
      <c r="M6053">
        <v>1145</v>
      </c>
      <c r="N6053" t="s">
        <v>16393</v>
      </c>
      <c r="O6053" s="4">
        <v>38692</v>
      </c>
      <c r="P6053" s="4">
        <v>62141</v>
      </c>
      <c r="Q6053" s="4">
        <v>100833</v>
      </c>
      <c r="R6053" s="4">
        <v>302499</v>
      </c>
      <c r="S6053" t="s">
        <v>22311</v>
      </c>
      <c r="T6053" s="6">
        <v>44936</v>
      </c>
      <c r="U6053" s="4">
        <v>302500</v>
      </c>
      <c r="V6053" t="s">
        <v>23739</v>
      </c>
      <c r="W6053" t="s">
        <v>22311</v>
      </c>
      <c r="X6053" t="s">
        <v>3</v>
      </c>
      <c r="AA6053" s="5" t="str">
        <f>HYPERLINK("https://www.zillow.com/homes/910-W-BRYN-MAWR-AVE-ROSELLE-IL-60172_rb/","check listing")</f>
        <v>check listing</v>
      </c>
      <c r="AB6053" s="5" t="str">
        <f>HYPERLINK("https://propertylookup.dupagecounty.gov/Datalets/Datalet.aspx?UseSearch=no&amp;mode=sales&amp;pin=0209109022","sales record")</f>
        <v>sales record</v>
      </c>
      <c r="AC6053" t="s">
        <v>3</v>
      </c>
      <c r="AD6053">
        <v>41.973696</v>
      </c>
      <c r="AE6053">
        <v>-88.103568</v>
      </c>
      <c r="AF6053" s="5" t="str">
        <f>HYPERLINK("https://www.google.com/maps/search/?api=1&amp;query=41.973696,-88.103568","map")</f>
        <v>map</v>
      </c>
    </row>
    <row r="6054" spans="1:32">
      <c r="A6054" t="s">
        <v>6104</v>
      </c>
      <c r="B6054" t="s">
        <v>13629</v>
      </c>
      <c r="C6054" t="s">
        <v>15830</v>
      </c>
      <c r="D6054" t="s">
        <v>16207</v>
      </c>
      <c r="E6054" t="s">
        <v>16218</v>
      </c>
      <c r="F6054" t="s">
        <v>16221</v>
      </c>
      <c r="G6054" t="s">
        <v>16241</v>
      </c>
      <c r="H6054" t="s">
        <v>16241</v>
      </c>
      <c r="I6054" t="s">
        <v>16355</v>
      </c>
      <c r="J6054" t="s">
        <v>16385</v>
      </c>
      <c r="K6054">
        <v>0.121</v>
      </c>
      <c r="L6054">
        <v>5268</v>
      </c>
      <c r="M6054">
        <v>1056</v>
      </c>
      <c r="N6054" t="s">
        <v>16393</v>
      </c>
      <c r="O6054" s="4">
        <v>38692</v>
      </c>
      <c r="P6054" s="4">
        <v>77444</v>
      </c>
      <c r="Q6054" s="4">
        <v>116136</v>
      </c>
      <c r="R6054" s="4">
        <v>348408</v>
      </c>
      <c r="S6054" t="s">
        <v>22312</v>
      </c>
      <c r="T6054" s="6">
        <v>42430</v>
      </c>
      <c r="U6054" s="4">
        <v>210000</v>
      </c>
      <c r="V6054" t="s">
        <v>23739</v>
      </c>
      <c r="W6054" t="s">
        <v>22312</v>
      </c>
      <c r="X6054" t="s">
        <v>3</v>
      </c>
      <c r="AA6054" s="5" t="str">
        <f>HYPERLINK("https://www.zillow.com/homes/570-MIDDLETON-DR-ROSELLE-IL-60172_rb/","check listing")</f>
        <v>check listing</v>
      </c>
      <c r="AB6054" s="5" t="str">
        <f>HYPERLINK("https://propertylookup.dupagecounty.gov/Datalets/Datalet.aspx?UseSearch=no&amp;mode=sales&amp;pin=0209110005","sales record")</f>
        <v>sales record</v>
      </c>
      <c r="AC6054" t="s">
        <v>3</v>
      </c>
      <c r="AD6054">
        <v>41.972345</v>
      </c>
      <c r="AE6054">
        <v>-88.105</v>
      </c>
      <c r="AF6054" s="5" t="str">
        <f>HYPERLINK("https://www.google.com/maps/search/?api=1&amp;query=41.972345,-88.105","map")</f>
        <v>map</v>
      </c>
    </row>
    <row r="6055" spans="1:32">
      <c r="A6055" t="s">
        <v>6105</v>
      </c>
      <c r="B6055" t="s">
        <v>13630</v>
      </c>
      <c r="C6055" t="s">
        <v>15830</v>
      </c>
      <c r="D6055" t="s">
        <v>16207</v>
      </c>
      <c r="E6055" t="s">
        <v>16218</v>
      </c>
      <c r="F6055" t="s">
        <v>16221</v>
      </c>
      <c r="G6055" t="s">
        <v>16241</v>
      </c>
      <c r="H6055" t="s">
        <v>16241</v>
      </c>
      <c r="I6055" t="s">
        <v>16355</v>
      </c>
      <c r="J6055" t="s">
        <v>16385</v>
      </c>
      <c r="K6055">
        <v>0.121</v>
      </c>
      <c r="L6055">
        <v>5260</v>
      </c>
      <c r="M6055">
        <v>1370</v>
      </c>
      <c r="N6055" t="s">
        <v>16393</v>
      </c>
      <c r="O6055" s="4">
        <v>38692</v>
      </c>
      <c r="P6055" s="4">
        <v>92505</v>
      </c>
      <c r="Q6055" s="4">
        <v>131197</v>
      </c>
      <c r="R6055" s="4">
        <v>393591</v>
      </c>
      <c r="S6055" t="s">
        <v>22313</v>
      </c>
      <c r="T6055" s="6">
        <v>34060</v>
      </c>
      <c r="U6055" s="4">
        <v>124000</v>
      </c>
      <c r="X6055" t="s">
        <v>3</v>
      </c>
      <c r="AA6055" s="5" t="str">
        <f>HYPERLINK("https://www.zillow.com/homes/809-WOODSIDE-DR-ROSELLE-IL-60172_rb/","check listing")</f>
        <v>check listing</v>
      </c>
      <c r="AB6055" s="5" t="str">
        <f>HYPERLINK("https://propertylookup.dupagecounty.gov/Datalets/Datalet.aspx?UseSearch=no&amp;mode=sales&amp;pin=0209305002","sales record")</f>
        <v>sales record</v>
      </c>
      <c r="AC6055" t="s">
        <v>3</v>
      </c>
      <c r="AD6055">
        <v>41.968015</v>
      </c>
      <c r="AE6055">
        <v>-88.104558</v>
      </c>
      <c r="AF6055" s="5" t="str">
        <f>HYPERLINK("https://www.google.com/maps/search/?api=1&amp;query=41.968015,-88.104558","map")</f>
        <v>map</v>
      </c>
    </row>
    <row r="6056" spans="1:32">
      <c r="A6056" t="s">
        <v>6106</v>
      </c>
      <c r="B6056" t="s">
        <v>13631</v>
      </c>
      <c r="C6056" t="s">
        <v>15899</v>
      </c>
      <c r="D6056" t="s">
        <v>16207</v>
      </c>
      <c r="E6056" t="s">
        <v>16218</v>
      </c>
      <c r="F6056" t="s">
        <v>16221</v>
      </c>
      <c r="G6056" t="s">
        <v>16241</v>
      </c>
      <c r="H6056" t="s">
        <v>16241</v>
      </c>
      <c r="I6056" t="s">
        <v>16355</v>
      </c>
      <c r="J6056" t="s">
        <v>16385</v>
      </c>
      <c r="K6056">
        <v>0.12</v>
      </c>
      <c r="L6056">
        <v>5247</v>
      </c>
      <c r="M6056">
        <v>1451</v>
      </c>
      <c r="N6056" t="s">
        <v>16393</v>
      </c>
      <c r="O6056" s="4">
        <v>38692</v>
      </c>
      <c r="P6056" s="4">
        <v>82811</v>
      </c>
      <c r="Q6056" s="4">
        <v>121503</v>
      </c>
      <c r="R6056" s="4">
        <v>364509</v>
      </c>
      <c r="S6056" t="s">
        <v>22314</v>
      </c>
      <c r="T6056" s="6">
        <v>43647</v>
      </c>
      <c r="U6056" s="4">
        <v>255000</v>
      </c>
      <c r="V6056" t="s">
        <v>16232</v>
      </c>
      <c r="W6056" t="s">
        <v>27102</v>
      </c>
      <c r="X6056" t="s">
        <v>3</v>
      </c>
      <c r="AA6056" s="5" t="str">
        <f>HYPERLINK("https://www.zillow.com/homes/900-EDENWOOD-DR-ROSELLE-IL-601722756_rb/","check listing")</f>
        <v>check listing</v>
      </c>
      <c r="AB6056" s="5" t="str">
        <f>HYPERLINK("https://propertylookup.dupagecounty.gov/Datalets/Datalet.aspx?UseSearch=no&amp;mode=sales&amp;pin=0209111017","sales record")</f>
        <v>sales record</v>
      </c>
      <c r="AC6056" t="s">
        <v>3</v>
      </c>
      <c r="AD6056">
        <v>41.972964</v>
      </c>
      <c r="AE6056">
        <v>-88.10330399999999</v>
      </c>
      <c r="AF6056" s="5" t="str">
        <f>HYPERLINK("https://www.google.com/maps/search/?api=1&amp;query=41.972964,-88.103304","map")</f>
        <v>map</v>
      </c>
    </row>
    <row r="6057" spans="1:32">
      <c r="A6057" t="s">
        <v>6107</v>
      </c>
      <c r="B6057" t="s">
        <v>13632</v>
      </c>
      <c r="C6057" t="s">
        <v>15973</v>
      </c>
      <c r="D6057" t="s">
        <v>16207</v>
      </c>
      <c r="E6057" t="s">
        <v>16218</v>
      </c>
      <c r="F6057" t="s">
        <v>16221</v>
      </c>
      <c r="G6057" t="s">
        <v>16241</v>
      </c>
      <c r="H6057" t="s">
        <v>16241</v>
      </c>
      <c r="I6057" t="s">
        <v>16355</v>
      </c>
      <c r="J6057" t="s">
        <v>16385</v>
      </c>
      <c r="K6057">
        <v>0.12</v>
      </c>
      <c r="L6057">
        <v>5246</v>
      </c>
      <c r="M6057">
        <v>1451</v>
      </c>
      <c r="N6057" t="s">
        <v>16393</v>
      </c>
      <c r="O6057" s="4">
        <v>38692</v>
      </c>
      <c r="P6057" s="4">
        <v>93736</v>
      </c>
      <c r="Q6057" s="4">
        <v>132428</v>
      </c>
      <c r="R6057" s="4">
        <v>397284</v>
      </c>
      <c r="S6057" t="s">
        <v>22315</v>
      </c>
      <c r="T6057" s="6">
        <v>43770</v>
      </c>
      <c r="U6057" s="4">
        <v>312500</v>
      </c>
      <c r="V6057" t="s">
        <v>23739</v>
      </c>
      <c r="W6057" t="s">
        <v>22315</v>
      </c>
      <c r="X6057" t="s">
        <v>3</v>
      </c>
      <c r="AA6057" s="5" t="str">
        <f>HYPERLINK("https://www.zillow.com/homes/915-W-BRYN-MAWR-AVE-ROSELLE-IL-601722709_rb/","check listing")</f>
        <v>check listing</v>
      </c>
      <c r="AB6057" s="5" t="str">
        <f>HYPERLINK("https://propertylookup.dupagecounty.gov/Datalets/Datalet.aspx?UseSearch=no&amp;mode=sales&amp;pin=0209111008","sales record")</f>
        <v>sales record</v>
      </c>
      <c r="AC6057" t="s">
        <v>3</v>
      </c>
      <c r="AD6057">
        <v>41.973243</v>
      </c>
      <c r="AE6057">
        <v>-88.103402</v>
      </c>
      <c r="AF6057" s="5" t="str">
        <f>HYPERLINK("https://www.google.com/maps/search/?api=1&amp;query=41.973243,-88.103402","map")</f>
        <v>map</v>
      </c>
    </row>
    <row r="6058" spans="1:32">
      <c r="A6058" t="s">
        <v>6108</v>
      </c>
      <c r="B6058" t="s">
        <v>13633</v>
      </c>
      <c r="C6058" t="s">
        <v>15830</v>
      </c>
      <c r="D6058" t="s">
        <v>16207</v>
      </c>
      <c r="E6058" t="s">
        <v>16218</v>
      </c>
      <c r="F6058" t="s">
        <v>16221</v>
      </c>
      <c r="G6058" t="s">
        <v>16241</v>
      </c>
      <c r="H6058" t="s">
        <v>16241</v>
      </c>
      <c r="I6058" t="s">
        <v>16355</v>
      </c>
      <c r="J6058" t="s">
        <v>16385</v>
      </c>
      <c r="K6058">
        <v>0.12</v>
      </c>
      <c r="L6058">
        <v>5241</v>
      </c>
      <c r="M6058">
        <v>1715</v>
      </c>
      <c r="N6058" t="s">
        <v>16393</v>
      </c>
      <c r="O6058" s="4">
        <v>38692</v>
      </c>
      <c r="P6058" s="4">
        <v>55546</v>
      </c>
      <c r="Q6058" s="4">
        <v>94238</v>
      </c>
      <c r="R6058" s="4">
        <v>282714</v>
      </c>
      <c r="S6058" t="s">
        <v>22316</v>
      </c>
      <c r="T6058" s="6">
        <v>41030</v>
      </c>
      <c r="U6058" s="4">
        <v>106886</v>
      </c>
      <c r="V6058" t="s">
        <v>23739</v>
      </c>
      <c r="W6058" t="s">
        <v>27103</v>
      </c>
      <c r="X6058" t="s">
        <v>3</v>
      </c>
      <c r="AA6058" s="5" t="str">
        <f>HYPERLINK("https://www.zillow.com/homes/910-EDENWOOD-DR-ROSELLE-IL-60172_rb/","check listing")</f>
        <v>check listing</v>
      </c>
      <c r="AB6058" s="5" t="str">
        <f>HYPERLINK("https://propertylookup.dupagecounty.gov/Datalets/Datalet.aspx?UseSearch=no&amp;mode=sales&amp;pin=0209111016","sales record")</f>
        <v>sales record</v>
      </c>
      <c r="AC6058" t="s">
        <v>3</v>
      </c>
      <c r="AD6058">
        <v>41.972928</v>
      </c>
      <c r="AE6058">
        <v>-88.103481</v>
      </c>
      <c r="AF6058" s="5" t="str">
        <f>HYPERLINK("https://www.google.com/maps/search/?api=1&amp;query=41.972928,-88.103481","map")</f>
        <v>map</v>
      </c>
    </row>
    <row r="6059" spans="1:32">
      <c r="A6059" t="s">
        <v>6109</v>
      </c>
      <c r="B6059" t="s">
        <v>13634</v>
      </c>
      <c r="C6059" t="s">
        <v>15899</v>
      </c>
      <c r="D6059" t="s">
        <v>16207</v>
      </c>
      <c r="E6059" t="s">
        <v>16218</v>
      </c>
      <c r="F6059" t="s">
        <v>16221</v>
      </c>
      <c r="G6059" t="s">
        <v>16241</v>
      </c>
      <c r="H6059" t="s">
        <v>16241</v>
      </c>
      <c r="I6059" t="s">
        <v>16355</v>
      </c>
      <c r="J6059" t="s">
        <v>16385</v>
      </c>
      <c r="K6059">
        <v>0.12</v>
      </c>
      <c r="L6059">
        <v>5239</v>
      </c>
      <c r="M6059">
        <v>1436</v>
      </c>
      <c r="N6059" t="s">
        <v>16393</v>
      </c>
      <c r="O6059" s="4">
        <v>38692</v>
      </c>
      <c r="P6059" s="4">
        <v>86815</v>
      </c>
      <c r="Q6059" s="4">
        <v>125507</v>
      </c>
      <c r="R6059" s="4">
        <v>376521</v>
      </c>
      <c r="S6059" t="s">
        <v>22317</v>
      </c>
      <c r="T6059" s="6">
        <v>42917</v>
      </c>
      <c r="U6059" s="4">
        <v>293000</v>
      </c>
      <c r="V6059" t="s">
        <v>23739</v>
      </c>
      <c r="W6059" t="s">
        <v>27104</v>
      </c>
      <c r="X6059" t="s">
        <v>3</v>
      </c>
      <c r="AA6059" s="5" t="str">
        <f>HYPERLINK("https://www.zillow.com/homes/920-EDENWOOD-DR-ROSELLE-IL-601722756_rb/","check listing")</f>
        <v>check listing</v>
      </c>
      <c r="AB6059" s="5" t="str">
        <f>HYPERLINK("https://propertylookup.dupagecounty.gov/Datalets/Datalet.aspx?UseSearch=no&amp;mode=sales&amp;pin=0209111015","sales record")</f>
        <v>sales record</v>
      </c>
      <c r="AC6059" t="s">
        <v>3</v>
      </c>
      <c r="AD6059">
        <v>41.972893</v>
      </c>
      <c r="AE6059">
        <v>-88.10365899999999</v>
      </c>
      <c r="AF6059" s="5" t="str">
        <f>HYPERLINK("https://www.google.com/maps/search/?api=1&amp;query=41.972893,-88.103659","map")</f>
        <v>map</v>
      </c>
    </row>
    <row r="6060" spans="1:32">
      <c r="A6060" t="s">
        <v>6110</v>
      </c>
      <c r="B6060" t="s">
        <v>13635</v>
      </c>
      <c r="C6060" t="s">
        <v>15973</v>
      </c>
      <c r="D6060" t="s">
        <v>16207</v>
      </c>
      <c r="E6060" t="s">
        <v>16218</v>
      </c>
      <c r="F6060" t="s">
        <v>16221</v>
      </c>
      <c r="G6060" t="s">
        <v>16241</v>
      </c>
      <c r="H6060" t="s">
        <v>16241</v>
      </c>
      <c r="I6060" t="s">
        <v>16355</v>
      </c>
      <c r="J6060" t="s">
        <v>16385</v>
      </c>
      <c r="K6060">
        <v>0.12</v>
      </c>
      <c r="L6060">
        <v>5238</v>
      </c>
      <c r="M6060">
        <v>1664</v>
      </c>
      <c r="N6060" t="s">
        <v>16393</v>
      </c>
      <c r="O6060" s="4">
        <v>38692</v>
      </c>
      <c r="P6060" s="4">
        <v>55546</v>
      </c>
      <c r="Q6060" s="4">
        <v>94238</v>
      </c>
      <c r="R6060" s="4">
        <v>282714</v>
      </c>
      <c r="S6060" t="s">
        <v>22318</v>
      </c>
      <c r="T6060" s="6">
        <v>42644</v>
      </c>
      <c r="U6060" s="4">
        <v>210000</v>
      </c>
      <c r="V6060" t="s">
        <v>23739</v>
      </c>
      <c r="W6060" t="s">
        <v>27105</v>
      </c>
      <c r="X6060" t="s">
        <v>3</v>
      </c>
      <c r="AA6060" s="5" t="str">
        <f>HYPERLINK("https://www.zillow.com/homes/925-W-BRYN-MAWR-AVE-ROSELLE-IL-601722709_rb/","check listing")</f>
        <v>check listing</v>
      </c>
      <c r="AB6060" s="5" t="str">
        <f>HYPERLINK("https://propertylookup.dupagecounty.gov/Datalets/Datalet.aspx?UseSearch=no&amp;mode=sales&amp;pin=0209111007","sales record")</f>
        <v>sales record</v>
      </c>
      <c r="AC6060" t="s">
        <v>3</v>
      </c>
      <c r="AD6060">
        <v>41.973207</v>
      </c>
      <c r="AE6060">
        <v>-88.103579</v>
      </c>
      <c r="AF6060" s="5" t="str">
        <f>HYPERLINK("https://www.google.com/maps/search/?api=1&amp;query=41.973207,-88.103579","map")</f>
        <v>map</v>
      </c>
    </row>
    <row r="6061" spans="1:32">
      <c r="A6061" t="s">
        <v>6111</v>
      </c>
      <c r="B6061" t="s">
        <v>13636</v>
      </c>
      <c r="C6061" t="s">
        <v>15830</v>
      </c>
      <c r="D6061" t="s">
        <v>16207</v>
      </c>
      <c r="E6061" t="s">
        <v>16218</v>
      </c>
      <c r="F6061" t="s">
        <v>16221</v>
      </c>
      <c r="G6061" t="s">
        <v>16241</v>
      </c>
      <c r="H6061" t="s">
        <v>16241</v>
      </c>
      <c r="I6061" t="s">
        <v>16355</v>
      </c>
      <c r="J6061" t="s">
        <v>16385</v>
      </c>
      <c r="K6061">
        <v>0.12</v>
      </c>
      <c r="L6061">
        <v>5235</v>
      </c>
      <c r="M6061">
        <v>1506</v>
      </c>
      <c r="N6061" t="s">
        <v>16393</v>
      </c>
      <c r="O6061" s="4">
        <v>38692</v>
      </c>
      <c r="P6061" s="4">
        <v>94441</v>
      </c>
      <c r="Q6061" s="4">
        <v>133133</v>
      </c>
      <c r="R6061" s="4">
        <v>399399</v>
      </c>
      <c r="S6061" t="s">
        <v>22319</v>
      </c>
      <c r="T6061" s="6">
        <v>39264</v>
      </c>
      <c r="U6061" s="4">
        <v>270000</v>
      </c>
      <c r="V6061" t="s">
        <v>23739</v>
      </c>
      <c r="W6061" t="s">
        <v>22319</v>
      </c>
      <c r="X6061" t="s">
        <v>3</v>
      </c>
      <c r="AA6061" s="5" t="str">
        <f>HYPERLINK("https://www.zillow.com/homes/801-WOODSIDE-DR-ROSELLE-IL-60172_rb/","check listing")</f>
        <v>check listing</v>
      </c>
      <c r="AB6061" s="5" t="str">
        <f>HYPERLINK("https://propertylookup.dupagecounty.gov/Datalets/Datalet.aspx?UseSearch=no&amp;mode=sales&amp;pin=0209305001","sales record")</f>
        <v>sales record</v>
      </c>
      <c r="AC6061" t="s">
        <v>3</v>
      </c>
      <c r="AD6061">
        <v>41.968139</v>
      </c>
      <c r="AE6061">
        <v>-88.104556</v>
      </c>
      <c r="AF6061" s="5" t="str">
        <f>HYPERLINK("https://www.google.com/maps/search/?api=1&amp;query=41.968139,-88.104556","map")</f>
        <v>map</v>
      </c>
    </row>
    <row r="6062" spans="1:32">
      <c r="A6062" t="s">
        <v>6112</v>
      </c>
      <c r="B6062" t="s">
        <v>13637</v>
      </c>
      <c r="C6062" t="s">
        <v>15830</v>
      </c>
      <c r="D6062" t="s">
        <v>16207</v>
      </c>
      <c r="E6062" t="s">
        <v>16218</v>
      </c>
      <c r="F6062" t="s">
        <v>16221</v>
      </c>
      <c r="G6062" t="s">
        <v>16241</v>
      </c>
      <c r="H6062" t="s">
        <v>16241</v>
      </c>
      <c r="I6062" t="s">
        <v>16355</v>
      </c>
      <c r="J6062" t="s">
        <v>16385</v>
      </c>
      <c r="K6062">
        <v>0.12</v>
      </c>
      <c r="L6062">
        <v>5235</v>
      </c>
      <c r="M6062">
        <v>1451</v>
      </c>
      <c r="N6062" t="s">
        <v>16393</v>
      </c>
      <c r="O6062" s="4">
        <v>38692</v>
      </c>
      <c r="P6062" s="4">
        <v>84926</v>
      </c>
      <c r="Q6062" s="4">
        <v>123618</v>
      </c>
      <c r="R6062" s="4">
        <v>370854</v>
      </c>
      <c r="S6062" t="s">
        <v>22320</v>
      </c>
      <c r="T6062" s="6">
        <v>34820</v>
      </c>
      <c r="U6062" s="4">
        <v>140000</v>
      </c>
      <c r="X6062" t="s">
        <v>3</v>
      </c>
      <c r="AA6062" s="5" t="str">
        <f>HYPERLINK("https://www.zillow.com/homes/935-BRYN-MAWR-ROSELLE-IL-60172_rb/","check listing")</f>
        <v>check listing</v>
      </c>
      <c r="AB6062" s="5" t="str">
        <f>HYPERLINK("https://propertylookup.dupagecounty.gov/Datalets/Datalet.aspx?UseSearch=no&amp;mode=sales&amp;pin=0209111006","sales record")</f>
        <v>sales record</v>
      </c>
      <c r="AC6062" t="s">
        <v>3</v>
      </c>
      <c r="AD6062">
        <v>41.973171</v>
      </c>
      <c r="AE6062">
        <v>-88.103756</v>
      </c>
      <c r="AF6062" s="5" t="str">
        <f>HYPERLINK("https://www.google.com/maps/search/?api=1&amp;query=41.973171,-88.103756","map")</f>
        <v>map</v>
      </c>
    </row>
    <row r="6063" spans="1:32">
      <c r="A6063" t="s">
        <v>6113</v>
      </c>
      <c r="B6063" t="s">
        <v>13638</v>
      </c>
      <c r="C6063" t="s">
        <v>15830</v>
      </c>
      <c r="D6063" t="s">
        <v>16207</v>
      </c>
      <c r="E6063" t="s">
        <v>16218</v>
      </c>
      <c r="F6063" t="s">
        <v>16221</v>
      </c>
      <c r="G6063" t="s">
        <v>16241</v>
      </c>
      <c r="H6063" t="s">
        <v>16241</v>
      </c>
      <c r="I6063" t="s">
        <v>16355</v>
      </c>
      <c r="J6063" t="s">
        <v>16385</v>
      </c>
      <c r="K6063">
        <v>0.12</v>
      </c>
      <c r="L6063">
        <v>5232</v>
      </c>
      <c r="M6063">
        <v>1646</v>
      </c>
      <c r="N6063" t="s">
        <v>16393</v>
      </c>
      <c r="O6063" s="4">
        <v>38692</v>
      </c>
      <c r="P6063" s="4">
        <v>77599</v>
      </c>
      <c r="Q6063" s="4">
        <v>116291</v>
      </c>
      <c r="R6063" s="4">
        <v>348873</v>
      </c>
      <c r="S6063" t="s">
        <v>22321</v>
      </c>
      <c r="X6063" t="s">
        <v>3</v>
      </c>
      <c r="AA6063" s="5" t="str">
        <f>HYPERLINK("https://www.zillow.com/homes/930-EDENWOOD-DR-ROSELLE-IL-60172_rb/","check listing")</f>
        <v>check listing</v>
      </c>
      <c r="AB6063" s="5" t="str">
        <f>HYPERLINK("https://propertylookup.dupagecounty.gov/Datalets/Datalet.aspx?UseSearch=no&amp;mode=sales&amp;pin=0209111014","sales record")</f>
        <v>sales record</v>
      </c>
      <c r="AC6063" t="s">
        <v>3</v>
      </c>
      <c r="AD6063">
        <v>41.972857</v>
      </c>
      <c r="AE6063">
        <v>-88.103836</v>
      </c>
      <c r="AF6063" s="5" t="str">
        <f>HYPERLINK("https://www.google.com/maps/search/?api=1&amp;query=41.972857,-88.103836","map")</f>
        <v>map</v>
      </c>
    </row>
    <row r="6064" spans="1:32">
      <c r="A6064" t="s">
        <v>6114</v>
      </c>
      <c r="B6064" t="s">
        <v>13639</v>
      </c>
      <c r="C6064" t="s">
        <v>15974</v>
      </c>
      <c r="D6064" t="s">
        <v>16207</v>
      </c>
      <c r="E6064" t="s">
        <v>16218</v>
      </c>
      <c r="F6064" t="s">
        <v>16221</v>
      </c>
      <c r="G6064" t="s">
        <v>16241</v>
      </c>
      <c r="H6064" t="s">
        <v>16241</v>
      </c>
      <c r="I6064" t="s">
        <v>16355</v>
      </c>
      <c r="J6064" t="s">
        <v>16385</v>
      </c>
      <c r="K6064">
        <v>0.12</v>
      </c>
      <c r="L6064">
        <v>5231</v>
      </c>
      <c r="M6064">
        <v>1087</v>
      </c>
      <c r="N6064" t="s">
        <v>16393</v>
      </c>
      <c r="O6064" s="4">
        <v>38692</v>
      </c>
      <c r="P6064" s="4">
        <v>77325</v>
      </c>
      <c r="Q6064" s="4">
        <v>116017</v>
      </c>
      <c r="R6064" s="4">
        <v>348051</v>
      </c>
      <c r="S6064" t="s">
        <v>22322</v>
      </c>
      <c r="T6064" s="6">
        <v>45177</v>
      </c>
      <c r="U6064" s="4">
        <v>315000</v>
      </c>
      <c r="V6064" t="s">
        <v>23739</v>
      </c>
      <c r="W6064" t="s">
        <v>27106</v>
      </c>
      <c r="X6064" t="s">
        <v>3</v>
      </c>
      <c r="AA6064" s="5" t="str">
        <f>HYPERLINK("https://www.zillow.com/homes/920-W-BRYN-MAWR-AVE-ROSELLE-IL-601722703_rb/","check listing")</f>
        <v>check listing</v>
      </c>
      <c r="AB6064" s="5" t="str">
        <f>HYPERLINK("https://propertylookup.dupagecounty.gov/Datalets/Datalet.aspx?UseSearch=no&amp;mode=sales&amp;pin=0209109021","sales record")</f>
        <v>sales record</v>
      </c>
      <c r="AC6064" t="s">
        <v>3</v>
      </c>
      <c r="AD6064">
        <v>41.97366</v>
      </c>
      <c r="AE6064">
        <v>-88.103745</v>
      </c>
      <c r="AF6064" s="5" t="str">
        <f>HYPERLINK("https://www.google.com/maps/search/?api=1&amp;query=41.97366,-88.103745","map")</f>
        <v>map</v>
      </c>
    </row>
    <row r="6065" spans="1:32">
      <c r="A6065" t="s">
        <v>6115</v>
      </c>
      <c r="B6065" t="s">
        <v>13640</v>
      </c>
      <c r="C6065" t="s">
        <v>15830</v>
      </c>
      <c r="D6065" t="s">
        <v>16207</v>
      </c>
      <c r="E6065" t="s">
        <v>16218</v>
      </c>
      <c r="F6065" t="s">
        <v>16221</v>
      </c>
      <c r="G6065" t="s">
        <v>16241</v>
      </c>
      <c r="H6065" t="s">
        <v>16241</v>
      </c>
      <c r="I6065" t="s">
        <v>16355</v>
      </c>
      <c r="J6065" t="s">
        <v>16385</v>
      </c>
      <c r="K6065">
        <v>0.12</v>
      </c>
      <c r="L6065">
        <v>5230</v>
      </c>
      <c r="M6065">
        <v>1536</v>
      </c>
      <c r="N6065" t="s">
        <v>16393</v>
      </c>
      <c r="O6065" s="4">
        <v>38692</v>
      </c>
      <c r="P6065" s="4">
        <v>55546</v>
      </c>
      <c r="Q6065" s="4">
        <v>94238</v>
      </c>
      <c r="R6065" s="4">
        <v>282714</v>
      </c>
      <c r="S6065" t="s">
        <v>22323</v>
      </c>
      <c r="T6065" s="6">
        <v>33086</v>
      </c>
      <c r="U6065" s="4">
        <v>105000</v>
      </c>
      <c r="X6065" t="s">
        <v>3</v>
      </c>
      <c r="AA6065" s="5" t="str">
        <f>HYPERLINK("https://www.zillow.com/homes/950-BRYN-MAWR-ROSELLE-IL-60172_rb/","check listing")</f>
        <v>check listing</v>
      </c>
      <c r="AB6065" s="5" t="str">
        <f>HYPERLINK("https://propertylookup.dupagecounty.gov/Datalets/Datalet.aspx?UseSearch=no&amp;mode=sales&amp;pin=0209109018","sales record")</f>
        <v>sales record</v>
      </c>
      <c r="AC6065" t="s">
        <v>3</v>
      </c>
      <c r="AD6065">
        <v>41.973552</v>
      </c>
      <c r="AE6065">
        <v>-88.104277</v>
      </c>
      <c r="AF6065" s="5" t="str">
        <f>HYPERLINK("https://www.google.com/maps/search/?api=1&amp;query=41.973552,-88.104277","map")</f>
        <v>map</v>
      </c>
    </row>
    <row r="6066" spans="1:32">
      <c r="A6066" t="s">
        <v>6116</v>
      </c>
      <c r="B6066" t="s">
        <v>13641</v>
      </c>
      <c r="C6066" t="s">
        <v>15830</v>
      </c>
      <c r="D6066" t="s">
        <v>16207</v>
      </c>
      <c r="E6066" t="s">
        <v>16218</v>
      </c>
      <c r="F6066" t="s">
        <v>16221</v>
      </c>
      <c r="G6066" t="s">
        <v>16241</v>
      </c>
      <c r="H6066" t="s">
        <v>16241</v>
      </c>
      <c r="I6066" t="s">
        <v>16355</v>
      </c>
      <c r="J6066" t="s">
        <v>16385</v>
      </c>
      <c r="K6066">
        <v>0.12</v>
      </c>
      <c r="L6066">
        <v>5230</v>
      </c>
      <c r="M6066">
        <v>1715</v>
      </c>
      <c r="N6066" t="s">
        <v>16393</v>
      </c>
      <c r="O6066" s="4">
        <v>38692</v>
      </c>
      <c r="P6066" s="4">
        <v>80097</v>
      </c>
      <c r="Q6066" s="4">
        <v>118789</v>
      </c>
      <c r="R6066" s="4">
        <v>356367</v>
      </c>
      <c r="S6066" t="s">
        <v>22324</v>
      </c>
      <c r="T6066" s="6">
        <v>43132</v>
      </c>
      <c r="U6066" s="4">
        <v>268750</v>
      </c>
      <c r="V6066" t="s">
        <v>23739</v>
      </c>
      <c r="W6066" t="s">
        <v>27107</v>
      </c>
      <c r="X6066" t="s">
        <v>3</v>
      </c>
      <c r="AA6066" s="5" t="str">
        <f>HYPERLINK("https://www.zillow.com/homes/940-EDENWOOD-DR-ROSELLE-IL-60172_rb/","check listing")</f>
        <v>check listing</v>
      </c>
      <c r="AB6066" s="5" t="str">
        <f>HYPERLINK("https://propertylookup.dupagecounty.gov/Datalets/Datalet.aspx?UseSearch=no&amp;mode=sales&amp;pin=0209111013","sales record")</f>
        <v>sales record</v>
      </c>
      <c r="AC6066" t="s">
        <v>3</v>
      </c>
      <c r="AD6066">
        <v>41.972821</v>
      </c>
      <c r="AE6066">
        <v>-88.10401299999999</v>
      </c>
      <c r="AF6066" s="5" t="str">
        <f>HYPERLINK("https://www.google.com/maps/search/?api=1&amp;query=41.972821,-88.104013","map")</f>
        <v>map</v>
      </c>
    </row>
    <row r="6067" spans="1:32">
      <c r="A6067" t="s">
        <v>6117</v>
      </c>
      <c r="B6067" t="s">
        <v>13642</v>
      </c>
      <c r="C6067" t="s">
        <v>15974</v>
      </c>
      <c r="D6067" t="s">
        <v>16207</v>
      </c>
      <c r="E6067" t="s">
        <v>16218</v>
      </c>
      <c r="F6067" t="s">
        <v>16221</v>
      </c>
      <c r="G6067" t="s">
        <v>16241</v>
      </c>
      <c r="H6067" t="s">
        <v>16241</v>
      </c>
      <c r="I6067" t="s">
        <v>16355</v>
      </c>
      <c r="J6067" t="s">
        <v>16385</v>
      </c>
      <c r="K6067">
        <v>0.12</v>
      </c>
      <c r="L6067">
        <v>5230</v>
      </c>
      <c r="M6067">
        <v>1146</v>
      </c>
      <c r="N6067" t="s">
        <v>16393</v>
      </c>
      <c r="O6067" s="4">
        <v>38692</v>
      </c>
      <c r="P6067" s="4">
        <v>55546</v>
      </c>
      <c r="Q6067" s="4">
        <v>94238</v>
      </c>
      <c r="R6067" s="4">
        <v>282714</v>
      </c>
      <c r="S6067" t="s">
        <v>22325</v>
      </c>
      <c r="T6067" s="6">
        <v>44287</v>
      </c>
      <c r="U6067" s="4">
        <v>250000</v>
      </c>
      <c r="V6067" t="s">
        <v>23739</v>
      </c>
      <c r="W6067" t="s">
        <v>27108</v>
      </c>
      <c r="X6067" t="s">
        <v>3</v>
      </c>
      <c r="AA6067" s="5" t="str">
        <f>HYPERLINK("https://www.zillow.com/homes/980-W-BRYN-MAWR-AVE-ROSELLE-IL-601722703_rb/","check listing")</f>
        <v>check listing</v>
      </c>
      <c r="AB6067" s="5" t="str">
        <f>HYPERLINK("https://propertylookup.dupagecounty.gov/Datalets/Datalet.aspx?UseSearch=no&amp;mode=sales&amp;pin=0209109014","sales record")</f>
        <v>sales record</v>
      </c>
      <c r="AC6067" t="s">
        <v>3</v>
      </c>
      <c r="AD6067">
        <v>41.973407</v>
      </c>
      <c r="AE6067">
        <v>-88.10498699999999</v>
      </c>
      <c r="AF6067" s="5" t="str">
        <f>HYPERLINK("https://www.google.com/maps/search/?api=1&amp;query=41.973407,-88.104987","map")</f>
        <v>map</v>
      </c>
    </row>
    <row r="6068" spans="1:32">
      <c r="A6068" t="s">
        <v>6118</v>
      </c>
      <c r="B6068" t="s">
        <v>13643</v>
      </c>
      <c r="C6068" t="s">
        <v>15830</v>
      </c>
      <c r="D6068" t="s">
        <v>16207</v>
      </c>
      <c r="E6068" t="s">
        <v>16218</v>
      </c>
      <c r="F6068" t="s">
        <v>16221</v>
      </c>
      <c r="G6068" t="s">
        <v>16241</v>
      </c>
      <c r="H6068" t="s">
        <v>16241</v>
      </c>
      <c r="I6068" t="s">
        <v>16355</v>
      </c>
      <c r="J6068" t="s">
        <v>16385</v>
      </c>
      <c r="K6068">
        <v>0.12</v>
      </c>
      <c r="L6068">
        <v>5228</v>
      </c>
      <c r="M6068">
        <v>1548</v>
      </c>
      <c r="N6068" t="s">
        <v>16393</v>
      </c>
      <c r="O6068" s="4">
        <v>38692</v>
      </c>
      <c r="P6068" s="4">
        <v>76189</v>
      </c>
      <c r="Q6068" s="4">
        <v>114881</v>
      </c>
      <c r="R6068" s="4">
        <v>344643</v>
      </c>
      <c r="S6068" t="s">
        <v>22326</v>
      </c>
      <c r="T6068" s="6">
        <v>43952</v>
      </c>
      <c r="U6068" s="4">
        <v>248000</v>
      </c>
      <c r="V6068" t="s">
        <v>23739</v>
      </c>
      <c r="W6068" t="s">
        <v>22326</v>
      </c>
      <c r="X6068" t="s">
        <v>3</v>
      </c>
      <c r="AA6068" s="5" t="str">
        <f>HYPERLINK("https://www.zillow.com/homes/945-BRYN-MAWR-AVE-ROSELLE-IL-60172_rb/","check listing")</f>
        <v>check listing</v>
      </c>
      <c r="AB6068" s="5" t="str">
        <f>HYPERLINK("https://propertylookup.dupagecounty.gov/Datalets/Datalet.aspx?UseSearch=no&amp;mode=sales&amp;pin=0209111005","sales record")</f>
        <v>sales record</v>
      </c>
      <c r="AC6068" t="s">
        <v>3</v>
      </c>
      <c r="AD6068">
        <v>41.973135</v>
      </c>
      <c r="AE6068">
        <v>-88.103934</v>
      </c>
      <c r="AF6068" s="5" t="str">
        <f>HYPERLINK("https://www.google.com/maps/search/?api=1&amp;query=41.973135,-88.103934","map")</f>
        <v>map</v>
      </c>
    </row>
    <row r="6069" spans="1:32">
      <c r="A6069" t="s">
        <v>6119</v>
      </c>
      <c r="B6069" t="s">
        <v>13644</v>
      </c>
      <c r="C6069" t="s">
        <v>15973</v>
      </c>
      <c r="D6069" t="s">
        <v>16207</v>
      </c>
      <c r="E6069" t="s">
        <v>16218</v>
      </c>
      <c r="F6069" t="s">
        <v>16221</v>
      </c>
      <c r="G6069" t="s">
        <v>16241</v>
      </c>
      <c r="H6069" t="s">
        <v>16241</v>
      </c>
      <c r="I6069" t="s">
        <v>16355</v>
      </c>
      <c r="J6069" t="s">
        <v>16385</v>
      </c>
      <c r="K6069">
        <v>0.12</v>
      </c>
      <c r="L6069">
        <v>5225</v>
      </c>
      <c r="M6069">
        <v>1482</v>
      </c>
      <c r="N6069" t="s">
        <v>16393</v>
      </c>
      <c r="O6069" s="4">
        <v>38692</v>
      </c>
      <c r="P6069" s="4">
        <v>77599</v>
      </c>
      <c r="Q6069" s="4">
        <v>116291</v>
      </c>
      <c r="R6069" s="4">
        <v>348873</v>
      </c>
      <c r="S6069" t="s">
        <v>22327</v>
      </c>
      <c r="T6069" s="6">
        <v>42887</v>
      </c>
      <c r="U6069" s="4">
        <v>222200</v>
      </c>
      <c r="V6069" t="s">
        <v>23739</v>
      </c>
      <c r="W6069" t="s">
        <v>27109</v>
      </c>
      <c r="X6069" t="s">
        <v>3</v>
      </c>
      <c r="AA6069" s="5" t="str">
        <f>HYPERLINK("https://www.zillow.com/homes/955-W-BRYN-MAWR-AVE-ROSELLE-IL-601722709_rb/","check listing")</f>
        <v>check listing</v>
      </c>
      <c r="AB6069" s="5" t="str">
        <f>HYPERLINK("https://propertylookup.dupagecounty.gov/Datalets/Datalet.aspx?UseSearch=no&amp;mode=sales&amp;pin=0209111004","sales record")</f>
        <v>sales record</v>
      </c>
      <c r="AC6069" t="s">
        <v>3</v>
      </c>
      <c r="AD6069">
        <v>41.973099</v>
      </c>
      <c r="AE6069">
        <v>-88.104111</v>
      </c>
      <c r="AF6069" s="5" t="str">
        <f>HYPERLINK("https://www.google.com/maps/search/?api=1&amp;query=41.973099,-88.104111","map")</f>
        <v>map</v>
      </c>
    </row>
    <row r="6070" spans="1:32">
      <c r="A6070" t="s">
        <v>6120</v>
      </c>
      <c r="B6070" t="s">
        <v>13645</v>
      </c>
      <c r="C6070" t="s">
        <v>15974</v>
      </c>
      <c r="D6070" t="s">
        <v>16207</v>
      </c>
      <c r="E6070" t="s">
        <v>16218</v>
      </c>
      <c r="F6070" t="s">
        <v>16221</v>
      </c>
      <c r="G6070" t="s">
        <v>16241</v>
      </c>
      <c r="H6070" t="s">
        <v>16241</v>
      </c>
      <c r="I6070" t="s">
        <v>16355</v>
      </c>
      <c r="J6070" t="s">
        <v>16385</v>
      </c>
      <c r="K6070">
        <v>0.12</v>
      </c>
      <c r="L6070">
        <v>5224</v>
      </c>
      <c r="M6070">
        <v>1773</v>
      </c>
      <c r="N6070" t="s">
        <v>16393</v>
      </c>
      <c r="O6070" s="4">
        <v>38692</v>
      </c>
      <c r="P6070" s="4">
        <v>77444</v>
      </c>
      <c r="Q6070" s="4">
        <v>116136</v>
      </c>
      <c r="R6070" s="4">
        <v>348408</v>
      </c>
      <c r="S6070" t="s">
        <v>22328</v>
      </c>
      <c r="T6070" s="6">
        <v>43160</v>
      </c>
      <c r="U6070" s="4">
        <v>218000</v>
      </c>
      <c r="V6070" t="s">
        <v>23739</v>
      </c>
      <c r="W6070" t="s">
        <v>27110</v>
      </c>
      <c r="X6070" t="s">
        <v>3</v>
      </c>
      <c r="AA6070" s="5" t="str">
        <f>HYPERLINK("https://www.zillow.com/homes/990-W-BRYN-MAWR-AVE-ROSELLE-IL-601722703_rb/","check listing")</f>
        <v>check listing</v>
      </c>
      <c r="AB6070" s="5" t="str">
        <f>HYPERLINK("https://propertylookup.dupagecounty.gov/Datalets/Datalet.aspx?UseSearch=no&amp;mode=sales&amp;pin=0209109013","sales record")</f>
        <v>sales record</v>
      </c>
      <c r="AC6070" t="s">
        <v>3</v>
      </c>
      <c r="AD6070">
        <v>41.973371</v>
      </c>
      <c r="AE6070">
        <v>-88.105165</v>
      </c>
      <c r="AF6070" s="5" t="str">
        <f>HYPERLINK("https://www.google.com/maps/search/?api=1&amp;query=41.973371,-88.105165","map")</f>
        <v>map</v>
      </c>
    </row>
    <row r="6071" spans="1:32">
      <c r="A6071" t="s">
        <v>6121</v>
      </c>
      <c r="B6071" t="s">
        <v>13646</v>
      </c>
      <c r="C6071" t="s">
        <v>15830</v>
      </c>
      <c r="D6071" t="s">
        <v>16207</v>
      </c>
      <c r="E6071" t="s">
        <v>16218</v>
      </c>
      <c r="F6071" t="s">
        <v>16221</v>
      </c>
      <c r="G6071" t="s">
        <v>16241</v>
      </c>
      <c r="H6071" t="s">
        <v>16241</v>
      </c>
      <c r="I6071" t="s">
        <v>16355</v>
      </c>
      <c r="J6071" t="s">
        <v>16385</v>
      </c>
      <c r="K6071">
        <v>0.12</v>
      </c>
      <c r="L6071">
        <v>5222</v>
      </c>
      <c r="M6071">
        <v>1522</v>
      </c>
      <c r="N6071" t="s">
        <v>16393</v>
      </c>
      <c r="O6071" s="4">
        <v>38692</v>
      </c>
      <c r="P6071" s="4">
        <v>77313</v>
      </c>
      <c r="Q6071" s="4">
        <v>116005</v>
      </c>
      <c r="R6071" s="4">
        <v>348015</v>
      </c>
      <c r="S6071" t="s">
        <v>22329</v>
      </c>
      <c r="T6071" s="6">
        <v>41791</v>
      </c>
      <c r="U6071" s="4">
        <v>209500</v>
      </c>
      <c r="V6071" t="s">
        <v>16232</v>
      </c>
      <c r="W6071" t="s">
        <v>21734</v>
      </c>
      <c r="X6071" t="s">
        <v>3</v>
      </c>
      <c r="AA6071" s="5" t="str">
        <f>HYPERLINK("https://www.zillow.com/homes/950-EDENWOOD-DR-ROSELLE-IL-60172_rb/","check listing")</f>
        <v>check listing</v>
      </c>
      <c r="AB6071" s="5" t="str">
        <f>HYPERLINK("https://propertylookup.dupagecounty.gov/Datalets/Datalet.aspx?UseSearch=no&amp;mode=sales&amp;pin=0209111012","sales record")</f>
        <v>sales record</v>
      </c>
      <c r="AC6071" t="s">
        <v>27873</v>
      </c>
      <c r="AD6071">
        <v>41.972786</v>
      </c>
      <c r="AE6071">
        <v>-88.10419</v>
      </c>
      <c r="AF6071" s="5" t="str">
        <f>HYPERLINK("https://www.google.com/maps/search/?api=1&amp;query=41.972786,-88.10419","map")</f>
        <v>map</v>
      </c>
    </row>
    <row r="6072" spans="1:32">
      <c r="A6072" t="s">
        <v>6122</v>
      </c>
      <c r="B6072" t="s">
        <v>13647</v>
      </c>
      <c r="C6072" t="s">
        <v>15899</v>
      </c>
      <c r="D6072" t="s">
        <v>16207</v>
      </c>
      <c r="E6072" t="s">
        <v>16218</v>
      </c>
      <c r="F6072" t="s">
        <v>16221</v>
      </c>
      <c r="G6072" t="s">
        <v>16241</v>
      </c>
      <c r="H6072" t="s">
        <v>16241</v>
      </c>
      <c r="I6072" t="s">
        <v>16355</v>
      </c>
      <c r="J6072" t="s">
        <v>16385</v>
      </c>
      <c r="K6072">
        <v>0.12</v>
      </c>
      <c r="L6072">
        <v>5221</v>
      </c>
      <c r="M6072">
        <v>1626</v>
      </c>
      <c r="N6072" t="s">
        <v>16393</v>
      </c>
      <c r="O6072" s="4">
        <v>38692</v>
      </c>
      <c r="P6072" s="4">
        <v>55546</v>
      </c>
      <c r="Q6072" s="4">
        <v>94238</v>
      </c>
      <c r="R6072" s="4">
        <v>282714</v>
      </c>
      <c r="S6072" t="s">
        <v>22330</v>
      </c>
      <c r="T6072" s="6">
        <v>44593</v>
      </c>
      <c r="U6072" s="4">
        <v>270000</v>
      </c>
      <c r="V6072" t="s">
        <v>23739</v>
      </c>
      <c r="W6072" t="s">
        <v>27111</v>
      </c>
      <c r="X6072" t="s">
        <v>3</v>
      </c>
      <c r="AA6072" s="5" t="str">
        <f>HYPERLINK("https://www.zillow.com/homes/960-EDENWOOD-DR-ROSELLE-IL-601722756_rb/","check listing")</f>
        <v>check listing</v>
      </c>
      <c r="AB6072" s="5" t="str">
        <f>HYPERLINK("https://propertylookup.dupagecounty.gov/Datalets/Datalet.aspx?UseSearch=no&amp;mode=sales&amp;pin=0209111011","sales record")</f>
        <v>sales record</v>
      </c>
      <c r="AC6072" t="s">
        <v>27873</v>
      </c>
      <c r="AD6072">
        <v>41.97275</v>
      </c>
      <c r="AE6072">
        <v>-88.10436799999999</v>
      </c>
      <c r="AF6072" s="5" t="str">
        <f>HYPERLINK("https://www.google.com/maps/search/?api=1&amp;query=41.97275,-88.104368","map")</f>
        <v>map</v>
      </c>
    </row>
    <row r="6073" spans="1:32">
      <c r="A6073" t="s">
        <v>6123</v>
      </c>
      <c r="B6073" t="s">
        <v>13648</v>
      </c>
      <c r="C6073" t="s">
        <v>15830</v>
      </c>
      <c r="D6073" t="s">
        <v>16207</v>
      </c>
      <c r="E6073" t="s">
        <v>16218</v>
      </c>
      <c r="F6073" t="s">
        <v>16221</v>
      </c>
      <c r="G6073" t="s">
        <v>16241</v>
      </c>
      <c r="H6073" t="s">
        <v>16241</v>
      </c>
      <c r="I6073" t="s">
        <v>16355</v>
      </c>
      <c r="J6073" t="s">
        <v>16385</v>
      </c>
      <c r="K6073">
        <v>0.12</v>
      </c>
      <c r="L6073">
        <v>5221</v>
      </c>
      <c r="M6073">
        <v>1335</v>
      </c>
      <c r="N6073" t="s">
        <v>16393</v>
      </c>
      <c r="O6073" s="4">
        <v>38692</v>
      </c>
      <c r="P6073" s="4">
        <v>77599</v>
      </c>
      <c r="Q6073" s="4">
        <v>116291</v>
      </c>
      <c r="R6073" s="4">
        <v>348873</v>
      </c>
      <c r="S6073" t="s">
        <v>22331</v>
      </c>
      <c r="T6073" s="6">
        <v>36617</v>
      </c>
      <c r="U6073" s="4">
        <v>155500</v>
      </c>
      <c r="V6073" t="s">
        <v>23739</v>
      </c>
      <c r="W6073" t="s">
        <v>27112</v>
      </c>
      <c r="X6073" t="s">
        <v>3</v>
      </c>
      <c r="AA6073" s="5" t="str">
        <f>HYPERLINK("https://www.zillow.com/homes/954-BRYN-MAWR-AVE-ROSELLE-IL-60172_rb/","check listing")</f>
        <v>check listing</v>
      </c>
      <c r="AB6073" s="5" t="str">
        <f>HYPERLINK("https://propertylookup.dupagecounty.gov/Datalets/Datalet.aspx?UseSearch=no&amp;mode=sales&amp;pin=0209109017","sales record")</f>
        <v>sales record</v>
      </c>
      <c r="AC6073" t="s">
        <v>3</v>
      </c>
      <c r="AD6073">
        <v>41.973515</v>
      </c>
      <c r="AE6073">
        <v>-88.104455</v>
      </c>
      <c r="AF6073" s="5" t="str">
        <f>HYPERLINK("https://www.google.com/maps/search/?api=1&amp;query=41.973515,-88.104455","map")</f>
        <v>map</v>
      </c>
    </row>
    <row r="6074" spans="1:32">
      <c r="A6074" t="s">
        <v>6124</v>
      </c>
      <c r="B6074" t="s">
        <v>13649</v>
      </c>
      <c r="C6074" t="s">
        <v>15830</v>
      </c>
      <c r="D6074" t="s">
        <v>16207</v>
      </c>
      <c r="E6074" t="s">
        <v>16218</v>
      </c>
      <c r="F6074" t="s">
        <v>16221</v>
      </c>
      <c r="G6074" t="s">
        <v>16241</v>
      </c>
      <c r="H6074" t="s">
        <v>16241</v>
      </c>
      <c r="I6074" t="s">
        <v>16355</v>
      </c>
      <c r="J6074" t="s">
        <v>16385</v>
      </c>
      <c r="K6074">
        <v>0.12</v>
      </c>
      <c r="L6074">
        <v>5213</v>
      </c>
      <c r="M6074">
        <v>1437</v>
      </c>
      <c r="N6074" t="s">
        <v>16393</v>
      </c>
      <c r="O6074" s="4">
        <v>38692</v>
      </c>
      <c r="P6074" s="4">
        <v>58223</v>
      </c>
      <c r="Q6074" s="4">
        <v>96915</v>
      </c>
      <c r="R6074" s="4">
        <v>290745</v>
      </c>
      <c r="S6074" t="s">
        <v>22332</v>
      </c>
      <c r="T6074" s="6">
        <v>28976</v>
      </c>
      <c r="U6074" s="4">
        <v>63900</v>
      </c>
      <c r="X6074" t="s">
        <v>3</v>
      </c>
      <c r="AA6074" s="5" t="str">
        <f>HYPERLINK("https://www.zillow.com/homes/820-EDENWOOD-DR-ROSELLE-IL-60172_rb/","check listing")</f>
        <v>check listing</v>
      </c>
      <c r="AB6074" s="5" t="str">
        <f>HYPERLINK("https://propertylookup.dupagecounty.gov/Datalets/Datalet.aspx?UseSearch=no&amp;mode=sales&amp;pin=0209112021","sales record")</f>
        <v>sales record</v>
      </c>
      <c r="AC6074" t="s">
        <v>3</v>
      </c>
      <c r="AD6074">
        <v>41.973032</v>
      </c>
      <c r="AE6074">
        <v>-88.10104200000001</v>
      </c>
      <c r="AF6074" s="5" t="str">
        <f>HYPERLINK("https://www.google.com/maps/search/?api=1&amp;query=41.973032,-88.101042","map")</f>
        <v>map</v>
      </c>
    </row>
    <row r="6075" spans="1:32">
      <c r="A6075" t="s">
        <v>6125</v>
      </c>
      <c r="B6075" t="s">
        <v>13650</v>
      </c>
      <c r="C6075" t="s">
        <v>15942</v>
      </c>
      <c r="D6075" t="s">
        <v>16207</v>
      </c>
      <c r="E6075" t="s">
        <v>16218</v>
      </c>
      <c r="F6075" t="s">
        <v>16221</v>
      </c>
      <c r="G6075" t="s">
        <v>16241</v>
      </c>
      <c r="H6075" t="s">
        <v>16241</v>
      </c>
      <c r="I6075" t="s">
        <v>16355</v>
      </c>
      <c r="J6075" t="s">
        <v>16385</v>
      </c>
      <c r="K6075">
        <v>0.12</v>
      </c>
      <c r="L6075">
        <v>5210</v>
      </c>
      <c r="M6075">
        <v>1606</v>
      </c>
      <c r="N6075" t="s">
        <v>16393</v>
      </c>
      <c r="O6075" s="4">
        <v>38692</v>
      </c>
      <c r="P6075" s="4">
        <v>76463</v>
      </c>
      <c r="Q6075" s="4">
        <v>115155</v>
      </c>
      <c r="R6075" s="4">
        <v>345465</v>
      </c>
      <c r="S6075" t="s">
        <v>22333</v>
      </c>
      <c r="T6075" s="6">
        <v>44075</v>
      </c>
      <c r="U6075" s="4">
        <v>304900</v>
      </c>
      <c r="V6075" t="s">
        <v>23739</v>
      </c>
      <c r="W6075" t="s">
        <v>22333</v>
      </c>
      <c r="X6075" t="s">
        <v>3</v>
      </c>
      <c r="AA6075" s="5" t="str">
        <f>HYPERLINK("https://www.zillow.com/homes/1155-SINGLETON-DR-ROSELLE-IL-601721728_rb/","check listing")</f>
        <v>check listing</v>
      </c>
      <c r="AB6075" s="5" t="str">
        <f>HYPERLINK("https://propertylookup.dupagecounty.gov/Datalets/Datalet.aspx?UseSearch=no&amp;mode=sales&amp;pin=0204313005","sales record")</f>
        <v>sales record</v>
      </c>
      <c r="AC6075" t="s">
        <v>3</v>
      </c>
      <c r="AD6075">
        <v>41.97896</v>
      </c>
      <c r="AE6075">
        <v>-88.109611</v>
      </c>
      <c r="AF6075" s="5" t="str">
        <f>HYPERLINK("https://www.google.com/maps/search/?api=1&amp;query=41.97896,-88.109611","map")</f>
        <v>map</v>
      </c>
    </row>
    <row r="6076" spans="1:32">
      <c r="A6076" t="s">
        <v>6126</v>
      </c>
      <c r="B6076" t="s">
        <v>13651</v>
      </c>
      <c r="C6076" t="s">
        <v>15830</v>
      </c>
      <c r="D6076" t="s">
        <v>16207</v>
      </c>
      <c r="E6076" t="s">
        <v>16218</v>
      </c>
      <c r="F6076" t="s">
        <v>16221</v>
      </c>
      <c r="G6076" t="s">
        <v>16241</v>
      </c>
      <c r="H6076" t="s">
        <v>16241</v>
      </c>
      <c r="I6076" t="s">
        <v>16355</v>
      </c>
      <c r="J6076" t="s">
        <v>16385</v>
      </c>
      <c r="K6076">
        <v>0.119</v>
      </c>
      <c r="L6076">
        <v>5203</v>
      </c>
      <c r="M6076">
        <v>1188</v>
      </c>
      <c r="N6076" t="s">
        <v>16393</v>
      </c>
      <c r="O6076" s="4">
        <v>38692</v>
      </c>
      <c r="P6076" s="4">
        <v>77444</v>
      </c>
      <c r="Q6076" s="4">
        <v>116136</v>
      </c>
      <c r="R6076" s="4">
        <v>348408</v>
      </c>
      <c r="S6076" t="s">
        <v>22334</v>
      </c>
      <c r="T6076" s="6">
        <v>38169</v>
      </c>
      <c r="U6076" s="4">
        <v>226500</v>
      </c>
      <c r="V6076" t="s">
        <v>23739</v>
      </c>
      <c r="W6076" t="s">
        <v>27113</v>
      </c>
      <c r="X6076" t="s">
        <v>3</v>
      </c>
      <c r="AA6076" s="5" t="str">
        <f>HYPERLINK("https://www.zillow.com/homes/590-MIDDLETON-DR-ROSELLE-IL-60172_rb/","check listing")</f>
        <v>check listing</v>
      </c>
      <c r="AB6076" s="5" t="str">
        <f>HYPERLINK("https://propertylookup.dupagecounty.gov/Datalets/Datalet.aspx?UseSearch=no&amp;mode=sales&amp;pin=0209110007","sales record")</f>
        <v>sales record</v>
      </c>
      <c r="AC6076" t="s">
        <v>3</v>
      </c>
      <c r="AD6076">
        <v>41.972032</v>
      </c>
      <c r="AE6076">
        <v>-88.10499</v>
      </c>
      <c r="AF6076" s="5" t="str">
        <f>HYPERLINK("https://www.google.com/maps/search/?api=1&amp;query=41.972032,-88.10499","map")</f>
        <v>map</v>
      </c>
    </row>
    <row r="6077" spans="1:32">
      <c r="A6077" t="s">
        <v>6127</v>
      </c>
      <c r="B6077" t="s">
        <v>13652</v>
      </c>
      <c r="C6077" t="s">
        <v>15830</v>
      </c>
      <c r="D6077" t="s">
        <v>16207</v>
      </c>
      <c r="E6077" t="s">
        <v>16218</v>
      </c>
      <c r="F6077" t="s">
        <v>16221</v>
      </c>
      <c r="G6077" t="s">
        <v>16241</v>
      </c>
      <c r="H6077" t="s">
        <v>16241</v>
      </c>
      <c r="I6077" t="s">
        <v>16355</v>
      </c>
      <c r="J6077" t="s">
        <v>16385</v>
      </c>
      <c r="K6077">
        <v>0.119</v>
      </c>
      <c r="L6077">
        <v>5202</v>
      </c>
      <c r="M6077">
        <v>1439</v>
      </c>
      <c r="N6077" t="s">
        <v>16393</v>
      </c>
      <c r="O6077" s="4">
        <v>38692</v>
      </c>
      <c r="P6077" s="4">
        <v>78878</v>
      </c>
      <c r="Q6077" s="4">
        <v>117570</v>
      </c>
      <c r="R6077" s="4">
        <v>352710</v>
      </c>
      <c r="S6077" t="s">
        <v>22335</v>
      </c>
      <c r="T6077" s="6">
        <v>42278</v>
      </c>
      <c r="U6077" s="4">
        <v>218000</v>
      </c>
      <c r="V6077" t="s">
        <v>16232</v>
      </c>
      <c r="W6077" t="s">
        <v>27114</v>
      </c>
      <c r="X6077" t="s">
        <v>3</v>
      </c>
      <c r="AA6077" s="5" t="str">
        <f>HYPERLINK("https://www.zillow.com/homes/675-MIDDLETON-DR-ROSELLE-IL-60172_rb/","check listing")</f>
        <v>check listing</v>
      </c>
      <c r="AB6077" s="5" t="str">
        <f>HYPERLINK("https://propertylookup.dupagecounty.gov/Datalets/Datalet.aspx?UseSearch=no&amp;mode=sales&amp;pin=0209101023","sales record")</f>
        <v>sales record</v>
      </c>
      <c r="AC6077" t="s">
        <v>3</v>
      </c>
      <c r="AD6077">
        <v>41.970647</v>
      </c>
      <c r="AE6077">
        <v>-88.10447499999999</v>
      </c>
      <c r="AF6077" s="5" t="str">
        <f>HYPERLINK("https://www.google.com/maps/search/?api=1&amp;query=41.970647,-88.104475","map")</f>
        <v>map</v>
      </c>
    </row>
    <row r="6078" spans="1:32">
      <c r="A6078" t="s">
        <v>6128</v>
      </c>
      <c r="B6078" t="s">
        <v>13653</v>
      </c>
      <c r="C6078" t="s">
        <v>15908</v>
      </c>
      <c r="D6078" t="s">
        <v>16207</v>
      </c>
      <c r="E6078" t="s">
        <v>16218</v>
      </c>
      <c r="F6078" t="s">
        <v>16221</v>
      </c>
      <c r="G6078" t="s">
        <v>16241</v>
      </c>
      <c r="H6078" t="s">
        <v>16241</v>
      </c>
      <c r="I6078" t="s">
        <v>16355</v>
      </c>
      <c r="J6078" t="s">
        <v>16385</v>
      </c>
      <c r="K6078">
        <v>0.119</v>
      </c>
      <c r="L6078">
        <v>5202</v>
      </c>
      <c r="M6078">
        <v>1781</v>
      </c>
      <c r="N6078" t="s">
        <v>16393</v>
      </c>
      <c r="O6078" s="4">
        <v>38692</v>
      </c>
      <c r="P6078" s="4">
        <v>79785</v>
      </c>
      <c r="Q6078" s="4">
        <v>118477</v>
      </c>
      <c r="R6078" s="4">
        <v>355431</v>
      </c>
      <c r="S6078" t="s">
        <v>22336</v>
      </c>
      <c r="T6078" s="6">
        <v>45489</v>
      </c>
      <c r="U6078" s="4">
        <v>410000</v>
      </c>
      <c r="V6078" t="s">
        <v>23741</v>
      </c>
      <c r="W6078" t="s">
        <v>27115</v>
      </c>
      <c r="X6078" t="s">
        <v>3</v>
      </c>
      <c r="AA6078" s="5" t="str">
        <f>HYPERLINK("https://www.zillow.com/homes/625-MIDDLETON-DR-ROSELLE-IL-601722715_rb/","check listing")</f>
        <v>check listing</v>
      </c>
      <c r="AB6078" s="5" t="str">
        <f>HYPERLINK("https://propertylookup.dupagecounty.gov/Datalets/Datalet.aspx?UseSearch=no&amp;mode=sales&amp;pin=0209101017","sales record")</f>
        <v>sales record</v>
      </c>
      <c r="AC6078" t="s">
        <v>3</v>
      </c>
      <c r="AD6078">
        <v>41.971508</v>
      </c>
      <c r="AE6078">
        <v>-88.104445</v>
      </c>
      <c r="AF6078" s="5" t="str">
        <f>HYPERLINK("https://www.google.com/maps/search/?api=1&amp;query=41.971508,-88.104445","map")</f>
        <v>map</v>
      </c>
    </row>
    <row r="6079" spans="1:32">
      <c r="A6079" t="s">
        <v>6129</v>
      </c>
      <c r="B6079" t="s">
        <v>13654</v>
      </c>
      <c r="C6079" t="s">
        <v>15830</v>
      </c>
      <c r="D6079" t="s">
        <v>16207</v>
      </c>
      <c r="E6079" t="s">
        <v>16218</v>
      </c>
      <c r="F6079" t="s">
        <v>16221</v>
      </c>
      <c r="G6079" t="s">
        <v>16241</v>
      </c>
      <c r="H6079" t="s">
        <v>16241</v>
      </c>
      <c r="I6079" t="s">
        <v>16355</v>
      </c>
      <c r="J6079" t="s">
        <v>16385</v>
      </c>
      <c r="K6079">
        <v>0.119</v>
      </c>
      <c r="L6079">
        <v>5202</v>
      </c>
      <c r="M6079">
        <v>1451</v>
      </c>
      <c r="N6079" t="s">
        <v>16393</v>
      </c>
      <c r="O6079" s="4">
        <v>38692</v>
      </c>
      <c r="P6079" s="4">
        <v>64104</v>
      </c>
      <c r="Q6079" s="4">
        <v>102796</v>
      </c>
      <c r="R6079" s="4">
        <v>308388</v>
      </c>
      <c r="S6079" t="s">
        <v>22337</v>
      </c>
      <c r="T6079" s="6">
        <v>31686</v>
      </c>
      <c r="U6079" s="4">
        <v>90000</v>
      </c>
      <c r="X6079" t="s">
        <v>3</v>
      </c>
      <c r="AA6079" s="5" t="str">
        <f>HYPERLINK("https://www.zillow.com/homes/665-MIDDLETON-DR-ROSELLE-IL-60172_rb/","check listing")</f>
        <v>check listing</v>
      </c>
      <c r="AB6079" s="5" t="str">
        <f>HYPERLINK("https://propertylookup.dupagecounty.gov/Datalets/Datalet.aspx?UseSearch=no&amp;mode=sales&amp;pin=0209101022","sales record")</f>
        <v>sales record</v>
      </c>
      <c r="AC6079" t="s">
        <v>3</v>
      </c>
      <c r="AD6079">
        <v>41.970784</v>
      </c>
      <c r="AE6079">
        <v>-88.10447000000001</v>
      </c>
      <c r="AF6079" s="5" t="str">
        <f>HYPERLINK("https://www.google.com/maps/search/?api=1&amp;query=41.970784,-88.10447","map")</f>
        <v>map</v>
      </c>
    </row>
    <row r="6080" spans="1:32">
      <c r="A6080" t="s">
        <v>6130</v>
      </c>
      <c r="B6080" t="s">
        <v>13655</v>
      </c>
      <c r="C6080" t="s">
        <v>15908</v>
      </c>
      <c r="D6080" t="s">
        <v>16207</v>
      </c>
      <c r="E6080" t="s">
        <v>16218</v>
      </c>
      <c r="F6080" t="s">
        <v>16221</v>
      </c>
      <c r="G6080" t="s">
        <v>16241</v>
      </c>
      <c r="H6080" t="s">
        <v>16241</v>
      </c>
      <c r="I6080" t="s">
        <v>16355</v>
      </c>
      <c r="J6080" t="s">
        <v>16385</v>
      </c>
      <c r="K6080">
        <v>0.119</v>
      </c>
      <c r="L6080">
        <v>5201</v>
      </c>
      <c r="M6080">
        <v>1319</v>
      </c>
      <c r="N6080" t="s">
        <v>16393</v>
      </c>
      <c r="O6080" s="4">
        <v>38692</v>
      </c>
      <c r="P6080" s="4">
        <v>77444</v>
      </c>
      <c r="Q6080" s="4">
        <v>116136</v>
      </c>
      <c r="R6080" s="4">
        <v>348408</v>
      </c>
      <c r="S6080" t="s">
        <v>22338</v>
      </c>
      <c r="T6080" s="6">
        <v>43586</v>
      </c>
      <c r="U6080" s="4">
        <v>264000</v>
      </c>
      <c r="V6080" t="s">
        <v>23739</v>
      </c>
      <c r="W6080" t="s">
        <v>27116</v>
      </c>
      <c r="X6080" t="s">
        <v>3</v>
      </c>
      <c r="AA6080" s="5" t="str">
        <f>HYPERLINK("https://www.zillow.com/homes/681-MIDDLETON-DR-ROSELLE-IL-601722715_rb/","check listing")</f>
        <v>check listing</v>
      </c>
      <c r="AB6080" s="5" t="str">
        <f>HYPERLINK("https://propertylookup.dupagecounty.gov/Datalets/Datalet.aspx?UseSearch=no&amp;mode=sales&amp;pin=0209101024","sales record")</f>
        <v>sales record</v>
      </c>
      <c r="AC6080" t="s">
        <v>3</v>
      </c>
      <c r="AD6080">
        <v>41.97051</v>
      </c>
      <c r="AE6080">
        <v>-88.104479</v>
      </c>
      <c r="AF6080" s="5" t="str">
        <f>HYPERLINK("https://www.google.com/maps/search/?api=1&amp;query=41.97051,-88.104479","map")</f>
        <v>map</v>
      </c>
    </row>
    <row r="6081" spans="1:32">
      <c r="A6081" t="s">
        <v>6131</v>
      </c>
      <c r="B6081" t="s">
        <v>13656</v>
      </c>
      <c r="C6081" t="s">
        <v>15830</v>
      </c>
      <c r="D6081" t="s">
        <v>16207</v>
      </c>
      <c r="E6081" t="s">
        <v>16218</v>
      </c>
      <c r="F6081" t="s">
        <v>16221</v>
      </c>
      <c r="G6081" t="s">
        <v>16241</v>
      </c>
      <c r="H6081" t="s">
        <v>16241</v>
      </c>
      <c r="I6081" t="s">
        <v>16355</v>
      </c>
      <c r="J6081" t="s">
        <v>16385</v>
      </c>
      <c r="K6081">
        <v>0.119</v>
      </c>
      <c r="L6081">
        <v>5201</v>
      </c>
      <c r="M6081">
        <v>1534</v>
      </c>
      <c r="N6081" t="s">
        <v>16393</v>
      </c>
      <c r="O6081" s="4">
        <v>38692</v>
      </c>
      <c r="P6081" s="4">
        <v>103513</v>
      </c>
      <c r="Q6081" s="4">
        <v>142205</v>
      </c>
      <c r="R6081" s="4">
        <v>426615</v>
      </c>
      <c r="S6081" t="s">
        <v>22339</v>
      </c>
      <c r="T6081" s="6">
        <v>40664</v>
      </c>
      <c r="U6081" s="4">
        <v>183000</v>
      </c>
      <c r="V6081" t="s">
        <v>23739</v>
      </c>
      <c r="W6081" t="s">
        <v>27117</v>
      </c>
      <c r="X6081" t="s">
        <v>3</v>
      </c>
      <c r="AA6081" s="5" t="str">
        <f>HYPERLINK("https://www.zillow.com/homes/661-MIDDLETON-DR-ROSELLE-IL-60172_rb/","check listing")</f>
        <v>check listing</v>
      </c>
      <c r="AB6081" s="5" t="str">
        <f>HYPERLINK("https://propertylookup.dupagecounty.gov/Datalets/Datalet.aspx?UseSearch=no&amp;mode=sales&amp;pin=0209101021","sales record")</f>
        <v>sales record</v>
      </c>
      <c r="AC6081" t="s">
        <v>3</v>
      </c>
      <c r="AD6081">
        <v>41.970921</v>
      </c>
      <c r="AE6081">
        <v>-88.104465</v>
      </c>
      <c r="AF6081" s="5" t="str">
        <f>HYPERLINK("https://www.google.com/maps/search/?api=1&amp;query=41.970921,-88.104465","map")</f>
        <v>map</v>
      </c>
    </row>
    <row r="6082" spans="1:32">
      <c r="A6082" t="s">
        <v>6132</v>
      </c>
      <c r="B6082" t="s">
        <v>13657</v>
      </c>
      <c r="C6082" t="s">
        <v>15830</v>
      </c>
      <c r="D6082" t="s">
        <v>16207</v>
      </c>
      <c r="E6082" t="s">
        <v>16218</v>
      </c>
      <c r="F6082" t="s">
        <v>16221</v>
      </c>
      <c r="G6082" t="s">
        <v>16241</v>
      </c>
      <c r="H6082" t="s">
        <v>16241</v>
      </c>
      <c r="I6082" t="s">
        <v>16355</v>
      </c>
      <c r="J6082" t="s">
        <v>16385</v>
      </c>
      <c r="K6082">
        <v>0.119</v>
      </c>
      <c r="L6082">
        <v>5200</v>
      </c>
      <c r="M6082">
        <v>1649</v>
      </c>
      <c r="N6082" t="s">
        <v>16393</v>
      </c>
      <c r="O6082" s="4">
        <v>38692</v>
      </c>
      <c r="P6082" s="4">
        <v>85978</v>
      </c>
      <c r="Q6082" s="4">
        <v>124670</v>
      </c>
      <c r="R6082" s="4">
        <v>374010</v>
      </c>
      <c r="S6082" t="s">
        <v>22340</v>
      </c>
      <c r="T6082" s="6">
        <v>34578</v>
      </c>
      <c r="U6082" s="4">
        <v>148000</v>
      </c>
      <c r="X6082" t="s">
        <v>3</v>
      </c>
      <c r="AA6082" s="5" t="str">
        <f>HYPERLINK("https://www.zillow.com/homes/609-MIDDLETON-DR-ROSELLE-IL-60172_rb/","check listing")</f>
        <v>check listing</v>
      </c>
      <c r="AB6082" s="5" t="str">
        <f>HYPERLINK("https://propertylookup.dupagecounty.gov/Datalets/Datalet.aspx?UseSearch=no&amp;mode=sales&amp;pin=0209101015","sales record")</f>
        <v>sales record</v>
      </c>
      <c r="AC6082" t="s">
        <v>3</v>
      </c>
      <c r="AD6082">
        <v>41.971783</v>
      </c>
      <c r="AE6082">
        <v>-88.10443600000001</v>
      </c>
      <c r="AF6082" s="5" t="str">
        <f>HYPERLINK("https://www.google.com/maps/search/?api=1&amp;query=41.971783,-88.104436","map")</f>
        <v>map</v>
      </c>
    </row>
    <row r="6083" spans="1:32">
      <c r="A6083" t="s">
        <v>6133</v>
      </c>
      <c r="B6083" t="s">
        <v>13658</v>
      </c>
      <c r="C6083" t="s">
        <v>15908</v>
      </c>
      <c r="D6083" t="s">
        <v>16207</v>
      </c>
      <c r="E6083" t="s">
        <v>16218</v>
      </c>
      <c r="F6083" t="s">
        <v>16221</v>
      </c>
      <c r="G6083" t="s">
        <v>16241</v>
      </c>
      <c r="H6083" t="s">
        <v>16241</v>
      </c>
      <c r="I6083" t="s">
        <v>16355</v>
      </c>
      <c r="J6083" t="s">
        <v>16385</v>
      </c>
      <c r="K6083">
        <v>0.119</v>
      </c>
      <c r="L6083">
        <v>5200</v>
      </c>
      <c r="M6083">
        <v>1582</v>
      </c>
      <c r="N6083" t="s">
        <v>16393</v>
      </c>
      <c r="O6083" s="4">
        <v>38692</v>
      </c>
      <c r="P6083" s="4">
        <v>78161</v>
      </c>
      <c r="Q6083" s="4">
        <v>116853</v>
      </c>
      <c r="R6083" s="4">
        <v>350559</v>
      </c>
      <c r="S6083" t="s">
        <v>22341</v>
      </c>
      <c r="T6083" s="6">
        <v>34455</v>
      </c>
      <c r="U6083" s="4">
        <v>117000</v>
      </c>
      <c r="X6083" t="s">
        <v>3</v>
      </c>
      <c r="AA6083" s="5" t="str">
        <f>HYPERLINK("https://www.zillow.com/homes/615-MIDDLETON-DR-ROSELLE-IL-601722715_rb/","check listing")</f>
        <v>check listing</v>
      </c>
      <c r="AB6083" s="5" t="str">
        <f>HYPERLINK("https://propertylookup.dupagecounty.gov/Datalets/Datalet.aspx?UseSearch=no&amp;mode=sales&amp;pin=0209101016","sales record")</f>
        <v>sales record</v>
      </c>
      <c r="AC6083" t="s">
        <v>3</v>
      </c>
      <c r="AD6083">
        <v>41.971645</v>
      </c>
      <c r="AE6083">
        <v>-88.10444099999999</v>
      </c>
      <c r="AF6083" s="5" t="str">
        <f>HYPERLINK("https://www.google.com/maps/search/?api=1&amp;query=41.971645,-88.104441","map")</f>
        <v>map</v>
      </c>
    </row>
    <row r="6084" spans="1:32">
      <c r="A6084" t="s">
        <v>6134</v>
      </c>
      <c r="B6084" t="s">
        <v>13659</v>
      </c>
      <c r="C6084" t="s">
        <v>15830</v>
      </c>
      <c r="D6084" t="s">
        <v>16207</v>
      </c>
      <c r="E6084" t="s">
        <v>16218</v>
      </c>
      <c r="F6084" t="s">
        <v>16221</v>
      </c>
      <c r="G6084" t="s">
        <v>16241</v>
      </c>
      <c r="H6084" t="s">
        <v>16241</v>
      </c>
      <c r="I6084" t="s">
        <v>16355</v>
      </c>
      <c r="J6084" t="s">
        <v>16385</v>
      </c>
      <c r="K6084">
        <v>0.119</v>
      </c>
      <c r="L6084">
        <v>5199</v>
      </c>
      <c r="M6084">
        <v>1775</v>
      </c>
      <c r="N6084" t="s">
        <v>16393</v>
      </c>
      <c r="O6084" s="4">
        <v>38692</v>
      </c>
      <c r="P6084" s="4">
        <v>77934</v>
      </c>
      <c r="Q6084" s="4">
        <v>116626</v>
      </c>
      <c r="R6084" s="4">
        <v>349878</v>
      </c>
      <c r="S6084" t="s">
        <v>22342</v>
      </c>
      <c r="T6084" s="6">
        <v>45980</v>
      </c>
      <c r="U6084" s="4">
        <v>418000</v>
      </c>
      <c r="V6084" t="s">
        <v>23739</v>
      </c>
      <c r="W6084" t="s">
        <v>27118</v>
      </c>
      <c r="X6084" t="s">
        <v>3</v>
      </c>
      <c r="AA6084" s="5" t="str">
        <f>HYPERLINK("https://www.zillow.com/homes/1190-SINGLETON-DR-ROSELLE-IL-60172_rb/","check listing")</f>
        <v>check listing</v>
      </c>
      <c r="AB6084" s="5" t="str">
        <f>HYPERLINK("https://propertylookup.dupagecounty.gov/Datalets/Datalet.aspx?UseSearch=no&amp;mode=sales&amp;pin=0204309051","sales record")</f>
        <v>sales record</v>
      </c>
      <c r="AC6084" t="s">
        <v>3</v>
      </c>
      <c r="AD6084">
        <v>41.979416</v>
      </c>
      <c r="AE6084">
        <v>-88.11021</v>
      </c>
      <c r="AF6084" s="5" t="str">
        <f>HYPERLINK("https://www.google.com/maps/search/?api=1&amp;query=41.979416,-88.11021","map")</f>
        <v>map</v>
      </c>
    </row>
    <row r="6085" spans="1:32">
      <c r="A6085" t="s">
        <v>6135</v>
      </c>
      <c r="B6085" t="s">
        <v>13660</v>
      </c>
      <c r="C6085" t="s">
        <v>15830</v>
      </c>
      <c r="D6085" t="s">
        <v>16207</v>
      </c>
      <c r="E6085" t="s">
        <v>16218</v>
      </c>
      <c r="F6085" t="s">
        <v>16221</v>
      </c>
      <c r="G6085" t="s">
        <v>16241</v>
      </c>
      <c r="H6085" t="s">
        <v>16241</v>
      </c>
      <c r="I6085" t="s">
        <v>16355</v>
      </c>
      <c r="J6085" t="s">
        <v>16385</v>
      </c>
      <c r="K6085">
        <v>0.119</v>
      </c>
      <c r="L6085">
        <v>5199</v>
      </c>
      <c r="M6085">
        <v>1319</v>
      </c>
      <c r="N6085" t="s">
        <v>16393</v>
      </c>
      <c r="O6085" s="4">
        <v>38692</v>
      </c>
      <c r="P6085" s="4">
        <v>77313</v>
      </c>
      <c r="Q6085" s="4">
        <v>116005</v>
      </c>
      <c r="R6085" s="4">
        <v>348015</v>
      </c>
      <c r="S6085" t="s">
        <v>22343</v>
      </c>
      <c r="T6085" s="6">
        <v>35643</v>
      </c>
      <c r="U6085" s="4">
        <v>147500</v>
      </c>
      <c r="X6085" t="s">
        <v>3</v>
      </c>
      <c r="AA6085" s="5" t="str">
        <f>HYPERLINK("https://www.zillow.com/homes/540-WATERBURY-LN-ROSELLE-IL-60172_rb/","check listing")</f>
        <v>check listing</v>
      </c>
      <c r="AB6085" s="5" t="str">
        <f>HYPERLINK("https://propertylookup.dupagecounty.gov/Datalets/Datalet.aspx?UseSearch=no&amp;mode=sales&amp;pin=0209104020","sales record")</f>
        <v>sales record</v>
      </c>
      <c r="AC6085" t="s">
        <v>3</v>
      </c>
      <c r="AD6085">
        <v>41.97311</v>
      </c>
      <c r="AE6085">
        <v>-88.109358</v>
      </c>
      <c r="AF6085" s="5" t="str">
        <f>HYPERLINK("https://www.google.com/maps/search/?api=1&amp;query=41.97311,-88.109358","map")</f>
        <v>map</v>
      </c>
    </row>
    <row r="6086" spans="1:32">
      <c r="A6086" t="s">
        <v>6136</v>
      </c>
      <c r="B6086" t="s">
        <v>13661</v>
      </c>
      <c r="C6086" t="s">
        <v>15830</v>
      </c>
      <c r="D6086" t="s">
        <v>16207</v>
      </c>
      <c r="E6086" t="s">
        <v>16218</v>
      </c>
      <c r="F6086" t="s">
        <v>16221</v>
      </c>
      <c r="G6086" t="s">
        <v>16241</v>
      </c>
      <c r="H6086" t="s">
        <v>16241</v>
      </c>
      <c r="I6086" t="s">
        <v>16355</v>
      </c>
      <c r="J6086" t="s">
        <v>16385</v>
      </c>
      <c r="K6086">
        <v>0.119</v>
      </c>
      <c r="L6086">
        <v>5199</v>
      </c>
      <c r="M6086">
        <v>1715</v>
      </c>
      <c r="N6086" t="s">
        <v>16393</v>
      </c>
      <c r="O6086" s="4">
        <v>38692</v>
      </c>
      <c r="P6086" s="4">
        <v>81687</v>
      </c>
      <c r="Q6086" s="4">
        <v>120379</v>
      </c>
      <c r="R6086" s="4">
        <v>361137</v>
      </c>
      <c r="S6086" t="s">
        <v>22344</v>
      </c>
      <c r="T6086" s="6">
        <v>32417</v>
      </c>
      <c r="U6086" s="4">
        <v>104000</v>
      </c>
      <c r="X6086" t="s">
        <v>3</v>
      </c>
      <c r="AA6086" s="5" t="str">
        <f>HYPERLINK("https://www.zillow.com/homes/635-MIDDLETON-DR-ROSELLE-IL-60172_rb/","check listing")</f>
        <v>check listing</v>
      </c>
      <c r="AB6086" s="5" t="str">
        <f>HYPERLINK("https://propertylookup.dupagecounty.gov/Datalets/Datalet.aspx?UseSearch=no&amp;mode=sales&amp;pin=0209101018","sales record")</f>
        <v>sales record</v>
      </c>
      <c r="AC6086" t="s">
        <v>3</v>
      </c>
      <c r="AD6086">
        <v>41.971392</v>
      </c>
      <c r="AE6086">
        <v>-88.104449</v>
      </c>
      <c r="AF6086" s="5" t="str">
        <f>HYPERLINK("https://www.google.com/maps/search/?api=1&amp;query=41.971392,-88.104449","map")</f>
        <v>map</v>
      </c>
    </row>
    <row r="6087" spans="1:32">
      <c r="A6087" t="s">
        <v>6137</v>
      </c>
      <c r="B6087" t="s">
        <v>13662</v>
      </c>
      <c r="C6087" t="s">
        <v>15830</v>
      </c>
      <c r="D6087" t="s">
        <v>16207</v>
      </c>
      <c r="E6087" t="s">
        <v>16218</v>
      </c>
      <c r="F6087" t="s">
        <v>16221</v>
      </c>
      <c r="G6087" t="s">
        <v>16241</v>
      </c>
      <c r="H6087" t="s">
        <v>16241</v>
      </c>
      <c r="I6087" t="s">
        <v>16355</v>
      </c>
      <c r="J6087" t="s">
        <v>16385</v>
      </c>
      <c r="K6087">
        <v>0.119</v>
      </c>
      <c r="L6087">
        <v>5197</v>
      </c>
      <c r="M6087">
        <v>1319</v>
      </c>
      <c r="N6087" t="s">
        <v>16393</v>
      </c>
      <c r="O6087" s="4">
        <v>38692</v>
      </c>
      <c r="P6087" s="4">
        <v>75974</v>
      </c>
      <c r="Q6087" s="4">
        <v>114666</v>
      </c>
      <c r="R6087" s="4">
        <v>343998</v>
      </c>
      <c r="S6087" t="s">
        <v>22345</v>
      </c>
      <c r="T6087" s="6">
        <v>36404</v>
      </c>
      <c r="U6087" s="4">
        <v>160000</v>
      </c>
      <c r="X6087" t="s">
        <v>3</v>
      </c>
      <c r="AA6087" s="5" t="str">
        <f>HYPERLINK("https://www.zillow.com/homes/580-DOVER-DR-ROSELLE-IL-60172_rb/","check listing")</f>
        <v>check listing</v>
      </c>
      <c r="AB6087" s="5" t="str">
        <f>HYPERLINK("https://propertylookup.dupagecounty.gov/Datalets/Datalet.aspx?UseSearch=no&amp;mode=sales&amp;pin=0208207040","sales record")</f>
        <v>sales record</v>
      </c>
      <c r="AC6087" t="s">
        <v>3</v>
      </c>
      <c r="AD6087">
        <v>41.97239</v>
      </c>
      <c r="AE6087">
        <v>-88.111209</v>
      </c>
      <c r="AF6087" s="5" t="str">
        <f>HYPERLINK("https://www.google.com/maps/search/?api=1&amp;query=41.97239,-88.111209","map")</f>
        <v>map</v>
      </c>
    </row>
    <row r="6088" spans="1:32">
      <c r="A6088" t="s">
        <v>6138</v>
      </c>
      <c r="B6088" t="s">
        <v>13663</v>
      </c>
      <c r="C6088" t="s">
        <v>15975</v>
      </c>
      <c r="D6088" t="s">
        <v>16207</v>
      </c>
      <c r="E6088" t="s">
        <v>16218</v>
      </c>
      <c r="F6088" t="s">
        <v>16221</v>
      </c>
      <c r="G6088" t="s">
        <v>16241</v>
      </c>
      <c r="H6088" t="s">
        <v>16241</v>
      </c>
      <c r="I6088" t="s">
        <v>16355</v>
      </c>
      <c r="J6088" t="s">
        <v>16385</v>
      </c>
      <c r="K6088">
        <v>0.119</v>
      </c>
      <c r="L6088">
        <v>5190</v>
      </c>
      <c r="M6088">
        <v>1709</v>
      </c>
      <c r="N6088" t="s">
        <v>16393</v>
      </c>
      <c r="O6088" s="4">
        <v>38692</v>
      </c>
      <c r="P6088" s="4">
        <v>81484</v>
      </c>
      <c r="Q6088" s="4">
        <v>120176</v>
      </c>
      <c r="R6088" s="4">
        <v>360528</v>
      </c>
      <c r="S6088" t="s">
        <v>22346</v>
      </c>
      <c r="T6088" s="6">
        <v>43739</v>
      </c>
      <c r="U6088" s="4">
        <v>273000</v>
      </c>
      <c r="V6088" t="s">
        <v>23739</v>
      </c>
      <c r="W6088" t="s">
        <v>27119</v>
      </c>
      <c r="X6088" t="s">
        <v>3</v>
      </c>
      <c r="AA6088" s="5" t="str">
        <f>HYPERLINK("https://www.zillow.com/homes/505-RODENBURG-RD-ROSELLE-IL-601722643_rb/","check listing")</f>
        <v>check listing</v>
      </c>
      <c r="AB6088" s="5" t="str">
        <f>HYPERLINK("https://propertylookup.dupagecounty.gov/Datalets/Datalet.aspx?UseSearch=no&amp;mode=sales&amp;pin=0208207013","sales record")</f>
        <v>sales record</v>
      </c>
      <c r="AC6088" t="s">
        <v>3</v>
      </c>
      <c r="AD6088">
        <v>41.973258</v>
      </c>
      <c r="AE6088">
        <v>-88.11208000000001</v>
      </c>
      <c r="AF6088" s="5" t="str">
        <f>HYPERLINK("https://www.google.com/maps/search/?api=1&amp;query=41.973258,-88.11208","map")</f>
        <v>map</v>
      </c>
    </row>
    <row r="6089" spans="1:32">
      <c r="A6089" t="s">
        <v>6139</v>
      </c>
      <c r="B6089" t="s">
        <v>13664</v>
      </c>
      <c r="C6089" t="s">
        <v>15830</v>
      </c>
      <c r="D6089" t="s">
        <v>16207</v>
      </c>
      <c r="E6089" t="s">
        <v>16218</v>
      </c>
      <c r="F6089" t="s">
        <v>16221</v>
      </c>
      <c r="G6089" t="s">
        <v>16241</v>
      </c>
      <c r="H6089" t="s">
        <v>16241</v>
      </c>
      <c r="I6089" t="s">
        <v>16355</v>
      </c>
      <c r="J6089" t="s">
        <v>16385</v>
      </c>
      <c r="K6089">
        <v>0.119</v>
      </c>
      <c r="L6089">
        <v>5189</v>
      </c>
      <c r="M6089">
        <v>1319</v>
      </c>
      <c r="N6089" t="s">
        <v>16393</v>
      </c>
      <c r="O6089" s="4">
        <v>38692</v>
      </c>
      <c r="P6089" s="4">
        <v>75974</v>
      </c>
      <c r="Q6089" s="4">
        <v>114666</v>
      </c>
      <c r="R6089" s="4">
        <v>343998</v>
      </c>
      <c r="S6089" t="s">
        <v>22347</v>
      </c>
      <c r="T6089" s="6">
        <v>38108</v>
      </c>
      <c r="U6089" s="4">
        <v>237000</v>
      </c>
      <c r="V6089" t="s">
        <v>23739</v>
      </c>
      <c r="W6089" t="s">
        <v>22347</v>
      </c>
      <c r="X6089" t="s">
        <v>3</v>
      </c>
      <c r="AA6089" s="5" t="str">
        <f>HYPERLINK("https://www.zillow.com/homes/525-RODENBURG-RD-ROSELLE-IL-60172_rb/","check listing")</f>
        <v>check listing</v>
      </c>
      <c r="AB6089" s="5" t="str">
        <f>HYPERLINK("https://propertylookup.dupagecounty.gov/Datalets/Datalet.aspx?UseSearch=no&amp;mode=sales&amp;pin=0208207015","sales record")</f>
        <v>sales record</v>
      </c>
      <c r="AC6089" t="s">
        <v>3</v>
      </c>
      <c r="AD6089">
        <v>41.972977</v>
      </c>
      <c r="AE6089">
        <v>-88.11198899999999</v>
      </c>
      <c r="AF6089" s="5" t="str">
        <f>HYPERLINK("https://www.google.com/maps/search/?api=1&amp;query=41.972977,-88.111989","map")</f>
        <v>map</v>
      </c>
    </row>
    <row r="6090" spans="1:32">
      <c r="A6090" t="s">
        <v>6140</v>
      </c>
      <c r="B6090" t="s">
        <v>13665</v>
      </c>
      <c r="C6090" t="s">
        <v>15830</v>
      </c>
      <c r="D6090" t="s">
        <v>16207</v>
      </c>
      <c r="E6090" t="s">
        <v>16218</v>
      </c>
      <c r="F6090" t="s">
        <v>16221</v>
      </c>
      <c r="G6090" t="s">
        <v>16241</v>
      </c>
      <c r="H6090" t="s">
        <v>16241</v>
      </c>
      <c r="I6090" t="s">
        <v>16355</v>
      </c>
      <c r="J6090" t="s">
        <v>16385</v>
      </c>
      <c r="K6090">
        <v>0.119</v>
      </c>
      <c r="L6090">
        <v>5189</v>
      </c>
      <c r="M6090">
        <v>1777</v>
      </c>
      <c r="N6090" t="s">
        <v>16393</v>
      </c>
      <c r="O6090" s="4">
        <v>38692</v>
      </c>
      <c r="P6090" s="4">
        <v>78723</v>
      </c>
      <c r="Q6090" s="4">
        <v>117415</v>
      </c>
      <c r="R6090" s="4">
        <v>352245</v>
      </c>
      <c r="S6090" t="s">
        <v>22348</v>
      </c>
      <c r="T6090" s="6">
        <v>45034</v>
      </c>
      <c r="U6090" s="4">
        <v>310000</v>
      </c>
      <c r="V6090" t="s">
        <v>23739</v>
      </c>
      <c r="W6090" t="s">
        <v>27120</v>
      </c>
      <c r="X6090" t="s">
        <v>3</v>
      </c>
      <c r="AA6090" s="5" t="str">
        <f>HYPERLINK("https://www.zillow.com/homes/435-RODENBURG-RD-ROSELLE-IL-60172_rb/","check listing")</f>
        <v>check listing</v>
      </c>
      <c r="AB6090" s="5" t="str">
        <f>HYPERLINK("https://propertylookup.dupagecounty.gov/Datalets/Datalet.aspx?UseSearch=no&amp;mode=sales&amp;pin=0208207004","sales record")</f>
        <v>sales record</v>
      </c>
      <c r="AC6090" t="s">
        <v>3</v>
      </c>
      <c r="AD6090">
        <v>41.974486</v>
      </c>
      <c r="AE6090">
        <v>-88.11198899999999</v>
      </c>
      <c r="AF6090" s="5" t="str">
        <f>HYPERLINK("https://www.google.com/maps/search/?api=1&amp;query=41.974486,-88.111989","map")</f>
        <v>map</v>
      </c>
    </row>
    <row r="6091" spans="1:32">
      <c r="A6091" t="s">
        <v>6141</v>
      </c>
      <c r="B6091" t="s">
        <v>13666</v>
      </c>
      <c r="C6091" t="s">
        <v>15830</v>
      </c>
      <c r="D6091" t="s">
        <v>16207</v>
      </c>
      <c r="E6091" t="s">
        <v>16218</v>
      </c>
      <c r="F6091" t="s">
        <v>16221</v>
      </c>
      <c r="G6091" t="s">
        <v>16241</v>
      </c>
      <c r="H6091" t="s">
        <v>16241</v>
      </c>
      <c r="I6091" t="s">
        <v>16355</v>
      </c>
      <c r="J6091" t="s">
        <v>16385</v>
      </c>
      <c r="K6091">
        <v>0.119</v>
      </c>
      <c r="L6091">
        <v>5188</v>
      </c>
      <c r="M6091">
        <v>1714</v>
      </c>
      <c r="N6091" t="s">
        <v>16393</v>
      </c>
      <c r="O6091" s="4">
        <v>38692</v>
      </c>
      <c r="P6091" s="4">
        <v>58176</v>
      </c>
      <c r="Q6091" s="4">
        <v>96868</v>
      </c>
      <c r="R6091" s="4">
        <v>290604</v>
      </c>
      <c r="S6091" t="s">
        <v>22349</v>
      </c>
      <c r="T6091" s="6">
        <v>42430</v>
      </c>
      <c r="U6091" s="4">
        <v>218000</v>
      </c>
      <c r="V6091" t="s">
        <v>23739</v>
      </c>
      <c r="W6091" t="s">
        <v>27121</v>
      </c>
      <c r="X6091" t="s">
        <v>3</v>
      </c>
      <c r="AA6091" s="5" t="str">
        <f>HYPERLINK("https://www.zillow.com/homes/415-RODENBURG-RD-ROSELLE-IL-60172_rb/","check listing")</f>
        <v>check listing</v>
      </c>
      <c r="AB6091" s="5" t="str">
        <f>HYPERLINK("https://propertylookup.dupagecounty.gov/Datalets/Datalet.aspx?UseSearch=no&amp;mode=sales&amp;pin=0208207002","sales record")</f>
        <v>sales record</v>
      </c>
      <c r="AC6091" t="s">
        <v>3</v>
      </c>
      <c r="AD6091">
        <v>41.974749</v>
      </c>
      <c r="AE6091">
        <v>-88.11186499999999</v>
      </c>
      <c r="AF6091" s="5" t="str">
        <f>HYPERLINK("https://www.google.com/maps/search/?api=1&amp;query=41.974749,-88.111865","map")</f>
        <v>map</v>
      </c>
    </row>
    <row r="6092" spans="1:32">
      <c r="A6092" t="s">
        <v>6142</v>
      </c>
      <c r="B6092" t="s">
        <v>13667</v>
      </c>
      <c r="C6092" t="s">
        <v>15830</v>
      </c>
      <c r="D6092" t="s">
        <v>16207</v>
      </c>
      <c r="E6092" t="s">
        <v>16218</v>
      </c>
      <c r="F6092" t="s">
        <v>16221</v>
      </c>
      <c r="G6092" t="s">
        <v>16241</v>
      </c>
      <c r="H6092" t="s">
        <v>16241</v>
      </c>
      <c r="I6092" t="s">
        <v>16355</v>
      </c>
      <c r="J6092" t="s">
        <v>16385</v>
      </c>
      <c r="K6092">
        <v>0.119</v>
      </c>
      <c r="L6092">
        <v>5188</v>
      </c>
      <c r="M6092">
        <v>1644</v>
      </c>
      <c r="N6092" t="s">
        <v>16393</v>
      </c>
      <c r="O6092" s="4">
        <v>38692</v>
      </c>
      <c r="P6092" s="4">
        <v>55546</v>
      </c>
      <c r="Q6092" s="4">
        <v>94238</v>
      </c>
      <c r="R6092" s="4">
        <v>282714</v>
      </c>
      <c r="S6092" t="s">
        <v>22350</v>
      </c>
      <c r="T6092" s="6">
        <v>40817</v>
      </c>
      <c r="U6092" s="4">
        <v>130000</v>
      </c>
      <c r="V6092" t="s">
        <v>23739</v>
      </c>
      <c r="W6092" t="s">
        <v>22350</v>
      </c>
      <c r="X6092" t="s">
        <v>3</v>
      </c>
      <c r="AA6092" s="5" t="str">
        <f>HYPERLINK("https://www.zillow.com/homes/445-RODENBURG-RD-ROSELLE-IL-60172_rb/","check listing")</f>
        <v>check listing</v>
      </c>
      <c r="AB6092" s="5" t="str">
        <f>HYPERLINK("https://propertylookup.dupagecounty.gov/Datalets/Datalet.aspx?UseSearch=no&amp;mode=sales&amp;pin=0208207005","sales record")</f>
        <v>sales record</v>
      </c>
      <c r="AC6092" t="s">
        <v>3</v>
      </c>
      <c r="AD6092">
        <v>41.97435</v>
      </c>
      <c r="AE6092">
        <v>-88.112039</v>
      </c>
      <c r="AF6092" s="5" t="str">
        <f>HYPERLINK("https://www.google.com/maps/search/?api=1&amp;query=41.97435,-88.112039","map")</f>
        <v>map</v>
      </c>
    </row>
    <row r="6093" spans="1:32">
      <c r="A6093" t="s">
        <v>6143</v>
      </c>
      <c r="B6093" t="s">
        <v>13668</v>
      </c>
      <c r="C6093" t="s">
        <v>15830</v>
      </c>
      <c r="D6093" t="s">
        <v>16207</v>
      </c>
      <c r="E6093" t="s">
        <v>16218</v>
      </c>
      <c r="F6093" t="s">
        <v>16221</v>
      </c>
      <c r="G6093" t="s">
        <v>16241</v>
      </c>
      <c r="H6093" t="s">
        <v>16241</v>
      </c>
      <c r="I6093" t="s">
        <v>16355</v>
      </c>
      <c r="J6093" t="s">
        <v>16385</v>
      </c>
      <c r="K6093">
        <v>0.119</v>
      </c>
      <c r="L6093">
        <v>5187</v>
      </c>
      <c r="M6093">
        <v>1484</v>
      </c>
      <c r="N6093" t="s">
        <v>16393</v>
      </c>
      <c r="O6093" s="4">
        <v>38692</v>
      </c>
      <c r="P6093" s="4">
        <v>77599</v>
      </c>
      <c r="Q6093" s="4">
        <v>116291</v>
      </c>
      <c r="R6093" s="4">
        <v>348873</v>
      </c>
      <c r="S6093" t="s">
        <v>22351</v>
      </c>
      <c r="T6093" s="6">
        <v>31107</v>
      </c>
      <c r="U6093" s="4">
        <v>72700</v>
      </c>
      <c r="X6093" t="s">
        <v>3</v>
      </c>
      <c r="AA6093" s="5" t="str">
        <f>HYPERLINK("https://www.zillow.com/homes/475-GLENMORE-PL-ROSELLE-IL-60172_rb/","check listing")</f>
        <v>check listing</v>
      </c>
      <c r="AB6093" s="5" t="str">
        <f>HYPERLINK("https://propertylookup.dupagecounty.gov/Datalets/Datalet.aspx?UseSearch=no&amp;mode=sales&amp;pin=0209109004","sales record")</f>
        <v>sales record</v>
      </c>
      <c r="AC6093" t="s">
        <v>3</v>
      </c>
      <c r="AD6093">
        <v>41.973754</v>
      </c>
      <c r="AE6093">
        <v>-88.104732</v>
      </c>
      <c r="AF6093" s="5" t="str">
        <f>HYPERLINK("https://www.google.com/maps/search/?api=1&amp;query=41.973754,-88.104732","map")</f>
        <v>map</v>
      </c>
    </row>
    <row r="6094" spans="1:32">
      <c r="A6094" t="s">
        <v>6144</v>
      </c>
      <c r="B6094" t="s">
        <v>13669</v>
      </c>
      <c r="C6094" t="s">
        <v>15830</v>
      </c>
      <c r="D6094" t="s">
        <v>16207</v>
      </c>
      <c r="E6094" t="s">
        <v>16218</v>
      </c>
      <c r="F6094" t="s">
        <v>16221</v>
      </c>
      <c r="G6094" t="s">
        <v>16241</v>
      </c>
      <c r="H6094" t="s">
        <v>16241</v>
      </c>
      <c r="I6094" t="s">
        <v>16355</v>
      </c>
      <c r="J6094" t="s">
        <v>16385</v>
      </c>
      <c r="K6094">
        <v>0.119</v>
      </c>
      <c r="L6094">
        <v>5186</v>
      </c>
      <c r="M6094">
        <v>1626</v>
      </c>
      <c r="N6094" t="s">
        <v>16393</v>
      </c>
      <c r="O6094" s="4">
        <v>38692</v>
      </c>
      <c r="P6094" s="4">
        <v>49974</v>
      </c>
      <c r="Q6094" s="4">
        <v>88666</v>
      </c>
      <c r="R6094" s="4">
        <v>265998</v>
      </c>
      <c r="S6094" t="s">
        <v>22311</v>
      </c>
      <c r="T6094" s="6">
        <v>44932</v>
      </c>
      <c r="U6094" s="4">
        <v>266000</v>
      </c>
      <c r="V6094" t="s">
        <v>23739</v>
      </c>
      <c r="W6094" t="s">
        <v>27122</v>
      </c>
      <c r="X6094" t="s">
        <v>3</v>
      </c>
      <c r="AA6094" s="5" t="str">
        <f>HYPERLINK("https://www.zillow.com/homes/545-RODENBURG-RD-ROSELLE-IL-60172_rb/","check listing")</f>
        <v>check listing</v>
      </c>
      <c r="AB6094" s="5" t="str">
        <f>HYPERLINK("https://propertylookup.dupagecounty.gov/Datalets/Datalet.aspx?UseSearch=no&amp;mode=sales&amp;pin=0208207017","sales record")</f>
        <v>sales record</v>
      </c>
      <c r="AC6094" t="s">
        <v>3</v>
      </c>
      <c r="AD6094">
        <v>41.972714</v>
      </c>
      <c r="AE6094">
        <v>-88.111864</v>
      </c>
      <c r="AF6094" s="5" t="str">
        <f>HYPERLINK("https://www.google.com/maps/search/?api=1&amp;query=41.972714,-88.111864","map")</f>
        <v>map</v>
      </c>
    </row>
    <row r="6095" spans="1:32">
      <c r="A6095" t="s">
        <v>6145</v>
      </c>
      <c r="B6095" t="s">
        <v>13670</v>
      </c>
      <c r="C6095" t="s">
        <v>15830</v>
      </c>
      <c r="D6095" t="s">
        <v>16207</v>
      </c>
      <c r="E6095" t="s">
        <v>16218</v>
      </c>
      <c r="F6095" t="s">
        <v>16221</v>
      </c>
      <c r="G6095" t="s">
        <v>16241</v>
      </c>
      <c r="H6095" t="s">
        <v>16241</v>
      </c>
      <c r="I6095" t="s">
        <v>16355</v>
      </c>
      <c r="J6095" t="s">
        <v>16385</v>
      </c>
      <c r="K6095">
        <v>0.119</v>
      </c>
      <c r="L6095">
        <v>5186</v>
      </c>
      <c r="M6095">
        <v>1716</v>
      </c>
      <c r="N6095" t="s">
        <v>16393</v>
      </c>
      <c r="O6095" s="4">
        <v>38692</v>
      </c>
      <c r="P6095" s="4">
        <v>83002</v>
      </c>
      <c r="Q6095" s="4">
        <v>121694</v>
      </c>
      <c r="R6095" s="4">
        <v>365082</v>
      </c>
      <c r="S6095" t="s">
        <v>22352</v>
      </c>
      <c r="T6095" s="6">
        <v>31898</v>
      </c>
      <c r="U6095" s="4">
        <v>91000</v>
      </c>
      <c r="X6095" t="s">
        <v>3</v>
      </c>
      <c r="AA6095" s="5" t="str">
        <f>HYPERLINK("https://www.zillow.com/homes/461-RODENBURG-RD-ROSELLE-IL-60172_rb/","check listing")</f>
        <v>check listing</v>
      </c>
      <c r="AB6095" s="5" t="str">
        <f>HYPERLINK("https://propertylookup.dupagecounty.gov/Datalets/Datalet.aspx?UseSearch=no&amp;mode=sales&amp;pin=0208207007","sales record")</f>
        <v>sales record</v>
      </c>
      <c r="AC6095" t="s">
        <v>3</v>
      </c>
      <c r="AD6095">
        <v>41.974076</v>
      </c>
      <c r="AE6095">
        <v>-88.11210699999999</v>
      </c>
      <c r="AF6095" s="5" t="str">
        <f>HYPERLINK("https://www.google.com/maps/search/?api=1&amp;query=41.974076,-88.112107","map")</f>
        <v>map</v>
      </c>
    </row>
    <row r="6096" spans="1:32">
      <c r="A6096" t="s">
        <v>6146</v>
      </c>
      <c r="B6096" t="s">
        <v>13671</v>
      </c>
      <c r="C6096" t="s">
        <v>15976</v>
      </c>
      <c r="D6096" t="s">
        <v>16207</v>
      </c>
      <c r="E6096" t="s">
        <v>16218</v>
      </c>
      <c r="F6096" t="s">
        <v>16221</v>
      </c>
      <c r="G6096" t="s">
        <v>16241</v>
      </c>
      <c r="H6096" t="s">
        <v>16241</v>
      </c>
      <c r="I6096" t="s">
        <v>16355</v>
      </c>
      <c r="J6096" t="s">
        <v>16385</v>
      </c>
      <c r="K6096">
        <v>0.119</v>
      </c>
      <c r="L6096">
        <v>5185</v>
      </c>
      <c r="M6096">
        <v>1680</v>
      </c>
      <c r="N6096" t="s">
        <v>16393</v>
      </c>
      <c r="O6096" s="4">
        <v>38692</v>
      </c>
      <c r="P6096" s="4">
        <v>55546</v>
      </c>
      <c r="Q6096" s="4">
        <v>94238</v>
      </c>
      <c r="R6096" s="4">
        <v>282714</v>
      </c>
      <c r="S6096" t="s">
        <v>22353</v>
      </c>
      <c r="T6096" s="6">
        <v>42917</v>
      </c>
      <c r="U6096" s="4">
        <v>215000</v>
      </c>
      <c r="V6096" t="s">
        <v>23739</v>
      </c>
      <c r="W6096" t="s">
        <v>27123</v>
      </c>
      <c r="X6096" t="s">
        <v>3</v>
      </c>
      <c r="AA6096" s="5" t="str">
        <f>HYPERLINK("https://www.zillow.com/homes/471-GLENMORE-PL-ROSELLE-IL-601722705_rb/","check listing")</f>
        <v>check listing</v>
      </c>
      <c r="AB6096" s="5" t="str">
        <f>HYPERLINK("https://propertylookup.dupagecounty.gov/Datalets/Datalet.aspx?UseSearch=no&amp;mode=sales&amp;pin=0209109006","sales record")</f>
        <v>sales record</v>
      </c>
      <c r="AC6096" t="s">
        <v>3</v>
      </c>
      <c r="AD6096">
        <v>41.973826</v>
      </c>
      <c r="AE6096">
        <v>-88.104377</v>
      </c>
      <c r="AF6096" s="5" t="str">
        <f>HYPERLINK("https://www.google.com/maps/search/?api=1&amp;query=41.973826,-88.104377","map")</f>
        <v>map</v>
      </c>
    </row>
    <row r="6097" spans="1:32">
      <c r="A6097" t="s">
        <v>6147</v>
      </c>
      <c r="B6097" t="s">
        <v>13672</v>
      </c>
      <c r="C6097" t="s">
        <v>15830</v>
      </c>
      <c r="D6097" t="s">
        <v>16207</v>
      </c>
      <c r="E6097" t="s">
        <v>16218</v>
      </c>
      <c r="F6097" t="s">
        <v>16221</v>
      </c>
      <c r="G6097" t="s">
        <v>16241</v>
      </c>
      <c r="H6097" t="s">
        <v>16241</v>
      </c>
      <c r="I6097" t="s">
        <v>16355</v>
      </c>
      <c r="J6097" t="s">
        <v>16385</v>
      </c>
      <c r="K6097">
        <v>0.119</v>
      </c>
      <c r="L6097">
        <v>5184</v>
      </c>
      <c r="M6097">
        <v>1439</v>
      </c>
      <c r="N6097" t="s">
        <v>16393</v>
      </c>
      <c r="O6097" s="4">
        <v>38692</v>
      </c>
      <c r="P6097" s="4">
        <v>86648</v>
      </c>
      <c r="Q6097" s="4">
        <v>125340</v>
      </c>
      <c r="R6097" s="4">
        <v>376020</v>
      </c>
      <c r="S6097" t="s">
        <v>22354</v>
      </c>
      <c r="X6097" t="s">
        <v>3</v>
      </c>
      <c r="AA6097" s="5" t="str">
        <f>HYPERLINK("https://www.zillow.com/homes/501-RODENBURG-RD-ROSELLE-IL-60172_rb/","check listing")</f>
        <v>check listing</v>
      </c>
      <c r="AB6097" s="5" t="str">
        <f>HYPERLINK("https://propertylookup.dupagecounty.gov/Datalets/Datalet.aspx?UseSearch=no&amp;mode=sales&amp;pin=0208207012","sales record")</f>
        <v>sales record</v>
      </c>
      <c r="AC6097" t="s">
        <v>3</v>
      </c>
      <c r="AD6097">
        <v>41.973407</v>
      </c>
      <c r="AE6097">
        <v>-88.11211</v>
      </c>
      <c r="AF6097" s="5" t="str">
        <f>HYPERLINK("https://www.google.com/maps/search/?api=1&amp;query=41.973407,-88.11211","map")</f>
        <v>map</v>
      </c>
    </row>
    <row r="6098" spans="1:32">
      <c r="A6098" t="s">
        <v>6148</v>
      </c>
      <c r="B6098" t="s">
        <v>13673</v>
      </c>
      <c r="C6098" t="s">
        <v>15830</v>
      </c>
      <c r="D6098" t="s">
        <v>16207</v>
      </c>
      <c r="E6098" t="s">
        <v>16218</v>
      </c>
      <c r="F6098" t="s">
        <v>16221</v>
      </c>
      <c r="G6098" t="s">
        <v>16241</v>
      </c>
      <c r="H6098" t="s">
        <v>16241</v>
      </c>
      <c r="I6098" t="s">
        <v>16355</v>
      </c>
      <c r="J6098" t="s">
        <v>16385</v>
      </c>
      <c r="K6098">
        <v>0.119</v>
      </c>
      <c r="L6098">
        <v>5182</v>
      </c>
      <c r="M6098">
        <v>1013</v>
      </c>
      <c r="N6098" t="s">
        <v>16393</v>
      </c>
      <c r="O6098" s="4">
        <v>38692</v>
      </c>
      <c r="P6098" s="4">
        <v>78161</v>
      </c>
      <c r="Q6098" s="4">
        <v>116853</v>
      </c>
      <c r="R6098" s="4">
        <v>350559</v>
      </c>
      <c r="S6098" t="s">
        <v>22355</v>
      </c>
      <c r="T6098" s="6">
        <v>38139</v>
      </c>
      <c r="U6098" s="4">
        <v>247000</v>
      </c>
      <c r="V6098" t="s">
        <v>23739</v>
      </c>
      <c r="W6098" t="s">
        <v>22355</v>
      </c>
      <c r="X6098" t="s">
        <v>3</v>
      </c>
      <c r="AA6098" s="5" t="str">
        <f>HYPERLINK("https://www.zillow.com/homes/485-RODENBURG-RD-ROSELLE-IL-60172_rb/","check listing")</f>
        <v>check listing</v>
      </c>
      <c r="AB6098" s="5" t="str">
        <f>HYPERLINK("https://propertylookup.dupagecounty.gov/Datalets/Datalet.aspx?UseSearch=no&amp;mode=sales&amp;pin=0208207010","sales record")</f>
        <v>sales record</v>
      </c>
      <c r="AC6098" t="s">
        <v>3</v>
      </c>
      <c r="AD6098">
        <v>41.973641</v>
      </c>
      <c r="AE6098">
        <v>-88.11213499999999</v>
      </c>
      <c r="AF6098" s="5" t="str">
        <f>HYPERLINK("https://www.google.com/maps/search/?api=1&amp;query=41.973641,-88.112135","map")</f>
        <v>map</v>
      </c>
    </row>
    <row r="6099" spans="1:32">
      <c r="A6099" t="s">
        <v>6149</v>
      </c>
      <c r="B6099" t="s">
        <v>13674</v>
      </c>
      <c r="C6099" t="s">
        <v>15830</v>
      </c>
      <c r="D6099" t="s">
        <v>16207</v>
      </c>
      <c r="E6099" t="s">
        <v>16218</v>
      </c>
      <c r="F6099" t="s">
        <v>16221</v>
      </c>
      <c r="G6099" t="s">
        <v>16241</v>
      </c>
      <c r="H6099" t="s">
        <v>16241</v>
      </c>
      <c r="I6099" t="s">
        <v>16355</v>
      </c>
      <c r="J6099" t="s">
        <v>16385</v>
      </c>
      <c r="K6099">
        <v>0.119</v>
      </c>
      <c r="L6099">
        <v>5181</v>
      </c>
      <c r="M6099">
        <v>1533</v>
      </c>
      <c r="N6099" t="s">
        <v>16393</v>
      </c>
      <c r="O6099" s="4">
        <v>38692</v>
      </c>
      <c r="P6099" s="4">
        <v>77313</v>
      </c>
      <c r="Q6099" s="4">
        <v>116005</v>
      </c>
      <c r="R6099" s="4">
        <v>348015</v>
      </c>
      <c r="S6099" t="s">
        <v>22295</v>
      </c>
      <c r="T6099" s="6">
        <v>40026</v>
      </c>
      <c r="U6099" s="4">
        <v>165000</v>
      </c>
      <c r="V6099" t="s">
        <v>16232</v>
      </c>
      <c r="W6099" t="s">
        <v>27124</v>
      </c>
      <c r="X6099" t="s">
        <v>3</v>
      </c>
      <c r="AA6099" s="5" t="str">
        <f>HYPERLINK("https://www.zillow.com/homes/465-RODENBURG-RD-ROSELLE-IL-60172_rb/","check listing")</f>
        <v>check listing</v>
      </c>
      <c r="AB6099" s="5" t="str">
        <f>HYPERLINK("https://propertylookup.dupagecounty.gov/Datalets/Datalet.aspx?UseSearch=no&amp;mode=sales&amp;pin=0208207008","sales record")</f>
        <v>sales record</v>
      </c>
      <c r="AC6099" t="s">
        <v>3</v>
      </c>
      <c r="AD6099">
        <v>41.973934</v>
      </c>
      <c r="AE6099">
        <v>-88.112126</v>
      </c>
      <c r="AF6099" s="5" t="str">
        <f>HYPERLINK("https://www.google.com/maps/search/?api=1&amp;query=41.973934,-88.112126","map")</f>
        <v>map</v>
      </c>
    </row>
    <row r="6100" spans="1:32">
      <c r="A6100" t="s">
        <v>6150</v>
      </c>
      <c r="B6100" t="s">
        <v>13675</v>
      </c>
      <c r="C6100" t="s">
        <v>15830</v>
      </c>
      <c r="D6100" t="s">
        <v>16207</v>
      </c>
      <c r="E6100" t="s">
        <v>16218</v>
      </c>
      <c r="F6100" t="s">
        <v>16221</v>
      </c>
      <c r="G6100" t="s">
        <v>16241</v>
      </c>
      <c r="H6100" t="s">
        <v>16241</v>
      </c>
      <c r="I6100" t="s">
        <v>16355</v>
      </c>
      <c r="J6100" t="s">
        <v>16385</v>
      </c>
      <c r="K6100">
        <v>0.119</v>
      </c>
      <c r="L6100">
        <v>5181</v>
      </c>
      <c r="M6100">
        <v>1648</v>
      </c>
      <c r="N6100" t="s">
        <v>16393</v>
      </c>
      <c r="O6100" s="4">
        <v>38692</v>
      </c>
      <c r="P6100" s="4">
        <v>78268</v>
      </c>
      <c r="Q6100" s="4">
        <v>116960</v>
      </c>
      <c r="R6100" s="4">
        <v>350880</v>
      </c>
      <c r="S6100" t="s">
        <v>22356</v>
      </c>
      <c r="T6100" s="6">
        <v>42186</v>
      </c>
      <c r="U6100" s="4">
        <v>190000</v>
      </c>
      <c r="V6100" t="s">
        <v>23739</v>
      </c>
      <c r="W6100" t="s">
        <v>27125</v>
      </c>
      <c r="X6100" t="s">
        <v>3</v>
      </c>
      <c r="AA6100" s="5" t="str">
        <f>HYPERLINK("https://www.zillow.com/homes/720-MIDDLETON-DR-ROSELLE-IL-60172_rb/","check listing")</f>
        <v>check listing</v>
      </c>
      <c r="AB6100" s="5" t="str">
        <f>HYPERLINK("https://propertylookup.dupagecounty.gov/Datalets/Datalet.aspx?UseSearch=no&amp;mode=sales&amp;pin=0209110022","sales record")</f>
        <v>sales record</v>
      </c>
      <c r="AC6100" t="s">
        <v>3</v>
      </c>
      <c r="AD6100">
        <v>41.969833</v>
      </c>
      <c r="AE6100">
        <v>-88.106115</v>
      </c>
      <c r="AF6100" s="5" t="str">
        <f>HYPERLINK("https://www.google.com/maps/search/?api=1&amp;query=41.969833,-88.106115","map")</f>
        <v>map</v>
      </c>
    </row>
    <row r="6101" spans="1:32">
      <c r="A6101" t="s">
        <v>6151</v>
      </c>
      <c r="B6101" t="s">
        <v>13676</v>
      </c>
      <c r="C6101" t="s">
        <v>15830</v>
      </c>
      <c r="D6101" t="s">
        <v>16207</v>
      </c>
      <c r="E6101" t="s">
        <v>16218</v>
      </c>
      <c r="F6101" t="s">
        <v>16221</v>
      </c>
      <c r="G6101" t="s">
        <v>16241</v>
      </c>
      <c r="H6101" t="s">
        <v>16241</v>
      </c>
      <c r="I6101" t="s">
        <v>16355</v>
      </c>
      <c r="J6101" t="s">
        <v>16385</v>
      </c>
      <c r="K6101">
        <v>0.119</v>
      </c>
      <c r="L6101">
        <v>5180</v>
      </c>
      <c r="M6101">
        <v>792</v>
      </c>
      <c r="N6101" t="s">
        <v>16393</v>
      </c>
      <c r="O6101" s="4">
        <v>38692</v>
      </c>
      <c r="P6101" s="4">
        <v>80097</v>
      </c>
      <c r="Q6101" s="4">
        <v>118789</v>
      </c>
      <c r="R6101" s="4">
        <v>356367</v>
      </c>
      <c r="S6101" t="s">
        <v>22357</v>
      </c>
      <c r="X6101" t="s">
        <v>3</v>
      </c>
      <c r="AA6101" s="5" t="str">
        <f>HYPERLINK("https://www.zillow.com/homes/406-DOVER-DR-ROSELLE-IL-60172_rb/","check listing")</f>
        <v>check listing</v>
      </c>
      <c r="AB6101" s="5" t="str">
        <f>HYPERLINK("https://propertylookup.dupagecounty.gov/Datalets/Datalet.aspx?UseSearch=no&amp;mode=sales&amp;pin=0208210005","sales record")</f>
        <v>sales record</v>
      </c>
      <c r="AC6101" t="s">
        <v>3</v>
      </c>
      <c r="AD6101">
        <v>41.975173</v>
      </c>
      <c r="AE6101">
        <v>-88.111143</v>
      </c>
      <c r="AF6101" s="5" t="str">
        <f>HYPERLINK("https://www.google.com/maps/search/?api=1&amp;query=41.975173,-88.111143","map")</f>
        <v>map</v>
      </c>
    </row>
    <row r="6102" spans="1:32">
      <c r="A6102" t="s">
        <v>6152</v>
      </c>
      <c r="B6102" t="s">
        <v>13677</v>
      </c>
      <c r="C6102" t="s">
        <v>15830</v>
      </c>
      <c r="D6102" t="s">
        <v>16207</v>
      </c>
      <c r="E6102" t="s">
        <v>16218</v>
      </c>
      <c r="F6102" t="s">
        <v>16221</v>
      </c>
      <c r="G6102" t="s">
        <v>16241</v>
      </c>
      <c r="H6102" t="s">
        <v>16241</v>
      </c>
      <c r="I6102" t="s">
        <v>16355</v>
      </c>
      <c r="J6102" t="s">
        <v>16385</v>
      </c>
      <c r="K6102">
        <v>0.119</v>
      </c>
      <c r="L6102">
        <v>5179</v>
      </c>
      <c r="M6102">
        <v>1320</v>
      </c>
      <c r="N6102" t="s">
        <v>16393</v>
      </c>
      <c r="O6102" s="4">
        <v>38692</v>
      </c>
      <c r="P6102" s="4">
        <v>78663</v>
      </c>
      <c r="Q6102" s="4">
        <v>117355</v>
      </c>
      <c r="R6102" s="4">
        <v>352065</v>
      </c>
      <c r="S6102" t="s">
        <v>22358</v>
      </c>
      <c r="T6102" s="6">
        <v>34731</v>
      </c>
      <c r="U6102" s="4">
        <v>92685</v>
      </c>
      <c r="X6102" t="s">
        <v>3</v>
      </c>
      <c r="AA6102" s="5" t="str">
        <f>HYPERLINK("https://www.zillow.com/homes/585-RODENBURG-RD-ROSELLE-IL-60172_rb/","check listing")</f>
        <v>check listing</v>
      </c>
      <c r="AB6102" s="5" t="str">
        <f>HYPERLINK("https://propertylookup.dupagecounty.gov/Datalets/Datalet.aspx?UseSearch=no&amp;mode=sales&amp;pin=0208207021","sales record")</f>
        <v>sales record</v>
      </c>
      <c r="AC6102" t="s">
        <v>3</v>
      </c>
      <c r="AD6102">
        <v>41.972225</v>
      </c>
      <c r="AE6102">
        <v>-88.111504</v>
      </c>
      <c r="AF6102" s="5" t="str">
        <f>HYPERLINK("https://www.google.com/maps/search/?api=1&amp;query=41.972225,-88.111504","map")</f>
        <v>map</v>
      </c>
    </row>
    <row r="6103" spans="1:32">
      <c r="A6103" t="s">
        <v>6153</v>
      </c>
      <c r="B6103" t="s">
        <v>13678</v>
      </c>
      <c r="C6103" t="s">
        <v>15830</v>
      </c>
      <c r="D6103" t="s">
        <v>16207</v>
      </c>
      <c r="E6103" t="s">
        <v>16218</v>
      </c>
      <c r="F6103" t="s">
        <v>16221</v>
      </c>
      <c r="G6103" t="s">
        <v>16241</v>
      </c>
      <c r="H6103" t="s">
        <v>16241</v>
      </c>
      <c r="I6103" t="s">
        <v>16355</v>
      </c>
      <c r="J6103" t="s">
        <v>16385</v>
      </c>
      <c r="K6103">
        <v>0.119</v>
      </c>
      <c r="L6103">
        <v>5179</v>
      </c>
      <c r="M6103">
        <v>1812</v>
      </c>
      <c r="N6103" t="s">
        <v>16393</v>
      </c>
      <c r="O6103" s="4">
        <v>38692</v>
      </c>
      <c r="P6103" s="4">
        <v>81162</v>
      </c>
      <c r="Q6103" s="4">
        <v>119854</v>
      </c>
      <c r="R6103" s="4">
        <v>359562</v>
      </c>
      <c r="S6103" t="s">
        <v>22359</v>
      </c>
      <c r="X6103" t="s">
        <v>3</v>
      </c>
      <c r="AA6103" s="5" t="str">
        <f>HYPERLINK("https://www.zillow.com/homes/994-WOODSIDE-DR-ROSELLE-IL-60172_rb/","check listing")</f>
        <v>check listing</v>
      </c>
      <c r="AB6103" s="5" t="str">
        <f>HYPERLINK("https://propertylookup.dupagecounty.gov/Datalets/Datalet.aspx?UseSearch=no&amp;mode=sales&amp;pin=0209304012","sales record")</f>
        <v>sales record</v>
      </c>
      <c r="AC6103" t="s">
        <v>3</v>
      </c>
      <c r="AD6103">
        <v>41.967746</v>
      </c>
      <c r="AE6103">
        <v>-88.10543699999999</v>
      </c>
      <c r="AF6103" s="5" t="str">
        <f>HYPERLINK("https://www.google.com/maps/search/?api=1&amp;query=41.967746,-88.105437","map")</f>
        <v>map</v>
      </c>
    </row>
    <row r="6104" spans="1:32">
      <c r="A6104" t="s">
        <v>6154</v>
      </c>
      <c r="B6104" t="s">
        <v>13679</v>
      </c>
      <c r="C6104" t="s">
        <v>15977</v>
      </c>
      <c r="D6104" t="s">
        <v>16207</v>
      </c>
      <c r="E6104" t="s">
        <v>16218</v>
      </c>
      <c r="F6104" t="s">
        <v>16221</v>
      </c>
      <c r="G6104" t="s">
        <v>16241</v>
      </c>
      <c r="H6104" t="s">
        <v>16241</v>
      </c>
      <c r="I6104" t="s">
        <v>16355</v>
      </c>
      <c r="J6104" t="s">
        <v>16385</v>
      </c>
      <c r="K6104">
        <v>0.119</v>
      </c>
      <c r="L6104">
        <v>5178</v>
      </c>
      <c r="M6104">
        <v>1500</v>
      </c>
      <c r="N6104" t="s">
        <v>16393</v>
      </c>
      <c r="O6104" s="4">
        <v>38692</v>
      </c>
      <c r="P6104" s="4">
        <v>82596</v>
      </c>
      <c r="Q6104" s="4">
        <v>121288</v>
      </c>
      <c r="R6104" s="4">
        <v>363864</v>
      </c>
      <c r="S6104" t="s">
        <v>22360</v>
      </c>
      <c r="T6104" s="6">
        <v>43770</v>
      </c>
      <c r="U6104" s="4">
        <v>221500</v>
      </c>
      <c r="V6104" t="s">
        <v>23739</v>
      </c>
      <c r="W6104" t="s">
        <v>27126</v>
      </c>
      <c r="X6104" t="s">
        <v>3</v>
      </c>
      <c r="AA6104" s="5" t="str">
        <f>HYPERLINK("https://www.zillow.com/homes/404-DOVER-DR-ROSELLE-IL-601722609_rb/","check listing")</f>
        <v>check listing</v>
      </c>
      <c r="AB6104" s="5" t="str">
        <f>HYPERLINK("https://propertylookup.dupagecounty.gov/Datalets/Datalet.aspx?UseSearch=no&amp;mode=sales&amp;pin=0208210004","sales record")</f>
        <v>sales record</v>
      </c>
      <c r="AC6104" t="s">
        <v>3</v>
      </c>
      <c r="AD6104">
        <v>41.975295</v>
      </c>
      <c r="AE6104">
        <v>-88.11104899999999</v>
      </c>
      <c r="AF6104" s="5" t="str">
        <f>HYPERLINK("https://www.google.com/maps/search/?api=1&amp;query=41.975295,-88.111049","map")</f>
        <v>map</v>
      </c>
    </row>
    <row r="6105" spans="1:32">
      <c r="A6105" t="s">
        <v>6155</v>
      </c>
      <c r="B6105" t="s">
        <v>13680</v>
      </c>
      <c r="C6105" t="s">
        <v>15830</v>
      </c>
      <c r="D6105" t="s">
        <v>16207</v>
      </c>
      <c r="E6105" t="s">
        <v>16218</v>
      </c>
      <c r="F6105" t="s">
        <v>16221</v>
      </c>
      <c r="G6105" t="s">
        <v>16241</v>
      </c>
      <c r="H6105" t="s">
        <v>16241</v>
      </c>
      <c r="I6105" t="s">
        <v>16355</v>
      </c>
      <c r="J6105" t="s">
        <v>16385</v>
      </c>
      <c r="K6105">
        <v>0.119</v>
      </c>
      <c r="L6105">
        <v>5177</v>
      </c>
      <c r="M6105">
        <v>1581</v>
      </c>
      <c r="N6105" t="s">
        <v>16393</v>
      </c>
      <c r="O6105" s="4">
        <v>38692</v>
      </c>
      <c r="P6105" s="4">
        <v>55606</v>
      </c>
      <c r="Q6105" s="4">
        <v>94298</v>
      </c>
      <c r="R6105" s="4">
        <v>282894</v>
      </c>
      <c r="S6105" t="s">
        <v>22361</v>
      </c>
      <c r="T6105" s="6">
        <v>36130</v>
      </c>
      <c r="U6105" s="4">
        <v>120000</v>
      </c>
      <c r="X6105" t="s">
        <v>3</v>
      </c>
      <c r="AA6105" s="5" t="str">
        <f>HYPERLINK("https://www.zillow.com/homes/395-RODENBURG-RD-ROSELLE-IL-60172_rb/","check listing")</f>
        <v>check listing</v>
      </c>
      <c r="AB6105" s="5" t="str">
        <f>HYPERLINK("https://propertylookup.dupagecounty.gov/Datalets/Datalet.aspx?UseSearch=no&amp;mode=sales&amp;pin=0208210002","sales record")</f>
        <v>sales record</v>
      </c>
      <c r="AC6105" t="s">
        <v>3</v>
      </c>
      <c r="AD6105">
        <v>41.975315</v>
      </c>
      <c r="AE6105">
        <v>-88.11146100000001</v>
      </c>
      <c r="AF6105" s="5" t="str">
        <f>HYPERLINK("https://www.google.com/maps/search/?api=1&amp;query=41.975315,-88.111461","map")</f>
        <v>map</v>
      </c>
    </row>
    <row r="6106" spans="1:32">
      <c r="A6106" t="s">
        <v>6156</v>
      </c>
      <c r="B6106" t="s">
        <v>13681</v>
      </c>
      <c r="C6106" t="s">
        <v>15830</v>
      </c>
      <c r="D6106" t="s">
        <v>16207</v>
      </c>
      <c r="E6106" t="s">
        <v>16218</v>
      </c>
      <c r="F6106" t="s">
        <v>16221</v>
      </c>
      <c r="G6106" t="s">
        <v>16241</v>
      </c>
      <c r="H6106" t="s">
        <v>16241</v>
      </c>
      <c r="I6106" t="s">
        <v>16355</v>
      </c>
      <c r="J6106" t="s">
        <v>16385</v>
      </c>
      <c r="K6106">
        <v>0.119</v>
      </c>
      <c r="L6106">
        <v>5176</v>
      </c>
      <c r="M6106">
        <v>1413</v>
      </c>
      <c r="N6106" t="s">
        <v>16393</v>
      </c>
      <c r="O6106" s="4">
        <v>38692</v>
      </c>
      <c r="P6106" s="4">
        <v>77444</v>
      </c>
      <c r="Q6106" s="4">
        <v>116136</v>
      </c>
      <c r="R6106" s="4">
        <v>348408</v>
      </c>
      <c r="S6106" t="s">
        <v>22362</v>
      </c>
      <c r="T6106" s="6">
        <v>36892</v>
      </c>
      <c r="U6106" s="4">
        <v>174000</v>
      </c>
      <c r="V6106" t="s">
        <v>23739</v>
      </c>
      <c r="W6106" t="s">
        <v>22362</v>
      </c>
      <c r="X6106" t="s">
        <v>3</v>
      </c>
      <c r="AA6106" s="5" t="str">
        <f>HYPERLINK("https://www.zillow.com/homes/375-RODENBURG-RD-ROSELLE-IL-60172_rb/","check listing")</f>
        <v>check listing</v>
      </c>
      <c r="AB6106" s="5" t="str">
        <f>HYPERLINK("https://propertylookup.dupagecounty.gov/Datalets/Datalet.aspx?UseSearch=no&amp;mode=sales&amp;pin=0205408001","sales record")</f>
        <v>sales record</v>
      </c>
      <c r="AC6106" t="s">
        <v>3</v>
      </c>
      <c r="AD6106">
        <v>41.975559</v>
      </c>
      <c r="AE6106">
        <v>-88.111273</v>
      </c>
      <c r="AF6106" s="5" t="str">
        <f>HYPERLINK("https://www.google.com/maps/search/?api=1&amp;query=41.975559,-88.111273","map")</f>
        <v>map</v>
      </c>
    </row>
    <row r="6107" spans="1:32">
      <c r="A6107" t="s">
        <v>6157</v>
      </c>
      <c r="B6107" t="s">
        <v>13682</v>
      </c>
      <c r="C6107" t="s">
        <v>15830</v>
      </c>
      <c r="D6107" t="s">
        <v>16207</v>
      </c>
      <c r="E6107" t="s">
        <v>16218</v>
      </c>
      <c r="F6107" t="s">
        <v>16221</v>
      </c>
      <c r="G6107" t="s">
        <v>16241</v>
      </c>
      <c r="H6107" t="s">
        <v>16241</v>
      </c>
      <c r="I6107" t="s">
        <v>16355</v>
      </c>
      <c r="J6107" t="s">
        <v>16385</v>
      </c>
      <c r="K6107">
        <v>0.119</v>
      </c>
      <c r="L6107">
        <v>5175</v>
      </c>
      <c r="M6107">
        <v>1691</v>
      </c>
      <c r="N6107" t="s">
        <v>16393</v>
      </c>
      <c r="O6107" s="4">
        <v>38692</v>
      </c>
      <c r="P6107" s="4">
        <v>92481</v>
      </c>
      <c r="Q6107" s="4">
        <v>131173</v>
      </c>
      <c r="R6107" s="4">
        <v>393519</v>
      </c>
      <c r="S6107" t="s">
        <v>22363</v>
      </c>
      <c r="T6107" s="6">
        <v>31199</v>
      </c>
      <c r="U6107" s="4">
        <v>88000</v>
      </c>
      <c r="X6107" t="s">
        <v>3</v>
      </c>
      <c r="AA6107" s="5" t="str">
        <f>HYPERLINK("https://www.zillow.com/homes/400-DOVER-DR-ROSELLE-IL-60172_rb/","check listing")</f>
        <v>check listing</v>
      </c>
      <c r="AB6107" s="5" t="str">
        <f>HYPERLINK("https://propertylookup.dupagecounty.gov/Datalets/Datalet.aspx?UseSearch=no&amp;mode=sales&amp;pin=0205408003","sales record")</f>
        <v>sales record</v>
      </c>
      <c r="AC6107" t="s">
        <v>3</v>
      </c>
      <c r="AD6107">
        <v>41.975417</v>
      </c>
      <c r="AE6107">
        <v>-88.110955</v>
      </c>
      <c r="AF6107" s="5" t="str">
        <f>HYPERLINK("https://www.google.com/maps/search/?api=1&amp;query=41.975417,-88.110955","map")</f>
        <v>map</v>
      </c>
    </row>
    <row r="6108" spans="1:32">
      <c r="A6108" t="s">
        <v>6158</v>
      </c>
      <c r="B6108" t="s">
        <v>13683</v>
      </c>
      <c r="C6108" t="s">
        <v>15978</v>
      </c>
      <c r="D6108" t="s">
        <v>16207</v>
      </c>
      <c r="E6108" t="s">
        <v>16218</v>
      </c>
      <c r="F6108" t="s">
        <v>16221</v>
      </c>
      <c r="G6108" t="s">
        <v>16241</v>
      </c>
      <c r="H6108" t="s">
        <v>16241</v>
      </c>
      <c r="I6108" t="s">
        <v>16355</v>
      </c>
      <c r="J6108" t="s">
        <v>16385</v>
      </c>
      <c r="K6108">
        <v>0.119</v>
      </c>
      <c r="L6108">
        <v>5175</v>
      </c>
      <c r="M6108">
        <v>1320</v>
      </c>
      <c r="N6108" t="s">
        <v>16393</v>
      </c>
      <c r="O6108" s="4">
        <v>38692</v>
      </c>
      <c r="P6108" s="4">
        <v>77109</v>
      </c>
      <c r="Q6108" s="4">
        <v>115801</v>
      </c>
      <c r="R6108" s="4">
        <v>347403</v>
      </c>
      <c r="S6108" t="s">
        <v>22364</v>
      </c>
      <c r="T6108" s="6">
        <v>43344</v>
      </c>
      <c r="U6108" s="4">
        <v>270000</v>
      </c>
      <c r="V6108" t="s">
        <v>23739</v>
      </c>
      <c r="W6108" t="s">
        <v>27127</v>
      </c>
      <c r="X6108" t="s">
        <v>3</v>
      </c>
      <c r="AA6108" s="5" t="str">
        <f>HYPERLINK("https://www.zillow.com/homes/385-RODENBURG-RD-ROSELLE-IL-601721646_rb/","check listing")</f>
        <v>check listing</v>
      </c>
      <c r="AB6108" s="5" t="str">
        <f>HYPERLINK("https://propertylookup.dupagecounty.gov/Datalets/Datalet.aspx?UseSearch=no&amp;mode=sales&amp;pin=0205408002","sales record")</f>
        <v>sales record</v>
      </c>
      <c r="AC6108" t="s">
        <v>3</v>
      </c>
      <c r="AD6108">
        <v>41.975437</v>
      </c>
      <c r="AE6108">
        <v>-88.111367</v>
      </c>
      <c r="AF6108" s="5" t="str">
        <f>HYPERLINK("https://www.google.com/maps/search/?api=1&amp;query=41.975437,-88.111367","map")</f>
        <v>map</v>
      </c>
    </row>
    <row r="6109" spans="1:32">
      <c r="A6109" t="s">
        <v>6159</v>
      </c>
      <c r="B6109" t="s">
        <v>13684</v>
      </c>
      <c r="C6109" t="s">
        <v>15830</v>
      </c>
      <c r="D6109" t="s">
        <v>16207</v>
      </c>
      <c r="E6109" t="s">
        <v>16218</v>
      </c>
      <c r="F6109" t="s">
        <v>16221</v>
      </c>
      <c r="G6109" t="s">
        <v>16241</v>
      </c>
      <c r="H6109" t="s">
        <v>16241</v>
      </c>
      <c r="I6109" t="s">
        <v>16355</v>
      </c>
      <c r="J6109" t="s">
        <v>16385</v>
      </c>
      <c r="K6109">
        <v>0.119</v>
      </c>
      <c r="L6109">
        <v>5172</v>
      </c>
      <c r="M6109">
        <v>1358</v>
      </c>
      <c r="N6109" t="s">
        <v>16393</v>
      </c>
      <c r="O6109" s="4">
        <v>38692</v>
      </c>
      <c r="P6109" s="4">
        <v>78161</v>
      </c>
      <c r="Q6109" s="4">
        <v>116853</v>
      </c>
      <c r="R6109" s="4">
        <v>350559</v>
      </c>
      <c r="S6109" t="s">
        <v>22365</v>
      </c>
      <c r="T6109" s="6">
        <v>35582</v>
      </c>
      <c r="U6109" s="4">
        <v>139800</v>
      </c>
      <c r="X6109" t="s">
        <v>3</v>
      </c>
      <c r="AA6109" s="5" t="str">
        <f>HYPERLINK("https://www.zillow.com/homes/473-GLENMORE-PL-ROSELLE-IL-60172_rb/","check listing")</f>
        <v>check listing</v>
      </c>
      <c r="AB6109" s="5" t="str">
        <f>HYPERLINK("https://propertylookup.dupagecounty.gov/Datalets/Datalet.aspx?UseSearch=no&amp;mode=sales&amp;pin=0209109005","sales record")</f>
        <v>sales record</v>
      </c>
      <c r="AC6109" t="s">
        <v>3</v>
      </c>
      <c r="AD6109">
        <v>41.973791</v>
      </c>
      <c r="AE6109">
        <v>-88.104555</v>
      </c>
      <c r="AF6109" s="5" t="str">
        <f>HYPERLINK("https://www.google.com/maps/search/?api=1&amp;query=41.973791,-88.104555","map")</f>
        <v>map</v>
      </c>
    </row>
    <row r="6110" spans="1:32">
      <c r="A6110" t="s">
        <v>6160</v>
      </c>
      <c r="B6110" t="s">
        <v>13685</v>
      </c>
      <c r="C6110" t="s">
        <v>15976</v>
      </c>
      <c r="D6110" t="s">
        <v>16207</v>
      </c>
      <c r="E6110" t="s">
        <v>16218</v>
      </c>
      <c r="F6110" t="s">
        <v>16221</v>
      </c>
      <c r="G6110" t="s">
        <v>16241</v>
      </c>
      <c r="H6110" t="s">
        <v>16241</v>
      </c>
      <c r="I6110" t="s">
        <v>16355</v>
      </c>
      <c r="J6110" t="s">
        <v>16385</v>
      </c>
      <c r="K6110">
        <v>0.119</v>
      </c>
      <c r="L6110">
        <v>5168</v>
      </c>
      <c r="M6110">
        <v>1593</v>
      </c>
      <c r="N6110" t="s">
        <v>16393</v>
      </c>
      <c r="O6110" s="4">
        <v>38692</v>
      </c>
      <c r="P6110" s="4">
        <v>58092</v>
      </c>
      <c r="Q6110" s="4">
        <v>96784</v>
      </c>
      <c r="R6110" s="4">
        <v>290352</v>
      </c>
      <c r="S6110" t="s">
        <v>22366</v>
      </c>
      <c r="T6110" s="6">
        <v>43556</v>
      </c>
      <c r="U6110" s="4">
        <v>214000</v>
      </c>
      <c r="V6110" t="s">
        <v>23738</v>
      </c>
      <c r="W6110" t="s">
        <v>27128</v>
      </c>
      <c r="X6110" t="s">
        <v>3</v>
      </c>
      <c r="AA6110" s="5" t="str">
        <f>HYPERLINK("https://www.zillow.com/homes/479-GLENMORE-PL-ROSELLE-IL-601722705_rb/","check listing")</f>
        <v>check listing</v>
      </c>
      <c r="AB6110" s="5" t="str">
        <f>HYPERLINK("https://propertylookup.dupagecounty.gov/Datalets/Datalet.aspx?UseSearch=no&amp;mode=sales&amp;pin=0209109003","sales record")</f>
        <v>sales record</v>
      </c>
      <c r="AC6110" t="s">
        <v>3</v>
      </c>
      <c r="AD6110">
        <v>41.973719</v>
      </c>
      <c r="AE6110">
        <v>-88.10491</v>
      </c>
      <c r="AF6110" s="5" t="str">
        <f>HYPERLINK("https://www.google.com/maps/search/?api=1&amp;query=41.973719,-88.10491","map")</f>
        <v>map</v>
      </c>
    </row>
    <row r="6111" spans="1:32">
      <c r="A6111" t="s">
        <v>6161</v>
      </c>
      <c r="B6111" t="s">
        <v>13686</v>
      </c>
      <c r="C6111" t="s">
        <v>15830</v>
      </c>
      <c r="D6111" t="s">
        <v>16207</v>
      </c>
      <c r="E6111" t="s">
        <v>16218</v>
      </c>
      <c r="F6111" t="s">
        <v>16221</v>
      </c>
      <c r="G6111" t="s">
        <v>16241</v>
      </c>
      <c r="H6111" t="s">
        <v>16241</v>
      </c>
      <c r="I6111" t="s">
        <v>16355</v>
      </c>
      <c r="J6111" t="s">
        <v>16385</v>
      </c>
      <c r="K6111">
        <v>0.118</v>
      </c>
      <c r="L6111">
        <v>5160</v>
      </c>
      <c r="M6111">
        <v>1600</v>
      </c>
      <c r="N6111" t="s">
        <v>16393</v>
      </c>
      <c r="O6111" s="4">
        <v>38692</v>
      </c>
      <c r="P6111" s="4">
        <v>75758</v>
      </c>
      <c r="Q6111" s="4">
        <v>114450</v>
      </c>
      <c r="R6111" s="4">
        <v>343350</v>
      </c>
      <c r="S6111" t="s">
        <v>22367</v>
      </c>
      <c r="T6111" s="6">
        <v>39417</v>
      </c>
      <c r="U6111" s="4">
        <v>261000</v>
      </c>
      <c r="V6111" t="s">
        <v>23739</v>
      </c>
      <c r="W6111" t="s">
        <v>27129</v>
      </c>
      <c r="X6111" t="s">
        <v>3</v>
      </c>
      <c r="AA6111" s="5" t="str">
        <f>HYPERLINK("https://www.zillow.com/homes/215-RODENBERG-RD-ROSELLE-IL-60172_rb/","check listing")</f>
        <v>check listing</v>
      </c>
      <c r="AB6111" s="5" t="str">
        <f>HYPERLINK("https://propertylookup.dupagecounty.gov/Datalets/Datalet.aspx?UseSearch=no&amp;mode=sales&amp;pin=0204313011","sales record")</f>
        <v>sales record</v>
      </c>
      <c r="AC6111" t="s">
        <v>3</v>
      </c>
      <c r="AD6111">
        <v>41.978777</v>
      </c>
      <c r="AE6111">
        <v>-88.11023400000001</v>
      </c>
      <c r="AF6111" s="5" t="str">
        <f>HYPERLINK("https://www.google.com/maps/search/?api=1&amp;query=41.978777,-88.110234","map")</f>
        <v>map</v>
      </c>
    </row>
    <row r="6112" spans="1:32">
      <c r="A6112" t="s">
        <v>6162</v>
      </c>
      <c r="B6112" t="s">
        <v>13687</v>
      </c>
      <c r="C6112" t="s">
        <v>15830</v>
      </c>
      <c r="D6112" t="s">
        <v>16207</v>
      </c>
      <c r="E6112" t="s">
        <v>16218</v>
      </c>
      <c r="F6112" t="s">
        <v>16221</v>
      </c>
      <c r="G6112" t="s">
        <v>16241</v>
      </c>
      <c r="H6112" t="s">
        <v>16241</v>
      </c>
      <c r="I6112" t="s">
        <v>16355</v>
      </c>
      <c r="J6112" t="s">
        <v>16385</v>
      </c>
      <c r="K6112">
        <v>0.118</v>
      </c>
      <c r="L6112">
        <v>5154</v>
      </c>
      <c r="M6112">
        <v>692</v>
      </c>
      <c r="N6112" t="s">
        <v>16393</v>
      </c>
      <c r="O6112" s="4">
        <v>38692</v>
      </c>
      <c r="P6112" s="4">
        <v>77599</v>
      </c>
      <c r="Q6112" s="4">
        <v>116291</v>
      </c>
      <c r="R6112" s="4">
        <v>348873</v>
      </c>
      <c r="S6112" t="s">
        <v>22368</v>
      </c>
      <c r="X6112" t="s">
        <v>3</v>
      </c>
      <c r="AA6112" s="5" t="str">
        <f>HYPERLINK("https://www.zillow.com/homes/1150-SINGLETON-DR-ROSELLE-IL-60172_rb/","check listing")</f>
        <v>check listing</v>
      </c>
      <c r="AB6112" s="5" t="str">
        <f>HYPERLINK("https://propertylookup.dupagecounty.gov/Datalets/Datalet.aspx?UseSearch=no&amp;mode=sales&amp;pin=0204309055","sales record")</f>
        <v>sales record</v>
      </c>
      <c r="AC6112" t="s">
        <v>3</v>
      </c>
      <c r="AD6112">
        <v>41.979376</v>
      </c>
      <c r="AE6112">
        <v>-88.10947299999999</v>
      </c>
      <c r="AF6112" s="5" t="str">
        <f>HYPERLINK("https://www.google.com/maps/search/?api=1&amp;query=41.979376,-88.109473","map")</f>
        <v>map</v>
      </c>
    </row>
    <row r="6113" spans="1:32">
      <c r="A6113" t="s">
        <v>6163</v>
      </c>
      <c r="B6113" t="s">
        <v>13688</v>
      </c>
      <c r="C6113" t="s">
        <v>15830</v>
      </c>
      <c r="D6113" t="s">
        <v>16207</v>
      </c>
      <c r="E6113" t="s">
        <v>16218</v>
      </c>
      <c r="F6113" t="s">
        <v>16221</v>
      </c>
      <c r="G6113" t="s">
        <v>16241</v>
      </c>
      <c r="H6113" t="s">
        <v>16241</v>
      </c>
      <c r="I6113" t="s">
        <v>16355</v>
      </c>
      <c r="J6113" t="s">
        <v>16385</v>
      </c>
      <c r="K6113">
        <v>0.118</v>
      </c>
      <c r="L6113">
        <v>5147</v>
      </c>
      <c r="M6113">
        <v>1626</v>
      </c>
      <c r="N6113" t="s">
        <v>16393</v>
      </c>
      <c r="O6113" s="4">
        <v>38692</v>
      </c>
      <c r="P6113" s="4">
        <v>77599</v>
      </c>
      <c r="Q6113" s="4">
        <v>116291</v>
      </c>
      <c r="R6113" s="4">
        <v>348873</v>
      </c>
      <c r="S6113" t="s">
        <v>22369</v>
      </c>
      <c r="T6113" s="6">
        <v>37104</v>
      </c>
      <c r="U6113" s="4">
        <v>184000</v>
      </c>
      <c r="V6113" t="s">
        <v>23739</v>
      </c>
      <c r="W6113" t="s">
        <v>22369</v>
      </c>
      <c r="X6113" t="s">
        <v>3</v>
      </c>
      <c r="AA6113" s="5" t="str">
        <f>HYPERLINK("https://www.zillow.com/homes/460-WATERBURY-LN-ROSELLE-IL-60172_rb/","check listing")</f>
        <v>check listing</v>
      </c>
      <c r="AB6113" s="5" t="str">
        <f>HYPERLINK("https://propertylookup.dupagecounty.gov/Datalets/Datalet.aspx?UseSearch=no&amp;mode=sales&amp;pin=0209104010","sales record")</f>
        <v>sales record</v>
      </c>
      <c r="AC6113" t="s">
        <v>3</v>
      </c>
      <c r="AD6113">
        <v>41.974286</v>
      </c>
      <c r="AE6113">
        <v>-88.110377</v>
      </c>
      <c r="AF6113" s="5" t="str">
        <f>HYPERLINK("https://www.google.com/maps/search/?api=1&amp;query=41.974286,-88.110377","map")</f>
        <v>map</v>
      </c>
    </row>
    <row r="6114" spans="1:32">
      <c r="A6114" t="s">
        <v>6164</v>
      </c>
      <c r="B6114" t="s">
        <v>13689</v>
      </c>
      <c r="C6114" t="s">
        <v>15979</v>
      </c>
      <c r="D6114" t="s">
        <v>16207</v>
      </c>
      <c r="E6114" t="s">
        <v>16218</v>
      </c>
      <c r="F6114" t="s">
        <v>16221</v>
      </c>
      <c r="G6114" t="s">
        <v>16241</v>
      </c>
      <c r="H6114" t="s">
        <v>16241</v>
      </c>
      <c r="I6114" t="s">
        <v>16355</v>
      </c>
      <c r="J6114" t="s">
        <v>16385</v>
      </c>
      <c r="K6114">
        <v>0.118</v>
      </c>
      <c r="L6114">
        <v>5143</v>
      </c>
      <c r="M6114">
        <v>1319</v>
      </c>
      <c r="N6114" t="s">
        <v>16393</v>
      </c>
      <c r="O6114" s="4">
        <v>38692</v>
      </c>
      <c r="P6114" s="4">
        <v>77599</v>
      </c>
      <c r="Q6114" s="4">
        <v>116291</v>
      </c>
      <c r="R6114" s="4">
        <v>348873</v>
      </c>
      <c r="S6114" t="s">
        <v>22370</v>
      </c>
      <c r="T6114" s="6">
        <v>44136</v>
      </c>
      <c r="U6114" s="4">
        <v>273000</v>
      </c>
      <c r="V6114" t="s">
        <v>23739</v>
      </c>
      <c r="W6114" t="s">
        <v>27130</v>
      </c>
      <c r="X6114" t="s">
        <v>3</v>
      </c>
      <c r="AA6114" s="5" t="str">
        <f>HYPERLINK("https://www.zillow.com/homes/780-WOODSIDE-DR-ROSELLE-IL-601722724_rb/","check listing")</f>
        <v>check listing</v>
      </c>
      <c r="AB6114" s="5" t="str">
        <f>HYPERLINK("https://propertylookup.dupagecounty.gov/Datalets/Datalet.aspx?UseSearch=no&amp;mode=sales&amp;pin=0209118018","sales record")</f>
        <v>sales record</v>
      </c>
      <c r="AC6114" t="s">
        <v>3</v>
      </c>
      <c r="AD6114">
        <v>41.968523</v>
      </c>
      <c r="AE6114">
        <v>-88.10509500000001</v>
      </c>
      <c r="AF6114" s="5" t="str">
        <f>HYPERLINK("https://www.google.com/maps/search/?api=1&amp;query=41.968523,-88.105095","map")</f>
        <v>map</v>
      </c>
    </row>
    <row r="6115" spans="1:32">
      <c r="A6115" t="s">
        <v>6165</v>
      </c>
      <c r="B6115" t="s">
        <v>13690</v>
      </c>
      <c r="C6115" t="s">
        <v>15830</v>
      </c>
      <c r="D6115" t="s">
        <v>16207</v>
      </c>
      <c r="E6115" t="s">
        <v>16218</v>
      </c>
      <c r="F6115" t="s">
        <v>16221</v>
      </c>
      <c r="G6115" t="s">
        <v>16241</v>
      </c>
      <c r="H6115" t="s">
        <v>16241</v>
      </c>
      <c r="I6115" t="s">
        <v>16355</v>
      </c>
      <c r="J6115" t="s">
        <v>16385</v>
      </c>
      <c r="K6115">
        <v>0.118</v>
      </c>
      <c r="L6115">
        <v>5131</v>
      </c>
      <c r="M6115">
        <v>1775</v>
      </c>
      <c r="N6115" t="s">
        <v>16393</v>
      </c>
      <c r="O6115" s="4">
        <v>38692</v>
      </c>
      <c r="P6115" s="4">
        <v>78292</v>
      </c>
      <c r="Q6115" s="4">
        <v>116984</v>
      </c>
      <c r="R6115" s="4">
        <v>350952</v>
      </c>
      <c r="S6115" t="s">
        <v>22371</v>
      </c>
      <c r="T6115" s="6">
        <v>40664</v>
      </c>
      <c r="U6115" s="4">
        <v>169500</v>
      </c>
      <c r="V6115" t="s">
        <v>23739</v>
      </c>
      <c r="W6115" t="s">
        <v>27131</v>
      </c>
      <c r="X6115" t="s">
        <v>3</v>
      </c>
      <c r="AA6115" s="5" t="str">
        <f>HYPERLINK("https://www.zillow.com/homes/1185-SINGLETON-DR-ROSELLE-IL-60172_rb/","check listing")</f>
        <v>check listing</v>
      </c>
      <c r="AB6115" s="5" t="str">
        <f>HYPERLINK("https://propertylookup.dupagecounty.gov/Datalets/Datalet.aspx?UseSearch=no&amp;mode=sales&amp;pin=0204313002","sales record")</f>
        <v>sales record</v>
      </c>
      <c r="AC6115" t="s">
        <v>3</v>
      </c>
      <c r="AD6115">
        <v>41.978996</v>
      </c>
      <c r="AE6115">
        <v>-88.110162</v>
      </c>
      <c r="AF6115" s="5" t="str">
        <f>HYPERLINK("https://www.google.com/maps/search/?api=1&amp;query=41.978996,-88.110162","map")</f>
        <v>map</v>
      </c>
    </row>
    <row r="6116" spans="1:32">
      <c r="A6116" t="s">
        <v>6166</v>
      </c>
      <c r="B6116" t="s">
        <v>13691</v>
      </c>
      <c r="C6116" t="s">
        <v>15830</v>
      </c>
      <c r="D6116" t="s">
        <v>16207</v>
      </c>
      <c r="E6116" t="s">
        <v>16218</v>
      </c>
      <c r="F6116" t="s">
        <v>16221</v>
      </c>
      <c r="G6116" t="s">
        <v>16241</v>
      </c>
      <c r="H6116" t="s">
        <v>16241</v>
      </c>
      <c r="I6116" t="s">
        <v>16355</v>
      </c>
      <c r="J6116" t="s">
        <v>16385</v>
      </c>
      <c r="K6116">
        <v>0.118</v>
      </c>
      <c r="L6116">
        <v>5130</v>
      </c>
      <c r="M6116">
        <v>1581</v>
      </c>
      <c r="N6116" t="s">
        <v>16393</v>
      </c>
      <c r="O6116" s="4">
        <v>38692</v>
      </c>
      <c r="P6116" s="4">
        <v>75974</v>
      </c>
      <c r="Q6116" s="4">
        <v>114666</v>
      </c>
      <c r="R6116" s="4">
        <v>343998</v>
      </c>
      <c r="S6116" t="s">
        <v>22372</v>
      </c>
      <c r="T6116" s="6">
        <v>41730</v>
      </c>
      <c r="U6116" s="4">
        <v>180000</v>
      </c>
      <c r="V6116" t="s">
        <v>23739</v>
      </c>
      <c r="W6116" t="s">
        <v>22372</v>
      </c>
      <c r="X6116" t="s">
        <v>3</v>
      </c>
      <c r="AA6116" s="5" t="str">
        <f>HYPERLINK("https://www.zillow.com/homes/472-GLENMORE-PL-ROSELLE-IL-60172_rb/","check listing")</f>
        <v>check listing</v>
      </c>
      <c r="AB6116" s="5" t="str">
        <f>HYPERLINK("https://propertylookup.dupagecounty.gov/Datalets/Datalet.aspx?UseSearch=no&amp;mode=sales&amp;pin=0209108013","sales record")</f>
        <v>sales record</v>
      </c>
      <c r="AC6116" t="s">
        <v>3</v>
      </c>
      <c r="AD6116">
        <v>41.974134</v>
      </c>
      <c r="AE6116">
        <v>-88.105001</v>
      </c>
      <c r="AF6116" s="5" t="str">
        <f>HYPERLINK("https://www.google.com/maps/search/?api=1&amp;query=41.974134,-88.105001","map")</f>
        <v>map</v>
      </c>
    </row>
    <row r="6117" spans="1:32">
      <c r="A6117" t="s">
        <v>6167</v>
      </c>
      <c r="B6117" t="s">
        <v>13692</v>
      </c>
      <c r="C6117" t="s">
        <v>15830</v>
      </c>
      <c r="D6117" t="s">
        <v>16207</v>
      </c>
      <c r="E6117" t="s">
        <v>16218</v>
      </c>
      <c r="F6117" t="s">
        <v>16221</v>
      </c>
      <c r="G6117" t="s">
        <v>16241</v>
      </c>
      <c r="H6117" t="s">
        <v>16241</v>
      </c>
      <c r="I6117" t="s">
        <v>16355</v>
      </c>
      <c r="J6117" t="s">
        <v>16385</v>
      </c>
      <c r="K6117">
        <v>0.118</v>
      </c>
      <c r="L6117">
        <v>5128</v>
      </c>
      <c r="M6117">
        <v>1698</v>
      </c>
      <c r="N6117" t="s">
        <v>16393</v>
      </c>
      <c r="O6117" s="4">
        <v>38692</v>
      </c>
      <c r="P6117" s="4">
        <v>77599</v>
      </c>
      <c r="Q6117" s="4">
        <v>116291</v>
      </c>
      <c r="R6117" s="4">
        <v>348873</v>
      </c>
      <c r="S6117" t="s">
        <v>22373</v>
      </c>
      <c r="T6117" s="6">
        <v>38504</v>
      </c>
      <c r="U6117" s="4">
        <v>259600</v>
      </c>
      <c r="V6117" t="s">
        <v>23739</v>
      </c>
      <c r="W6117" t="s">
        <v>22373</v>
      </c>
      <c r="X6117" t="s">
        <v>3</v>
      </c>
      <c r="AA6117" s="5" t="str">
        <f>HYPERLINK("https://www.zillow.com/homes/474-GLENMORE-PL-ROSELLE-IL-60172_rb/","check listing")</f>
        <v>check listing</v>
      </c>
      <c r="AB6117" s="5" t="str">
        <f>HYPERLINK("https://propertylookup.dupagecounty.gov/Datalets/Datalet.aspx?UseSearch=no&amp;mode=sales&amp;pin=0209108014","sales record")</f>
        <v>sales record</v>
      </c>
      <c r="AC6117" t="s">
        <v>3</v>
      </c>
      <c r="AD6117">
        <v>41.974098</v>
      </c>
      <c r="AE6117">
        <v>-88.10517900000001</v>
      </c>
      <c r="AF6117" s="5" t="str">
        <f>HYPERLINK("https://www.google.com/maps/search/?api=1&amp;query=41.974098,-88.105179","map")</f>
        <v>map</v>
      </c>
    </row>
    <row r="6118" spans="1:32">
      <c r="A6118" t="s">
        <v>6168</v>
      </c>
      <c r="B6118" t="s">
        <v>13693</v>
      </c>
      <c r="C6118" t="s">
        <v>15830</v>
      </c>
      <c r="D6118" t="s">
        <v>16207</v>
      </c>
      <c r="E6118" t="s">
        <v>16218</v>
      </c>
      <c r="F6118" t="s">
        <v>16221</v>
      </c>
      <c r="G6118" t="s">
        <v>16241</v>
      </c>
      <c r="H6118" t="s">
        <v>16241</v>
      </c>
      <c r="I6118" t="s">
        <v>16355</v>
      </c>
      <c r="J6118" t="s">
        <v>16385</v>
      </c>
      <c r="K6118">
        <v>0.117</v>
      </c>
      <c r="L6118">
        <v>5115</v>
      </c>
      <c r="M6118">
        <v>1469</v>
      </c>
      <c r="N6118" t="s">
        <v>16393</v>
      </c>
      <c r="O6118" s="4">
        <v>38692</v>
      </c>
      <c r="P6118" s="4">
        <v>75974</v>
      </c>
      <c r="Q6118" s="4">
        <v>114666</v>
      </c>
      <c r="R6118" s="4">
        <v>343998</v>
      </c>
      <c r="S6118" t="s">
        <v>22374</v>
      </c>
      <c r="X6118" t="s">
        <v>3</v>
      </c>
      <c r="AA6118" s="5" t="str">
        <f>HYPERLINK("https://www.zillow.com/homes/865-EDENWOOD-DR-ROSELLE-IL-60172_rb/","check listing")</f>
        <v>check listing</v>
      </c>
      <c r="AB6118" s="5" t="str">
        <f>HYPERLINK("https://propertylookup.dupagecounty.gov/Datalets/Datalet.aspx?UseSearch=no&amp;mode=sales&amp;pin=0209113003","sales record")</f>
        <v>sales record</v>
      </c>
      <c r="AC6118" t="s">
        <v>3</v>
      </c>
      <c r="AD6118">
        <v>41.972778</v>
      </c>
      <c r="AE6118">
        <v>-88.102054</v>
      </c>
      <c r="AF6118" s="5" t="str">
        <f>HYPERLINK("https://www.google.com/maps/search/?api=1&amp;query=41.972778,-88.102054","map")</f>
        <v>map</v>
      </c>
    </row>
    <row r="6119" spans="1:32">
      <c r="A6119" t="s">
        <v>6169</v>
      </c>
      <c r="B6119" t="s">
        <v>13694</v>
      </c>
      <c r="C6119" t="s">
        <v>15830</v>
      </c>
      <c r="D6119" t="s">
        <v>16207</v>
      </c>
      <c r="E6119" t="s">
        <v>16218</v>
      </c>
      <c r="F6119" t="s">
        <v>16221</v>
      </c>
      <c r="G6119" t="s">
        <v>16241</v>
      </c>
      <c r="H6119" t="s">
        <v>16241</v>
      </c>
      <c r="I6119" t="s">
        <v>16355</v>
      </c>
      <c r="J6119" t="s">
        <v>16385</v>
      </c>
      <c r="K6119">
        <v>0.117</v>
      </c>
      <c r="L6119">
        <v>5109</v>
      </c>
      <c r="M6119">
        <v>1715</v>
      </c>
      <c r="N6119" t="s">
        <v>16393</v>
      </c>
      <c r="O6119" s="4">
        <v>38692</v>
      </c>
      <c r="P6119" s="4">
        <v>55546</v>
      </c>
      <c r="Q6119" s="4">
        <v>94238</v>
      </c>
      <c r="R6119" s="4">
        <v>282714</v>
      </c>
      <c r="S6119" t="s">
        <v>22375</v>
      </c>
      <c r="T6119" s="6">
        <v>38108</v>
      </c>
      <c r="U6119" s="4">
        <v>183130</v>
      </c>
      <c r="V6119" t="s">
        <v>23739</v>
      </c>
      <c r="W6119" t="s">
        <v>22375</v>
      </c>
      <c r="X6119" t="s">
        <v>3</v>
      </c>
      <c r="AA6119" s="5" t="str">
        <f>HYPERLINK("https://www.zillow.com/homes/530-WATERBURY-LN-ROSELLE-IL-60172_rb/","check listing")</f>
        <v>check listing</v>
      </c>
      <c r="AB6119" s="5" t="str">
        <f>HYPERLINK("https://propertylookup.dupagecounty.gov/Datalets/Datalet.aspx?UseSearch=no&amp;mode=sales&amp;pin=0209104019","sales record")</f>
        <v>sales record</v>
      </c>
      <c r="AC6119" t="s">
        <v>3</v>
      </c>
      <c r="AD6119">
        <v>41.973261</v>
      </c>
      <c r="AE6119">
        <v>-88.109393</v>
      </c>
      <c r="AF6119" s="5" t="str">
        <f>HYPERLINK("https://www.google.com/maps/search/?api=1&amp;query=41.973261,-88.109393","map")</f>
        <v>map</v>
      </c>
    </row>
    <row r="6120" spans="1:32">
      <c r="A6120" t="s">
        <v>6170</v>
      </c>
      <c r="B6120" t="s">
        <v>13695</v>
      </c>
      <c r="C6120" t="s">
        <v>15830</v>
      </c>
      <c r="D6120" t="s">
        <v>16207</v>
      </c>
      <c r="E6120" t="s">
        <v>16218</v>
      </c>
      <c r="F6120" t="s">
        <v>16221</v>
      </c>
      <c r="G6120" t="s">
        <v>16241</v>
      </c>
      <c r="H6120" t="s">
        <v>16241</v>
      </c>
      <c r="I6120" t="s">
        <v>16355</v>
      </c>
      <c r="J6120" t="s">
        <v>16385</v>
      </c>
      <c r="K6120">
        <v>0.117</v>
      </c>
      <c r="L6120">
        <v>5108</v>
      </c>
      <c r="M6120">
        <v>1581</v>
      </c>
      <c r="N6120" t="s">
        <v>16393</v>
      </c>
      <c r="O6120" s="4">
        <v>38692</v>
      </c>
      <c r="P6120" s="4">
        <v>82441</v>
      </c>
      <c r="Q6120" s="4">
        <v>121133</v>
      </c>
      <c r="R6120" s="4">
        <v>363399</v>
      </c>
      <c r="S6120" t="s">
        <v>22376</v>
      </c>
      <c r="X6120" t="s">
        <v>3</v>
      </c>
      <c r="AA6120" s="5" t="str">
        <f>HYPERLINK("https://www.zillow.com/homes/740-MEADE-LN-ROSELLE-IL-60172_rb/","check listing")</f>
        <v>check listing</v>
      </c>
      <c r="AB6120" s="5" t="str">
        <f>HYPERLINK("https://propertylookup.dupagecounty.gov/Datalets/Datalet.aspx?UseSearch=no&amp;mode=sales&amp;pin=0209117012","sales record")</f>
        <v>sales record</v>
      </c>
      <c r="AC6120" t="s">
        <v>3</v>
      </c>
      <c r="AD6120">
        <v>41.969142</v>
      </c>
      <c r="AE6120">
        <v>-88.10601</v>
      </c>
      <c r="AF6120" s="5" t="str">
        <f>HYPERLINK("https://www.google.com/maps/search/?api=1&amp;query=41.969142,-88.10601","map")</f>
        <v>map</v>
      </c>
    </row>
    <row r="6121" spans="1:32">
      <c r="A6121" t="s">
        <v>6171</v>
      </c>
      <c r="B6121" t="s">
        <v>13696</v>
      </c>
      <c r="C6121" t="s">
        <v>15830</v>
      </c>
      <c r="D6121" t="s">
        <v>16207</v>
      </c>
      <c r="E6121" t="s">
        <v>16218</v>
      </c>
      <c r="F6121" t="s">
        <v>16221</v>
      </c>
      <c r="G6121" t="s">
        <v>16241</v>
      </c>
      <c r="H6121" t="s">
        <v>16241</v>
      </c>
      <c r="I6121" t="s">
        <v>16355</v>
      </c>
      <c r="J6121" t="s">
        <v>16385</v>
      </c>
      <c r="K6121">
        <v>0.117</v>
      </c>
      <c r="L6121">
        <v>5106</v>
      </c>
      <c r="M6121">
        <v>1447</v>
      </c>
      <c r="N6121" t="s">
        <v>16393</v>
      </c>
      <c r="O6121" s="4">
        <v>38692</v>
      </c>
      <c r="P6121" s="4">
        <v>82596</v>
      </c>
      <c r="Q6121" s="4">
        <v>121288</v>
      </c>
      <c r="R6121" s="4">
        <v>363864</v>
      </c>
      <c r="S6121" t="s">
        <v>22377</v>
      </c>
      <c r="T6121" s="6">
        <v>41395</v>
      </c>
      <c r="U6121" s="4">
        <v>215000</v>
      </c>
      <c r="V6121" t="s">
        <v>23739</v>
      </c>
      <c r="W6121" t="s">
        <v>22377</v>
      </c>
      <c r="X6121" t="s">
        <v>3</v>
      </c>
      <c r="AA6121" s="5" t="str">
        <f>HYPERLINK("https://www.zillow.com/homes/875-EDENWOOD-DR-ROSELLE-IL-60172_rb/","check listing")</f>
        <v>check listing</v>
      </c>
      <c r="AB6121" s="5" t="str">
        <f>HYPERLINK("https://propertylookup.dupagecounty.gov/Datalets/Datalet.aspx?UseSearch=no&amp;mode=sales&amp;pin=0209113002","sales record")</f>
        <v>sales record</v>
      </c>
      <c r="AC6121" t="s">
        <v>3</v>
      </c>
      <c r="AD6121">
        <v>41.972742</v>
      </c>
      <c r="AE6121">
        <v>-88.102233</v>
      </c>
      <c r="AF6121" s="5" t="str">
        <f>HYPERLINK("https://www.google.com/maps/search/?api=1&amp;query=41.972742,-88.102233","map")</f>
        <v>map</v>
      </c>
    </row>
    <row r="6122" spans="1:32">
      <c r="A6122" t="s">
        <v>6172</v>
      </c>
      <c r="B6122" t="s">
        <v>13697</v>
      </c>
      <c r="C6122" t="s">
        <v>15830</v>
      </c>
      <c r="D6122" t="s">
        <v>16207</v>
      </c>
      <c r="E6122" t="s">
        <v>16218</v>
      </c>
      <c r="F6122" t="s">
        <v>16221</v>
      </c>
      <c r="G6122" t="s">
        <v>16241</v>
      </c>
      <c r="H6122" t="s">
        <v>16241</v>
      </c>
      <c r="I6122" t="s">
        <v>16355</v>
      </c>
      <c r="J6122" t="s">
        <v>16385</v>
      </c>
      <c r="K6122">
        <v>0.117</v>
      </c>
      <c r="L6122">
        <v>5104</v>
      </c>
      <c r="M6122">
        <v>1715</v>
      </c>
      <c r="N6122" t="s">
        <v>16393</v>
      </c>
      <c r="O6122" s="4">
        <v>38692</v>
      </c>
      <c r="P6122" s="4">
        <v>77444</v>
      </c>
      <c r="Q6122" s="4">
        <v>116136</v>
      </c>
      <c r="R6122" s="4">
        <v>348408</v>
      </c>
      <c r="S6122" t="s">
        <v>22378</v>
      </c>
      <c r="T6122" s="6">
        <v>45065</v>
      </c>
      <c r="U6122" s="4">
        <v>329000</v>
      </c>
      <c r="V6122" t="s">
        <v>23739</v>
      </c>
      <c r="W6122" t="s">
        <v>27132</v>
      </c>
      <c r="X6122" t="s">
        <v>3</v>
      </c>
      <c r="AA6122" s="5" t="str">
        <f>HYPERLINK("https://www.zillow.com/homes/489-WATERBURY-LN-ROSELLE-IL-60172_rb/","check listing")</f>
        <v>check listing</v>
      </c>
      <c r="AB6122" s="5" t="str">
        <f>HYPERLINK("https://propertylookup.dupagecounty.gov/Datalets/Datalet.aspx?UseSearch=no&amp;mode=sales&amp;pin=0209107013","sales record")</f>
        <v>sales record</v>
      </c>
      <c r="AC6122" t="s">
        <v>3</v>
      </c>
      <c r="AD6122">
        <v>41.973851</v>
      </c>
      <c r="AE6122">
        <v>-88.108986</v>
      </c>
      <c r="AF6122" s="5" t="str">
        <f>HYPERLINK("https://www.google.com/maps/search/?api=1&amp;query=41.973851,-88.108986","map")</f>
        <v>map</v>
      </c>
    </row>
    <row r="6123" spans="1:32">
      <c r="A6123" t="s">
        <v>6173</v>
      </c>
      <c r="B6123" t="s">
        <v>13698</v>
      </c>
      <c r="C6123" t="s">
        <v>15958</v>
      </c>
      <c r="D6123" t="s">
        <v>16207</v>
      </c>
      <c r="E6123" t="s">
        <v>16218</v>
      </c>
      <c r="F6123" t="s">
        <v>16221</v>
      </c>
      <c r="G6123" t="s">
        <v>16241</v>
      </c>
      <c r="H6123" t="s">
        <v>16241</v>
      </c>
      <c r="I6123" t="s">
        <v>16355</v>
      </c>
      <c r="J6123" t="s">
        <v>16385</v>
      </c>
      <c r="K6123">
        <v>0.117</v>
      </c>
      <c r="L6123">
        <v>5102</v>
      </c>
      <c r="M6123">
        <v>1449</v>
      </c>
      <c r="N6123" t="s">
        <v>16393</v>
      </c>
      <c r="O6123" s="4">
        <v>38692</v>
      </c>
      <c r="P6123" s="4">
        <v>82524</v>
      </c>
      <c r="Q6123" s="4">
        <v>121216</v>
      </c>
      <c r="R6123" s="4">
        <v>363648</v>
      </c>
      <c r="S6123" t="s">
        <v>22379</v>
      </c>
      <c r="T6123" s="6">
        <v>44501</v>
      </c>
      <c r="U6123" s="4">
        <v>320250</v>
      </c>
      <c r="V6123" t="s">
        <v>23739</v>
      </c>
      <c r="W6123" t="s">
        <v>27133</v>
      </c>
      <c r="X6123" t="s">
        <v>3</v>
      </c>
      <c r="AA6123" s="5" t="str">
        <f>HYPERLINK("https://www.zillow.com/homes/660-MIDDLETON-DR-ROSELLE-IL-601722716_rb/","check listing")</f>
        <v>check listing</v>
      </c>
      <c r="AB6123" s="5" t="str">
        <f>HYPERLINK("https://propertylookup.dupagecounty.gov/Datalets/Datalet.aspx?UseSearch=no&amp;mode=sales&amp;pin=0209110015","sales record")</f>
        <v>sales record</v>
      </c>
      <c r="AC6123" t="s">
        <v>3</v>
      </c>
      <c r="AD6123">
        <v>41.970907</v>
      </c>
      <c r="AE6123">
        <v>-88.105029</v>
      </c>
      <c r="AF6123" s="5" t="str">
        <f>HYPERLINK("https://www.google.com/maps/search/?api=1&amp;query=41.970907,-88.105029","map")</f>
        <v>map</v>
      </c>
    </row>
    <row r="6124" spans="1:32">
      <c r="A6124" t="s">
        <v>6174</v>
      </c>
      <c r="B6124" t="s">
        <v>13699</v>
      </c>
      <c r="C6124" t="s">
        <v>15830</v>
      </c>
      <c r="D6124" t="s">
        <v>16207</v>
      </c>
      <c r="E6124" t="s">
        <v>16218</v>
      </c>
      <c r="F6124" t="s">
        <v>16221</v>
      </c>
      <c r="G6124" t="s">
        <v>16241</v>
      </c>
      <c r="H6124" t="s">
        <v>16241</v>
      </c>
      <c r="I6124" t="s">
        <v>16355</v>
      </c>
      <c r="J6124" t="s">
        <v>16385</v>
      </c>
      <c r="K6124">
        <v>0.117</v>
      </c>
      <c r="L6124">
        <v>5101</v>
      </c>
      <c r="M6124">
        <v>1451</v>
      </c>
      <c r="N6124" t="s">
        <v>16393</v>
      </c>
      <c r="O6124" s="4">
        <v>38692</v>
      </c>
      <c r="P6124" s="4">
        <v>77444</v>
      </c>
      <c r="Q6124" s="4">
        <v>116136</v>
      </c>
      <c r="R6124" s="4">
        <v>348408</v>
      </c>
      <c r="S6124" t="s">
        <v>22380</v>
      </c>
      <c r="T6124" s="6">
        <v>33298</v>
      </c>
      <c r="U6124" s="4">
        <v>110000</v>
      </c>
      <c r="X6124" t="s">
        <v>3</v>
      </c>
      <c r="AA6124" s="5" t="str">
        <f>HYPERLINK("https://www.zillow.com/homes/610-MIDDLETON-DR-ROSELLE-IL-60172_rb/","check listing")</f>
        <v>check listing</v>
      </c>
      <c r="AB6124" s="5" t="str">
        <f>HYPERLINK("https://propertylookup.dupagecounty.gov/Datalets/Datalet.aspx?UseSearch=no&amp;mode=sales&amp;pin=0209110009","sales record")</f>
        <v>sales record</v>
      </c>
      <c r="AC6124" t="s">
        <v>3</v>
      </c>
      <c r="AD6124">
        <v>41.971742</v>
      </c>
      <c r="AE6124">
        <v>-88.105</v>
      </c>
      <c r="AF6124" s="5" t="str">
        <f>HYPERLINK("https://www.google.com/maps/search/?api=1&amp;query=41.971742,-88.105","map")</f>
        <v>map</v>
      </c>
    </row>
    <row r="6125" spans="1:32">
      <c r="A6125" t="s">
        <v>6175</v>
      </c>
      <c r="B6125" t="s">
        <v>13700</v>
      </c>
      <c r="C6125" t="s">
        <v>15958</v>
      </c>
      <c r="D6125" t="s">
        <v>16207</v>
      </c>
      <c r="E6125" t="s">
        <v>16218</v>
      </c>
      <c r="F6125" t="s">
        <v>16221</v>
      </c>
      <c r="G6125" t="s">
        <v>16241</v>
      </c>
      <c r="H6125" t="s">
        <v>16241</v>
      </c>
      <c r="I6125" t="s">
        <v>16355</v>
      </c>
      <c r="J6125" t="s">
        <v>16385</v>
      </c>
      <c r="K6125">
        <v>0.117</v>
      </c>
      <c r="L6125">
        <v>5100</v>
      </c>
      <c r="M6125">
        <v>1451</v>
      </c>
      <c r="N6125" t="s">
        <v>16393</v>
      </c>
      <c r="O6125" s="4">
        <v>38692</v>
      </c>
      <c r="P6125" s="4">
        <v>79942</v>
      </c>
      <c r="Q6125" s="4">
        <v>118634</v>
      </c>
      <c r="R6125" s="4">
        <v>355902</v>
      </c>
      <c r="S6125" t="s">
        <v>22381</v>
      </c>
      <c r="T6125" s="6">
        <v>44287</v>
      </c>
      <c r="U6125" s="4">
        <v>310000</v>
      </c>
      <c r="V6125" t="s">
        <v>23739</v>
      </c>
      <c r="W6125" t="s">
        <v>22381</v>
      </c>
      <c r="X6125" t="s">
        <v>3</v>
      </c>
      <c r="AA6125" s="5" t="str">
        <f>HYPERLINK("https://www.zillow.com/homes/640-MIDDLETON-DR-ROSELLE-IL-601722716_rb/","check listing")</f>
        <v>check listing</v>
      </c>
      <c r="AB6125" s="5" t="str">
        <f>HYPERLINK("https://propertylookup.dupagecounty.gov/Datalets/Datalet.aspx?UseSearch=no&amp;mode=sales&amp;pin=0209110012","sales record")</f>
        <v>sales record</v>
      </c>
      <c r="AC6125" t="s">
        <v>3</v>
      </c>
      <c r="AD6125">
        <v>41.971361</v>
      </c>
      <c r="AE6125">
        <v>-88.105013</v>
      </c>
      <c r="AF6125" s="5" t="str">
        <f>HYPERLINK("https://www.google.com/maps/search/?api=1&amp;query=41.971361,-88.105013","map")</f>
        <v>map</v>
      </c>
    </row>
    <row r="6126" spans="1:32">
      <c r="A6126" t="s">
        <v>6176</v>
      </c>
      <c r="B6126" t="s">
        <v>13701</v>
      </c>
      <c r="C6126" t="s">
        <v>15830</v>
      </c>
      <c r="D6126" t="s">
        <v>16207</v>
      </c>
      <c r="E6126" t="s">
        <v>16218</v>
      </c>
      <c r="F6126" t="s">
        <v>16221</v>
      </c>
      <c r="G6126" t="s">
        <v>16241</v>
      </c>
      <c r="H6126" t="s">
        <v>16241</v>
      </c>
      <c r="I6126" t="s">
        <v>16355</v>
      </c>
      <c r="J6126" t="s">
        <v>16385</v>
      </c>
      <c r="K6126">
        <v>0.117</v>
      </c>
      <c r="L6126">
        <v>5100</v>
      </c>
      <c r="M6126">
        <v>1582</v>
      </c>
      <c r="N6126" t="s">
        <v>16393</v>
      </c>
      <c r="O6126" s="4">
        <v>38692</v>
      </c>
      <c r="P6126" s="4">
        <v>78161</v>
      </c>
      <c r="Q6126" s="4">
        <v>116853</v>
      </c>
      <c r="R6126" s="4">
        <v>350559</v>
      </c>
      <c r="S6126" t="s">
        <v>22382</v>
      </c>
      <c r="T6126" s="6">
        <v>38657</v>
      </c>
      <c r="U6126" s="4">
        <v>256500</v>
      </c>
      <c r="V6126" t="s">
        <v>23739</v>
      </c>
      <c r="W6126" t="s">
        <v>27134</v>
      </c>
      <c r="X6126" t="s">
        <v>3</v>
      </c>
      <c r="AA6126" s="5" t="str">
        <f>HYPERLINK("https://www.zillow.com/homes/600-MIDDLETON-DR-ROSELLE-IL-60172_rb/","check listing")</f>
        <v>check listing</v>
      </c>
      <c r="AB6126" s="5" t="str">
        <f>HYPERLINK("https://propertylookup.dupagecounty.gov/Datalets/Datalet.aspx?UseSearch=no&amp;mode=sales&amp;pin=0209110008","sales record")</f>
        <v>sales record</v>
      </c>
      <c r="AC6126" t="s">
        <v>3</v>
      </c>
      <c r="AD6126">
        <v>41.971892</v>
      </c>
      <c r="AE6126">
        <v>-88.104995</v>
      </c>
      <c r="AF6126" s="5" t="str">
        <f>HYPERLINK("https://www.google.com/maps/search/?api=1&amp;query=41.971892,-88.104995","map")</f>
        <v>map</v>
      </c>
    </row>
    <row r="6127" spans="1:32">
      <c r="A6127" t="s">
        <v>6177</v>
      </c>
      <c r="B6127" t="s">
        <v>13702</v>
      </c>
      <c r="C6127" t="s">
        <v>15830</v>
      </c>
      <c r="D6127" t="s">
        <v>16207</v>
      </c>
      <c r="E6127" t="s">
        <v>16218</v>
      </c>
      <c r="F6127" t="s">
        <v>16221</v>
      </c>
      <c r="G6127" t="s">
        <v>16241</v>
      </c>
      <c r="H6127" t="s">
        <v>16241</v>
      </c>
      <c r="I6127" t="s">
        <v>16355</v>
      </c>
      <c r="J6127" t="s">
        <v>16385</v>
      </c>
      <c r="K6127">
        <v>0.117</v>
      </c>
      <c r="L6127">
        <v>5099</v>
      </c>
      <c r="M6127">
        <v>1477</v>
      </c>
      <c r="N6127" t="s">
        <v>16393</v>
      </c>
      <c r="O6127" s="4">
        <v>38692</v>
      </c>
      <c r="P6127" s="4">
        <v>77599</v>
      </c>
      <c r="Q6127" s="4">
        <v>116291</v>
      </c>
      <c r="R6127" s="4">
        <v>348873</v>
      </c>
      <c r="S6127" t="s">
        <v>22383</v>
      </c>
      <c r="T6127" s="6">
        <v>40603</v>
      </c>
      <c r="U6127" s="4">
        <v>210000</v>
      </c>
      <c r="V6127" t="s">
        <v>23739</v>
      </c>
      <c r="W6127" t="s">
        <v>27135</v>
      </c>
      <c r="X6127" t="s">
        <v>3</v>
      </c>
      <c r="AA6127" s="5" t="str">
        <f>HYPERLINK("https://www.zillow.com/homes/690-MIDDLETON-DR-ROSELLE-IL-60172_rb/","check listing")</f>
        <v>check listing</v>
      </c>
      <c r="AB6127" s="5" t="str">
        <f>HYPERLINK("https://propertylookup.dupagecounty.gov/Datalets/Datalet.aspx?UseSearch=no&amp;mode=sales&amp;pin=0209110028","sales record")</f>
        <v>sales record</v>
      </c>
      <c r="AC6127" t="s">
        <v>3</v>
      </c>
      <c r="AD6127">
        <v>41.970262</v>
      </c>
      <c r="AE6127">
        <v>-88.105186</v>
      </c>
      <c r="AF6127" s="5" t="str">
        <f>HYPERLINK("https://www.google.com/maps/search/?api=1&amp;query=41.970262,-88.105186","map")</f>
        <v>map</v>
      </c>
    </row>
    <row r="6128" spans="1:32">
      <c r="A6128" t="s">
        <v>6178</v>
      </c>
      <c r="B6128" t="s">
        <v>13703</v>
      </c>
      <c r="C6128" t="s">
        <v>15830</v>
      </c>
      <c r="D6128" t="s">
        <v>16207</v>
      </c>
      <c r="E6128" t="s">
        <v>16218</v>
      </c>
      <c r="F6128" t="s">
        <v>16221</v>
      </c>
      <c r="G6128" t="s">
        <v>16241</v>
      </c>
      <c r="H6128" t="s">
        <v>16241</v>
      </c>
      <c r="I6128" t="s">
        <v>16355</v>
      </c>
      <c r="J6128" t="s">
        <v>16385</v>
      </c>
      <c r="K6128">
        <v>0.117</v>
      </c>
      <c r="L6128">
        <v>5099</v>
      </c>
      <c r="M6128">
        <v>864</v>
      </c>
      <c r="N6128" t="s">
        <v>16393</v>
      </c>
      <c r="O6128" s="4">
        <v>38692</v>
      </c>
      <c r="P6128" s="4">
        <v>55546</v>
      </c>
      <c r="Q6128" s="4">
        <v>94238</v>
      </c>
      <c r="R6128" s="4">
        <v>282714</v>
      </c>
      <c r="S6128" t="s">
        <v>22384</v>
      </c>
      <c r="T6128" s="6">
        <v>45146</v>
      </c>
      <c r="U6128" s="4">
        <v>300000</v>
      </c>
      <c r="V6128" t="s">
        <v>23739</v>
      </c>
      <c r="W6128" t="s">
        <v>27136</v>
      </c>
      <c r="X6128" t="s">
        <v>3</v>
      </c>
      <c r="AA6128" s="5" t="str">
        <f>HYPERLINK("https://www.zillow.com/homes/630-MIDDLETON-DR-ROSELLE-IL-60172_rb/","check listing")</f>
        <v>check listing</v>
      </c>
      <c r="AB6128" s="5" t="str">
        <f>HYPERLINK("https://propertylookup.dupagecounty.gov/Datalets/Datalet.aspx?UseSearch=no&amp;mode=sales&amp;pin=0209110011","sales record")</f>
        <v>sales record</v>
      </c>
      <c r="AC6128" t="s">
        <v>3</v>
      </c>
      <c r="AD6128">
        <v>41.971508</v>
      </c>
      <c r="AE6128">
        <v>-88.105008</v>
      </c>
      <c r="AF6128" s="5" t="str">
        <f>HYPERLINK("https://www.google.com/maps/search/?api=1&amp;query=41.971508,-88.105008","map")</f>
        <v>map</v>
      </c>
    </row>
    <row r="6129" spans="1:32">
      <c r="A6129" t="s">
        <v>6179</v>
      </c>
      <c r="B6129" t="s">
        <v>13704</v>
      </c>
      <c r="C6129" t="s">
        <v>15830</v>
      </c>
      <c r="D6129" t="s">
        <v>16207</v>
      </c>
      <c r="E6129" t="s">
        <v>16218</v>
      </c>
      <c r="F6129" t="s">
        <v>16221</v>
      </c>
      <c r="G6129" t="s">
        <v>16241</v>
      </c>
      <c r="H6129" t="s">
        <v>16241</v>
      </c>
      <c r="I6129" t="s">
        <v>16355</v>
      </c>
      <c r="J6129" t="s">
        <v>16385</v>
      </c>
      <c r="K6129">
        <v>0.117</v>
      </c>
      <c r="L6129">
        <v>5099</v>
      </c>
      <c r="M6129">
        <v>1142</v>
      </c>
      <c r="N6129" t="s">
        <v>16393</v>
      </c>
      <c r="O6129" s="4">
        <v>38692</v>
      </c>
      <c r="P6129" s="4">
        <v>81687</v>
      </c>
      <c r="Q6129" s="4">
        <v>120379</v>
      </c>
      <c r="R6129" s="4">
        <v>361137</v>
      </c>
      <c r="S6129" t="s">
        <v>22385</v>
      </c>
      <c r="X6129" t="s">
        <v>3</v>
      </c>
      <c r="AA6129" s="5" t="str">
        <f>HYPERLINK("https://www.zillow.com/homes/664-MIDDLETON-DR-ROSELLE-IL-60172_rb/","check listing")</f>
        <v>check listing</v>
      </c>
      <c r="AB6129" s="5" t="str">
        <f>HYPERLINK("https://propertylookup.dupagecounty.gov/Datalets/Datalet.aspx?UseSearch=no&amp;mode=sales&amp;pin=0209110016","sales record")</f>
        <v>sales record</v>
      </c>
      <c r="AC6129" t="s">
        <v>3</v>
      </c>
      <c r="AD6129">
        <v>41.970757</v>
      </c>
      <c r="AE6129">
        <v>-88.105034</v>
      </c>
      <c r="AF6129" s="5" t="str">
        <f>HYPERLINK("https://www.google.com/maps/search/?api=1&amp;query=41.970757,-88.105034","map")</f>
        <v>map</v>
      </c>
    </row>
    <row r="6130" spans="1:32">
      <c r="A6130" t="s">
        <v>6180</v>
      </c>
      <c r="B6130" t="s">
        <v>13705</v>
      </c>
      <c r="C6130" t="s">
        <v>15830</v>
      </c>
      <c r="D6130" t="s">
        <v>16207</v>
      </c>
      <c r="E6130" t="s">
        <v>16218</v>
      </c>
      <c r="F6130" t="s">
        <v>16221</v>
      </c>
      <c r="G6130" t="s">
        <v>16241</v>
      </c>
      <c r="H6130" t="s">
        <v>16241</v>
      </c>
      <c r="I6130" t="s">
        <v>16355</v>
      </c>
      <c r="J6130" t="s">
        <v>16385</v>
      </c>
      <c r="K6130">
        <v>0.117</v>
      </c>
      <c r="L6130">
        <v>5099</v>
      </c>
      <c r="M6130">
        <v>1319</v>
      </c>
      <c r="N6130" t="s">
        <v>16393</v>
      </c>
      <c r="O6130" s="4">
        <v>38692</v>
      </c>
      <c r="P6130" s="4">
        <v>77599</v>
      </c>
      <c r="Q6130" s="4">
        <v>116291</v>
      </c>
      <c r="R6130" s="4">
        <v>348873</v>
      </c>
      <c r="S6130" t="s">
        <v>22386</v>
      </c>
      <c r="T6130" s="6">
        <v>42401</v>
      </c>
      <c r="U6130" s="4">
        <v>211000</v>
      </c>
      <c r="V6130" t="s">
        <v>23739</v>
      </c>
      <c r="W6130" t="s">
        <v>27137</v>
      </c>
      <c r="X6130" t="s">
        <v>3</v>
      </c>
      <c r="AA6130" s="5" t="str">
        <f>HYPERLINK("https://www.zillow.com/homes/620-MIDDLETON-DR-ROSELLE-IL-60172_rb/","check listing")</f>
        <v>check listing</v>
      </c>
      <c r="AB6130" s="5" t="str">
        <f>HYPERLINK("https://propertylookup.dupagecounty.gov/Datalets/Datalet.aspx?UseSearch=no&amp;mode=sales&amp;pin=0209110010","sales record")</f>
        <v>sales record</v>
      </c>
      <c r="AC6130" t="s">
        <v>3</v>
      </c>
      <c r="AD6130">
        <v>41.971658</v>
      </c>
      <c r="AE6130">
        <v>-88.105003</v>
      </c>
      <c r="AF6130" s="5" t="str">
        <f>HYPERLINK("https://www.google.com/maps/search/?api=1&amp;query=41.971658,-88.105003","map")</f>
        <v>map</v>
      </c>
    </row>
    <row r="6131" spans="1:32">
      <c r="A6131" t="s">
        <v>6181</v>
      </c>
      <c r="B6131" t="s">
        <v>13706</v>
      </c>
      <c r="C6131" t="s">
        <v>15830</v>
      </c>
      <c r="D6131" t="s">
        <v>16207</v>
      </c>
      <c r="E6131" t="s">
        <v>16218</v>
      </c>
      <c r="F6131" t="s">
        <v>16221</v>
      </c>
      <c r="G6131" t="s">
        <v>16241</v>
      </c>
      <c r="H6131" t="s">
        <v>16241</v>
      </c>
      <c r="I6131" t="s">
        <v>16355</v>
      </c>
      <c r="J6131" t="s">
        <v>16385</v>
      </c>
      <c r="K6131">
        <v>0.117</v>
      </c>
      <c r="L6131">
        <v>5099</v>
      </c>
      <c r="M6131">
        <v>1319</v>
      </c>
      <c r="N6131" t="s">
        <v>16393</v>
      </c>
      <c r="O6131" s="4">
        <v>38692</v>
      </c>
      <c r="P6131" s="4">
        <v>77109</v>
      </c>
      <c r="Q6131" s="4">
        <v>115801</v>
      </c>
      <c r="R6131" s="4">
        <v>347403</v>
      </c>
      <c r="S6131" t="s">
        <v>22387</v>
      </c>
      <c r="T6131" s="6">
        <v>33208</v>
      </c>
      <c r="U6131" s="4">
        <v>118278</v>
      </c>
      <c r="X6131" t="s">
        <v>3</v>
      </c>
      <c r="AA6131" s="5" t="str">
        <f>HYPERLINK("https://www.zillow.com/homes/670-MIDDLETON-DR-ROSELLE-IL-60172_rb/","check listing")</f>
        <v>check listing</v>
      </c>
      <c r="AB6131" s="5" t="str">
        <f>HYPERLINK("https://propertylookup.dupagecounty.gov/Datalets/Datalet.aspx?UseSearch=no&amp;mode=sales&amp;pin=0209110017","sales record")</f>
        <v>sales record</v>
      </c>
      <c r="AC6131" t="s">
        <v>3</v>
      </c>
      <c r="AD6131">
        <v>41.970667</v>
      </c>
      <c r="AE6131">
        <v>-88.105037</v>
      </c>
      <c r="AF6131" s="5" t="str">
        <f>HYPERLINK("https://www.google.com/maps/search/?api=1&amp;query=41.970667,-88.105037","map")</f>
        <v>map</v>
      </c>
    </row>
    <row r="6132" spans="1:32">
      <c r="A6132" t="s">
        <v>6182</v>
      </c>
      <c r="B6132" t="s">
        <v>13707</v>
      </c>
      <c r="C6132" t="s">
        <v>15830</v>
      </c>
      <c r="D6132" t="s">
        <v>16207</v>
      </c>
      <c r="E6132" t="s">
        <v>16218</v>
      </c>
      <c r="F6132" t="s">
        <v>16221</v>
      </c>
      <c r="G6132" t="s">
        <v>16241</v>
      </c>
      <c r="H6132" t="s">
        <v>16241</v>
      </c>
      <c r="I6132" t="s">
        <v>16355</v>
      </c>
      <c r="J6132" t="s">
        <v>16385</v>
      </c>
      <c r="K6132">
        <v>0.117</v>
      </c>
      <c r="L6132">
        <v>5097</v>
      </c>
      <c r="M6132">
        <v>1834</v>
      </c>
      <c r="N6132" t="s">
        <v>16393</v>
      </c>
      <c r="O6132" s="4">
        <v>38692</v>
      </c>
      <c r="P6132" s="4">
        <v>55618</v>
      </c>
      <c r="Q6132" s="4">
        <v>94310</v>
      </c>
      <c r="R6132" s="4">
        <v>282930</v>
      </c>
      <c r="S6132" t="s">
        <v>22388</v>
      </c>
      <c r="T6132" s="6">
        <v>37043</v>
      </c>
      <c r="U6132" s="4">
        <v>155000</v>
      </c>
      <c r="V6132" t="s">
        <v>23739</v>
      </c>
      <c r="W6132" t="s">
        <v>22388</v>
      </c>
      <c r="X6132" t="s">
        <v>3</v>
      </c>
      <c r="AA6132" s="5" t="str">
        <f>HYPERLINK("https://www.zillow.com/homes/1215-WATERBURY-LN-ROSELLE-IL-60172_rb/","check listing")</f>
        <v>check listing</v>
      </c>
      <c r="AB6132" s="5" t="str">
        <f>HYPERLINK("https://propertylookup.dupagecounty.gov/Datalets/Datalet.aspx?UseSearch=no&amp;mode=sales&amp;pin=0208208002","sales record")</f>
        <v>sales record</v>
      </c>
      <c r="AC6132" t="s">
        <v>3</v>
      </c>
      <c r="AD6132">
        <v>41.974448</v>
      </c>
      <c r="AE6132">
        <v>-88.110888</v>
      </c>
      <c r="AF6132" s="5" t="str">
        <f>HYPERLINK("https://www.google.com/maps/search/?api=1&amp;query=41.974448,-88.110888","map")</f>
        <v>map</v>
      </c>
    </row>
    <row r="6133" spans="1:32">
      <c r="A6133" t="s">
        <v>6183</v>
      </c>
      <c r="B6133" t="s">
        <v>13708</v>
      </c>
      <c r="C6133" t="s">
        <v>15830</v>
      </c>
      <c r="D6133" t="s">
        <v>16207</v>
      </c>
      <c r="E6133" t="s">
        <v>16218</v>
      </c>
      <c r="F6133" t="s">
        <v>16221</v>
      </c>
      <c r="G6133" t="s">
        <v>16241</v>
      </c>
      <c r="H6133" t="s">
        <v>16241</v>
      </c>
      <c r="I6133" t="s">
        <v>16355</v>
      </c>
      <c r="J6133" t="s">
        <v>16385</v>
      </c>
      <c r="K6133">
        <v>0.117</v>
      </c>
      <c r="L6133">
        <v>5096</v>
      </c>
      <c r="M6133">
        <v>1629</v>
      </c>
      <c r="N6133" t="s">
        <v>16393</v>
      </c>
      <c r="O6133" s="4">
        <v>38692</v>
      </c>
      <c r="P6133" s="4">
        <v>77599</v>
      </c>
      <c r="Q6133" s="4">
        <v>116291</v>
      </c>
      <c r="R6133" s="4">
        <v>348873</v>
      </c>
      <c r="S6133" t="s">
        <v>22389</v>
      </c>
      <c r="T6133" s="6">
        <v>36678</v>
      </c>
      <c r="U6133" s="4">
        <v>163000</v>
      </c>
      <c r="V6133" t="s">
        <v>23739</v>
      </c>
      <c r="W6133" t="s">
        <v>27138</v>
      </c>
      <c r="X6133" t="s">
        <v>3</v>
      </c>
      <c r="AA6133" s="5" t="str">
        <f>HYPERLINK("https://www.zillow.com/homes/694-MIDDLETON-DR-ROSELLE-IL-60172_rb/","check listing")</f>
        <v>check listing</v>
      </c>
      <c r="AB6133" s="5" t="str">
        <f>HYPERLINK("https://propertylookup.dupagecounty.gov/Datalets/Datalet.aspx?UseSearch=no&amp;mode=sales&amp;pin=0209110027","sales record")</f>
        <v>sales record</v>
      </c>
      <c r="AC6133" t="s">
        <v>3</v>
      </c>
      <c r="AD6133">
        <v>41.970168</v>
      </c>
      <c r="AE6133">
        <v>-88.105321</v>
      </c>
      <c r="AF6133" s="5" t="str">
        <f>HYPERLINK("https://www.google.com/maps/search/?api=1&amp;query=41.970168,-88.105321","map")</f>
        <v>map</v>
      </c>
    </row>
    <row r="6134" spans="1:32">
      <c r="A6134" t="s">
        <v>6184</v>
      </c>
      <c r="B6134" t="s">
        <v>13709</v>
      </c>
      <c r="C6134" t="s">
        <v>15830</v>
      </c>
      <c r="D6134" t="s">
        <v>16207</v>
      </c>
      <c r="E6134" t="s">
        <v>16218</v>
      </c>
      <c r="F6134" t="s">
        <v>16221</v>
      </c>
      <c r="G6134" t="s">
        <v>16241</v>
      </c>
      <c r="H6134" t="s">
        <v>16241</v>
      </c>
      <c r="I6134" t="s">
        <v>16355</v>
      </c>
      <c r="J6134" t="s">
        <v>16385</v>
      </c>
      <c r="K6134">
        <v>0.117</v>
      </c>
      <c r="L6134">
        <v>5095</v>
      </c>
      <c r="M6134">
        <v>1896</v>
      </c>
      <c r="N6134" t="s">
        <v>16393</v>
      </c>
      <c r="O6134" s="4">
        <v>38692</v>
      </c>
      <c r="P6134" s="4">
        <v>77587</v>
      </c>
      <c r="Q6134" s="4">
        <v>116279</v>
      </c>
      <c r="R6134" s="4">
        <v>348837</v>
      </c>
      <c r="S6134" t="s">
        <v>22390</v>
      </c>
      <c r="T6134" s="6">
        <v>44044</v>
      </c>
      <c r="U6134" s="4">
        <v>280000</v>
      </c>
      <c r="V6134" t="s">
        <v>23740</v>
      </c>
      <c r="W6134" t="s">
        <v>27139</v>
      </c>
      <c r="X6134" t="s">
        <v>3</v>
      </c>
      <c r="AA6134" s="5" t="str">
        <f>HYPERLINK("https://www.zillow.com/homes/1140-SINGLETON-DR-ROSELLE-IL-60172_rb/","check listing")</f>
        <v>check listing</v>
      </c>
      <c r="AB6134" s="5" t="str">
        <f>HYPERLINK("https://propertylookup.dupagecounty.gov/Datalets/Datalet.aspx?UseSearch=no&amp;mode=sales&amp;pin=0204309056","sales record")</f>
        <v>sales record</v>
      </c>
      <c r="AC6134" t="s">
        <v>3</v>
      </c>
      <c r="AD6134">
        <v>41.979372</v>
      </c>
      <c r="AE6134">
        <v>-88.10928800000001</v>
      </c>
      <c r="AF6134" s="5" t="str">
        <f>HYPERLINK("https://www.google.com/maps/search/?api=1&amp;query=41.979372,-88.109288","map")</f>
        <v>map</v>
      </c>
    </row>
    <row r="6135" spans="1:32">
      <c r="A6135" t="s">
        <v>6185</v>
      </c>
      <c r="B6135" t="s">
        <v>13710</v>
      </c>
      <c r="C6135" t="s">
        <v>15830</v>
      </c>
      <c r="D6135" t="s">
        <v>16207</v>
      </c>
      <c r="E6135" t="s">
        <v>16218</v>
      </c>
      <c r="F6135" t="s">
        <v>16221</v>
      </c>
      <c r="G6135" t="s">
        <v>16241</v>
      </c>
      <c r="H6135" t="s">
        <v>16241</v>
      </c>
      <c r="I6135" t="s">
        <v>16355</v>
      </c>
      <c r="J6135" t="s">
        <v>16385</v>
      </c>
      <c r="K6135">
        <v>0.117</v>
      </c>
      <c r="L6135">
        <v>5093</v>
      </c>
      <c r="M6135">
        <v>1320</v>
      </c>
      <c r="N6135" t="s">
        <v>16393</v>
      </c>
      <c r="O6135" s="4">
        <v>38692</v>
      </c>
      <c r="P6135" s="4">
        <v>75758</v>
      </c>
      <c r="Q6135" s="4">
        <v>114450</v>
      </c>
      <c r="R6135" s="4">
        <v>343350</v>
      </c>
      <c r="S6135" t="s">
        <v>22391</v>
      </c>
      <c r="T6135" s="6">
        <v>34394</v>
      </c>
      <c r="U6135" s="4">
        <v>129900</v>
      </c>
      <c r="X6135" t="s">
        <v>3</v>
      </c>
      <c r="AA6135" s="5" t="str">
        <f>HYPERLINK("https://www.zillow.com/homes/550-MIDDLETON-DR-ROSELLE-IL-60172_rb/","check listing")</f>
        <v>check listing</v>
      </c>
      <c r="AB6135" s="5" t="str">
        <f>HYPERLINK("https://propertylookup.dupagecounty.gov/Datalets/Datalet.aspx?UseSearch=no&amp;mode=sales&amp;pin=0209110002","sales record")</f>
        <v>sales record</v>
      </c>
      <c r="AC6135" t="s">
        <v>3</v>
      </c>
      <c r="AD6135">
        <v>41.972756</v>
      </c>
      <c r="AE6135">
        <v>-88.105133</v>
      </c>
      <c r="AF6135" s="5" t="str">
        <f>HYPERLINK("https://www.google.com/maps/search/?api=1&amp;query=41.972756,-88.105133","map")</f>
        <v>map</v>
      </c>
    </row>
    <row r="6136" spans="1:32">
      <c r="A6136" t="s">
        <v>6186</v>
      </c>
      <c r="B6136" t="s">
        <v>13711</v>
      </c>
      <c r="C6136" t="s">
        <v>15830</v>
      </c>
      <c r="D6136" t="s">
        <v>16207</v>
      </c>
      <c r="E6136" t="s">
        <v>16218</v>
      </c>
      <c r="F6136" t="s">
        <v>16221</v>
      </c>
      <c r="G6136" t="s">
        <v>16241</v>
      </c>
      <c r="H6136" t="s">
        <v>16241</v>
      </c>
      <c r="I6136" t="s">
        <v>16355</v>
      </c>
      <c r="J6136" t="s">
        <v>16385</v>
      </c>
      <c r="K6136">
        <v>0.117</v>
      </c>
      <c r="L6136">
        <v>5093</v>
      </c>
      <c r="M6136">
        <v>1452</v>
      </c>
      <c r="N6136" t="s">
        <v>16393</v>
      </c>
      <c r="O6136" s="4">
        <v>38692</v>
      </c>
      <c r="P6136" s="4">
        <v>79871</v>
      </c>
      <c r="Q6136" s="4">
        <v>118563</v>
      </c>
      <c r="R6136" s="4">
        <v>355689</v>
      </c>
      <c r="S6136" t="s">
        <v>22392</v>
      </c>
      <c r="T6136" s="6">
        <v>45712</v>
      </c>
      <c r="U6136" s="4">
        <v>400000</v>
      </c>
      <c r="V6136" t="s">
        <v>23739</v>
      </c>
      <c r="W6136" t="s">
        <v>27140</v>
      </c>
      <c r="X6136" t="s">
        <v>3</v>
      </c>
      <c r="AA6136" s="5" t="str">
        <f>HYPERLINK("https://www.zillow.com/homes/580-S-GARDEN-AVE-ROSELLE-IL-60172_rb/","check listing")</f>
        <v>check listing</v>
      </c>
      <c r="AB6136" s="5" t="str">
        <f>HYPERLINK("https://propertylookup.dupagecounty.gov/Datalets/Datalet.aspx?UseSearch=no&amp;mode=sales&amp;pin=0209101031","sales record")</f>
        <v>sales record</v>
      </c>
      <c r="AC6136" t="s">
        <v>3</v>
      </c>
      <c r="AD6136">
        <v>41.972238</v>
      </c>
      <c r="AE6136">
        <v>-88.102853</v>
      </c>
      <c r="AF6136" s="5" t="str">
        <f>HYPERLINK("https://www.google.com/maps/search/?api=1&amp;query=41.972238,-88.102853","map")</f>
        <v>map</v>
      </c>
    </row>
    <row r="6137" spans="1:32">
      <c r="A6137" t="s">
        <v>6187</v>
      </c>
      <c r="B6137" t="s">
        <v>13712</v>
      </c>
      <c r="C6137" t="s">
        <v>15830</v>
      </c>
      <c r="D6137" t="s">
        <v>16207</v>
      </c>
      <c r="E6137" t="s">
        <v>16218</v>
      </c>
      <c r="F6137" t="s">
        <v>16221</v>
      </c>
      <c r="G6137" t="s">
        <v>16241</v>
      </c>
      <c r="H6137" t="s">
        <v>16241</v>
      </c>
      <c r="I6137" t="s">
        <v>16355</v>
      </c>
      <c r="J6137" t="s">
        <v>16385</v>
      </c>
      <c r="K6137">
        <v>0.117</v>
      </c>
      <c r="L6137">
        <v>5092</v>
      </c>
      <c r="M6137">
        <v>1383</v>
      </c>
      <c r="N6137" t="s">
        <v>16393</v>
      </c>
      <c r="O6137" s="4">
        <v>38692</v>
      </c>
      <c r="P6137" s="4">
        <v>77599</v>
      </c>
      <c r="Q6137" s="4">
        <v>116291</v>
      </c>
      <c r="R6137" s="4">
        <v>348873</v>
      </c>
      <c r="S6137" t="s">
        <v>22393</v>
      </c>
      <c r="X6137" t="s">
        <v>3</v>
      </c>
      <c r="AA6137" s="5" t="str">
        <f>HYPERLINK("https://www.zillow.com/homes/475-RODENBURG-RD-ROSELLE-IL-60172_rb/","check listing")</f>
        <v>check listing</v>
      </c>
      <c r="AB6137" s="5" t="str">
        <f>HYPERLINK("https://propertylookup.dupagecounty.gov/Datalets/Datalet.aspx?UseSearch=no&amp;mode=sales&amp;pin=0208207009","sales record")</f>
        <v>sales record</v>
      </c>
      <c r="AC6137" t="s">
        <v>3</v>
      </c>
      <c r="AD6137">
        <v>41.973815</v>
      </c>
      <c r="AE6137">
        <v>-88.11213600000001</v>
      </c>
      <c r="AF6137" s="5" t="str">
        <f>HYPERLINK("https://www.google.com/maps/search/?api=1&amp;query=41.973815,-88.112136","map")</f>
        <v>map</v>
      </c>
    </row>
    <row r="6138" spans="1:32">
      <c r="A6138" t="s">
        <v>6188</v>
      </c>
      <c r="B6138" t="s">
        <v>13713</v>
      </c>
      <c r="C6138" t="s">
        <v>15830</v>
      </c>
      <c r="D6138" t="s">
        <v>16207</v>
      </c>
      <c r="E6138" t="s">
        <v>16218</v>
      </c>
      <c r="F6138" t="s">
        <v>16221</v>
      </c>
      <c r="G6138" t="s">
        <v>16241</v>
      </c>
      <c r="H6138" t="s">
        <v>16241</v>
      </c>
      <c r="I6138" t="s">
        <v>16355</v>
      </c>
      <c r="J6138" t="s">
        <v>16385</v>
      </c>
      <c r="K6138">
        <v>0.117</v>
      </c>
      <c r="L6138">
        <v>5090</v>
      </c>
      <c r="M6138">
        <v>1452</v>
      </c>
      <c r="N6138" t="s">
        <v>16393</v>
      </c>
      <c r="O6138" s="4">
        <v>38692</v>
      </c>
      <c r="P6138" s="4">
        <v>78161</v>
      </c>
      <c r="Q6138" s="4">
        <v>116853</v>
      </c>
      <c r="R6138" s="4">
        <v>350559</v>
      </c>
      <c r="S6138" t="s">
        <v>22394</v>
      </c>
      <c r="T6138" s="6">
        <v>37469</v>
      </c>
      <c r="U6138" s="4">
        <v>200000</v>
      </c>
      <c r="V6138" t="s">
        <v>23739</v>
      </c>
      <c r="W6138" t="s">
        <v>27141</v>
      </c>
      <c r="X6138" t="s">
        <v>3</v>
      </c>
      <c r="AA6138" s="5" t="str">
        <f>HYPERLINK("https://www.zillow.com/homes/560-MIDDLETON-DR-ROSELLE-IL-60172_rb/","check listing")</f>
        <v>check listing</v>
      </c>
      <c r="AB6138" s="5" t="str">
        <f>HYPERLINK("https://propertylookup.dupagecounty.gov/Datalets/Datalet.aspx?UseSearch=no&amp;mode=sales&amp;pin=0209110003","sales record")</f>
        <v>sales record</v>
      </c>
      <c r="AC6138" t="s">
        <v>3</v>
      </c>
      <c r="AD6138">
        <v>41.972623</v>
      </c>
      <c r="AE6138">
        <v>-88.105086</v>
      </c>
      <c r="AF6138" s="5" t="str">
        <f>HYPERLINK("https://www.google.com/maps/search/?api=1&amp;query=41.972623,-88.105086","map")</f>
        <v>map</v>
      </c>
    </row>
    <row r="6139" spans="1:32">
      <c r="A6139" t="s">
        <v>6189</v>
      </c>
      <c r="B6139" t="s">
        <v>13714</v>
      </c>
      <c r="C6139" t="s">
        <v>15830</v>
      </c>
      <c r="D6139" t="s">
        <v>16207</v>
      </c>
      <c r="E6139" t="s">
        <v>16218</v>
      </c>
      <c r="F6139" t="s">
        <v>16221</v>
      </c>
      <c r="G6139" t="s">
        <v>16241</v>
      </c>
      <c r="H6139" t="s">
        <v>16241</v>
      </c>
      <c r="I6139" t="s">
        <v>16355</v>
      </c>
      <c r="J6139" t="s">
        <v>16385</v>
      </c>
      <c r="K6139">
        <v>0.117</v>
      </c>
      <c r="L6139">
        <v>5090</v>
      </c>
      <c r="M6139">
        <v>1089</v>
      </c>
      <c r="N6139" t="s">
        <v>16393</v>
      </c>
      <c r="O6139" s="4">
        <v>38692</v>
      </c>
      <c r="P6139" s="4">
        <v>77539</v>
      </c>
      <c r="Q6139" s="4">
        <v>116231</v>
      </c>
      <c r="R6139" s="4">
        <v>348693</v>
      </c>
      <c r="S6139" t="s">
        <v>22395</v>
      </c>
      <c r="T6139" s="6">
        <v>44044</v>
      </c>
      <c r="U6139" s="4">
        <v>289900</v>
      </c>
      <c r="V6139" t="s">
        <v>23739</v>
      </c>
      <c r="W6139" t="s">
        <v>27142</v>
      </c>
      <c r="X6139" t="s">
        <v>3</v>
      </c>
      <c r="AA6139" s="5" t="str">
        <f>HYPERLINK("https://www.zillow.com/homes/700-MIDDLETON-DR-ROSELLE-IL-60172_rb/","check listing")</f>
        <v>check listing</v>
      </c>
      <c r="AB6139" s="5" t="str">
        <f>HYPERLINK("https://propertylookup.dupagecounty.gov/Datalets/Datalet.aspx?UseSearch=no&amp;mode=sales&amp;pin=0209110026","sales record")</f>
        <v>sales record</v>
      </c>
      <c r="AC6139" t="s">
        <v>3</v>
      </c>
      <c r="AD6139">
        <v>41.970075</v>
      </c>
      <c r="AE6139">
        <v>-88.105456</v>
      </c>
      <c r="AF6139" s="5" t="str">
        <f>HYPERLINK("https://www.google.com/maps/search/?api=1&amp;query=41.970075,-88.105456","map")</f>
        <v>map</v>
      </c>
    </row>
    <row r="6140" spans="1:32">
      <c r="A6140" t="s">
        <v>6190</v>
      </c>
      <c r="B6140" t="s">
        <v>13715</v>
      </c>
      <c r="C6140" t="s">
        <v>15960</v>
      </c>
      <c r="D6140" t="s">
        <v>16207</v>
      </c>
      <c r="E6140" t="s">
        <v>16218</v>
      </c>
      <c r="F6140" t="s">
        <v>16221</v>
      </c>
      <c r="G6140" t="s">
        <v>16241</v>
      </c>
      <c r="H6140" t="s">
        <v>16241</v>
      </c>
      <c r="I6140" t="s">
        <v>16355</v>
      </c>
      <c r="J6140" t="s">
        <v>16385</v>
      </c>
      <c r="K6140">
        <v>0.117</v>
      </c>
      <c r="L6140">
        <v>5090</v>
      </c>
      <c r="M6140">
        <v>1584</v>
      </c>
      <c r="N6140" t="s">
        <v>16393</v>
      </c>
      <c r="O6140" s="4">
        <v>38692</v>
      </c>
      <c r="P6140" s="4">
        <v>89947</v>
      </c>
      <c r="Q6140" s="4">
        <v>128639</v>
      </c>
      <c r="R6140" s="4">
        <v>385917</v>
      </c>
      <c r="S6140" t="s">
        <v>22396</v>
      </c>
      <c r="T6140" s="6">
        <v>44075</v>
      </c>
      <c r="U6140" s="4">
        <v>282000</v>
      </c>
      <c r="V6140" t="s">
        <v>23739</v>
      </c>
      <c r="W6140" t="s">
        <v>22396</v>
      </c>
      <c r="X6140" t="s">
        <v>3</v>
      </c>
      <c r="AA6140" s="5" t="str">
        <f>HYPERLINK("https://www.zillow.com/homes/455-RODENBURG-RD-ROSELLE-IL-601722667_rb/","check listing")</f>
        <v>check listing</v>
      </c>
      <c r="AB6140" s="5" t="str">
        <f>HYPERLINK("https://propertylookup.dupagecounty.gov/Datalets/Datalet.aspx?UseSearch=no&amp;mode=sales&amp;pin=0208207006","sales record")</f>
        <v>sales record</v>
      </c>
      <c r="AC6140" t="s">
        <v>3</v>
      </c>
      <c r="AD6140">
        <v>41.974213</v>
      </c>
      <c r="AE6140">
        <v>-88.112077</v>
      </c>
      <c r="AF6140" s="5" t="str">
        <f>HYPERLINK("https://www.google.com/maps/search/?api=1&amp;query=41.974213,-88.112077","map")</f>
        <v>map</v>
      </c>
    </row>
    <row r="6141" spans="1:32">
      <c r="A6141" t="s">
        <v>6191</v>
      </c>
      <c r="B6141" t="s">
        <v>13716</v>
      </c>
      <c r="C6141" t="s">
        <v>15830</v>
      </c>
      <c r="D6141" t="s">
        <v>16207</v>
      </c>
      <c r="E6141" t="s">
        <v>16218</v>
      </c>
      <c r="F6141" t="s">
        <v>16221</v>
      </c>
      <c r="G6141" t="s">
        <v>16241</v>
      </c>
      <c r="H6141" t="s">
        <v>16241</v>
      </c>
      <c r="I6141" t="s">
        <v>16355</v>
      </c>
      <c r="J6141" t="s">
        <v>16385</v>
      </c>
      <c r="K6141">
        <v>0.117</v>
      </c>
      <c r="L6141">
        <v>5088</v>
      </c>
      <c r="M6141">
        <v>1320</v>
      </c>
      <c r="N6141" t="s">
        <v>16393</v>
      </c>
      <c r="O6141" s="4">
        <v>38692</v>
      </c>
      <c r="P6141" s="4">
        <v>75974</v>
      </c>
      <c r="Q6141" s="4">
        <v>114666</v>
      </c>
      <c r="R6141" s="4">
        <v>343998</v>
      </c>
      <c r="S6141" t="s">
        <v>22397</v>
      </c>
      <c r="T6141" s="6">
        <v>40422</v>
      </c>
      <c r="U6141" s="4">
        <v>204900</v>
      </c>
      <c r="V6141" t="s">
        <v>23739</v>
      </c>
      <c r="W6141" t="s">
        <v>27143</v>
      </c>
      <c r="X6141" t="s">
        <v>3</v>
      </c>
      <c r="AA6141" s="5" t="str">
        <f>HYPERLINK("https://www.zillow.com/homes/535-RODENBERG-RD-ROSELLE-IL-60172_rb/","check listing")</f>
        <v>check listing</v>
      </c>
      <c r="AB6141" s="5" t="str">
        <f>HYPERLINK("https://propertylookup.dupagecounty.gov/Datalets/Datalet.aspx?UseSearch=no&amp;mode=sales&amp;pin=0208207016","sales record")</f>
        <v>sales record</v>
      </c>
      <c r="AC6141" t="s">
        <v>3</v>
      </c>
      <c r="AD6141">
        <v>41.972843</v>
      </c>
      <c r="AE6141">
        <v>-88.11193299999999</v>
      </c>
      <c r="AF6141" s="5" t="str">
        <f>HYPERLINK("https://www.google.com/maps/search/?api=1&amp;query=41.972843,-88.111933","map")</f>
        <v>map</v>
      </c>
    </row>
    <row r="6142" spans="1:32">
      <c r="A6142" t="s">
        <v>6192</v>
      </c>
      <c r="B6142" t="s">
        <v>13717</v>
      </c>
      <c r="C6142" t="s">
        <v>15975</v>
      </c>
      <c r="D6142" t="s">
        <v>16207</v>
      </c>
      <c r="E6142" t="s">
        <v>16218</v>
      </c>
      <c r="F6142" t="s">
        <v>16221</v>
      </c>
      <c r="G6142" t="s">
        <v>16241</v>
      </c>
      <c r="H6142" t="s">
        <v>16241</v>
      </c>
      <c r="I6142" t="s">
        <v>16355</v>
      </c>
      <c r="J6142" t="s">
        <v>16385</v>
      </c>
      <c r="K6142">
        <v>0.117</v>
      </c>
      <c r="L6142">
        <v>5088</v>
      </c>
      <c r="M6142">
        <v>1319</v>
      </c>
      <c r="N6142" t="s">
        <v>16393</v>
      </c>
      <c r="O6142" s="4">
        <v>38692</v>
      </c>
      <c r="P6142" s="4">
        <v>95646</v>
      </c>
      <c r="Q6142" s="4">
        <v>134338</v>
      </c>
      <c r="R6142" s="4">
        <v>403014</v>
      </c>
      <c r="S6142" t="s">
        <v>22398</v>
      </c>
      <c r="T6142" s="6">
        <v>33909</v>
      </c>
      <c r="U6142" s="4">
        <v>122500</v>
      </c>
      <c r="X6142" t="s">
        <v>3</v>
      </c>
      <c r="AA6142" s="5" t="str">
        <f>HYPERLINK("https://www.zillow.com/homes/555-RODENBURG-RD-ROSELLE-IL-601722643_rb/","check listing")</f>
        <v>check listing</v>
      </c>
      <c r="AB6142" s="5" t="str">
        <f>HYPERLINK("https://propertylookup.dupagecounty.gov/Datalets/Datalet.aspx?UseSearch=no&amp;mode=sales&amp;pin=0208207018","sales record")</f>
        <v>sales record</v>
      </c>
      <c r="AC6142" t="s">
        <v>3</v>
      </c>
      <c r="AD6142">
        <v>41.97258</v>
      </c>
      <c r="AE6142">
        <v>-88.111791</v>
      </c>
      <c r="AF6142" s="5" t="str">
        <f>HYPERLINK("https://www.google.com/maps/search/?api=1&amp;query=41.97258,-88.111791","map")</f>
        <v>map</v>
      </c>
    </row>
    <row r="6143" spans="1:32">
      <c r="A6143" t="s">
        <v>6193</v>
      </c>
      <c r="B6143" t="s">
        <v>13718</v>
      </c>
      <c r="C6143" t="s">
        <v>15830</v>
      </c>
      <c r="D6143" t="s">
        <v>16207</v>
      </c>
      <c r="E6143" t="s">
        <v>16218</v>
      </c>
      <c r="F6143" t="s">
        <v>16221</v>
      </c>
      <c r="G6143" t="s">
        <v>16241</v>
      </c>
      <c r="H6143" t="s">
        <v>16241</v>
      </c>
      <c r="I6143" t="s">
        <v>16355</v>
      </c>
      <c r="J6143" t="s">
        <v>16385</v>
      </c>
      <c r="K6143">
        <v>0.117</v>
      </c>
      <c r="L6143">
        <v>5088</v>
      </c>
      <c r="M6143">
        <v>1189</v>
      </c>
      <c r="N6143" t="s">
        <v>16393</v>
      </c>
      <c r="O6143" s="4">
        <v>38692</v>
      </c>
      <c r="P6143" s="4">
        <v>77599</v>
      </c>
      <c r="Q6143" s="4">
        <v>116291</v>
      </c>
      <c r="R6143" s="4">
        <v>348873</v>
      </c>
      <c r="S6143" t="s">
        <v>22399</v>
      </c>
      <c r="T6143" s="6">
        <v>39083</v>
      </c>
      <c r="U6143" s="4">
        <v>275000</v>
      </c>
      <c r="V6143" t="s">
        <v>23739</v>
      </c>
      <c r="W6143" t="s">
        <v>22399</v>
      </c>
      <c r="X6143" t="s">
        <v>3</v>
      </c>
      <c r="AA6143" s="5" t="str">
        <f>HYPERLINK("https://www.zillow.com/homes/734-WOODSIDE-DR-ROSELLE-IL-60172_rb/","check listing")</f>
        <v>check listing</v>
      </c>
      <c r="AB6143" s="5" t="str">
        <f>HYPERLINK("https://propertylookup.dupagecounty.gov/Datalets/Datalet.aspx?UseSearch=no&amp;mode=sales&amp;pin=0209118012","sales record")</f>
        <v>sales record</v>
      </c>
      <c r="AC6143" t="s">
        <v>3</v>
      </c>
      <c r="AD6143">
        <v>41.969355</v>
      </c>
      <c r="AE6143">
        <v>-88.105081</v>
      </c>
      <c r="AF6143" s="5" t="str">
        <f>HYPERLINK("https://www.google.com/maps/search/?api=1&amp;query=41.969355,-88.105081","map")</f>
        <v>map</v>
      </c>
    </row>
    <row r="6144" spans="1:32">
      <c r="A6144" t="s">
        <v>6194</v>
      </c>
      <c r="B6144" t="s">
        <v>13719</v>
      </c>
      <c r="C6144" t="s">
        <v>15830</v>
      </c>
      <c r="D6144" t="s">
        <v>16207</v>
      </c>
      <c r="E6144" t="s">
        <v>16218</v>
      </c>
      <c r="F6144" t="s">
        <v>16221</v>
      </c>
      <c r="G6144" t="s">
        <v>16241</v>
      </c>
      <c r="H6144" t="s">
        <v>16241</v>
      </c>
      <c r="I6144" t="s">
        <v>16355</v>
      </c>
      <c r="J6144" t="s">
        <v>16385</v>
      </c>
      <c r="K6144">
        <v>0.117</v>
      </c>
      <c r="L6144">
        <v>5088</v>
      </c>
      <c r="M6144">
        <v>1318</v>
      </c>
      <c r="N6144" t="s">
        <v>16393</v>
      </c>
      <c r="O6144" s="4">
        <v>38692</v>
      </c>
      <c r="P6144" s="4">
        <v>75866</v>
      </c>
      <c r="Q6144" s="4">
        <v>114558</v>
      </c>
      <c r="R6144" s="4">
        <v>343674</v>
      </c>
      <c r="S6144" t="s">
        <v>22400</v>
      </c>
      <c r="T6144" s="6">
        <v>36770</v>
      </c>
      <c r="U6144" s="4">
        <v>162500</v>
      </c>
      <c r="V6144" t="s">
        <v>23739</v>
      </c>
      <c r="W6144" t="s">
        <v>27144</v>
      </c>
      <c r="X6144" t="s">
        <v>3</v>
      </c>
      <c r="AA6144" s="5" t="str">
        <f>HYPERLINK("https://www.zillow.com/homes/770-WOODSIDE-DR-ROSELLE-IL-60172_rb/","check listing")</f>
        <v>check listing</v>
      </c>
      <c r="AB6144" s="5" t="str">
        <f>HYPERLINK("https://propertylookup.dupagecounty.gov/Datalets/Datalet.aspx?UseSearch=no&amp;mode=sales&amp;pin=0209118017","sales record")</f>
        <v>sales record</v>
      </c>
      <c r="AC6144" t="s">
        <v>3</v>
      </c>
      <c r="AD6144">
        <v>41.968641</v>
      </c>
      <c r="AE6144">
        <v>-88.105102</v>
      </c>
      <c r="AF6144" s="5" t="str">
        <f>HYPERLINK("https://www.google.com/maps/search/?api=1&amp;query=41.968641,-88.105102","map")</f>
        <v>map</v>
      </c>
    </row>
    <row r="6145" spans="1:32">
      <c r="A6145" t="s">
        <v>6195</v>
      </c>
      <c r="B6145" t="s">
        <v>13720</v>
      </c>
      <c r="C6145" t="s">
        <v>15830</v>
      </c>
      <c r="D6145" t="s">
        <v>16207</v>
      </c>
      <c r="E6145" t="s">
        <v>16218</v>
      </c>
      <c r="F6145" t="s">
        <v>16221</v>
      </c>
      <c r="G6145" t="s">
        <v>16241</v>
      </c>
      <c r="H6145" t="s">
        <v>16241</v>
      </c>
      <c r="I6145" t="s">
        <v>16355</v>
      </c>
      <c r="J6145" t="s">
        <v>16385</v>
      </c>
      <c r="K6145">
        <v>0.117</v>
      </c>
      <c r="L6145">
        <v>5088</v>
      </c>
      <c r="M6145">
        <v>1187</v>
      </c>
      <c r="N6145" t="s">
        <v>16393</v>
      </c>
      <c r="O6145" s="4">
        <v>38692</v>
      </c>
      <c r="P6145" s="4">
        <v>76463</v>
      </c>
      <c r="Q6145" s="4">
        <v>115155</v>
      </c>
      <c r="R6145" s="4">
        <v>345465</v>
      </c>
      <c r="S6145" t="s">
        <v>22401</v>
      </c>
      <c r="T6145" s="6">
        <v>41974</v>
      </c>
      <c r="U6145" s="4">
        <v>227000</v>
      </c>
      <c r="V6145" t="s">
        <v>23739</v>
      </c>
      <c r="W6145" t="s">
        <v>27145</v>
      </c>
      <c r="X6145" t="s">
        <v>3</v>
      </c>
      <c r="AA6145" s="5" t="str">
        <f>HYPERLINK("https://www.zillow.com/homes/754-WOODSIDE-DR-ROSELLE-IL-60172_rb/","check listing")</f>
        <v>check listing</v>
      </c>
      <c r="AB6145" s="5" t="str">
        <f>HYPERLINK("https://propertylookup.dupagecounty.gov/Datalets/Datalet.aspx?UseSearch=no&amp;mode=sales&amp;pin=0209118015","sales record")</f>
        <v>sales record</v>
      </c>
      <c r="AC6145" t="s">
        <v>3</v>
      </c>
      <c r="AD6145">
        <v>41.968914</v>
      </c>
      <c r="AE6145">
        <v>-88.10509399999999</v>
      </c>
      <c r="AF6145" s="5" t="str">
        <f>HYPERLINK("https://www.google.com/maps/search/?api=1&amp;query=41.968914,-88.105094","map")</f>
        <v>map</v>
      </c>
    </row>
    <row r="6146" spans="1:32">
      <c r="A6146" t="s">
        <v>6196</v>
      </c>
      <c r="B6146" t="s">
        <v>13721</v>
      </c>
      <c r="C6146" t="s">
        <v>15830</v>
      </c>
      <c r="D6146" t="s">
        <v>16207</v>
      </c>
      <c r="E6146" t="s">
        <v>16218</v>
      </c>
      <c r="F6146" t="s">
        <v>16221</v>
      </c>
      <c r="G6146" t="s">
        <v>16241</v>
      </c>
      <c r="H6146" t="s">
        <v>16241</v>
      </c>
      <c r="I6146" t="s">
        <v>16355</v>
      </c>
      <c r="J6146" t="s">
        <v>16385</v>
      </c>
      <c r="K6146">
        <v>0.117</v>
      </c>
      <c r="L6146">
        <v>5088</v>
      </c>
      <c r="M6146">
        <v>1320</v>
      </c>
      <c r="N6146" t="s">
        <v>16393</v>
      </c>
      <c r="O6146" s="4">
        <v>38692</v>
      </c>
      <c r="P6146" s="4">
        <v>78878</v>
      </c>
      <c r="Q6146" s="4">
        <v>117570</v>
      </c>
      <c r="R6146" s="4">
        <v>352710</v>
      </c>
      <c r="S6146" t="s">
        <v>22402</v>
      </c>
      <c r="T6146" s="6">
        <v>36647</v>
      </c>
      <c r="U6146" s="4">
        <v>165000</v>
      </c>
      <c r="V6146" t="s">
        <v>23739</v>
      </c>
      <c r="W6146" t="s">
        <v>22402</v>
      </c>
      <c r="X6146" t="s">
        <v>3</v>
      </c>
      <c r="AA6146" s="5" t="str">
        <f>HYPERLINK("https://www.zillow.com/homes/750-WOODSIDE-DR-ROSELLE-IL-60172_rb/","check listing")</f>
        <v>check listing</v>
      </c>
      <c r="AB6146" s="5" t="str">
        <f>HYPERLINK("https://propertylookup.dupagecounty.gov/Datalets/Datalet.aspx?UseSearch=no&amp;mode=sales&amp;pin=0209118014","sales record")</f>
        <v>sales record</v>
      </c>
      <c r="AC6146" t="s">
        <v>3</v>
      </c>
      <c r="AD6146">
        <v>41.96905</v>
      </c>
      <c r="AE6146">
        <v>-88.10509</v>
      </c>
      <c r="AF6146" s="5" t="str">
        <f>HYPERLINK("https://www.google.com/maps/search/?api=1&amp;query=41.96905,-88.10509","map")</f>
        <v>map</v>
      </c>
    </row>
    <row r="6147" spans="1:32">
      <c r="A6147" t="s">
        <v>6197</v>
      </c>
      <c r="B6147" t="s">
        <v>13722</v>
      </c>
      <c r="C6147" t="s">
        <v>15960</v>
      </c>
      <c r="D6147" t="s">
        <v>16207</v>
      </c>
      <c r="E6147" t="s">
        <v>16218</v>
      </c>
      <c r="F6147" t="s">
        <v>16221</v>
      </c>
      <c r="G6147" t="s">
        <v>16241</v>
      </c>
      <c r="H6147" t="s">
        <v>16241</v>
      </c>
      <c r="I6147" t="s">
        <v>16355</v>
      </c>
      <c r="J6147" t="s">
        <v>16385</v>
      </c>
      <c r="K6147">
        <v>0.117</v>
      </c>
      <c r="L6147">
        <v>5088</v>
      </c>
      <c r="M6147">
        <v>1602</v>
      </c>
      <c r="N6147" t="s">
        <v>16393</v>
      </c>
      <c r="O6147" s="4">
        <v>38692</v>
      </c>
      <c r="P6147" s="4">
        <v>77599</v>
      </c>
      <c r="Q6147" s="4">
        <v>116291</v>
      </c>
      <c r="R6147" s="4">
        <v>348873</v>
      </c>
      <c r="S6147" t="s">
        <v>22403</v>
      </c>
      <c r="T6147" s="6">
        <v>42887</v>
      </c>
      <c r="U6147" s="4">
        <v>247000</v>
      </c>
      <c r="V6147" t="s">
        <v>23739</v>
      </c>
      <c r="W6147" t="s">
        <v>22403</v>
      </c>
      <c r="X6147" t="s">
        <v>3</v>
      </c>
      <c r="AA6147" s="5" t="str">
        <f>HYPERLINK("https://www.zillow.com/homes/425-RODENBURG-RD-ROSELLE-IL-601722667_rb/","check listing")</f>
        <v>check listing</v>
      </c>
      <c r="AB6147" s="5" t="str">
        <f>HYPERLINK("https://propertylookup.dupagecounty.gov/Datalets/Datalet.aspx?UseSearch=no&amp;mode=sales&amp;pin=0208207003","sales record")</f>
        <v>sales record</v>
      </c>
      <c r="AC6147" t="s">
        <v>3</v>
      </c>
      <c r="AD6147">
        <v>41.974619</v>
      </c>
      <c r="AE6147">
        <v>-88.11193299999999</v>
      </c>
      <c r="AF6147" s="5" t="str">
        <f>HYPERLINK("https://www.google.com/maps/search/?api=1&amp;query=41.974619,-88.111933","map")</f>
        <v>map</v>
      </c>
    </row>
    <row r="6148" spans="1:32">
      <c r="A6148" t="s">
        <v>6198</v>
      </c>
      <c r="B6148" t="s">
        <v>13723</v>
      </c>
      <c r="C6148" t="s">
        <v>15830</v>
      </c>
      <c r="D6148" t="s">
        <v>16207</v>
      </c>
      <c r="E6148" t="s">
        <v>16218</v>
      </c>
      <c r="F6148" t="s">
        <v>16221</v>
      </c>
      <c r="G6148" t="s">
        <v>16241</v>
      </c>
      <c r="H6148" t="s">
        <v>16241</v>
      </c>
      <c r="I6148" t="s">
        <v>16355</v>
      </c>
      <c r="J6148" t="s">
        <v>16385</v>
      </c>
      <c r="K6148">
        <v>0.117</v>
      </c>
      <c r="L6148">
        <v>5088</v>
      </c>
      <c r="M6148">
        <v>1319</v>
      </c>
      <c r="N6148" t="s">
        <v>16393</v>
      </c>
      <c r="O6148" s="4">
        <v>38692</v>
      </c>
      <c r="P6148" s="4">
        <v>82488</v>
      </c>
      <c r="Q6148" s="4">
        <v>121180</v>
      </c>
      <c r="R6148" s="4">
        <v>363540</v>
      </c>
      <c r="S6148" t="s">
        <v>22404</v>
      </c>
      <c r="T6148" s="6">
        <v>37681</v>
      </c>
      <c r="U6148" s="4">
        <v>234000</v>
      </c>
      <c r="V6148" t="s">
        <v>23739</v>
      </c>
      <c r="W6148" t="s">
        <v>27146</v>
      </c>
      <c r="X6148" t="s">
        <v>3</v>
      </c>
      <c r="AA6148" s="5" t="str">
        <f>HYPERLINK("https://www.zillow.com/homes/755-MEADE-LN-ROSELLE-IL-60172_rb/","check listing")</f>
        <v>check listing</v>
      </c>
      <c r="AB6148" s="5" t="str">
        <f>HYPERLINK("https://propertylookup.dupagecounty.gov/Datalets/Datalet.aspx?UseSearch=no&amp;mode=sales&amp;pin=0209118006","sales record")</f>
        <v>sales record</v>
      </c>
      <c r="AC6148" t="s">
        <v>3</v>
      </c>
      <c r="AD6148">
        <v>41.969051</v>
      </c>
      <c r="AE6148">
        <v>-88.105465</v>
      </c>
      <c r="AF6148" s="5" t="str">
        <f>HYPERLINK("https://www.google.com/maps/search/?api=1&amp;query=41.969051,-88.105465","map")</f>
        <v>map</v>
      </c>
    </row>
    <row r="6149" spans="1:32">
      <c r="A6149" t="s">
        <v>6199</v>
      </c>
      <c r="B6149" t="s">
        <v>13724</v>
      </c>
      <c r="C6149" t="s">
        <v>15830</v>
      </c>
      <c r="D6149" t="s">
        <v>16207</v>
      </c>
      <c r="E6149" t="s">
        <v>16218</v>
      </c>
      <c r="F6149" t="s">
        <v>16221</v>
      </c>
      <c r="G6149" t="s">
        <v>16241</v>
      </c>
      <c r="H6149" t="s">
        <v>16241</v>
      </c>
      <c r="I6149" t="s">
        <v>16355</v>
      </c>
      <c r="J6149" t="s">
        <v>16385</v>
      </c>
      <c r="K6149">
        <v>0.117</v>
      </c>
      <c r="L6149">
        <v>5087</v>
      </c>
      <c r="M6149">
        <v>1451</v>
      </c>
      <c r="N6149" t="s">
        <v>16393</v>
      </c>
      <c r="O6149" s="4">
        <v>38692</v>
      </c>
      <c r="P6149" s="4">
        <v>77599</v>
      </c>
      <c r="Q6149" s="4">
        <v>116291</v>
      </c>
      <c r="R6149" s="4">
        <v>348873</v>
      </c>
      <c r="S6149" t="s">
        <v>22405</v>
      </c>
      <c r="T6149" s="6">
        <v>42552</v>
      </c>
      <c r="U6149" s="4">
        <v>180000</v>
      </c>
      <c r="V6149" t="s">
        <v>23740</v>
      </c>
      <c r="W6149" t="s">
        <v>22405</v>
      </c>
      <c r="X6149" t="s">
        <v>3</v>
      </c>
      <c r="AA6149" s="5" t="str">
        <f>HYPERLINK("https://www.zillow.com/homes/740-WOODSIDE-DR-ROSELLE-IL-60172_rb/","check listing")</f>
        <v>check listing</v>
      </c>
      <c r="AB6149" s="5" t="str">
        <f>HYPERLINK("https://propertylookup.dupagecounty.gov/Datalets/Datalet.aspx?UseSearch=no&amp;mode=sales&amp;pin=0209118013","sales record")</f>
        <v>sales record</v>
      </c>
      <c r="AC6149" t="s">
        <v>3</v>
      </c>
      <c r="AD6149">
        <v>41.9692</v>
      </c>
      <c r="AE6149">
        <v>-88.105086</v>
      </c>
      <c r="AF6149" s="5" t="str">
        <f>HYPERLINK("https://www.google.com/maps/search/?api=1&amp;query=41.9692,-88.105086","map")</f>
        <v>map</v>
      </c>
    </row>
    <row r="6150" spans="1:32">
      <c r="A6150" t="s">
        <v>6200</v>
      </c>
      <c r="B6150" t="s">
        <v>13725</v>
      </c>
      <c r="C6150" t="s">
        <v>15830</v>
      </c>
      <c r="D6150" t="s">
        <v>16207</v>
      </c>
      <c r="E6150" t="s">
        <v>16218</v>
      </c>
      <c r="F6150" t="s">
        <v>16221</v>
      </c>
      <c r="G6150" t="s">
        <v>16241</v>
      </c>
      <c r="H6150" t="s">
        <v>16241</v>
      </c>
      <c r="I6150" t="s">
        <v>16355</v>
      </c>
      <c r="J6150" t="s">
        <v>16385</v>
      </c>
      <c r="K6150">
        <v>0.117</v>
      </c>
      <c r="L6150">
        <v>5087</v>
      </c>
      <c r="M6150">
        <v>989</v>
      </c>
      <c r="N6150" t="s">
        <v>16393</v>
      </c>
      <c r="O6150" s="4">
        <v>38692</v>
      </c>
      <c r="P6150" s="4">
        <v>77599</v>
      </c>
      <c r="Q6150" s="4">
        <v>116291</v>
      </c>
      <c r="R6150" s="4">
        <v>348873</v>
      </c>
      <c r="S6150" t="s">
        <v>22406</v>
      </c>
      <c r="T6150" s="6">
        <v>38322</v>
      </c>
      <c r="U6150" s="4">
        <v>237000</v>
      </c>
      <c r="V6150" t="s">
        <v>23739</v>
      </c>
      <c r="W6150" t="s">
        <v>27147</v>
      </c>
      <c r="X6150" t="s">
        <v>3</v>
      </c>
      <c r="AA6150" s="5" t="str">
        <f>HYPERLINK("https://www.zillow.com/homes/775-MEADE-LN-ROSELLE-IL-60172_rb/","check listing")</f>
        <v>check listing</v>
      </c>
      <c r="AB6150" s="5" t="str">
        <f>HYPERLINK("https://propertylookup.dupagecounty.gov/Datalets/Datalet.aspx?UseSearch=no&amp;mode=sales&amp;pin=0209118008","sales record")</f>
        <v>sales record</v>
      </c>
      <c r="AC6150" t="s">
        <v>3</v>
      </c>
      <c r="AD6150">
        <v>41.968778</v>
      </c>
      <c r="AE6150">
        <v>-88.105473</v>
      </c>
      <c r="AF6150" s="5" t="str">
        <f>HYPERLINK("https://www.google.com/maps/search/?api=1&amp;query=41.968778,-88.105473","map")</f>
        <v>map</v>
      </c>
    </row>
    <row r="6151" spans="1:32">
      <c r="A6151" t="s">
        <v>6201</v>
      </c>
      <c r="B6151" t="s">
        <v>13726</v>
      </c>
      <c r="C6151" t="s">
        <v>15952</v>
      </c>
      <c r="D6151" t="s">
        <v>16207</v>
      </c>
      <c r="E6151" t="s">
        <v>16218</v>
      </c>
      <c r="F6151" t="s">
        <v>16221</v>
      </c>
      <c r="G6151" t="s">
        <v>16241</v>
      </c>
      <c r="H6151" t="s">
        <v>16241</v>
      </c>
      <c r="I6151" t="s">
        <v>16355</v>
      </c>
      <c r="J6151" t="s">
        <v>16385</v>
      </c>
      <c r="K6151">
        <v>0.117</v>
      </c>
      <c r="L6151">
        <v>5086</v>
      </c>
      <c r="M6151">
        <v>1473</v>
      </c>
      <c r="N6151" t="s">
        <v>16393</v>
      </c>
      <c r="O6151" s="4">
        <v>38692</v>
      </c>
      <c r="P6151" s="4">
        <v>79452</v>
      </c>
      <c r="Q6151" s="4">
        <v>118144</v>
      </c>
      <c r="R6151" s="4">
        <v>354432</v>
      </c>
      <c r="S6151" t="s">
        <v>22407</v>
      </c>
      <c r="T6151" s="6">
        <v>44136</v>
      </c>
      <c r="U6151" s="4">
        <v>265000</v>
      </c>
      <c r="V6151" t="s">
        <v>23739</v>
      </c>
      <c r="W6151" t="s">
        <v>22407</v>
      </c>
      <c r="X6151" t="s">
        <v>3</v>
      </c>
      <c r="AA6151" s="5" t="str">
        <f>HYPERLINK("https://www.zillow.com/homes/765-MEADE-LN-ROSELLE-IL-601722710_rb/","check listing")</f>
        <v>check listing</v>
      </c>
      <c r="AB6151" s="5" t="str">
        <f>HYPERLINK("https://propertylookup.dupagecounty.gov/Datalets/Datalet.aspx?UseSearch=no&amp;mode=sales&amp;pin=0209118007","sales record")</f>
        <v>sales record</v>
      </c>
      <c r="AC6151" t="s">
        <v>3</v>
      </c>
      <c r="AD6151">
        <v>41.968915</v>
      </c>
      <c r="AE6151">
        <v>-88.105469</v>
      </c>
      <c r="AF6151" s="5" t="str">
        <f>HYPERLINK("https://www.google.com/maps/search/?api=1&amp;query=41.968915,-88.105469","map")</f>
        <v>map</v>
      </c>
    </row>
    <row r="6152" spans="1:32">
      <c r="A6152" t="s">
        <v>6202</v>
      </c>
      <c r="B6152" t="s">
        <v>13727</v>
      </c>
      <c r="C6152" t="s">
        <v>15830</v>
      </c>
      <c r="D6152" t="s">
        <v>16207</v>
      </c>
      <c r="E6152" t="s">
        <v>16218</v>
      </c>
      <c r="F6152" t="s">
        <v>16221</v>
      </c>
      <c r="G6152" t="s">
        <v>16241</v>
      </c>
      <c r="H6152" t="s">
        <v>16241</v>
      </c>
      <c r="I6152" t="s">
        <v>16355</v>
      </c>
      <c r="J6152" t="s">
        <v>16385</v>
      </c>
      <c r="K6152">
        <v>0.117</v>
      </c>
      <c r="L6152">
        <v>5086</v>
      </c>
      <c r="M6152">
        <v>1319</v>
      </c>
      <c r="N6152" t="s">
        <v>16393</v>
      </c>
      <c r="O6152" s="4">
        <v>38692</v>
      </c>
      <c r="P6152" s="4">
        <v>78447</v>
      </c>
      <c r="Q6152" s="4">
        <v>117139</v>
      </c>
      <c r="R6152" s="4">
        <v>351417</v>
      </c>
      <c r="S6152" t="s">
        <v>22408</v>
      </c>
      <c r="T6152" s="6">
        <v>42583</v>
      </c>
      <c r="U6152" s="4">
        <v>230000</v>
      </c>
      <c r="V6152" t="s">
        <v>23739</v>
      </c>
      <c r="W6152" t="s">
        <v>22408</v>
      </c>
      <c r="X6152" t="s">
        <v>3</v>
      </c>
      <c r="AA6152" s="5" t="str">
        <f>HYPERLINK("https://www.zillow.com/homes/515-RODENBERG-ROAD-ROSELLE-IL-60172_rb/","check listing")</f>
        <v>check listing</v>
      </c>
      <c r="AB6152" s="5" t="str">
        <f>HYPERLINK("https://propertylookup.dupagecounty.gov/Datalets/Datalet.aspx?UseSearch=no&amp;mode=sales&amp;pin=0208207014","sales record")</f>
        <v>sales record</v>
      </c>
      <c r="AC6152" t="s">
        <v>3</v>
      </c>
      <c r="AD6152">
        <v>41.973098</v>
      </c>
      <c r="AE6152">
        <v>-88.11203500000001</v>
      </c>
      <c r="AF6152" s="5" t="str">
        <f>HYPERLINK("https://www.google.com/maps/search/?api=1&amp;query=41.973098,-88.112035","map")</f>
        <v>map</v>
      </c>
    </row>
    <row r="6153" spans="1:32">
      <c r="A6153" t="s">
        <v>6203</v>
      </c>
      <c r="B6153" t="s">
        <v>13728</v>
      </c>
      <c r="C6153" t="s">
        <v>15830</v>
      </c>
      <c r="D6153" t="s">
        <v>16207</v>
      </c>
      <c r="E6153" t="s">
        <v>16218</v>
      </c>
      <c r="F6153" t="s">
        <v>16221</v>
      </c>
      <c r="G6153" t="s">
        <v>16241</v>
      </c>
      <c r="H6153" t="s">
        <v>16241</v>
      </c>
      <c r="I6153" t="s">
        <v>16355</v>
      </c>
      <c r="J6153" t="s">
        <v>16385</v>
      </c>
      <c r="K6153">
        <v>0.117</v>
      </c>
      <c r="L6153">
        <v>5086</v>
      </c>
      <c r="M6153">
        <v>1531</v>
      </c>
      <c r="N6153" t="s">
        <v>16393</v>
      </c>
      <c r="O6153" s="4">
        <v>38692</v>
      </c>
      <c r="P6153" s="4">
        <v>81687</v>
      </c>
      <c r="Q6153" s="4">
        <v>120379</v>
      </c>
      <c r="R6153" s="4">
        <v>361137</v>
      </c>
      <c r="S6153" t="s">
        <v>22409</v>
      </c>
      <c r="X6153" t="s">
        <v>3</v>
      </c>
      <c r="AA6153" s="5" t="str">
        <f>HYPERLINK("https://www.zillow.com/homes/760-WOODSIDE-DR-ROSELLE-IL-60172_rb/","check listing")</f>
        <v>check listing</v>
      </c>
      <c r="AB6153" s="5" t="str">
        <f>HYPERLINK("https://propertylookup.dupagecounty.gov/Datalets/Datalet.aspx?UseSearch=no&amp;mode=sales&amp;pin=0209118016","sales record")</f>
        <v>sales record</v>
      </c>
      <c r="AC6153" t="s">
        <v>3</v>
      </c>
      <c r="AD6153">
        <v>41.968777</v>
      </c>
      <c r="AE6153">
        <v>-88.105098</v>
      </c>
      <c r="AF6153" s="5" t="str">
        <f>HYPERLINK("https://www.google.com/maps/search/?api=1&amp;query=41.968777,-88.105098","map")</f>
        <v>map</v>
      </c>
    </row>
    <row r="6154" spans="1:32">
      <c r="A6154" t="s">
        <v>6204</v>
      </c>
      <c r="B6154" t="s">
        <v>13729</v>
      </c>
      <c r="C6154" t="s">
        <v>15830</v>
      </c>
      <c r="D6154" t="s">
        <v>16207</v>
      </c>
      <c r="E6154" t="s">
        <v>16218</v>
      </c>
      <c r="F6154" t="s">
        <v>16221</v>
      </c>
      <c r="G6154" t="s">
        <v>16241</v>
      </c>
      <c r="H6154" t="s">
        <v>16241</v>
      </c>
      <c r="I6154" t="s">
        <v>16355</v>
      </c>
      <c r="J6154" t="s">
        <v>16385</v>
      </c>
      <c r="K6154">
        <v>0.117</v>
      </c>
      <c r="L6154">
        <v>5084</v>
      </c>
      <c r="M6154">
        <v>1689</v>
      </c>
      <c r="N6154" t="s">
        <v>16393</v>
      </c>
      <c r="O6154" s="4">
        <v>38692</v>
      </c>
      <c r="P6154" s="4">
        <v>55606</v>
      </c>
      <c r="Q6154" s="4">
        <v>94298</v>
      </c>
      <c r="R6154" s="4">
        <v>282894</v>
      </c>
      <c r="S6154" t="s">
        <v>22410</v>
      </c>
      <c r="T6154" s="6">
        <v>36342</v>
      </c>
      <c r="U6154" s="4">
        <v>135000</v>
      </c>
      <c r="X6154" t="s">
        <v>3</v>
      </c>
      <c r="AA6154" s="5" t="str">
        <f>HYPERLINK("https://www.zillow.com/homes/495-RODENBURG-RD-ROSELLE-IL-60172_rb/","check listing")</f>
        <v>check listing</v>
      </c>
      <c r="AB6154" s="5" t="str">
        <f>HYPERLINK("https://propertylookup.dupagecounty.gov/Datalets/Datalet.aspx?UseSearch=no&amp;mode=sales&amp;pin=0208207011","sales record")</f>
        <v>sales record</v>
      </c>
      <c r="AC6154" t="s">
        <v>3</v>
      </c>
      <c r="AD6154">
        <v>41.973499</v>
      </c>
      <c r="AE6154">
        <v>-88.112123</v>
      </c>
      <c r="AF6154" s="5" t="str">
        <f>HYPERLINK("https://www.google.com/maps/search/?api=1&amp;query=41.973499,-88.112123","map")</f>
        <v>map</v>
      </c>
    </row>
    <row r="6155" spans="1:32">
      <c r="A6155" t="s">
        <v>6205</v>
      </c>
      <c r="B6155" t="s">
        <v>13730</v>
      </c>
      <c r="C6155" t="s">
        <v>15953</v>
      </c>
      <c r="D6155" t="s">
        <v>16207</v>
      </c>
      <c r="E6155" t="s">
        <v>16218</v>
      </c>
      <c r="F6155" t="s">
        <v>16221</v>
      </c>
      <c r="G6155" t="s">
        <v>16241</v>
      </c>
      <c r="H6155" t="s">
        <v>16241</v>
      </c>
      <c r="I6155" t="s">
        <v>16355</v>
      </c>
      <c r="J6155" t="s">
        <v>16385</v>
      </c>
      <c r="K6155">
        <v>0.117</v>
      </c>
      <c r="L6155">
        <v>5080</v>
      </c>
      <c r="M6155">
        <v>1930</v>
      </c>
      <c r="N6155" t="s">
        <v>16393</v>
      </c>
      <c r="O6155" s="4">
        <v>38692</v>
      </c>
      <c r="P6155" s="4">
        <v>58092</v>
      </c>
      <c r="Q6155" s="4">
        <v>96784</v>
      </c>
      <c r="R6155" s="4">
        <v>290352</v>
      </c>
      <c r="S6155" t="s">
        <v>22411</v>
      </c>
      <c r="T6155" s="6">
        <v>43617</v>
      </c>
      <c r="U6155" s="4">
        <v>220000</v>
      </c>
      <c r="V6155" t="s">
        <v>23739</v>
      </c>
      <c r="W6155" t="s">
        <v>27148</v>
      </c>
      <c r="X6155" t="s">
        <v>3</v>
      </c>
      <c r="AA6155" s="5" t="str">
        <f>HYPERLINK("https://www.zillow.com/homes/404-S-GARDEN-AVE-ROSELLE-IL-601722813_rb/","check listing")</f>
        <v>check listing</v>
      </c>
      <c r="AB6155" s="5" t="str">
        <f>HYPERLINK("https://propertylookup.dupagecounty.gov/Datalets/Datalet.aspx?UseSearch=no&amp;mode=sales&amp;pin=0209108002","sales record")</f>
        <v>sales record</v>
      </c>
      <c r="AC6155" t="s">
        <v>3</v>
      </c>
      <c r="AD6155">
        <v>41.975285</v>
      </c>
      <c r="AE6155">
        <v>-88.104601</v>
      </c>
      <c r="AF6155" s="5" t="str">
        <f>HYPERLINK("https://www.google.com/maps/search/?api=1&amp;query=41.975285,-88.104601","map")</f>
        <v>map</v>
      </c>
    </row>
    <row r="6156" spans="1:32">
      <c r="A6156" t="s">
        <v>6206</v>
      </c>
      <c r="B6156" t="s">
        <v>13731</v>
      </c>
      <c r="C6156" t="s">
        <v>15980</v>
      </c>
      <c r="D6156" t="s">
        <v>16207</v>
      </c>
      <c r="E6156" t="s">
        <v>16218</v>
      </c>
      <c r="F6156" t="s">
        <v>16221</v>
      </c>
      <c r="G6156" t="s">
        <v>16241</v>
      </c>
      <c r="H6156" t="s">
        <v>16241</v>
      </c>
      <c r="I6156" t="s">
        <v>16355</v>
      </c>
      <c r="J6156" t="s">
        <v>16385</v>
      </c>
      <c r="K6156">
        <v>0.116</v>
      </c>
      <c r="L6156">
        <v>5072</v>
      </c>
      <c r="M6156">
        <v>1320</v>
      </c>
      <c r="N6156" t="s">
        <v>16393</v>
      </c>
      <c r="O6156" s="4">
        <v>38692</v>
      </c>
      <c r="P6156" s="4">
        <v>78447</v>
      </c>
      <c r="Q6156" s="4">
        <v>117139</v>
      </c>
      <c r="R6156" s="4">
        <v>351417</v>
      </c>
      <c r="S6156" t="s">
        <v>22412</v>
      </c>
      <c r="T6156" s="6">
        <v>43525</v>
      </c>
      <c r="U6156" s="4">
        <v>250000</v>
      </c>
      <c r="V6156" t="s">
        <v>23739</v>
      </c>
      <c r="W6156" t="s">
        <v>27149</v>
      </c>
      <c r="X6156" t="s">
        <v>3</v>
      </c>
      <c r="AA6156" s="5" t="str">
        <f>HYPERLINK("https://www.zillow.com/homes/455-NORMAN-LN-ROSELLE-IL-601722628_rb/","check listing")</f>
        <v>check listing</v>
      </c>
      <c r="AB6156" s="5" t="str">
        <f>HYPERLINK("https://propertylookup.dupagecounty.gov/Datalets/Datalet.aspx?UseSearch=no&amp;mode=sales&amp;pin=0209106008","sales record")</f>
        <v>sales record</v>
      </c>
      <c r="AC6156" t="s">
        <v>3</v>
      </c>
      <c r="AD6156">
        <v>41.974588</v>
      </c>
      <c r="AE6156">
        <v>-88.109784</v>
      </c>
      <c r="AF6156" s="5" t="str">
        <f>HYPERLINK("https://www.google.com/maps/search/?api=1&amp;query=41.974588,-88.109784","map")</f>
        <v>map</v>
      </c>
    </row>
    <row r="6157" spans="1:32">
      <c r="A6157" t="s">
        <v>6207</v>
      </c>
      <c r="B6157" t="s">
        <v>13732</v>
      </c>
      <c r="C6157" t="s">
        <v>15830</v>
      </c>
      <c r="D6157" t="s">
        <v>16207</v>
      </c>
      <c r="E6157" t="s">
        <v>16218</v>
      </c>
      <c r="F6157" t="s">
        <v>16221</v>
      </c>
      <c r="G6157" t="s">
        <v>16241</v>
      </c>
      <c r="H6157" t="s">
        <v>16241</v>
      </c>
      <c r="I6157" t="s">
        <v>16355</v>
      </c>
      <c r="J6157" t="s">
        <v>16385</v>
      </c>
      <c r="K6157">
        <v>0.116</v>
      </c>
      <c r="L6157">
        <v>5070</v>
      </c>
      <c r="M6157">
        <v>1320</v>
      </c>
      <c r="N6157" t="s">
        <v>16393</v>
      </c>
      <c r="O6157" s="4">
        <v>38692</v>
      </c>
      <c r="P6157" s="4">
        <v>78663</v>
      </c>
      <c r="Q6157" s="4">
        <v>117355</v>
      </c>
      <c r="R6157" s="4">
        <v>352065</v>
      </c>
      <c r="S6157" t="s">
        <v>22413</v>
      </c>
      <c r="T6157" s="6">
        <v>37742</v>
      </c>
      <c r="U6157" s="4">
        <v>212500</v>
      </c>
      <c r="V6157" t="s">
        <v>23739</v>
      </c>
      <c r="W6157" t="s">
        <v>27150</v>
      </c>
      <c r="X6157" t="s">
        <v>3</v>
      </c>
      <c r="AA6157" s="5" t="str">
        <f>HYPERLINK("https://www.zillow.com/homes/485-WATERBURY-LN-ROSELLE-IL-60172_rb/","check listing")</f>
        <v>check listing</v>
      </c>
      <c r="AB6157" s="5" t="str">
        <f>HYPERLINK("https://propertylookup.dupagecounty.gov/Datalets/Datalet.aspx?UseSearch=no&amp;mode=sales&amp;pin=0209107012","sales record")</f>
        <v>sales record</v>
      </c>
      <c r="AC6157" t="s">
        <v>3</v>
      </c>
      <c r="AD6157">
        <v>41.97391</v>
      </c>
      <c r="AE6157">
        <v>-88.109134</v>
      </c>
      <c r="AF6157" s="5" t="str">
        <f>HYPERLINK("https://www.google.com/maps/search/?api=1&amp;query=41.97391,-88.109134","map")</f>
        <v>map</v>
      </c>
    </row>
    <row r="6158" spans="1:32">
      <c r="A6158" t="s">
        <v>6208</v>
      </c>
      <c r="B6158" t="s">
        <v>13733</v>
      </c>
      <c r="C6158" t="s">
        <v>15830</v>
      </c>
      <c r="D6158" t="s">
        <v>16207</v>
      </c>
      <c r="E6158" t="s">
        <v>16218</v>
      </c>
      <c r="F6158" t="s">
        <v>16221</v>
      </c>
      <c r="G6158" t="s">
        <v>16241</v>
      </c>
      <c r="H6158" t="s">
        <v>16241</v>
      </c>
      <c r="I6158" t="s">
        <v>16355</v>
      </c>
      <c r="J6158" t="s">
        <v>16385</v>
      </c>
      <c r="K6158">
        <v>0.116</v>
      </c>
      <c r="L6158">
        <v>5063</v>
      </c>
      <c r="M6158">
        <v>1594</v>
      </c>
      <c r="N6158" t="s">
        <v>16393</v>
      </c>
      <c r="O6158" s="4">
        <v>38692</v>
      </c>
      <c r="P6158" s="4">
        <v>77587</v>
      </c>
      <c r="Q6158" s="4">
        <v>116279</v>
      </c>
      <c r="R6158" s="4">
        <v>348837</v>
      </c>
      <c r="S6158" t="s">
        <v>22414</v>
      </c>
      <c r="T6158" s="6">
        <v>30376</v>
      </c>
      <c r="U6158" s="4">
        <v>70000</v>
      </c>
      <c r="X6158" t="s">
        <v>3</v>
      </c>
      <c r="AA6158" s="5" t="str">
        <f>HYPERLINK("https://www.zillow.com/homes/865-STONEFIELD-PL-ROSELLE-IL-60172_rb/","check listing")</f>
        <v>check listing</v>
      </c>
      <c r="AB6158" s="5" t="str">
        <f>HYPERLINK("https://propertylookup.dupagecounty.gov/Datalets/Datalet.aspx?UseSearch=no&amp;mode=sales&amp;pin=0209102012","sales record")</f>
        <v>sales record</v>
      </c>
      <c r="AC6158" t="s">
        <v>3</v>
      </c>
      <c r="AD6158">
        <v>41.972034</v>
      </c>
      <c r="AE6158">
        <v>-88.10205499999999</v>
      </c>
      <c r="AF6158" s="5" t="str">
        <f>HYPERLINK("https://www.google.com/maps/search/?api=1&amp;query=41.972034,-88.102055","map")</f>
        <v>map</v>
      </c>
    </row>
    <row r="6159" spans="1:32">
      <c r="A6159" t="s">
        <v>6209</v>
      </c>
      <c r="B6159" t="s">
        <v>13734</v>
      </c>
      <c r="C6159" t="s">
        <v>15830</v>
      </c>
      <c r="D6159" t="s">
        <v>16207</v>
      </c>
      <c r="E6159" t="s">
        <v>16218</v>
      </c>
      <c r="F6159" t="s">
        <v>16221</v>
      </c>
      <c r="G6159" t="s">
        <v>16241</v>
      </c>
      <c r="H6159" t="s">
        <v>16241</v>
      </c>
      <c r="I6159" t="s">
        <v>16355</v>
      </c>
      <c r="J6159" t="s">
        <v>16385</v>
      </c>
      <c r="K6159">
        <v>0.116</v>
      </c>
      <c r="L6159">
        <v>5058</v>
      </c>
      <c r="M6159">
        <v>2387</v>
      </c>
      <c r="N6159" t="s">
        <v>16393</v>
      </c>
      <c r="O6159" s="4">
        <v>38692</v>
      </c>
      <c r="P6159" s="4">
        <v>79189</v>
      </c>
      <c r="Q6159" s="4">
        <v>117881</v>
      </c>
      <c r="R6159" s="4">
        <v>353643</v>
      </c>
      <c r="S6159" t="s">
        <v>22415</v>
      </c>
      <c r="T6159" s="6">
        <v>45971</v>
      </c>
      <c r="U6159" s="4">
        <v>385000</v>
      </c>
      <c r="V6159" t="s">
        <v>23741</v>
      </c>
      <c r="W6159" t="s">
        <v>27151</v>
      </c>
      <c r="X6159" t="s">
        <v>3</v>
      </c>
      <c r="AA6159" s="5" t="str">
        <f>HYPERLINK("https://www.zillow.com/homes/515-DOVER-CT-ROSELLE-IL-60172_rb/","check listing")</f>
        <v>check listing</v>
      </c>
      <c r="AB6159" s="5" t="str">
        <f>HYPERLINK("https://propertylookup.dupagecounty.gov/Datalets/Datalet.aspx?UseSearch=no&amp;mode=sales&amp;pin=0208209006","sales record")</f>
        <v>sales record</v>
      </c>
      <c r="AC6159" t="s">
        <v>3</v>
      </c>
      <c r="AD6159">
        <v>41.973364</v>
      </c>
      <c r="AE6159">
        <v>-88.11100999999999</v>
      </c>
      <c r="AF6159" s="5" t="str">
        <f>HYPERLINK("https://www.google.com/maps/search/?api=1&amp;query=41.973364,-88.11101","map")</f>
        <v>map</v>
      </c>
    </row>
    <row r="6160" spans="1:32">
      <c r="A6160" t="s">
        <v>6210</v>
      </c>
      <c r="B6160" t="s">
        <v>13735</v>
      </c>
      <c r="C6160" t="s">
        <v>15981</v>
      </c>
      <c r="D6160" t="s">
        <v>16207</v>
      </c>
      <c r="E6160" t="s">
        <v>16218</v>
      </c>
      <c r="F6160" t="s">
        <v>16221</v>
      </c>
      <c r="G6160" t="s">
        <v>16241</v>
      </c>
      <c r="H6160" t="s">
        <v>16241</v>
      </c>
      <c r="I6160" t="s">
        <v>16355</v>
      </c>
      <c r="J6160" t="s">
        <v>16385</v>
      </c>
      <c r="K6160">
        <v>0.116</v>
      </c>
      <c r="L6160">
        <v>5048</v>
      </c>
      <c r="M6160">
        <v>1319</v>
      </c>
      <c r="N6160" t="s">
        <v>16393</v>
      </c>
      <c r="O6160" s="4">
        <v>38692</v>
      </c>
      <c r="P6160" s="4">
        <v>75974</v>
      </c>
      <c r="Q6160" s="4">
        <v>114666</v>
      </c>
      <c r="R6160" s="4">
        <v>343998</v>
      </c>
      <c r="S6160" t="s">
        <v>22416</v>
      </c>
      <c r="T6160" s="6">
        <v>37043</v>
      </c>
      <c r="U6160" s="4">
        <v>188000</v>
      </c>
      <c r="V6160" t="s">
        <v>23739</v>
      </c>
      <c r="W6160" t="s">
        <v>27152</v>
      </c>
      <c r="X6160" t="s">
        <v>3</v>
      </c>
      <c r="AA6160" s="5" t="str">
        <f>HYPERLINK("https://www.zillow.com/homes/905-EDENWOOD-DR-ROSELLE-IL-601722757_rb/","check listing")</f>
        <v>check listing</v>
      </c>
      <c r="AB6160" s="5" t="str">
        <f>HYPERLINK("https://propertylookup.dupagecounty.gov/Datalets/Datalet.aspx?UseSearch=no&amp;mode=sales&amp;pin=0209101011","sales record")</f>
        <v>sales record</v>
      </c>
      <c r="AC6160" t="s">
        <v>3</v>
      </c>
      <c r="AD6160">
        <v>41.972556</v>
      </c>
      <c r="AE6160">
        <v>-88.10316</v>
      </c>
      <c r="AF6160" s="5" t="str">
        <f>HYPERLINK("https://www.google.com/maps/search/?api=1&amp;query=41.972556,-88.10316","map")</f>
        <v>map</v>
      </c>
    </row>
    <row r="6161" spans="1:32">
      <c r="A6161" t="s">
        <v>6211</v>
      </c>
      <c r="B6161" t="s">
        <v>13736</v>
      </c>
      <c r="C6161" t="s">
        <v>15982</v>
      </c>
      <c r="D6161" t="s">
        <v>16207</v>
      </c>
      <c r="E6161" t="s">
        <v>16218</v>
      </c>
      <c r="F6161" t="s">
        <v>16221</v>
      </c>
      <c r="G6161" t="s">
        <v>16241</v>
      </c>
      <c r="H6161" t="s">
        <v>16241</v>
      </c>
      <c r="I6161" t="s">
        <v>16355</v>
      </c>
      <c r="J6161" t="s">
        <v>16385</v>
      </c>
      <c r="K6161">
        <v>0.116</v>
      </c>
      <c r="L6161">
        <v>5034</v>
      </c>
      <c r="M6161">
        <v>1072</v>
      </c>
      <c r="N6161" t="s">
        <v>16393</v>
      </c>
      <c r="O6161" s="4">
        <v>38692</v>
      </c>
      <c r="P6161" s="4">
        <v>81687</v>
      </c>
      <c r="Q6161" s="4">
        <v>120379</v>
      </c>
      <c r="R6161" s="4">
        <v>361137</v>
      </c>
      <c r="S6161" t="s">
        <v>22417</v>
      </c>
      <c r="T6161" s="6">
        <v>45618</v>
      </c>
      <c r="U6161" s="4">
        <v>420500</v>
      </c>
      <c r="V6161" t="s">
        <v>23741</v>
      </c>
      <c r="W6161" t="s">
        <v>27153</v>
      </c>
      <c r="X6161" t="s">
        <v>3</v>
      </c>
      <c r="AA6161" s="5" t="str">
        <f>HYPERLINK("https://www.zillow.com/homes/445-OXFORD-PL-ROSELLE-IL-601722640_rb/","check listing")</f>
        <v>check listing</v>
      </c>
      <c r="AB6161" s="5" t="str">
        <f>HYPERLINK("https://propertylookup.dupagecounty.gov/Datalets/Datalet.aspx?UseSearch=no&amp;mode=sales&amp;pin=0209107007","sales record")</f>
        <v>sales record</v>
      </c>
      <c r="AC6161" t="s">
        <v>3</v>
      </c>
      <c r="AD6161">
        <v>41.974539</v>
      </c>
      <c r="AE6161">
        <v>-88.10875299999999</v>
      </c>
      <c r="AF6161" s="5" t="str">
        <f>HYPERLINK("https://www.google.com/maps/search/?api=1&amp;query=41.974539,-88.108753","map")</f>
        <v>map</v>
      </c>
    </row>
    <row r="6162" spans="1:32">
      <c r="A6162" t="s">
        <v>6212</v>
      </c>
      <c r="B6162" t="s">
        <v>13737</v>
      </c>
      <c r="C6162" t="s">
        <v>15830</v>
      </c>
      <c r="D6162" t="s">
        <v>16207</v>
      </c>
      <c r="E6162" t="s">
        <v>16218</v>
      </c>
      <c r="F6162" t="s">
        <v>16221</v>
      </c>
      <c r="G6162" t="s">
        <v>16241</v>
      </c>
      <c r="H6162" t="s">
        <v>16241</v>
      </c>
      <c r="I6162" t="s">
        <v>16355</v>
      </c>
      <c r="J6162" t="s">
        <v>16385</v>
      </c>
      <c r="K6162">
        <v>0.116</v>
      </c>
      <c r="L6162">
        <v>5032</v>
      </c>
      <c r="M6162">
        <v>1452</v>
      </c>
      <c r="N6162" t="s">
        <v>16393</v>
      </c>
      <c r="O6162" s="4">
        <v>38692</v>
      </c>
      <c r="P6162" s="4">
        <v>77444</v>
      </c>
      <c r="Q6162" s="4">
        <v>116136</v>
      </c>
      <c r="R6162" s="4">
        <v>348408</v>
      </c>
      <c r="S6162" t="s">
        <v>22418</v>
      </c>
      <c r="T6162" s="6">
        <v>35217</v>
      </c>
      <c r="U6162" s="4">
        <v>139800</v>
      </c>
      <c r="X6162" t="s">
        <v>3</v>
      </c>
      <c r="AA6162" s="5" t="str">
        <f>HYPERLINK("https://www.zillow.com/homes/535-WATERBURY-LN-ROSELLE-IL-60172_rb/","check listing")</f>
        <v>check listing</v>
      </c>
      <c r="AB6162" s="5" t="str">
        <f>HYPERLINK("https://propertylookup.dupagecounty.gov/Datalets/Datalet.aspx?UseSearch=no&amp;mode=sales&amp;pin=0209107017","sales record")</f>
        <v>sales record</v>
      </c>
      <c r="AC6162" t="s">
        <v>3</v>
      </c>
      <c r="AD6162">
        <v>41.973234</v>
      </c>
      <c r="AE6162">
        <v>-88.108828</v>
      </c>
      <c r="AF6162" s="5" t="str">
        <f>HYPERLINK("https://www.google.com/maps/search/?api=1&amp;query=41.973234,-88.108828","map")</f>
        <v>map</v>
      </c>
    </row>
    <row r="6163" spans="1:32">
      <c r="A6163" t="s">
        <v>6213</v>
      </c>
      <c r="B6163" t="s">
        <v>13738</v>
      </c>
      <c r="C6163" t="s">
        <v>15830</v>
      </c>
      <c r="D6163" t="s">
        <v>16207</v>
      </c>
      <c r="E6163" t="s">
        <v>16218</v>
      </c>
      <c r="F6163" t="s">
        <v>16221</v>
      </c>
      <c r="G6163" t="s">
        <v>16241</v>
      </c>
      <c r="H6163" t="s">
        <v>16241</v>
      </c>
      <c r="I6163" t="s">
        <v>16355</v>
      </c>
      <c r="J6163" t="s">
        <v>16385</v>
      </c>
      <c r="K6163">
        <v>0.115</v>
      </c>
      <c r="L6163">
        <v>5020</v>
      </c>
      <c r="M6163">
        <v>1632</v>
      </c>
      <c r="N6163" t="s">
        <v>16393</v>
      </c>
      <c r="O6163" s="4">
        <v>38692</v>
      </c>
      <c r="P6163" s="4">
        <v>78675</v>
      </c>
      <c r="Q6163" s="4">
        <v>117367</v>
      </c>
      <c r="R6163" s="4">
        <v>352101</v>
      </c>
      <c r="S6163" t="s">
        <v>22419</v>
      </c>
      <c r="T6163" s="6">
        <v>36678</v>
      </c>
      <c r="U6163" s="4">
        <v>147000</v>
      </c>
      <c r="V6163" t="s">
        <v>23739</v>
      </c>
      <c r="W6163" t="s">
        <v>27154</v>
      </c>
      <c r="X6163" t="s">
        <v>3</v>
      </c>
      <c r="AA6163" s="5" t="str">
        <f>HYPERLINK("https://www.zillow.com/homes/455-W-OXFORD-PL-ROSELLE-IL-60172_rb/","check listing")</f>
        <v>check listing</v>
      </c>
      <c r="AB6163" s="5" t="str">
        <f>HYPERLINK("https://propertylookup.dupagecounty.gov/Datalets/Datalet.aspx?UseSearch=no&amp;mode=sales&amp;pin=0209107008","sales record")</f>
        <v>sales record</v>
      </c>
      <c r="AC6163" t="s">
        <v>3</v>
      </c>
      <c r="AD6163">
        <v>41.974421</v>
      </c>
      <c r="AE6163">
        <v>-88.108847</v>
      </c>
      <c r="AF6163" s="5" t="str">
        <f>HYPERLINK("https://www.google.com/maps/search/?api=1&amp;query=41.974421,-88.108847","map")</f>
        <v>map</v>
      </c>
    </row>
    <row r="6164" spans="1:32">
      <c r="A6164" t="s">
        <v>6214</v>
      </c>
      <c r="B6164" t="s">
        <v>13739</v>
      </c>
      <c r="C6164" t="s">
        <v>15945</v>
      </c>
      <c r="D6164" t="s">
        <v>16207</v>
      </c>
      <c r="E6164" t="s">
        <v>16218</v>
      </c>
      <c r="F6164" t="s">
        <v>16221</v>
      </c>
      <c r="G6164" t="s">
        <v>16241</v>
      </c>
      <c r="H6164" t="s">
        <v>16241</v>
      </c>
      <c r="I6164" t="s">
        <v>16355</v>
      </c>
      <c r="J6164" t="s">
        <v>16385</v>
      </c>
      <c r="K6164">
        <v>0.115</v>
      </c>
      <c r="L6164">
        <v>5017</v>
      </c>
      <c r="M6164">
        <v>1584</v>
      </c>
      <c r="N6164" t="s">
        <v>16393</v>
      </c>
      <c r="O6164" s="4">
        <v>38692</v>
      </c>
      <c r="P6164" s="4">
        <v>77599</v>
      </c>
      <c r="Q6164" s="4">
        <v>116291</v>
      </c>
      <c r="R6164" s="4">
        <v>348873</v>
      </c>
      <c r="S6164" t="s">
        <v>22420</v>
      </c>
      <c r="T6164" s="6">
        <v>44470</v>
      </c>
      <c r="U6164" s="4">
        <v>352500</v>
      </c>
      <c r="V6164" t="s">
        <v>23739</v>
      </c>
      <c r="W6164" t="s">
        <v>27155</v>
      </c>
      <c r="X6164" t="s">
        <v>3</v>
      </c>
      <c r="AA6164" s="5" t="str">
        <f>HYPERLINK("https://www.zillow.com/homes/855-STONEFIELD-PL-ROSELLE-IL-601722834_rb/","check listing")</f>
        <v>check listing</v>
      </c>
      <c r="AB6164" s="5" t="str">
        <f>HYPERLINK("https://propertylookup.dupagecounty.gov/Datalets/Datalet.aspx?UseSearch=no&amp;mode=sales&amp;pin=0209102013","sales record")</f>
        <v>sales record</v>
      </c>
      <c r="AC6164" t="s">
        <v>3</v>
      </c>
      <c r="AD6164">
        <v>41.972039</v>
      </c>
      <c r="AE6164">
        <v>-88.101871</v>
      </c>
      <c r="AF6164" s="5" t="str">
        <f>HYPERLINK("https://www.google.com/maps/search/?api=1&amp;query=41.972039,-88.101871","map")</f>
        <v>map</v>
      </c>
    </row>
    <row r="6165" spans="1:32">
      <c r="A6165" t="s">
        <v>6215</v>
      </c>
      <c r="B6165" t="s">
        <v>13740</v>
      </c>
      <c r="C6165" t="s">
        <v>15830</v>
      </c>
      <c r="D6165" t="s">
        <v>16207</v>
      </c>
      <c r="E6165" t="s">
        <v>16218</v>
      </c>
      <c r="F6165" t="s">
        <v>16221</v>
      </c>
      <c r="G6165" t="s">
        <v>16241</v>
      </c>
      <c r="H6165" t="s">
        <v>16241</v>
      </c>
      <c r="I6165" t="s">
        <v>16355</v>
      </c>
      <c r="J6165" t="s">
        <v>16385</v>
      </c>
      <c r="K6165">
        <v>0.115</v>
      </c>
      <c r="L6165">
        <v>5012</v>
      </c>
      <c r="M6165">
        <v>1484</v>
      </c>
      <c r="N6165" t="s">
        <v>16393</v>
      </c>
      <c r="O6165" s="4">
        <v>38692</v>
      </c>
      <c r="P6165" s="4">
        <v>80097</v>
      </c>
      <c r="Q6165" s="4">
        <v>118789</v>
      </c>
      <c r="R6165" s="4">
        <v>356367</v>
      </c>
      <c r="S6165" t="s">
        <v>22421</v>
      </c>
      <c r="T6165" s="6">
        <v>33359</v>
      </c>
      <c r="U6165" s="4">
        <v>115000</v>
      </c>
      <c r="X6165" t="s">
        <v>3</v>
      </c>
      <c r="AA6165" s="5" t="str">
        <f>HYPERLINK("https://www.zillow.com/homes/734-MEADE-LN-ROSELLE-IL-60172_rb/","check listing")</f>
        <v>check listing</v>
      </c>
      <c r="AB6165" s="5" t="str">
        <f>HYPERLINK("https://propertylookup.dupagecounty.gov/Datalets/Datalet.aspx?UseSearch=no&amp;mode=sales&amp;pin=0209117011","sales record")</f>
        <v>sales record</v>
      </c>
      <c r="AC6165" t="s">
        <v>3</v>
      </c>
      <c r="AD6165">
        <v>41.969271</v>
      </c>
      <c r="AE6165">
        <v>-88.106025</v>
      </c>
      <c r="AF6165" s="5" t="str">
        <f>HYPERLINK("https://www.google.com/maps/search/?api=1&amp;query=41.969271,-88.106025","map")</f>
        <v>map</v>
      </c>
    </row>
    <row r="6166" spans="1:32">
      <c r="A6166" t="s">
        <v>6216</v>
      </c>
      <c r="B6166" t="s">
        <v>13741</v>
      </c>
      <c r="C6166" t="s">
        <v>15983</v>
      </c>
      <c r="D6166" t="s">
        <v>16207</v>
      </c>
      <c r="E6166" t="s">
        <v>16218</v>
      </c>
      <c r="F6166" t="s">
        <v>16221</v>
      </c>
      <c r="G6166" t="s">
        <v>16241</v>
      </c>
      <c r="H6166" t="s">
        <v>16241</v>
      </c>
      <c r="I6166" t="s">
        <v>16355</v>
      </c>
      <c r="J6166" t="s">
        <v>16385</v>
      </c>
      <c r="K6166">
        <v>0.115</v>
      </c>
      <c r="L6166">
        <v>5004</v>
      </c>
      <c r="M6166">
        <v>1185</v>
      </c>
      <c r="N6166" t="s">
        <v>16393</v>
      </c>
      <c r="O6166" s="4">
        <v>38692</v>
      </c>
      <c r="P6166" s="4">
        <v>82596</v>
      </c>
      <c r="Q6166" s="4">
        <v>121288</v>
      </c>
      <c r="R6166" s="4">
        <v>363864</v>
      </c>
      <c r="S6166" t="s">
        <v>22422</v>
      </c>
      <c r="T6166" s="6">
        <v>44501</v>
      </c>
      <c r="U6166" s="4">
        <v>316000</v>
      </c>
      <c r="V6166" t="s">
        <v>23739</v>
      </c>
      <c r="W6166" t="s">
        <v>27156</v>
      </c>
      <c r="X6166" t="s">
        <v>3</v>
      </c>
      <c r="AA6166" s="5" t="str">
        <f>HYPERLINK("https://www.zillow.com/homes/450-NORMAN-LN-ROSELLE-IL-601722629_rb/","check listing")</f>
        <v>check listing</v>
      </c>
      <c r="AB6166" s="5" t="str">
        <f>HYPERLINK("https://propertylookup.dupagecounty.gov/Datalets/Datalet.aspx?UseSearch=no&amp;mode=sales&amp;pin=0209105007","sales record")</f>
        <v>sales record</v>
      </c>
      <c r="AC6166" t="s">
        <v>27873</v>
      </c>
      <c r="AD6166">
        <v>41.974794</v>
      </c>
      <c r="AE6166">
        <v>-88.11026200000001</v>
      </c>
      <c r="AF6166" s="5" t="str">
        <f>HYPERLINK("https://www.google.com/maps/search/?api=1&amp;query=41.974794,-88.110262","map")</f>
        <v>map</v>
      </c>
    </row>
    <row r="6167" spans="1:32">
      <c r="A6167" t="s">
        <v>6217</v>
      </c>
      <c r="B6167" t="s">
        <v>13742</v>
      </c>
      <c r="C6167" t="s">
        <v>15830</v>
      </c>
      <c r="D6167" t="s">
        <v>16207</v>
      </c>
      <c r="E6167" t="s">
        <v>16218</v>
      </c>
      <c r="F6167" t="s">
        <v>16221</v>
      </c>
      <c r="G6167" t="s">
        <v>16241</v>
      </c>
      <c r="H6167" t="s">
        <v>16241</v>
      </c>
      <c r="I6167" t="s">
        <v>16355</v>
      </c>
      <c r="J6167" t="s">
        <v>16385</v>
      </c>
      <c r="K6167">
        <v>0.115</v>
      </c>
      <c r="L6167">
        <v>5003</v>
      </c>
      <c r="M6167">
        <v>1880</v>
      </c>
      <c r="N6167" t="s">
        <v>16393</v>
      </c>
      <c r="O6167" s="4">
        <v>38692</v>
      </c>
      <c r="P6167" s="4">
        <v>78663</v>
      </c>
      <c r="Q6167" s="4">
        <v>117355</v>
      </c>
      <c r="R6167" s="4">
        <v>352065</v>
      </c>
      <c r="S6167" t="s">
        <v>22423</v>
      </c>
      <c r="T6167" s="6">
        <v>34851</v>
      </c>
      <c r="U6167" s="4">
        <v>136000</v>
      </c>
      <c r="X6167" t="s">
        <v>3</v>
      </c>
      <c r="AA6167" s="5" t="str">
        <f>HYPERLINK("https://www.zillow.com/homes/410-NORMAN-LN-ROSELLE-IL-60172_rb/","check listing")</f>
        <v>check listing</v>
      </c>
      <c r="AB6167" s="5" t="str">
        <f>HYPERLINK("https://propertylookup.dupagecounty.gov/Datalets/Datalet.aspx?UseSearch=no&amp;mode=sales&amp;pin=0209105003","sales record")</f>
        <v>sales record</v>
      </c>
      <c r="AC6167" t="s">
        <v>3</v>
      </c>
      <c r="AD6167">
        <v>41.975266</v>
      </c>
      <c r="AE6167">
        <v>-88.109887</v>
      </c>
      <c r="AF6167" s="5" t="str">
        <f>HYPERLINK("https://www.google.com/maps/search/?api=1&amp;query=41.975266,-88.109887","map")</f>
        <v>map</v>
      </c>
    </row>
    <row r="6168" spans="1:32">
      <c r="A6168" t="s">
        <v>6218</v>
      </c>
      <c r="B6168" t="s">
        <v>13743</v>
      </c>
      <c r="C6168" t="s">
        <v>15830</v>
      </c>
      <c r="D6168" t="s">
        <v>16207</v>
      </c>
      <c r="E6168" t="s">
        <v>16218</v>
      </c>
      <c r="F6168" t="s">
        <v>16221</v>
      </c>
      <c r="G6168" t="s">
        <v>16241</v>
      </c>
      <c r="H6168" t="s">
        <v>16241</v>
      </c>
      <c r="I6168" t="s">
        <v>16355</v>
      </c>
      <c r="J6168" t="s">
        <v>16385</v>
      </c>
      <c r="K6168">
        <v>0.115</v>
      </c>
      <c r="L6168">
        <v>5003</v>
      </c>
      <c r="M6168">
        <v>1712</v>
      </c>
      <c r="N6168" t="s">
        <v>16393</v>
      </c>
      <c r="O6168" s="4">
        <v>38692</v>
      </c>
      <c r="P6168" s="4">
        <v>55606</v>
      </c>
      <c r="Q6168" s="4">
        <v>94298</v>
      </c>
      <c r="R6168" s="4">
        <v>282894</v>
      </c>
      <c r="S6168" t="s">
        <v>22424</v>
      </c>
      <c r="T6168" s="6">
        <v>40848</v>
      </c>
      <c r="U6168" s="4">
        <v>106000</v>
      </c>
      <c r="V6168" t="s">
        <v>16232</v>
      </c>
      <c r="W6168" t="s">
        <v>27157</v>
      </c>
      <c r="X6168" t="s">
        <v>3</v>
      </c>
      <c r="AA6168" s="5" t="str">
        <f>HYPERLINK("https://www.zillow.com/homes/440-NORMAN-LN-ROSELLE-IL-60172_rb/","check listing")</f>
        <v>check listing</v>
      </c>
      <c r="AB6168" s="5" t="str">
        <f>HYPERLINK("https://propertylookup.dupagecounty.gov/Datalets/Datalet.aspx?UseSearch=no&amp;mode=sales&amp;pin=0209105006","sales record")</f>
        <v>sales record</v>
      </c>
      <c r="AC6168" t="s">
        <v>27873</v>
      </c>
      <c r="AD6168">
        <v>41.974912</v>
      </c>
      <c r="AE6168">
        <v>-88.110168</v>
      </c>
      <c r="AF6168" s="5" t="str">
        <f>HYPERLINK("https://www.google.com/maps/search/?api=1&amp;query=41.974912,-88.110168","map")</f>
        <v>map</v>
      </c>
    </row>
    <row r="6169" spans="1:32">
      <c r="A6169" t="s">
        <v>6219</v>
      </c>
      <c r="B6169" t="s">
        <v>13744</v>
      </c>
      <c r="C6169" t="s">
        <v>15830</v>
      </c>
      <c r="D6169" t="s">
        <v>16207</v>
      </c>
      <c r="E6169" t="s">
        <v>16218</v>
      </c>
      <c r="F6169" t="s">
        <v>16221</v>
      </c>
      <c r="G6169" t="s">
        <v>16241</v>
      </c>
      <c r="H6169" t="s">
        <v>16241</v>
      </c>
      <c r="I6169" t="s">
        <v>16355</v>
      </c>
      <c r="J6169" t="s">
        <v>16385</v>
      </c>
      <c r="K6169">
        <v>0.115</v>
      </c>
      <c r="L6169">
        <v>5002</v>
      </c>
      <c r="M6169">
        <v>1058</v>
      </c>
      <c r="N6169" t="s">
        <v>16393</v>
      </c>
      <c r="O6169" s="4">
        <v>38692</v>
      </c>
      <c r="P6169" s="4">
        <v>77444</v>
      </c>
      <c r="Q6169" s="4">
        <v>116136</v>
      </c>
      <c r="R6169" s="4">
        <v>348408</v>
      </c>
      <c r="S6169" t="s">
        <v>22425</v>
      </c>
      <c r="T6169" s="6">
        <v>38231</v>
      </c>
      <c r="U6169" s="4">
        <v>235000</v>
      </c>
      <c r="V6169" t="s">
        <v>23739</v>
      </c>
      <c r="W6169" t="s">
        <v>22425</v>
      </c>
      <c r="X6169" t="s">
        <v>3</v>
      </c>
      <c r="AA6169" s="5" t="str">
        <f>HYPERLINK("https://www.zillow.com/homes/380-NORMAN-LN-ROSELLE-IL-60172_rb/","check listing")</f>
        <v>check listing</v>
      </c>
      <c r="AB6169" s="5" t="str">
        <f>HYPERLINK("https://propertylookup.dupagecounty.gov/Datalets/Datalet.aspx?UseSearch=no&amp;mode=sales&amp;pin=0204302003","sales record")</f>
        <v>sales record</v>
      </c>
      <c r="AC6169" t="s">
        <v>3</v>
      </c>
      <c r="AD6169">
        <v>41.975621</v>
      </c>
      <c r="AE6169">
        <v>-88.109606</v>
      </c>
      <c r="AF6169" s="5" t="str">
        <f>HYPERLINK("https://www.google.com/maps/search/?api=1&amp;query=41.975621,-88.109606","map")</f>
        <v>map</v>
      </c>
    </row>
    <row r="6170" spans="1:32">
      <c r="A6170" t="s">
        <v>6220</v>
      </c>
      <c r="B6170" t="s">
        <v>13745</v>
      </c>
      <c r="C6170" t="s">
        <v>15830</v>
      </c>
      <c r="D6170" t="s">
        <v>16207</v>
      </c>
      <c r="E6170" t="s">
        <v>16218</v>
      </c>
      <c r="F6170" t="s">
        <v>16221</v>
      </c>
      <c r="G6170" t="s">
        <v>16241</v>
      </c>
      <c r="H6170" t="s">
        <v>16241</v>
      </c>
      <c r="I6170" t="s">
        <v>16355</v>
      </c>
      <c r="J6170" t="s">
        <v>16385</v>
      </c>
      <c r="K6170">
        <v>0.115</v>
      </c>
      <c r="L6170">
        <v>5002</v>
      </c>
      <c r="M6170">
        <v>1319</v>
      </c>
      <c r="N6170" t="s">
        <v>16393</v>
      </c>
      <c r="O6170" s="4">
        <v>38692</v>
      </c>
      <c r="P6170" s="4">
        <v>75974</v>
      </c>
      <c r="Q6170" s="4">
        <v>114666</v>
      </c>
      <c r="R6170" s="4">
        <v>343998</v>
      </c>
      <c r="S6170" t="s">
        <v>22426</v>
      </c>
      <c r="T6170" s="6">
        <v>35551</v>
      </c>
      <c r="U6170" s="4">
        <v>146000</v>
      </c>
      <c r="X6170" t="s">
        <v>3</v>
      </c>
      <c r="AA6170" s="5" t="str">
        <f>HYPERLINK("https://www.zillow.com/homes/570-GARDEN-AVE-ROSELLE-IL-60172_rb/","check listing")</f>
        <v>check listing</v>
      </c>
      <c r="AB6170" s="5" t="str">
        <f>HYPERLINK("https://propertylookup.dupagecounty.gov/Datalets/Datalet.aspx?UseSearch=no&amp;mode=sales&amp;pin=0209101030","sales record")</f>
        <v>sales record</v>
      </c>
      <c r="AC6170" t="s">
        <v>3</v>
      </c>
      <c r="AD6170">
        <v>41.97239</v>
      </c>
      <c r="AE6170">
        <v>-88.10291100000001</v>
      </c>
      <c r="AF6170" s="5" t="str">
        <f>HYPERLINK("https://www.google.com/maps/search/?api=1&amp;query=41.97239,-88.102911","map")</f>
        <v>map</v>
      </c>
    </row>
    <row r="6171" spans="1:32">
      <c r="A6171" t="s">
        <v>6221</v>
      </c>
      <c r="B6171" t="s">
        <v>13746</v>
      </c>
      <c r="C6171" t="s">
        <v>15830</v>
      </c>
      <c r="D6171" t="s">
        <v>16207</v>
      </c>
      <c r="E6171" t="s">
        <v>16218</v>
      </c>
      <c r="F6171" t="s">
        <v>16221</v>
      </c>
      <c r="G6171" t="s">
        <v>16241</v>
      </c>
      <c r="H6171" t="s">
        <v>16241</v>
      </c>
      <c r="I6171" t="s">
        <v>16355</v>
      </c>
      <c r="J6171" t="s">
        <v>16385</v>
      </c>
      <c r="K6171">
        <v>0.115</v>
      </c>
      <c r="L6171">
        <v>5001</v>
      </c>
      <c r="M6171">
        <v>1537</v>
      </c>
      <c r="N6171" t="s">
        <v>16393</v>
      </c>
      <c r="O6171" s="4">
        <v>38692</v>
      </c>
      <c r="P6171" s="4">
        <v>78447</v>
      </c>
      <c r="Q6171" s="4">
        <v>117139</v>
      </c>
      <c r="R6171" s="4">
        <v>351417</v>
      </c>
      <c r="S6171" t="s">
        <v>22427</v>
      </c>
      <c r="T6171" s="6">
        <v>42186</v>
      </c>
      <c r="U6171" s="4">
        <v>229000</v>
      </c>
      <c r="V6171" t="s">
        <v>23739</v>
      </c>
      <c r="W6171" t="s">
        <v>27158</v>
      </c>
      <c r="X6171" t="s">
        <v>3</v>
      </c>
      <c r="AA6171" s="5" t="str">
        <f>HYPERLINK("https://www.zillow.com/homes/401-NORMAN-LN-ROSELLE-IL-60172_rb/","check listing")</f>
        <v>check listing</v>
      </c>
      <c r="AB6171" s="5" t="str">
        <f>HYPERLINK("https://propertylookup.dupagecounty.gov/Datalets/Datalet.aspx?UseSearch=no&amp;mode=sales&amp;pin=0209106002","sales record")</f>
        <v>sales record</v>
      </c>
      <c r="AC6171" t="s">
        <v>3</v>
      </c>
      <c r="AD6171">
        <v>41.975299</v>
      </c>
      <c r="AE6171">
        <v>-88.10922100000001</v>
      </c>
      <c r="AF6171" s="5" t="str">
        <f>HYPERLINK("https://www.google.com/maps/search/?api=1&amp;query=41.975299,-88.109221","map")</f>
        <v>map</v>
      </c>
    </row>
    <row r="6172" spans="1:32">
      <c r="A6172" t="s">
        <v>6222</v>
      </c>
      <c r="B6172" t="s">
        <v>13747</v>
      </c>
      <c r="C6172" t="s">
        <v>15984</v>
      </c>
      <c r="D6172" t="s">
        <v>16207</v>
      </c>
      <c r="E6172" t="s">
        <v>16218</v>
      </c>
      <c r="F6172" t="s">
        <v>16221</v>
      </c>
      <c r="G6172" t="s">
        <v>16241</v>
      </c>
      <c r="H6172" t="s">
        <v>16241</v>
      </c>
      <c r="I6172" t="s">
        <v>16355</v>
      </c>
      <c r="J6172" t="s">
        <v>16385</v>
      </c>
      <c r="K6172">
        <v>0.115</v>
      </c>
      <c r="L6172">
        <v>5000</v>
      </c>
      <c r="M6172">
        <v>1802</v>
      </c>
      <c r="N6172" t="s">
        <v>16393</v>
      </c>
      <c r="O6172" s="4">
        <v>38692</v>
      </c>
      <c r="P6172" s="4">
        <v>58092</v>
      </c>
      <c r="Q6172" s="4">
        <v>96784</v>
      </c>
      <c r="R6172" s="4">
        <v>290352</v>
      </c>
      <c r="S6172" t="s">
        <v>22428</v>
      </c>
      <c r="T6172" s="6">
        <v>43770</v>
      </c>
      <c r="U6172" s="4">
        <v>165000</v>
      </c>
      <c r="V6172" t="s">
        <v>23739</v>
      </c>
      <c r="W6172" t="s">
        <v>27159</v>
      </c>
      <c r="X6172" t="s">
        <v>3</v>
      </c>
      <c r="AA6172" s="5" t="str">
        <f>HYPERLINK("https://www.zillow.com/homes/450-OXFORD-PL-ROSELLE-IL-601722641_rb/","check listing")</f>
        <v>check listing</v>
      </c>
      <c r="AB6172" s="5" t="str">
        <f>HYPERLINK("https://propertylookup.dupagecounty.gov/Datalets/Datalet.aspx?UseSearch=no&amp;mode=sales&amp;pin=0209106015","sales record")</f>
        <v>sales record</v>
      </c>
      <c r="AC6172" t="s">
        <v>3</v>
      </c>
      <c r="AD6172">
        <v>41.974687</v>
      </c>
      <c r="AE6172">
        <v>-88.109279</v>
      </c>
      <c r="AF6172" s="5" t="str">
        <f>HYPERLINK("https://www.google.com/maps/search/?api=1&amp;query=41.974687,-88.109279","map")</f>
        <v>map</v>
      </c>
    </row>
    <row r="6173" spans="1:32">
      <c r="A6173" t="s">
        <v>6223</v>
      </c>
      <c r="B6173" t="s">
        <v>13748</v>
      </c>
      <c r="C6173" t="s">
        <v>15830</v>
      </c>
      <c r="D6173" t="s">
        <v>16207</v>
      </c>
      <c r="E6173" t="s">
        <v>16218</v>
      </c>
      <c r="F6173" t="s">
        <v>16221</v>
      </c>
      <c r="G6173" t="s">
        <v>16241</v>
      </c>
      <c r="H6173" t="s">
        <v>16241</v>
      </c>
      <c r="I6173" t="s">
        <v>16355</v>
      </c>
      <c r="J6173" t="s">
        <v>16385</v>
      </c>
      <c r="K6173">
        <v>0.115</v>
      </c>
      <c r="L6173">
        <v>5000</v>
      </c>
      <c r="M6173">
        <v>1808</v>
      </c>
      <c r="N6173" t="s">
        <v>16393</v>
      </c>
      <c r="O6173" s="4">
        <v>38692</v>
      </c>
      <c r="P6173" s="4">
        <v>78268</v>
      </c>
      <c r="Q6173" s="4">
        <v>116960</v>
      </c>
      <c r="R6173" s="4">
        <v>350880</v>
      </c>
      <c r="S6173" t="s">
        <v>22429</v>
      </c>
      <c r="T6173" s="6">
        <v>36586</v>
      </c>
      <c r="U6173" s="4">
        <v>178500</v>
      </c>
      <c r="V6173" t="s">
        <v>23740</v>
      </c>
      <c r="W6173" t="s">
        <v>27160</v>
      </c>
      <c r="X6173" t="s">
        <v>3</v>
      </c>
      <c r="AA6173" s="5" t="str">
        <f>HYPERLINK("https://www.zillow.com/homes/430-OXFORD-PL-ROSELLE-IL-60172_rb/","check listing")</f>
        <v>check listing</v>
      </c>
      <c r="AB6173" s="5" t="str">
        <f>HYPERLINK("https://propertylookup.dupagecounty.gov/Datalets/Datalet.aspx?UseSearch=no&amp;mode=sales&amp;pin=0209106013","sales record")</f>
        <v>sales record</v>
      </c>
      <c r="AC6173" t="s">
        <v>3</v>
      </c>
      <c r="AD6173">
        <v>41.974923</v>
      </c>
      <c r="AE6173">
        <v>-88.10909100000001</v>
      </c>
      <c r="AF6173" s="5" t="str">
        <f>HYPERLINK("https://www.google.com/maps/search/?api=1&amp;query=41.974923,-88.109091","map")</f>
        <v>map</v>
      </c>
    </row>
    <row r="6174" spans="1:32">
      <c r="A6174" t="s">
        <v>6224</v>
      </c>
      <c r="B6174" t="s">
        <v>13749</v>
      </c>
      <c r="C6174" t="s">
        <v>15980</v>
      </c>
      <c r="D6174" t="s">
        <v>16207</v>
      </c>
      <c r="E6174" t="s">
        <v>16218</v>
      </c>
      <c r="F6174" t="s">
        <v>16221</v>
      </c>
      <c r="G6174" t="s">
        <v>16241</v>
      </c>
      <c r="H6174" t="s">
        <v>16241</v>
      </c>
      <c r="I6174" t="s">
        <v>16355</v>
      </c>
      <c r="J6174" t="s">
        <v>16385</v>
      </c>
      <c r="K6174">
        <v>0.115</v>
      </c>
      <c r="L6174">
        <v>5000</v>
      </c>
      <c r="M6174">
        <v>1704</v>
      </c>
      <c r="N6174" t="s">
        <v>16393</v>
      </c>
      <c r="O6174" s="4">
        <v>38692</v>
      </c>
      <c r="P6174" s="4">
        <v>81687</v>
      </c>
      <c r="Q6174" s="4">
        <v>120379</v>
      </c>
      <c r="R6174" s="4">
        <v>361137</v>
      </c>
      <c r="S6174" t="s">
        <v>22430</v>
      </c>
      <c r="T6174" s="6">
        <v>42887</v>
      </c>
      <c r="U6174" s="4">
        <v>256000</v>
      </c>
      <c r="V6174" t="s">
        <v>23739</v>
      </c>
      <c r="W6174" t="s">
        <v>27161</v>
      </c>
      <c r="X6174" t="s">
        <v>3</v>
      </c>
      <c r="AA6174" s="5" t="str">
        <f>HYPERLINK("https://www.zillow.com/homes/445-NORMAN-LN-ROSELLE-IL-601722628_rb/","check listing")</f>
        <v>check listing</v>
      </c>
      <c r="AB6174" s="5" t="str">
        <f>HYPERLINK("https://propertylookup.dupagecounty.gov/Datalets/Datalet.aspx?UseSearch=no&amp;mode=sales&amp;pin=0209106007","sales record")</f>
        <v>sales record</v>
      </c>
      <c r="AC6174" t="s">
        <v>3</v>
      </c>
      <c r="AD6174">
        <v>41.974708</v>
      </c>
      <c r="AE6174">
        <v>-88.109689</v>
      </c>
      <c r="AF6174" s="5" t="str">
        <f>HYPERLINK("https://www.google.com/maps/search/?api=1&amp;query=41.974708,-88.109689","map")</f>
        <v>map</v>
      </c>
    </row>
    <row r="6175" spans="1:32">
      <c r="A6175" t="s">
        <v>6225</v>
      </c>
      <c r="B6175" t="s">
        <v>13750</v>
      </c>
      <c r="C6175" t="s">
        <v>15830</v>
      </c>
      <c r="D6175" t="s">
        <v>16207</v>
      </c>
      <c r="E6175" t="s">
        <v>16218</v>
      </c>
      <c r="F6175" t="s">
        <v>16221</v>
      </c>
      <c r="G6175" t="s">
        <v>16241</v>
      </c>
      <c r="H6175" t="s">
        <v>16241</v>
      </c>
      <c r="I6175" t="s">
        <v>16355</v>
      </c>
      <c r="J6175" t="s">
        <v>16385</v>
      </c>
      <c r="K6175">
        <v>0.115</v>
      </c>
      <c r="L6175">
        <v>5000</v>
      </c>
      <c r="M6175">
        <v>1716</v>
      </c>
      <c r="N6175" t="s">
        <v>16393</v>
      </c>
      <c r="O6175" s="4">
        <v>38692</v>
      </c>
      <c r="P6175" s="4">
        <v>80097</v>
      </c>
      <c r="Q6175" s="4">
        <v>118789</v>
      </c>
      <c r="R6175" s="4">
        <v>356367</v>
      </c>
      <c r="S6175" t="s">
        <v>22431</v>
      </c>
      <c r="T6175" s="6">
        <v>45484</v>
      </c>
      <c r="U6175" s="4">
        <v>385000</v>
      </c>
      <c r="V6175" t="s">
        <v>23739</v>
      </c>
      <c r="W6175" t="s">
        <v>27162</v>
      </c>
      <c r="X6175" t="s">
        <v>3</v>
      </c>
      <c r="AA6175" s="5" t="str">
        <f>HYPERLINK("https://www.zillow.com/homes/1180-SINGLETON-DR-ROSELLE-IL-60172_rb/","check listing")</f>
        <v>check listing</v>
      </c>
      <c r="AB6175" s="5" t="str">
        <f>HYPERLINK("https://propertylookup.dupagecounty.gov/Datalets/Datalet.aspx?UseSearch=no&amp;mode=sales&amp;pin=0204309052","sales record")</f>
        <v>sales record</v>
      </c>
      <c r="AC6175" t="s">
        <v>3</v>
      </c>
      <c r="AD6175">
        <v>41.979404</v>
      </c>
      <c r="AE6175">
        <v>-88.110024</v>
      </c>
      <c r="AF6175" s="5" t="str">
        <f>HYPERLINK("https://www.google.com/maps/search/?api=1&amp;query=41.979404,-88.110024","map")</f>
        <v>map</v>
      </c>
    </row>
    <row r="6176" spans="1:32">
      <c r="A6176" t="s">
        <v>6226</v>
      </c>
      <c r="B6176" t="s">
        <v>13751</v>
      </c>
      <c r="C6176" t="s">
        <v>15984</v>
      </c>
      <c r="D6176" t="s">
        <v>16207</v>
      </c>
      <c r="E6176" t="s">
        <v>16218</v>
      </c>
      <c r="F6176" t="s">
        <v>16221</v>
      </c>
      <c r="G6176" t="s">
        <v>16241</v>
      </c>
      <c r="H6176" t="s">
        <v>16241</v>
      </c>
      <c r="I6176" t="s">
        <v>16355</v>
      </c>
      <c r="J6176" t="s">
        <v>16385</v>
      </c>
      <c r="K6176">
        <v>0.115</v>
      </c>
      <c r="L6176">
        <v>5000</v>
      </c>
      <c r="M6176">
        <v>1580</v>
      </c>
      <c r="N6176" t="s">
        <v>16393</v>
      </c>
      <c r="O6176" s="4">
        <v>38692</v>
      </c>
      <c r="P6176" s="4">
        <v>78663</v>
      </c>
      <c r="Q6176" s="4">
        <v>117355</v>
      </c>
      <c r="R6176" s="4">
        <v>352065</v>
      </c>
      <c r="S6176" t="s">
        <v>22432</v>
      </c>
      <c r="T6176" s="6">
        <v>41153</v>
      </c>
      <c r="U6176" s="4">
        <v>199000</v>
      </c>
      <c r="V6176" t="s">
        <v>23739</v>
      </c>
      <c r="W6176" t="s">
        <v>27163</v>
      </c>
      <c r="X6176" t="s">
        <v>3</v>
      </c>
      <c r="AA6176" s="5" t="str">
        <f>HYPERLINK("https://www.zillow.com/homes/440-OXFORD-PL-ROSELLE-IL-601722641_rb/","check listing")</f>
        <v>check listing</v>
      </c>
      <c r="AB6176" s="5" t="str">
        <f>HYPERLINK("https://propertylookup.dupagecounty.gov/Datalets/Datalet.aspx?UseSearch=no&amp;mode=sales&amp;pin=0209106014","sales record")</f>
        <v>sales record</v>
      </c>
      <c r="AC6176" t="s">
        <v>3</v>
      </c>
      <c r="AD6176">
        <v>41.974805</v>
      </c>
      <c r="AE6176">
        <v>-88.109185</v>
      </c>
      <c r="AF6176" s="5" t="str">
        <f>HYPERLINK("https://www.google.com/maps/search/?api=1&amp;query=41.974805,-88.109185","map")</f>
        <v>map</v>
      </c>
    </row>
    <row r="6177" spans="1:32">
      <c r="A6177" t="s">
        <v>6227</v>
      </c>
      <c r="B6177" t="s">
        <v>13752</v>
      </c>
      <c r="C6177" t="s">
        <v>15830</v>
      </c>
      <c r="D6177" t="s">
        <v>16207</v>
      </c>
      <c r="E6177" t="s">
        <v>16218</v>
      </c>
      <c r="F6177" t="s">
        <v>16221</v>
      </c>
      <c r="G6177" t="s">
        <v>16241</v>
      </c>
      <c r="H6177" t="s">
        <v>16241</v>
      </c>
      <c r="I6177" t="s">
        <v>16355</v>
      </c>
      <c r="J6177" t="s">
        <v>16385</v>
      </c>
      <c r="K6177">
        <v>0.115</v>
      </c>
      <c r="L6177">
        <v>4999</v>
      </c>
      <c r="M6177">
        <v>1731</v>
      </c>
      <c r="N6177" t="s">
        <v>16393</v>
      </c>
      <c r="O6177" s="4">
        <v>38692</v>
      </c>
      <c r="P6177" s="4">
        <v>55546</v>
      </c>
      <c r="Q6177" s="4">
        <v>94238</v>
      </c>
      <c r="R6177" s="4">
        <v>282714</v>
      </c>
      <c r="S6177" t="s">
        <v>22433</v>
      </c>
      <c r="T6177" s="6">
        <v>39479</v>
      </c>
      <c r="U6177" s="4">
        <v>232000</v>
      </c>
      <c r="V6177" t="s">
        <v>23739</v>
      </c>
      <c r="W6177" t="s">
        <v>27164</v>
      </c>
      <c r="X6177" t="s">
        <v>3</v>
      </c>
      <c r="AA6177" s="5" t="str">
        <f>HYPERLINK("https://www.zillow.com/homes/405-NORMAN-LN-ROSELLE-IL-60172_rb/","check listing")</f>
        <v>check listing</v>
      </c>
      <c r="AB6177" s="5" t="str">
        <f>HYPERLINK("https://propertylookup.dupagecounty.gov/Datalets/Datalet.aspx?UseSearch=no&amp;mode=sales&amp;pin=0209106003","sales record")</f>
        <v>sales record</v>
      </c>
      <c r="AC6177" t="s">
        <v>27873</v>
      </c>
      <c r="AD6177">
        <v>41.975181</v>
      </c>
      <c r="AE6177">
        <v>-88.109314</v>
      </c>
      <c r="AF6177" s="5" t="str">
        <f>HYPERLINK("https://www.google.com/maps/search/?api=1&amp;query=41.975181,-88.109314","map")</f>
        <v>map</v>
      </c>
    </row>
    <row r="6178" spans="1:32">
      <c r="A6178" t="s">
        <v>6228</v>
      </c>
      <c r="B6178" t="s">
        <v>13753</v>
      </c>
      <c r="C6178" t="s">
        <v>15980</v>
      </c>
      <c r="D6178" t="s">
        <v>16207</v>
      </c>
      <c r="E6178" t="s">
        <v>16218</v>
      </c>
      <c r="F6178" t="s">
        <v>16221</v>
      </c>
      <c r="G6178" t="s">
        <v>16241</v>
      </c>
      <c r="H6178" t="s">
        <v>16241</v>
      </c>
      <c r="I6178" t="s">
        <v>16355</v>
      </c>
      <c r="J6178" t="s">
        <v>16385</v>
      </c>
      <c r="K6178">
        <v>0.115</v>
      </c>
      <c r="L6178">
        <v>4998</v>
      </c>
      <c r="M6178">
        <v>2119</v>
      </c>
      <c r="N6178" t="s">
        <v>16393</v>
      </c>
      <c r="O6178" s="4">
        <v>38692</v>
      </c>
      <c r="P6178" s="4">
        <v>81005</v>
      </c>
      <c r="Q6178" s="4">
        <v>119697</v>
      </c>
      <c r="R6178" s="4">
        <v>359091</v>
      </c>
      <c r="S6178" t="s">
        <v>22434</v>
      </c>
      <c r="T6178" s="6">
        <v>40330</v>
      </c>
      <c r="U6178" s="4">
        <v>215000</v>
      </c>
      <c r="V6178" t="s">
        <v>23739</v>
      </c>
      <c r="W6178" t="s">
        <v>27165</v>
      </c>
      <c r="X6178" t="s">
        <v>3</v>
      </c>
      <c r="AA6178" s="5" t="str">
        <f>HYPERLINK("https://www.zillow.com/homes/435-NORMAN-LN-ROSELLE-IL-601722628_rb/","check listing")</f>
        <v>check listing</v>
      </c>
      <c r="AB6178" s="5" t="str">
        <f>HYPERLINK("https://propertylookup.dupagecounty.gov/Datalets/Datalet.aspx?UseSearch=no&amp;mode=sales&amp;pin=0209106006","sales record")</f>
        <v>sales record</v>
      </c>
      <c r="AC6178" t="s">
        <v>3</v>
      </c>
      <c r="AD6178">
        <v>41.974826</v>
      </c>
      <c r="AE6178">
        <v>-88.109595</v>
      </c>
      <c r="AF6178" s="5" t="str">
        <f>HYPERLINK("https://www.google.com/maps/search/?api=1&amp;query=41.974826,-88.109595","map")</f>
        <v>map</v>
      </c>
    </row>
    <row r="6179" spans="1:32">
      <c r="A6179" t="s">
        <v>6229</v>
      </c>
      <c r="B6179" t="s">
        <v>13754</v>
      </c>
      <c r="C6179" t="s">
        <v>15830</v>
      </c>
      <c r="D6179" t="s">
        <v>16207</v>
      </c>
      <c r="E6179" t="s">
        <v>16218</v>
      </c>
      <c r="F6179" t="s">
        <v>16221</v>
      </c>
      <c r="G6179" t="s">
        <v>16241</v>
      </c>
      <c r="H6179" t="s">
        <v>16241</v>
      </c>
      <c r="I6179" t="s">
        <v>16355</v>
      </c>
      <c r="J6179" t="s">
        <v>16385</v>
      </c>
      <c r="K6179">
        <v>0.114</v>
      </c>
      <c r="L6179">
        <v>4955</v>
      </c>
      <c r="N6179" t="s">
        <v>16393</v>
      </c>
      <c r="O6179" s="4">
        <v>22639</v>
      </c>
      <c r="P6179" s="4">
        <v>130791</v>
      </c>
      <c r="Q6179" s="4">
        <v>153430</v>
      </c>
      <c r="R6179" s="4">
        <v>460290</v>
      </c>
      <c r="S6179" t="s">
        <v>22435</v>
      </c>
      <c r="X6179" t="s">
        <v>3</v>
      </c>
      <c r="AA6179" s="5" t="str">
        <f>HYPERLINK("https://www.zillow.com/homes/575-BOBBY-ANN-CT-ROSELLE-IL-60172_rb/","check listing")</f>
        <v>check listing</v>
      </c>
      <c r="AB6179" s="5" t="str">
        <f>HYPERLINK("https://propertylookup.dupagecounty.gov/Datalets/Datalet.aspx?UseSearch=no&amp;mode=sales&amp;pin=0208219025","sales record")</f>
        <v>sales record</v>
      </c>
      <c r="AC6179" t="s">
        <v>3</v>
      </c>
      <c r="AD6179">
        <v>41.971756</v>
      </c>
      <c r="AE6179">
        <v>-88.115679</v>
      </c>
      <c r="AF6179" s="5" t="str">
        <f>HYPERLINK("https://www.google.com/maps/search/?api=1&amp;query=41.971756,-88.115679","map")</f>
        <v>map</v>
      </c>
    </row>
    <row r="6180" spans="1:32">
      <c r="A6180" t="s">
        <v>6230</v>
      </c>
      <c r="B6180" t="s">
        <v>13755</v>
      </c>
      <c r="C6180" t="s">
        <v>15830</v>
      </c>
      <c r="D6180" t="s">
        <v>16207</v>
      </c>
      <c r="E6180" t="s">
        <v>16218</v>
      </c>
      <c r="F6180" t="s">
        <v>16221</v>
      </c>
      <c r="G6180" t="s">
        <v>16241</v>
      </c>
      <c r="H6180" t="s">
        <v>16241</v>
      </c>
      <c r="I6180" t="s">
        <v>16355</v>
      </c>
      <c r="J6180" t="s">
        <v>16385</v>
      </c>
      <c r="K6180">
        <v>0.112</v>
      </c>
      <c r="L6180">
        <v>4888</v>
      </c>
      <c r="M6180">
        <v>1781</v>
      </c>
      <c r="N6180" t="s">
        <v>16393</v>
      </c>
      <c r="O6180" s="4">
        <v>38692</v>
      </c>
      <c r="P6180" s="4">
        <v>81687</v>
      </c>
      <c r="Q6180" s="4">
        <v>120379</v>
      </c>
      <c r="R6180" s="4">
        <v>361137</v>
      </c>
      <c r="S6180" t="s">
        <v>22436</v>
      </c>
      <c r="T6180" s="6">
        <v>31533</v>
      </c>
      <c r="U6180" s="4">
        <v>95500</v>
      </c>
      <c r="X6180" t="s">
        <v>3</v>
      </c>
      <c r="AA6180" s="5" t="str">
        <f>HYPERLINK("https://www.zillow.com/homes/810-EDENWOOD-DR-ROSELLE-IL-60172_rb/","check listing")</f>
        <v>check listing</v>
      </c>
      <c r="AB6180" s="5" t="str">
        <f>HYPERLINK("https://propertylookup.dupagecounty.gov/Datalets/Datalet.aspx?UseSearch=no&amp;mode=sales&amp;pin=0209112022","sales record")</f>
        <v>sales record</v>
      </c>
      <c r="AC6180" t="s">
        <v>3</v>
      </c>
      <c r="AD6180">
        <v>41.972939</v>
      </c>
      <c r="AE6180">
        <v>-88.100899</v>
      </c>
      <c r="AF6180" s="5" t="str">
        <f>HYPERLINK("https://www.google.com/maps/search/?api=1&amp;query=41.972939,-88.100899","map")</f>
        <v>map</v>
      </c>
    </row>
    <row r="6181" spans="1:32">
      <c r="A6181" t="s">
        <v>6231</v>
      </c>
      <c r="B6181" t="s">
        <v>13756</v>
      </c>
      <c r="C6181" t="s">
        <v>15830</v>
      </c>
      <c r="D6181" t="s">
        <v>16207</v>
      </c>
      <c r="E6181" t="s">
        <v>16218</v>
      </c>
      <c r="F6181" t="s">
        <v>16221</v>
      </c>
      <c r="G6181" t="s">
        <v>16241</v>
      </c>
      <c r="H6181" t="s">
        <v>16241</v>
      </c>
      <c r="I6181" t="s">
        <v>16355</v>
      </c>
      <c r="J6181" t="s">
        <v>16385</v>
      </c>
      <c r="K6181">
        <v>0.111</v>
      </c>
      <c r="L6181">
        <v>4842</v>
      </c>
      <c r="N6181" t="s">
        <v>16393</v>
      </c>
      <c r="O6181" s="4">
        <v>22639</v>
      </c>
      <c r="P6181" s="4">
        <v>124886</v>
      </c>
      <c r="Q6181" s="4">
        <v>147525</v>
      </c>
      <c r="R6181" s="4">
        <v>442575</v>
      </c>
      <c r="S6181" t="s">
        <v>22437</v>
      </c>
      <c r="X6181" t="s">
        <v>3</v>
      </c>
      <c r="AA6181" s="5" t="str">
        <f>HYPERLINK("https://www.zillow.com/homes/567-BOBBY-ANN-CT-ROSELLE-IL-60172_rb/","check listing")</f>
        <v>check listing</v>
      </c>
      <c r="AB6181" s="5" t="str">
        <f>HYPERLINK("https://propertylookup.dupagecounty.gov/Datalets/Datalet.aspx?UseSearch=no&amp;mode=sales&amp;pin=0208219023","sales record")</f>
        <v>sales record</v>
      </c>
      <c r="AC6181" t="s">
        <v>3</v>
      </c>
      <c r="AD6181">
        <v>41.971961</v>
      </c>
      <c r="AE6181">
        <v>-88.11566000000001</v>
      </c>
      <c r="AF6181" s="5" t="str">
        <f>HYPERLINK("https://www.google.com/maps/search/?api=1&amp;query=41.971961,-88.11566","map")</f>
        <v>map</v>
      </c>
    </row>
    <row r="6182" spans="1:32">
      <c r="A6182" t="s">
        <v>6232</v>
      </c>
      <c r="B6182" t="s">
        <v>13757</v>
      </c>
      <c r="C6182" t="s">
        <v>15830</v>
      </c>
      <c r="D6182" t="s">
        <v>16207</v>
      </c>
      <c r="E6182" t="s">
        <v>16218</v>
      </c>
      <c r="F6182" t="s">
        <v>16221</v>
      </c>
      <c r="G6182" t="s">
        <v>16241</v>
      </c>
      <c r="H6182" t="s">
        <v>16241</v>
      </c>
      <c r="I6182" t="s">
        <v>16355</v>
      </c>
      <c r="J6182" t="s">
        <v>16385</v>
      </c>
      <c r="K6182">
        <v>0.106</v>
      </c>
      <c r="L6182">
        <v>4612</v>
      </c>
      <c r="N6182" t="s">
        <v>16393</v>
      </c>
      <c r="O6182" s="4">
        <v>22639</v>
      </c>
      <c r="P6182" s="4">
        <v>122710</v>
      </c>
      <c r="Q6182" s="4">
        <v>145349</v>
      </c>
      <c r="R6182" s="4">
        <v>436047</v>
      </c>
      <c r="S6182" t="s">
        <v>22438</v>
      </c>
      <c r="X6182" t="s">
        <v>3</v>
      </c>
      <c r="AA6182" s="5" t="str">
        <f>HYPERLINK("https://www.zillow.com/homes/571-BOBBY-ANN-CT-ROSELLE-IL-60172_rb/","check listing")</f>
        <v>check listing</v>
      </c>
      <c r="AB6182" s="5" t="str">
        <f>HYPERLINK("https://propertylookup.dupagecounty.gov/Datalets/Datalet.aspx?UseSearch=no&amp;mode=sales&amp;pin=0208219024","sales record")</f>
        <v>sales record</v>
      </c>
      <c r="AC6182" t="s">
        <v>3</v>
      </c>
      <c r="AD6182">
        <v>41.971866</v>
      </c>
      <c r="AE6182">
        <v>-88.11566000000001</v>
      </c>
      <c r="AF6182" s="5" t="str">
        <f>HYPERLINK("https://www.google.com/maps/search/?api=1&amp;query=41.971866,-88.11566","map")</f>
        <v>map</v>
      </c>
    </row>
    <row r="6183" spans="1:32">
      <c r="A6183" t="s">
        <v>6233</v>
      </c>
      <c r="B6183" t="s">
        <v>13758</v>
      </c>
      <c r="C6183" t="s">
        <v>15830</v>
      </c>
      <c r="D6183" t="s">
        <v>16207</v>
      </c>
      <c r="E6183" t="s">
        <v>16218</v>
      </c>
      <c r="F6183" t="s">
        <v>16221</v>
      </c>
      <c r="G6183" t="s">
        <v>16241</v>
      </c>
      <c r="H6183" t="s">
        <v>16241</v>
      </c>
      <c r="I6183" t="s">
        <v>16355</v>
      </c>
      <c r="J6183" t="s">
        <v>16385</v>
      </c>
      <c r="K6183">
        <v>0.102</v>
      </c>
      <c r="L6183">
        <v>4448</v>
      </c>
      <c r="N6183" t="s">
        <v>16393</v>
      </c>
      <c r="O6183" s="4">
        <v>22639</v>
      </c>
      <c r="P6183" s="4">
        <v>105978</v>
      </c>
      <c r="Q6183" s="4">
        <v>128617</v>
      </c>
      <c r="R6183" s="4">
        <v>385851</v>
      </c>
      <c r="S6183" t="s">
        <v>22439</v>
      </c>
      <c r="X6183" t="s">
        <v>3</v>
      </c>
      <c r="AA6183" s="5" t="str">
        <f>HYPERLINK("https://www.zillow.com/homes/519-BOBBY-ANN-CT-ROSELLE-IL-60172_rb/","check listing")</f>
        <v>check listing</v>
      </c>
      <c r="AB6183" s="5" t="str">
        <f>HYPERLINK("https://propertylookup.dupagecounty.gov/Datalets/Datalet.aspx?UseSearch=no&amp;mode=sales&amp;pin=0208219032","sales record")</f>
        <v>sales record</v>
      </c>
      <c r="AC6183" t="s">
        <v>3</v>
      </c>
      <c r="AD6183">
        <v>41.973033</v>
      </c>
      <c r="AE6183">
        <v>-88.115639</v>
      </c>
      <c r="AF6183" s="5" t="str">
        <f>HYPERLINK("https://www.google.com/maps/search/?api=1&amp;query=41.973033,-88.115639","map")</f>
        <v>map</v>
      </c>
    </row>
    <row r="6184" spans="1:32">
      <c r="A6184" t="s">
        <v>6234</v>
      </c>
      <c r="B6184" t="s">
        <v>13759</v>
      </c>
      <c r="C6184" t="s">
        <v>15830</v>
      </c>
      <c r="D6184" t="s">
        <v>16207</v>
      </c>
      <c r="E6184" t="s">
        <v>16218</v>
      </c>
      <c r="F6184" t="s">
        <v>16221</v>
      </c>
      <c r="G6184" t="s">
        <v>16241</v>
      </c>
      <c r="H6184" t="s">
        <v>16241</v>
      </c>
      <c r="I6184" t="s">
        <v>16355</v>
      </c>
      <c r="J6184" t="s">
        <v>16385</v>
      </c>
      <c r="K6184">
        <v>0.096</v>
      </c>
      <c r="L6184">
        <v>4177</v>
      </c>
      <c r="N6184" t="s">
        <v>16393</v>
      </c>
      <c r="O6184" s="4">
        <v>22639</v>
      </c>
      <c r="P6184" s="4">
        <v>115678</v>
      </c>
      <c r="Q6184" s="4">
        <v>138317</v>
      </c>
      <c r="R6184" s="4">
        <v>414951</v>
      </c>
      <c r="S6184" t="s">
        <v>22440</v>
      </c>
      <c r="T6184" s="6">
        <v>44501</v>
      </c>
      <c r="U6184" s="4">
        <v>379613</v>
      </c>
      <c r="V6184" t="s">
        <v>23739</v>
      </c>
      <c r="W6184" t="s">
        <v>27166</v>
      </c>
      <c r="X6184" t="s">
        <v>3</v>
      </c>
      <c r="AA6184" s="5" t="str">
        <f>HYPERLINK("https://www.zillow.com/homes/505-BOBBY-ANN-CT-ROSELLE-IL-60172_rb/","check listing")</f>
        <v>check listing</v>
      </c>
      <c r="AB6184" s="5" t="str">
        <f>HYPERLINK("https://propertylookup.dupagecounty.gov/Datalets/Datalet.aspx?UseSearch=no&amp;mode=sales&amp;pin=0208219028","sales record")</f>
        <v>sales record</v>
      </c>
      <c r="AC6184" t="s">
        <v>3</v>
      </c>
      <c r="AD6184">
        <v>41.973413</v>
      </c>
      <c r="AE6184">
        <v>-88.115635</v>
      </c>
      <c r="AF6184" s="5" t="str">
        <f>HYPERLINK("https://www.google.com/maps/search/?api=1&amp;query=41.973413,-88.115635","map")</f>
        <v>map</v>
      </c>
    </row>
    <row r="6185" spans="1:32">
      <c r="A6185" t="s">
        <v>6235</v>
      </c>
      <c r="B6185" t="s">
        <v>13760</v>
      </c>
      <c r="C6185" t="s">
        <v>15830</v>
      </c>
      <c r="D6185" t="s">
        <v>16207</v>
      </c>
      <c r="E6185" t="s">
        <v>16218</v>
      </c>
      <c r="F6185" t="s">
        <v>16221</v>
      </c>
      <c r="G6185" t="s">
        <v>16241</v>
      </c>
      <c r="H6185" t="s">
        <v>16241</v>
      </c>
      <c r="I6185" t="s">
        <v>16355</v>
      </c>
      <c r="J6185" t="s">
        <v>16385</v>
      </c>
      <c r="K6185">
        <v>0.095</v>
      </c>
      <c r="L6185">
        <v>4136</v>
      </c>
      <c r="N6185" t="s">
        <v>16393</v>
      </c>
      <c r="O6185" s="4">
        <v>22639</v>
      </c>
      <c r="P6185" s="4">
        <v>106813</v>
      </c>
      <c r="Q6185" s="4">
        <v>129452</v>
      </c>
      <c r="R6185" s="4">
        <v>388356</v>
      </c>
      <c r="S6185" t="s">
        <v>22441</v>
      </c>
      <c r="T6185" s="6">
        <v>44795</v>
      </c>
      <c r="U6185" s="4">
        <v>425000</v>
      </c>
      <c r="V6185" t="s">
        <v>23739</v>
      </c>
      <c r="W6185" t="s">
        <v>22441</v>
      </c>
      <c r="X6185" t="s">
        <v>3</v>
      </c>
      <c r="AA6185" s="5" t="str">
        <f>HYPERLINK("https://www.zillow.com/homes/515-BOBBY-ANN-CT-ROSELLE-IL-60172_rb/","check listing")</f>
        <v>check listing</v>
      </c>
      <c r="AB6185" s="5" t="str">
        <f>HYPERLINK("https://propertylookup.dupagecounty.gov/Datalets/Datalet.aspx?UseSearch=no&amp;mode=sales&amp;pin=0208219031","sales record")</f>
        <v>sales record</v>
      </c>
      <c r="AC6185" t="s">
        <v>3</v>
      </c>
      <c r="AD6185">
        <v>41.973124</v>
      </c>
      <c r="AE6185">
        <v>-88.11563599999999</v>
      </c>
      <c r="AF6185" s="5" t="str">
        <f>HYPERLINK("https://www.google.com/maps/search/?api=1&amp;query=41.973124,-88.115636","map")</f>
        <v>map</v>
      </c>
    </row>
    <row r="6186" spans="1:32">
      <c r="A6186" t="s">
        <v>6236</v>
      </c>
      <c r="B6186" t="s">
        <v>13761</v>
      </c>
      <c r="C6186" t="s">
        <v>15830</v>
      </c>
      <c r="D6186" t="s">
        <v>16207</v>
      </c>
      <c r="E6186" t="s">
        <v>16218</v>
      </c>
      <c r="F6186" t="s">
        <v>16221</v>
      </c>
      <c r="G6186" t="s">
        <v>16241</v>
      </c>
      <c r="H6186" t="s">
        <v>16241</v>
      </c>
      <c r="I6186" t="s">
        <v>16355</v>
      </c>
      <c r="J6186" t="s">
        <v>16385</v>
      </c>
      <c r="K6186">
        <v>0.095</v>
      </c>
      <c r="L6186">
        <v>4134</v>
      </c>
      <c r="N6186" t="s">
        <v>16393</v>
      </c>
      <c r="O6186" s="4">
        <v>22639</v>
      </c>
      <c r="P6186" s="4">
        <v>112311</v>
      </c>
      <c r="Q6186" s="4">
        <v>134950</v>
      </c>
      <c r="R6186" s="4">
        <v>404850</v>
      </c>
      <c r="S6186" t="s">
        <v>22442</v>
      </c>
      <c r="X6186" t="s">
        <v>3</v>
      </c>
      <c r="AA6186" s="5" t="str">
        <f>HYPERLINK("https://www.zillow.com/homes/509-BOBBY-ANN-CT-ROSELLE-IL-60172_rb/","check listing")</f>
        <v>check listing</v>
      </c>
      <c r="AB6186" s="5" t="str">
        <f>HYPERLINK("https://propertylookup.dupagecounty.gov/Datalets/Datalet.aspx?UseSearch=no&amp;mode=sales&amp;pin=0208219029","sales record")</f>
        <v>sales record</v>
      </c>
      <c r="AC6186" t="s">
        <v>3</v>
      </c>
      <c r="AD6186">
        <v>41.973317</v>
      </c>
      <c r="AE6186">
        <v>-88.115634</v>
      </c>
      <c r="AF6186" s="5" t="str">
        <f>HYPERLINK("https://www.google.com/maps/search/?api=1&amp;query=41.973317,-88.115634","map")</f>
        <v>map</v>
      </c>
    </row>
    <row r="6187" spans="1:32">
      <c r="A6187" t="s">
        <v>6237</v>
      </c>
      <c r="B6187" t="s">
        <v>13762</v>
      </c>
      <c r="C6187" t="s">
        <v>15830</v>
      </c>
      <c r="D6187" t="s">
        <v>16207</v>
      </c>
      <c r="E6187" t="s">
        <v>16218</v>
      </c>
      <c r="F6187" t="s">
        <v>16221</v>
      </c>
      <c r="G6187" t="s">
        <v>16241</v>
      </c>
      <c r="H6187" t="s">
        <v>16241</v>
      </c>
      <c r="I6187" t="s">
        <v>16355</v>
      </c>
      <c r="J6187" t="s">
        <v>16385</v>
      </c>
      <c r="K6187">
        <v>0.095</v>
      </c>
      <c r="L6187">
        <v>4119</v>
      </c>
      <c r="N6187" t="s">
        <v>16393</v>
      </c>
      <c r="O6187" s="4">
        <v>22639</v>
      </c>
      <c r="P6187" s="4">
        <v>116266</v>
      </c>
      <c r="Q6187" s="4">
        <v>138905</v>
      </c>
      <c r="R6187" s="4">
        <v>416715</v>
      </c>
      <c r="S6187" t="s">
        <v>22443</v>
      </c>
      <c r="X6187" t="s">
        <v>3</v>
      </c>
      <c r="AA6187" s="5" t="str">
        <f>HYPERLINK("https://www.zillow.com/homes/511-BOBBY-ANN-CT-ROSELLE-IL-60172_rb/","check listing")</f>
        <v>check listing</v>
      </c>
      <c r="AB6187" s="5" t="str">
        <f>HYPERLINK("https://propertylookup.dupagecounty.gov/Datalets/Datalet.aspx?UseSearch=no&amp;mode=sales&amp;pin=0208219030","sales record")</f>
        <v>sales record</v>
      </c>
      <c r="AC6187" t="s">
        <v>3</v>
      </c>
      <c r="AD6187">
        <v>41.973221</v>
      </c>
      <c r="AE6187">
        <v>-88.115634</v>
      </c>
      <c r="AF6187" s="5" t="str">
        <f>HYPERLINK("https://www.google.com/maps/search/?api=1&amp;query=41.973221,-88.115634","map")</f>
        <v>map</v>
      </c>
    </row>
    <row r="6188" spans="1:32">
      <c r="A6188" t="s">
        <v>6238</v>
      </c>
      <c r="B6188" t="s">
        <v>13763</v>
      </c>
      <c r="C6188" t="s">
        <v>15830</v>
      </c>
      <c r="D6188" t="s">
        <v>16207</v>
      </c>
      <c r="E6188" t="s">
        <v>16218</v>
      </c>
      <c r="F6188" t="s">
        <v>16221</v>
      </c>
      <c r="G6188" t="s">
        <v>16241</v>
      </c>
      <c r="H6188" t="s">
        <v>16241</v>
      </c>
      <c r="I6188" t="s">
        <v>16355</v>
      </c>
      <c r="J6188" t="s">
        <v>16385</v>
      </c>
      <c r="K6188">
        <v>0.094</v>
      </c>
      <c r="L6188">
        <v>4088</v>
      </c>
      <c r="M6188">
        <v>1168</v>
      </c>
      <c r="N6188" t="s">
        <v>16393</v>
      </c>
      <c r="O6188" s="4">
        <v>38692</v>
      </c>
      <c r="P6188" s="4">
        <v>76189</v>
      </c>
      <c r="Q6188" s="4">
        <v>114881</v>
      </c>
      <c r="R6188" s="4">
        <v>344643</v>
      </c>
      <c r="S6188" t="s">
        <v>22444</v>
      </c>
      <c r="T6188" s="6">
        <v>40057</v>
      </c>
      <c r="U6188" s="4">
        <v>210000</v>
      </c>
      <c r="V6188" t="s">
        <v>23739</v>
      </c>
      <c r="W6188" t="s">
        <v>27167</v>
      </c>
      <c r="X6188" t="s">
        <v>3</v>
      </c>
      <c r="AA6188" s="5" t="str">
        <f>HYPERLINK("https://www.zillow.com/homes/715-WOODSIDE-DR-ROSELLE-IL-60172_rb/","check listing")</f>
        <v>check listing</v>
      </c>
      <c r="AB6188" s="5" t="str">
        <f>HYPERLINK("https://propertylookup.dupagecounty.gov/Datalets/Datalet.aspx?UseSearch=no&amp;mode=sales&amp;pin=0209101038","sales record")</f>
        <v>sales record</v>
      </c>
      <c r="AC6188" t="s">
        <v>27873</v>
      </c>
      <c r="AD6188">
        <v>41.969918</v>
      </c>
      <c r="AE6188">
        <v>-88.10468</v>
      </c>
      <c r="AF6188" s="5" t="str">
        <f>HYPERLINK("https://www.google.com/maps/search/?api=1&amp;query=41.969918,-88.10468","map")</f>
        <v>map</v>
      </c>
    </row>
    <row r="6189" spans="1:32">
      <c r="A6189" t="s">
        <v>6239</v>
      </c>
      <c r="B6189" t="s">
        <v>12711</v>
      </c>
      <c r="C6189" t="s">
        <v>15830</v>
      </c>
      <c r="D6189" t="s">
        <v>16207</v>
      </c>
      <c r="E6189" t="s">
        <v>16217</v>
      </c>
      <c r="F6189" t="s">
        <v>16221</v>
      </c>
      <c r="G6189" t="s">
        <v>16241</v>
      </c>
      <c r="H6189" t="s">
        <v>16241</v>
      </c>
      <c r="I6189" t="s">
        <v>16355</v>
      </c>
      <c r="J6189" t="s">
        <v>16385</v>
      </c>
      <c r="K6189">
        <v>0.192</v>
      </c>
      <c r="L6189">
        <v>8371</v>
      </c>
      <c r="N6189" t="s">
        <v>16393</v>
      </c>
      <c r="O6189" s="4">
        <v>19806</v>
      </c>
      <c r="P6189" s="4">
        <v>0</v>
      </c>
      <c r="Q6189" s="4">
        <v>19806</v>
      </c>
      <c r="R6189" s="4">
        <v>59418</v>
      </c>
      <c r="S6189" t="s">
        <v>21400</v>
      </c>
      <c r="T6189" s="6">
        <v>43800</v>
      </c>
      <c r="U6189" s="4">
        <v>50000</v>
      </c>
      <c r="V6189" t="s">
        <v>23739</v>
      </c>
      <c r="W6189" t="s">
        <v>27168</v>
      </c>
      <c r="X6189" t="s">
        <v>3</v>
      </c>
      <c r="AA6189" s="5" t="str">
        <f>HYPERLINK("https://www.zillow.com/homes/146-S-ROSELLE-RD-ROSELLE-IL-60172_rb/","check listing")</f>
        <v>check listing</v>
      </c>
      <c r="AB6189" s="5" t="str">
        <f>HYPERLINK("https://propertylookup.dupagecounty.gov/Datalets/Datalet.aspx?UseSearch=no&amp;mode=sales&amp;pin=0203311020","sales record")</f>
        <v>sales record</v>
      </c>
      <c r="AC6189" t="s">
        <v>27872</v>
      </c>
      <c r="AD6189">
        <v>41.980241</v>
      </c>
      <c r="AE6189">
        <v>-88.080654</v>
      </c>
      <c r="AF6189" s="5" t="str">
        <f>HYPERLINK("https://www.google.com/maps/search/?api=1&amp;query=41.980241,-88.080654","map")</f>
        <v>map</v>
      </c>
    </row>
    <row r="6190" spans="1:32">
      <c r="A6190" t="s">
        <v>6240</v>
      </c>
      <c r="B6190" t="s">
        <v>13764</v>
      </c>
      <c r="C6190" t="s">
        <v>15957</v>
      </c>
      <c r="D6190" t="s">
        <v>16207</v>
      </c>
      <c r="E6190" t="s">
        <v>16217</v>
      </c>
      <c r="F6190" t="s">
        <v>16221</v>
      </c>
      <c r="G6190" t="s">
        <v>16241</v>
      </c>
      <c r="H6190" t="s">
        <v>16241</v>
      </c>
      <c r="I6190" t="s">
        <v>16355</v>
      </c>
      <c r="J6190" t="s">
        <v>16385</v>
      </c>
      <c r="K6190">
        <v>0.134</v>
      </c>
      <c r="L6190">
        <v>5831</v>
      </c>
      <c r="N6190" t="s">
        <v>16393</v>
      </c>
      <c r="O6190" s="4">
        <v>38692</v>
      </c>
      <c r="P6190" s="4">
        <v>0</v>
      </c>
      <c r="Q6190" s="4">
        <v>38692</v>
      </c>
      <c r="R6190" s="4">
        <v>116076</v>
      </c>
      <c r="S6190" t="s">
        <v>22148</v>
      </c>
      <c r="T6190" s="6">
        <v>45056</v>
      </c>
      <c r="U6190" s="4">
        <v>76000</v>
      </c>
      <c r="V6190" t="s">
        <v>23739</v>
      </c>
      <c r="W6190" t="s">
        <v>27169</v>
      </c>
      <c r="X6190" t="s">
        <v>3</v>
      </c>
      <c r="AA6190" s="5" t="str">
        <f>HYPERLINK("https://www.zillow.com/homes/1190-DARBY-LN-ROSELLE-IL-601721754_rb/","check listing")</f>
        <v>check listing</v>
      </c>
      <c r="AB6190" s="5" t="str">
        <f>HYPERLINK("https://propertylookup.dupagecounty.gov/Datalets/Datalet.aspx?UseSearch=no&amp;mode=sales&amp;pin=0204313016","sales record")</f>
        <v>sales record</v>
      </c>
      <c r="AC6190" t="s">
        <v>3</v>
      </c>
      <c r="AD6190">
        <v>41.978045</v>
      </c>
      <c r="AE6190">
        <v>-88.110152</v>
      </c>
      <c r="AF6190" s="5" t="str">
        <f>HYPERLINK("https://www.google.com/maps/search/?api=1&amp;query=41.978045,-88.110152","map")</f>
        <v>map</v>
      </c>
    </row>
    <row r="6191" spans="1:32">
      <c r="A6191" t="s">
        <v>6241</v>
      </c>
      <c r="B6191" t="s">
        <v>13765</v>
      </c>
      <c r="C6191" t="s">
        <v>15109</v>
      </c>
      <c r="D6191" t="s">
        <v>16208</v>
      </c>
      <c r="E6191" t="s">
        <v>16218</v>
      </c>
      <c r="F6191" t="s">
        <v>16220</v>
      </c>
      <c r="G6191" t="s">
        <v>16231</v>
      </c>
      <c r="H6191" t="s">
        <v>16231</v>
      </c>
      <c r="I6191" t="s">
        <v>16356</v>
      </c>
      <c r="J6191" t="s">
        <v>16386</v>
      </c>
      <c r="K6191">
        <v>0.5620000000000001</v>
      </c>
      <c r="L6191">
        <v>24475</v>
      </c>
      <c r="M6191">
        <v>2088</v>
      </c>
      <c r="N6191" t="s">
        <v>16393</v>
      </c>
      <c r="O6191" s="4">
        <v>141390</v>
      </c>
      <c r="P6191" s="4">
        <v>49129</v>
      </c>
      <c r="Q6191" s="4">
        <v>190519</v>
      </c>
      <c r="R6191" s="4">
        <v>571557</v>
      </c>
      <c r="S6191" t="s">
        <v>22445</v>
      </c>
      <c r="T6191" s="6">
        <v>45470</v>
      </c>
      <c r="U6191" s="4">
        <v>400000</v>
      </c>
      <c r="V6191" t="s">
        <v>23739</v>
      </c>
      <c r="W6191" t="s">
        <v>27170</v>
      </c>
      <c r="X6191" t="s">
        <v>3</v>
      </c>
      <c r="AA6191" s="5" t="str">
        <f>HYPERLINK("https://www.zillow.com/homes/0S634-OLD-YORK-RD-ELMHURST-IL-60126_rb/","check listing")</f>
        <v>check listing</v>
      </c>
      <c r="AB6191" s="5" t="str">
        <f>HYPERLINK("https://propertylookup.dupagecounty.gov/Datalets/Datalet.aspx?UseSearch=no&amp;mode=sales&amp;pin=0613312002","sales record")</f>
        <v>sales record</v>
      </c>
      <c r="AC6191" t="s">
        <v>3</v>
      </c>
      <c r="AD6191">
        <v>41.86487</v>
      </c>
      <c r="AE6191">
        <v>-87.93129999999999</v>
      </c>
      <c r="AF6191" s="5" t="str">
        <f>HYPERLINK("https://www.google.com/maps/search/?api=1&amp;query=41.86487,-87.9313","map")</f>
        <v>map</v>
      </c>
    </row>
    <row r="6192" spans="1:32">
      <c r="A6192" t="s">
        <v>6242</v>
      </c>
      <c r="B6192" t="s">
        <v>13766</v>
      </c>
      <c r="C6192" t="s">
        <v>15985</v>
      </c>
      <c r="D6192" t="s">
        <v>16208</v>
      </c>
      <c r="E6192" t="s">
        <v>16218</v>
      </c>
      <c r="F6192" t="s">
        <v>16220</v>
      </c>
      <c r="G6192" t="s">
        <v>16231</v>
      </c>
      <c r="H6192" t="s">
        <v>16231</v>
      </c>
      <c r="I6192" t="s">
        <v>16356</v>
      </c>
      <c r="J6192" t="s">
        <v>16386</v>
      </c>
      <c r="K6192">
        <v>0.447</v>
      </c>
      <c r="L6192">
        <v>19481</v>
      </c>
      <c r="M6192">
        <v>2081</v>
      </c>
      <c r="N6192" t="s">
        <v>16393</v>
      </c>
      <c r="O6192" s="4">
        <v>52390</v>
      </c>
      <c r="P6192" s="4">
        <v>113279</v>
      </c>
      <c r="Q6192" s="4">
        <v>165669</v>
      </c>
      <c r="R6192" s="4">
        <v>497007</v>
      </c>
      <c r="S6192" t="s">
        <v>22446</v>
      </c>
      <c r="T6192" s="6">
        <v>42795</v>
      </c>
      <c r="U6192" s="4">
        <v>365000</v>
      </c>
      <c r="V6192" t="s">
        <v>23739</v>
      </c>
      <c r="W6192" t="s">
        <v>27171</v>
      </c>
      <c r="X6192" t="s">
        <v>3</v>
      </c>
      <c r="AA6192" s="5" t="str">
        <f>HYPERLINK("https://www.zillow.com/homes/6N746-NEWLAND-PL-ITASCA-IL-601431595_rb/","check listing")</f>
        <v>check listing</v>
      </c>
      <c r="AB6192" s="5" t="str">
        <f>HYPERLINK("https://propertylookup.dupagecounty.gov/Datalets/Datalet.aspx?UseSearch=no&amp;mode=sales&amp;pin=0212103012","sales record")</f>
        <v>sales record</v>
      </c>
      <c r="AC6192" t="s">
        <v>3</v>
      </c>
      <c r="AD6192">
        <v>41.97684</v>
      </c>
      <c r="AE6192">
        <v>-88.04514399999999</v>
      </c>
      <c r="AF6192" s="5" t="str">
        <f>HYPERLINK("https://www.google.com/maps/search/?api=1&amp;query=41.97684,-88.045144","map")</f>
        <v>map</v>
      </c>
    </row>
    <row r="6193" spans="1:32">
      <c r="A6193" t="s">
        <v>6243</v>
      </c>
      <c r="B6193" t="s">
        <v>13767</v>
      </c>
      <c r="C6193" t="s">
        <v>15986</v>
      </c>
      <c r="D6193" t="s">
        <v>16208</v>
      </c>
      <c r="E6193" t="s">
        <v>16218</v>
      </c>
      <c r="F6193" t="s">
        <v>16220</v>
      </c>
      <c r="G6193" t="s">
        <v>16231</v>
      </c>
      <c r="H6193" t="s">
        <v>16231</v>
      </c>
      <c r="I6193" t="s">
        <v>16356</v>
      </c>
      <c r="J6193" t="s">
        <v>16386</v>
      </c>
      <c r="K6193">
        <v>0.372</v>
      </c>
      <c r="L6193">
        <v>16222</v>
      </c>
      <c r="M6193">
        <v>2641</v>
      </c>
      <c r="N6193" t="s">
        <v>16393</v>
      </c>
      <c r="O6193" s="4">
        <v>52390</v>
      </c>
      <c r="P6193" s="4">
        <v>84759</v>
      </c>
      <c r="Q6193" s="4">
        <v>137149</v>
      </c>
      <c r="R6193" s="4">
        <v>411447</v>
      </c>
      <c r="S6193" t="s">
        <v>22447</v>
      </c>
      <c r="T6193" s="6">
        <v>38353</v>
      </c>
      <c r="U6193" s="4">
        <v>420000</v>
      </c>
      <c r="V6193" t="s">
        <v>23739</v>
      </c>
      <c r="W6193" t="s">
        <v>27172</v>
      </c>
      <c r="X6193" t="s">
        <v>3</v>
      </c>
      <c r="AA6193" s="5" t="str">
        <f>HYPERLINK("https://www.zillow.com/homes/21W560-IRVING-PARK-RD-ITASCA-IL-60143_rb/","check listing")</f>
        <v>check listing</v>
      </c>
      <c r="AB6193" s="5" t="str">
        <f>HYPERLINK("https://propertylookup.dupagecounty.gov/Datalets/Datalet.aspx?UseSearch=no&amp;mode=sales&amp;pin=0212103018","sales record")</f>
        <v>sales record</v>
      </c>
      <c r="AC6193" t="s">
        <v>3</v>
      </c>
      <c r="AD6193">
        <v>41.976016</v>
      </c>
      <c r="AE6193">
        <v>-88.045643</v>
      </c>
      <c r="AF6193" s="5" t="str">
        <f>HYPERLINK("https://www.google.com/maps/search/?api=1&amp;query=41.976016,-88.045643","map")</f>
        <v>map</v>
      </c>
    </row>
    <row r="6194" spans="1:32">
      <c r="A6194" t="s">
        <v>6244</v>
      </c>
      <c r="B6194" t="s">
        <v>13768</v>
      </c>
      <c r="C6194" t="s">
        <v>15986</v>
      </c>
      <c r="D6194" t="s">
        <v>16208</v>
      </c>
      <c r="E6194" t="s">
        <v>16218</v>
      </c>
      <c r="F6194" t="s">
        <v>16220</v>
      </c>
      <c r="G6194" t="s">
        <v>16231</v>
      </c>
      <c r="H6194" t="s">
        <v>16231</v>
      </c>
      <c r="I6194" t="s">
        <v>16356</v>
      </c>
      <c r="J6194" t="s">
        <v>16386</v>
      </c>
      <c r="K6194">
        <v>0.325</v>
      </c>
      <c r="L6194">
        <v>14178</v>
      </c>
      <c r="M6194">
        <v>2045</v>
      </c>
      <c r="N6194" t="s">
        <v>16393</v>
      </c>
      <c r="O6194" s="4">
        <v>41716</v>
      </c>
      <c r="P6194" s="4">
        <v>87074</v>
      </c>
      <c r="Q6194" s="4">
        <v>128790</v>
      </c>
      <c r="R6194" s="4">
        <v>386370</v>
      </c>
      <c r="S6194" t="s">
        <v>22448</v>
      </c>
      <c r="T6194" s="6">
        <v>45358</v>
      </c>
      <c r="U6194" s="4">
        <v>434250</v>
      </c>
      <c r="V6194" t="s">
        <v>23739</v>
      </c>
      <c r="W6194" t="s">
        <v>27173</v>
      </c>
      <c r="X6194" t="s">
        <v>3</v>
      </c>
      <c r="AA6194" s="5" t="str">
        <f>HYPERLINK("https://www.zillow.com/homes/21W315-TEE-LN-ITASCA-IL-60143_rb/","check listing")</f>
        <v>check listing</v>
      </c>
      <c r="AB6194" s="5" t="str">
        <f>HYPERLINK("https://propertylookup.dupagecounty.gov/Datalets/Datalet.aspx?UseSearch=no&amp;mode=sales&amp;pin=0213409034","sales record")</f>
        <v>sales record</v>
      </c>
      <c r="AC6194" t="s">
        <v>3</v>
      </c>
      <c r="AD6194">
        <v>41.953299</v>
      </c>
      <c r="AE6194">
        <v>-88.03965700000001</v>
      </c>
      <c r="AF6194" s="5" t="str">
        <f>HYPERLINK("https://www.google.com/maps/search/?api=1&amp;query=41.953299,-88.039657","map")</f>
        <v>map</v>
      </c>
    </row>
    <row r="6195" spans="1:32">
      <c r="A6195" t="s">
        <v>6245</v>
      </c>
      <c r="B6195" t="s">
        <v>13769</v>
      </c>
      <c r="C6195" t="s">
        <v>15987</v>
      </c>
      <c r="D6195" t="s">
        <v>16208</v>
      </c>
      <c r="E6195" t="s">
        <v>16218</v>
      </c>
      <c r="F6195" t="s">
        <v>16220</v>
      </c>
      <c r="G6195" t="s">
        <v>16231</v>
      </c>
      <c r="H6195" t="s">
        <v>16231</v>
      </c>
      <c r="I6195" t="s">
        <v>16356</v>
      </c>
      <c r="J6195" t="s">
        <v>16386</v>
      </c>
      <c r="K6195">
        <v>0.311</v>
      </c>
      <c r="L6195">
        <v>13542</v>
      </c>
      <c r="M6195">
        <v>2373</v>
      </c>
      <c r="N6195" t="s">
        <v>16393</v>
      </c>
      <c r="O6195" s="4">
        <v>52390</v>
      </c>
      <c r="P6195" s="4">
        <v>93796</v>
      </c>
      <c r="Q6195" s="4">
        <v>146186</v>
      </c>
      <c r="R6195" s="4">
        <v>438558</v>
      </c>
      <c r="S6195" t="s">
        <v>22449</v>
      </c>
      <c r="T6195" s="6">
        <v>44197</v>
      </c>
      <c r="U6195" s="4">
        <v>359000</v>
      </c>
      <c r="V6195" t="s">
        <v>23739</v>
      </c>
      <c r="W6195" t="s">
        <v>27174</v>
      </c>
      <c r="X6195" t="s">
        <v>3</v>
      </c>
      <c r="AA6195" s="5" t="str">
        <f>HYPERLINK("https://www.zillow.com/homes/21W630-IRVING-PARK-RD-ITASCA-IL-601431569_rb/","check listing")</f>
        <v>check listing</v>
      </c>
      <c r="AB6195" s="5" t="str">
        <f>HYPERLINK("https://propertylookup.dupagecounty.gov/Datalets/Datalet.aspx?UseSearch=no&amp;mode=sales&amp;pin=0212102009","sales record")</f>
        <v>sales record</v>
      </c>
      <c r="AC6195" t="s">
        <v>3</v>
      </c>
      <c r="AD6195">
        <v>41.976333</v>
      </c>
      <c r="AE6195">
        <v>-88.047259</v>
      </c>
      <c r="AF6195" s="5" t="str">
        <f>HYPERLINK("https://www.google.com/maps/search/?api=1&amp;query=41.976333,-88.047259","map")</f>
        <v>map</v>
      </c>
    </row>
    <row r="6196" spans="1:32">
      <c r="A6196" t="s">
        <v>6246</v>
      </c>
      <c r="B6196" t="s">
        <v>13770</v>
      </c>
      <c r="C6196" t="s">
        <v>15988</v>
      </c>
      <c r="D6196" t="s">
        <v>16208</v>
      </c>
      <c r="E6196" t="s">
        <v>16218</v>
      </c>
      <c r="F6196" t="s">
        <v>16220</v>
      </c>
      <c r="G6196" t="s">
        <v>16231</v>
      </c>
      <c r="H6196" t="s">
        <v>16231</v>
      </c>
      <c r="I6196" t="s">
        <v>16356</v>
      </c>
      <c r="J6196" t="s">
        <v>16386</v>
      </c>
      <c r="K6196">
        <v>0.302</v>
      </c>
      <c r="L6196">
        <v>13164</v>
      </c>
      <c r="M6196">
        <v>1971</v>
      </c>
      <c r="N6196" t="s">
        <v>16393</v>
      </c>
      <c r="O6196" s="4">
        <v>52390</v>
      </c>
      <c r="P6196" s="4">
        <v>190304</v>
      </c>
      <c r="Q6196" s="4">
        <v>242694</v>
      </c>
      <c r="R6196" s="4">
        <v>728082</v>
      </c>
      <c r="S6196" t="s">
        <v>22450</v>
      </c>
      <c r="T6196" s="6">
        <v>45356</v>
      </c>
      <c r="U6196" s="4">
        <v>823000</v>
      </c>
      <c r="V6196" t="s">
        <v>23739</v>
      </c>
      <c r="W6196" t="s">
        <v>27175</v>
      </c>
      <c r="X6196" t="s">
        <v>3</v>
      </c>
      <c r="AA6196" s="5" t="str">
        <f>HYPERLINK("https://www.zillow.com/homes/6N680-GATES-AVE-ITASCA-IL-601431501_rb/","check listing")</f>
        <v>check listing</v>
      </c>
      <c r="AB6196" s="5" t="str">
        <f>HYPERLINK("https://propertylookup.dupagecounty.gov/Datalets/Datalet.aspx?UseSearch=no&amp;mode=sales&amp;pin=0212104020","sales record")</f>
        <v>sales record</v>
      </c>
      <c r="AC6196" t="s">
        <v>3</v>
      </c>
      <c r="AD6196">
        <v>41.975701</v>
      </c>
      <c r="AE6196">
        <v>-88.044241</v>
      </c>
      <c r="AF6196" s="5" t="str">
        <f>HYPERLINK("https://www.google.com/maps/search/?api=1&amp;query=41.975701,-88.044241","map")</f>
        <v>map</v>
      </c>
    </row>
    <row r="6197" spans="1:32">
      <c r="A6197" t="s">
        <v>6247</v>
      </c>
      <c r="B6197" t="s">
        <v>13771</v>
      </c>
      <c r="C6197" t="s">
        <v>15985</v>
      </c>
      <c r="D6197" t="s">
        <v>16208</v>
      </c>
      <c r="E6197" t="s">
        <v>16218</v>
      </c>
      <c r="F6197" t="s">
        <v>16220</v>
      </c>
      <c r="G6197" t="s">
        <v>16231</v>
      </c>
      <c r="H6197" t="s">
        <v>16231</v>
      </c>
      <c r="I6197" t="s">
        <v>16356</v>
      </c>
      <c r="J6197" t="s">
        <v>16386</v>
      </c>
      <c r="K6197">
        <v>0.296</v>
      </c>
      <c r="L6197">
        <v>12915</v>
      </c>
      <c r="M6197">
        <v>1265</v>
      </c>
      <c r="N6197" t="s">
        <v>16393</v>
      </c>
      <c r="O6197" s="4">
        <v>52390</v>
      </c>
      <c r="P6197" s="4">
        <v>40747</v>
      </c>
      <c r="Q6197" s="4">
        <v>93137</v>
      </c>
      <c r="R6197" s="4">
        <v>279411</v>
      </c>
      <c r="S6197" t="s">
        <v>22451</v>
      </c>
      <c r="T6197" s="6">
        <v>44287</v>
      </c>
      <c r="U6197" s="4">
        <v>230000</v>
      </c>
      <c r="V6197" t="s">
        <v>23739</v>
      </c>
      <c r="W6197" t="s">
        <v>27176</v>
      </c>
      <c r="X6197" t="s">
        <v>3</v>
      </c>
      <c r="AA6197" s="5" t="str">
        <f>HYPERLINK("https://www.zillow.com/homes/6N741-NEWLAND-PL-ITASCA-IL-601431595_rb/","check listing")</f>
        <v>check listing</v>
      </c>
      <c r="AB6197" s="5" t="str">
        <f>HYPERLINK("https://propertylookup.dupagecounty.gov/Datalets/Datalet.aspx?UseSearch=no&amp;mode=sales&amp;pin=0212104023","sales record")</f>
        <v>sales record</v>
      </c>
      <c r="AC6197" t="s">
        <v>3</v>
      </c>
      <c r="AD6197">
        <v>41.976488</v>
      </c>
      <c r="AE6197">
        <v>-88.044443</v>
      </c>
      <c r="AF6197" s="5" t="str">
        <f>HYPERLINK("https://www.google.com/maps/search/?api=1&amp;query=41.976488,-88.044443","map")</f>
        <v>map</v>
      </c>
    </row>
    <row r="6198" spans="1:32">
      <c r="A6198" t="s">
        <v>6248</v>
      </c>
      <c r="B6198" t="s">
        <v>13772</v>
      </c>
      <c r="C6198" t="s">
        <v>15254</v>
      </c>
      <c r="D6198" t="s">
        <v>16208</v>
      </c>
      <c r="E6198" t="s">
        <v>16218</v>
      </c>
      <c r="F6198" t="s">
        <v>16220</v>
      </c>
      <c r="G6198" t="s">
        <v>16231</v>
      </c>
      <c r="H6198" t="s">
        <v>16231</v>
      </c>
      <c r="I6198" t="s">
        <v>16356</v>
      </c>
      <c r="J6198" t="s">
        <v>16386</v>
      </c>
      <c r="K6198">
        <v>0.244</v>
      </c>
      <c r="L6198">
        <v>10643</v>
      </c>
      <c r="M6198">
        <v>2579</v>
      </c>
      <c r="N6198" t="s">
        <v>16393</v>
      </c>
      <c r="O6198" s="4">
        <v>55682</v>
      </c>
      <c r="P6198" s="4">
        <v>54895</v>
      </c>
      <c r="Q6198" s="4">
        <v>110577</v>
      </c>
      <c r="R6198" s="4">
        <v>331731</v>
      </c>
      <c r="S6198" t="s">
        <v>22452</v>
      </c>
      <c r="X6198" t="s">
        <v>3</v>
      </c>
      <c r="AA6198" s="5" t="str">
        <f>HYPERLINK("https://www.zillow.com/homes/500-PLAINFIELD-RD-DOWNERS-GROVE-IL-60516_rb/","check listing")</f>
        <v>check listing</v>
      </c>
      <c r="AB6198" s="5" t="str">
        <f>HYPERLINK("https://propertylookup.dupagecounty.gov/Datalets/Datalet.aspx?UseSearch=no&amp;mode=sales&amp;pin=0932207022","sales record")</f>
        <v>sales record</v>
      </c>
      <c r="AC6198" t="s">
        <v>3</v>
      </c>
      <c r="AD6198">
        <v>41.74057</v>
      </c>
      <c r="AE6198">
        <v>-87.995312</v>
      </c>
      <c r="AF6198" s="5" t="str">
        <f>HYPERLINK("https://www.google.com/maps/search/?api=1&amp;query=41.74057,-87.995312","map")</f>
        <v>map</v>
      </c>
    </row>
    <row r="6199" spans="1:32">
      <c r="A6199" t="s">
        <v>6249</v>
      </c>
      <c r="B6199" t="s">
        <v>13773</v>
      </c>
      <c r="C6199" t="s">
        <v>15986</v>
      </c>
      <c r="D6199" t="s">
        <v>16208</v>
      </c>
      <c r="E6199" t="s">
        <v>16218</v>
      </c>
      <c r="F6199" t="s">
        <v>16220</v>
      </c>
      <c r="G6199" t="s">
        <v>16231</v>
      </c>
      <c r="H6199" t="s">
        <v>16231</v>
      </c>
      <c r="I6199" t="s">
        <v>16356</v>
      </c>
      <c r="J6199" t="s">
        <v>16386</v>
      </c>
      <c r="K6199">
        <v>0.242</v>
      </c>
      <c r="L6199">
        <v>10546</v>
      </c>
      <c r="M6199">
        <v>1943</v>
      </c>
      <c r="N6199" t="s">
        <v>16393</v>
      </c>
      <c r="O6199" s="4">
        <v>52390</v>
      </c>
      <c r="P6199" s="4">
        <v>162155</v>
      </c>
      <c r="Q6199" s="4">
        <v>214545</v>
      </c>
      <c r="R6199" s="4">
        <v>643635</v>
      </c>
      <c r="S6199" t="s">
        <v>22453</v>
      </c>
      <c r="X6199" t="s">
        <v>3</v>
      </c>
      <c r="AA6199" s="5" t="str">
        <f>HYPERLINK("https://www.zillow.com/homes/6N731-GATES-AVE-ITASCA-IL-60143_rb/","check listing")</f>
        <v>check listing</v>
      </c>
      <c r="AB6199" s="5" t="str">
        <f>HYPERLINK("https://propertylookup.dupagecounty.gov/Datalets/Datalet.aspx?UseSearch=no&amp;mode=sales&amp;pin=0212105032","sales record")</f>
        <v>sales record</v>
      </c>
      <c r="AC6199" t="s">
        <v>3</v>
      </c>
      <c r="AD6199">
        <v>41.976255</v>
      </c>
      <c r="AE6199">
        <v>-88.043301</v>
      </c>
      <c r="AF6199" s="5" t="str">
        <f>HYPERLINK("https://www.google.com/maps/search/?api=1&amp;query=41.976255,-88.043301","map")</f>
        <v>map</v>
      </c>
    </row>
    <row r="6200" spans="1:32">
      <c r="A6200" t="s">
        <v>6250</v>
      </c>
      <c r="B6200" t="s">
        <v>13774</v>
      </c>
      <c r="C6200" t="s">
        <v>15989</v>
      </c>
      <c r="D6200" t="s">
        <v>16208</v>
      </c>
      <c r="E6200" t="s">
        <v>16218</v>
      </c>
      <c r="F6200" t="s">
        <v>16220</v>
      </c>
      <c r="G6200" t="s">
        <v>16231</v>
      </c>
      <c r="H6200" t="s">
        <v>16231</v>
      </c>
      <c r="I6200" t="s">
        <v>16356</v>
      </c>
      <c r="J6200" t="s">
        <v>16386</v>
      </c>
      <c r="K6200">
        <v>0.206</v>
      </c>
      <c r="L6200">
        <v>8986</v>
      </c>
      <c r="M6200">
        <v>1863</v>
      </c>
      <c r="N6200" t="s">
        <v>16393</v>
      </c>
      <c r="O6200" s="4">
        <v>46914</v>
      </c>
      <c r="P6200" s="4">
        <v>120543</v>
      </c>
      <c r="Q6200" s="4">
        <v>167457</v>
      </c>
      <c r="R6200" s="4">
        <v>502371</v>
      </c>
      <c r="S6200" t="s">
        <v>22454</v>
      </c>
      <c r="T6200" s="6">
        <v>45939</v>
      </c>
      <c r="U6200" s="4">
        <v>557800</v>
      </c>
      <c r="V6200" t="s">
        <v>23739</v>
      </c>
      <c r="W6200" t="s">
        <v>27177</v>
      </c>
      <c r="X6200" t="s">
        <v>3</v>
      </c>
      <c r="AA6200" s="5" t="str">
        <f>HYPERLINK("https://www.zillow.com/homes/362-56TH-ST-CLARENDON-HILLS-IL-605141574_rb/","check listing")</f>
        <v>check listing</v>
      </c>
      <c r="AB6200" s="5" t="str">
        <f>HYPERLINK("https://propertylookup.dupagecounty.gov/Datalets/Datalet.aspx?UseSearch=no&amp;mode=sales&amp;pin=0915201021","sales record")</f>
        <v>sales record</v>
      </c>
      <c r="AC6200" t="s">
        <v>3</v>
      </c>
      <c r="AD6200">
        <v>41.786971</v>
      </c>
      <c r="AE6200">
        <v>-87.961347</v>
      </c>
      <c r="AF6200" s="5" t="str">
        <f>HYPERLINK("https://www.google.com/maps/search/?api=1&amp;query=41.786971,-87.961347","map")</f>
        <v>map</v>
      </c>
    </row>
    <row r="6201" spans="1:32">
      <c r="A6201" t="s">
        <v>6251</v>
      </c>
      <c r="B6201" t="s">
        <v>13775</v>
      </c>
      <c r="C6201" t="s">
        <v>15986</v>
      </c>
      <c r="D6201" t="s">
        <v>16208</v>
      </c>
      <c r="E6201" t="s">
        <v>16218</v>
      </c>
      <c r="F6201" t="s">
        <v>16220</v>
      </c>
      <c r="G6201" t="s">
        <v>16231</v>
      </c>
      <c r="H6201" t="s">
        <v>16231</v>
      </c>
      <c r="I6201" t="s">
        <v>16356</v>
      </c>
      <c r="J6201" t="s">
        <v>16386</v>
      </c>
      <c r="K6201">
        <v>0.202</v>
      </c>
      <c r="L6201">
        <v>8814</v>
      </c>
      <c r="M6201">
        <v>1699</v>
      </c>
      <c r="N6201" t="s">
        <v>16393</v>
      </c>
      <c r="O6201" s="4">
        <v>52390</v>
      </c>
      <c r="P6201" s="4">
        <v>70989</v>
      </c>
      <c r="Q6201" s="4">
        <v>123379</v>
      </c>
      <c r="R6201" s="4">
        <v>370137</v>
      </c>
      <c r="S6201" t="s">
        <v>22455</v>
      </c>
      <c r="T6201" s="6">
        <v>45873</v>
      </c>
      <c r="U6201" s="4">
        <v>400000</v>
      </c>
      <c r="V6201" t="s">
        <v>23739</v>
      </c>
      <c r="W6201" t="s">
        <v>27178</v>
      </c>
      <c r="X6201" t="s">
        <v>3</v>
      </c>
      <c r="AA6201" s="5" t="str">
        <f>HYPERLINK("https://www.zillow.com/homes/6N715-GATES-AVE-ITASCA-IL-60143_rb/","check listing")</f>
        <v>check listing</v>
      </c>
      <c r="AB6201" s="5" t="str">
        <f>HYPERLINK("https://propertylookup.dupagecounty.gov/Datalets/Datalet.aspx?UseSearch=no&amp;mode=sales&amp;pin=0212105033","sales record")</f>
        <v>sales record</v>
      </c>
      <c r="AC6201" t="s">
        <v>3</v>
      </c>
      <c r="AD6201">
        <v>41.976096</v>
      </c>
      <c r="AE6201">
        <v>-88.043369</v>
      </c>
      <c r="AF6201" s="5" t="str">
        <f>HYPERLINK("https://www.google.com/maps/search/?api=1&amp;query=41.976096,-88.043369","map")</f>
        <v>map</v>
      </c>
    </row>
    <row r="6202" spans="1:32">
      <c r="A6202" t="s">
        <v>6252</v>
      </c>
      <c r="B6202" t="s">
        <v>13776</v>
      </c>
      <c r="C6202" t="s">
        <v>15990</v>
      </c>
      <c r="D6202" t="s">
        <v>16208</v>
      </c>
      <c r="E6202" t="s">
        <v>16218</v>
      </c>
      <c r="F6202" t="s">
        <v>16220</v>
      </c>
      <c r="G6202" t="s">
        <v>16231</v>
      </c>
      <c r="H6202" t="s">
        <v>16231</v>
      </c>
      <c r="I6202" t="s">
        <v>16356</v>
      </c>
      <c r="J6202" t="s">
        <v>16386</v>
      </c>
      <c r="K6202">
        <v>0.166</v>
      </c>
      <c r="L6202">
        <v>7250</v>
      </c>
      <c r="M6202">
        <v>2728</v>
      </c>
      <c r="N6202" t="s">
        <v>16393</v>
      </c>
      <c r="O6202" s="4">
        <v>26225</v>
      </c>
      <c r="P6202" s="4">
        <v>178315</v>
      </c>
      <c r="Q6202" s="4">
        <v>204540</v>
      </c>
      <c r="R6202" s="4">
        <v>613620</v>
      </c>
      <c r="S6202" t="s">
        <v>22456</v>
      </c>
      <c r="T6202" s="6">
        <v>34394</v>
      </c>
      <c r="U6202" s="4">
        <v>5000</v>
      </c>
      <c r="X6202" t="s">
        <v>3</v>
      </c>
      <c r="AA6202" s="5" t="str">
        <f>HYPERLINK("https://www.zillow.com/homes/6N735-MANOR-LN-ITASCA-IL-601431574_rb/","check listing")</f>
        <v>check listing</v>
      </c>
      <c r="AB6202" s="5" t="str">
        <f>HYPERLINK("https://propertylookup.dupagecounty.gov/Datalets/Datalet.aspx?UseSearch=no&amp;mode=sales&amp;pin=0212103005","sales record")</f>
        <v>sales record</v>
      </c>
      <c r="AC6202" t="s">
        <v>3</v>
      </c>
      <c r="AD6202">
        <v>41.976372</v>
      </c>
      <c r="AE6202">
        <v>-88.045937</v>
      </c>
      <c r="AF6202" s="5" t="str">
        <f>HYPERLINK("https://www.google.com/maps/search/?api=1&amp;query=41.976372,-88.045937","map")</f>
        <v>map</v>
      </c>
    </row>
    <row r="6203" spans="1:32">
      <c r="A6203" t="s">
        <v>6253</v>
      </c>
      <c r="B6203" t="s">
        <v>13777</v>
      </c>
      <c r="C6203" t="s">
        <v>15199</v>
      </c>
      <c r="D6203" t="s">
        <v>16208</v>
      </c>
      <c r="E6203" t="s">
        <v>16218</v>
      </c>
      <c r="F6203" t="s">
        <v>16220</v>
      </c>
      <c r="G6203" t="s">
        <v>16231</v>
      </c>
      <c r="H6203" t="s">
        <v>16231</v>
      </c>
      <c r="I6203" t="s">
        <v>16356</v>
      </c>
      <c r="J6203" t="s">
        <v>16386</v>
      </c>
      <c r="K6203">
        <v>0.161</v>
      </c>
      <c r="L6203">
        <v>7023</v>
      </c>
      <c r="M6203">
        <v>1716</v>
      </c>
      <c r="N6203" t="s">
        <v>16393</v>
      </c>
      <c r="O6203" s="4">
        <v>38956</v>
      </c>
      <c r="P6203" s="4">
        <v>97525</v>
      </c>
      <c r="Q6203" s="4">
        <v>136481</v>
      </c>
      <c r="R6203" s="4">
        <v>409443</v>
      </c>
      <c r="S6203" t="s">
        <v>22457</v>
      </c>
      <c r="T6203" s="6">
        <v>36770</v>
      </c>
      <c r="U6203" s="4">
        <v>200000</v>
      </c>
      <c r="V6203" t="s">
        <v>23739</v>
      </c>
      <c r="W6203" t="s">
        <v>22457</v>
      </c>
      <c r="X6203" t="s">
        <v>3</v>
      </c>
      <c r="AA6203" s="5" t="str">
        <f>HYPERLINK("https://www.zillow.com/homes/16W686-57TH-ST-CLARENDON-HILLS-IL-60514_rb/","check listing")</f>
        <v>check listing</v>
      </c>
      <c r="AB6203" s="5" t="str">
        <f>HYPERLINK("https://propertylookup.dupagecounty.gov/Datalets/Datalet.aspx?UseSearch=no&amp;mode=sales&amp;pin=0914102026","sales record")</f>
        <v>sales record</v>
      </c>
      <c r="AC6203" t="s">
        <v>3</v>
      </c>
      <c r="AD6203">
        <v>41.785298</v>
      </c>
      <c r="AE6203">
        <v>-87.953141</v>
      </c>
      <c r="AF6203" s="5" t="str">
        <f>HYPERLINK("https://www.google.com/maps/search/?api=1&amp;query=41.785298,-87.953141","map")</f>
        <v>map</v>
      </c>
    </row>
    <row r="6204" spans="1:32">
      <c r="A6204" t="s">
        <v>6254</v>
      </c>
      <c r="B6204" t="s">
        <v>13778</v>
      </c>
      <c r="C6204" t="s">
        <v>15199</v>
      </c>
      <c r="D6204" t="s">
        <v>16208</v>
      </c>
      <c r="E6204" t="s">
        <v>16218</v>
      </c>
      <c r="F6204" t="s">
        <v>16220</v>
      </c>
      <c r="G6204" t="s">
        <v>16231</v>
      </c>
      <c r="H6204" t="s">
        <v>16231</v>
      </c>
      <c r="I6204" t="s">
        <v>16356</v>
      </c>
      <c r="J6204" t="s">
        <v>16386</v>
      </c>
      <c r="K6204">
        <v>0.161</v>
      </c>
      <c r="L6204">
        <v>7022</v>
      </c>
      <c r="M6204">
        <v>1821</v>
      </c>
      <c r="N6204" t="s">
        <v>16393</v>
      </c>
      <c r="O6204" s="4">
        <v>38956</v>
      </c>
      <c r="P6204" s="4">
        <v>101270</v>
      </c>
      <c r="Q6204" s="4">
        <v>140226</v>
      </c>
      <c r="R6204" s="4">
        <v>420678</v>
      </c>
      <c r="S6204" t="s">
        <v>22458</v>
      </c>
      <c r="T6204" s="6">
        <v>36647</v>
      </c>
      <c r="U6204" s="4">
        <v>212000</v>
      </c>
      <c r="V6204" t="s">
        <v>23740</v>
      </c>
      <c r="W6204" t="s">
        <v>27179</v>
      </c>
      <c r="X6204" t="s">
        <v>3</v>
      </c>
      <c r="AA6204" s="5" t="str">
        <f>HYPERLINK("https://www.zillow.com/homes/16W701-56TH-ST-CLARENDON-HILLS-IL-60514_rb/","check listing")</f>
        <v>check listing</v>
      </c>
      <c r="AB6204" s="5" t="str">
        <f>HYPERLINK("https://propertylookup.dupagecounty.gov/Datalets/Datalet.aspx?UseSearch=no&amp;mode=sales&amp;pin=0914101009","sales record")</f>
        <v>sales record</v>
      </c>
      <c r="AC6204" t="s">
        <v>3</v>
      </c>
      <c r="AD6204">
        <v>41.786588</v>
      </c>
      <c r="AE6204">
        <v>-87.953188</v>
      </c>
      <c r="AF6204" s="5" t="str">
        <f>HYPERLINK("https://www.google.com/maps/search/?api=1&amp;query=41.786588,-87.953188","map")</f>
        <v>map</v>
      </c>
    </row>
    <row r="6205" spans="1:32">
      <c r="A6205" t="s">
        <v>6255</v>
      </c>
      <c r="B6205" t="s">
        <v>13779</v>
      </c>
      <c r="C6205" t="s">
        <v>15199</v>
      </c>
      <c r="D6205" t="s">
        <v>16208</v>
      </c>
      <c r="E6205" t="s">
        <v>16218</v>
      </c>
      <c r="F6205" t="s">
        <v>16220</v>
      </c>
      <c r="G6205" t="s">
        <v>16231</v>
      </c>
      <c r="H6205" t="s">
        <v>16231</v>
      </c>
      <c r="I6205" t="s">
        <v>16356</v>
      </c>
      <c r="J6205" t="s">
        <v>16386</v>
      </c>
      <c r="K6205">
        <v>0.161</v>
      </c>
      <c r="L6205">
        <v>7022</v>
      </c>
      <c r="M6205">
        <v>2313</v>
      </c>
      <c r="N6205" t="s">
        <v>16393</v>
      </c>
      <c r="O6205" s="4">
        <v>38956</v>
      </c>
      <c r="P6205" s="4">
        <v>106423</v>
      </c>
      <c r="Q6205" s="4">
        <v>145379</v>
      </c>
      <c r="R6205" s="4">
        <v>436137</v>
      </c>
      <c r="S6205" t="s">
        <v>22459</v>
      </c>
      <c r="T6205" s="6">
        <v>44762</v>
      </c>
      <c r="U6205" s="4">
        <v>437400</v>
      </c>
      <c r="V6205" t="s">
        <v>23739</v>
      </c>
      <c r="W6205" t="s">
        <v>27180</v>
      </c>
      <c r="X6205" t="s">
        <v>3</v>
      </c>
      <c r="AA6205" s="5" t="str">
        <f>HYPERLINK("https://www.zillow.com/homes/16W687-56TH-PL-CLARENDON-HILLS-IL-60514_rb/","check listing")</f>
        <v>check listing</v>
      </c>
      <c r="AB6205" s="5" t="str">
        <f>HYPERLINK("https://propertylookup.dupagecounty.gov/Datalets/Datalet.aspx?UseSearch=no&amp;mode=sales&amp;pin=0914102009","sales record")</f>
        <v>sales record</v>
      </c>
      <c r="AC6205" t="s">
        <v>3</v>
      </c>
      <c r="AD6205">
        <v>41.78568</v>
      </c>
      <c r="AE6205">
        <v>-87.953155</v>
      </c>
      <c r="AF6205" s="5" t="str">
        <f>HYPERLINK("https://www.google.com/maps/search/?api=1&amp;query=41.78568,-87.953155","map")</f>
        <v>map</v>
      </c>
    </row>
    <row r="6206" spans="1:32">
      <c r="A6206" t="s">
        <v>6256</v>
      </c>
      <c r="B6206" t="s">
        <v>13780</v>
      </c>
      <c r="C6206" t="s">
        <v>15986</v>
      </c>
      <c r="D6206" t="s">
        <v>16208</v>
      </c>
      <c r="E6206" t="s">
        <v>16218</v>
      </c>
      <c r="F6206" t="s">
        <v>16220</v>
      </c>
      <c r="G6206" t="s">
        <v>16231</v>
      </c>
      <c r="H6206" t="s">
        <v>16231</v>
      </c>
      <c r="I6206" t="s">
        <v>16356</v>
      </c>
      <c r="J6206" t="s">
        <v>16386</v>
      </c>
      <c r="K6206">
        <v>0.158</v>
      </c>
      <c r="L6206">
        <v>6890</v>
      </c>
      <c r="M6206">
        <v>1274</v>
      </c>
      <c r="N6206" t="s">
        <v>16393</v>
      </c>
      <c r="O6206" s="4">
        <v>26225</v>
      </c>
      <c r="P6206" s="4">
        <v>74372</v>
      </c>
      <c r="Q6206" s="4">
        <v>100597</v>
      </c>
      <c r="R6206" s="4">
        <v>301791</v>
      </c>
      <c r="S6206" t="s">
        <v>22460</v>
      </c>
      <c r="T6206" s="6">
        <v>32143</v>
      </c>
      <c r="U6206" s="4">
        <v>80000</v>
      </c>
      <c r="X6206" t="s">
        <v>3</v>
      </c>
      <c r="AA6206" s="5" t="str">
        <f>HYPERLINK("https://www.zillow.com/homes/21W480-IRVING-PARK-RD-ITASCA-IL-60143_rb/","check listing")</f>
        <v>check listing</v>
      </c>
      <c r="AB6206" s="5" t="str">
        <f>HYPERLINK("https://propertylookup.dupagecounty.gov/Datalets/Datalet.aspx?UseSearch=no&amp;mode=sales&amp;pin=0212105011","sales record")</f>
        <v>sales record</v>
      </c>
      <c r="AC6206" t="s">
        <v>3</v>
      </c>
      <c r="AD6206">
        <v>41.975594</v>
      </c>
      <c r="AE6206">
        <v>-88.04372499999999</v>
      </c>
      <c r="AF6206" s="5" t="str">
        <f>HYPERLINK("https://www.google.com/maps/search/?api=1&amp;query=41.975594,-88.043725","map")</f>
        <v>map</v>
      </c>
    </row>
    <row r="6207" spans="1:32">
      <c r="A6207" t="s">
        <v>6257</v>
      </c>
      <c r="B6207" t="s">
        <v>13781</v>
      </c>
      <c r="C6207" t="s">
        <v>15199</v>
      </c>
      <c r="D6207" t="s">
        <v>16208</v>
      </c>
      <c r="E6207" t="s">
        <v>16218</v>
      </c>
      <c r="F6207" t="s">
        <v>16220</v>
      </c>
      <c r="G6207" t="s">
        <v>16231</v>
      </c>
      <c r="H6207" t="s">
        <v>16231</v>
      </c>
      <c r="I6207" t="s">
        <v>16356</v>
      </c>
      <c r="J6207" t="s">
        <v>16386</v>
      </c>
      <c r="K6207">
        <v>0.152</v>
      </c>
      <c r="L6207">
        <v>6623</v>
      </c>
      <c r="M6207">
        <v>1637</v>
      </c>
      <c r="N6207" t="s">
        <v>16393</v>
      </c>
      <c r="O6207" s="4">
        <v>36750</v>
      </c>
      <c r="P6207" s="4">
        <v>65400</v>
      </c>
      <c r="Q6207" s="4">
        <v>102150</v>
      </c>
      <c r="R6207" s="4">
        <v>306450</v>
      </c>
      <c r="S6207" t="s">
        <v>22461</v>
      </c>
      <c r="X6207" t="s">
        <v>3</v>
      </c>
      <c r="AA6207" s="5" t="str">
        <f>HYPERLINK("https://www.zillow.com/homes/16W660-56TH-PL-CLARENDON-HILLS-IL-60514_rb/","check listing")</f>
        <v>check listing</v>
      </c>
      <c r="AB6207" s="5" t="str">
        <f>HYPERLINK("https://propertylookup.dupagecounty.gov/Datalets/Datalet.aspx?UseSearch=no&amp;mode=sales&amp;pin=0914101034","sales record")</f>
        <v>sales record</v>
      </c>
      <c r="AC6207" t="s">
        <v>3</v>
      </c>
      <c r="AD6207">
        <v>41.786224</v>
      </c>
      <c r="AE6207">
        <v>-87.952344</v>
      </c>
      <c r="AF6207" s="5" t="str">
        <f>HYPERLINK("https://www.google.com/maps/search/?api=1&amp;query=41.786224,-87.952344","map")</f>
        <v>map</v>
      </c>
    </row>
    <row r="6208" spans="1:32">
      <c r="A6208" t="s">
        <v>6258</v>
      </c>
      <c r="B6208" t="s">
        <v>13782</v>
      </c>
      <c r="C6208" t="s">
        <v>15199</v>
      </c>
      <c r="D6208" t="s">
        <v>16208</v>
      </c>
      <c r="E6208" t="s">
        <v>16218</v>
      </c>
      <c r="F6208" t="s">
        <v>16220</v>
      </c>
      <c r="G6208" t="s">
        <v>16231</v>
      </c>
      <c r="H6208" t="s">
        <v>16231</v>
      </c>
      <c r="I6208" t="s">
        <v>16356</v>
      </c>
      <c r="J6208" t="s">
        <v>16386</v>
      </c>
      <c r="K6208">
        <v>0.152</v>
      </c>
      <c r="L6208">
        <v>6622</v>
      </c>
      <c r="M6208">
        <v>1537</v>
      </c>
      <c r="N6208" t="s">
        <v>16393</v>
      </c>
      <c r="O6208" s="4">
        <v>36750</v>
      </c>
      <c r="P6208" s="4">
        <v>76810</v>
      </c>
      <c r="Q6208" s="4">
        <v>113560</v>
      </c>
      <c r="R6208" s="4">
        <v>340680</v>
      </c>
      <c r="S6208" t="s">
        <v>22462</v>
      </c>
      <c r="T6208" s="6">
        <v>40878</v>
      </c>
      <c r="U6208" s="4">
        <v>220000</v>
      </c>
      <c r="V6208" t="s">
        <v>23740</v>
      </c>
      <c r="W6208" t="s">
        <v>27181</v>
      </c>
      <c r="X6208" t="s">
        <v>3</v>
      </c>
      <c r="AA6208" s="5" t="str">
        <f>HYPERLINK("https://www.zillow.com/homes/16W666-56TH-PL-CLARENDON-HILLS-IL-60514_rb/","check listing")</f>
        <v>check listing</v>
      </c>
      <c r="AB6208" s="5" t="str">
        <f>HYPERLINK("https://propertylookup.dupagecounty.gov/Datalets/Datalet.aspx?UseSearch=no&amp;mode=sales&amp;pin=0914101033","sales record")</f>
        <v>sales record</v>
      </c>
      <c r="AC6208" t="s">
        <v>3</v>
      </c>
      <c r="AD6208">
        <v>41.78622</v>
      </c>
      <c r="AE6208">
        <v>-87.952527</v>
      </c>
      <c r="AF6208" s="5" t="str">
        <f>HYPERLINK("https://www.google.com/maps/search/?api=1&amp;query=41.78622,-87.952527","map")</f>
        <v>map</v>
      </c>
    </row>
    <row r="6209" spans="1:32">
      <c r="A6209" t="s">
        <v>6259</v>
      </c>
      <c r="B6209" t="s">
        <v>13783</v>
      </c>
      <c r="C6209" t="s">
        <v>15991</v>
      </c>
      <c r="D6209" t="s">
        <v>16208</v>
      </c>
      <c r="E6209" t="s">
        <v>16218</v>
      </c>
      <c r="F6209" t="s">
        <v>16220</v>
      </c>
      <c r="G6209" t="s">
        <v>16231</v>
      </c>
      <c r="H6209" t="s">
        <v>16231</v>
      </c>
      <c r="I6209" t="s">
        <v>16356</v>
      </c>
      <c r="J6209" t="s">
        <v>16386</v>
      </c>
      <c r="K6209">
        <v>0.134</v>
      </c>
      <c r="L6209">
        <v>5839</v>
      </c>
      <c r="M6209">
        <v>788</v>
      </c>
      <c r="N6209" t="s">
        <v>16393</v>
      </c>
      <c r="O6209" s="4">
        <v>26225</v>
      </c>
      <c r="P6209" s="4">
        <v>46688</v>
      </c>
      <c r="Q6209" s="4">
        <v>72913</v>
      </c>
      <c r="R6209" s="4">
        <v>218739</v>
      </c>
      <c r="S6209" t="s">
        <v>22463</v>
      </c>
      <c r="X6209" t="s">
        <v>3</v>
      </c>
      <c r="AA6209" s="5" t="str">
        <f>HYPERLINK("https://www.zillow.com/homes/6N740-MANOR-LN-ITASCA-IL-601431515_rb/","check listing")</f>
        <v>check listing</v>
      </c>
      <c r="AB6209" s="5" t="str">
        <f>HYPERLINK("https://propertylookup.dupagecounty.gov/Datalets/Datalet.aspx?UseSearch=no&amp;mode=sales&amp;pin=0212102007","sales record")</f>
        <v>sales record</v>
      </c>
      <c r="AC6209" t="s">
        <v>27873</v>
      </c>
      <c r="AD6209">
        <v>41.976626</v>
      </c>
      <c r="AE6209">
        <v>-88.046584</v>
      </c>
      <c r="AF6209" s="5" t="str">
        <f>HYPERLINK("https://www.google.com/maps/search/?api=1&amp;query=41.976626,-88.046584","map")</f>
        <v>map</v>
      </c>
    </row>
    <row r="6210" spans="1:32">
      <c r="A6210" t="s">
        <v>6260</v>
      </c>
      <c r="B6210" t="s">
        <v>13784</v>
      </c>
      <c r="C6210" t="s">
        <v>15478</v>
      </c>
      <c r="D6210" t="s">
        <v>16208</v>
      </c>
      <c r="E6210" t="s">
        <v>16218</v>
      </c>
      <c r="F6210" t="s">
        <v>16220</v>
      </c>
      <c r="G6210" t="s">
        <v>16231</v>
      </c>
      <c r="H6210" t="s">
        <v>16231</v>
      </c>
      <c r="I6210" t="s">
        <v>16356</v>
      </c>
      <c r="J6210" t="s">
        <v>16386</v>
      </c>
      <c r="K6210">
        <v>0.07099999999999999</v>
      </c>
      <c r="L6210">
        <v>3073</v>
      </c>
      <c r="N6210" t="s">
        <v>16393</v>
      </c>
      <c r="O6210" s="4">
        <v>23483</v>
      </c>
      <c r="P6210" s="4">
        <v>75525</v>
      </c>
      <c r="Q6210" s="4">
        <v>99008</v>
      </c>
      <c r="R6210" s="4">
        <v>297024</v>
      </c>
      <c r="S6210" t="s">
        <v>22464</v>
      </c>
      <c r="T6210" s="6">
        <v>36739</v>
      </c>
      <c r="U6210" s="4">
        <v>164500</v>
      </c>
      <c r="V6210" t="s">
        <v>23739</v>
      </c>
      <c r="W6210" t="s">
        <v>22464</v>
      </c>
      <c r="X6210" t="s">
        <v>3</v>
      </c>
      <c r="AA6210" s="5" t="str">
        <f>HYPERLINK("https://www.zillow.com/homes/18-PEBBLEWOOD-LN-NAPERVILLE-IL-60563_rb/","check listing")</f>
        <v>check listing</v>
      </c>
      <c r="AB6210" s="5" t="str">
        <f>HYPERLINK("https://propertylookup.dupagecounty.gov/Datalets/Datalet.aspx?UseSearch=no&amp;mode=sales&amp;pin=0709201070","sales record")</f>
        <v>sales record</v>
      </c>
      <c r="AC6210" t="s">
        <v>3</v>
      </c>
      <c r="AD6210">
        <v>41.794256</v>
      </c>
      <c r="AE6210">
        <v>-88.20712</v>
      </c>
      <c r="AF6210" s="5" t="str">
        <f>HYPERLINK("https://www.google.com/maps/search/?api=1&amp;query=41.794256,-88.20712","map")</f>
        <v>map</v>
      </c>
    </row>
    <row r="6211" spans="1:32">
      <c r="A6211" t="s">
        <v>6261</v>
      </c>
      <c r="B6211" t="s">
        <v>13785</v>
      </c>
      <c r="C6211" t="s">
        <v>15992</v>
      </c>
      <c r="D6211" t="s">
        <v>16208</v>
      </c>
      <c r="E6211" t="s">
        <v>16218</v>
      </c>
      <c r="F6211" t="s">
        <v>16220</v>
      </c>
      <c r="G6211" t="s">
        <v>16231</v>
      </c>
      <c r="H6211" t="s">
        <v>16231</v>
      </c>
      <c r="I6211" t="s">
        <v>16356</v>
      </c>
      <c r="J6211" t="s">
        <v>16386</v>
      </c>
      <c r="K6211">
        <v>0.06900000000000001</v>
      </c>
      <c r="L6211">
        <v>3025</v>
      </c>
      <c r="M6211">
        <v>1020</v>
      </c>
      <c r="N6211" t="s">
        <v>16393</v>
      </c>
      <c r="O6211" s="4">
        <v>22287</v>
      </c>
      <c r="P6211" s="4">
        <v>85424</v>
      </c>
      <c r="Q6211" s="4">
        <v>107711</v>
      </c>
      <c r="R6211" s="4">
        <v>323133</v>
      </c>
      <c r="S6211" t="s">
        <v>22465</v>
      </c>
      <c r="T6211" s="6">
        <v>34029</v>
      </c>
      <c r="U6211" s="4">
        <v>130000</v>
      </c>
      <c r="X6211" t="s">
        <v>3</v>
      </c>
      <c r="AA6211" s="5" t="str">
        <f>HYPERLINK("https://www.zillow.com/homes/1-PEBBLEWOOD-TRL-NAPERVILLE-IL-605631891_rb/","check listing")</f>
        <v>check listing</v>
      </c>
      <c r="AB6211" s="5" t="str">
        <f>HYPERLINK("https://propertylookup.dupagecounty.gov/Datalets/Datalet.aspx?UseSearch=no&amp;mode=sales&amp;pin=0709201081","sales record")</f>
        <v>sales record</v>
      </c>
      <c r="AC6211" t="s">
        <v>3</v>
      </c>
      <c r="AD6211">
        <v>41.795639</v>
      </c>
      <c r="AE6211">
        <v>-88.20613</v>
      </c>
      <c r="AF6211" s="5" t="str">
        <f>HYPERLINK("https://www.google.com/maps/search/?api=1&amp;query=41.795639,-88.20613","map")</f>
        <v>map</v>
      </c>
    </row>
    <row r="6212" spans="1:32">
      <c r="A6212" t="s">
        <v>6262</v>
      </c>
      <c r="B6212" t="s">
        <v>13786</v>
      </c>
      <c r="C6212" t="s">
        <v>15993</v>
      </c>
      <c r="D6212" t="s">
        <v>16208</v>
      </c>
      <c r="E6212" t="s">
        <v>16217</v>
      </c>
      <c r="F6212" t="s">
        <v>16220</v>
      </c>
      <c r="G6212" t="s">
        <v>16231</v>
      </c>
      <c r="H6212" t="s">
        <v>16231</v>
      </c>
      <c r="I6212" t="s">
        <v>16356</v>
      </c>
      <c r="J6212" t="s">
        <v>16386</v>
      </c>
      <c r="K6212">
        <v>5.889</v>
      </c>
      <c r="L6212">
        <v>256533</v>
      </c>
      <c r="N6212" t="s">
        <v>16392</v>
      </c>
      <c r="O6212" s="4">
        <v>1010684</v>
      </c>
      <c r="P6212" s="4">
        <v>0</v>
      </c>
      <c r="Q6212" s="4">
        <v>1010684</v>
      </c>
      <c r="R6212" s="4">
        <v>3032052</v>
      </c>
      <c r="S6212" t="s">
        <v>22466</v>
      </c>
      <c r="X6212" t="s">
        <v>3</v>
      </c>
      <c r="AA6212" s="5" t="str">
        <f>HYPERLINK("https://www.zillow.com/homes/1S625-OAKBROOK-LAKES-OAK-BROOK-IL-60523_rb/","check listing")</f>
        <v>check listing</v>
      </c>
      <c r="AB6212" s="5" t="str">
        <f>HYPERLINK("https://propertylookup.dupagecounty.gov/Datalets/Datalet.aspx?UseSearch=no&amp;mode=sales&amp;pin=0621409001","sales record")</f>
        <v>sales record</v>
      </c>
      <c r="AC6212" t="s">
        <v>3</v>
      </c>
      <c r="AD6212">
        <v>41.849933</v>
      </c>
      <c r="AE6212">
        <v>-87.978241</v>
      </c>
      <c r="AF6212" s="5" t="str">
        <f>HYPERLINK("https://www.google.com/maps/search/?api=1&amp;query=41.849933,-87.978241","map")</f>
        <v>map</v>
      </c>
    </row>
    <row r="6213" spans="1:32">
      <c r="A6213" t="s">
        <v>6263</v>
      </c>
      <c r="B6213" t="s">
        <v>13787</v>
      </c>
      <c r="C6213" t="s">
        <v>15986</v>
      </c>
      <c r="D6213" t="s">
        <v>16208</v>
      </c>
      <c r="E6213" t="s">
        <v>16217</v>
      </c>
      <c r="F6213" t="s">
        <v>16220</v>
      </c>
      <c r="G6213" t="s">
        <v>16231</v>
      </c>
      <c r="H6213" t="s">
        <v>16231</v>
      </c>
      <c r="I6213" t="s">
        <v>16356</v>
      </c>
      <c r="J6213" t="s">
        <v>16386</v>
      </c>
      <c r="K6213">
        <v>0.275</v>
      </c>
      <c r="L6213">
        <v>11994</v>
      </c>
      <c r="N6213" t="s">
        <v>16393</v>
      </c>
      <c r="O6213" s="4">
        <v>13089</v>
      </c>
      <c r="P6213" s="4">
        <v>0</v>
      </c>
      <c r="Q6213" s="4">
        <v>13089</v>
      </c>
      <c r="R6213" s="4">
        <v>39267</v>
      </c>
      <c r="S6213" t="s">
        <v>22447</v>
      </c>
      <c r="T6213" s="6">
        <v>37926</v>
      </c>
      <c r="U6213" s="4">
        <v>115000</v>
      </c>
      <c r="V6213" t="s">
        <v>23739</v>
      </c>
      <c r="W6213" t="s">
        <v>27182</v>
      </c>
      <c r="X6213" t="s">
        <v>3</v>
      </c>
      <c r="AA6213" s="5" t="str">
        <f>HYPERLINK("https://www.zillow.com/homes/21W550-IRVING-PARK-RD-ITASCA-IL-60143_rb/","check listing")</f>
        <v>check listing</v>
      </c>
      <c r="AB6213" s="5" t="str">
        <f>HYPERLINK("https://propertylookup.dupagecounty.gov/Datalets/Datalet.aspx?UseSearch=no&amp;mode=sales&amp;pin=0212103015","sales record")</f>
        <v>sales record</v>
      </c>
      <c r="AC6213" t="s">
        <v>27872</v>
      </c>
      <c r="AD6213">
        <v>41.975929</v>
      </c>
      <c r="AE6213">
        <v>-88.04534</v>
      </c>
      <c r="AF6213" s="5" t="str">
        <f>HYPERLINK("https://www.google.com/maps/search/?api=1&amp;query=41.975929,-88.04534","map")</f>
        <v>map</v>
      </c>
    </row>
    <row r="6214" spans="1:32">
      <c r="A6214" t="s">
        <v>6264</v>
      </c>
      <c r="B6214" t="s">
        <v>13788</v>
      </c>
      <c r="C6214" t="s">
        <v>15986</v>
      </c>
      <c r="D6214" t="s">
        <v>16208</v>
      </c>
      <c r="E6214" t="s">
        <v>16217</v>
      </c>
      <c r="F6214" t="s">
        <v>16220</v>
      </c>
      <c r="G6214" t="s">
        <v>16231</v>
      </c>
      <c r="H6214" t="s">
        <v>16231</v>
      </c>
      <c r="I6214" t="s">
        <v>16356</v>
      </c>
      <c r="J6214" t="s">
        <v>16386</v>
      </c>
      <c r="K6214">
        <v>0.231</v>
      </c>
      <c r="L6214">
        <v>10045</v>
      </c>
      <c r="N6214" t="s">
        <v>16393</v>
      </c>
      <c r="O6214" s="4">
        <v>13089</v>
      </c>
      <c r="P6214" s="4">
        <v>0</v>
      </c>
      <c r="Q6214" s="4">
        <v>13089</v>
      </c>
      <c r="R6214" s="4">
        <v>39267</v>
      </c>
      <c r="S6214" t="s">
        <v>22467</v>
      </c>
      <c r="T6214" s="6">
        <v>45419</v>
      </c>
      <c r="U6214" s="4">
        <v>265000</v>
      </c>
      <c r="V6214" t="s">
        <v>16232</v>
      </c>
      <c r="W6214" t="s">
        <v>27183</v>
      </c>
      <c r="X6214" t="s">
        <v>3</v>
      </c>
      <c r="AA6214" s="5" t="str">
        <f>HYPERLINK("https://www.zillow.com/homes/15-NEWLAND-PL-ITASCA-IL-60143_rb/","check listing")</f>
        <v>check listing</v>
      </c>
      <c r="AB6214" s="5" t="str">
        <f>HYPERLINK("https://propertylookup.dupagecounty.gov/Datalets/Datalet.aspx?UseSearch=no&amp;mode=sales&amp;pin=0212104021","sales record")</f>
        <v>sales record</v>
      </c>
      <c r="AC6214" t="s">
        <v>3</v>
      </c>
      <c r="AD6214">
        <v>41.976127</v>
      </c>
      <c r="AE6214">
        <v>-88.044602</v>
      </c>
      <c r="AF6214" s="5" t="str">
        <f>HYPERLINK("https://www.google.com/maps/search/?api=1&amp;query=41.976127,-88.044602","map")</f>
        <v>map</v>
      </c>
    </row>
    <row r="6215" spans="1:32">
      <c r="A6215" t="s">
        <v>6265</v>
      </c>
      <c r="B6215" t="s">
        <v>13789</v>
      </c>
      <c r="C6215" t="s">
        <v>15994</v>
      </c>
      <c r="D6215" t="s">
        <v>16208</v>
      </c>
      <c r="E6215" t="s">
        <v>16217</v>
      </c>
      <c r="F6215" t="s">
        <v>16220</v>
      </c>
      <c r="G6215" t="s">
        <v>16231</v>
      </c>
      <c r="H6215" t="s">
        <v>16231</v>
      </c>
      <c r="I6215" t="s">
        <v>16356</v>
      </c>
      <c r="J6215" t="s">
        <v>16386</v>
      </c>
      <c r="K6215">
        <v>0.187</v>
      </c>
      <c r="L6215">
        <v>8154</v>
      </c>
      <c r="N6215" t="s">
        <v>16393</v>
      </c>
      <c r="O6215" s="4">
        <v>13089</v>
      </c>
      <c r="P6215" s="4">
        <v>0</v>
      </c>
      <c r="Q6215" s="4">
        <v>13089</v>
      </c>
      <c r="R6215" s="4">
        <v>39267</v>
      </c>
      <c r="S6215" t="s">
        <v>22468</v>
      </c>
      <c r="X6215" t="s">
        <v>3</v>
      </c>
      <c r="AA6215" s="5" t="str">
        <f>HYPERLINK("https://www.zillow.com/homes/VALLEY-LN-MEDINAH-IL-60157_rb/","check listing")</f>
        <v>check listing</v>
      </c>
      <c r="AB6215" s="5" t="str">
        <f>HYPERLINK("https://propertylookup.dupagecounty.gov/Datalets/Datalet.aspx?UseSearch=no&amp;mode=sales&amp;pin=0212101009","sales record")</f>
        <v>sales record</v>
      </c>
      <c r="AC6215" t="s">
        <v>3</v>
      </c>
      <c r="AD6215">
        <v>41.977184</v>
      </c>
      <c r="AE6215">
        <v>-88.047647</v>
      </c>
      <c r="AF6215" s="5" t="str">
        <f>HYPERLINK("https://www.google.com/maps/search/?api=1&amp;query=41.977184,-88.047647","map")</f>
        <v>map</v>
      </c>
    </row>
    <row r="6216" spans="1:32">
      <c r="A6216" t="s">
        <v>6266</v>
      </c>
      <c r="B6216" t="s">
        <v>13790</v>
      </c>
      <c r="C6216" t="s">
        <v>15986</v>
      </c>
      <c r="D6216" t="s">
        <v>16208</v>
      </c>
      <c r="E6216" t="s">
        <v>16217</v>
      </c>
      <c r="F6216" t="s">
        <v>16220</v>
      </c>
      <c r="G6216" t="s">
        <v>16231</v>
      </c>
      <c r="H6216" t="s">
        <v>16231</v>
      </c>
      <c r="I6216" t="s">
        <v>16356</v>
      </c>
      <c r="J6216" t="s">
        <v>16386</v>
      </c>
      <c r="K6216">
        <v>0.18</v>
      </c>
      <c r="L6216">
        <v>7833</v>
      </c>
      <c r="N6216" t="s">
        <v>16393</v>
      </c>
      <c r="O6216" s="4">
        <v>13089</v>
      </c>
      <c r="P6216" s="4">
        <v>0</v>
      </c>
      <c r="Q6216" s="4">
        <v>13089</v>
      </c>
      <c r="R6216" s="4">
        <v>39267</v>
      </c>
      <c r="S6216" t="s">
        <v>22469</v>
      </c>
      <c r="T6216" s="6">
        <v>45605</v>
      </c>
      <c r="U6216" s="4">
        <v>20000</v>
      </c>
      <c r="V6216" t="s">
        <v>23739</v>
      </c>
      <c r="W6216" t="s">
        <v>27184</v>
      </c>
      <c r="X6216" t="s">
        <v>3</v>
      </c>
      <c r="AA6216" s="5" t="str">
        <f>HYPERLINK("https://www.zillow.com/homes/1-MANOR-RD-ITASCA-IL-60143_rb/","check listing")</f>
        <v>check listing</v>
      </c>
      <c r="AB6216" s="5" t="str">
        <f>HYPERLINK("https://propertylookup.dupagecounty.gov/Datalets/Datalet.aspx?UseSearch=no&amp;mode=sales&amp;pin=0212103001","sales record")</f>
        <v>sales record</v>
      </c>
      <c r="AC6216" t="s">
        <v>3</v>
      </c>
      <c r="AD6216">
        <v>41.976924</v>
      </c>
      <c r="AE6216">
        <v>-88.04570099999999</v>
      </c>
      <c r="AF6216" s="5" t="str">
        <f>HYPERLINK("https://www.google.com/maps/search/?api=1&amp;query=41.976924,-88.045701","map")</f>
        <v>map</v>
      </c>
    </row>
    <row r="6217" spans="1:32">
      <c r="A6217" t="s">
        <v>6267</v>
      </c>
      <c r="B6217" t="s">
        <v>13789</v>
      </c>
      <c r="C6217" t="s">
        <v>15994</v>
      </c>
      <c r="D6217" t="s">
        <v>16208</v>
      </c>
      <c r="E6217" t="s">
        <v>16217</v>
      </c>
      <c r="F6217" t="s">
        <v>16220</v>
      </c>
      <c r="G6217" t="s">
        <v>16231</v>
      </c>
      <c r="H6217" t="s">
        <v>16231</v>
      </c>
      <c r="I6217" t="s">
        <v>16356</v>
      </c>
      <c r="J6217" t="s">
        <v>16386</v>
      </c>
      <c r="K6217">
        <v>0.177</v>
      </c>
      <c r="L6217">
        <v>7697</v>
      </c>
      <c r="N6217" t="s">
        <v>16393</v>
      </c>
      <c r="O6217" s="4">
        <v>13089</v>
      </c>
      <c r="P6217" s="4">
        <v>0</v>
      </c>
      <c r="Q6217" s="4">
        <v>13089</v>
      </c>
      <c r="R6217" s="4">
        <v>39267</v>
      </c>
      <c r="S6217" t="s">
        <v>22470</v>
      </c>
      <c r="T6217" s="6">
        <v>41000</v>
      </c>
      <c r="U6217" s="4">
        <v>23000</v>
      </c>
      <c r="V6217" t="s">
        <v>23739</v>
      </c>
      <c r="W6217" t="s">
        <v>27185</v>
      </c>
      <c r="X6217" t="s">
        <v>3</v>
      </c>
      <c r="AA6217" s="5" t="str">
        <f>HYPERLINK("https://www.zillow.com/homes/VALLEY-LN-MEDINAH-IL-60157_rb/","check listing")</f>
        <v>check listing</v>
      </c>
      <c r="AB6217" s="5" t="str">
        <f>HYPERLINK("https://propertylookup.dupagecounty.gov/Datalets/Datalet.aspx?UseSearch=no&amp;mode=sales&amp;pin=0212101008","sales record")</f>
        <v>sales record</v>
      </c>
      <c r="AC6217" t="s">
        <v>3</v>
      </c>
      <c r="AD6217">
        <v>41.977317</v>
      </c>
      <c r="AE6217">
        <v>-88.047596</v>
      </c>
      <c r="AF6217" s="5" t="str">
        <f>HYPERLINK("https://www.google.com/maps/search/?api=1&amp;query=41.977317,-88.047596","map")</f>
        <v>map</v>
      </c>
    </row>
    <row r="6218" spans="1:32">
      <c r="A6218" t="s">
        <v>6268</v>
      </c>
      <c r="B6218" t="s">
        <v>13789</v>
      </c>
      <c r="C6218" t="s">
        <v>15986</v>
      </c>
      <c r="D6218" t="s">
        <v>16208</v>
      </c>
      <c r="E6218" t="s">
        <v>16217</v>
      </c>
      <c r="F6218" t="s">
        <v>16220</v>
      </c>
      <c r="G6218" t="s">
        <v>16231</v>
      </c>
      <c r="H6218" t="s">
        <v>16231</v>
      </c>
      <c r="I6218" t="s">
        <v>16356</v>
      </c>
      <c r="J6218" t="s">
        <v>16386</v>
      </c>
      <c r="K6218">
        <v>0.156</v>
      </c>
      <c r="L6218">
        <v>6784</v>
      </c>
      <c r="N6218" t="s">
        <v>16393</v>
      </c>
      <c r="O6218" s="4">
        <v>13089</v>
      </c>
      <c r="P6218" s="4">
        <v>0</v>
      </c>
      <c r="Q6218" s="4">
        <v>13089</v>
      </c>
      <c r="R6218" s="4">
        <v>39267</v>
      </c>
      <c r="S6218" t="s">
        <v>22471</v>
      </c>
      <c r="X6218" t="s">
        <v>3</v>
      </c>
      <c r="AA6218" s="5" t="str">
        <f>HYPERLINK("https://www.zillow.com/homes/VALLEY-LN-ITASCA-IL-60143_rb/","check listing")</f>
        <v>check listing</v>
      </c>
      <c r="AB6218" s="5" t="str">
        <f>HYPERLINK("https://propertylookup.dupagecounty.gov/Datalets/Datalet.aspx?UseSearch=no&amp;mode=sales&amp;pin=0212102002","sales record")</f>
        <v>sales record</v>
      </c>
      <c r="AC6218" t="s">
        <v>3</v>
      </c>
      <c r="AD6218">
        <v>41.976845</v>
      </c>
      <c r="AE6218">
        <v>-88.04698999999999</v>
      </c>
      <c r="AF6218" s="5" t="str">
        <f>HYPERLINK("https://www.google.com/maps/search/?api=1&amp;query=41.976845,-88.04699","map")</f>
        <v>map</v>
      </c>
    </row>
    <row r="6219" spans="1:32">
      <c r="A6219" t="s">
        <v>6269</v>
      </c>
      <c r="B6219" t="s">
        <v>13789</v>
      </c>
      <c r="C6219" t="s">
        <v>15986</v>
      </c>
      <c r="D6219" t="s">
        <v>16208</v>
      </c>
      <c r="E6219" t="s">
        <v>16217</v>
      </c>
      <c r="F6219" t="s">
        <v>16220</v>
      </c>
      <c r="G6219" t="s">
        <v>16231</v>
      </c>
      <c r="H6219" t="s">
        <v>16231</v>
      </c>
      <c r="I6219" t="s">
        <v>16356</v>
      </c>
      <c r="J6219" t="s">
        <v>16386</v>
      </c>
      <c r="K6219">
        <v>0.156</v>
      </c>
      <c r="L6219">
        <v>6781</v>
      </c>
      <c r="N6219" t="s">
        <v>16393</v>
      </c>
      <c r="O6219" s="4">
        <v>13089</v>
      </c>
      <c r="P6219" s="4">
        <v>0</v>
      </c>
      <c r="Q6219" s="4">
        <v>13089</v>
      </c>
      <c r="R6219" s="4">
        <v>39267</v>
      </c>
      <c r="S6219" t="s">
        <v>22471</v>
      </c>
      <c r="T6219" s="6">
        <v>37926</v>
      </c>
      <c r="U6219" s="4">
        <v>460000</v>
      </c>
      <c r="V6219" t="s">
        <v>23740</v>
      </c>
      <c r="W6219" t="s">
        <v>27186</v>
      </c>
      <c r="X6219" t="s">
        <v>3</v>
      </c>
      <c r="AA6219" s="5" t="str">
        <f>HYPERLINK("https://www.zillow.com/homes/VALLEY-LN-ITASCA-IL-60143_rb/","check listing")</f>
        <v>check listing</v>
      </c>
      <c r="AB6219" s="5" t="str">
        <f>HYPERLINK("https://propertylookup.dupagecounty.gov/Datalets/Datalet.aspx?UseSearch=no&amp;mode=sales&amp;pin=0212102001","sales record")</f>
        <v>sales record</v>
      </c>
      <c r="AC6219" t="s">
        <v>3</v>
      </c>
      <c r="AD6219">
        <v>41.976982</v>
      </c>
      <c r="AE6219">
        <v>-88.046931</v>
      </c>
      <c r="AF6219" s="5" t="str">
        <f>HYPERLINK("https://www.google.com/maps/search/?api=1&amp;query=41.976982,-88.046931","map")</f>
        <v>map</v>
      </c>
    </row>
    <row r="6220" spans="1:32">
      <c r="A6220" t="s">
        <v>6270</v>
      </c>
      <c r="B6220" t="s">
        <v>13791</v>
      </c>
      <c r="C6220" t="s">
        <v>15986</v>
      </c>
      <c r="D6220" t="s">
        <v>16208</v>
      </c>
      <c r="E6220" t="s">
        <v>16217</v>
      </c>
      <c r="F6220" t="s">
        <v>16220</v>
      </c>
      <c r="G6220" t="s">
        <v>16231</v>
      </c>
      <c r="H6220" t="s">
        <v>16231</v>
      </c>
      <c r="I6220" t="s">
        <v>16356</v>
      </c>
      <c r="J6220" t="s">
        <v>16386</v>
      </c>
      <c r="K6220">
        <v>0.154</v>
      </c>
      <c r="L6220">
        <v>6702</v>
      </c>
      <c r="N6220" t="s">
        <v>16393</v>
      </c>
      <c r="O6220" s="4">
        <v>13089</v>
      </c>
      <c r="P6220" s="4">
        <v>0</v>
      </c>
      <c r="Q6220" s="4">
        <v>13089</v>
      </c>
      <c r="R6220" s="4">
        <v>39267</v>
      </c>
      <c r="S6220" t="s">
        <v>22471</v>
      </c>
      <c r="T6220" s="6">
        <v>37895</v>
      </c>
      <c r="U6220" s="4">
        <v>23500</v>
      </c>
      <c r="V6220" t="s">
        <v>23739</v>
      </c>
      <c r="W6220" t="s">
        <v>27187</v>
      </c>
      <c r="X6220" t="s">
        <v>3</v>
      </c>
      <c r="AA6220" s="5" t="str">
        <f>HYPERLINK("https://www.zillow.com/homes/MANOR-DR-ITASCA-IL-60143_rb/","check listing")</f>
        <v>check listing</v>
      </c>
      <c r="AB6220" s="5" t="str">
        <f>HYPERLINK("https://propertylookup.dupagecounty.gov/Datalets/Datalet.aspx?UseSearch=no&amp;mode=sales&amp;pin=0212102006","sales record")</f>
        <v>sales record</v>
      </c>
      <c r="AC6220" t="s">
        <v>3</v>
      </c>
      <c r="AD6220">
        <v>41.976751</v>
      </c>
      <c r="AE6220">
        <v>-88.046531</v>
      </c>
      <c r="AF6220" s="5" t="str">
        <f>HYPERLINK("https://www.google.com/maps/search/?api=1&amp;query=41.976751,-88.046531","map")</f>
        <v>map</v>
      </c>
    </row>
    <row r="6221" spans="1:32">
      <c r="A6221" t="s">
        <v>6271</v>
      </c>
      <c r="B6221" t="s">
        <v>13791</v>
      </c>
      <c r="C6221" t="s">
        <v>15986</v>
      </c>
      <c r="D6221" t="s">
        <v>16208</v>
      </c>
      <c r="E6221" t="s">
        <v>16217</v>
      </c>
      <c r="F6221" t="s">
        <v>16220</v>
      </c>
      <c r="G6221" t="s">
        <v>16231</v>
      </c>
      <c r="H6221" t="s">
        <v>16231</v>
      </c>
      <c r="I6221" t="s">
        <v>16356</v>
      </c>
      <c r="J6221" t="s">
        <v>16386</v>
      </c>
      <c r="K6221">
        <v>0.154</v>
      </c>
      <c r="L6221">
        <v>6699</v>
      </c>
      <c r="N6221" t="s">
        <v>16393</v>
      </c>
      <c r="O6221" s="4">
        <v>13089</v>
      </c>
      <c r="P6221" s="4">
        <v>0</v>
      </c>
      <c r="Q6221" s="4">
        <v>13089</v>
      </c>
      <c r="R6221" s="4">
        <v>39267</v>
      </c>
      <c r="S6221" t="s">
        <v>22471</v>
      </c>
      <c r="T6221" s="6">
        <v>37865</v>
      </c>
      <c r="U6221" s="4">
        <v>25000</v>
      </c>
      <c r="V6221" t="s">
        <v>23739</v>
      </c>
      <c r="W6221" t="s">
        <v>27188</v>
      </c>
      <c r="X6221" t="s">
        <v>3</v>
      </c>
      <c r="AA6221" s="5" t="str">
        <f>HYPERLINK("https://www.zillow.com/homes/MANOR-DR-ITASCA-IL-60143_rb/","check listing")</f>
        <v>check listing</v>
      </c>
      <c r="AB6221" s="5" t="str">
        <f>HYPERLINK("https://propertylookup.dupagecounty.gov/Datalets/Datalet.aspx?UseSearch=no&amp;mode=sales&amp;pin=0212102005","sales record")</f>
        <v>sales record</v>
      </c>
      <c r="AC6221" t="s">
        <v>3</v>
      </c>
      <c r="AD6221">
        <v>41.976887</v>
      </c>
      <c r="AE6221">
        <v>-88.04647300000001</v>
      </c>
      <c r="AF6221" s="5" t="str">
        <f>HYPERLINK("https://www.google.com/maps/search/?api=1&amp;query=41.976887,-88.046473","map")</f>
        <v>map</v>
      </c>
    </row>
    <row r="6222" spans="1:32">
      <c r="A6222" t="s">
        <v>6272</v>
      </c>
      <c r="B6222" t="s">
        <v>13792</v>
      </c>
      <c r="C6222" t="s">
        <v>15986</v>
      </c>
      <c r="D6222" t="s">
        <v>16208</v>
      </c>
      <c r="E6222" t="s">
        <v>16217</v>
      </c>
      <c r="F6222" t="s">
        <v>16220</v>
      </c>
      <c r="G6222" t="s">
        <v>16231</v>
      </c>
      <c r="H6222" t="s">
        <v>16231</v>
      </c>
      <c r="I6222" t="s">
        <v>16356</v>
      </c>
      <c r="J6222" t="s">
        <v>16386</v>
      </c>
      <c r="K6222">
        <v>0.152</v>
      </c>
      <c r="L6222">
        <v>6601</v>
      </c>
      <c r="N6222" t="s">
        <v>16393</v>
      </c>
      <c r="O6222" s="4">
        <v>13089</v>
      </c>
      <c r="P6222" s="4">
        <v>0</v>
      </c>
      <c r="Q6222" s="4">
        <v>13089</v>
      </c>
      <c r="R6222" s="4">
        <v>39267</v>
      </c>
      <c r="S6222" t="s">
        <v>22472</v>
      </c>
      <c r="T6222" s="6">
        <v>37500</v>
      </c>
      <c r="U6222" s="4">
        <v>85500</v>
      </c>
      <c r="V6222" t="s">
        <v>23740</v>
      </c>
      <c r="W6222" t="s">
        <v>27189</v>
      </c>
      <c r="X6222" t="s">
        <v>3</v>
      </c>
      <c r="AA6222" s="5" t="str">
        <f>HYPERLINK("https://www.zillow.com/homes/6N745-MANOR-RD-ITASCA-IL-60143_rb/","check listing")</f>
        <v>check listing</v>
      </c>
      <c r="AB6222" s="5" t="str">
        <f>HYPERLINK("https://propertylookup.dupagecounty.gov/Datalets/Datalet.aspx?UseSearch=no&amp;mode=sales&amp;pin=0212103002","sales record")</f>
        <v>sales record</v>
      </c>
      <c r="AC6222" t="s">
        <v>3</v>
      </c>
      <c r="AD6222">
        <v>41.976776</v>
      </c>
      <c r="AE6222">
        <v>-88.045765</v>
      </c>
      <c r="AF6222" s="5" t="str">
        <f>HYPERLINK("https://www.google.com/maps/search/?api=1&amp;query=41.976776,-88.045765","map")</f>
        <v>map</v>
      </c>
    </row>
    <row r="6223" spans="1:32">
      <c r="A6223" t="s">
        <v>6273</v>
      </c>
      <c r="B6223" t="s">
        <v>13792</v>
      </c>
      <c r="C6223" t="s">
        <v>15986</v>
      </c>
      <c r="D6223" t="s">
        <v>16208</v>
      </c>
      <c r="E6223" t="s">
        <v>16217</v>
      </c>
      <c r="F6223" t="s">
        <v>16220</v>
      </c>
      <c r="G6223" t="s">
        <v>16231</v>
      </c>
      <c r="H6223" t="s">
        <v>16231</v>
      </c>
      <c r="I6223" t="s">
        <v>16356</v>
      </c>
      <c r="J6223" t="s">
        <v>16386</v>
      </c>
      <c r="K6223">
        <v>0.151</v>
      </c>
      <c r="L6223">
        <v>6596</v>
      </c>
      <c r="N6223" t="s">
        <v>16393</v>
      </c>
      <c r="O6223" s="4">
        <v>13089</v>
      </c>
      <c r="P6223" s="4">
        <v>0</v>
      </c>
      <c r="Q6223" s="4">
        <v>13089</v>
      </c>
      <c r="R6223" s="4">
        <v>39267</v>
      </c>
      <c r="S6223" t="s">
        <v>22472</v>
      </c>
      <c r="X6223" t="s">
        <v>3</v>
      </c>
      <c r="AA6223" s="5" t="str">
        <f>HYPERLINK("https://www.zillow.com/homes/6N745-MANOR-RD-ITASCA-IL-60143_rb/","check listing")</f>
        <v>check listing</v>
      </c>
      <c r="AB6223" s="5" t="str">
        <f>HYPERLINK("https://propertylookup.dupagecounty.gov/Datalets/Datalet.aspx?UseSearch=no&amp;mode=sales&amp;pin=0212103003","sales record")</f>
        <v>sales record</v>
      </c>
      <c r="AC6223" t="s">
        <v>3</v>
      </c>
      <c r="AD6223">
        <v>41.976643</v>
      </c>
      <c r="AE6223">
        <v>-88.045821</v>
      </c>
      <c r="AF6223" s="5" t="str">
        <f>HYPERLINK("https://www.google.com/maps/search/?api=1&amp;query=41.976643,-88.045821","map")</f>
        <v>map</v>
      </c>
    </row>
    <row r="6224" spans="1:32">
      <c r="A6224" t="s">
        <v>6274</v>
      </c>
      <c r="B6224" t="s">
        <v>13776</v>
      </c>
      <c r="C6224" t="s">
        <v>15990</v>
      </c>
      <c r="D6224" t="s">
        <v>16208</v>
      </c>
      <c r="E6224" t="s">
        <v>16217</v>
      </c>
      <c r="F6224" t="s">
        <v>16220</v>
      </c>
      <c r="G6224" t="s">
        <v>16231</v>
      </c>
      <c r="H6224" t="s">
        <v>16231</v>
      </c>
      <c r="I6224" t="s">
        <v>16356</v>
      </c>
      <c r="J6224" t="s">
        <v>16386</v>
      </c>
      <c r="K6224">
        <v>0.151</v>
      </c>
      <c r="L6224">
        <v>6594</v>
      </c>
      <c r="N6224" t="s">
        <v>16393</v>
      </c>
      <c r="O6224" s="4">
        <v>13089</v>
      </c>
      <c r="P6224" s="4">
        <v>0</v>
      </c>
      <c r="Q6224" s="4">
        <v>13089</v>
      </c>
      <c r="R6224" s="4">
        <v>39267</v>
      </c>
      <c r="S6224" t="s">
        <v>22456</v>
      </c>
      <c r="T6224" s="6">
        <v>39448</v>
      </c>
      <c r="U6224" s="4">
        <v>650000</v>
      </c>
      <c r="V6224" t="s">
        <v>23739</v>
      </c>
      <c r="W6224" t="s">
        <v>27190</v>
      </c>
      <c r="X6224" t="s">
        <v>3</v>
      </c>
      <c r="AA6224" s="5" t="str">
        <f>HYPERLINK("https://www.zillow.com/homes/6N735-MANOR-LN-ITASCA-IL-601431574_rb/","check listing")</f>
        <v>check listing</v>
      </c>
      <c r="AB6224" s="5" t="str">
        <f>HYPERLINK("https://propertylookup.dupagecounty.gov/Datalets/Datalet.aspx?UseSearch=no&amp;mode=sales&amp;pin=0212103004","sales record")</f>
        <v>sales record</v>
      </c>
      <c r="AC6224" t="s">
        <v>27872</v>
      </c>
      <c r="AD6224">
        <v>41.976511</v>
      </c>
      <c r="AE6224">
        <v>-88.045878</v>
      </c>
      <c r="AF6224" s="5" t="str">
        <f>HYPERLINK("https://www.google.com/maps/search/?api=1&amp;query=41.976511,-88.045878","map")</f>
        <v>map</v>
      </c>
    </row>
    <row r="6225" spans="1:32">
      <c r="A6225" t="s">
        <v>6275</v>
      </c>
      <c r="B6225" t="s">
        <v>13793</v>
      </c>
      <c r="C6225" t="s">
        <v>15994</v>
      </c>
      <c r="D6225" t="s">
        <v>16208</v>
      </c>
      <c r="E6225" t="s">
        <v>16217</v>
      </c>
      <c r="F6225" t="s">
        <v>16220</v>
      </c>
      <c r="G6225" t="s">
        <v>16231</v>
      </c>
      <c r="H6225" t="s">
        <v>16231</v>
      </c>
      <c r="I6225" t="s">
        <v>16356</v>
      </c>
      <c r="J6225" t="s">
        <v>16386</v>
      </c>
      <c r="K6225">
        <v>0.149</v>
      </c>
      <c r="L6225">
        <v>6475</v>
      </c>
      <c r="M6225">
        <v>729</v>
      </c>
      <c r="N6225" t="s">
        <v>16393</v>
      </c>
      <c r="O6225" s="4">
        <v>13089</v>
      </c>
      <c r="P6225" s="4">
        <v>0</v>
      </c>
      <c r="Q6225" s="4">
        <v>13089</v>
      </c>
      <c r="R6225" s="4">
        <v>39267</v>
      </c>
      <c r="S6225" t="s">
        <v>22473</v>
      </c>
      <c r="T6225" s="6">
        <v>31868</v>
      </c>
      <c r="U6225" s="4">
        <v>6500</v>
      </c>
      <c r="X6225" t="s">
        <v>3</v>
      </c>
      <c r="AA6225" s="5" t="str">
        <f>HYPERLINK("https://www.zillow.com/homes/NEWLAND-PL-MEDINAH-IL-60157_rb/","check listing")</f>
        <v>check listing</v>
      </c>
      <c r="AB6225" s="5" t="str">
        <f>HYPERLINK("https://propertylookup.dupagecounty.gov/Datalets/Datalet.aspx?UseSearch=no&amp;mode=sales&amp;pin=0212104003","sales record")</f>
        <v>sales record</v>
      </c>
      <c r="AC6225" t="s">
        <v>11</v>
      </c>
      <c r="AD6225">
        <v>41.976291</v>
      </c>
      <c r="AE6225">
        <v>-88.04452999999999</v>
      </c>
      <c r="AF6225" s="5" t="str">
        <f>HYPERLINK("https://www.google.com/maps/search/?api=1&amp;query=41.976291,-88.04453","map")</f>
        <v>map</v>
      </c>
    </row>
    <row r="6226" spans="1:32">
      <c r="A6226" t="s">
        <v>6276</v>
      </c>
      <c r="B6226" t="s">
        <v>13794</v>
      </c>
      <c r="C6226" t="s">
        <v>15986</v>
      </c>
      <c r="D6226" t="s">
        <v>16208</v>
      </c>
      <c r="E6226" t="s">
        <v>16217</v>
      </c>
      <c r="F6226" t="s">
        <v>16220</v>
      </c>
      <c r="G6226" t="s">
        <v>16231</v>
      </c>
      <c r="H6226" t="s">
        <v>16231</v>
      </c>
      <c r="I6226" t="s">
        <v>16356</v>
      </c>
      <c r="J6226" t="s">
        <v>16386</v>
      </c>
      <c r="K6226">
        <v>0.148</v>
      </c>
      <c r="L6226">
        <v>6459</v>
      </c>
      <c r="M6226">
        <v>1682</v>
      </c>
      <c r="N6226" t="s">
        <v>16393</v>
      </c>
      <c r="O6226" s="4">
        <v>26225</v>
      </c>
      <c r="P6226" s="4">
        <v>0</v>
      </c>
      <c r="Q6226" s="4">
        <v>26225</v>
      </c>
      <c r="R6226" s="4">
        <v>78675</v>
      </c>
      <c r="S6226" t="s">
        <v>22474</v>
      </c>
      <c r="X6226" t="s">
        <v>3</v>
      </c>
      <c r="AA6226" s="5" t="str">
        <f>HYPERLINK("https://www.zillow.com/homes/6N734-GATES-AVE-ITASCA-IL-60143_rb/","check listing")</f>
        <v>check listing</v>
      </c>
      <c r="AB6226" s="5" t="str">
        <f>HYPERLINK("https://propertylookup.dupagecounty.gov/Datalets/Datalet.aspx?UseSearch=no&amp;mode=sales&amp;pin=0212104006","sales record")</f>
        <v>sales record</v>
      </c>
      <c r="AC6226" t="s">
        <v>27871</v>
      </c>
      <c r="AD6226">
        <v>41.976327</v>
      </c>
      <c r="AE6226">
        <v>-88.044017</v>
      </c>
      <c r="AF6226" s="5" t="str">
        <f>HYPERLINK("https://www.google.com/maps/search/?api=1&amp;query=41.976327,-88.044017","map")</f>
        <v>map</v>
      </c>
    </row>
    <row r="6227" spans="1:32">
      <c r="A6227" t="s">
        <v>6277</v>
      </c>
      <c r="B6227" t="s">
        <v>13795</v>
      </c>
      <c r="C6227" t="s">
        <v>15986</v>
      </c>
      <c r="D6227" t="s">
        <v>16208</v>
      </c>
      <c r="E6227" t="s">
        <v>16217</v>
      </c>
      <c r="F6227" t="s">
        <v>16220</v>
      </c>
      <c r="G6227" t="s">
        <v>16231</v>
      </c>
      <c r="H6227" t="s">
        <v>16231</v>
      </c>
      <c r="I6227" t="s">
        <v>16356</v>
      </c>
      <c r="J6227" t="s">
        <v>16386</v>
      </c>
      <c r="K6227">
        <v>0.134</v>
      </c>
      <c r="L6227">
        <v>5847</v>
      </c>
      <c r="M6227">
        <v>551</v>
      </c>
      <c r="N6227" t="s">
        <v>16393</v>
      </c>
      <c r="O6227" s="4">
        <v>26225</v>
      </c>
      <c r="P6227" s="4">
        <v>0</v>
      </c>
      <c r="Q6227" s="4">
        <v>26225</v>
      </c>
      <c r="R6227" s="4">
        <v>78675</v>
      </c>
      <c r="S6227" t="s">
        <v>22463</v>
      </c>
      <c r="X6227" t="s">
        <v>3</v>
      </c>
      <c r="AA6227" s="5" t="str">
        <f>HYPERLINK("https://www.zillow.com/homes/6N740-MANOR-DR-ITASCA-IL-60143_rb/","check listing")</f>
        <v>check listing</v>
      </c>
      <c r="AB6227" s="5" t="str">
        <f>HYPERLINK("https://propertylookup.dupagecounty.gov/Datalets/Datalet.aspx?UseSearch=no&amp;mode=sales&amp;pin=0212102008","sales record")</f>
        <v>sales record</v>
      </c>
      <c r="AC6227" t="s">
        <v>27871</v>
      </c>
      <c r="AD6227">
        <v>41.976508</v>
      </c>
      <c r="AE6227">
        <v>-88.04663499999999</v>
      </c>
      <c r="AF6227" s="5" t="str">
        <f>HYPERLINK("https://www.google.com/maps/search/?api=1&amp;query=41.976508,-88.046635","map")</f>
        <v>map</v>
      </c>
    </row>
    <row r="6228" spans="1:32">
      <c r="A6228" t="s">
        <v>6278</v>
      </c>
      <c r="B6228" t="s">
        <v>13796</v>
      </c>
      <c r="C6228" t="s">
        <v>15986</v>
      </c>
      <c r="D6228" t="s">
        <v>16208</v>
      </c>
      <c r="E6228" t="s">
        <v>16217</v>
      </c>
      <c r="F6228" t="s">
        <v>16220</v>
      </c>
      <c r="G6228" t="s">
        <v>16231</v>
      </c>
      <c r="H6228" t="s">
        <v>16231</v>
      </c>
      <c r="I6228" t="s">
        <v>16356</v>
      </c>
      <c r="J6228" t="s">
        <v>16386</v>
      </c>
      <c r="K6228">
        <v>0.131</v>
      </c>
      <c r="L6228">
        <v>5709</v>
      </c>
      <c r="M6228">
        <v>1804</v>
      </c>
      <c r="N6228" t="s">
        <v>16393</v>
      </c>
      <c r="O6228" s="4">
        <v>26225</v>
      </c>
      <c r="P6228" s="4">
        <v>0</v>
      </c>
      <c r="Q6228" s="4">
        <v>26225</v>
      </c>
      <c r="R6228" s="4">
        <v>78675</v>
      </c>
      <c r="S6228" t="s">
        <v>22475</v>
      </c>
      <c r="X6228" t="s">
        <v>3</v>
      </c>
      <c r="AA6228" s="5" t="str">
        <f>HYPERLINK("https://www.zillow.com/homes/6N755-VALLEY-LN-ITASCA-IL-60143_rb/","check listing")</f>
        <v>check listing</v>
      </c>
      <c r="AB6228" s="5" t="str">
        <f>HYPERLINK("https://propertylookup.dupagecounty.gov/Datalets/Datalet.aspx?UseSearch=no&amp;mode=sales&amp;pin=0212102004","sales record")</f>
        <v>sales record</v>
      </c>
      <c r="AC6228" t="s">
        <v>27871</v>
      </c>
      <c r="AD6228">
        <v>41.976605</v>
      </c>
      <c r="AE6228">
        <v>-88.047093</v>
      </c>
      <c r="AF6228" s="5" t="str">
        <f>HYPERLINK("https://www.google.com/maps/search/?api=1&amp;query=41.976605,-88.047093","map")</f>
        <v>map</v>
      </c>
    </row>
    <row r="6229" spans="1:32">
      <c r="A6229" t="s">
        <v>6279</v>
      </c>
      <c r="B6229" t="s">
        <v>13797</v>
      </c>
      <c r="C6229" t="s">
        <v>15109</v>
      </c>
      <c r="D6229" t="s">
        <v>16208</v>
      </c>
      <c r="E6229" t="s">
        <v>16217</v>
      </c>
      <c r="F6229" t="s">
        <v>16220</v>
      </c>
      <c r="G6229" t="s">
        <v>16231</v>
      </c>
      <c r="H6229" t="s">
        <v>16231</v>
      </c>
      <c r="I6229" t="s">
        <v>16356</v>
      </c>
      <c r="J6229" t="s">
        <v>16386</v>
      </c>
      <c r="K6229">
        <v>0.127</v>
      </c>
      <c r="L6229">
        <v>5511</v>
      </c>
      <c r="M6229">
        <v>393</v>
      </c>
      <c r="N6229" t="s">
        <v>16393</v>
      </c>
      <c r="O6229" s="4">
        <v>59016</v>
      </c>
      <c r="P6229" s="4">
        <v>0</v>
      </c>
      <c r="Q6229" s="4">
        <v>59016</v>
      </c>
      <c r="R6229" s="4">
        <v>177048</v>
      </c>
      <c r="S6229" t="s">
        <v>22476</v>
      </c>
      <c r="T6229" s="6">
        <v>37257</v>
      </c>
      <c r="U6229" s="4">
        <v>91490</v>
      </c>
      <c r="V6229" t="s">
        <v>23742</v>
      </c>
      <c r="W6229" t="s">
        <v>27191</v>
      </c>
      <c r="X6229" t="s">
        <v>3</v>
      </c>
      <c r="AA6229" s="5" t="str">
        <f>HYPERLINK("https://www.zillow.com/homes/15W615-GRAND-AVE-ELMHURST-IL-60126_rb/","check listing")</f>
        <v>check listing</v>
      </c>
      <c r="AB6229" s="5" t="str">
        <f>HYPERLINK("https://propertylookup.dupagecounty.gov/Datalets/Datalet.aspx?UseSearch=no&amp;mode=sales&amp;pin=0325109010","sales record")</f>
        <v>sales record</v>
      </c>
      <c r="AC6229" t="s">
        <v>11</v>
      </c>
      <c r="AD6229">
        <v>41.931411</v>
      </c>
      <c r="AE6229">
        <v>-87.93502700000001</v>
      </c>
      <c r="AF6229" s="5" t="str">
        <f>HYPERLINK("https://www.google.com/maps/search/?api=1&amp;query=41.931411,-87.935027","map")</f>
        <v>map</v>
      </c>
    </row>
    <row r="6230" spans="1:32">
      <c r="A6230" t="s">
        <v>6280</v>
      </c>
      <c r="B6230" t="s">
        <v>7760</v>
      </c>
      <c r="C6230" t="s">
        <v>15986</v>
      </c>
      <c r="D6230" t="s">
        <v>16208</v>
      </c>
      <c r="E6230" t="s">
        <v>16217</v>
      </c>
      <c r="F6230" t="s">
        <v>16220</v>
      </c>
      <c r="G6230" t="s">
        <v>16231</v>
      </c>
      <c r="H6230" t="s">
        <v>16231</v>
      </c>
      <c r="I6230" t="s">
        <v>16356</v>
      </c>
      <c r="J6230" t="s">
        <v>16386</v>
      </c>
      <c r="K6230">
        <v>0.119</v>
      </c>
      <c r="L6230">
        <v>5172</v>
      </c>
      <c r="N6230" t="s">
        <v>16393</v>
      </c>
      <c r="O6230" s="4">
        <v>13089</v>
      </c>
      <c r="P6230" s="4">
        <v>0</v>
      </c>
      <c r="Q6230" s="4">
        <v>13089</v>
      </c>
      <c r="R6230" s="4">
        <v>39267</v>
      </c>
      <c r="S6230" t="s">
        <v>22477</v>
      </c>
      <c r="X6230" t="s">
        <v>3</v>
      </c>
      <c r="AA6230" s="5" t="str">
        <f>HYPERLINK("https://www.zillow.com/homes/IRVING-PARK-RD-ITASCA-IL-60143_rb/","check listing")</f>
        <v>check listing</v>
      </c>
      <c r="AB6230" s="5" t="str">
        <f>HYPERLINK("https://propertylookup.dupagecounty.gov/Datalets/Datalet.aspx?UseSearch=no&amp;mode=sales&amp;pin=0212105004","sales record")</f>
        <v>sales record</v>
      </c>
      <c r="AC6230" t="s">
        <v>3</v>
      </c>
      <c r="AD6230">
        <v>41.975934</v>
      </c>
      <c r="AE6230">
        <v>-88.043437</v>
      </c>
      <c r="AF6230" s="5" t="str">
        <f>HYPERLINK("https://www.google.com/maps/search/?api=1&amp;query=41.975934,-88.043437","map")</f>
        <v>map</v>
      </c>
    </row>
    <row r="6231" spans="1:32">
      <c r="A6231" t="s">
        <v>6281</v>
      </c>
      <c r="B6231" t="s">
        <v>13798</v>
      </c>
      <c r="C6231" t="s">
        <v>15995</v>
      </c>
      <c r="D6231" t="s">
        <v>16208</v>
      </c>
      <c r="E6231" t="s">
        <v>16217</v>
      </c>
      <c r="F6231" t="s">
        <v>16220</v>
      </c>
      <c r="G6231" t="s">
        <v>16231</v>
      </c>
      <c r="H6231" t="s">
        <v>16231</v>
      </c>
      <c r="I6231" t="s">
        <v>16356</v>
      </c>
      <c r="J6231" t="s">
        <v>16386</v>
      </c>
      <c r="K6231">
        <v>0.115</v>
      </c>
      <c r="L6231">
        <v>5013</v>
      </c>
      <c r="M6231">
        <v>2032</v>
      </c>
      <c r="N6231" t="s">
        <v>16393</v>
      </c>
      <c r="O6231" s="4">
        <v>26225</v>
      </c>
      <c r="P6231" s="4">
        <v>0</v>
      </c>
      <c r="Q6231" s="4">
        <v>26225</v>
      </c>
      <c r="R6231" s="4">
        <v>78675</v>
      </c>
      <c r="S6231" t="s">
        <v>22473</v>
      </c>
      <c r="X6231" t="s">
        <v>3</v>
      </c>
      <c r="AA6231" s="5" t="str">
        <f>HYPERLINK("https://www.zillow.com/homes/6N710-GATES-AVE-MEDINAH-IL-601577000_rb/","check listing")</f>
        <v>check listing</v>
      </c>
      <c r="AB6231" s="5" t="str">
        <f>HYPERLINK("https://propertylookup.dupagecounty.gov/Datalets/Datalet.aspx?UseSearch=no&amp;mode=sales&amp;pin=0212104010","sales record")</f>
        <v>sales record</v>
      </c>
      <c r="AC6231" t="s">
        <v>11</v>
      </c>
      <c r="AD6231">
        <v>41.975978</v>
      </c>
      <c r="AE6231">
        <v>-88.044169</v>
      </c>
      <c r="AF6231" s="5" t="str">
        <f>HYPERLINK("https://www.google.com/maps/search/?api=1&amp;query=41.975978,-88.044169","map")</f>
        <v>map</v>
      </c>
    </row>
    <row r="6232" spans="1:32">
      <c r="A6232" t="s">
        <v>6282</v>
      </c>
      <c r="B6232" t="s">
        <v>13798</v>
      </c>
      <c r="C6232" t="s">
        <v>15986</v>
      </c>
      <c r="D6232" t="s">
        <v>16208</v>
      </c>
      <c r="E6232" t="s">
        <v>16217</v>
      </c>
      <c r="F6232" t="s">
        <v>16220</v>
      </c>
      <c r="G6232" t="s">
        <v>16231</v>
      </c>
      <c r="H6232" t="s">
        <v>16231</v>
      </c>
      <c r="I6232" t="s">
        <v>16356</v>
      </c>
      <c r="J6232" t="s">
        <v>16386</v>
      </c>
      <c r="K6232">
        <v>0.115</v>
      </c>
      <c r="L6232">
        <v>5010</v>
      </c>
      <c r="N6232" t="s">
        <v>16393</v>
      </c>
      <c r="O6232" s="4">
        <v>26225</v>
      </c>
      <c r="P6232" s="4">
        <v>0</v>
      </c>
      <c r="Q6232" s="4">
        <v>26225</v>
      </c>
      <c r="R6232" s="4">
        <v>78675</v>
      </c>
      <c r="S6232" t="s">
        <v>22473</v>
      </c>
      <c r="X6232" t="s">
        <v>3</v>
      </c>
      <c r="AA6232" s="5" t="str">
        <f>HYPERLINK("https://www.zillow.com/homes/6N710-GATES-AVE-ITASCA-IL-60143_rb/","check listing")</f>
        <v>check listing</v>
      </c>
      <c r="AB6232" s="5" t="str">
        <f>HYPERLINK("https://propertylookup.dupagecounty.gov/Datalets/Datalet.aspx?UseSearch=no&amp;mode=sales&amp;pin=0212104009","sales record")</f>
        <v>sales record</v>
      </c>
      <c r="AC6232" t="s">
        <v>27872</v>
      </c>
      <c r="AD6232">
        <v>41.976079</v>
      </c>
      <c r="AE6232">
        <v>-88.04412499999999</v>
      </c>
      <c r="AF6232" s="5" t="str">
        <f>HYPERLINK("https://www.google.com/maps/search/?api=1&amp;query=41.976079,-88.044125","map")</f>
        <v>map</v>
      </c>
    </row>
    <row r="6233" spans="1:32">
      <c r="A6233" t="s">
        <v>6283</v>
      </c>
      <c r="B6233" t="s">
        <v>13780</v>
      </c>
      <c r="C6233" t="s">
        <v>15986</v>
      </c>
      <c r="D6233" t="s">
        <v>16208</v>
      </c>
      <c r="E6233" t="s">
        <v>16217</v>
      </c>
      <c r="F6233" t="s">
        <v>16220</v>
      </c>
      <c r="G6233" t="s">
        <v>16231</v>
      </c>
      <c r="H6233" t="s">
        <v>16231</v>
      </c>
      <c r="I6233" t="s">
        <v>16356</v>
      </c>
      <c r="J6233" t="s">
        <v>16386</v>
      </c>
      <c r="K6233">
        <v>0.111</v>
      </c>
      <c r="L6233">
        <v>4819</v>
      </c>
      <c r="N6233" t="s">
        <v>16393</v>
      </c>
      <c r="O6233" s="4">
        <v>13089</v>
      </c>
      <c r="P6233" s="4">
        <v>0</v>
      </c>
      <c r="Q6233" s="4">
        <v>13089</v>
      </c>
      <c r="R6233" s="4">
        <v>39267</v>
      </c>
      <c r="S6233" t="s">
        <v>22460</v>
      </c>
      <c r="X6233" t="s">
        <v>3</v>
      </c>
      <c r="AA6233" s="5" t="str">
        <f>HYPERLINK("https://www.zillow.com/homes/21W480-IRVING-PARK-RD-ITASCA-IL-60143_rb/","check listing")</f>
        <v>check listing</v>
      </c>
      <c r="AB6233" s="5" t="str">
        <f>HYPERLINK("https://propertylookup.dupagecounty.gov/Datalets/Datalet.aspx?UseSearch=no&amp;mode=sales&amp;pin=0212105005","sales record")</f>
        <v>sales record</v>
      </c>
      <c r="AC6233" t="s">
        <v>3</v>
      </c>
      <c r="AD6233">
        <v>41.975833</v>
      </c>
      <c r="AE6233">
        <v>-88.04348</v>
      </c>
      <c r="AF6233" s="5" t="str">
        <f>HYPERLINK("https://www.google.com/maps/search/?api=1&amp;query=41.975833,-88.04348","map")</f>
        <v>map</v>
      </c>
    </row>
    <row r="6234" spans="1:32">
      <c r="A6234" t="s">
        <v>6284</v>
      </c>
      <c r="B6234" t="s">
        <v>13798</v>
      </c>
      <c r="C6234" t="s">
        <v>15994</v>
      </c>
      <c r="D6234" t="s">
        <v>16208</v>
      </c>
      <c r="E6234" t="s">
        <v>16217</v>
      </c>
      <c r="F6234" t="s">
        <v>16220</v>
      </c>
      <c r="G6234" t="s">
        <v>16231</v>
      </c>
      <c r="H6234" t="s">
        <v>16231</v>
      </c>
      <c r="I6234" t="s">
        <v>16356</v>
      </c>
      <c r="J6234" t="s">
        <v>16386</v>
      </c>
      <c r="K6234">
        <v>0.091</v>
      </c>
      <c r="L6234">
        <v>3982</v>
      </c>
      <c r="N6234" t="s">
        <v>16393</v>
      </c>
      <c r="O6234" s="4">
        <v>6574</v>
      </c>
      <c r="P6234" s="4">
        <v>0</v>
      </c>
      <c r="Q6234" s="4">
        <v>6574</v>
      </c>
      <c r="R6234" s="4">
        <v>19722</v>
      </c>
      <c r="S6234" t="s">
        <v>22473</v>
      </c>
      <c r="T6234" s="6">
        <v>32112</v>
      </c>
      <c r="U6234" s="4">
        <v>3000</v>
      </c>
      <c r="X6234" t="s">
        <v>3</v>
      </c>
      <c r="AA6234" s="5" t="str">
        <f>HYPERLINK("https://www.zillow.com/homes/6N710-GATES-AVE-MEDINAH-IL-60157_rb/","check listing")</f>
        <v>check listing</v>
      </c>
      <c r="AB6234" s="5" t="str">
        <f>HYPERLINK("https://propertylookup.dupagecounty.gov/Datalets/Datalet.aspx?UseSearch=no&amp;mode=sales&amp;pin=0212104007","sales record")</f>
        <v>sales record</v>
      </c>
      <c r="AC6234" t="s">
        <v>27872</v>
      </c>
      <c r="AD6234">
        <v>41.976214</v>
      </c>
      <c r="AE6234">
        <v>-88.044162</v>
      </c>
      <c r="AF6234" s="5" t="str">
        <f>HYPERLINK("https://www.google.com/maps/search/?api=1&amp;query=41.976214,-88.044162","map")</f>
        <v>map</v>
      </c>
    </row>
    <row r="6235" spans="1:32">
      <c r="A6235" t="s">
        <v>6285</v>
      </c>
      <c r="B6235" t="s">
        <v>13799</v>
      </c>
      <c r="C6235" t="s">
        <v>15986</v>
      </c>
      <c r="D6235" t="s">
        <v>16208</v>
      </c>
      <c r="E6235" t="s">
        <v>16217</v>
      </c>
      <c r="F6235" t="s">
        <v>16220</v>
      </c>
      <c r="G6235" t="s">
        <v>16231</v>
      </c>
      <c r="H6235" t="s">
        <v>16231</v>
      </c>
      <c r="I6235" t="s">
        <v>16356</v>
      </c>
      <c r="J6235" t="s">
        <v>16386</v>
      </c>
      <c r="K6235">
        <v>0.08799999999999999</v>
      </c>
      <c r="L6235">
        <v>3826</v>
      </c>
      <c r="N6235" t="s">
        <v>16393</v>
      </c>
      <c r="O6235" s="4">
        <v>13089</v>
      </c>
      <c r="P6235" s="4">
        <v>0</v>
      </c>
      <c r="Q6235" s="4">
        <v>13089</v>
      </c>
      <c r="R6235" s="4">
        <v>39267</v>
      </c>
      <c r="S6235" t="s">
        <v>22478</v>
      </c>
      <c r="T6235" s="6">
        <v>46100</v>
      </c>
      <c r="U6235" s="4">
        <v>325000</v>
      </c>
      <c r="V6235" t="s">
        <v>23739</v>
      </c>
      <c r="W6235" t="s">
        <v>27192</v>
      </c>
      <c r="X6235" t="s">
        <v>3</v>
      </c>
      <c r="AA6235" s="5" t="str">
        <f>HYPERLINK("https://www.zillow.com/homes/6N730-MANOR-RD-ITASCA-IL-60143_rb/","check listing")</f>
        <v>check listing</v>
      </c>
      <c r="AB6235" s="5" t="str">
        <f>HYPERLINK("https://propertylookup.dupagecounty.gov/Datalets/Datalet.aspx?UseSearch=no&amp;mode=sales&amp;pin=0212102015","sales record")</f>
        <v>sales record</v>
      </c>
      <c r="AC6235" t="s">
        <v>3</v>
      </c>
      <c r="AD6235">
        <v>41.97619</v>
      </c>
      <c r="AE6235">
        <v>-88.046578</v>
      </c>
      <c r="AF6235" s="5" t="str">
        <f>HYPERLINK("https://www.google.com/maps/search/?api=1&amp;query=41.97619,-88.046578","map")</f>
        <v>map</v>
      </c>
    </row>
    <row r="6236" spans="1:32">
      <c r="A6236" t="s">
        <v>6286</v>
      </c>
      <c r="B6236" t="s">
        <v>13800</v>
      </c>
      <c r="C6236" t="s">
        <v>15199</v>
      </c>
      <c r="D6236" t="s">
        <v>16208</v>
      </c>
      <c r="E6236" t="s">
        <v>16217</v>
      </c>
      <c r="F6236" t="s">
        <v>16220</v>
      </c>
      <c r="G6236" t="s">
        <v>16231</v>
      </c>
      <c r="H6236" t="s">
        <v>16231</v>
      </c>
      <c r="I6236" t="s">
        <v>16356</v>
      </c>
      <c r="J6236" t="s">
        <v>16386</v>
      </c>
      <c r="K6236">
        <v>0.076</v>
      </c>
      <c r="L6236">
        <v>3312</v>
      </c>
      <c r="N6236" t="s">
        <v>16392</v>
      </c>
      <c r="O6236" s="4">
        <v>18369</v>
      </c>
      <c r="P6236" s="4">
        <v>0</v>
      </c>
      <c r="Q6236" s="4">
        <v>18369</v>
      </c>
      <c r="R6236" s="4">
        <v>55107</v>
      </c>
      <c r="S6236" t="s">
        <v>22479</v>
      </c>
      <c r="T6236" s="6">
        <v>36708</v>
      </c>
      <c r="U6236" s="4">
        <v>156000</v>
      </c>
      <c r="V6236" t="s">
        <v>23739</v>
      </c>
      <c r="W6236" t="s">
        <v>27193</v>
      </c>
      <c r="X6236" t="s">
        <v>3</v>
      </c>
      <c r="AA6236" s="5" t="str">
        <f>HYPERLINK("https://www.zillow.com/homes/16W754-56TH-PL-CLARENDON-HILLS-IL-60514_rb/","check listing")</f>
        <v>check listing</v>
      </c>
      <c r="AB6236" s="5" t="str">
        <f>HYPERLINK("https://propertylookup.dupagecounty.gov/Datalets/Datalet.aspx?UseSearch=no&amp;mode=sales&amp;pin=0914101022","sales record")</f>
        <v>sales record</v>
      </c>
      <c r="AC6236" t="s">
        <v>27872</v>
      </c>
      <c r="AD6236">
        <v>41.786169</v>
      </c>
      <c r="AE6236">
        <v>-87.954875</v>
      </c>
      <c r="AF6236" s="5" t="str">
        <f>HYPERLINK("https://www.google.com/maps/search/?api=1&amp;query=41.786169,-87.954875","map")</f>
        <v>map</v>
      </c>
    </row>
    <row r="6237" spans="1:32">
      <c r="A6237" t="s">
        <v>6287</v>
      </c>
      <c r="B6237" t="s">
        <v>13801</v>
      </c>
      <c r="C6237" t="s">
        <v>15994</v>
      </c>
      <c r="D6237" t="s">
        <v>16208</v>
      </c>
      <c r="E6237" t="s">
        <v>16217</v>
      </c>
      <c r="F6237" t="s">
        <v>16220</v>
      </c>
      <c r="G6237" t="s">
        <v>16231</v>
      </c>
      <c r="H6237" t="s">
        <v>16231</v>
      </c>
      <c r="I6237" t="s">
        <v>16356</v>
      </c>
      <c r="J6237" t="s">
        <v>16386</v>
      </c>
      <c r="K6237">
        <v>0.074</v>
      </c>
      <c r="L6237">
        <v>3208</v>
      </c>
      <c r="M6237">
        <v>706</v>
      </c>
      <c r="N6237" t="s">
        <v>16393</v>
      </c>
      <c r="O6237" s="4">
        <v>13089</v>
      </c>
      <c r="P6237" s="4">
        <v>0</v>
      </c>
      <c r="Q6237" s="4">
        <v>13089</v>
      </c>
      <c r="R6237" s="4">
        <v>39267</v>
      </c>
      <c r="S6237" t="s">
        <v>22480</v>
      </c>
      <c r="X6237" t="s">
        <v>3</v>
      </c>
      <c r="AA6237" s="5" t="str">
        <f>HYPERLINK("https://www.zillow.com/homes/21W620-IRVING-PARK-RD-MEDINAH-IL-60157_rb/","check listing")</f>
        <v>check listing</v>
      </c>
      <c r="AB6237" s="5" t="str">
        <f>HYPERLINK("https://propertylookup.dupagecounty.gov/Datalets/Datalet.aspx?UseSearch=no&amp;mode=sales&amp;pin=0212102011","sales record")</f>
        <v>sales record</v>
      </c>
      <c r="AC6237" t="s">
        <v>27871</v>
      </c>
      <c r="AD6237">
        <v>41.976266</v>
      </c>
      <c r="AE6237">
        <v>-88.046941</v>
      </c>
      <c r="AF6237" s="5" t="str">
        <f>HYPERLINK("https://www.google.com/maps/search/?api=1&amp;query=41.976266,-88.046941","map")</f>
        <v>map</v>
      </c>
    </row>
    <row r="6238" spans="1:32">
      <c r="A6238" t="s">
        <v>6288</v>
      </c>
      <c r="B6238" t="s">
        <v>13801</v>
      </c>
      <c r="C6238" t="s">
        <v>15994</v>
      </c>
      <c r="D6238" t="s">
        <v>16208</v>
      </c>
      <c r="E6238" t="s">
        <v>16217</v>
      </c>
      <c r="F6238" t="s">
        <v>16220</v>
      </c>
      <c r="G6238" t="s">
        <v>16231</v>
      </c>
      <c r="H6238" t="s">
        <v>16231</v>
      </c>
      <c r="I6238" t="s">
        <v>16356</v>
      </c>
      <c r="J6238" t="s">
        <v>16386</v>
      </c>
      <c r="K6238">
        <v>0.074</v>
      </c>
      <c r="L6238">
        <v>3202</v>
      </c>
      <c r="N6238" t="s">
        <v>16393</v>
      </c>
      <c r="O6238" s="4">
        <v>13089</v>
      </c>
      <c r="P6238" s="4">
        <v>0</v>
      </c>
      <c r="Q6238" s="4">
        <v>13089</v>
      </c>
      <c r="R6238" s="4">
        <v>39267</v>
      </c>
      <c r="S6238" t="s">
        <v>22480</v>
      </c>
      <c r="X6238" t="s">
        <v>3</v>
      </c>
      <c r="AA6238" s="5" t="str">
        <f>HYPERLINK("https://www.zillow.com/homes/21W620-IRVING-PARK-RD-MEDINAH-IL-60157_rb/","check listing")</f>
        <v>check listing</v>
      </c>
      <c r="AB6238" s="5" t="str">
        <f>HYPERLINK("https://propertylookup.dupagecounty.gov/Datalets/Datalet.aspx?UseSearch=no&amp;mode=sales&amp;pin=0212102012","sales record")</f>
        <v>sales record</v>
      </c>
      <c r="AC6238" t="s">
        <v>3</v>
      </c>
      <c r="AD6238">
        <v>41.976248</v>
      </c>
      <c r="AE6238">
        <v>-88.046852</v>
      </c>
      <c r="AF6238" s="5" t="str">
        <f>HYPERLINK("https://www.google.com/maps/search/?api=1&amp;query=41.976248,-88.046852","map")</f>
        <v>map</v>
      </c>
    </row>
    <row r="6239" spans="1:32">
      <c r="A6239" t="s">
        <v>6289</v>
      </c>
      <c r="B6239" t="s">
        <v>13799</v>
      </c>
      <c r="C6239" t="s">
        <v>15986</v>
      </c>
      <c r="D6239" t="s">
        <v>16208</v>
      </c>
      <c r="E6239" t="s">
        <v>16217</v>
      </c>
      <c r="F6239" t="s">
        <v>16220</v>
      </c>
      <c r="G6239" t="s">
        <v>16231</v>
      </c>
      <c r="H6239" t="s">
        <v>16231</v>
      </c>
      <c r="I6239" t="s">
        <v>16356</v>
      </c>
      <c r="J6239" t="s">
        <v>16386</v>
      </c>
      <c r="K6239">
        <v>0.073</v>
      </c>
      <c r="L6239">
        <v>3192</v>
      </c>
      <c r="N6239" t="s">
        <v>16393</v>
      </c>
      <c r="O6239" s="4">
        <v>13089</v>
      </c>
      <c r="P6239" s="4">
        <v>0</v>
      </c>
      <c r="Q6239" s="4">
        <v>13089</v>
      </c>
      <c r="R6239" s="4">
        <v>39267</v>
      </c>
      <c r="S6239" t="s">
        <v>22478</v>
      </c>
      <c r="T6239" s="6">
        <v>46100</v>
      </c>
      <c r="U6239" s="4">
        <v>325000</v>
      </c>
      <c r="V6239" t="s">
        <v>23739</v>
      </c>
      <c r="W6239" t="s">
        <v>27192</v>
      </c>
      <c r="X6239" t="s">
        <v>3</v>
      </c>
      <c r="AA6239" s="5" t="str">
        <f>HYPERLINK("https://www.zillow.com/homes/6N730-MANOR-RD-ITASCA-IL-60143_rb/","check listing")</f>
        <v>check listing</v>
      </c>
      <c r="AB6239" s="5" t="str">
        <f>HYPERLINK("https://propertylookup.dupagecounty.gov/Datalets/Datalet.aspx?UseSearch=no&amp;mode=sales&amp;pin=0212102014","sales record")</f>
        <v>sales record</v>
      </c>
      <c r="AC6239" t="s">
        <v>27872</v>
      </c>
      <c r="AD6239">
        <v>41.97621</v>
      </c>
      <c r="AE6239">
        <v>-88.04667499999999</v>
      </c>
      <c r="AF6239" s="5" t="str">
        <f>HYPERLINK("https://www.google.com/maps/search/?api=1&amp;query=41.97621,-88.046675","map")</f>
        <v>map</v>
      </c>
    </row>
    <row r="6240" spans="1:32">
      <c r="A6240" t="s">
        <v>6290</v>
      </c>
      <c r="B6240" t="s">
        <v>13802</v>
      </c>
      <c r="C6240" t="s">
        <v>15986</v>
      </c>
      <c r="D6240" t="s">
        <v>16208</v>
      </c>
      <c r="E6240" t="s">
        <v>16217</v>
      </c>
      <c r="F6240" t="s">
        <v>16220</v>
      </c>
      <c r="G6240" t="s">
        <v>16231</v>
      </c>
      <c r="H6240" t="s">
        <v>16231</v>
      </c>
      <c r="I6240" t="s">
        <v>16356</v>
      </c>
      <c r="J6240" t="s">
        <v>16386</v>
      </c>
      <c r="K6240">
        <v>0.073</v>
      </c>
      <c r="L6240">
        <v>3170</v>
      </c>
      <c r="M6240">
        <v>1093</v>
      </c>
      <c r="N6240" t="s">
        <v>16393</v>
      </c>
      <c r="O6240" s="4">
        <v>13089</v>
      </c>
      <c r="P6240" s="4">
        <v>0</v>
      </c>
      <c r="Q6240" s="4">
        <v>13089</v>
      </c>
      <c r="R6240" s="4">
        <v>39267</v>
      </c>
      <c r="S6240" t="s">
        <v>22481</v>
      </c>
      <c r="X6240" t="s">
        <v>3</v>
      </c>
      <c r="AA6240" s="5" t="str">
        <f>HYPERLINK("https://www.zillow.com/homes/6N725-MANOR-RD-ITASCA-IL-60143_rb/","check listing")</f>
        <v>check listing</v>
      </c>
      <c r="AB6240" s="5" t="str">
        <f>HYPERLINK("https://propertylookup.dupagecounty.gov/Datalets/Datalet.aspx?UseSearch=no&amp;mode=sales&amp;pin=0212103007","sales record")</f>
        <v>sales record</v>
      </c>
      <c r="AC6240" t="s">
        <v>27871</v>
      </c>
      <c r="AD6240">
        <v>41.976097</v>
      </c>
      <c r="AE6240">
        <v>-88.04614100000001</v>
      </c>
      <c r="AF6240" s="5" t="str">
        <f>HYPERLINK("https://www.google.com/maps/search/?api=1&amp;query=41.976097,-88.046141","map")</f>
        <v>map</v>
      </c>
    </row>
    <row r="6241" spans="1:32">
      <c r="A6241" t="s">
        <v>6291</v>
      </c>
      <c r="B6241" t="s">
        <v>13803</v>
      </c>
      <c r="C6241" t="s">
        <v>15990</v>
      </c>
      <c r="D6241" t="s">
        <v>16208</v>
      </c>
      <c r="E6241" t="s">
        <v>16217</v>
      </c>
      <c r="F6241" t="s">
        <v>16220</v>
      </c>
      <c r="G6241" t="s">
        <v>16231</v>
      </c>
      <c r="H6241" t="s">
        <v>16231</v>
      </c>
      <c r="I6241" t="s">
        <v>16356</v>
      </c>
      <c r="J6241" t="s">
        <v>16386</v>
      </c>
      <c r="K6241">
        <v>0.073</v>
      </c>
      <c r="L6241">
        <v>3164</v>
      </c>
      <c r="N6241" t="s">
        <v>16393</v>
      </c>
      <c r="O6241" s="4">
        <v>13089</v>
      </c>
      <c r="P6241" s="4">
        <v>0</v>
      </c>
      <c r="Q6241" s="4">
        <v>13089</v>
      </c>
      <c r="R6241" s="4">
        <v>39267</v>
      </c>
      <c r="S6241" t="s">
        <v>22481</v>
      </c>
      <c r="T6241" s="6">
        <v>34608</v>
      </c>
      <c r="U6241" s="4">
        <v>11000</v>
      </c>
      <c r="X6241" t="s">
        <v>3</v>
      </c>
      <c r="AA6241" s="5" t="str">
        <f>HYPERLINK("https://www.zillow.com/homes/6N725-MANOR-LN-ITASCA-IL-601431574_rb/","check listing")</f>
        <v>check listing</v>
      </c>
      <c r="AB6241" s="5" t="str">
        <f>HYPERLINK("https://propertylookup.dupagecounty.gov/Datalets/Datalet.aspx?UseSearch=no&amp;mode=sales&amp;pin=0212103008","sales record")</f>
        <v>sales record</v>
      </c>
      <c r="AC6241" t="s">
        <v>3</v>
      </c>
      <c r="AD6241">
        <v>41.976078</v>
      </c>
      <c r="AE6241">
        <v>-88.046053</v>
      </c>
      <c r="AF6241" s="5" t="str">
        <f>HYPERLINK("https://www.google.com/maps/search/?api=1&amp;query=41.976078,-88.046053","map")</f>
        <v>map</v>
      </c>
    </row>
    <row r="6242" spans="1:32">
      <c r="A6242" t="s">
        <v>6292</v>
      </c>
      <c r="B6242" t="s">
        <v>13767</v>
      </c>
      <c r="C6242" t="s">
        <v>15986</v>
      </c>
      <c r="D6242" t="s">
        <v>16208</v>
      </c>
      <c r="E6242" t="s">
        <v>16217</v>
      </c>
      <c r="F6242" t="s">
        <v>16220</v>
      </c>
      <c r="G6242" t="s">
        <v>16231</v>
      </c>
      <c r="H6242" t="s">
        <v>16231</v>
      </c>
      <c r="I6242" t="s">
        <v>16356</v>
      </c>
      <c r="J6242" t="s">
        <v>16386</v>
      </c>
      <c r="K6242">
        <v>0.073</v>
      </c>
      <c r="L6242">
        <v>3161</v>
      </c>
      <c r="N6242" t="s">
        <v>16393</v>
      </c>
      <c r="O6242" s="4">
        <v>13089</v>
      </c>
      <c r="P6242" s="4">
        <v>0</v>
      </c>
      <c r="Q6242" s="4">
        <v>13089</v>
      </c>
      <c r="R6242" s="4">
        <v>39267</v>
      </c>
      <c r="S6242" t="s">
        <v>22447</v>
      </c>
      <c r="T6242" s="6">
        <v>33725</v>
      </c>
      <c r="U6242" s="4">
        <v>2750</v>
      </c>
      <c r="X6242" t="s">
        <v>3</v>
      </c>
      <c r="AA6242" s="5" t="str">
        <f>HYPERLINK("https://www.zillow.com/homes/21W560-IRVING-PARK-RD-ITASCA-IL-60143_rb/","check listing")</f>
        <v>check listing</v>
      </c>
      <c r="AB6242" s="5" t="str">
        <f>HYPERLINK("https://propertylookup.dupagecounty.gov/Datalets/Datalet.aspx?UseSearch=no&amp;mode=sales&amp;pin=0212103009","sales record")</f>
        <v>sales record</v>
      </c>
      <c r="AC6242" t="s">
        <v>3</v>
      </c>
      <c r="AD6242">
        <v>41.97606</v>
      </c>
      <c r="AE6242">
        <v>-88.045965</v>
      </c>
      <c r="AF6242" s="5" t="str">
        <f>HYPERLINK("https://www.google.com/maps/search/?api=1&amp;query=41.97606,-88.045965","map")</f>
        <v>map</v>
      </c>
    </row>
    <row r="6243" spans="1:32">
      <c r="A6243" t="s">
        <v>6293</v>
      </c>
      <c r="B6243" t="s">
        <v>13767</v>
      </c>
      <c r="C6243" t="s">
        <v>15986</v>
      </c>
      <c r="D6243" t="s">
        <v>16208</v>
      </c>
      <c r="E6243" t="s">
        <v>16217</v>
      </c>
      <c r="F6243" t="s">
        <v>16220</v>
      </c>
      <c r="G6243" t="s">
        <v>16231</v>
      </c>
      <c r="H6243" t="s">
        <v>16231</v>
      </c>
      <c r="I6243" t="s">
        <v>16356</v>
      </c>
      <c r="J6243" t="s">
        <v>16386</v>
      </c>
      <c r="K6243">
        <v>0.07199999999999999</v>
      </c>
      <c r="L6243">
        <v>3155</v>
      </c>
      <c r="N6243" t="s">
        <v>16393</v>
      </c>
      <c r="O6243" s="4">
        <v>13089</v>
      </c>
      <c r="P6243" s="4">
        <v>0</v>
      </c>
      <c r="Q6243" s="4">
        <v>13089</v>
      </c>
      <c r="R6243" s="4">
        <v>39267</v>
      </c>
      <c r="S6243" t="s">
        <v>22447</v>
      </c>
      <c r="X6243" t="s">
        <v>3</v>
      </c>
      <c r="AA6243" s="5" t="str">
        <f>HYPERLINK("https://www.zillow.com/homes/21W560-IRVING-PARK-RD-ITASCA-IL-60143_rb/","check listing")</f>
        <v>check listing</v>
      </c>
      <c r="AB6243" s="5" t="str">
        <f>HYPERLINK("https://propertylookup.dupagecounty.gov/Datalets/Datalet.aspx?UseSearch=no&amp;mode=sales&amp;pin=0212103010","sales record")</f>
        <v>sales record</v>
      </c>
      <c r="AC6243" t="s">
        <v>27872</v>
      </c>
      <c r="AD6243">
        <v>41.976041</v>
      </c>
      <c r="AE6243">
        <v>-88.04587600000001</v>
      </c>
      <c r="AF6243" s="5" t="str">
        <f>HYPERLINK("https://www.google.com/maps/search/?api=1&amp;query=41.976041,-88.045876","map")</f>
        <v>map</v>
      </c>
    </row>
    <row r="6244" spans="1:32">
      <c r="A6244" t="s">
        <v>6294</v>
      </c>
      <c r="B6244" t="s">
        <v>13804</v>
      </c>
      <c r="C6244" t="s">
        <v>15994</v>
      </c>
      <c r="D6244" t="s">
        <v>16208</v>
      </c>
      <c r="E6244" t="s">
        <v>16217</v>
      </c>
      <c r="F6244" t="s">
        <v>16220</v>
      </c>
      <c r="G6244" t="s">
        <v>16231</v>
      </c>
      <c r="H6244" t="s">
        <v>16231</v>
      </c>
      <c r="I6244" t="s">
        <v>16356</v>
      </c>
      <c r="J6244" t="s">
        <v>16386</v>
      </c>
      <c r="K6244">
        <v>0.07199999999999999</v>
      </c>
      <c r="L6244">
        <v>3132</v>
      </c>
      <c r="N6244" t="s">
        <v>16393</v>
      </c>
      <c r="O6244" s="4">
        <v>13089</v>
      </c>
      <c r="P6244" s="4">
        <v>0</v>
      </c>
      <c r="Q6244" s="4">
        <v>13089</v>
      </c>
      <c r="R6244" s="4">
        <v>39267</v>
      </c>
      <c r="S6244" t="s">
        <v>22482</v>
      </c>
      <c r="T6244" s="6">
        <v>44970</v>
      </c>
      <c r="U6244" s="4">
        <v>40000</v>
      </c>
      <c r="V6244" t="s">
        <v>23739</v>
      </c>
      <c r="W6244" t="s">
        <v>22482</v>
      </c>
      <c r="X6244" t="s">
        <v>3</v>
      </c>
      <c r="AA6244" s="5" t="str">
        <f>HYPERLINK("https://www.zillow.com/homes/21W470-IRVING-PARK-RD-MEDINAH-IL-60157_rb/","check listing")</f>
        <v>check listing</v>
      </c>
      <c r="AB6244" s="5" t="str">
        <f>HYPERLINK("https://propertylookup.dupagecounty.gov/Datalets/Datalet.aspx?UseSearch=no&amp;mode=sales&amp;pin=0212105012","sales record")</f>
        <v>sales record</v>
      </c>
      <c r="AC6244" t="s">
        <v>3</v>
      </c>
      <c r="AD6244">
        <v>41.975565</v>
      </c>
      <c r="AE6244">
        <v>-88.043584</v>
      </c>
      <c r="AF6244" s="5" t="str">
        <f>HYPERLINK("https://www.google.com/maps/search/?api=1&amp;query=41.975565,-88.043584","map")</f>
        <v>map</v>
      </c>
    </row>
    <row r="6245" spans="1:32">
      <c r="A6245" t="s">
        <v>6295</v>
      </c>
      <c r="B6245" t="s">
        <v>13804</v>
      </c>
      <c r="C6245" t="s">
        <v>15994</v>
      </c>
      <c r="D6245" t="s">
        <v>16208</v>
      </c>
      <c r="E6245" t="s">
        <v>16217</v>
      </c>
      <c r="F6245" t="s">
        <v>16220</v>
      </c>
      <c r="G6245" t="s">
        <v>16231</v>
      </c>
      <c r="H6245" t="s">
        <v>16231</v>
      </c>
      <c r="I6245" t="s">
        <v>16356</v>
      </c>
      <c r="J6245" t="s">
        <v>16386</v>
      </c>
      <c r="K6245">
        <v>0.06900000000000001</v>
      </c>
      <c r="L6245">
        <v>3023</v>
      </c>
      <c r="N6245" t="s">
        <v>16393</v>
      </c>
      <c r="O6245" s="4">
        <v>13089</v>
      </c>
      <c r="P6245" s="4">
        <v>0</v>
      </c>
      <c r="Q6245" s="4">
        <v>13089</v>
      </c>
      <c r="R6245" s="4">
        <v>39267</v>
      </c>
      <c r="S6245" t="s">
        <v>22482</v>
      </c>
      <c r="T6245" s="6">
        <v>44970</v>
      </c>
      <c r="U6245" s="4">
        <v>40000</v>
      </c>
      <c r="V6245" t="s">
        <v>23739</v>
      </c>
      <c r="W6245" t="s">
        <v>22482</v>
      </c>
      <c r="X6245" t="s">
        <v>3</v>
      </c>
      <c r="AA6245" s="5" t="str">
        <f>HYPERLINK("https://www.zillow.com/homes/21W470-IRVING-PARK-RD-MEDINAH-IL-60157_rb/","check listing")</f>
        <v>check listing</v>
      </c>
      <c r="AB6245" s="5" t="str">
        <f>HYPERLINK("https://propertylookup.dupagecounty.gov/Datalets/Datalet.aspx?UseSearch=no&amp;mode=sales&amp;pin=0212105013","sales record")</f>
        <v>sales record</v>
      </c>
      <c r="AC6245" t="s">
        <v>3</v>
      </c>
      <c r="AD6245">
        <v>41.975548</v>
      </c>
      <c r="AE6245">
        <v>-88.043497</v>
      </c>
      <c r="AF6245" s="5" t="str">
        <f>HYPERLINK("https://www.google.com/maps/search/?api=1&amp;query=41.975548,-88.043497","map")</f>
        <v>map</v>
      </c>
    </row>
    <row r="6246" spans="1:32">
      <c r="A6246" t="s">
        <v>6296</v>
      </c>
      <c r="B6246" t="s">
        <v>13805</v>
      </c>
      <c r="C6246" t="s">
        <v>15996</v>
      </c>
      <c r="D6246" t="s">
        <v>16208</v>
      </c>
      <c r="E6246" t="s">
        <v>16218</v>
      </c>
      <c r="F6246" t="s">
        <v>16221</v>
      </c>
      <c r="G6246" t="s">
        <v>16230</v>
      </c>
      <c r="H6246" t="s">
        <v>16230</v>
      </c>
      <c r="I6246" t="s">
        <v>16357</v>
      </c>
      <c r="J6246" t="s">
        <v>16386</v>
      </c>
      <c r="K6246">
        <v>0.906</v>
      </c>
      <c r="L6246">
        <v>39463</v>
      </c>
      <c r="N6246" t="s">
        <v>16393</v>
      </c>
      <c r="O6246" s="4">
        <v>33616</v>
      </c>
      <c r="P6246" s="4">
        <v>5717</v>
      </c>
      <c r="Q6246" s="4">
        <v>39333</v>
      </c>
      <c r="R6246" s="4">
        <v>117999</v>
      </c>
      <c r="S6246" t="s">
        <v>22483</v>
      </c>
      <c r="X6246" t="s">
        <v>3</v>
      </c>
      <c r="AA6246" s="5" t="str">
        <f>HYPERLINK("https://www.zillow.com/homes/16W415-99TH-ST-BURR-RIDGE-IL-60527_rb/","check listing")</f>
        <v>check listing</v>
      </c>
      <c r="AB6246" s="5" t="str">
        <f>HYPERLINK("https://propertylookup.dupagecounty.gov/Datalets/Datalet.aspx?UseSearch=no&amp;mode=sales&amp;pin=1011400005","sales record")</f>
        <v>sales record</v>
      </c>
      <c r="AC6246" t="s">
        <v>3</v>
      </c>
      <c r="AD6246">
        <v>41.708495</v>
      </c>
      <c r="AE6246">
        <v>-87.94263599999999</v>
      </c>
      <c r="AF6246" s="5" t="str">
        <f>HYPERLINK("https://www.google.com/maps/search/?api=1&amp;query=41.708495,-87.942636","map")</f>
        <v>map</v>
      </c>
    </row>
    <row r="6247" spans="1:32">
      <c r="A6247" t="s">
        <v>6297</v>
      </c>
      <c r="B6247" t="s">
        <v>13806</v>
      </c>
      <c r="C6247" t="s">
        <v>15383</v>
      </c>
      <c r="D6247" t="s">
        <v>16208</v>
      </c>
      <c r="E6247" t="s">
        <v>16218</v>
      </c>
      <c r="F6247" t="s">
        <v>16221</v>
      </c>
      <c r="G6247" t="s">
        <v>16230</v>
      </c>
      <c r="H6247" t="s">
        <v>16230</v>
      </c>
      <c r="I6247" t="s">
        <v>16357</v>
      </c>
      <c r="J6247" t="s">
        <v>16386</v>
      </c>
      <c r="K6247">
        <v>0.104</v>
      </c>
      <c r="L6247">
        <v>4539</v>
      </c>
      <c r="N6247" t="s">
        <v>16393</v>
      </c>
      <c r="O6247" s="4">
        <v>44068</v>
      </c>
      <c r="P6247" s="4">
        <v>143236</v>
      </c>
      <c r="Q6247" s="4">
        <v>187304</v>
      </c>
      <c r="R6247" s="4">
        <v>561912</v>
      </c>
      <c r="S6247" t="s">
        <v>22484</v>
      </c>
      <c r="T6247" s="6">
        <v>43617</v>
      </c>
      <c r="U6247" s="4">
        <v>520000</v>
      </c>
      <c r="V6247" t="s">
        <v>16232</v>
      </c>
      <c r="W6247" t="s">
        <v>27194</v>
      </c>
      <c r="X6247" t="s">
        <v>3</v>
      </c>
      <c r="AA6247" s="5" t="str">
        <f>HYPERLINK("https://www.zillow.com/homes/22W420-AUTUMN-BLAZE-DR-GLEN-ELLYN-IL-60137_rb/","check listing")</f>
        <v>check listing</v>
      </c>
      <c r="AB6247" s="5" t="str">
        <f>HYPERLINK("https://propertylookup.dupagecounty.gov/Datalets/Datalet.aspx?UseSearch=no&amp;mode=sales&amp;pin=0526307119","sales record")</f>
        <v>sales record</v>
      </c>
      <c r="AC6247" t="s">
        <v>3</v>
      </c>
      <c r="AD6247">
        <v>41.830992</v>
      </c>
      <c r="AE6247">
        <v>-88.063401</v>
      </c>
      <c r="AF6247" s="5" t="str">
        <f>HYPERLINK("https://www.google.com/maps/search/?api=1&amp;query=41.830992,-88.063401","map")</f>
        <v>map</v>
      </c>
    </row>
    <row r="6248" spans="1:32">
      <c r="A6248" t="s">
        <v>6298</v>
      </c>
      <c r="B6248" t="s">
        <v>13807</v>
      </c>
      <c r="C6248" t="s">
        <v>15383</v>
      </c>
      <c r="D6248" t="s">
        <v>16208</v>
      </c>
      <c r="E6248" t="s">
        <v>16218</v>
      </c>
      <c r="F6248" t="s">
        <v>16221</v>
      </c>
      <c r="G6248" t="s">
        <v>16230</v>
      </c>
      <c r="H6248" t="s">
        <v>16230</v>
      </c>
      <c r="I6248" t="s">
        <v>16357</v>
      </c>
      <c r="J6248" t="s">
        <v>16386</v>
      </c>
      <c r="K6248">
        <v>0.094</v>
      </c>
      <c r="L6248">
        <v>4096</v>
      </c>
      <c r="N6248" t="s">
        <v>16393</v>
      </c>
      <c r="O6248" s="4">
        <v>44068</v>
      </c>
      <c r="P6248" s="4">
        <v>146535</v>
      </c>
      <c r="Q6248" s="4">
        <v>190603</v>
      </c>
      <c r="R6248" s="4">
        <v>571809</v>
      </c>
      <c r="S6248" t="s">
        <v>22485</v>
      </c>
      <c r="X6248" t="s">
        <v>3</v>
      </c>
      <c r="AA6248" s="5" t="str">
        <f>HYPERLINK("https://www.zillow.com/homes/22W400-AUTUMN-BLAZE-DR-GLEN-ELLYN-IL-60137_rb/","check listing")</f>
        <v>check listing</v>
      </c>
      <c r="AB6248" s="5" t="str">
        <f>HYPERLINK("https://propertylookup.dupagecounty.gov/Datalets/Datalet.aspx?UseSearch=no&amp;mode=sales&amp;pin=0526307124","sales record")</f>
        <v>sales record</v>
      </c>
      <c r="AC6248" t="s">
        <v>3</v>
      </c>
      <c r="AD6248">
        <v>41.831036</v>
      </c>
      <c r="AE6248">
        <v>-88.062803</v>
      </c>
      <c r="AF6248" s="5" t="str">
        <f>HYPERLINK("https://www.google.com/maps/search/?api=1&amp;query=41.831036,-88.062803","map")</f>
        <v>map</v>
      </c>
    </row>
    <row r="6249" spans="1:32">
      <c r="A6249" t="s">
        <v>6299</v>
      </c>
      <c r="B6249" t="s">
        <v>13808</v>
      </c>
      <c r="C6249" t="s">
        <v>15383</v>
      </c>
      <c r="D6249" t="s">
        <v>16208</v>
      </c>
      <c r="E6249" t="s">
        <v>16218</v>
      </c>
      <c r="F6249" t="s">
        <v>16221</v>
      </c>
      <c r="G6249" t="s">
        <v>16230</v>
      </c>
      <c r="H6249" t="s">
        <v>16230</v>
      </c>
      <c r="I6249" t="s">
        <v>16357</v>
      </c>
      <c r="J6249" t="s">
        <v>16386</v>
      </c>
      <c r="K6249">
        <v>0.08599999999999999</v>
      </c>
      <c r="L6249">
        <v>3729</v>
      </c>
      <c r="N6249" t="s">
        <v>16393</v>
      </c>
      <c r="O6249" s="4">
        <v>44068</v>
      </c>
      <c r="P6249" s="4">
        <v>134798</v>
      </c>
      <c r="Q6249" s="4">
        <v>178866</v>
      </c>
      <c r="R6249" s="4">
        <v>536598</v>
      </c>
      <c r="S6249" t="s">
        <v>22486</v>
      </c>
      <c r="T6249" s="6">
        <v>43525</v>
      </c>
      <c r="U6249" s="4">
        <v>513658</v>
      </c>
      <c r="V6249" t="s">
        <v>16232</v>
      </c>
      <c r="W6249" t="s">
        <v>27195</v>
      </c>
      <c r="X6249" t="s">
        <v>3</v>
      </c>
      <c r="AA6249" s="5" t="str">
        <f>HYPERLINK("https://www.zillow.com/homes/22W421-CRIMSON-KING-LN-GLEN-ELLYN-IL-60137_rb/","check listing")</f>
        <v>check listing</v>
      </c>
      <c r="AB6249" s="5" t="str">
        <f>HYPERLINK("https://propertylookup.dupagecounty.gov/Datalets/Datalet.aspx?UseSearch=no&amp;mode=sales&amp;pin=0526307118","sales record")</f>
        <v>sales record</v>
      </c>
      <c r="AC6249" t="s">
        <v>3</v>
      </c>
      <c r="AD6249">
        <v>41.831371</v>
      </c>
      <c r="AE6249">
        <v>-88.063348</v>
      </c>
      <c r="AF6249" s="5" t="str">
        <f>HYPERLINK("https://www.google.com/maps/search/?api=1&amp;query=41.831371,-88.063348","map")</f>
        <v>map</v>
      </c>
    </row>
    <row r="6250" spans="1:32">
      <c r="A6250" t="s">
        <v>6300</v>
      </c>
      <c r="B6250" t="s">
        <v>13809</v>
      </c>
      <c r="C6250" t="s">
        <v>15997</v>
      </c>
      <c r="D6250" t="s">
        <v>16208</v>
      </c>
      <c r="E6250" t="s">
        <v>16218</v>
      </c>
      <c r="F6250" t="s">
        <v>16221</v>
      </c>
      <c r="G6250" t="s">
        <v>16230</v>
      </c>
      <c r="H6250" t="s">
        <v>16230</v>
      </c>
      <c r="I6250" t="s">
        <v>16357</v>
      </c>
      <c r="J6250" t="s">
        <v>16386</v>
      </c>
      <c r="K6250">
        <v>0.076</v>
      </c>
      <c r="L6250">
        <v>3313</v>
      </c>
      <c r="N6250" t="s">
        <v>16393</v>
      </c>
      <c r="O6250" s="4">
        <v>44068</v>
      </c>
      <c r="P6250" s="4">
        <v>138074</v>
      </c>
      <c r="Q6250" s="4">
        <v>182142</v>
      </c>
      <c r="R6250" s="4">
        <v>546426</v>
      </c>
      <c r="S6250" t="s">
        <v>22487</v>
      </c>
      <c r="T6250" s="6">
        <v>43800</v>
      </c>
      <c r="U6250" s="4">
        <v>624990</v>
      </c>
      <c r="V6250" t="s">
        <v>16232</v>
      </c>
      <c r="W6250" t="s">
        <v>27196</v>
      </c>
      <c r="X6250" t="s">
        <v>3</v>
      </c>
      <c r="AA6250" s="5" t="str">
        <f>HYPERLINK("https://www.zillow.com/homes/2S744-CRIMSON-KING-LN-GLEN-ELLYN-IL-601377247_rb/","check listing")</f>
        <v>check listing</v>
      </c>
      <c r="AB6250" s="5" t="str">
        <f>HYPERLINK("https://propertylookup.dupagecounty.gov/Datalets/Datalet.aspx?UseSearch=no&amp;mode=sales&amp;pin=0526307113","sales record")</f>
        <v>sales record</v>
      </c>
      <c r="AC6250" t="s">
        <v>3</v>
      </c>
      <c r="AD6250">
        <v>41.830767</v>
      </c>
      <c r="AE6250">
        <v>-88.064243</v>
      </c>
      <c r="AF6250" s="5" t="str">
        <f>HYPERLINK("https://www.google.com/maps/search/?api=1&amp;query=41.830767,-88.064243","map")</f>
        <v>map</v>
      </c>
    </row>
    <row r="6251" spans="1:32">
      <c r="A6251" t="s">
        <v>6301</v>
      </c>
      <c r="B6251" t="s">
        <v>13810</v>
      </c>
      <c r="C6251" t="s">
        <v>15383</v>
      </c>
      <c r="D6251" t="s">
        <v>16208</v>
      </c>
      <c r="E6251" t="s">
        <v>16218</v>
      </c>
      <c r="F6251" t="s">
        <v>16221</v>
      </c>
      <c r="G6251" t="s">
        <v>16230</v>
      </c>
      <c r="H6251" t="s">
        <v>16230</v>
      </c>
      <c r="I6251" t="s">
        <v>16357</v>
      </c>
      <c r="J6251" t="s">
        <v>16386</v>
      </c>
      <c r="K6251">
        <v>0.073</v>
      </c>
      <c r="L6251">
        <v>3198</v>
      </c>
      <c r="N6251" t="s">
        <v>16393</v>
      </c>
      <c r="O6251" s="4">
        <v>44068</v>
      </c>
      <c r="P6251" s="4">
        <v>134798</v>
      </c>
      <c r="Q6251" s="4">
        <v>178866</v>
      </c>
      <c r="R6251" s="4">
        <v>536598</v>
      </c>
      <c r="S6251" t="s">
        <v>22488</v>
      </c>
      <c r="T6251" s="6">
        <v>43556</v>
      </c>
      <c r="U6251" s="4">
        <v>478811</v>
      </c>
      <c r="V6251" t="s">
        <v>16232</v>
      </c>
      <c r="W6251" t="s">
        <v>22488</v>
      </c>
      <c r="X6251" t="s">
        <v>3</v>
      </c>
      <c r="AA6251" s="5" t="str">
        <f>HYPERLINK("https://www.zillow.com/homes/22W439-CRIMSON-KING-LN-GLEN-ELLYN-IL-60137_rb/","check listing")</f>
        <v>check listing</v>
      </c>
      <c r="AB6251" s="5" t="str">
        <f>HYPERLINK("https://propertylookup.dupagecounty.gov/Datalets/Datalet.aspx?UseSearch=no&amp;mode=sales&amp;pin=0526307114","sales record")</f>
        <v>sales record</v>
      </c>
      <c r="AC6251" t="s">
        <v>3</v>
      </c>
      <c r="AD6251">
        <v>41.831503</v>
      </c>
      <c r="AE6251">
        <v>-88.063793</v>
      </c>
      <c r="AF6251" s="5" t="str">
        <f>HYPERLINK("https://www.google.com/maps/search/?api=1&amp;query=41.831503,-88.063793","map")</f>
        <v>map</v>
      </c>
    </row>
    <row r="6252" spans="1:32">
      <c r="A6252" t="s">
        <v>6302</v>
      </c>
      <c r="B6252" t="s">
        <v>13811</v>
      </c>
      <c r="C6252" t="s">
        <v>15383</v>
      </c>
      <c r="D6252" t="s">
        <v>16208</v>
      </c>
      <c r="E6252" t="s">
        <v>16218</v>
      </c>
      <c r="F6252" t="s">
        <v>16221</v>
      </c>
      <c r="G6252" t="s">
        <v>16230</v>
      </c>
      <c r="H6252" t="s">
        <v>16230</v>
      </c>
      <c r="I6252" t="s">
        <v>16357</v>
      </c>
      <c r="J6252" t="s">
        <v>16386</v>
      </c>
      <c r="K6252">
        <v>0.07099999999999999</v>
      </c>
      <c r="L6252">
        <v>3103</v>
      </c>
      <c r="N6252" t="s">
        <v>16393</v>
      </c>
      <c r="O6252" s="4">
        <v>44068</v>
      </c>
      <c r="P6252" s="4">
        <v>130462</v>
      </c>
      <c r="Q6252" s="4">
        <v>174530</v>
      </c>
      <c r="R6252" s="4">
        <v>523590</v>
      </c>
      <c r="S6252" t="s">
        <v>22489</v>
      </c>
      <c r="T6252" s="6">
        <v>44761</v>
      </c>
      <c r="U6252" s="4">
        <v>540000</v>
      </c>
      <c r="V6252" t="s">
        <v>23739</v>
      </c>
      <c r="W6252" t="s">
        <v>27197</v>
      </c>
      <c r="X6252" t="s">
        <v>3</v>
      </c>
      <c r="AA6252" s="5" t="str">
        <f>HYPERLINK("https://www.zillow.com/homes/2S724-CRIMSON-KING-LN-GLEN-ELLYN-IL-60137_rb/","check listing")</f>
        <v>check listing</v>
      </c>
      <c r="AB6252" s="5" t="str">
        <f>HYPERLINK("https://propertylookup.dupagecounty.gov/Datalets/Datalet.aspx?UseSearch=no&amp;mode=sales&amp;pin=0526307107","sales record")</f>
        <v>sales record</v>
      </c>
      <c r="AC6252" t="s">
        <v>3</v>
      </c>
      <c r="AD6252">
        <v>41.831173</v>
      </c>
      <c r="AE6252">
        <v>-88.064297</v>
      </c>
      <c r="AF6252" s="5" t="str">
        <f>HYPERLINK("https://www.google.com/maps/search/?api=1&amp;query=41.831173,-88.064297","map")</f>
        <v>map</v>
      </c>
    </row>
    <row r="6253" spans="1:32">
      <c r="A6253" t="s">
        <v>6303</v>
      </c>
      <c r="B6253" t="s">
        <v>13805</v>
      </c>
      <c r="C6253" t="s">
        <v>15996</v>
      </c>
      <c r="D6253" t="s">
        <v>16208</v>
      </c>
      <c r="E6253" t="s">
        <v>16217</v>
      </c>
      <c r="F6253" t="s">
        <v>16221</v>
      </c>
      <c r="G6253" t="s">
        <v>16230</v>
      </c>
      <c r="H6253" t="s">
        <v>16230</v>
      </c>
      <c r="I6253" t="s">
        <v>16357</v>
      </c>
      <c r="J6253" t="s">
        <v>16386</v>
      </c>
      <c r="K6253">
        <v>1.772</v>
      </c>
      <c r="L6253">
        <v>77173</v>
      </c>
      <c r="M6253">
        <v>2535</v>
      </c>
      <c r="N6253" t="s">
        <v>16393</v>
      </c>
      <c r="O6253" s="4">
        <v>103266</v>
      </c>
      <c r="P6253" s="4">
        <v>0</v>
      </c>
      <c r="Q6253" s="4">
        <v>103266</v>
      </c>
      <c r="R6253" s="4">
        <v>309798</v>
      </c>
      <c r="S6253" t="s">
        <v>22483</v>
      </c>
      <c r="T6253" s="6">
        <v>43344</v>
      </c>
      <c r="U6253" s="4">
        <v>387500</v>
      </c>
      <c r="V6253" t="s">
        <v>23739</v>
      </c>
      <c r="W6253" t="s">
        <v>22483</v>
      </c>
      <c r="X6253" t="s">
        <v>3</v>
      </c>
      <c r="AA6253" s="5" t="str">
        <f>HYPERLINK("https://www.zillow.com/homes/16W415-99TH-ST-BURR-RIDGE-IL-60527_rb/","check listing")</f>
        <v>check listing</v>
      </c>
      <c r="AB6253" s="5" t="str">
        <f>HYPERLINK("https://propertylookup.dupagecounty.gov/Datalets/Datalet.aspx?UseSearch=no&amp;mode=sales&amp;pin=1011301001","sales record")</f>
        <v>sales record</v>
      </c>
      <c r="AC6253" t="s">
        <v>11</v>
      </c>
      <c r="AD6253">
        <v>41.707994</v>
      </c>
      <c r="AE6253">
        <v>-87.943652</v>
      </c>
      <c r="AF6253" s="5" t="str">
        <f>HYPERLINK("https://www.google.com/maps/search/?api=1&amp;query=41.707994,-87.943652","map")</f>
        <v>map</v>
      </c>
    </row>
    <row r="6254" spans="1:32">
      <c r="A6254" t="s">
        <v>6304</v>
      </c>
      <c r="B6254" t="s">
        <v>13812</v>
      </c>
      <c r="C6254" t="s">
        <v>15996</v>
      </c>
      <c r="D6254" t="s">
        <v>16208</v>
      </c>
      <c r="E6254" t="s">
        <v>16217</v>
      </c>
      <c r="F6254" t="s">
        <v>16221</v>
      </c>
      <c r="G6254" t="s">
        <v>16230</v>
      </c>
      <c r="H6254" t="s">
        <v>16230</v>
      </c>
      <c r="I6254" t="s">
        <v>16357</v>
      </c>
      <c r="J6254" t="s">
        <v>16386</v>
      </c>
      <c r="K6254">
        <v>1.475</v>
      </c>
      <c r="L6254">
        <v>64262</v>
      </c>
      <c r="N6254" t="s">
        <v>16393</v>
      </c>
      <c r="O6254" s="4">
        <v>137609</v>
      </c>
      <c r="P6254" s="4">
        <v>0</v>
      </c>
      <c r="Q6254" s="4">
        <v>137609</v>
      </c>
      <c r="R6254" s="4">
        <v>412827</v>
      </c>
      <c r="S6254" t="s">
        <v>22490</v>
      </c>
      <c r="X6254" t="s">
        <v>3</v>
      </c>
      <c r="AA6254" s="5" t="str">
        <f>HYPERLINK("https://www.zillow.com/homes/8601-MEADOWBROOK-DR-BURR-RIDGE-IL-60527_rb/","check listing")</f>
        <v>check listing</v>
      </c>
      <c r="AB6254" s="5" t="str">
        <f>HYPERLINK("https://propertylookup.dupagecounty.gov/Datalets/Datalet.aspx?UseSearch=no&amp;mode=sales&amp;pin=0935401002","sales record")</f>
        <v>sales record</v>
      </c>
      <c r="AC6254" t="s">
        <v>3</v>
      </c>
      <c r="AD6254">
        <v>41.731682</v>
      </c>
      <c r="AE6254">
        <v>-87.94263599999999</v>
      </c>
      <c r="AF6254" s="5" t="str">
        <f>HYPERLINK("https://www.google.com/maps/search/?api=1&amp;query=41.731682,-87.942636","map")</f>
        <v>map</v>
      </c>
    </row>
    <row r="6255" spans="1:32">
      <c r="A6255" t="s">
        <v>6305</v>
      </c>
      <c r="B6255" t="s">
        <v>13812</v>
      </c>
      <c r="C6255" t="s">
        <v>15996</v>
      </c>
      <c r="D6255" t="s">
        <v>16208</v>
      </c>
      <c r="E6255" t="s">
        <v>16217</v>
      </c>
      <c r="F6255" t="s">
        <v>16221</v>
      </c>
      <c r="G6255" t="s">
        <v>16230</v>
      </c>
      <c r="H6255" t="s">
        <v>16230</v>
      </c>
      <c r="I6255" t="s">
        <v>16357</v>
      </c>
      <c r="J6255" t="s">
        <v>16386</v>
      </c>
      <c r="K6255">
        <v>1.407</v>
      </c>
      <c r="L6255">
        <v>61287</v>
      </c>
      <c r="N6255" t="s">
        <v>16393</v>
      </c>
      <c r="O6255" s="4">
        <v>151553</v>
      </c>
      <c r="P6255" s="4">
        <v>0</v>
      </c>
      <c r="Q6255" s="4">
        <v>151553</v>
      </c>
      <c r="R6255" s="4">
        <v>454659</v>
      </c>
      <c r="S6255" t="s">
        <v>22490</v>
      </c>
      <c r="T6255" s="6">
        <v>43374</v>
      </c>
      <c r="U6255" s="4">
        <v>900000</v>
      </c>
      <c r="V6255" t="s">
        <v>23740</v>
      </c>
      <c r="W6255" t="s">
        <v>27198</v>
      </c>
      <c r="X6255" t="s">
        <v>3</v>
      </c>
      <c r="AA6255" s="5" t="str">
        <f>HYPERLINK("https://www.zillow.com/homes/8601-MEADOWBROOK-DR-BURR-RIDGE-IL-60527_rb/","check listing")</f>
        <v>check listing</v>
      </c>
      <c r="AB6255" s="5" t="str">
        <f>HYPERLINK("https://propertylookup.dupagecounty.gov/Datalets/Datalet.aspx?UseSearch=no&amp;mode=sales&amp;pin=0935401001","sales record")</f>
        <v>sales record</v>
      </c>
      <c r="AC6255" t="s">
        <v>3</v>
      </c>
      <c r="AD6255">
        <v>41.731459</v>
      </c>
      <c r="AE6255">
        <v>-87.943326</v>
      </c>
      <c r="AF6255" s="5" t="str">
        <f>HYPERLINK("https://www.google.com/maps/search/?api=1&amp;query=41.731459,-87.943326","map")</f>
        <v>map</v>
      </c>
    </row>
    <row r="6256" spans="1:32">
      <c r="A6256" t="s">
        <v>6306</v>
      </c>
      <c r="B6256" t="s">
        <v>13805</v>
      </c>
      <c r="C6256" t="s">
        <v>15996</v>
      </c>
      <c r="D6256" t="s">
        <v>16208</v>
      </c>
      <c r="E6256" t="s">
        <v>16217</v>
      </c>
      <c r="F6256" t="s">
        <v>16221</v>
      </c>
      <c r="G6256" t="s">
        <v>16230</v>
      </c>
      <c r="H6256" t="s">
        <v>16230</v>
      </c>
      <c r="I6256" t="s">
        <v>16357</v>
      </c>
      <c r="J6256" t="s">
        <v>16386</v>
      </c>
      <c r="K6256">
        <v>0.907</v>
      </c>
      <c r="L6256">
        <v>39510</v>
      </c>
      <c r="N6256" t="s">
        <v>16393</v>
      </c>
      <c r="O6256" s="4">
        <v>33616</v>
      </c>
      <c r="P6256" s="4">
        <v>0</v>
      </c>
      <c r="Q6256" s="4">
        <v>33616</v>
      </c>
      <c r="R6256" s="4">
        <v>100848</v>
      </c>
      <c r="S6256" t="s">
        <v>22483</v>
      </c>
      <c r="X6256" t="s">
        <v>3</v>
      </c>
      <c r="AA6256" s="5" t="str">
        <f>HYPERLINK("https://www.zillow.com/homes/16W415-99TH-ST-BURR-RIDGE-IL-60527_rb/","check listing")</f>
        <v>check listing</v>
      </c>
      <c r="AB6256" s="5" t="str">
        <f>HYPERLINK("https://propertylookup.dupagecounty.gov/Datalets/Datalet.aspx?UseSearch=no&amp;mode=sales&amp;pin=1011400004","sales record")</f>
        <v>sales record</v>
      </c>
      <c r="AC6256" t="s">
        <v>27872</v>
      </c>
      <c r="AD6256">
        <v>41.707932</v>
      </c>
      <c r="AE6256">
        <v>-87.943117</v>
      </c>
      <c r="AF6256" s="5" t="str">
        <f>HYPERLINK("https://www.google.com/maps/search/?api=1&amp;query=41.707932,-87.943117","map")</f>
        <v>map</v>
      </c>
    </row>
    <row r="6257" spans="1:32">
      <c r="A6257" t="s">
        <v>6307</v>
      </c>
      <c r="B6257" t="s">
        <v>13813</v>
      </c>
      <c r="C6257" t="s">
        <v>15201</v>
      </c>
      <c r="D6257" t="s">
        <v>16208</v>
      </c>
      <c r="E6257" t="s">
        <v>16217</v>
      </c>
      <c r="F6257" t="s">
        <v>16221</v>
      </c>
      <c r="G6257" t="s">
        <v>16230</v>
      </c>
      <c r="H6257" t="s">
        <v>16230</v>
      </c>
      <c r="I6257" t="s">
        <v>16357</v>
      </c>
      <c r="J6257" t="s">
        <v>16386</v>
      </c>
      <c r="K6257">
        <v>0.185</v>
      </c>
      <c r="L6257">
        <v>8042</v>
      </c>
      <c r="N6257" t="s">
        <v>16393</v>
      </c>
      <c r="O6257" s="4">
        <v>42760</v>
      </c>
      <c r="P6257" s="4">
        <v>0</v>
      </c>
      <c r="Q6257" s="4">
        <v>42760</v>
      </c>
      <c r="R6257" s="4">
        <v>128280</v>
      </c>
      <c r="S6257" t="s">
        <v>22491</v>
      </c>
      <c r="X6257" t="s">
        <v>3</v>
      </c>
      <c r="AA6257" s="5" t="str">
        <f>HYPERLINK("https://www.zillow.com/homes/NANTUCKET-DR-DARIEN-IL-60561_rb/","check listing")</f>
        <v>check listing</v>
      </c>
      <c r="AB6257" s="5" t="str">
        <f>HYPERLINK("https://propertylookup.dupagecounty.gov/Datalets/Datalet.aspx?UseSearch=no&amp;mode=sales&amp;pin=0934314003","sales record")</f>
        <v>sales record</v>
      </c>
      <c r="AC6257" t="s">
        <v>3</v>
      </c>
      <c r="AD6257">
        <v>41.736774</v>
      </c>
      <c r="AE6257">
        <v>-87.965052</v>
      </c>
      <c r="AF6257" s="5" t="str">
        <f>HYPERLINK("https://www.google.com/maps/search/?api=1&amp;query=41.736774,-87.965052","map")</f>
        <v>map</v>
      </c>
    </row>
    <row r="6258" spans="1:32">
      <c r="A6258" t="s">
        <v>6308</v>
      </c>
      <c r="B6258" t="s">
        <v>13813</v>
      </c>
      <c r="C6258" t="s">
        <v>15201</v>
      </c>
      <c r="D6258" t="s">
        <v>16208</v>
      </c>
      <c r="E6258" t="s">
        <v>16217</v>
      </c>
      <c r="F6258" t="s">
        <v>16221</v>
      </c>
      <c r="G6258" t="s">
        <v>16230</v>
      </c>
      <c r="H6258" t="s">
        <v>16230</v>
      </c>
      <c r="I6258" t="s">
        <v>16357</v>
      </c>
      <c r="J6258" t="s">
        <v>16386</v>
      </c>
      <c r="K6258">
        <v>0.185</v>
      </c>
      <c r="L6258">
        <v>8041</v>
      </c>
      <c r="N6258" t="s">
        <v>16393</v>
      </c>
      <c r="O6258" s="4">
        <v>42572</v>
      </c>
      <c r="P6258" s="4">
        <v>0</v>
      </c>
      <c r="Q6258" s="4">
        <v>42572</v>
      </c>
      <c r="R6258" s="4">
        <v>127716</v>
      </c>
      <c r="S6258" t="s">
        <v>22491</v>
      </c>
      <c r="X6258" t="s">
        <v>3</v>
      </c>
      <c r="AA6258" s="5" t="str">
        <f>HYPERLINK("https://www.zillow.com/homes/NANTUCKET-DR-DARIEN-IL-60561_rb/","check listing")</f>
        <v>check listing</v>
      </c>
      <c r="AB6258" s="5" t="str">
        <f>HYPERLINK("https://propertylookup.dupagecounty.gov/Datalets/Datalet.aspx?UseSearch=no&amp;mode=sales&amp;pin=0934314004","sales record")</f>
        <v>sales record</v>
      </c>
      <c r="AC6258" t="s">
        <v>3</v>
      </c>
      <c r="AD6258">
        <v>41.736413</v>
      </c>
      <c r="AE6258">
        <v>-87.965041</v>
      </c>
      <c r="AF6258" s="5" t="str">
        <f>HYPERLINK("https://www.google.com/maps/search/?api=1&amp;query=41.736413,-87.965041","map")</f>
        <v>map</v>
      </c>
    </row>
    <row r="6259" spans="1:32">
      <c r="A6259" t="s">
        <v>6309</v>
      </c>
      <c r="B6259" t="s">
        <v>13813</v>
      </c>
      <c r="C6259" t="s">
        <v>15201</v>
      </c>
      <c r="D6259" t="s">
        <v>16208</v>
      </c>
      <c r="E6259" t="s">
        <v>16217</v>
      </c>
      <c r="F6259" t="s">
        <v>16221</v>
      </c>
      <c r="G6259" t="s">
        <v>16230</v>
      </c>
      <c r="H6259" t="s">
        <v>16230</v>
      </c>
      <c r="I6259" t="s">
        <v>16357</v>
      </c>
      <c r="J6259" t="s">
        <v>16386</v>
      </c>
      <c r="K6259">
        <v>0.117</v>
      </c>
      <c r="L6259">
        <v>5099</v>
      </c>
      <c r="N6259" t="s">
        <v>16393</v>
      </c>
      <c r="O6259" s="4">
        <v>27007</v>
      </c>
      <c r="P6259" s="4">
        <v>0</v>
      </c>
      <c r="Q6259" s="4">
        <v>27007</v>
      </c>
      <c r="R6259" s="4">
        <v>81021</v>
      </c>
      <c r="S6259" t="s">
        <v>22491</v>
      </c>
      <c r="T6259" s="6">
        <v>41456</v>
      </c>
      <c r="U6259" s="4">
        <v>50000</v>
      </c>
      <c r="V6259" t="s">
        <v>23739</v>
      </c>
      <c r="W6259" t="s">
        <v>27199</v>
      </c>
      <c r="X6259" t="s">
        <v>3</v>
      </c>
      <c r="AA6259" s="5" t="str">
        <f>HYPERLINK("https://www.zillow.com/homes/NANTUCKET-DR-DARIEN-IL-60561_rb/","check listing")</f>
        <v>check listing</v>
      </c>
      <c r="AB6259" s="5" t="str">
        <f>HYPERLINK("https://propertylookup.dupagecounty.gov/Datalets/Datalet.aspx?UseSearch=no&amp;mode=sales&amp;pin=0934314002","sales record")</f>
        <v>sales record</v>
      </c>
      <c r="AC6259" t="s">
        <v>3</v>
      </c>
      <c r="AD6259">
        <v>41.737071</v>
      </c>
      <c r="AE6259">
        <v>-87.96506100000001</v>
      </c>
      <c r="AF6259" s="5" t="str">
        <f>HYPERLINK("https://www.google.com/maps/search/?api=1&amp;query=41.737071,-87.965061","map")</f>
        <v>map</v>
      </c>
    </row>
    <row r="6260" spans="1:32">
      <c r="A6260" t="s">
        <v>6310</v>
      </c>
      <c r="B6260" t="s">
        <v>13813</v>
      </c>
      <c r="C6260" t="s">
        <v>15201</v>
      </c>
      <c r="D6260" t="s">
        <v>16208</v>
      </c>
      <c r="E6260" t="s">
        <v>16217</v>
      </c>
      <c r="F6260" t="s">
        <v>16221</v>
      </c>
      <c r="G6260" t="s">
        <v>16230</v>
      </c>
      <c r="H6260" t="s">
        <v>16230</v>
      </c>
      <c r="I6260" t="s">
        <v>16357</v>
      </c>
      <c r="J6260" t="s">
        <v>16386</v>
      </c>
      <c r="K6260">
        <v>0.114</v>
      </c>
      <c r="L6260">
        <v>4966</v>
      </c>
      <c r="N6260" t="s">
        <v>16393</v>
      </c>
      <c r="O6260" s="4">
        <v>25376</v>
      </c>
      <c r="P6260" s="4">
        <v>0</v>
      </c>
      <c r="Q6260" s="4">
        <v>25376</v>
      </c>
      <c r="R6260" s="4">
        <v>76128</v>
      </c>
      <c r="S6260" t="s">
        <v>22491</v>
      </c>
      <c r="X6260" t="s">
        <v>3</v>
      </c>
      <c r="AA6260" s="5" t="str">
        <f>HYPERLINK("https://www.zillow.com/homes/NANTUCKET-DR-DARIEN-IL-60561_rb/","check listing")</f>
        <v>check listing</v>
      </c>
      <c r="AB6260" s="5" t="str">
        <f>HYPERLINK("https://propertylookup.dupagecounty.gov/Datalets/Datalet.aspx?UseSearch=no&amp;mode=sales&amp;pin=0934314005","sales record")</f>
        <v>sales record</v>
      </c>
      <c r="AC6260" t="s">
        <v>3</v>
      </c>
      <c r="AD6260">
        <v>41.735351</v>
      </c>
      <c r="AE6260">
        <v>-87.965006</v>
      </c>
      <c r="AF6260" s="5" t="str">
        <f>HYPERLINK("https://www.google.com/maps/search/?api=1&amp;query=41.735351,-87.965006","map")</f>
        <v>map</v>
      </c>
    </row>
    <row r="6261" spans="1:32">
      <c r="A6261" t="s">
        <v>6311</v>
      </c>
      <c r="B6261" t="s">
        <v>13814</v>
      </c>
      <c r="C6261" t="s">
        <v>15998</v>
      </c>
      <c r="D6261" t="s">
        <v>16209</v>
      </c>
      <c r="E6261" t="s">
        <v>16218</v>
      </c>
      <c r="F6261" t="s">
        <v>16222</v>
      </c>
      <c r="G6261" t="s">
        <v>16280</v>
      </c>
      <c r="H6261" t="s">
        <v>16280</v>
      </c>
      <c r="I6261" t="s">
        <v>16358</v>
      </c>
      <c r="J6261" t="s">
        <v>16386</v>
      </c>
      <c r="K6261">
        <v>0.214</v>
      </c>
      <c r="L6261">
        <v>9329</v>
      </c>
      <c r="M6261">
        <v>2465</v>
      </c>
      <c r="N6261" t="s">
        <v>16393</v>
      </c>
      <c r="O6261" s="4">
        <v>36508</v>
      </c>
      <c r="P6261" s="4">
        <v>89964</v>
      </c>
      <c r="Q6261" s="4">
        <v>126472</v>
      </c>
      <c r="R6261" s="4">
        <v>379416</v>
      </c>
      <c r="S6261" t="s">
        <v>22492</v>
      </c>
      <c r="T6261" s="6">
        <v>36678</v>
      </c>
      <c r="U6261" s="4">
        <v>160000</v>
      </c>
      <c r="V6261" t="s">
        <v>23739</v>
      </c>
      <c r="W6261" t="s">
        <v>27200</v>
      </c>
      <c r="X6261" t="s">
        <v>3</v>
      </c>
      <c r="AA6261" s="5" t="str">
        <f>HYPERLINK("https://www.zillow.com/homes/309-S-PRINCETON-AVE-VILLA-PARK-IL-60181_rb/","check listing")</f>
        <v>check listing</v>
      </c>
      <c r="AB6261" s="5" t="str">
        <f>HYPERLINK("https://propertylookup.dupagecounty.gov/Datalets/Datalet.aspx?UseSearch=no&amp;mode=sales&amp;pin=0609218002","sales record")</f>
        <v>sales record</v>
      </c>
      <c r="AC6261" t="s">
        <v>27873</v>
      </c>
      <c r="AD6261">
        <v>41.884321</v>
      </c>
      <c r="AE6261">
        <v>-87.98014000000001</v>
      </c>
      <c r="AF6261" s="5" t="str">
        <f>HYPERLINK("https://www.google.com/maps/search/?api=1&amp;query=41.884321,-87.98014","map")</f>
        <v>map</v>
      </c>
    </row>
    <row r="6262" spans="1:32">
      <c r="A6262" t="s">
        <v>6312</v>
      </c>
      <c r="B6262" t="s">
        <v>13815</v>
      </c>
      <c r="C6262" t="s">
        <v>15999</v>
      </c>
      <c r="D6262" t="s">
        <v>16209</v>
      </c>
      <c r="E6262" t="s">
        <v>16218</v>
      </c>
      <c r="F6262" t="s">
        <v>16222</v>
      </c>
      <c r="G6262" t="s">
        <v>16280</v>
      </c>
      <c r="H6262" t="s">
        <v>16280</v>
      </c>
      <c r="I6262" t="s">
        <v>16358</v>
      </c>
      <c r="J6262" t="s">
        <v>16386</v>
      </c>
      <c r="K6262">
        <v>0.205</v>
      </c>
      <c r="L6262">
        <v>8936</v>
      </c>
      <c r="M6262">
        <v>1940</v>
      </c>
      <c r="N6262" t="s">
        <v>16393</v>
      </c>
      <c r="O6262" s="4">
        <v>29836</v>
      </c>
      <c r="P6262" s="4">
        <v>150235</v>
      </c>
      <c r="Q6262" s="4">
        <v>180071</v>
      </c>
      <c r="R6262" s="4">
        <v>540213</v>
      </c>
      <c r="S6262" t="s">
        <v>22493</v>
      </c>
      <c r="T6262" s="6">
        <v>44834</v>
      </c>
      <c r="U6262" s="4">
        <v>750000</v>
      </c>
      <c r="V6262" t="s">
        <v>23741</v>
      </c>
      <c r="W6262" t="s">
        <v>27201</v>
      </c>
      <c r="X6262" t="s">
        <v>3</v>
      </c>
      <c r="AA6262" s="5" t="str">
        <f>HYPERLINK("https://www.zillow.com/homes/10-S-CHARLES-AVE-VILLA-PARK-IL-601812618_rb/","check listing")</f>
        <v>check listing</v>
      </c>
      <c r="AB6262" s="5" t="str">
        <f>HYPERLINK("https://propertylookup.dupagecounty.gov/Datalets/Datalet.aspx?UseSearch=no&amp;mode=sales&amp;pin=0610101016","sales record")</f>
        <v>sales record</v>
      </c>
      <c r="AC6262" t="s">
        <v>3</v>
      </c>
      <c r="AD6262">
        <v>41.889432</v>
      </c>
      <c r="AE6262">
        <v>-87.975487</v>
      </c>
      <c r="AF6262" s="5" t="str">
        <f>HYPERLINK("https://www.google.com/maps/search/?api=1&amp;query=41.889432,-87.975487","map")</f>
        <v>map</v>
      </c>
    </row>
    <row r="6263" spans="1:32">
      <c r="A6263" t="s">
        <v>6313</v>
      </c>
      <c r="B6263" t="s">
        <v>13816</v>
      </c>
      <c r="C6263" t="s">
        <v>15998</v>
      </c>
      <c r="D6263" t="s">
        <v>16209</v>
      </c>
      <c r="E6263" t="s">
        <v>16218</v>
      </c>
      <c r="F6263" t="s">
        <v>16222</v>
      </c>
      <c r="G6263" t="s">
        <v>16280</v>
      </c>
      <c r="H6263" t="s">
        <v>16280</v>
      </c>
      <c r="I6263" t="s">
        <v>16358</v>
      </c>
      <c r="J6263" t="s">
        <v>16386</v>
      </c>
      <c r="K6263">
        <v>0.148</v>
      </c>
      <c r="L6263">
        <v>6466</v>
      </c>
      <c r="M6263">
        <v>1009</v>
      </c>
      <c r="N6263" t="s">
        <v>16393</v>
      </c>
      <c r="O6263" s="4">
        <v>25288</v>
      </c>
      <c r="P6263" s="4">
        <v>65540</v>
      </c>
      <c r="Q6263" s="4">
        <v>90828</v>
      </c>
      <c r="R6263" s="4">
        <v>272484</v>
      </c>
      <c r="S6263" t="s">
        <v>22494</v>
      </c>
      <c r="T6263" s="6">
        <v>45359</v>
      </c>
      <c r="U6263" s="4">
        <v>200000</v>
      </c>
      <c r="W6263" t="s">
        <v>22494</v>
      </c>
      <c r="X6263" t="s">
        <v>3</v>
      </c>
      <c r="AA6263" s="5" t="str">
        <f>HYPERLINK("https://www.zillow.com/homes/11-S-MICHIGAN-AVE-VILLA-PARK-IL-60181_rb/","check listing")</f>
        <v>check listing</v>
      </c>
      <c r="AB6263" s="5" t="str">
        <f>HYPERLINK("https://propertylookup.dupagecounty.gov/Datalets/Datalet.aspx?UseSearch=no&amp;mode=sales&amp;pin=0609201005","sales record")</f>
        <v>sales record</v>
      </c>
      <c r="AC6263" t="s">
        <v>3</v>
      </c>
      <c r="AD6263">
        <v>41.889079</v>
      </c>
      <c r="AE6263">
        <v>-87.98527</v>
      </c>
      <c r="AF6263" s="5" t="str">
        <f>HYPERLINK("https://www.google.com/maps/search/?api=1&amp;query=41.889079,-87.98527","map")</f>
        <v>map</v>
      </c>
    </row>
    <row r="6264" spans="1:32">
      <c r="A6264" t="s">
        <v>6314</v>
      </c>
      <c r="B6264" t="s">
        <v>13817</v>
      </c>
      <c r="C6264" t="s">
        <v>15998</v>
      </c>
      <c r="D6264" t="s">
        <v>16209</v>
      </c>
      <c r="E6264" t="s">
        <v>16218</v>
      </c>
      <c r="F6264" t="s">
        <v>16222</v>
      </c>
      <c r="G6264" t="s">
        <v>16280</v>
      </c>
      <c r="H6264" t="s">
        <v>16280</v>
      </c>
      <c r="I6264" t="s">
        <v>16358</v>
      </c>
      <c r="J6264" t="s">
        <v>16386</v>
      </c>
      <c r="K6264">
        <v>0.148</v>
      </c>
      <c r="L6264">
        <v>6464</v>
      </c>
      <c r="M6264">
        <v>1003</v>
      </c>
      <c r="N6264" t="s">
        <v>16393</v>
      </c>
      <c r="O6264" s="4">
        <v>25288</v>
      </c>
      <c r="P6264" s="4">
        <v>64106</v>
      </c>
      <c r="Q6264" s="4">
        <v>89394</v>
      </c>
      <c r="R6264" s="4">
        <v>268182</v>
      </c>
      <c r="S6264" t="s">
        <v>22495</v>
      </c>
      <c r="T6264" s="6">
        <v>42186</v>
      </c>
      <c r="U6264" s="4">
        <v>135000</v>
      </c>
      <c r="V6264" t="s">
        <v>23740</v>
      </c>
      <c r="W6264" t="s">
        <v>27202</v>
      </c>
      <c r="X6264" t="s">
        <v>3</v>
      </c>
      <c r="AA6264" s="5" t="str">
        <f>HYPERLINK("https://www.zillow.com/homes/15-S-MICHIGAN-AVE-VILLA-PARK-IL-60181_rb/","check listing")</f>
        <v>check listing</v>
      </c>
      <c r="AB6264" s="5" t="str">
        <f>HYPERLINK("https://propertylookup.dupagecounty.gov/Datalets/Datalet.aspx?UseSearch=no&amp;mode=sales&amp;pin=0609201006","sales record")</f>
        <v>sales record</v>
      </c>
      <c r="AC6264" t="s">
        <v>3</v>
      </c>
      <c r="AD6264">
        <v>41.888941</v>
      </c>
      <c r="AE6264">
        <v>-87.985265</v>
      </c>
      <c r="AF6264" s="5" t="str">
        <f>HYPERLINK("https://www.google.com/maps/search/?api=1&amp;query=41.888941,-87.985265","map")</f>
        <v>map</v>
      </c>
    </row>
    <row r="6265" spans="1:32">
      <c r="A6265" t="s">
        <v>6315</v>
      </c>
      <c r="B6265" t="s">
        <v>13818</v>
      </c>
      <c r="C6265" t="s">
        <v>15998</v>
      </c>
      <c r="D6265" t="s">
        <v>16209</v>
      </c>
      <c r="E6265" t="s">
        <v>16217</v>
      </c>
      <c r="F6265" t="s">
        <v>16222</v>
      </c>
      <c r="G6265" t="s">
        <v>16280</v>
      </c>
      <c r="H6265" t="s">
        <v>16280</v>
      </c>
      <c r="I6265" t="s">
        <v>16358</v>
      </c>
      <c r="J6265" t="s">
        <v>16386</v>
      </c>
      <c r="K6265">
        <v>1.038</v>
      </c>
      <c r="L6265">
        <v>45230</v>
      </c>
      <c r="M6265">
        <v>1410</v>
      </c>
      <c r="N6265" t="s">
        <v>16392</v>
      </c>
      <c r="O6265" s="4">
        <v>123055</v>
      </c>
      <c r="P6265" s="4">
        <v>0</v>
      </c>
      <c r="Q6265" s="4">
        <v>123055</v>
      </c>
      <c r="R6265" s="4">
        <v>369165</v>
      </c>
      <c r="S6265" t="s">
        <v>22496</v>
      </c>
      <c r="T6265" s="6">
        <v>41730</v>
      </c>
      <c r="U6265" s="4">
        <v>200000</v>
      </c>
      <c r="V6265" t="s">
        <v>23740</v>
      </c>
      <c r="W6265" t="s">
        <v>27203</v>
      </c>
      <c r="X6265" t="s">
        <v>3</v>
      </c>
      <c r="AA6265" s="5" t="str">
        <f>HYPERLINK("https://www.zillow.com/homes/430-W-ST-CHARLES-RD-VILLA-PARK-IL-60181_rb/","check listing")</f>
        <v>check listing</v>
      </c>
      <c r="AB6265" s="5" t="str">
        <f>HYPERLINK("https://propertylookup.dupagecounty.gov/Datalets/Datalet.aspx?UseSearch=no&amp;mode=sales&amp;pin=0604323016","sales record")</f>
        <v>sales record</v>
      </c>
      <c r="AC6265" t="s">
        <v>11</v>
      </c>
      <c r="AD6265">
        <v>41.890291</v>
      </c>
      <c r="AE6265">
        <v>-87.99015</v>
      </c>
      <c r="AF6265" s="5" t="str">
        <f>HYPERLINK("https://www.google.com/maps/search/?api=1&amp;query=41.890291,-87.99015","map")</f>
        <v>map</v>
      </c>
    </row>
    <row r="6266" spans="1:32">
      <c r="A6266" t="s">
        <v>6316</v>
      </c>
      <c r="B6266" t="s">
        <v>13819</v>
      </c>
      <c r="C6266" t="s">
        <v>15998</v>
      </c>
      <c r="D6266" t="s">
        <v>16209</v>
      </c>
      <c r="E6266" t="s">
        <v>16217</v>
      </c>
      <c r="F6266" t="s">
        <v>16222</v>
      </c>
      <c r="G6266" t="s">
        <v>16281</v>
      </c>
      <c r="H6266" t="s">
        <v>16281</v>
      </c>
      <c r="I6266" t="s">
        <v>16359</v>
      </c>
      <c r="J6266" t="s">
        <v>16386</v>
      </c>
      <c r="K6266">
        <v>1.002</v>
      </c>
      <c r="L6266">
        <v>43626</v>
      </c>
      <c r="N6266" t="s">
        <v>16392</v>
      </c>
      <c r="O6266" s="4">
        <v>91049</v>
      </c>
      <c r="P6266" s="4">
        <v>0</v>
      </c>
      <c r="Q6266" s="4">
        <v>91049</v>
      </c>
      <c r="R6266" s="4">
        <v>273147</v>
      </c>
      <c r="S6266" t="s">
        <v>22497</v>
      </c>
      <c r="T6266" s="6">
        <v>44440</v>
      </c>
      <c r="U6266" s="4">
        <v>100</v>
      </c>
      <c r="V6266" t="s">
        <v>16232</v>
      </c>
      <c r="W6266" t="s">
        <v>27204</v>
      </c>
      <c r="X6266" t="s">
        <v>3</v>
      </c>
      <c r="AA6266" s="5" t="str">
        <f>HYPERLINK("https://www.zillow.com/homes/351-N-ARDMORE-AVE-VILLA-PARK-IL-60181_rb/","check listing")</f>
        <v>check listing</v>
      </c>
      <c r="AB6266" s="5" t="str">
        <f>HYPERLINK("https://propertylookup.dupagecounty.gov/Datalets/Datalet.aspx?UseSearch=no&amp;mode=sales&amp;pin=0603300006","sales record")</f>
        <v>sales record</v>
      </c>
      <c r="AC6266" t="s">
        <v>3</v>
      </c>
      <c r="AD6266">
        <v>41.896784</v>
      </c>
      <c r="AE6266">
        <v>-87.978292</v>
      </c>
      <c r="AF6266" s="5" t="str">
        <f>HYPERLINK("https://www.google.com/maps/search/?api=1&amp;query=41.896784,-87.978292","map")</f>
        <v>map</v>
      </c>
    </row>
    <row r="6267" spans="1:32">
      <c r="A6267" t="s">
        <v>6317</v>
      </c>
      <c r="B6267" t="s">
        <v>13820</v>
      </c>
      <c r="C6267" t="s">
        <v>15998</v>
      </c>
      <c r="D6267" t="s">
        <v>16209</v>
      </c>
      <c r="E6267" t="s">
        <v>16217</v>
      </c>
      <c r="F6267" t="s">
        <v>16222</v>
      </c>
      <c r="G6267" t="s">
        <v>16280</v>
      </c>
      <c r="H6267" t="s">
        <v>16280</v>
      </c>
      <c r="I6267" t="s">
        <v>16358</v>
      </c>
      <c r="J6267" t="s">
        <v>16386</v>
      </c>
      <c r="K6267">
        <v>0.647</v>
      </c>
      <c r="L6267">
        <v>28181</v>
      </c>
      <c r="N6267" t="s">
        <v>16392</v>
      </c>
      <c r="O6267" s="4">
        <v>105080</v>
      </c>
      <c r="P6267" s="4">
        <v>0</v>
      </c>
      <c r="Q6267" s="4">
        <v>105080</v>
      </c>
      <c r="R6267" s="4">
        <v>315240</v>
      </c>
      <c r="S6267" t="s">
        <v>22498</v>
      </c>
      <c r="X6267" t="s">
        <v>3</v>
      </c>
      <c r="AA6267" s="5" t="str">
        <f>HYPERLINK("https://www.zillow.com/homes/329-W-ST-CHARLES-RD-VILLA-PARK-IL-60181_rb/","check listing")</f>
        <v>check listing</v>
      </c>
      <c r="AB6267" s="5" t="str">
        <f>HYPERLINK("https://propertylookup.dupagecounty.gov/Datalets/Datalet.aspx?UseSearch=no&amp;mode=sales&amp;pin=0609200005","sales record")</f>
        <v>sales record</v>
      </c>
      <c r="AC6267" t="s">
        <v>27872</v>
      </c>
      <c r="AD6267">
        <v>41.889308</v>
      </c>
      <c r="AE6267">
        <v>-87.987751</v>
      </c>
      <c r="AF6267" s="5" t="str">
        <f>HYPERLINK("https://www.google.com/maps/search/?api=1&amp;query=41.889308,-87.987751","map")</f>
        <v>map</v>
      </c>
    </row>
    <row r="6268" spans="1:32">
      <c r="A6268" t="s">
        <v>6318</v>
      </c>
      <c r="B6268" t="s">
        <v>13821</v>
      </c>
      <c r="C6268" t="s">
        <v>16000</v>
      </c>
      <c r="D6268" t="s">
        <v>16209</v>
      </c>
      <c r="E6268" t="s">
        <v>16217</v>
      </c>
      <c r="F6268" t="s">
        <v>16222</v>
      </c>
      <c r="G6268" t="s">
        <v>16281</v>
      </c>
      <c r="H6268" t="s">
        <v>16281</v>
      </c>
      <c r="I6268" t="s">
        <v>16359</v>
      </c>
      <c r="J6268" t="s">
        <v>16386</v>
      </c>
      <c r="K6268">
        <v>0.528</v>
      </c>
      <c r="L6268">
        <v>23001</v>
      </c>
      <c r="M6268">
        <v>6321</v>
      </c>
      <c r="N6268" t="s">
        <v>16392</v>
      </c>
      <c r="O6268" s="4">
        <v>87281</v>
      </c>
      <c r="P6268" s="4">
        <v>0</v>
      </c>
      <c r="Q6268" s="4">
        <v>87281</v>
      </c>
      <c r="R6268" s="4">
        <v>261843</v>
      </c>
      <c r="S6268" t="s">
        <v>22497</v>
      </c>
      <c r="X6268" t="s">
        <v>3</v>
      </c>
      <c r="AA6268" s="5" t="str">
        <f>HYPERLINK("https://www.zillow.com/homes/401-N-ARDMORE-AVE-VILLA-PARK-IL-601812115_rb/","check listing")</f>
        <v>check listing</v>
      </c>
      <c r="AB6268" s="5" t="str">
        <f>HYPERLINK("https://propertylookup.dupagecounty.gov/Datalets/Datalet.aspx?UseSearch=no&amp;mode=sales&amp;pin=0603122016","sales record")</f>
        <v>sales record</v>
      </c>
      <c r="AC6268" t="s">
        <v>11</v>
      </c>
      <c r="AD6268">
        <v>41.89722</v>
      </c>
      <c r="AE6268">
        <v>-87.97854700000001</v>
      </c>
      <c r="AF6268" s="5" t="str">
        <f>HYPERLINK("https://www.google.com/maps/search/?api=1&amp;query=41.89722,-87.978547","map")</f>
        <v>map</v>
      </c>
    </row>
    <row r="6269" spans="1:32">
      <c r="A6269" t="s">
        <v>6319</v>
      </c>
      <c r="B6269" t="s">
        <v>13822</v>
      </c>
      <c r="C6269" t="s">
        <v>15998</v>
      </c>
      <c r="D6269" t="s">
        <v>16209</v>
      </c>
      <c r="E6269" t="s">
        <v>16217</v>
      </c>
      <c r="F6269" t="s">
        <v>16222</v>
      </c>
      <c r="G6269" t="s">
        <v>16282</v>
      </c>
      <c r="H6269" t="s">
        <v>16282</v>
      </c>
      <c r="I6269" t="s">
        <v>16360</v>
      </c>
      <c r="J6269" t="s">
        <v>16386</v>
      </c>
      <c r="K6269">
        <v>0.525</v>
      </c>
      <c r="L6269">
        <v>22851</v>
      </c>
      <c r="N6269" t="s">
        <v>16392</v>
      </c>
      <c r="O6269" s="4">
        <v>85999</v>
      </c>
      <c r="P6269" s="4">
        <v>0</v>
      </c>
      <c r="Q6269" s="4">
        <v>85999</v>
      </c>
      <c r="R6269" s="4">
        <v>257997</v>
      </c>
      <c r="S6269" t="s">
        <v>22499</v>
      </c>
      <c r="T6269" s="6">
        <v>30560</v>
      </c>
      <c r="U6269" s="4">
        <v>100000</v>
      </c>
      <c r="X6269" t="s">
        <v>3</v>
      </c>
      <c r="AA6269" s="5" t="str">
        <f>HYPERLINK("https://www.zillow.com/homes/10-S-VILLA-AVE-VILLA-PARK-IL-60181_rb/","check listing")</f>
        <v>check listing</v>
      </c>
      <c r="AB6269" s="5" t="str">
        <f>HYPERLINK("https://propertylookup.dupagecounty.gov/Datalets/Datalet.aspx?UseSearch=no&amp;mode=sales&amp;pin=0610105010","sales record")</f>
        <v>sales record</v>
      </c>
      <c r="AC6269" t="s">
        <v>27872</v>
      </c>
      <c r="AD6269">
        <v>41.889722</v>
      </c>
      <c r="AE6269">
        <v>-87.96996</v>
      </c>
      <c r="AF6269" s="5" t="str">
        <f>HYPERLINK("https://www.google.com/maps/search/?api=1&amp;query=41.889722,-87.96996","map")</f>
        <v>map</v>
      </c>
    </row>
    <row r="6270" spans="1:32">
      <c r="A6270" t="s">
        <v>6320</v>
      </c>
      <c r="B6270" t="s">
        <v>9951</v>
      </c>
      <c r="C6270" t="s">
        <v>15998</v>
      </c>
      <c r="D6270" t="s">
        <v>16209</v>
      </c>
      <c r="E6270" t="s">
        <v>16217</v>
      </c>
      <c r="F6270" t="s">
        <v>16222</v>
      </c>
      <c r="G6270" t="s">
        <v>16282</v>
      </c>
      <c r="H6270" t="s">
        <v>16282</v>
      </c>
      <c r="I6270" t="s">
        <v>16360</v>
      </c>
      <c r="J6270" t="s">
        <v>16386</v>
      </c>
      <c r="K6270">
        <v>0.476</v>
      </c>
      <c r="L6270">
        <v>20756</v>
      </c>
      <c r="N6270" t="s">
        <v>16392</v>
      </c>
      <c r="O6270" s="4">
        <v>80994</v>
      </c>
      <c r="P6270" s="4">
        <v>0</v>
      </c>
      <c r="Q6270" s="4">
        <v>80994</v>
      </c>
      <c r="R6270" s="4">
        <v>242982</v>
      </c>
      <c r="S6270" t="s">
        <v>22500</v>
      </c>
      <c r="X6270" t="s">
        <v>3</v>
      </c>
      <c r="AA6270" s="5" t="str">
        <f>HYPERLINK("https://www.zillow.com/homes/ST-CHARLES-RD-VILLA-PARK-IL-60181_rb/","check listing")</f>
        <v>check listing</v>
      </c>
      <c r="AB6270" s="5" t="str">
        <f>HYPERLINK("https://propertylookup.dupagecounty.gov/Datalets/Datalet.aspx?UseSearch=no&amp;mode=sales&amp;pin=0610100005","sales record")</f>
        <v>sales record</v>
      </c>
      <c r="AC6270" t="s">
        <v>3</v>
      </c>
      <c r="AD6270">
        <v>41.888274</v>
      </c>
      <c r="AE6270">
        <v>-87.977227</v>
      </c>
      <c r="AF6270" s="5" t="str">
        <f>HYPERLINK("https://www.google.com/maps/search/?api=1&amp;query=41.888274,-87.977227","map")</f>
        <v>map</v>
      </c>
    </row>
    <row r="6271" spans="1:32">
      <c r="A6271" t="s">
        <v>6321</v>
      </c>
      <c r="B6271" t="s">
        <v>13822</v>
      </c>
      <c r="C6271" t="s">
        <v>15998</v>
      </c>
      <c r="D6271" t="s">
        <v>16209</v>
      </c>
      <c r="E6271" t="s">
        <v>16217</v>
      </c>
      <c r="F6271" t="s">
        <v>16222</v>
      </c>
      <c r="G6271" t="s">
        <v>16282</v>
      </c>
      <c r="H6271" t="s">
        <v>16282</v>
      </c>
      <c r="I6271" t="s">
        <v>16360</v>
      </c>
      <c r="J6271" t="s">
        <v>16386</v>
      </c>
      <c r="K6271">
        <v>0.466</v>
      </c>
      <c r="L6271">
        <v>20309</v>
      </c>
      <c r="N6271" t="s">
        <v>16392</v>
      </c>
      <c r="O6271" s="4">
        <v>76422</v>
      </c>
      <c r="P6271" s="4">
        <v>0</v>
      </c>
      <c r="Q6271" s="4">
        <v>76422</v>
      </c>
      <c r="R6271" s="4">
        <v>229266</v>
      </c>
      <c r="S6271" t="s">
        <v>22499</v>
      </c>
      <c r="T6271" s="6">
        <v>42675</v>
      </c>
      <c r="U6271" s="4">
        <v>1512400</v>
      </c>
      <c r="V6271" t="s">
        <v>16232</v>
      </c>
      <c r="W6271" t="s">
        <v>27205</v>
      </c>
      <c r="X6271" t="s">
        <v>3</v>
      </c>
      <c r="AA6271" s="5" t="str">
        <f>HYPERLINK("https://www.zillow.com/homes/10-S-VILLA-AVE-VILLA-PARK-IL-60181_rb/","check listing")</f>
        <v>check listing</v>
      </c>
      <c r="AB6271" s="5" t="str">
        <f>HYPERLINK("https://propertylookup.dupagecounty.gov/Datalets/Datalet.aspx?UseSearch=no&amp;mode=sales&amp;pin=0610105002","sales record")</f>
        <v>sales record</v>
      </c>
      <c r="AC6271" t="s">
        <v>3</v>
      </c>
      <c r="AD6271">
        <v>41.889708</v>
      </c>
      <c r="AE6271">
        <v>-87.970427</v>
      </c>
      <c r="AF6271" s="5" t="str">
        <f>HYPERLINK("https://www.google.com/maps/search/?api=1&amp;query=41.889708,-87.970427","map")</f>
        <v>map</v>
      </c>
    </row>
    <row r="6272" spans="1:32">
      <c r="A6272" t="s">
        <v>6322</v>
      </c>
      <c r="B6272" t="s">
        <v>13823</v>
      </c>
      <c r="C6272" t="s">
        <v>15998</v>
      </c>
      <c r="D6272" t="s">
        <v>16209</v>
      </c>
      <c r="E6272" t="s">
        <v>16217</v>
      </c>
      <c r="F6272" t="s">
        <v>16222</v>
      </c>
      <c r="G6272" t="s">
        <v>16282</v>
      </c>
      <c r="H6272" t="s">
        <v>16282</v>
      </c>
      <c r="I6272" t="s">
        <v>16360</v>
      </c>
      <c r="J6272" t="s">
        <v>16386</v>
      </c>
      <c r="K6272">
        <v>0.46</v>
      </c>
      <c r="L6272">
        <v>20047</v>
      </c>
      <c r="M6272">
        <v>2830</v>
      </c>
      <c r="N6272" t="s">
        <v>16392</v>
      </c>
      <c r="O6272" s="4">
        <v>76784</v>
      </c>
      <c r="P6272" s="4">
        <v>0</v>
      </c>
      <c r="Q6272" s="4">
        <v>76784</v>
      </c>
      <c r="R6272" s="4">
        <v>230352</v>
      </c>
      <c r="S6272" t="s">
        <v>22501</v>
      </c>
      <c r="X6272" t="s">
        <v>3</v>
      </c>
      <c r="AA6272" s="5" t="str">
        <f>HYPERLINK("https://www.zillow.com/homes/525-E-ST-CHARLES-VILLA-PARK-IL-60181_rb/","check listing")</f>
        <v>check listing</v>
      </c>
      <c r="AB6272" s="5" t="str">
        <f>HYPERLINK("https://propertylookup.dupagecounty.gov/Datalets/Datalet.aspx?UseSearch=no&amp;mode=sales&amp;pin=0610201034","sales record")</f>
        <v>sales record</v>
      </c>
      <c r="AC6272" t="s">
        <v>27871</v>
      </c>
      <c r="AD6272">
        <v>41.889572</v>
      </c>
      <c r="AE6272">
        <v>-87.965777</v>
      </c>
      <c r="AF6272" s="5" t="str">
        <f>HYPERLINK("https://www.google.com/maps/search/?api=1&amp;query=41.889572,-87.965777","map")</f>
        <v>map</v>
      </c>
    </row>
    <row r="6273" spans="1:32">
      <c r="A6273" t="s">
        <v>6323</v>
      </c>
      <c r="B6273" t="s">
        <v>13824</v>
      </c>
      <c r="C6273" t="s">
        <v>15998</v>
      </c>
      <c r="D6273" t="s">
        <v>16209</v>
      </c>
      <c r="E6273" t="s">
        <v>16217</v>
      </c>
      <c r="F6273" t="s">
        <v>16222</v>
      </c>
      <c r="G6273" t="s">
        <v>16281</v>
      </c>
      <c r="H6273" t="s">
        <v>16281</v>
      </c>
      <c r="I6273" t="s">
        <v>16359</v>
      </c>
      <c r="J6273" t="s">
        <v>16386</v>
      </c>
      <c r="K6273">
        <v>0.437</v>
      </c>
      <c r="L6273">
        <v>19020</v>
      </c>
      <c r="M6273">
        <v>5022</v>
      </c>
      <c r="N6273" t="s">
        <v>16392</v>
      </c>
      <c r="O6273" s="4">
        <v>72818</v>
      </c>
      <c r="P6273" s="4">
        <v>0</v>
      </c>
      <c r="Q6273" s="4">
        <v>72818</v>
      </c>
      <c r="R6273" s="4">
        <v>218454</v>
      </c>
      <c r="S6273" t="s">
        <v>22497</v>
      </c>
      <c r="T6273" s="6">
        <v>44440</v>
      </c>
      <c r="U6273" s="4">
        <v>3500000</v>
      </c>
      <c r="V6273" t="s">
        <v>23739</v>
      </c>
      <c r="W6273" t="s">
        <v>27204</v>
      </c>
      <c r="X6273" t="s">
        <v>3</v>
      </c>
      <c r="AA6273" s="5" t="str">
        <f>HYPERLINK("https://www.zillow.com/homes/415-N-ARDMORE-AVE-VILLA-PARK-IL-60181_rb/","check listing")</f>
        <v>check listing</v>
      </c>
      <c r="AB6273" s="5" t="str">
        <f>HYPERLINK("https://propertylookup.dupagecounty.gov/Datalets/Datalet.aspx?UseSearch=no&amp;mode=sales&amp;pin=0603122001","sales record")</f>
        <v>sales record</v>
      </c>
      <c r="AC6273" t="s">
        <v>11</v>
      </c>
      <c r="AD6273">
        <v>41.897616</v>
      </c>
      <c r="AE6273">
        <v>-87.978534</v>
      </c>
      <c r="AF6273" s="5" t="str">
        <f>HYPERLINK("https://www.google.com/maps/search/?api=1&amp;query=41.897616,-87.978534","map")</f>
        <v>map</v>
      </c>
    </row>
    <row r="6274" spans="1:32">
      <c r="A6274" t="s">
        <v>6324</v>
      </c>
      <c r="B6274" t="s">
        <v>13825</v>
      </c>
      <c r="C6274" t="s">
        <v>15998</v>
      </c>
      <c r="D6274" t="s">
        <v>16209</v>
      </c>
      <c r="E6274" t="s">
        <v>16217</v>
      </c>
      <c r="F6274" t="s">
        <v>16222</v>
      </c>
      <c r="G6274" t="s">
        <v>16280</v>
      </c>
      <c r="H6274" t="s">
        <v>16280</v>
      </c>
      <c r="I6274" t="s">
        <v>16358</v>
      </c>
      <c r="J6274" t="s">
        <v>16386</v>
      </c>
      <c r="K6274">
        <v>0.346</v>
      </c>
      <c r="L6274">
        <v>15085</v>
      </c>
      <c r="N6274" t="s">
        <v>16392</v>
      </c>
      <c r="O6274" s="4">
        <v>55754</v>
      </c>
      <c r="P6274" s="4">
        <v>0</v>
      </c>
      <c r="Q6274" s="4">
        <v>55754</v>
      </c>
      <c r="R6274" s="4">
        <v>167262</v>
      </c>
      <c r="S6274" t="s">
        <v>22502</v>
      </c>
      <c r="X6274" t="s">
        <v>3</v>
      </c>
      <c r="AA6274" s="5" t="str">
        <f>HYPERLINK("https://www.zillow.com/homes/305-W-ST-CHARLES-RD-VILLA-PARK-IL-60181_rb/","check listing")</f>
        <v>check listing</v>
      </c>
      <c r="AB6274" s="5" t="str">
        <f>HYPERLINK("https://propertylookup.dupagecounty.gov/Datalets/Datalet.aspx?UseSearch=no&amp;mode=sales&amp;pin=0609200017","sales record")</f>
        <v>sales record</v>
      </c>
      <c r="AC6274" t="s">
        <v>27872</v>
      </c>
      <c r="AD6274">
        <v>41.888736</v>
      </c>
      <c r="AE6274">
        <v>-87.986193</v>
      </c>
      <c r="AF6274" s="5" t="str">
        <f>HYPERLINK("https://www.google.com/maps/search/?api=1&amp;query=41.888736,-87.986193","map")</f>
        <v>map</v>
      </c>
    </row>
    <row r="6275" spans="1:32">
      <c r="A6275" t="s">
        <v>6325</v>
      </c>
      <c r="B6275" t="s">
        <v>13826</v>
      </c>
      <c r="C6275" t="s">
        <v>15998</v>
      </c>
      <c r="D6275" t="s">
        <v>16209</v>
      </c>
      <c r="E6275" t="s">
        <v>16217</v>
      </c>
      <c r="F6275" t="s">
        <v>16222</v>
      </c>
      <c r="G6275" t="s">
        <v>16280</v>
      </c>
      <c r="H6275" t="s">
        <v>16280</v>
      </c>
      <c r="I6275" t="s">
        <v>16358</v>
      </c>
      <c r="J6275" t="s">
        <v>16386</v>
      </c>
      <c r="K6275">
        <v>0.315</v>
      </c>
      <c r="L6275">
        <v>13716</v>
      </c>
      <c r="N6275" t="s">
        <v>16392</v>
      </c>
      <c r="O6275" s="4">
        <v>52815</v>
      </c>
      <c r="P6275" s="4">
        <v>0</v>
      </c>
      <c r="Q6275" s="4">
        <v>52815</v>
      </c>
      <c r="R6275" s="4">
        <v>158445</v>
      </c>
      <c r="S6275" t="s">
        <v>22503</v>
      </c>
      <c r="T6275" s="6">
        <v>45215</v>
      </c>
      <c r="U6275" s="4">
        <v>3200000</v>
      </c>
      <c r="V6275" t="s">
        <v>16232</v>
      </c>
      <c r="W6275" t="s">
        <v>27206</v>
      </c>
      <c r="X6275" t="s">
        <v>3</v>
      </c>
      <c r="AA6275" s="5" t="str">
        <f>HYPERLINK("https://www.zillow.com/homes/443-E-ST-CHARLES-RD-VILLA-PARK-IL-60181_rb/","check listing")</f>
        <v>check listing</v>
      </c>
      <c r="AB6275" s="5" t="str">
        <f>HYPERLINK("https://propertylookup.dupagecounty.gov/Datalets/Datalet.aspx?UseSearch=no&amp;mode=sales&amp;pin=0610200006","sales record")</f>
        <v>sales record</v>
      </c>
      <c r="AC6275" t="s">
        <v>27872</v>
      </c>
      <c r="AD6275">
        <v>41.889249</v>
      </c>
      <c r="AE6275">
        <v>-87.96854500000001</v>
      </c>
      <c r="AF6275" s="5" t="str">
        <f>HYPERLINK("https://www.google.com/maps/search/?api=1&amp;query=41.889249,-87.968545","map")</f>
        <v>map</v>
      </c>
    </row>
    <row r="6276" spans="1:32">
      <c r="A6276" t="s">
        <v>6326</v>
      </c>
      <c r="B6276" t="s">
        <v>13827</v>
      </c>
      <c r="C6276" t="s">
        <v>15998</v>
      </c>
      <c r="D6276" t="s">
        <v>16209</v>
      </c>
      <c r="E6276" t="s">
        <v>16217</v>
      </c>
      <c r="F6276" t="s">
        <v>16222</v>
      </c>
      <c r="G6276" t="s">
        <v>16280</v>
      </c>
      <c r="H6276" t="s">
        <v>16280</v>
      </c>
      <c r="I6276" t="s">
        <v>16358</v>
      </c>
      <c r="J6276" t="s">
        <v>16386</v>
      </c>
      <c r="K6276">
        <v>0.315</v>
      </c>
      <c r="L6276">
        <v>13715</v>
      </c>
      <c r="M6276">
        <v>4962</v>
      </c>
      <c r="N6276" t="s">
        <v>16392</v>
      </c>
      <c r="O6276" s="4">
        <v>52815</v>
      </c>
      <c r="P6276" s="4">
        <v>0</v>
      </c>
      <c r="Q6276" s="4">
        <v>52815</v>
      </c>
      <c r="R6276" s="4">
        <v>158445</v>
      </c>
      <c r="S6276" t="s">
        <v>22504</v>
      </c>
      <c r="X6276" t="s">
        <v>3</v>
      </c>
      <c r="AA6276" s="5" t="str">
        <f>HYPERLINK("https://www.zillow.com/homes/29-S-VILLA-AVE-VILLA-PARK-IL-60181_rb/","check listing")</f>
        <v>check listing</v>
      </c>
      <c r="AB6276" s="5" t="str">
        <f>HYPERLINK("https://propertylookup.dupagecounty.gov/Datalets/Datalet.aspx?UseSearch=no&amp;mode=sales&amp;pin=0610200009","sales record")</f>
        <v>sales record</v>
      </c>
      <c r="AC6276" t="s">
        <v>27871</v>
      </c>
      <c r="AD6276">
        <v>41.888838</v>
      </c>
      <c r="AE6276">
        <v>-87.968541</v>
      </c>
      <c r="AF6276" s="5" t="str">
        <f>HYPERLINK("https://www.google.com/maps/search/?api=1&amp;query=41.888838,-87.968541","map")</f>
        <v>map</v>
      </c>
    </row>
    <row r="6277" spans="1:32">
      <c r="A6277" t="s">
        <v>6327</v>
      </c>
      <c r="B6277" t="s">
        <v>13826</v>
      </c>
      <c r="C6277" t="s">
        <v>15998</v>
      </c>
      <c r="D6277" t="s">
        <v>16209</v>
      </c>
      <c r="E6277" t="s">
        <v>16217</v>
      </c>
      <c r="F6277" t="s">
        <v>16222</v>
      </c>
      <c r="G6277" t="s">
        <v>16280</v>
      </c>
      <c r="H6277" t="s">
        <v>16280</v>
      </c>
      <c r="I6277" t="s">
        <v>16358</v>
      </c>
      <c r="J6277" t="s">
        <v>16386</v>
      </c>
      <c r="K6277">
        <v>0.315</v>
      </c>
      <c r="L6277">
        <v>13713</v>
      </c>
      <c r="N6277" t="s">
        <v>16392</v>
      </c>
      <c r="O6277" s="4">
        <v>52815</v>
      </c>
      <c r="P6277" s="4">
        <v>0</v>
      </c>
      <c r="Q6277" s="4">
        <v>52815</v>
      </c>
      <c r="R6277" s="4">
        <v>158445</v>
      </c>
      <c r="S6277" t="s">
        <v>22503</v>
      </c>
      <c r="T6277" s="6">
        <v>45215</v>
      </c>
      <c r="U6277" s="4">
        <v>3200000</v>
      </c>
      <c r="V6277" t="s">
        <v>16232</v>
      </c>
      <c r="W6277" t="s">
        <v>27206</v>
      </c>
      <c r="X6277" t="s">
        <v>3</v>
      </c>
      <c r="AA6277" s="5" t="str">
        <f>HYPERLINK("https://www.zillow.com/homes/443-E-ST-CHARLES-RD-VILLA-PARK-IL-60181_rb/","check listing")</f>
        <v>check listing</v>
      </c>
      <c r="AB6277" s="5" t="str">
        <f>HYPERLINK("https://propertylookup.dupagecounty.gov/Datalets/Datalet.aspx?UseSearch=no&amp;mode=sales&amp;pin=0610200013","sales record")</f>
        <v>sales record</v>
      </c>
      <c r="AC6277" t="s">
        <v>3</v>
      </c>
      <c r="AD6277">
        <v>41.889122</v>
      </c>
      <c r="AE6277">
        <v>-87.967536</v>
      </c>
      <c r="AF6277" s="5" t="str">
        <f>HYPERLINK("https://www.google.com/maps/search/?api=1&amp;query=41.889122,-87.967536","map")</f>
        <v>map</v>
      </c>
    </row>
    <row r="6278" spans="1:32">
      <c r="A6278" t="s">
        <v>6328</v>
      </c>
      <c r="B6278" t="s">
        <v>13826</v>
      </c>
      <c r="C6278" t="s">
        <v>15998</v>
      </c>
      <c r="D6278" t="s">
        <v>16209</v>
      </c>
      <c r="E6278" t="s">
        <v>16217</v>
      </c>
      <c r="F6278" t="s">
        <v>16222</v>
      </c>
      <c r="G6278" t="s">
        <v>16280</v>
      </c>
      <c r="H6278" t="s">
        <v>16280</v>
      </c>
      <c r="I6278" t="s">
        <v>16358</v>
      </c>
      <c r="J6278" t="s">
        <v>16386</v>
      </c>
      <c r="K6278">
        <v>0.315</v>
      </c>
      <c r="L6278">
        <v>13711</v>
      </c>
      <c r="N6278" t="s">
        <v>16392</v>
      </c>
      <c r="O6278" s="4">
        <v>52815</v>
      </c>
      <c r="P6278" s="4">
        <v>0</v>
      </c>
      <c r="Q6278" s="4">
        <v>52815</v>
      </c>
      <c r="R6278" s="4">
        <v>158445</v>
      </c>
      <c r="S6278" t="s">
        <v>22503</v>
      </c>
      <c r="T6278" s="6">
        <v>45215</v>
      </c>
      <c r="U6278" s="4">
        <v>3200000</v>
      </c>
      <c r="V6278" t="s">
        <v>16232</v>
      </c>
      <c r="W6278" t="s">
        <v>27206</v>
      </c>
      <c r="X6278" t="s">
        <v>3</v>
      </c>
      <c r="AA6278" s="5" t="str">
        <f>HYPERLINK("https://www.zillow.com/homes/443-E-ST-CHARLES-RD-VILLA-PARK-IL-60181_rb/","check listing")</f>
        <v>check listing</v>
      </c>
      <c r="AB6278" s="5" t="str">
        <f>HYPERLINK("https://propertylookup.dupagecounty.gov/Datalets/Datalet.aspx?UseSearch=no&amp;mode=sales&amp;pin=0610200012","sales record")</f>
        <v>sales record</v>
      </c>
      <c r="AC6278" t="s">
        <v>27872</v>
      </c>
      <c r="AD6278">
        <v>41.88926</v>
      </c>
      <c r="AE6278">
        <v>-87.967538</v>
      </c>
      <c r="AF6278" s="5" t="str">
        <f>HYPERLINK("https://www.google.com/maps/search/?api=1&amp;query=41.88926,-87.967538","map")</f>
        <v>map</v>
      </c>
    </row>
    <row r="6279" spans="1:32">
      <c r="A6279" t="s">
        <v>6329</v>
      </c>
      <c r="B6279" t="s">
        <v>13826</v>
      </c>
      <c r="C6279" t="s">
        <v>15998</v>
      </c>
      <c r="D6279" t="s">
        <v>16209</v>
      </c>
      <c r="E6279" t="s">
        <v>16217</v>
      </c>
      <c r="F6279" t="s">
        <v>16222</v>
      </c>
      <c r="G6279" t="s">
        <v>16280</v>
      </c>
      <c r="H6279" t="s">
        <v>16280</v>
      </c>
      <c r="I6279" t="s">
        <v>16358</v>
      </c>
      <c r="J6279" t="s">
        <v>16386</v>
      </c>
      <c r="K6279">
        <v>0.315</v>
      </c>
      <c r="L6279">
        <v>13707</v>
      </c>
      <c r="N6279" t="s">
        <v>16392</v>
      </c>
      <c r="O6279" s="4">
        <v>52815</v>
      </c>
      <c r="P6279" s="4">
        <v>0</v>
      </c>
      <c r="Q6279" s="4">
        <v>52815</v>
      </c>
      <c r="R6279" s="4">
        <v>158445</v>
      </c>
      <c r="S6279" t="s">
        <v>22503</v>
      </c>
      <c r="T6279" s="6">
        <v>45215</v>
      </c>
      <c r="U6279" s="4">
        <v>3200000</v>
      </c>
      <c r="V6279" t="s">
        <v>16232</v>
      </c>
      <c r="W6279" t="s">
        <v>27206</v>
      </c>
      <c r="X6279" t="s">
        <v>3</v>
      </c>
      <c r="AA6279" s="5" t="str">
        <f>HYPERLINK("https://www.zillow.com/homes/443-E-ST-CHARLES-RD-VILLA-PARK-IL-60181_rb/","check listing")</f>
        <v>check listing</v>
      </c>
      <c r="AB6279" s="5" t="str">
        <f>HYPERLINK("https://propertylookup.dupagecounty.gov/Datalets/Datalet.aspx?UseSearch=no&amp;mode=sales&amp;pin=0610200005","sales record")</f>
        <v>sales record</v>
      </c>
      <c r="AC6279" t="s">
        <v>27872</v>
      </c>
      <c r="AD6279">
        <v>41.889387</v>
      </c>
      <c r="AE6279">
        <v>-87.968546</v>
      </c>
      <c r="AF6279" s="5" t="str">
        <f>HYPERLINK("https://www.google.com/maps/search/?api=1&amp;query=41.889387,-87.968546","map")</f>
        <v>map</v>
      </c>
    </row>
    <row r="6280" spans="1:32">
      <c r="A6280" t="s">
        <v>6330</v>
      </c>
      <c r="B6280" t="s">
        <v>13828</v>
      </c>
      <c r="C6280" t="s">
        <v>16001</v>
      </c>
      <c r="D6280" t="s">
        <v>16209</v>
      </c>
      <c r="E6280" t="s">
        <v>16217</v>
      </c>
      <c r="F6280" t="s">
        <v>16222</v>
      </c>
      <c r="G6280" t="s">
        <v>16280</v>
      </c>
      <c r="H6280" t="s">
        <v>16280</v>
      </c>
      <c r="I6280" t="s">
        <v>16358</v>
      </c>
      <c r="J6280" t="s">
        <v>16386</v>
      </c>
      <c r="K6280">
        <v>0.292</v>
      </c>
      <c r="L6280">
        <v>12713</v>
      </c>
      <c r="M6280">
        <v>1833</v>
      </c>
      <c r="N6280" t="s">
        <v>16392</v>
      </c>
      <c r="O6280" s="4">
        <v>47776</v>
      </c>
      <c r="P6280" s="4">
        <v>0</v>
      </c>
      <c r="Q6280" s="4">
        <v>47776</v>
      </c>
      <c r="R6280" s="4">
        <v>143328</v>
      </c>
      <c r="S6280" t="s">
        <v>22505</v>
      </c>
      <c r="T6280" s="6">
        <v>44531</v>
      </c>
      <c r="U6280" s="4">
        <v>430000</v>
      </c>
      <c r="V6280" t="s">
        <v>23740</v>
      </c>
      <c r="W6280" t="s">
        <v>27207</v>
      </c>
      <c r="X6280" t="s">
        <v>3</v>
      </c>
      <c r="AA6280" s="5" t="str">
        <f>HYPERLINK("https://www.zillow.com/homes/27-W-PARK-BLVD-VILLA-PARK-IL-601812850_rb/","check listing")</f>
        <v>check listing</v>
      </c>
      <c r="AB6280" s="5" t="str">
        <f>HYPERLINK("https://propertylookup.dupagecounty.gov/Datalets/Datalet.aspx?UseSearch=no&amp;mode=sales&amp;pin=0609220001","sales record")</f>
        <v>sales record</v>
      </c>
      <c r="AC6280" t="s">
        <v>11</v>
      </c>
      <c r="AD6280">
        <v>41.882742</v>
      </c>
      <c r="AE6280">
        <v>-87.980255</v>
      </c>
      <c r="AF6280" s="5" t="str">
        <f>HYPERLINK("https://www.google.com/maps/search/?api=1&amp;query=41.882742,-87.980255","map")</f>
        <v>map</v>
      </c>
    </row>
    <row r="6281" spans="1:32">
      <c r="A6281" t="s">
        <v>6331</v>
      </c>
      <c r="B6281" t="s">
        <v>13822</v>
      </c>
      <c r="C6281" t="s">
        <v>15998</v>
      </c>
      <c r="D6281" t="s">
        <v>16209</v>
      </c>
      <c r="E6281" t="s">
        <v>16217</v>
      </c>
      <c r="F6281" t="s">
        <v>16222</v>
      </c>
      <c r="G6281" t="s">
        <v>16282</v>
      </c>
      <c r="H6281" t="s">
        <v>16282</v>
      </c>
      <c r="I6281" t="s">
        <v>16360</v>
      </c>
      <c r="J6281" t="s">
        <v>16386</v>
      </c>
      <c r="K6281">
        <v>0.291</v>
      </c>
      <c r="L6281">
        <v>12669</v>
      </c>
      <c r="N6281" t="s">
        <v>16392</v>
      </c>
      <c r="O6281" s="4">
        <v>47776</v>
      </c>
      <c r="P6281" s="4">
        <v>0</v>
      </c>
      <c r="Q6281" s="4">
        <v>47776</v>
      </c>
      <c r="R6281" s="4">
        <v>143328</v>
      </c>
      <c r="S6281" t="s">
        <v>22499</v>
      </c>
      <c r="X6281" t="s">
        <v>3</v>
      </c>
      <c r="AA6281" s="5" t="str">
        <f>HYPERLINK("https://www.zillow.com/homes/10-S-VILLA-AVE-VILLA-PARK-IL-60181_rb/","check listing")</f>
        <v>check listing</v>
      </c>
      <c r="AB6281" s="5" t="str">
        <f>HYPERLINK("https://propertylookup.dupagecounty.gov/Datalets/Datalet.aspx?UseSearch=no&amp;mode=sales&amp;pin=0610105005","sales record")</f>
        <v>sales record</v>
      </c>
      <c r="AC6281" t="s">
        <v>27872</v>
      </c>
      <c r="AD6281">
        <v>41.889453</v>
      </c>
      <c r="AE6281">
        <v>-87.96977</v>
      </c>
      <c r="AF6281" s="5" t="str">
        <f>HYPERLINK("https://www.google.com/maps/search/?api=1&amp;query=41.889453,-87.96977","map")</f>
        <v>map</v>
      </c>
    </row>
    <row r="6282" spans="1:32">
      <c r="A6282" t="s">
        <v>6332</v>
      </c>
      <c r="B6282" t="s">
        <v>13829</v>
      </c>
      <c r="C6282" t="s">
        <v>16002</v>
      </c>
      <c r="D6282" t="s">
        <v>16209</v>
      </c>
      <c r="E6282" t="s">
        <v>16217</v>
      </c>
      <c r="F6282" t="s">
        <v>16222</v>
      </c>
      <c r="G6282" t="s">
        <v>16283</v>
      </c>
      <c r="H6282" t="s">
        <v>16283</v>
      </c>
      <c r="I6282" t="s">
        <v>16361</v>
      </c>
      <c r="J6282" t="s">
        <v>16386</v>
      </c>
      <c r="K6282">
        <v>0.228</v>
      </c>
      <c r="L6282">
        <v>9920</v>
      </c>
      <c r="N6282" t="s">
        <v>16392</v>
      </c>
      <c r="O6282" s="4">
        <v>38212</v>
      </c>
      <c r="P6282" s="4">
        <v>0</v>
      </c>
      <c r="Q6282" s="4">
        <v>38212</v>
      </c>
      <c r="R6282" s="4">
        <v>114636</v>
      </c>
      <c r="S6282" t="s">
        <v>22506</v>
      </c>
      <c r="T6282" s="6">
        <v>32448</v>
      </c>
      <c r="U6282" s="4">
        <v>220000</v>
      </c>
      <c r="X6282" t="s">
        <v>3</v>
      </c>
      <c r="AA6282" s="5" t="str">
        <f>HYPERLINK("https://www.zillow.com/homes/207-S-VILLA-AVE-VILLA-PARK-IL-601812689_rb/","check listing")</f>
        <v>check listing</v>
      </c>
      <c r="AB6282" s="5" t="str">
        <f>HYPERLINK("https://propertylookup.dupagecounty.gov/Datalets/Datalet.aspx?UseSearch=no&amp;mode=sales&amp;pin=0610116003","sales record")</f>
        <v>sales record</v>
      </c>
      <c r="AC6282" t="s">
        <v>3</v>
      </c>
      <c r="AD6282">
        <v>41.886329</v>
      </c>
      <c r="AE6282">
        <v>-87.969639</v>
      </c>
      <c r="AF6282" s="5" t="str">
        <f>HYPERLINK("https://www.google.com/maps/search/?api=1&amp;query=41.886329,-87.969639","map")</f>
        <v>map</v>
      </c>
    </row>
    <row r="6283" spans="1:32">
      <c r="A6283" t="s">
        <v>6333</v>
      </c>
      <c r="B6283" t="s">
        <v>13830</v>
      </c>
      <c r="C6283" t="s">
        <v>16003</v>
      </c>
      <c r="D6283" t="s">
        <v>16209</v>
      </c>
      <c r="E6283" t="s">
        <v>16217</v>
      </c>
      <c r="F6283" t="s">
        <v>16222</v>
      </c>
      <c r="G6283" t="s">
        <v>16283</v>
      </c>
      <c r="H6283" t="s">
        <v>16283</v>
      </c>
      <c r="I6283" t="s">
        <v>16361</v>
      </c>
      <c r="J6283" t="s">
        <v>16386</v>
      </c>
      <c r="K6283">
        <v>0.219</v>
      </c>
      <c r="L6283">
        <v>9535</v>
      </c>
      <c r="N6283" t="s">
        <v>16392</v>
      </c>
      <c r="O6283" s="4">
        <v>34304</v>
      </c>
      <c r="P6283" s="4">
        <v>0</v>
      </c>
      <c r="Q6283" s="4">
        <v>34304</v>
      </c>
      <c r="R6283" s="4">
        <v>102912</v>
      </c>
      <c r="S6283" t="s">
        <v>22507</v>
      </c>
      <c r="X6283" t="s">
        <v>3</v>
      </c>
      <c r="AA6283" s="5" t="str">
        <f>HYPERLINK("https://www.zillow.com/homes/1517-W-PARK-BLVD-VILLA-PARK-IL-601812891_rb/","check listing")</f>
        <v>check listing</v>
      </c>
      <c r="AB6283" s="5" t="str">
        <f>HYPERLINK("https://propertylookup.dupagecounty.gov/Datalets/Datalet.aspx?UseSearch=no&amp;mode=sales&amp;pin=0609220014","sales record")</f>
        <v>sales record</v>
      </c>
      <c r="AC6283" t="s">
        <v>3</v>
      </c>
      <c r="AD6283">
        <v>41.882851</v>
      </c>
      <c r="AE6283">
        <v>-87.979795</v>
      </c>
      <c r="AF6283" s="5" t="str">
        <f>HYPERLINK("https://www.google.com/maps/search/?api=1&amp;query=41.882851,-87.979795","map")</f>
        <v>map</v>
      </c>
    </row>
    <row r="6284" spans="1:32">
      <c r="A6284" t="s">
        <v>6334</v>
      </c>
      <c r="B6284" t="s">
        <v>13831</v>
      </c>
      <c r="C6284" t="s">
        <v>15998</v>
      </c>
      <c r="D6284" t="s">
        <v>16209</v>
      </c>
      <c r="E6284" t="s">
        <v>16217</v>
      </c>
      <c r="F6284" t="s">
        <v>16222</v>
      </c>
      <c r="G6284" t="s">
        <v>16280</v>
      </c>
      <c r="H6284" t="s">
        <v>16280</v>
      </c>
      <c r="I6284" t="s">
        <v>16358</v>
      </c>
      <c r="J6284" t="s">
        <v>16386</v>
      </c>
      <c r="K6284">
        <v>0.215</v>
      </c>
      <c r="L6284">
        <v>9344</v>
      </c>
      <c r="N6284" t="s">
        <v>16392</v>
      </c>
      <c r="O6284" s="4">
        <v>34957</v>
      </c>
      <c r="P6284" s="4">
        <v>0</v>
      </c>
      <c r="Q6284" s="4">
        <v>34957</v>
      </c>
      <c r="R6284" s="4">
        <v>104871</v>
      </c>
      <c r="S6284" t="s">
        <v>22508</v>
      </c>
      <c r="X6284" t="s">
        <v>3</v>
      </c>
      <c r="AA6284" s="5" t="str">
        <f>HYPERLINK("https://www.zillow.com/homes/217-W-ST-CHARLES-RD-VILLA-PARK-IL-60181_rb/","check listing")</f>
        <v>check listing</v>
      </c>
      <c r="AB6284" s="5" t="str">
        <f>HYPERLINK("https://propertylookup.dupagecounty.gov/Datalets/Datalet.aspx?UseSearch=no&amp;mode=sales&amp;pin=0609201008","sales record")</f>
        <v>sales record</v>
      </c>
      <c r="AC6284" t="s">
        <v>27872</v>
      </c>
      <c r="AD6284">
        <v>41.88894</v>
      </c>
      <c r="AE6284">
        <v>-87.984927</v>
      </c>
      <c r="AF6284" s="5" t="str">
        <f>HYPERLINK("https://www.google.com/maps/search/?api=1&amp;query=41.88894,-87.984927","map")</f>
        <v>map</v>
      </c>
    </row>
    <row r="6285" spans="1:32">
      <c r="A6285" t="s">
        <v>6335</v>
      </c>
      <c r="B6285" t="s">
        <v>13832</v>
      </c>
      <c r="C6285" t="s">
        <v>15998</v>
      </c>
      <c r="D6285" t="s">
        <v>16209</v>
      </c>
      <c r="E6285" t="s">
        <v>16217</v>
      </c>
      <c r="F6285" t="s">
        <v>16222</v>
      </c>
      <c r="G6285" t="s">
        <v>16280</v>
      </c>
      <c r="H6285" t="s">
        <v>16280</v>
      </c>
      <c r="I6285" t="s">
        <v>16358</v>
      </c>
      <c r="J6285" t="s">
        <v>16386</v>
      </c>
      <c r="K6285">
        <v>0.214</v>
      </c>
      <c r="L6285">
        <v>9338</v>
      </c>
      <c r="N6285" t="s">
        <v>16392</v>
      </c>
      <c r="O6285" s="4">
        <v>35726</v>
      </c>
      <c r="P6285" s="4">
        <v>0</v>
      </c>
      <c r="Q6285" s="4">
        <v>35726</v>
      </c>
      <c r="R6285" s="4">
        <v>107178</v>
      </c>
      <c r="S6285" t="s">
        <v>22509</v>
      </c>
      <c r="T6285" s="6">
        <v>28764</v>
      </c>
      <c r="U6285" s="4">
        <v>15000</v>
      </c>
      <c r="X6285" t="s">
        <v>3</v>
      </c>
      <c r="AA6285" s="5" t="str">
        <f>HYPERLINK("https://www.zillow.com/homes/5167-PARK-BLVD-VILLA-PARK-IL-60181_rb/","check listing")</f>
        <v>check listing</v>
      </c>
      <c r="AB6285" s="5" t="str">
        <f>HYPERLINK("https://propertylookup.dupagecounty.gov/Datalets/Datalet.aspx?UseSearch=no&amp;mode=sales&amp;pin=0610119002","sales record")</f>
        <v>sales record</v>
      </c>
      <c r="AC6285" t="s">
        <v>27872</v>
      </c>
      <c r="AD6285">
        <v>41.883235</v>
      </c>
      <c r="AE6285">
        <v>-87.97688100000001</v>
      </c>
      <c r="AF6285" s="5" t="str">
        <f>HYPERLINK("https://www.google.com/maps/search/?api=1&amp;query=41.883235,-87.976881","map")</f>
        <v>map</v>
      </c>
    </row>
    <row r="6286" spans="1:32">
      <c r="A6286" t="s">
        <v>6336</v>
      </c>
      <c r="B6286" t="s">
        <v>9966</v>
      </c>
      <c r="C6286" t="s">
        <v>15998</v>
      </c>
      <c r="D6286" t="s">
        <v>16209</v>
      </c>
      <c r="E6286" t="s">
        <v>16217</v>
      </c>
      <c r="F6286" t="s">
        <v>16222</v>
      </c>
      <c r="G6286" t="s">
        <v>16280</v>
      </c>
      <c r="H6286" t="s">
        <v>16280</v>
      </c>
      <c r="I6286" t="s">
        <v>16358</v>
      </c>
      <c r="J6286" t="s">
        <v>16386</v>
      </c>
      <c r="K6286">
        <v>0.211</v>
      </c>
      <c r="L6286">
        <v>9189</v>
      </c>
      <c r="N6286" t="s">
        <v>16392</v>
      </c>
      <c r="O6286" s="4">
        <v>24459</v>
      </c>
      <c r="P6286" s="4">
        <v>0</v>
      </c>
      <c r="Q6286" s="4">
        <v>24459</v>
      </c>
      <c r="R6286" s="4">
        <v>73377</v>
      </c>
      <c r="S6286" t="s">
        <v>22510</v>
      </c>
      <c r="X6286" t="s">
        <v>3</v>
      </c>
      <c r="AA6286" s="5" t="str">
        <f>HYPERLINK("https://www.zillow.com/homes/321-W-ST-CHARLES-RD-VILLA-PARK-IL-60181_rb/","check listing")</f>
        <v>check listing</v>
      </c>
      <c r="AB6286" s="5" t="str">
        <f>HYPERLINK("https://propertylookup.dupagecounty.gov/Datalets/Datalet.aspx?UseSearch=no&amp;mode=sales&amp;pin=0609200019","sales record")</f>
        <v>sales record</v>
      </c>
      <c r="AC6286" t="s">
        <v>3</v>
      </c>
      <c r="AD6286">
        <v>41.888848</v>
      </c>
      <c r="AE6286">
        <v>-87.98754700000001</v>
      </c>
      <c r="AF6286" s="5" t="str">
        <f>HYPERLINK("https://www.google.com/maps/search/?api=1&amp;query=41.888848,-87.987547","map")</f>
        <v>map</v>
      </c>
    </row>
    <row r="6287" spans="1:32">
      <c r="A6287" t="s">
        <v>6337</v>
      </c>
      <c r="B6287" t="s">
        <v>13833</v>
      </c>
      <c r="C6287" t="s">
        <v>15998</v>
      </c>
      <c r="D6287" t="s">
        <v>16209</v>
      </c>
      <c r="E6287" t="s">
        <v>16217</v>
      </c>
      <c r="F6287" t="s">
        <v>16222</v>
      </c>
      <c r="G6287" t="s">
        <v>16282</v>
      </c>
      <c r="H6287" t="s">
        <v>16282</v>
      </c>
      <c r="I6287" t="s">
        <v>16360</v>
      </c>
      <c r="J6287" t="s">
        <v>16386</v>
      </c>
      <c r="K6287">
        <v>0.198</v>
      </c>
      <c r="L6287">
        <v>8615</v>
      </c>
      <c r="N6287" t="s">
        <v>16392</v>
      </c>
      <c r="O6287" s="4">
        <v>33708</v>
      </c>
      <c r="P6287" s="4">
        <v>0</v>
      </c>
      <c r="Q6287" s="4">
        <v>33708</v>
      </c>
      <c r="R6287" s="4">
        <v>101124</v>
      </c>
      <c r="S6287" t="s">
        <v>22511</v>
      </c>
      <c r="X6287" t="s">
        <v>3</v>
      </c>
      <c r="AA6287" s="5" t="str">
        <f>HYPERLINK("https://www.zillow.com/homes/MONTEREY-AVE-VILLA-PARK-IL-60181_rb/","check listing")</f>
        <v>check listing</v>
      </c>
      <c r="AB6287" s="5" t="str">
        <f>HYPERLINK("https://propertylookup.dupagecounty.gov/Datalets/Datalet.aspx?UseSearch=no&amp;mode=sales&amp;pin=0610201013","sales record")</f>
        <v>sales record</v>
      </c>
      <c r="AC6287" t="s">
        <v>3</v>
      </c>
      <c r="AD6287">
        <v>41.889672</v>
      </c>
      <c r="AE6287">
        <v>-87.96508799999999</v>
      </c>
      <c r="AF6287" s="5" t="str">
        <f>HYPERLINK("https://www.google.com/maps/search/?api=1&amp;query=41.889672,-87.965088","map")</f>
        <v>map</v>
      </c>
    </row>
    <row r="6288" spans="1:32">
      <c r="A6288" t="s">
        <v>6338</v>
      </c>
      <c r="B6288" t="s">
        <v>13834</v>
      </c>
      <c r="C6288" t="s">
        <v>15998</v>
      </c>
      <c r="D6288" t="s">
        <v>16209</v>
      </c>
      <c r="E6288" t="s">
        <v>16217</v>
      </c>
      <c r="F6288" t="s">
        <v>16222</v>
      </c>
      <c r="G6288" t="s">
        <v>16282</v>
      </c>
      <c r="H6288" t="s">
        <v>16282</v>
      </c>
      <c r="I6288" t="s">
        <v>16360</v>
      </c>
      <c r="J6288" t="s">
        <v>16386</v>
      </c>
      <c r="K6288">
        <v>0.188</v>
      </c>
      <c r="L6288">
        <v>8201</v>
      </c>
      <c r="N6288" t="s">
        <v>16392</v>
      </c>
      <c r="O6288" s="4">
        <v>31295</v>
      </c>
      <c r="P6288" s="4">
        <v>0</v>
      </c>
      <c r="Q6288" s="4">
        <v>31295</v>
      </c>
      <c r="R6288" s="4">
        <v>93885</v>
      </c>
      <c r="S6288" t="s">
        <v>22501</v>
      </c>
      <c r="X6288" t="s">
        <v>3</v>
      </c>
      <c r="AA6288" s="5" t="str">
        <f>HYPERLINK("https://www.zillow.com/homes/511-E-ST-CHARLES-RD-VILLA-PARK-IL-60181_rb/","check listing")</f>
        <v>check listing</v>
      </c>
      <c r="AB6288" s="5" t="str">
        <f>HYPERLINK("https://propertylookup.dupagecounty.gov/Datalets/Datalet.aspx?UseSearch=no&amp;mode=sales&amp;pin=0610201004","sales record")</f>
        <v>sales record</v>
      </c>
      <c r="AC6288" t="s">
        <v>3</v>
      </c>
      <c r="AD6288">
        <v>41.889539</v>
      </c>
      <c r="AE6288">
        <v>-87.965501</v>
      </c>
      <c r="AF6288" s="5" t="str">
        <f>HYPERLINK("https://www.google.com/maps/search/?api=1&amp;query=41.889539,-87.965501","map")</f>
        <v>map</v>
      </c>
    </row>
    <row r="6289" spans="1:32">
      <c r="A6289" t="s">
        <v>6339</v>
      </c>
      <c r="B6289" t="s">
        <v>13835</v>
      </c>
      <c r="C6289" t="s">
        <v>15998</v>
      </c>
      <c r="D6289" t="s">
        <v>16209</v>
      </c>
      <c r="E6289" t="s">
        <v>16217</v>
      </c>
      <c r="F6289" t="s">
        <v>16222</v>
      </c>
      <c r="G6289" t="s">
        <v>16280</v>
      </c>
      <c r="H6289" t="s">
        <v>16280</v>
      </c>
      <c r="I6289" t="s">
        <v>16358</v>
      </c>
      <c r="J6289" t="s">
        <v>16386</v>
      </c>
      <c r="K6289">
        <v>0.186</v>
      </c>
      <c r="L6289">
        <v>8117</v>
      </c>
      <c r="N6289" t="s">
        <v>16392</v>
      </c>
      <c r="O6289" s="4">
        <v>30898</v>
      </c>
      <c r="P6289" s="4">
        <v>0</v>
      </c>
      <c r="Q6289" s="4">
        <v>30898</v>
      </c>
      <c r="R6289" s="4">
        <v>92694</v>
      </c>
      <c r="S6289" t="s">
        <v>22512</v>
      </c>
      <c r="T6289" s="6">
        <v>34394</v>
      </c>
      <c r="U6289" s="4">
        <v>100000</v>
      </c>
      <c r="X6289" t="s">
        <v>3</v>
      </c>
      <c r="AA6289" s="5" t="str">
        <f>HYPERLINK("https://www.zillow.com/homes/500-W-ST-CHARLES-RD-VILLA-PARK-IL-60181_rb/","check listing")</f>
        <v>check listing</v>
      </c>
      <c r="AB6289" s="5" t="str">
        <f>HYPERLINK("https://propertylookup.dupagecounty.gov/Datalets/Datalet.aspx?UseSearch=no&amp;mode=sales&amp;pin=0604322017","sales record")</f>
        <v>sales record</v>
      </c>
      <c r="AC6289" t="s">
        <v>3</v>
      </c>
      <c r="AD6289">
        <v>41.89009</v>
      </c>
      <c r="AE6289">
        <v>-87.991545</v>
      </c>
      <c r="AF6289" s="5" t="str">
        <f>HYPERLINK("https://www.google.com/maps/search/?api=1&amp;query=41.89009,-87.991545","map")</f>
        <v>map</v>
      </c>
    </row>
    <row r="6290" spans="1:32">
      <c r="A6290" t="s">
        <v>6340</v>
      </c>
      <c r="B6290" t="s">
        <v>13836</v>
      </c>
      <c r="C6290" t="s">
        <v>15998</v>
      </c>
      <c r="D6290" t="s">
        <v>16209</v>
      </c>
      <c r="E6290" t="s">
        <v>16217</v>
      </c>
      <c r="F6290" t="s">
        <v>16222</v>
      </c>
      <c r="G6290" t="s">
        <v>16282</v>
      </c>
      <c r="H6290" t="s">
        <v>16282</v>
      </c>
      <c r="I6290" t="s">
        <v>16360</v>
      </c>
      <c r="J6290" t="s">
        <v>16386</v>
      </c>
      <c r="K6290">
        <v>0.181</v>
      </c>
      <c r="L6290">
        <v>7895</v>
      </c>
      <c r="N6290" t="s">
        <v>16392</v>
      </c>
      <c r="O6290" s="4">
        <v>29953</v>
      </c>
      <c r="P6290" s="4">
        <v>0</v>
      </c>
      <c r="Q6290" s="4">
        <v>29953</v>
      </c>
      <c r="R6290" s="4">
        <v>89859</v>
      </c>
      <c r="S6290" t="s">
        <v>22513</v>
      </c>
      <c r="T6290" s="6">
        <v>36951</v>
      </c>
      <c r="U6290" s="4">
        <v>202500</v>
      </c>
      <c r="V6290" t="s">
        <v>16232</v>
      </c>
      <c r="W6290" t="s">
        <v>27208</v>
      </c>
      <c r="X6290" t="s">
        <v>3</v>
      </c>
      <c r="AA6290" s="5" t="str">
        <f>HYPERLINK("https://www.zillow.com/homes/52-E-ST-CHARLES-RD-VILLA-PARK-IL-60181_rb/","check listing")</f>
        <v>check listing</v>
      </c>
      <c r="AB6290" s="5" t="str">
        <f>HYPERLINK("https://propertylookup.dupagecounty.gov/Datalets/Datalet.aspx?UseSearch=no&amp;mode=sales&amp;pin=0603313022","sales record")</f>
        <v>sales record</v>
      </c>
      <c r="AC6290" t="s">
        <v>27872</v>
      </c>
      <c r="AD6290">
        <v>41.890112</v>
      </c>
      <c r="AE6290">
        <v>-87.97681900000001</v>
      </c>
      <c r="AF6290" s="5" t="str">
        <f>HYPERLINK("https://www.google.com/maps/search/?api=1&amp;query=41.890112,-87.976819","map")</f>
        <v>map</v>
      </c>
    </row>
    <row r="6291" spans="1:32">
      <c r="A6291" t="s">
        <v>6341</v>
      </c>
      <c r="B6291" t="s">
        <v>13837</v>
      </c>
      <c r="C6291" t="s">
        <v>15998</v>
      </c>
      <c r="D6291" t="s">
        <v>16209</v>
      </c>
      <c r="E6291" t="s">
        <v>16217</v>
      </c>
      <c r="F6291" t="s">
        <v>16222</v>
      </c>
      <c r="G6291" t="s">
        <v>16280</v>
      </c>
      <c r="H6291" t="s">
        <v>16280</v>
      </c>
      <c r="I6291" t="s">
        <v>16358</v>
      </c>
      <c r="J6291" t="s">
        <v>16386</v>
      </c>
      <c r="K6291">
        <v>0.179</v>
      </c>
      <c r="L6291">
        <v>7811</v>
      </c>
      <c r="N6291" t="s">
        <v>16392</v>
      </c>
      <c r="O6291" s="4">
        <v>29487</v>
      </c>
      <c r="P6291" s="4">
        <v>0</v>
      </c>
      <c r="Q6291" s="4">
        <v>29487</v>
      </c>
      <c r="R6291" s="4">
        <v>88461</v>
      </c>
      <c r="S6291" t="s">
        <v>22508</v>
      </c>
      <c r="T6291" s="6">
        <v>33756</v>
      </c>
      <c r="U6291" s="4">
        <v>175000</v>
      </c>
      <c r="X6291" t="s">
        <v>3</v>
      </c>
      <c r="AA6291" s="5" t="str">
        <f>HYPERLINK("https://www.zillow.com/homes/MICHIGAN-AVE-VILLA-PARK-IL-60181_rb/","check listing")</f>
        <v>check listing</v>
      </c>
      <c r="AB6291" s="5" t="str">
        <f>HYPERLINK("https://propertylookup.dupagecounty.gov/Datalets/Datalet.aspx?UseSearch=no&amp;mode=sales&amp;pin=0609201007","sales record")</f>
        <v>sales record</v>
      </c>
      <c r="AC6291" t="s">
        <v>3</v>
      </c>
      <c r="AD6291">
        <v>41.888799</v>
      </c>
      <c r="AE6291">
        <v>-87.98526099999999</v>
      </c>
      <c r="AF6291" s="5" t="str">
        <f>HYPERLINK("https://www.google.com/maps/search/?api=1&amp;query=41.888799,-87.985261","map")</f>
        <v>map</v>
      </c>
    </row>
    <row r="6292" spans="1:32">
      <c r="A6292" t="s">
        <v>6342</v>
      </c>
      <c r="B6292" t="s">
        <v>13838</v>
      </c>
      <c r="C6292" t="s">
        <v>15998</v>
      </c>
      <c r="D6292" t="s">
        <v>16209</v>
      </c>
      <c r="E6292" t="s">
        <v>16217</v>
      </c>
      <c r="F6292" t="s">
        <v>16222</v>
      </c>
      <c r="G6292" t="s">
        <v>16280</v>
      </c>
      <c r="H6292" t="s">
        <v>16280</v>
      </c>
      <c r="I6292" t="s">
        <v>16358</v>
      </c>
      <c r="J6292" t="s">
        <v>16386</v>
      </c>
      <c r="K6292">
        <v>0.175</v>
      </c>
      <c r="L6292">
        <v>7617</v>
      </c>
      <c r="N6292" t="s">
        <v>16392</v>
      </c>
      <c r="O6292" s="4">
        <v>28670</v>
      </c>
      <c r="P6292" s="4">
        <v>0</v>
      </c>
      <c r="Q6292" s="4">
        <v>28670</v>
      </c>
      <c r="R6292" s="4">
        <v>86010</v>
      </c>
      <c r="S6292" t="s">
        <v>22514</v>
      </c>
      <c r="T6292" s="6">
        <v>33725</v>
      </c>
      <c r="U6292" s="4">
        <v>145000</v>
      </c>
      <c r="X6292" t="s">
        <v>3</v>
      </c>
      <c r="AA6292" s="5" t="str">
        <f>HYPERLINK("https://www.zillow.com/homes/220-W-ST-CHARLES-RD-VILLA-PARK-IL-60181_rb/","check listing")</f>
        <v>check listing</v>
      </c>
      <c r="AB6292" s="5" t="str">
        <f>HYPERLINK("https://propertylookup.dupagecounty.gov/Datalets/Datalet.aspx?UseSearch=no&amp;mode=sales&amp;pin=0604412033","sales record")</f>
        <v>sales record</v>
      </c>
      <c r="AC6292" t="s">
        <v>27872</v>
      </c>
      <c r="AD6292">
        <v>41.890057</v>
      </c>
      <c r="AE6292">
        <v>-87.98486800000001</v>
      </c>
      <c r="AF6292" s="5" t="str">
        <f>HYPERLINK("https://www.google.com/maps/search/?api=1&amp;query=41.890057,-87.984868","map")</f>
        <v>map</v>
      </c>
    </row>
    <row r="6293" spans="1:32">
      <c r="A6293" t="s">
        <v>6343</v>
      </c>
      <c r="B6293" t="s">
        <v>13839</v>
      </c>
      <c r="C6293" t="s">
        <v>15998</v>
      </c>
      <c r="D6293" t="s">
        <v>16209</v>
      </c>
      <c r="E6293" t="s">
        <v>16217</v>
      </c>
      <c r="F6293" t="s">
        <v>16222</v>
      </c>
      <c r="G6293" t="s">
        <v>16280</v>
      </c>
      <c r="H6293" t="s">
        <v>16280</v>
      </c>
      <c r="I6293" t="s">
        <v>16358</v>
      </c>
      <c r="J6293" t="s">
        <v>16386</v>
      </c>
      <c r="K6293">
        <v>0.173</v>
      </c>
      <c r="L6293">
        <v>7518</v>
      </c>
      <c r="N6293" t="s">
        <v>16392</v>
      </c>
      <c r="O6293" s="4">
        <v>28670</v>
      </c>
      <c r="P6293" s="4">
        <v>0</v>
      </c>
      <c r="Q6293" s="4">
        <v>28670</v>
      </c>
      <c r="R6293" s="4">
        <v>86010</v>
      </c>
      <c r="S6293" t="s">
        <v>22515</v>
      </c>
      <c r="T6293" s="6">
        <v>45503</v>
      </c>
      <c r="U6293" s="4">
        <v>95000</v>
      </c>
      <c r="V6293" t="s">
        <v>23741</v>
      </c>
      <c r="W6293" t="s">
        <v>27209</v>
      </c>
      <c r="X6293" t="s">
        <v>3</v>
      </c>
      <c r="AA6293" s="5" t="str">
        <f>HYPERLINK("https://www.zillow.com/homes/WILDWOOD-AVE-VILLA-PARK-IL-60181_rb/","check listing")</f>
        <v>check listing</v>
      </c>
      <c r="AB6293" s="5" t="str">
        <f>HYPERLINK("https://propertylookup.dupagecounty.gov/Datalets/Datalet.aspx?UseSearch=no&amp;mode=sales&amp;pin=0610105011","sales record")</f>
        <v>sales record</v>
      </c>
      <c r="AC6293" t="s">
        <v>3</v>
      </c>
      <c r="AD6293">
        <v>41.888271</v>
      </c>
      <c r="AE6293">
        <v>-87.969753</v>
      </c>
      <c r="AF6293" s="5" t="str">
        <f>HYPERLINK("https://www.google.com/maps/search/?api=1&amp;query=41.888271,-87.969753","map")</f>
        <v>map</v>
      </c>
    </row>
    <row r="6294" spans="1:32">
      <c r="A6294" t="s">
        <v>6344</v>
      </c>
      <c r="B6294" t="s">
        <v>13840</v>
      </c>
      <c r="C6294" t="s">
        <v>15998</v>
      </c>
      <c r="D6294" t="s">
        <v>16209</v>
      </c>
      <c r="E6294" t="s">
        <v>16217</v>
      </c>
      <c r="F6294" t="s">
        <v>16222</v>
      </c>
      <c r="G6294" t="s">
        <v>16282</v>
      </c>
      <c r="H6294" t="s">
        <v>16282</v>
      </c>
      <c r="I6294" t="s">
        <v>16360</v>
      </c>
      <c r="J6294" t="s">
        <v>16386</v>
      </c>
      <c r="K6294">
        <v>0.171</v>
      </c>
      <c r="L6294">
        <v>7456</v>
      </c>
      <c r="N6294" t="s">
        <v>16392</v>
      </c>
      <c r="O6294" s="4">
        <v>28332</v>
      </c>
      <c r="P6294" s="4">
        <v>0</v>
      </c>
      <c r="Q6294" s="4">
        <v>28332</v>
      </c>
      <c r="R6294" s="4">
        <v>84996</v>
      </c>
      <c r="S6294" t="s">
        <v>22516</v>
      </c>
      <c r="T6294" s="6">
        <v>44881</v>
      </c>
      <c r="V6294" t="s">
        <v>23744</v>
      </c>
      <c r="W6294" t="s">
        <v>27210</v>
      </c>
      <c r="X6294" t="s">
        <v>3</v>
      </c>
      <c r="AA6294" s="5" t="str">
        <f>HYPERLINK("https://www.zillow.com/homes/114-E-ST-CHARLES-RD-VILLA-PARK-IL-60181_rb/","check listing")</f>
        <v>check listing</v>
      </c>
      <c r="AB6294" s="5" t="str">
        <f>HYPERLINK("https://propertylookup.dupagecounty.gov/Datalets/Datalet.aspx?UseSearch=no&amp;mode=sales&amp;pin=0603314023","sales record")</f>
        <v>sales record</v>
      </c>
      <c r="AC6294" t="s">
        <v>3</v>
      </c>
      <c r="AD6294">
        <v>41.89014</v>
      </c>
      <c r="AE6294">
        <v>-87.975514</v>
      </c>
      <c r="AF6294" s="5" t="str">
        <f>HYPERLINK("https://www.google.com/maps/search/?api=1&amp;query=41.89014,-87.975514","map")</f>
        <v>map</v>
      </c>
    </row>
    <row r="6295" spans="1:32">
      <c r="A6295" t="s">
        <v>6345</v>
      </c>
      <c r="B6295" t="s">
        <v>13841</v>
      </c>
      <c r="C6295" t="s">
        <v>16004</v>
      </c>
      <c r="D6295" t="s">
        <v>16209</v>
      </c>
      <c r="E6295" t="s">
        <v>16217</v>
      </c>
      <c r="F6295" t="s">
        <v>16222</v>
      </c>
      <c r="G6295" t="s">
        <v>16282</v>
      </c>
      <c r="H6295" t="s">
        <v>16282</v>
      </c>
      <c r="I6295" t="s">
        <v>16360</v>
      </c>
      <c r="J6295" t="s">
        <v>16386</v>
      </c>
      <c r="K6295">
        <v>0.171</v>
      </c>
      <c r="L6295">
        <v>7456</v>
      </c>
      <c r="N6295" t="s">
        <v>16392</v>
      </c>
      <c r="O6295" s="4">
        <v>28670</v>
      </c>
      <c r="P6295" s="4">
        <v>0</v>
      </c>
      <c r="Q6295" s="4">
        <v>28670</v>
      </c>
      <c r="R6295" s="4">
        <v>86010</v>
      </c>
      <c r="S6295" t="s">
        <v>22517</v>
      </c>
      <c r="T6295" s="6">
        <v>44228</v>
      </c>
      <c r="U6295" s="4">
        <v>312500</v>
      </c>
      <c r="V6295" t="s">
        <v>23740</v>
      </c>
      <c r="W6295" t="s">
        <v>27211</v>
      </c>
      <c r="X6295" t="s">
        <v>3</v>
      </c>
      <c r="AA6295" s="5" t="str">
        <f>HYPERLINK("https://www.zillow.com/homes/295-E-SAINT-CHARLES-RD-VILLA-PARK-IL-601812421_rb/","check listing")</f>
        <v>check listing</v>
      </c>
      <c r="AB6295" s="5" t="str">
        <f>HYPERLINK("https://propertylookup.dupagecounty.gov/Datalets/Datalet.aspx?UseSearch=no&amp;mode=sales&amp;pin=0610104001","sales record")</f>
        <v>sales record</v>
      </c>
      <c r="AC6295" t="s">
        <v>3</v>
      </c>
      <c r="AD6295">
        <v>41.889653</v>
      </c>
      <c r="AE6295">
        <v>-87.972257</v>
      </c>
      <c r="AF6295" s="5" t="str">
        <f>HYPERLINK("https://www.google.com/maps/search/?api=1&amp;query=41.889653,-87.972257","map")</f>
        <v>map</v>
      </c>
    </row>
    <row r="6296" spans="1:32">
      <c r="A6296" t="s">
        <v>6346</v>
      </c>
      <c r="B6296" t="s">
        <v>13842</v>
      </c>
      <c r="C6296" t="s">
        <v>16005</v>
      </c>
      <c r="D6296" t="s">
        <v>16209</v>
      </c>
      <c r="E6296" t="s">
        <v>16217</v>
      </c>
      <c r="F6296" t="s">
        <v>16222</v>
      </c>
      <c r="G6296" t="s">
        <v>16282</v>
      </c>
      <c r="H6296" t="s">
        <v>16282</v>
      </c>
      <c r="I6296" t="s">
        <v>16360</v>
      </c>
      <c r="J6296" t="s">
        <v>16386</v>
      </c>
      <c r="K6296">
        <v>0.17</v>
      </c>
      <c r="L6296">
        <v>7420</v>
      </c>
      <c r="N6296" t="s">
        <v>16392</v>
      </c>
      <c r="O6296" s="4">
        <v>28670</v>
      </c>
      <c r="P6296" s="4">
        <v>0</v>
      </c>
      <c r="Q6296" s="4">
        <v>28670</v>
      </c>
      <c r="R6296" s="4">
        <v>86010</v>
      </c>
      <c r="S6296" t="s">
        <v>22518</v>
      </c>
      <c r="T6296" s="6">
        <v>42644</v>
      </c>
      <c r="U6296" s="4">
        <v>250000</v>
      </c>
      <c r="V6296" t="s">
        <v>23740</v>
      </c>
      <c r="W6296" t="s">
        <v>27212</v>
      </c>
      <c r="X6296" t="s">
        <v>3</v>
      </c>
      <c r="AA6296" s="5" t="str">
        <f>HYPERLINK("https://www.zillow.com/homes/211-E-SAINT-CHARLES-RD-VILLA-PARK-IL-601812419_rb/","check listing")</f>
        <v>check listing</v>
      </c>
      <c r="AB6296" s="5" t="str">
        <f>HYPERLINK("https://propertylookup.dupagecounty.gov/Datalets/Datalet.aspx?UseSearch=no&amp;mode=sales&amp;pin=0610103003","sales record")</f>
        <v>sales record</v>
      </c>
      <c r="AC6296" t="s">
        <v>27872</v>
      </c>
      <c r="AD6296">
        <v>41.88963</v>
      </c>
      <c r="AE6296">
        <v>-87.973023</v>
      </c>
      <c r="AF6296" s="5" t="str">
        <f>HYPERLINK("https://www.google.com/maps/search/?api=1&amp;query=41.88963,-87.973023","map")</f>
        <v>map</v>
      </c>
    </row>
    <row r="6297" spans="1:32">
      <c r="A6297" t="s">
        <v>6347</v>
      </c>
      <c r="B6297" t="s">
        <v>13835</v>
      </c>
      <c r="C6297" t="s">
        <v>15998</v>
      </c>
      <c r="D6297" t="s">
        <v>16209</v>
      </c>
      <c r="E6297" t="s">
        <v>16217</v>
      </c>
      <c r="F6297" t="s">
        <v>16222</v>
      </c>
      <c r="G6297" t="s">
        <v>16280</v>
      </c>
      <c r="H6297" t="s">
        <v>16280</v>
      </c>
      <c r="I6297" t="s">
        <v>16358</v>
      </c>
      <c r="J6297" t="s">
        <v>16386</v>
      </c>
      <c r="K6297">
        <v>0.169</v>
      </c>
      <c r="L6297">
        <v>7368</v>
      </c>
      <c r="N6297" t="s">
        <v>16392</v>
      </c>
      <c r="O6297" s="4">
        <v>28320</v>
      </c>
      <c r="P6297" s="4">
        <v>0</v>
      </c>
      <c r="Q6297" s="4">
        <v>28320</v>
      </c>
      <c r="R6297" s="4">
        <v>84960</v>
      </c>
      <c r="S6297" t="s">
        <v>22512</v>
      </c>
      <c r="T6297" s="6">
        <v>34943</v>
      </c>
      <c r="U6297" s="4">
        <v>75000</v>
      </c>
      <c r="X6297" t="s">
        <v>3</v>
      </c>
      <c r="AA6297" s="5" t="str">
        <f>HYPERLINK("https://www.zillow.com/homes/500-W-ST-CHARLES-RD-VILLA-PARK-IL-60181_rb/","check listing")</f>
        <v>check listing</v>
      </c>
      <c r="AB6297" s="5" t="str">
        <f>HYPERLINK("https://propertylookup.dupagecounty.gov/Datalets/Datalet.aspx?UseSearch=no&amp;mode=sales&amp;pin=0604322020","sales record")</f>
        <v>sales record</v>
      </c>
      <c r="AC6297" t="s">
        <v>3</v>
      </c>
      <c r="AD6297">
        <v>41.89009</v>
      </c>
      <c r="AE6297">
        <v>-87.99173999999999</v>
      </c>
      <c r="AF6297" s="5" t="str">
        <f>HYPERLINK("https://www.google.com/maps/search/?api=1&amp;query=41.89009,-87.99174","map")</f>
        <v>map</v>
      </c>
    </row>
    <row r="6298" spans="1:32">
      <c r="A6298" t="s">
        <v>6348</v>
      </c>
      <c r="B6298" t="s">
        <v>13843</v>
      </c>
      <c r="C6298" t="s">
        <v>16006</v>
      </c>
      <c r="D6298" t="s">
        <v>16209</v>
      </c>
      <c r="E6298" t="s">
        <v>16217</v>
      </c>
      <c r="F6298" t="s">
        <v>16222</v>
      </c>
      <c r="G6298" t="s">
        <v>16280</v>
      </c>
      <c r="H6298" t="s">
        <v>16280</v>
      </c>
      <c r="I6298" t="s">
        <v>16358</v>
      </c>
      <c r="J6298" t="s">
        <v>16386</v>
      </c>
      <c r="K6298">
        <v>0.164</v>
      </c>
      <c r="L6298">
        <v>7136</v>
      </c>
      <c r="M6298">
        <v>1132</v>
      </c>
      <c r="N6298" t="s">
        <v>16392</v>
      </c>
      <c r="O6298" s="4">
        <v>27690</v>
      </c>
      <c r="P6298" s="4">
        <v>0</v>
      </c>
      <c r="Q6298" s="4">
        <v>27690</v>
      </c>
      <c r="R6298" s="4">
        <v>83070</v>
      </c>
      <c r="S6298" t="s">
        <v>22519</v>
      </c>
      <c r="T6298" s="6">
        <v>44501</v>
      </c>
      <c r="U6298" s="4">
        <v>105000</v>
      </c>
      <c r="V6298" t="s">
        <v>23740</v>
      </c>
      <c r="W6298" t="s">
        <v>22519</v>
      </c>
      <c r="X6298" t="s">
        <v>3</v>
      </c>
      <c r="AA6298" s="5" t="str">
        <f>HYPERLINK("https://www.zillow.com/homes/530-W-SAINT-CHARLES-RD-VILLA-PARK-IL-601812431_rb/","check listing")</f>
        <v>check listing</v>
      </c>
      <c r="AB6298" s="5" t="str">
        <f>HYPERLINK("https://propertylookup.dupagecounty.gov/Datalets/Datalet.aspx?UseSearch=no&amp;mode=sales&amp;pin=0604321016","sales record")</f>
        <v>sales record</v>
      </c>
      <c r="AC6298" t="s">
        <v>27871</v>
      </c>
      <c r="AD6298">
        <v>41.890094</v>
      </c>
      <c r="AE6298">
        <v>-87.992941</v>
      </c>
      <c r="AF6298" s="5" t="str">
        <f>HYPERLINK("https://www.google.com/maps/search/?api=1&amp;query=41.890094,-87.992941","map")</f>
        <v>map</v>
      </c>
    </row>
    <row r="6299" spans="1:32">
      <c r="A6299" t="s">
        <v>6349</v>
      </c>
      <c r="B6299" t="s">
        <v>13844</v>
      </c>
      <c r="C6299" t="s">
        <v>16007</v>
      </c>
      <c r="D6299" t="s">
        <v>16209</v>
      </c>
      <c r="E6299" t="s">
        <v>16217</v>
      </c>
      <c r="F6299" t="s">
        <v>16222</v>
      </c>
      <c r="G6299" t="s">
        <v>16280</v>
      </c>
      <c r="H6299" t="s">
        <v>16280</v>
      </c>
      <c r="I6299" t="s">
        <v>16358</v>
      </c>
      <c r="J6299" t="s">
        <v>16386</v>
      </c>
      <c r="K6299">
        <v>0.16</v>
      </c>
      <c r="L6299">
        <v>6982</v>
      </c>
      <c r="M6299">
        <v>1282</v>
      </c>
      <c r="N6299" t="s">
        <v>16392</v>
      </c>
      <c r="O6299" s="4">
        <v>27188</v>
      </c>
      <c r="P6299" s="4">
        <v>0</v>
      </c>
      <c r="Q6299" s="4">
        <v>27188</v>
      </c>
      <c r="R6299" s="4">
        <v>81564</v>
      </c>
      <c r="S6299" t="s">
        <v>22520</v>
      </c>
      <c r="X6299" t="s">
        <v>3</v>
      </c>
      <c r="AA6299" s="5" t="str">
        <f>HYPERLINK("https://www.zillow.com/homes/204-S-VILLA-AVE-VILLA-PARK-IL-601812656_rb/","check listing")</f>
        <v>check listing</v>
      </c>
      <c r="AB6299" s="5" t="str">
        <f>HYPERLINK("https://propertylookup.dupagecounty.gov/Datalets/Datalet.aspx?UseSearch=no&amp;mode=sales&amp;pin=0610116008","sales record")</f>
        <v>sales record</v>
      </c>
      <c r="AC6299" t="s">
        <v>11</v>
      </c>
      <c r="AD6299">
        <v>41.886145</v>
      </c>
      <c r="AE6299">
        <v>-87.969865</v>
      </c>
      <c r="AF6299" s="5" t="str">
        <f>HYPERLINK("https://www.google.com/maps/search/?api=1&amp;query=41.886145,-87.969865","map")</f>
        <v>map</v>
      </c>
    </row>
    <row r="6300" spans="1:32">
      <c r="A6300" t="s">
        <v>6350</v>
      </c>
      <c r="B6300" t="s">
        <v>13845</v>
      </c>
      <c r="C6300" t="s">
        <v>15998</v>
      </c>
      <c r="D6300" t="s">
        <v>16209</v>
      </c>
      <c r="E6300" t="s">
        <v>16217</v>
      </c>
      <c r="F6300" t="s">
        <v>16222</v>
      </c>
      <c r="G6300" t="s">
        <v>16282</v>
      </c>
      <c r="H6300" t="s">
        <v>16282</v>
      </c>
      <c r="I6300" t="s">
        <v>16360</v>
      </c>
      <c r="J6300" t="s">
        <v>16386</v>
      </c>
      <c r="K6300">
        <v>0.143</v>
      </c>
      <c r="L6300">
        <v>6237</v>
      </c>
      <c r="N6300" t="s">
        <v>16392</v>
      </c>
      <c r="O6300" s="4">
        <v>23900</v>
      </c>
      <c r="P6300" s="4">
        <v>0</v>
      </c>
      <c r="Q6300" s="4">
        <v>23900</v>
      </c>
      <c r="R6300" s="4">
        <v>71700</v>
      </c>
      <c r="S6300" t="s">
        <v>22521</v>
      </c>
      <c r="T6300" s="6">
        <v>38108</v>
      </c>
      <c r="U6300" s="4">
        <v>182500</v>
      </c>
      <c r="V6300" t="s">
        <v>23739</v>
      </c>
      <c r="W6300" t="s">
        <v>27213</v>
      </c>
      <c r="X6300" t="s">
        <v>3</v>
      </c>
      <c r="AA6300" s="5" t="str">
        <f>HYPERLINK("https://www.zillow.com/homes/131-ST-CHARLES-VILLA-PARK-IL-60181_rb/","check listing")</f>
        <v>check listing</v>
      </c>
      <c r="AB6300" s="5" t="str">
        <f>HYPERLINK("https://propertylookup.dupagecounty.gov/Datalets/Datalet.aspx?UseSearch=no&amp;mode=sales&amp;pin=0609202003","sales record")</f>
        <v>sales record</v>
      </c>
      <c r="AC6300" t="s">
        <v>3</v>
      </c>
      <c r="AD6300">
        <v>41.889496</v>
      </c>
      <c r="AE6300">
        <v>-87.98294</v>
      </c>
      <c r="AF6300" s="5" t="str">
        <f>HYPERLINK("https://www.google.com/maps/search/?api=1&amp;query=41.889496,-87.98294","map")</f>
        <v>map</v>
      </c>
    </row>
    <row r="6301" spans="1:32">
      <c r="A6301" t="s">
        <v>6351</v>
      </c>
      <c r="B6301" t="s">
        <v>13846</v>
      </c>
      <c r="C6301" t="s">
        <v>15998</v>
      </c>
      <c r="D6301" t="s">
        <v>16209</v>
      </c>
      <c r="E6301" t="s">
        <v>16217</v>
      </c>
      <c r="F6301" t="s">
        <v>16222</v>
      </c>
      <c r="G6301" t="s">
        <v>16281</v>
      </c>
      <c r="H6301" t="s">
        <v>16281</v>
      </c>
      <c r="I6301" t="s">
        <v>16359</v>
      </c>
      <c r="J6301" t="s">
        <v>16386</v>
      </c>
      <c r="K6301">
        <v>0.137</v>
      </c>
      <c r="L6301">
        <v>5980</v>
      </c>
      <c r="N6301" t="s">
        <v>16393</v>
      </c>
      <c r="O6301" s="4">
        <v>12702</v>
      </c>
      <c r="P6301" s="4">
        <v>0</v>
      </c>
      <c r="Q6301" s="4">
        <v>12702</v>
      </c>
      <c r="R6301" s="4">
        <v>38106</v>
      </c>
      <c r="S6301" t="s">
        <v>22497</v>
      </c>
      <c r="T6301" s="6">
        <v>39173</v>
      </c>
      <c r="U6301" s="4">
        <v>400000</v>
      </c>
      <c r="V6301" t="s">
        <v>23739</v>
      </c>
      <c r="W6301" t="s">
        <v>27214</v>
      </c>
      <c r="X6301" t="s">
        <v>3</v>
      </c>
      <c r="AA6301" s="5" t="str">
        <f>HYPERLINK("https://www.zillow.com/homes/416-N-BEVERLY-AVE-VILLA-PARK-IL-60181_rb/","check listing")</f>
        <v>check listing</v>
      </c>
      <c r="AB6301" s="5" t="str">
        <f>HYPERLINK("https://propertylookup.dupagecounty.gov/Datalets/Datalet.aspx?UseSearch=no&amp;mode=sales&amp;pin=0603122012","sales record")</f>
        <v>sales record</v>
      </c>
      <c r="AC6301" t="s">
        <v>3</v>
      </c>
      <c r="AD6301">
        <v>41.897726</v>
      </c>
      <c r="AE6301">
        <v>-87.97800599999999</v>
      </c>
      <c r="AF6301" s="5" t="str">
        <f>HYPERLINK("https://www.google.com/maps/search/?api=1&amp;query=41.897726,-87.978006","map")</f>
        <v>map</v>
      </c>
    </row>
    <row r="6302" spans="1:32">
      <c r="A6302" t="s">
        <v>6352</v>
      </c>
      <c r="B6302" t="s">
        <v>13828</v>
      </c>
      <c r="C6302" t="s">
        <v>15998</v>
      </c>
      <c r="D6302" t="s">
        <v>16209</v>
      </c>
      <c r="E6302" t="s">
        <v>16217</v>
      </c>
      <c r="F6302" t="s">
        <v>16222</v>
      </c>
      <c r="G6302" t="s">
        <v>16280</v>
      </c>
      <c r="H6302" t="s">
        <v>16280</v>
      </c>
      <c r="I6302" t="s">
        <v>16358</v>
      </c>
      <c r="J6302" t="s">
        <v>16386</v>
      </c>
      <c r="K6302">
        <v>0.13</v>
      </c>
      <c r="L6302">
        <v>5684</v>
      </c>
      <c r="N6302" t="s">
        <v>16392</v>
      </c>
      <c r="O6302" s="4">
        <v>21334</v>
      </c>
      <c r="P6302" s="4">
        <v>0</v>
      </c>
      <c r="Q6302" s="4">
        <v>21334</v>
      </c>
      <c r="R6302" s="4">
        <v>64002</v>
      </c>
      <c r="S6302" t="s">
        <v>22505</v>
      </c>
      <c r="X6302" t="s">
        <v>3</v>
      </c>
      <c r="AA6302" s="5" t="str">
        <f>HYPERLINK("https://www.zillow.com/homes/27-W-PARK-BLVD-VILLA-PARK-IL-60181_rb/","check listing")</f>
        <v>check listing</v>
      </c>
      <c r="AB6302" s="5" t="str">
        <f>HYPERLINK("https://propertylookup.dupagecounty.gov/Datalets/Datalet.aspx?UseSearch=no&amp;mode=sales&amp;pin=0609220002","sales record")</f>
        <v>sales record</v>
      </c>
      <c r="AC6302" t="s">
        <v>3</v>
      </c>
      <c r="AD6302">
        <v>41.882801</v>
      </c>
      <c r="AE6302">
        <v>-87.980003</v>
      </c>
      <c r="AF6302" s="5" t="str">
        <f>HYPERLINK("https://www.google.com/maps/search/?api=1&amp;query=41.882801,-87.980003","map")</f>
        <v>map</v>
      </c>
    </row>
    <row r="6303" spans="1:32">
      <c r="A6303" t="s">
        <v>6353</v>
      </c>
      <c r="B6303" t="s">
        <v>13847</v>
      </c>
      <c r="C6303" t="s">
        <v>15998</v>
      </c>
      <c r="D6303" t="s">
        <v>16209</v>
      </c>
      <c r="E6303" t="s">
        <v>16217</v>
      </c>
      <c r="F6303" t="s">
        <v>16222</v>
      </c>
      <c r="G6303" t="s">
        <v>16281</v>
      </c>
      <c r="H6303" t="s">
        <v>16281</v>
      </c>
      <c r="I6303" t="s">
        <v>16359</v>
      </c>
      <c r="J6303" t="s">
        <v>16386</v>
      </c>
      <c r="K6303">
        <v>0.123</v>
      </c>
      <c r="L6303">
        <v>5377</v>
      </c>
      <c r="N6303" t="s">
        <v>16393</v>
      </c>
      <c r="O6303" s="4">
        <v>12702</v>
      </c>
      <c r="P6303" s="4">
        <v>0</v>
      </c>
      <c r="Q6303" s="4">
        <v>12702</v>
      </c>
      <c r="R6303" s="4">
        <v>38106</v>
      </c>
      <c r="S6303" t="s">
        <v>22497</v>
      </c>
      <c r="T6303" s="6">
        <v>40179</v>
      </c>
      <c r="U6303" s="4">
        <v>218129</v>
      </c>
      <c r="V6303" t="s">
        <v>23739</v>
      </c>
      <c r="W6303" t="s">
        <v>27214</v>
      </c>
      <c r="X6303" t="s">
        <v>3</v>
      </c>
      <c r="AA6303" s="5" t="str">
        <f>HYPERLINK("https://www.zillow.com/homes/408-N-BEVERLY-AVE-VILLA-PARK-IL-60181_rb/","check listing")</f>
        <v>check listing</v>
      </c>
      <c r="AB6303" s="5" t="str">
        <f>HYPERLINK("https://propertylookup.dupagecounty.gov/Datalets/Datalet.aspx?UseSearch=no&amp;mode=sales&amp;pin=0603122009","sales record")</f>
        <v>sales record</v>
      </c>
      <c r="AC6303" t="s">
        <v>3</v>
      </c>
      <c r="AD6303">
        <v>41.897331</v>
      </c>
      <c r="AE6303">
        <v>-87.978014</v>
      </c>
      <c r="AF6303" s="5" t="str">
        <f>HYPERLINK("https://www.google.com/maps/search/?api=1&amp;query=41.897331,-87.978014","map")</f>
        <v>map</v>
      </c>
    </row>
    <row r="6304" spans="1:32">
      <c r="A6304" t="s">
        <v>6354</v>
      </c>
      <c r="B6304" t="s">
        <v>13848</v>
      </c>
      <c r="C6304" t="s">
        <v>15998</v>
      </c>
      <c r="D6304" t="s">
        <v>16209</v>
      </c>
      <c r="E6304" t="s">
        <v>16217</v>
      </c>
      <c r="F6304" t="s">
        <v>16222</v>
      </c>
      <c r="G6304" t="s">
        <v>16282</v>
      </c>
      <c r="H6304" t="s">
        <v>16282</v>
      </c>
      <c r="I6304" t="s">
        <v>16360</v>
      </c>
      <c r="J6304" t="s">
        <v>16386</v>
      </c>
      <c r="K6304">
        <v>0.123</v>
      </c>
      <c r="L6304">
        <v>5346</v>
      </c>
      <c r="N6304" t="s">
        <v>16392</v>
      </c>
      <c r="O6304" s="4">
        <v>21031</v>
      </c>
      <c r="P6304" s="4">
        <v>0</v>
      </c>
      <c r="Q6304" s="4">
        <v>21031</v>
      </c>
      <c r="R6304" s="4">
        <v>63093</v>
      </c>
      <c r="S6304" t="s">
        <v>22501</v>
      </c>
      <c r="X6304" t="s">
        <v>3</v>
      </c>
      <c r="AA6304" s="5" t="str">
        <f>HYPERLINK("https://www.zillow.com/homes/505-E-ST-CHARLES-RD-VILLA-PARK-IL-60181_rb/","check listing")</f>
        <v>check listing</v>
      </c>
      <c r="AB6304" s="5" t="str">
        <f>HYPERLINK("https://propertylookup.dupagecounty.gov/Datalets/Datalet.aspx?UseSearch=no&amp;mode=sales&amp;pin=0610201003","sales record")</f>
        <v>sales record</v>
      </c>
      <c r="AC6304" t="s">
        <v>27872</v>
      </c>
      <c r="AD6304">
        <v>41.889976</v>
      </c>
      <c r="AE6304">
        <v>-87.965501</v>
      </c>
      <c r="AF6304" s="5" t="str">
        <f>HYPERLINK("https://www.google.com/maps/search/?api=1&amp;query=41.889976,-87.965501","map")</f>
        <v>map</v>
      </c>
    </row>
    <row r="6305" spans="1:32">
      <c r="A6305" t="s">
        <v>6355</v>
      </c>
      <c r="B6305" t="s">
        <v>13849</v>
      </c>
      <c r="C6305" t="s">
        <v>15998</v>
      </c>
      <c r="D6305" t="s">
        <v>16209</v>
      </c>
      <c r="E6305" t="s">
        <v>16217</v>
      </c>
      <c r="F6305" t="s">
        <v>16222</v>
      </c>
      <c r="G6305" t="s">
        <v>16281</v>
      </c>
      <c r="H6305" t="s">
        <v>16281</v>
      </c>
      <c r="I6305" t="s">
        <v>16359</v>
      </c>
      <c r="J6305" t="s">
        <v>16386</v>
      </c>
      <c r="K6305">
        <v>0.117</v>
      </c>
      <c r="L6305">
        <v>5076</v>
      </c>
      <c r="M6305">
        <v>1344</v>
      </c>
      <c r="N6305" t="s">
        <v>16393</v>
      </c>
      <c r="O6305" s="4">
        <v>12702</v>
      </c>
      <c r="P6305" s="4">
        <v>0</v>
      </c>
      <c r="Q6305" s="4">
        <v>12702</v>
      </c>
      <c r="R6305" s="4">
        <v>38106</v>
      </c>
      <c r="S6305" t="s">
        <v>22497</v>
      </c>
      <c r="X6305" t="s">
        <v>3</v>
      </c>
      <c r="AA6305" s="5" t="str">
        <f>HYPERLINK("https://www.zillow.com/homes/410-N-BEVERLY-AVE-VILLA-PARK-IL-60181_rb/","check listing")</f>
        <v>check listing</v>
      </c>
      <c r="AB6305" s="5" t="str">
        <f>HYPERLINK("https://propertylookup.dupagecounty.gov/Datalets/Datalet.aspx?UseSearch=no&amp;mode=sales&amp;pin=0603122015","sales record")</f>
        <v>sales record</v>
      </c>
      <c r="AC6305" t="s">
        <v>11</v>
      </c>
      <c r="AD6305">
        <v>41.897441</v>
      </c>
      <c r="AE6305">
        <v>-87.97801200000001</v>
      </c>
      <c r="AF6305" s="5" t="str">
        <f>HYPERLINK("https://www.google.com/maps/search/?api=1&amp;query=41.897441,-87.978012","map")</f>
        <v>map</v>
      </c>
    </row>
    <row r="6306" spans="1:32">
      <c r="A6306" t="s">
        <v>6356</v>
      </c>
      <c r="B6306" t="s">
        <v>13850</v>
      </c>
      <c r="C6306" t="s">
        <v>15998</v>
      </c>
      <c r="D6306" t="s">
        <v>16209</v>
      </c>
      <c r="E6306" t="s">
        <v>16217</v>
      </c>
      <c r="F6306" t="s">
        <v>16222</v>
      </c>
      <c r="G6306" t="s">
        <v>16281</v>
      </c>
      <c r="H6306" t="s">
        <v>16281</v>
      </c>
      <c r="I6306" t="s">
        <v>16359</v>
      </c>
      <c r="J6306" t="s">
        <v>16386</v>
      </c>
      <c r="K6306">
        <v>0.116</v>
      </c>
      <c r="L6306">
        <v>5066</v>
      </c>
      <c r="N6306" t="s">
        <v>16393</v>
      </c>
      <c r="O6306" s="4">
        <v>12702</v>
      </c>
      <c r="P6306" s="4">
        <v>0</v>
      </c>
      <c r="Q6306" s="4">
        <v>12702</v>
      </c>
      <c r="R6306" s="4">
        <v>38106</v>
      </c>
      <c r="S6306" t="s">
        <v>22497</v>
      </c>
      <c r="T6306" s="6">
        <v>39234</v>
      </c>
      <c r="U6306" s="4">
        <v>386000</v>
      </c>
      <c r="V6306" t="s">
        <v>23740</v>
      </c>
      <c r="W6306" t="s">
        <v>27214</v>
      </c>
      <c r="X6306" t="s">
        <v>3</v>
      </c>
      <c r="AA6306" s="5" t="str">
        <f>HYPERLINK("https://www.zillow.com/homes/412-N-BEVERLY-AVE-VILLA-PARK-IL-60181_rb/","check listing")</f>
        <v>check listing</v>
      </c>
      <c r="AB6306" s="5" t="str">
        <f>HYPERLINK("https://propertylookup.dupagecounty.gov/Datalets/Datalet.aspx?UseSearch=no&amp;mode=sales&amp;pin=0603122014","sales record")</f>
        <v>sales record</v>
      </c>
      <c r="AC6306" t="s">
        <v>3</v>
      </c>
      <c r="AD6306">
        <v>41.897519</v>
      </c>
      <c r="AE6306">
        <v>-87.97801</v>
      </c>
      <c r="AF6306" s="5" t="str">
        <f>HYPERLINK("https://www.google.com/maps/search/?api=1&amp;query=41.897519,-87.97801","map")</f>
        <v>map</v>
      </c>
    </row>
    <row r="6307" spans="1:32">
      <c r="A6307" t="s">
        <v>6357</v>
      </c>
      <c r="B6307" t="s">
        <v>13851</v>
      </c>
      <c r="C6307" t="s">
        <v>15998</v>
      </c>
      <c r="D6307" t="s">
        <v>16209</v>
      </c>
      <c r="E6307" t="s">
        <v>16217</v>
      </c>
      <c r="F6307" t="s">
        <v>16222</v>
      </c>
      <c r="G6307" t="s">
        <v>16281</v>
      </c>
      <c r="H6307" t="s">
        <v>16281</v>
      </c>
      <c r="I6307" t="s">
        <v>16359</v>
      </c>
      <c r="J6307" t="s">
        <v>16386</v>
      </c>
      <c r="K6307">
        <v>0.111</v>
      </c>
      <c r="L6307">
        <v>4837</v>
      </c>
      <c r="M6307">
        <v>1340</v>
      </c>
      <c r="N6307" t="s">
        <v>16393</v>
      </c>
      <c r="O6307" s="4">
        <v>12702</v>
      </c>
      <c r="P6307" s="4">
        <v>0</v>
      </c>
      <c r="Q6307" s="4">
        <v>12702</v>
      </c>
      <c r="R6307" s="4">
        <v>38106</v>
      </c>
      <c r="S6307" t="s">
        <v>22497</v>
      </c>
      <c r="T6307" s="6">
        <v>39173</v>
      </c>
      <c r="U6307" s="4">
        <v>400000</v>
      </c>
      <c r="V6307" t="s">
        <v>23740</v>
      </c>
      <c r="W6307" t="s">
        <v>27214</v>
      </c>
      <c r="X6307" t="s">
        <v>3</v>
      </c>
      <c r="AA6307" s="5" t="str">
        <f>HYPERLINK("https://www.zillow.com/homes/414-N-BEVERLY-AVE-VILLA-PARK-IL-60181_rb/","check listing")</f>
        <v>check listing</v>
      </c>
      <c r="AB6307" s="5" t="str">
        <f>HYPERLINK("https://propertylookup.dupagecounty.gov/Datalets/Datalet.aspx?UseSearch=no&amp;mode=sales&amp;pin=0603122013","sales record")</f>
        <v>sales record</v>
      </c>
      <c r="AC6307" t="s">
        <v>11</v>
      </c>
      <c r="AD6307">
        <v>41.897623</v>
      </c>
      <c r="AE6307">
        <v>-87.978008</v>
      </c>
      <c r="AF6307" s="5" t="str">
        <f>HYPERLINK("https://www.google.com/maps/search/?api=1&amp;query=41.897623,-87.978008","map")</f>
        <v>map</v>
      </c>
    </row>
    <row r="6308" spans="1:32">
      <c r="A6308" t="s">
        <v>6358</v>
      </c>
      <c r="B6308" t="s">
        <v>13852</v>
      </c>
      <c r="C6308" t="s">
        <v>15998</v>
      </c>
      <c r="D6308" t="s">
        <v>16209</v>
      </c>
      <c r="E6308" t="s">
        <v>16217</v>
      </c>
      <c r="F6308" t="s">
        <v>16222</v>
      </c>
      <c r="G6308" t="s">
        <v>16281</v>
      </c>
      <c r="H6308" t="s">
        <v>16281</v>
      </c>
      <c r="I6308" t="s">
        <v>16359</v>
      </c>
      <c r="J6308" t="s">
        <v>16386</v>
      </c>
      <c r="K6308">
        <v>0.11</v>
      </c>
      <c r="L6308">
        <v>4809</v>
      </c>
      <c r="M6308">
        <v>1094</v>
      </c>
      <c r="N6308" t="s">
        <v>16393</v>
      </c>
      <c r="O6308" s="4">
        <v>12702</v>
      </c>
      <c r="P6308" s="4">
        <v>0</v>
      </c>
      <c r="Q6308" s="4">
        <v>12702</v>
      </c>
      <c r="R6308" s="4">
        <v>38106</v>
      </c>
      <c r="S6308" t="s">
        <v>22497</v>
      </c>
      <c r="T6308" s="6">
        <v>39539</v>
      </c>
      <c r="U6308" s="4">
        <v>190000</v>
      </c>
      <c r="V6308" t="s">
        <v>23739</v>
      </c>
      <c r="W6308" t="s">
        <v>27214</v>
      </c>
      <c r="X6308" t="s">
        <v>3</v>
      </c>
      <c r="AA6308" s="5" t="str">
        <f>HYPERLINK("https://www.zillow.com/homes/406-N-BEVERLY-AVE-VILLA-PARK-IL-60181_rb/","check listing")</f>
        <v>check listing</v>
      </c>
      <c r="AB6308" s="5" t="str">
        <f>HYPERLINK("https://propertylookup.dupagecounty.gov/Datalets/Datalet.aspx?UseSearch=no&amp;mode=sales&amp;pin=0603122010","sales record")</f>
        <v>sales record</v>
      </c>
      <c r="AC6308" t="s">
        <v>11</v>
      </c>
      <c r="AD6308">
        <v>41.897235</v>
      </c>
      <c r="AE6308">
        <v>-87.978015</v>
      </c>
      <c r="AF6308" s="5" t="str">
        <f>HYPERLINK("https://www.google.com/maps/search/?api=1&amp;query=41.897235,-87.978015","map")</f>
        <v>map</v>
      </c>
    </row>
    <row r="6309" spans="1:32">
      <c r="A6309" t="s">
        <v>6359</v>
      </c>
      <c r="B6309" t="s">
        <v>13853</v>
      </c>
      <c r="C6309" t="s">
        <v>15998</v>
      </c>
      <c r="D6309" t="s">
        <v>16209</v>
      </c>
      <c r="E6309" t="s">
        <v>16217</v>
      </c>
      <c r="F6309" t="s">
        <v>16222</v>
      </c>
      <c r="G6309" t="s">
        <v>16283</v>
      </c>
      <c r="H6309" t="s">
        <v>16283</v>
      </c>
      <c r="I6309" t="s">
        <v>16361</v>
      </c>
      <c r="J6309" t="s">
        <v>16386</v>
      </c>
      <c r="K6309">
        <v>0.103</v>
      </c>
      <c r="L6309">
        <v>4484</v>
      </c>
      <c r="N6309" t="s">
        <v>16392</v>
      </c>
      <c r="O6309" s="4">
        <v>3989</v>
      </c>
      <c r="P6309" s="4">
        <v>0</v>
      </c>
      <c r="Q6309" s="4">
        <v>3989</v>
      </c>
      <c r="R6309" s="4">
        <v>11967</v>
      </c>
      <c r="S6309" t="s">
        <v>22513</v>
      </c>
      <c r="T6309" s="6">
        <v>44470</v>
      </c>
      <c r="U6309" s="4">
        <v>10000</v>
      </c>
      <c r="V6309" t="s">
        <v>23740</v>
      </c>
      <c r="W6309" t="s">
        <v>27215</v>
      </c>
      <c r="X6309" t="s">
        <v>3</v>
      </c>
      <c r="AA6309" s="5" t="str">
        <f>HYPERLINK("https://www.zillow.com/homes/339-S-ARDMORE-AVE-VILLA-PARK-IL-60181_rb/","check listing")</f>
        <v>check listing</v>
      </c>
      <c r="AB6309" s="5" t="str">
        <f>HYPERLINK("https://propertylookup.dupagecounty.gov/Datalets/Datalet.aspx?UseSearch=no&amp;mode=sales&amp;pin=0610118016","sales record")</f>
        <v>sales record</v>
      </c>
      <c r="AC6309" t="s">
        <v>3</v>
      </c>
      <c r="AD6309">
        <v>41.882644</v>
      </c>
      <c r="AE6309">
        <v>-87.978492</v>
      </c>
      <c r="AF6309" s="5" t="str">
        <f>HYPERLINK("https://www.google.com/maps/search/?api=1&amp;query=41.882644,-87.978492","map")</f>
        <v>map</v>
      </c>
    </row>
    <row r="6310" spans="1:32">
      <c r="A6310" t="s">
        <v>6360</v>
      </c>
      <c r="B6310" t="s">
        <v>13854</v>
      </c>
      <c r="C6310" t="s">
        <v>15998</v>
      </c>
      <c r="D6310" t="s">
        <v>16209</v>
      </c>
      <c r="E6310" t="s">
        <v>16217</v>
      </c>
      <c r="F6310" t="s">
        <v>16222</v>
      </c>
      <c r="G6310" t="s">
        <v>16280</v>
      </c>
      <c r="H6310" t="s">
        <v>16280</v>
      </c>
      <c r="I6310" t="s">
        <v>16358</v>
      </c>
      <c r="J6310" t="s">
        <v>16386</v>
      </c>
      <c r="K6310">
        <v>0.102</v>
      </c>
      <c r="L6310">
        <v>4458</v>
      </c>
      <c r="N6310" t="s">
        <v>16392</v>
      </c>
      <c r="O6310" s="4">
        <v>17205</v>
      </c>
      <c r="P6310" s="4">
        <v>0</v>
      </c>
      <c r="Q6310" s="4">
        <v>17205</v>
      </c>
      <c r="R6310" s="4">
        <v>51615</v>
      </c>
      <c r="S6310" t="s">
        <v>22493</v>
      </c>
      <c r="T6310" s="6">
        <v>44834</v>
      </c>
      <c r="U6310" s="4">
        <v>750000</v>
      </c>
      <c r="V6310" t="s">
        <v>23741</v>
      </c>
      <c r="W6310" t="s">
        <v>27201</v>
      </c>
      <c r="X6310" t="s">
        <v>3</v>
      </c>
      <c r="AA6310" s="5" t="str">
        <f>HYPERLINK("https://www.zillow.com/homes/11723-E-ST-CHARLES-RD-VILLA-PARK-IL-60181_rb/","check listing")</f>
        <v>check listing</v>
      </c>
      <c r="AB6310" s="5" t="str">
        <f>HYPERLINK("https://propertylookup.dupagecounty.gov/Datalets/Datalet.aspx?UseSearch=no&amp;mode=sales&amp;pin=0610101014","sales record")</f>
        <v>sales record</v>
      </c>
      <c r="AC6310" t="s">
        <v>27872</v>
      </c>
      <c r="AD6310">
        <v>41.889633</v>
      </c>
      <c r="AE6310">
        <v>-87.97567600000001</v>
      </c>
      <c r="AF6310" s="5" t="str">
        <f>HYPERLINK("https://www.google.com/maps/search/?api=1&amp;query=41.889633,-87.975676","map")</f>
        <v>map</v>
      </c>
    </row>
    <row r="6311" spans="1:32">
      <c r="A6311" t="s">
        <v>6361</v>
      </c>
      <c r="B6311" t="s">
        <v>13855</v>
      </c>
      <c r="C6311" t="s">
        <v>15998</v>
      </c>
      <c r="D6311" t="s">
        <v>16209</v>
      </c>
      <c r="E6311" t="s">
        <v>16217</v>
      </c>
      <c r="F6311" t="s">
        <v>16222</v>
      </c>
      <c r="G6311" t="s">
        <v>16280</v>
      </c>
      <c r="H6311" t="s">
        <v>16280</v>
      </c>
      <c r="I6311" t="s">
        <v>16358</v>
      </c>
      <c r="J6311" t="s">
        <v>16386</v>
      </c>
      <c r="K6311">
        <v>0.099</v>
      </c>
      <c r="L6311">
        <v>4309</v>
      </c>
      <c r="N6311" t="s">
        <v>16393</v>
      </c>
      <c r="O6311" s="4">
        <v>42329</v>
      </c>
      <c r="P6311" s="4">
        <v>0</v>
      </c>
      <c r="Q6311" s="4">
        <v>42329</v>
      </c>
      <c r="R6311" s="4">
        <v>126987</v>
      </c>
      <c r="S6311" t="s">
        <v>22522</v>
      </c>
      <c r="T6311" s="6">
        <v>45668</v>
      </c>
      <c r="U6311" s="4">
        <v>280000</v>
      </c>
      <c r="V6311" t="s">
        <v>23741</v>
      </c>
      <c r="W6311" t="s">
        <v>27216</v>
      </c>
      <c r="X6311" t="s">
        <v>3</v>
      </c>
      <c r="AA6311" s="5" t="str">
        <f>HYPERLINK("https://www.zillow.com/homes/116-W-ST-CHARLES-RD-VILLA-PARK-IL-60181_rb/","check listing")</f>
        <v>check listing</v>
      </c>
      <c r="AB6311" s="5" t="str">
        <f>HYPERLINK("https://propertylookup.dupagecounty.gov/Datalets/Datalet.aspx?UseSearch=no&amp;mode=sales&amp;pin=0604414023","sales record")</f>
        <v>sales record</v>
      </c>
      <c r="AC6311" t="s">
        <v>3</v>
      </c>
      <c r="AD6311">
        <v>41.890035</v>
      </c>
      <c r="AE6311">
        <v>-87.981959</v>
      </c>
      <c r="AF6311" s="5" t="str">
        <f>HYPERLINK("https://www.google.com/maps/search/?api=1&amp;query=41.890035,-87.981959","map")</f>
        <v>map</v>
      </c>
    </row>
    <row r="6312" spans="1:32">
      <c r="A6312" t="s">
        <v>6362</v>
      </c>
      <c r="B6312" t="s">
        <v>13855</v>
      </c>
      <c r="C6312" t="s">
        <v>15998</v>
      </c>
      <c r="D6312" t="s">
        <v>16209</v>
      </c>
      <c r="E6312" t="s">
        <v>16217</v>
      </c>
      <c r="F6312" t="s">
        <v>16222</v>
      </c>
      <c r="G6312" t="s">
        <v>16280</v>
      </c>
      <c r="H6312" t="s">
        <v>16280</v>
      </c>
      <c r="I6312" t="s">
        <v>16358</v>
      </c>
      <c r="J6312" t="s">
        <v>16386</v>
      </c>
      <c r="K6312">
        <v>0.099</v>
      </c>
      <c r="L6312">
        <v>4307</v>
      </c>
      <c r="N6312" t="s">
        <v>16393</v>
      </c>
      <c r="O6312" s="4">
        <v>42329</v>
      </c>
      <c r="P6312" s="4">
        <v>0</v>
      </c>
      <c r="Q6312" s="4">
        <v>42329</v>
      </c>
      <c r="R6312" s="4">
        <v>126987</v>
      </c>
      <c r="S6312" t="s">
        <v>22522</v>
      </c>
      <c r="T6312" s="6">
        <v>45668</v>
      </c>
      <c r="U6312" s="4">
        <v>280000</v>
      </c>
      <c r="V6312" t="s">
        <v>23741</v>
      </c>
      <c r="W6312" t="s">
        <v>27216</v>
      </c>
      <c r="X6312" t="s">
        <v>3</v>
      </c>
      <c r="AA6312" s="5" t="str">
        <f>HYPERLINK("https://www.zillow.com/homes/116-W-ST-CHARLES-RD-VILLA-PARK-IL-60181_rb/","check listing")</f>
        <v>check listing</v>
      </c>
      <c r="AB6312" s="5" t="str">
        <f>HYPERLINK("https://propertylookup.dupagecounty.gov/Datalets/Datalet.aspx?UseSearch=no&amp;mode=sales&amp;pin=0604414022","sales record")</f>
        <v>sales record</v>
      </c>
      <c r="AC6312" t="s">
        <v>27872</v>
      </c>
      <c r="AD6312">
        <v>41.890036</v>
      </c>
      <c r="AE6312">
        <v>-87.98206999999999</v>
      </c>
      <c r="AF6312" s="5" t="str">
        <f>HYPERLINK("https://www.google.com/maps/search/?api=1&amp;query=41.890036,-87.98207","map")</f>
        <v>map</v>
      </c>
    </row>
    <row r="6313" spans="1:32">
      <c r="A6313" t="s">
        <v>6363</v>
      </c>
      <c r="B6313" t="s">
        <v>13856</v>
      </c>
      <c r="C6313" t="s">
        <v>16008</v>
      </c>
      <c r="D6313" t="s">
        <v>16209</v>
      </c>
      <c r="E6313" t="s">
        <v>16217</v>
      </c>
      <c r="F6313" t="s">
        <v>16222</v>
      </c>
      <c r="G6313" t="s">
        <v>16280</v>
      </c>
      <c r="H6313" t="s">
        <v>16280</v>
      </c>
      <c r="I6313" t="s">
        <v>16358</v>
      </c>
      <c r="J6313" t="s">
        <v>16386</v>
      </c>
      <c r="K6313">
        <v>0.08699999999999999</v>
      </c>
      <c r="L6313">
        <v>3773</v>
      </c>
      <c r="N6313" t="s">
        <v>16392</v>
      </c>
      <c r="O6313" s="4">
        <v>14324</v>
      </c>
      <c r="P6313" s="4">
        <v>0</v>
      </c>
      <c r="Q6313" s="4">
        <v>14324</v>
      </c>
      <c r="R6313" s="4">
        <v>42972</v>
      </c>
      <c r="S6313" t="s">
        <v>22523</v>
      </c>
      <c r="T6313" s="6">
        <v>41548</v>
      </c>
      <c r="U6313" s="4">
        <v>220000</v>
      </c>
      <c r="V6313" t="s">
        <v>23740</v>
      </c>
      <c r="W6313" t="s">
        <v>27217</v>
      </c>
      <c r="X6313" t="s">
        <v>3</v>
      </c>
      <c r="AA6313" s="5" t="str">
        <f>HYPERLINK("https://www.zillow.com/homes/320-W-SAINT-CHARLES-RD-VILLA-PARK-IL-601812403_rb/","check listing")</f>
        <v>check listing</v>
      </c>
      <c r="AB6313" s="5" t="str">
        <f>HYPERLINK("https://propertylookup.dupagecounty.gov/Datalets/Datalet.aspx?UseSearch=no&amp;mode=sales&amp;pin=0604410038","sales record")</f>
        <v>sales record</v>
      </c>
      <c r="AC6313" t="s">
        <v>27872</v>
      </c>
      <c r="AD6313">
        <v>41.890069</v>
      </c>
      <c r="AE6313">
        <v>-87.987666</v>
      </c>
      <c r="AF6313" s="5" t="str">
        <f>HYPERLINK("https://www.google.com/maps/search/?api=1&amp;query=41.890069,-87.987666","map")</f>
        <v>map</v>
      </c>
    </row>
    <row r="6314" spans="1:32">
      <c r="A6314" t="s">
        <v>6364</v>
      </c>
      <c r="B6314" t="s">
        <v>13857</v>
      </c>
      <c r="C6314" t="s">
        <v>15998</v>
      </c>
      <c r="D6314" t="s">
        <v>16209</v>
      </c>
      <c r="E6314" t="s">
        <v>16217</v>
      </c>
      <c r="F6314" t="s">
        <v>16222</v>
      </c>
      <c r="G6314" t="s">
        <v>16282</v>
      </c>
      <c r="H6314" t="s">
        <v>16282</v>
      </c>
      <c r="I6314" t="s">
        <v>16360</v>
      </c>
      <c r="J6314" t="s">
        <v>16386</v>
      </c>
      <c r="K6314">
        <v>0.08599999999999999</v>
      </c>
      <c r="L6314">
        <v>3746</v>
      </c>
      <c r="N6314" t="s">
        <v>16392</v>
      </c>
      <c r="O6314" s="4">
        <v>14324</v>
      </c>
      <c r="P6314" s="4">
        <v>0</v>
      </c>
      <c r="Q6314" s="4">
        <v>14324</v>
      </c>
      <c r="R6314" s="4">
        <v>42972</v>
      </c>
      <c r="S6314" t="s">
        <v>22524</v>
      </c>
      <c r="T6314" s="6">
        <v>45981</v>
      </c>
      <c r="U6314" s="4">
        <v>485000</v>
      </c>
      <c r="V6314" t="s">
        <v>23741</v>
      </c>
      <c r="W6314" t="s">
        <v>22524</v>
      </c>
      <c r="X6314" t="s">
        <v>3</v>
      </c>
      <c r="AA6314" s="5" t="str">
        <f>HYPERLINK("https://www.zillow.com/homes/105-ST-CHARLES-RD-VILLA-PARK-IL-60181_rb/","check listing")</f>
        <v>check listing</v>
      </c>
      <c r="AB6314" s="5" t="str">
        <f>HYPERLINK("https://propertylookup.dupagecounty.gov/Datalets/Datalet.aspx?UseSearch=no&amp;mode=sales&amp;pin=0609202029","sales record")</f>
        <v>sales record</v>
      </c>
      <c r="AC6314" t="s">
        <v>3</v>
      </c>
      <c r="AD6314">
        <v>41.889492</v>
      </c>
      <c r="AE6314">
        <v>-87.982096</v>
      </c>
      <c r="AF6314" s="5" t="str">
        <f>HYPERLINK("https://www.google.com/maps/search/?api=1&amp;query=41.889492,-87.982096","map")</f>
        <v>map</v>
      </c>
    </row>
    <row r="6315" spans="1:32">
      <c r="A6315" t="s">
        <v>6365</v>
      </c>
      <c r="B6315" t="s">
        <v>13857</v>
      </c>
      <c r="C6315" t="s">
        <v>15998</v>
      </c>
      <c r="D6315" t="s">
        <v>16209</v>
      </c>
      <c r="E6315" t="s">
        <v>16217</v>
      </c>
      <c r="F6315" t="s">
        <v>16222</v>
      </c>
      <c r="G6315" t="s">
        <v>16282</v>
      </c>
      <c r="H6315" t="s">
        <v>16282</v>
      </c>
      <c r="I6315" t="s">
        <v>16360</v>
      </c>
      <c r="J6315" t="s">
        <v>16386</v>
      </c>
      <c r="K6315">
        <v>0.08599999999999999</v>
      </c>
      <c r="L6315">
        <v>3743</v>
      </c>
      <c r="N6315" t="s">
        <v>16392</v>
      </c>
      <c r="O6315" s="4">
        <v>14324</v>
      </c>
      <c r="P6315" s="4">
        <v>0</v>
      </c>
      <c r="Q6315" s="4">
        <v>14324</v>
      </c>
      <c r="R6315" s="4">
        <v>42972</v>
      </c>
      <c r="S6315" t="s">
        <v>22524</v>
      </c>
      <c r="T6315" s="6">
        <v>45981</v>
      </c>
      <c r="U6315" s="4">
        <v>485000</v>
      </c>
      <c r="V6315" t="s">
        <v>23741</v>
      </c>
      <c r="W6315" t="s">
        <v>22524</v>
      </c>
      <c r="X6315" t="s">
        <v>3</v>
      </c>
      <c r="AA6315" s="5" t="str">
        <f>HYPERLINK("https://www.zillow.com/homes/105-ST-CHARLES-RD-VILLA-PARK-IL-60181_rb/","check listing")</f>
        <v>check listing</v>
      </c>
      <c r="AB6315" s="5" t="str">
        <f>HYPERLINK("https://propertylookup.dupagecounty.gov/Datalets/Datalet.aspx?UseSearch=no&amp;mode=sales&amp;pin=0609202030","sales record")</f>
        <v>sales record</v>
      </c>
      <c r="AC6315" t="s">
        <v>27872</v>
      </c>
      <c r="AD6315">
        <v>41.889492</v>
      </c>
      <c r="AE6315">
        <v>-87.98198600000001</v>
      </c>
      <c r="AF6315" s="5" t="str">
        <f>HYPERLINK("https://www.google.com/maps/search/?api=1&amp;query=41.889492,-87.981986","map")</f>
        <v>map</v>
      </c>
    </row>
    <row r="6316" spans="1:32">
      <c r="A6316" t="s">
        <v>6366</v>
      </c>
      <c r="B6316" t="s">
        <v>13858</v>
      </c>
      <c r="C6316" t="s">
        <v>16009</v>
      </c>
      <c r="D6316" t="s">
        <v>16209</v>
      </c>
      <c r="E6316" t="s">
        <v>16217</v>
      </c>
      <c r="F6316" t="s">
        <v>16222</v>
      </c>
      <c r="G6316" t="s">
        <v>16283</v>
      </c>
      <c r="H6316" t="s">
        <v>16283</v>
      </c>
      <c r="I6316" t="s">
        <v>16361</v>
      </c>
      <c r="J6316" t="s">
        <v>16386</v>
      </c>
      <c r="K6316">
        <v>0.08500000000000001</v>
      </c>
      <c r="L6316">
        <v>3723</v>
      </c>
      <c r="N6316" t="s">
        <v>16393</v>
      </c>
      <c r="O6316" s="4">
        <v>13985</v>
      </c>
      <c r="P6316" s="4">
        <v>0</v>
      </c>
      <c r="Q6316" s="4">
        <v>13985</v>
      </c>
      <c r="R6316" s="4">
        <v>41955</v>
      </c>
      <c r="S6316" t="s">
        <v>22525</v>
      </c>
      <c r="T6316" s="6">
        <v>33817</v>
      </c>
      <c r="U6316" s="4">
        <v>110000</v>
      </c>
      <c r="X6316" t="s">
        <v>3</v>
      </c>
      <c r="AA6316" s="5" t="str">
        <f>HYPERLINK("https://www.zillow.com/homes/410-E-WILDWOOD-AVE-VILLA-PARK-IL-601812760_rb/","check listing")</f>
        <v>check listing</v>
      </c>
      <c r="AB6316" s="5" t="str">
        <f>HYPERLINK("https://propertylookup.dupagecounty.gov/Datalets/Datalet.aspx?UseSearch=no&amp;mode=sales&amp;pin=0610200019","sales record")</f>
        <v>sales record</v>
      </c>
      <c r="AC6316" t="s">
        <v>3</v>
      </c>
      <c r="AD6316">
        <v>41.888287</v>
      </c>
      <c r="AE6316">
        <v>-87.968715</v>
      </c>
      <c r="AF6316" s="5" t="str">
        <f>HYPERLINK("https://www.google.com/maps/search/?api=1&amp;query=41.888287,-87.968715","map")</f>
        <v>map</v>
      </c>
    </row>
    <row r="6317" spans="1:32">
      <c r="A6317" t="s">
        <v>6367</v>
      </c>
      <c r="B6317" t="s">
        <v>13859</v>
      </c>
      <c r="C6317" t="s">
        <v>15998</v>
      </c>
      <c r="D6317" t="s">
        <v>16209</v>
      </c>
      <c r="E6317" t="s">
        <v>16218</v>
      </c>
      <c r="F6317" t="s">
        <v>16220</v>
      </c>
      <c r="G6317" t="s">
        <v>16284</v>
      </c>
      <c r="H6317" t="s">
        <v>16284</v>
      </c>
      <c r="I6317" t="s">
        <v>16362</v>
      </c>
      <c r="J6317" t="s">
        <v>16385</v>
      </c>
      <c r="K6317">
        <v>0.242</v>
      </c>
      <c r="L6317">
        <v>10522</v>
      </c>
      <c r="M6317">
        <v>1091</v>
      </c>
      <c r="N6317" t="s">
        <v>16393</v>
      </c>
      <c r="O6317" s="4">
        <v>17776</v>
      </c>
      <c r="P6317" s="4">
        <v>68106</v>
      </c>
      <c r="Q6317" s="4">
        <v>85882</v>
      </c>
      <c r="R6317" s="4">
        <v>257646</v>
      </c>
      <c r="S6317" t="s">
        <v>22526</v>
      </c>
      <c r="T6317" s="6">
        <v>35217</v>
      </c>
      <c r="U6317" s="4">
        <v>87750</v>
      </c>
      <c r="X6317" t="s">
        <v>3</v>
      </c>
      <c r="AA6317" s="5" t="str">
        <f>HYPERLINK("https://www.zillow.com/homes/407-N-ELLSWORTH-AVE-VILLA-PARK-IL-60181_rb/","check listing")</f>
        <v>check listing</v>
      </c>
      <c r="AB6317" s="5" t="str">
        <f>HYPERLINK("https://propertylookup.dupagecounty.gov/Datalets/Datalet.aspx?UseSearch=no&amp;mode=sales&amp;pin=0603126006","sales record")</f>
        <v>sales record</v>
      </c>
      <c r="AC6317" t="s">
        <v>27873</v>
      </c>
      <c r="AD6317">
        <v>41.89734</v>
      </c>
      <c r="AE6317">
        <v>-87.973553</v>
      </c>
      <c r="AF6317" s="5" t="str">
        <f>HYPERLINK("https://www.google.com/maps/search/?api=1&amp;query=41.89734,-87.973553","map")</f>
        <v>map</v>
      </c>
    </row>
    <row r="6318" spans="1:32">
      <c r="A6318" t="s">
        <v>6368</v>
      </c>
      <c r="B6318" t="s">
        <v>13860</v>
      </c>
      <c r="C6318" t="s">
        <v>16010</v>
      </c>
      <c r="D6318" t="s">
        <v>16209</v>
      </c>
      <c r="E6318" t="s">
        <v>16218</v>
      </c>
      <c r="F6318" t="s">
        <v>16220</v>
      </c>
      <c r="G6318" t="s">
        <v>16284</v>
      </c>
      <c r="H6318" t="s">
        <v>16284</v>
      </c>
      <c r="I6318" t="s">
        <v>16362</v>
      </c>
      <c r="J6318" t="s">
        <v>16385</v>
      </c>
      <c r="K6318">
        <v>0.219</v>
      </c>
      <c r="L6318">
        <v>9520</v>
      </c>
      <c r="M6318">
        <v>1805</v>
      </c>
      <c r="N6318" t="s">
        <v>16393</v>
      </c>
      <c r="O6318" s="4">
        <v>16575</v>
      </c>
      <c r="P6318" s="4">
        <v>64886</v>
      </c>
      <c r="Q6318" s="4">
        <v>81461</v>
      </c>
      <c r="R6318" s="4">
        <v>244383</v>
      </c>
      <c r="S6318" t="s">
        <v>22527</v>
      </c>
      <c r="T6318" s="6">
        <v>42248</v>
      </c>
      <c r="U6318" s="4">
        <v>165000</v>
      </c>
      <c r="V6318" t="s">
        <v>16232</v>
      </c>
      <c r="W6318" t="s">
        <v>27218</v>
      </c>
      <c r="X6318" t="s">
        <v>3</v>
      </c>
      <c r="AA6318" s="5" t="str">
        <f>HYPERLINK("https://www.zillow.com/homes/718-N-WESTMORE-AVE-VILLA-PARK-IL-601811429_rb/","check listing")</f>
        <v>check listing</v>
      </c>
      <c r="AB6318" s="5" t="str">
        <f>HYPERLINK("https://propertylookup.dupagecounty.gov/Datalets/Datalet.aspx?UseSearch=no&amp;mode=sales&amp;pin=0604102023","sales record")</f>
        <v>sales record</v>
      </c>
      <c r="AC6318" t="s">
        <v>3</v>
      </c>
      <c r="AD6318">
        <v>41.903516</v>
      </c>
      <c r="AE6318">
        <v>-87.993674</v>
      </c>
      <c r="AF6318" s="5" t="str">
        <f>HYPERLINK("https://www.google.com/maps/search/?api=1&amp;query=41.903516,-87.993674","map")</f>
        <v>map</v>
      </c>
    </row>
    <row r="6319" spans="1:32">
      <c r="A6319" t="s">
        <v>6369</v>
      </c>
      <c r="B6319" t="s">
        <v>13861</v>
      </c>
      <c r="C6319" t="s">
        <v>16011</v>
      </c>
      <c r="D6319" t="s">
        <v>16209</v>
      </c>
      <c r="E6319" t="s">
        <v>16218</v>
      </c>
      <c r="F6319" t="s">
        <v>16220</v>
      </c>
      <c r="G6319" t="s">
        <v>16284</v>
      </c>
      <c r="H6319" t="s">
        <v>16284</v>
      </c>
      <c r="I6319" t="s">
        <v>16362</v>
      </c>
      <c r="J6319" t="s">
        <v>16385</v>
      </c>
      <c r="K6319">
        <v>0.214</v>
      </c>
      <c r="L6319">
        <v>9340</v>
      </c>
      <c r="M6319">
        <v>981</v>
      </c>
      <c r="N6319" t="s">
        <v>16393</v>
      </c>
      <c r="O6319" s="4">
        <v>16575</v>
      </c>
      <c r="P6319" s="4">
        <v>71232</v>
      </c>
      <c r="Q6319" s="4">
        <v>87807</v>
      </c>
      <c r="R6319" s="4">
        <v>263421</v>
      </c>
      <c r="S6319" t="s">
        <v>22528</v>
      </c>
      <c r="T6319" s="6">
        <v>42917</v>
      </c>
      <c r="U6319" s="4">
        <v>185000</v>
      </c>
      <c r="V6319" t="s">
        <v>23739</v>
      </c>
      <c r="W6319" t="s">
        <v>27219</v>
      </c>
      <c r="X6319" t="s">
        <v>3</v>
      </c>
      <c r="AA6319" s="5" t="str">
        <f>HYPERLINK("https://www.zillow.com/homes/496-N-VILLA-AVE-VILLA-PARK-IL-601811758_rb/","check listing")</f>
        <v>check listing</v>
      </c>
      <c r="AB6319" s="5" t="str">
        <f>HYPERLINK("https://propertylookup.dupagecounty.gov/Datalets/Datalet.aspx?UseSearch=no&amp;mode=sales&amp;pin=0603121007","sales record")</f>
        <v>sales record</v>
      </c>
      <c r="AC6319" t="s">
        <v>3</v>
      </c>
      <c r="AD6319">
        <v>41.8992</v>
      </c>
      <c r="AE6319">
        <v>-87.96936100000001</v>
      </c>
      <c r="AF6319" s="5" t="str">
        <f>HYPERLINK("https://www.google.com/maps/search/?api=1&amp;query=41.8992,-87.969361","map")</f>
        <v>map</v>
      </c>
    </row>
    <row r="6320" spans="1:32">
      <c r="A6320" t="s">
        <v>6370</v>
      </c>
      <c r="B6320" t="s">
        <v>13862</v>
      </c>
      <c r="C6320" t="s">
        <v>15998</v>
      </c>
      <c r="D6320" t="s">
        <v>16209</v>
      </c>
      <c r="E6320" t="s">
        <v>16218</v>
      </c>
      <c r="F6320" t="s">
        <v>16220</v>
      </c>
      <c r="G6320" t="s">
        <v>16284</v>
      </c>
      <c r="H6320" t="s">
        <v>16284</v>
      </c>
      <c r="I6320" t="s">
        <v>16362</v>
      </c>
      <c r="J6320" t="s">
        <v>16385</v>
      </c>
      <c r="K6320">
        <v>0.213</v>
      </c>
      <c r="L6320">
        <v>9297</v>
      </c>
      <c r="M6320">
        <v>1141</v>
      </c>
      <c r="N6320" t="s">
        <v>16393</v>
      </c>
      <c r="O6320" s="4">
        <v>15711</v>
      </c>
      <c r="P6320" s="4">
        <v>75968</v>
      </c>
      <c r="Q6320" s="4">
        <v>91679</v>
      </c>
      <c r="R6320" s="4">
        <v>275037</v>
      </c>
      <c r="S6320" t="s">
        <v>22529</v>
      </c>
      <c r="T6320" s="6">
        <v>32568</v>
      </c>
      <c r="U6320" s="4">
        <v>88500</v>
      </c>
      <c r="X6320" t="s">
        <v>3</v>
      </c>
      <c r="AA6320" s="5" t="str">
        <f>HYPERLINK("https://www.zillow.com/homes/620-W-RIDGE-RD-VILLA-PARK-IL-60181_rb/","check listing")</f>
        <v>check listing</v>
      </c>
      <c r="AB6320" s="5" t="str">
        <f>HYPERLINK("https://propertylookup.dupagecounty.gov/Datalets/Datalet.aspx?UseSearch=no&amp;mode=sales&amp;pin=0604102020","sales record")</f>
        <v>sales record</v>
      </c>
      <c r="AC6320" t="s">
        <v>3</v>
      </c>
      <c r="AD6320">
        <v>41.903598</v>
      </c>
      <c r="AE6320">
        <v>-87.994263</v>
      </c>
      <c r="AF6320" s="5" t="str">
        <f>HYPERLINK("https://www.google.com/maps/search/?api=1&amp;query=41.903598,-87.994263","map")</f>
        <v>map</v>
      </c>
    </row>
    <row r="6321" spans="1:32">
      <c r="A6321" t="s">
        <v>6371</v>
      </c>
      <c r="B6321" t="s">
        <v>13863</v>
      </c>
      <c r="C6321" t="s">
        <v>16012</v>
      </c>
      <c r="D6321" t="s">
        <v>16209</v>
      </c>
      <c r="E6321" t="s">
        <v>16218</v>
      </c>
      <c r="F6321" t="s">
        <v>16220</v>
      </c>
      <c r="G6321" t="s">
        <v>16284</v>
      </c>
      <c r="H6321" t="s">
        <v>16284</v>
      </c>
      <c r="I6321" t="s">
        <v>16362</v>
      </c>
      <c r="J6321" t="s">
        <v>16385</v>
      </c>
      <c r="K6321">
        <v>0.21</v>
      </c>
      <c r="L6321">
        <v>9127</v>
      </c>
      <c r="M6321">
        <v>1105</v>
      </c>
      <c r="N6321" t="s">
        <v>16393</v>
      </c>
      <c r="O6321" s="4">
        <v>14954</v>
      </c>
      <c r="P6321" s="4">
        <v>83129</v>
      </c>
      <c r="Q6321" s="4">
        <v>98083</v>
      </c>
      <c r="R6321" s="4">
        <v>294249</v>
      </c>
      <c r="S6321" t="s">
        <v>22530</v>
      </c>
      <c r="T6321" s="6">
        <v>42491</v>
      </c>
      <c r="U6321" s="4">
        <v>143000</v>
      </c>
      <c r="V6321" t="s">
        <v>16232</v>
      </c>
      <c r="W6321" t="s">
        <v>27220</v>
      </c>
      <c r="X6321" t="s">
        <v>3</v>
      </c>
      <c r="AA6321" s="5" t="str">
        <f>HYPERLINK("https://www.zillow.com/homes/630-W-RIDGE-RD-VILLA-PARK-IL-601811345_rb/","check listing")</f>
        <v>check listing</v>
      </c>
      <c r="AB6321" s="5" t="str">
        <f>HYPERLINK("https://propertylookup.dupagecounty.gov/Datalets/Datalet.aspx?UseSearch=no&amp;mode=sales&amp;pin=0604102018","sales record")</f>
        <v>sales record</v>
      </c>
      <c r="AC6321" t="s">
        <v>3</v>
      </c>
      <c r="AD6321">
        <v>41.903534</v>
      </c>
      <c r="AE6321">
        <v>-87.994743</v>
      </c>
      <c r="AF6321" s="5" t="str">
        <f>HYPERLINK("https://www.google.com/maps/search/?api=1&amp;query=41.903534,-87.994743","map")</f>
        <v>map</v>
      </c>
    </row>
    <row r="6322" spans="1:32">
      <c r="A6322" t="s">
        <v>6372</v>
      </c>
      <c r="B6322" t="s">
        <v>13864</v>
      </c>
      <c r="C6322" t="s">
        <v>15998</v>
      </c>
      <c r="D6322" t="s">
        <v>16209</v>
      </c>
      <c r="E6322" t="s">
        <v>16218</v>
      </c>
      <c r="F6322" t="s">
        <v>16220</v>
      </c>
      <c r="G6322" t="s">
        <v>16284</v>
      </c>
      <c r="H6322" t="s">
        <v>16284</v>
      </c>
      <c r="I6322" t="s">
        <v>16362</v>
      </c>
      <c r="J6322" t="s">
        <v>16385</v>
      </c>
      <c r="K6322">
        <v>0.209</v>
      </c>
      <c r="L6322">
        <v>9116</v>
      </c>
      <c r="M6322">
        <v>1082</v>
      </c>
      <c r="N6322" t="s">
        <v>16393</v>
      </c>
      <c r="O6322" s="4">
        <v>15279</v>
      </c>
      <c r="P6322" s="4">
        <v>80167</v>
      </c>
      <c r="Q6322" s="4">
        <v>95446</v>
      </c>
      <c r="R6322" s="4">
        <v>286338</v>
      </c>
      <c r="S6322" t="s">
        <v>22531</v>
      </c>
      <c r="T6322" s="6">
        <v>30437</v>
      </c>
      <c r="U6322" s="4">
        <v>58000</v>
      </c>
      <c r="X6322" t="s">
        <v>3</v>
      </c>
      <c r="AA6322" s="5" t="str">
        <f>HYPERLINK("https://www.zillow.com/homes/634-W-RIDGE-RD-VILLA-PARK-IL-60181_rb/","check listing")</f>
        <v>check listing</v>
      </c>
      <c r="AB6322" s="5" t="str">
        <f>HYPERLINK("https://propertylookup.dupagecounty.gov/Datalets/Datalet.aspx?UseSearch=no&amp;mode=sales&amp;pin=0604102017","sales record")</f>
        <v>sales record</v>
      </c>
      <c r="AC6322" t="s">
        <v>3</v>
      </c>
      <c r="AD6322">
        <v>41.903481</v>
      </c>
      <c r="AE6322">
        <v>-87.99499</v>
      </c>
      <c r="AF6322" s="5" t="str">
        <f>HYPERLINK("https://www.google.com/maps/search/?api=1&amp;query=41.903481,-87.99499","map")</f>
        <v>map</v>
      </c>
    </row>
    <row r="6323" spans="1:32">
      <c r="A6323" t="s">
        <v>6373</v>
      </c>
      <c r="B6323" t="s">
        <v>13865</v>
      </c>
      <c r="C6323" t="s">
        <v>15998</v>
      </c>
      <c r="D6323" t="s">
        <v>16209</v>
      </c>
      <c r="E6323" t="s">
        <v>16218</v>
      </c>
      <c r="F6323" t="s">
        <v>16220</v>
      </c>
      <c r="G6323" t="s">
        <v>16284</v>
      </c>
      <c r="H6323" t="s">
        <v>16284</v>
      </c>
      <c r="I6323" t="s">
        <v>16362</v>
      </c>
      <c r="J6323" t="s">
        <v>16385</v>
      </c>
      <c r="K6323">
        <v>0.194</v>
      </c>
      <c r="L6323">
        <v>8468</v>
      </c>
      <c r="M6323">
        <v>1782</v>
      </c>
      <c r="N6323" t="s">
        <v>16393</v>
      </c>
      <c r="O6323" s="4">
        <v>13507</v>
      </c>
      <c r="P6323" s="4">
        <v>82056</v>
      </c>
      <c r="Q6323" s="4">
        <v>95563</v>
      </c>
      <c r="R6323" s="4">
        <v>286689</v>
      </c>
      <c r="S6323" t="s">
        <v>22532</v>
      </c>
      <c r="X6323" t="s">
        <v>3</v>
      </c>
      <c r="AA6323" s="5" t="str">
        <f>HYPERLINK("https://www.zillow.com/homes/402-N-HAMILTON-AVE-VILLA-PARK-IL-60181_rb/","check listing")</f>
        <v>check listing</v>
      </c>
      <c r="AB6323" s="5" t="str">
        <f>HYPERLINK("https://propertylookup.dupagecounty.gov/Datalets/Datalet.aspx?UseSearch=no&amp;mode=sales&amp;pin=0603128008","sales record")</f>
        <v>sales record</v>
      </c>
      <c r="AC6323" t="s">
        <v>3</v>
      </c>
      <c r="AD6323">
        <v>41.897345</v>
      </c>
      <c r="AE6323">
        <v>-87.970527</v>
      </c>
      <c r="AF6323" s="5" t="str">
        <f>HYPERLINK("https://www.google.com/maps/search/?api=1&amp;query=41.897345,-87.970527","map")</f>
        <v>map</v>
      </c>
    </row>
    <row r="6324" spans="1:32">
      <c r="A6324" t="s">
        <v>6374</v>
      </c>
      <c r="B6324" t="s">
        <v>13866</v>
      </c>
      <c r="C6324" t="s">
        <v>16012</v>
      </c>
      <c r="D6324" t="s">
        <v>16209</v>
      </c>
      <c r="E6324" t="s">
        <v>16218</v>
      </c>
      <c r="F6324" t="s">
        <v>16220</v>
      </c>
      <c r="G6324" t="s">
        <v>16284</v>
      </c>
      <c r="H6324" t="s">
        <v>16284</v>
      </c>
      <c r="I6324" t="s">
        <v>16362</v>
      </c>
      <c r="J6324" t="s">
        <v>16385</v>
      </c>
      <c r="K6324">
        <v>0.193</v>
      </c>
      <c r="L6324">
        <v>8426</v>
      </c>
      <c r="M6324">
        <v>1380</v>
      </c>
      <c r="N6324" t="s">
        <v>16393</v>
      </c>
      <c r="O6324" s="4">
        <v>14813</v>
      </c>
      <c r="P6324" s="4">
        <v>86033</v>
      </c>
      <c r="Q6324" s="4">
        <v>100846</v>
      </c>
      <c r="R6324" s="4">
        <v>302538</v>
      </c>
      <c r="S6324" t="s">
        <v>22533</v>
      </c>
      <c r="T6324" s="6">
        <v>40909</v>
      </c>
      <c r="U6324" s="4">
        <v>115000</v>
      </c>
      <c r="V6324" t="s">
        <v>23739</v>
      </c>
      <c r="W6324" t="s">
        <v>27221</v>
      </c>
      <c r="X6324" t="s">
        <v>3</v>
      </c>
      <c r="AA6324" s="5" t="str">
        <f>HYPERLINK("https://www.zillow.com/homes/626-W-RIDGE-RD-VILLA-PARK-IL-601811345_rb/","check listing")</f>
        <v>check listing</v>
      </c>
      <c r="AB6324" s="5" t="str">
        <f>HYPERLINK("https://propertylookup.dupagecounty.gov/Datalets/Datalet.aspx?UseSearch=no&amp;mode=sales&amp;pin=0604102019","sales record")</f>
        <v>sales record</v>
      </c>
      <c r="AC6324" t="s">
        <v>3</v>
      </c>
      <c r="AD6324">
        <v>41.903583</v>
      </c>
      <c r="AE6324">
        <v>-87.994508</v>
      </c>
      <c r="AF6324" s="5" t="str">
        <f>HYPERLINK("https://www.google.com/maps/search/?api=1&amp;query=41.903583,-87.994508","map")</f>
        <v>map</v>
      </c>
    </row>
    <row r="6325" spans="1:32">
      <c r="A6325" t="s">
        <v>6375</v>
      </c>
      <c r="B6325" t="s">
        <v>13867</v>
      </c>
      <c r="C6325" t="s">
        <v>15998</v>
      </c>
      <c r="D6325" t="s">
        <v>16209</v>
      </c>
      <c r="E6325" t="s">
        <v>16218</v>
      </c>
      <c r="F6325" t="s">
        <v>16220</v>
      </c>
      <c r="G6325" t="s">
        <v>16284</v>
      </c>
      <c r="H6325" t="s">
        <v>16284</v>
      </c>
      <c r="I6325" t="s">
        <v>16362</v>
      </c>
      <c r="J6325" t="s">
        <v>16385</v>
      </c>
      <c r="K6325">
        <v>0.189</v>
      </c>
      <c r="L6325">
        <v>8245</v>
      </c>
      <c r="M6325">
        <v>1923</v>
      </c>
      <c r="N6325" t="s">
        <v>16393</v>
      </c>
      <c r="O6325" s="4">
        <v>14312</v>
      </c>
      <c r="P6325" s="4">
        <v>87037</v>
      </c>
      <c r="Q6325" s="4">
        <v>101349</v>
      </c>
      <c r="R6325" s="4">
        <v>304047</v>
      </c>
      <c r="S6325" t="s">
        <v>22534</v>
      </c>
      <c r="T6325" s="6">
        <v>36708</v>
      </c>
      <c r="U6325" s="4">
        <v>155000</v>
      </c>
      <c r="V6325" t="s">
        <v>23739</v>
      </c>
      <c r="W6325" t="s">
        <v>27222</v>
      </c>
      <c r="X6325" t="s">
        <v>3</v>
      </c>
      <c r="AA6325" s="5" t="str">
        <f>HYPERLINK("https://www.zillow.com/homes/616-W-RIDGE-RD-VILLA-PARK-IL-60181_rb/","check listing")</f>
        <v>check listing</v>
      </c>
      <c r="AB6325" s="5" t="str">
        <f>HYPERLINK("https://propertylookup.dupagecounty.gov/Datalets/Datalet.aspx?UseSearch=no&amp;mode=sales&amp;pin=0604102021","sales record")</f>
        <v>sales record</v>
      </c>
      <c r="AC6325" t="s">
        <v>3</v>
      </c>
      <c r="AD6325">
        <v>41.903518</v>
      </c>
      <c r="AE6325">
        <v>-87.994023</v>
      </c>
      <c r="AF6325" s="5" t="str">
        <f>HYPERLINK("https://www.google.com/maps/search/?api=1&amp;query=41.903518,-87.994023","map")</f>
        <v>map</v>
      </c>
    </row>
    <row r="6326" spans="1:32">
      <c r="A6326" t="s">
        <v>6376</v>
      </c>
      <c r="B6326" t="s">
        <v>13868</v>
      </c>
      <c r="C6326" t="s">
        <v>15998</v>
      </c>
      <c r="D6326" t="s">
        <v>16209</v>
      </c>
      <c r="E6326" t="s">
        <v>16218</v>
      </c>
      <c r="F6326" t="s">
        <v>16220</v>
      </c>
      <c r="G6326" t="s">
        <v>16284</v>
      </c>
      <c r="H6326" t="s">
        <v>16284</v>
      </c>
      <c r="I6326" t="s">
        <v>16362</v>
      </c>
      <c r="J6326" t="s">
        <v>16385</v>
      </c>
      <c r="K6326">
        <v>0.176</v>
      </c>
      <c r="L6326">
        <v>7655</v>
      </c>
      <c r="M6326">
        <v>1559</v>
      </c>
      <c r="N6326" t="s">
        <v>16393</v>
      </c>
      <c r="O6326" s="4">
        <v>13239</v>
      </c>
      <c r="P6326" s="4">
        <v>66812</v>
      </c>
      <c r="Q6326" s="4">
        <v>80051</v>
      </c>
      <c r="R6326" s="4">
        <v>240153</v>
      </c>
      <c r="S6326" t="s">
        <v>22535</v>
      </c>
      <c r="T6326" s="6">
        <v>38504</v>
      </c>
      <c r="U6326" s="4">
        <v>227500</v>
      </c>
      <c r="V6326" t="s">
        <v>23739</v>
      </c>
      <c r="W6326" t="s">
        <v>27223</v>
      </c>
      <c r="X6326" t="s">
        <v>3</v>
      </c>
      <c r="AA6326" s="5" t="str">
        <f>HYPERLINK("https://www.zillow.com/homes/722-N-WESTMORE-AVE-VILLA-PARK-IL-60181_rb/","check listing")</f>
        <v>check listing</v>
      </c>
      <c r="AB6326" s="5" t="str">
        <f>HYPERLINK("https://propertylookup.dupagecounty.gov/Datalets/Datalet.aspx?UseSearch=no&amp;mode=sales&amp;pin=0604102022","sales record")</f>
        <v>sales record</v>
      </c>
      <c r="AC6326" t="s">
        <v>3</v>
      </c>
      <c r="AD6326">
        <v>41.903699</v>
      </c>
      <c r="AE6326">
        <v>-87.99366999999999</v>
      </c>
      <c r="AF6326" s="5" t="str">
        <f>HYPERLINK("https://www.google.com/maps/search/?api=1&amp;query=41.903699,-87.99367","map")</f>
        <v>map</v>
      </c>
    </row>
    <row r="6327" spans="1:32">
      <c r="A6327" t="s">
        <v>6377</v>
      </c>
      <c r="B6327" t="s">
        <v>13869</v>
      </c>
      <c r="C6327" t="s">
        <v>15998</v>
      </c>
      <c r="D6327" t="s">
        <v>16209</v>
      </c>
      <c r="E6327" t="s">
        <v>16218</v>
      </c>
      <c r="F6327" t="s">
        <v>16220</v>
      </c>
      <c r="G6327" t="s">
        <v>16284</v>
      </c>
      <c r="H6327" t="s">
        <v>16284</v>
      </c>
      <c r="I6327" t="s">
        <v>16362</v>
      </c>
      <c r="J6327" t="s">
        <v>16385</v>
      </c>
      <c r="K6327">
        <v>0.175</v>
      </c>
      <c r="L6327">
        <v>7640</v>
      </c>
      <c r="M6327">
        <v>949</v>
      </c>
      <c r="N6327" t="s">
        <v>16393</v>
      </c>
      <c r="O6327" s="4">
        <v>12702</v>
      </c>
      <c r="P6327" s="4">
        <v>78254</v>
      </c>
      <c r="Q6327" s="4">
        <v>90956</v>
      </c>
      <c r="R6327" s="4">
        <v>272868</v>
      </c>
      <c r="S6327" t="s">
        <v>22536</v>
      </c>
      <c r="T6327" s="6">
        <v>42856</v>
      </c>
      <c r="U6327" s="4">
        <v>200000</v>
      </c>
      <c r="V6327" t="s">
        <v>23739</v>
      </c>
      <c r="W6327" t="s">
        <v>27224</v>
      </c>
      <c r="X6327" t="s">
        <v>3</v>
      </c>
      <c r="AA6327" s="5" t="str">
        <f>HYPERLINK("https://www.zillow.com/homes/406-N-HAMILTON-AVE-VILLA-PARK-IL-60181_rb/","check listing")</f>
        <v>check listing</v>
      </c>
      <c r="AB6327" s="5" t="str">
        <f>HYPERLINK("https://propertylookup.dupagecounty.gov/Datalets/Datalet.aspx?UseSearch=no&amp;mode=sales&amp;pin=0603128007","sales record")</f>
        <v>sales record</v>
      </c>
      <c r="AC6327" t="s">
        <v>3</v>
      </c>
      <c r="AD6327">
        <v>41.897516</v>
      </c>
      <c r="AE6327">
        <v>-87.970522</v>
      </c>
      <c r="AF6327" s="5" t="str">
        <f>HYPERLINK("https://www.google.com/maps/search/?api=1&amp;query=41.897516,-87.970522","map")</f>
        <v>map</v>
      </c>
    </row>
    <row r="6328" spans="1:32">
      <c r="A6328" t="s">
        <v>6378</v>
      </c>
      <c r="B6328" t="s">
        <v>13870</v>
      </c>
      <c r="C6328" t="s">
        <v>16013</v>
      </c>
      <c r="D6328" t="s">
        <v>16209</v>
      </c>
      <c r="E6328" t="s">
        <v>16218</v>
      </c>
      <c r="F6328" t="s">
        <v>16220</v>
      </c>
      <c r="G6328" t="s">
        <v>16284</v>
      </c>
      <c r="H6328" t="s">
        <v>16284</v>
      </c>
      <c r="I6328" t="s">
        <v>16362</v>
      </c>
      <c r="J6328" t="s">
        <v>16385</v>
      </c>
      <c r="K6328">
        <v>0.121</v>
      </c>
      <c r="L6328">
        <v>5287</v>
      </c>
      <c r="M6328">
        <v>1613</v>
      </c>
      <c r="N6328" t="s">
        <v>16393</v>
      </c>
      <c r="O6328" s="4">
        <v>12702</v>
      </c>
      <c r="P6328" s="4">
        <v>39086</v>
      </c>
      <c r="Q6328" s="4">
        <v>51788</v>
      </c>
      <c r="R6328" s="4">
        <v>155364</v>
      </c>
      <c r="S6328" t="s">
        <v>22537</v>
      </c>
      <c r="T6328" s="6">
        <v>43678</v>
      </c>
      <c r="U6328" s="4">
        <v>126000</v>
      </c>
      <c r="V6328" t="s">
        <v>16232</v>
      </c>
      <c r="W6328" t="s">
        <v>27225</v>
      </c>
      <c r="X6328" t="s">
        <v>3</v>
      </c>
      <c r="AA6328" s="5" t="str">
        <f>HYPERLINK("https://www.zillow.com/homes/405-N-FULTON-AVE-VILLA-PARK-IL-601812253_rb/","check listing")</f>
        <v>check listing</v>
      </c>
      <c r="AB6328" s="5" t="str">
        <f>HYPERLINK("https://propertylookup.dupagecounty.gov/Datalets/Datalet.aspx?UseSearch=no&amp;mode=sales&amp;pin=0603127010","sales record")</f>
        <v>sales record</v>
      </c>
      <c r="AC6328" t="s">
        <v>27873</v>
      </c>
      <c r="AD6328">
        <v>41.897257</v>
      </c>
      <c r="AE6328">
        <v>-87.972319</v>
      </c>
      <c r="AF6328" s="5" t="str">
        <f>HYPERLINK("https://www.google.com/maps/search/?api=1&amp;query=41.897257,-87.972319","map")</f>
        <v>map</v>
      </c>
    </row>
    <row r="6329" spans="1:32">
      <c r="A6329" t="s">
        <v>6379</v>
      </c>
      <c r="B6329" t="s">
        <v>13871</v>
      </c>
      <c r="C6329" t="s">
        <v>15998</v>
      </c>
      <c r="D6329" t="s">
        <v>16209</v>
      </c>
      <c r="E6329" t="s">
        <v>16218</v>
      </c>
      <c r="F6329" t="s">
        <v>16220</v>
      </c>
      <c r="G6329" t="s">
        <v>16284</v>
      </c>
      <c r="H6329" t="s">
        <v>16284</v>
      </c>
      <c r="I6329" t="s">
        <v>16362</v>
      </c>
      <c r="J6329" t="s">
        <v>16385</v>
      </c>
      <c r="K6329">
        <v>0.119</v>
      </c>
      <c r="L6329">
        <v>5199</v>
      </c>
      <c r="N6329" t="s">
        <v>16393</v>
      </c>
      <c r="O6329" s="4">
        <v>12702</v>
      </c>
      <c r="P6329" s="4">
        <v>39086</v>
      </c>
      <c r="Q6329" s="4">
        <v>51788</v>
      </c>
      <c r="R6329" s="4">
        <v>155364</v>
      </c>
      <c r="S6329" t="s">
        <v>22538</v>
      </c>
      <c r="T6329" s="6">
        <v>33725</v>
      </c>
      <c r="U6329" s="4">
        <v>87000</v>
      </c>
      <c r="X6329" t="s">
        <v>3</v>
      </c>
      <c r="AA6329" s="5" t="str">
        <f>HYPERLINK("https://www.zillow.com/homes/403-N-FULTON-AVE-VILLA-PARK-IL-60181_rb/","check listing")</f>
        <v>check listing</v>
      </c>
      <c r="AB6329" s="5" t="str">
        <f>HYPERLINK("https://propertylookup.dupagecounty.gov/Datalets/Datalet.aspx?UseSearch=no&amp;mode=sales&amp;pin=0603127011","sales record")</f>
        <v>sales record</v>
      </c>
      <c r="AC6329" t="s">
        <v>27873</v>
      </c>
      <c r="AD6329">
        <v>41.897158</v>
      </c>
      <c r="AE6329">
        <v>-87.97232200000001</v>
      </c>
      <c r="AF6329" s="5" t="str">
        <f>HYPERLINK("https://www.google.com/maps/search/?api=1&amp;query=41.897158,-87.972322","map")</f>
        <v>map</v>
      </c>
    </row>
    <row r="6330" spans="1:32">
      <c r="A6330" t="s">
        <v>6380</v>
      </c>
      <c r="B6330" t="s">
        <v>13872</v>
      </c>
      <c r="C6330" t="s">
        <v>15998</v>
      </c>
      <c r="D6330" t="s">
        <v>16209</v>
      </c>
      <c r="E6330" t="s">
        <v>16218</v>
      </c>
      <c r="F6330" t="s">
        <v>16220</v>
      </c>
      <c r="G6330" t="s">
        <v>16284</v>
      </c>
      <c r="H6330" t="s">
        <v>16284</v>
      </c>
      <c r="I6330" t="s">
        <v>16362</v>
      </c>
      <c r="J6330" t="s">
        <v>16385</v>
      </c>
      <c r="K6330">
        <v>0.11</v>
      </c>
      <c r="L6330">
        <v>4807</v>
      </c>
      <c r="M6330">
        <v>1574</v>
      </c>
      <c r="N6330" t="s">
        <v>16393</v>
      </c>
      <c r="O6330" s="4">
        <v>12702</v>
      </c>
      <c r="P6330" s="4">
        <v>51333</v>
      </c>
      <c r="Q6330" s="4">
        <v>64035</v>
      </c>
      <c r="R6330" s="4">
        <v>192105</v>
      </c>
      <c r="S6330" t="s">
        <v>22539</v>
      </c>
      <c r="T6330" s="6">
        <v>41091</v>
      </c>
      <c r="U6330" s="4">
        <v>75000</v>
      </c>
      <c r="V6330" t="s">
        <v>23739</v>
      </c>
      <c r="W6330" t="s">
        <v>22539</v>
      </c>
      <c r="X6330" t="s">
        <v>3</v>
      </c>
      <c r="AA6330" s="5" t="str">
        <f>HYPERLINK("https://www.zillow.com/homes/405-N-GERARD-AVE-VILLA-PARK-IL-60181_rb/","check listing")</f>
        <v>check listing</v>
      </c>
      <c r="AB6330" s="5" t="str">
        <f>HYPERLINK("https://propertylookup.dupagecounty.gov/Datalets/Datalet.aspx?UseSearch=no&amp;mode=sales&amp;pin=0603128009","sales record")</f>
        <v>sales record</v>
      </c>
      <c r="AC6330" t="s">
        <v>27873</v>
      </c>
      <c r="AD6330">
        <v>41.897328</v>
      </c>
      <c r="AE6330">
        <v>-87.97106700000001</v>
      </c>
      <c r="AF6330" s="5" t="str">
        <f>HYPERLINK("https://www.google.com/maps/search/?api=1&amp;query=41.897328,-87.971067","map")</f>
        <v>map</v>
      </c>
    </row>
    <row r="6331" spans="1:32">
      <c r="A6331" t="s">
        <v>6381</v>
      </c>
      <c r="B6331" t="s">
        <v>13873</v>
      </c>
      <c r="C6331" t="s">
        <v>15998</v>
      </c>
      <c r="D6331" t="s">
        <v>16209</v>
      </c>
      <c r="E6331" t="s">
        <v>16218</v>
      </c>
      <c r="F6331" t="s">
        <v>16220</v>
      </c>
      <c r="G6331" t="s">
        <v>16284</v>
      </c>
      <c r="H6331" t="s">
        <v>16284</v>
      </c>
      <c r="I6331" t="s">
        <v>16362</v>
      </c>
      <c r="J6331" t="s">
        <v>16385</v>
      </c>
      <c r="K6331">
        <v>0.103</v>
      </c>
      <c r="L6331">
        <v>4495</v>
      </c>
      <c r="N6331" t="s">
        <v>16393</v>
      </c>
      <c r="O6331" s="4">
        <v>12702</v>
      </c>
      <c r="P6331" s="4">
        <v>39086</v>
      </c>
      <c r="Q6331" s="4">
        <v>51788</v>
      </c>
      <c r="R6331" s="4">
        <v>155364</v>
      </c>
      <c r="S6331" t="s">
        <v>22540</v>
      </c>
      <c r="T6331" s="6">
        <v>41334</v>
      </c>
      <c r="U6331" s="4">
        <v>66500</v>
      </c>
      <c r="V6331" t="s">
        <v>23739</v>
      </c>
      <c r="W6331" t="s">
        <v>22540</v>
      </c>
      <c r="X6331" t="s">
        <v>3</v>
      </c>
      <c r="AA6331" s="5" t="str">
        <f>HYPERLINK("https://www.zillow.com/homes/403-N-GERARD-AVE-VILLA-PARK-IL-60181_rb/","check listing")</f>
        <v>check listing</v>
      </c>
      <c r="AB6331" s="5" t="str">
        <f>HYPERLINK("https://propertylookup.dupagecounty.gov/Datalets/Datalet.aspx?UseSearch=no&amp;mode=sales&amp;pin=0603128010","sales record")</f>
        <v>sales record</v>
      </c>
      <c r="AC6331" t="s">
        <v>27873</v>
      </c>
      <c r="AD6331">
        <v>41.897199</v>
      </c>
      <c r="AE6331">
        <v>-87.971205</v>
      </c>
      <c r="AF6331" s="5" t="str">
        <f>HYPERLINK("https://www.google.com/maps/search/?api=1&amp;query=41.897199,-87.971205","map")</f>
        <v>map</v>
      </c>
    </row>
    <row r="6332" spans="1:32">
      <c r="A6332" t="s">
        <v>6382</v>
      </c>
      <c r="B6332" t="s">
        <v>13874</v>
      </c>
      <c r="C6332" t="s">
        <v>15998</v>
      </c>
      <c r="D6332" t="s">
        <v>16209</v>
      </c>
      <c r="E6332" t="s">
        <v>16217</v>
      </c>
      <c r="F6332" t="s">
        <v>16220</v>
      </c>
      <c r="G6332" t="s">
        <v>16284</v>
      </c>
      <c r="H6332" t="s">
        <v>16284</v>
      </c>
      <c r="I6332" t="s">
        <v>16362</v>
      </c>
      <c r="J6332" t="s">
        <v>16385</v>
      </c>
      <c r="K6332">
        <v>0.232</v>
      </c>
      <c r="L6332">
        <v>10101</v>
      </c>
      <c r="N6332" t="s">
        <v>16393</v>
      </c>
      <c r="O6332" s="4">
        <v>10847</v>
      </c>
      <c r="P6332" s="4">
        <v>0</v>
      </c>
      <c r="Q6332" s="4">
        <v>10847</v>
      </c>
      <c r="R6332" s="4">
        <v>32541</v>
      </c>
      <c r="S6332" t="s">
        <v>22541</v>
      </c>
      <c r="T6332" s="6">
        <v>37956</v>
      </c>
      <c r="U6332" s="4">
        <v>45000</v>
      </c>
      <c r="V6332" t="s">
        <v>23742</v>
      </c>
      <c r="W6332" t="s">
        <v>22541</v>
      </c>
      <c r="X6332" t="s">
        <v>3</v>
      </c>
      <c r="AA6332" s="5" t="str">
        <f>HYPERLINK("https://www.zillow.com/homes/ELLSWORTH-AVE-VILLA-PARK-IL-60181_rb/","check listing")</f>
        <v>check listing</v>
      </c>
      <c r="AB6332" s="5" t="str">
        <f>HYPERLINK("https://propertylookup.dupagecounty.gov/Datalets/Datalet.aspx?UseSearch=no&amp;mode=sales&amp;pin=0603126007","sales record")</f>
        <v>sales record</v>
      </c>
      <c r="AC6332" t="s">
        <v>3</v>
      </c>
      <c r="AD6332">
        <v>41.897142</v>
      </c>
      <c r="AE6332">
        <v>-87.97355899999999</v>
      </c>
      <c r="AF6332" s="5" t="str">
        <f>HYPERLINK("https://www.google.com/maps/search/?api=1&amp;query=41.897142,-87.973559","map")</f>
        <v>map</v>
      </c>
    </row>
    <row r="6333" spans="1:32">
      <c r="A6333" t="s">
        <v>6383</v>
      </c>
      <c r="B6333" t="s">
        <v>13875</v>
      </c>
      <c r="C6333" t="s">
        <v>15998</v>
      </c>
      <c r="D6333" t="s">
        <v>16209</v>
      </c>
      <c r="E6333" t="s">
        <v>16218</v>
      </c>
      <c r="F6333" t="s">
        <v>16221</v>
      </c>
      <c r="G6333" t="s">
        <v>16285</v>
      </c>
      <c r="H6333" t="s">
        <v>16285</v>
      </c>
      <c r="I6333" t="s">
        <v>16363</v>
      </c>
      <c r="J6333" t="s">
        <v>16386</v>
      </c>
      <c r="K6333">
        <v>0.549</v>
      </c>
      <c r="L6333">
        <v>23906</v>
      </c>
      <c r="M6333">
        <v>1582</v>
      </c>
      <c r="N6333" t="s">
        <v>16393</v>
      </c>
      <c r="O6333" s="4">
        <v>34712</v>
      </c>
      <c r="P6333" s="4">
        <v>66345</v>
      </c>
      <c r="Q6333" s="4">
        <v>101057</v>
      </c>
      <c r="R6333" s="4">
        <v>303171</v>
      </c>
      <c r="S6333" t="s">
        <v>22542</v>
      </c>
      <c r="T6333" s="6">
        <v>36281</v>
      </c>
      <c r="U6333" s="4">
        <v>80000</v>
      </c>
      <c r="X6333" t="s">
        <v>3</v>
      </c>
      <c r="AA6333" s="5" t="str">
        <f>HYPERLINK("https://www.zillow.com/homes/315-N-CORNELL-AVE-VILLA-PARK-IL-60181_rb/","check listing")</f>
        <v>check listing</v>
      </c>
      <c r="AB6333" s="5" t="str">
        <f>HYPERLINK("https://propertylookup.dupagecounty.gov/Datalets/Datalet.aspx?UseSearch=no&amp;mode=sales&amp;pin=0603304004","sales record")</f>
        <v>sales record</v>
      </c>
      <c r="AC6333" t="s">
        <v>3</v>
      </c>
      <c r="AD6333">
        <v>41.895457</v>
      </c>
      <c r="AE6333">
        <v>-87.97717799999999</v>
      </c>
      <c r="AF6333" s="5" t="str">
        <f>HYPERLINK("https://www.google.com/maps/search/?api=1&amp;query=41.895457,-87.977178","map")</f>
        <v>map</v>
      </c>
    </row>
    <row r="6334" spans="1:32">
      <c r="A6334" t="s">
        <v>6384</v>
      </c>
      <c r="B6334" t="s">
        <v>13876</v>
      </c>
      <c r="C6334" t="s">
        <v>15998</v>
      </c>
      <c r="D6334" t="s">
        <v>16209</v>
      </c>
      <c r="E6334" t="s">
        <v>16218</v>
      </c>
      <c r="F6334" t="s">
        <v>16221</v>
      </c>
      <c r="G6334" t="s">
        <v>16286</v>
      </c>
      <c r="H6334" t="s">
        <v>16286</v>
      </c>
      <c r="I6334" t="s">
        <v>16364</v>
      </c>
      <c r="J6334" t="s">
        <v>16386</v>
      </c>
      <c r="K6334">
        <v>0.409</v>
      </c>
      <c r="L6334">
        <v>17814</v>
      </c>
      <c r="M6334">
        <v>2164</v>
      </c>
      <c r="N6334" t="s">
        <v>16393</v>
      </c>
      <c r="O6334" s="4">
        <v>61644</v>
      </c>
      <c r="P6334" s="4">
        <v>94315</v>
      </c>
      <c r="Q6334" s="4">
        <v>155959</v>
      </c>
      <c r="R6334" s="4">
        <v>467877</v>
      </c>
      <c r="S6334" t="s">
        <v>22543</v>
      </c>
      <c r="T6334" s="6">
        <v>41000</v>
      </c>
      <c r="U6334" s="4">
        <v>80000</v>
      </c>
      <c r="V6334" t="s">
        <v>23740</v>
      </c>
      <c r="W6334" t="s">
        <v>27226</v>
      </c>
      <c r="X6334" t="s">
        <v>3</v>
      </c>
      <c r="AA6334" s="5" t="str">
        <f>HYPERLINK("https://www.zillow.com/homes/329-E-PARK-ST-VILLA-PARK-IL-60181_rb/","check listing")</f>
        <v>check listing</v>
      </c>
      <c r="AB6334" s="5" t="str">
        <f>HYPERLINK("https://propertylookup.dupagecounty.gov/Datalets/Datalet.aspx?UseSearch=no&amp;mode=sales&amp;pin=0610123004","sales record")</f>
        <v>sales record</v>
      </c>
      <c r="AC6334" t="s">
        <v>3</v>
      </c>
      <c r="AD6334">
        <v>41.885172</v>
      </c>
      <c r="AE6334">
        <v>-87.970094</v>
      </c>
      <c r="AF6334" s="5" t="str">
        <f>HYPERLINK("https://www.google.com/maps/search/?api=1&amp;query=41.885172,-87.970094","map")</f>
        <v>map</v>
      </c>
    </row>
    <row r="6335" spans="1:32">
      <c r="A6335" t="s">
        <v>6385</v>
      </c>
      <c r="B6335" t="s">
        <v>13877</v>
      </c>
      <c r="C6335" t="s">
        <v>15998</v>
      </c>
      <c r="D6335" t="s">
        <v>16209</v>
      </c>
      <c r="E6335" t="s">
        <v>16218</v>
      </c>
      <c r="F6335" t="s">
        <v>16221</v>
      </c>
      <c r="G6335" t="s">
        <v>16286</v>
      </c>
      <c r="H6335" t="s">
        <v>16286</v>
      </c>
      <c r="I6335" t="s">
        <v>16364</v>
      </c>
      <c r="J6335" t="s">
        <v>16386</v>
      </c>
      <c r="K6335">
        <v>0.321</v>
      </c>
      <c r="L6335">
        <v>14001</v>
      </c>
      <c r="M6335">
        <v>2050</v>
      </c>
      <c r="N6335" t="s">
        <v>16393</v>
      </c>
      <c r="O6335" s="4">
        <v>24786</v>
      </c>
      <c r="P6335" s="4">
        <v>92297</v>
      </c>
      <c r="Q6335" s="4">
        <v>117083</v>
      </c>
      <c r="R6335" s="4">
        <v>351249</v>
      </c>
      <c r="S6335" t="s">
        <v>22544</v>
      </c>
      <c r="T6335" s="6">
        <v>41122</v>
      </c>
      <c r="U6335" s="4">
        <v>160000</v>
      </c>
      <c r="V6335" t="s">
        <v>23740</v>
      </c>
      <c r="W6335" t="s">
        <v>27227</v>
      </c>
      <c r="X6335" t="s">
        <v>3</v>
      </c>
      <c r="AA6335" s="5" t="str">
        <f>HYPERLINK("https://www.zillow.com/homes/614-N-ARDMORE-AVE-VILLA-PARK-IL-60181_rb/","check listing")</f>
        <v>check listing</v>
      </c>
      <c r="AB6335" s="5" t="str">
        <f>HYPERLINK("https://propertylookup.dupagecounty.gov/Datalets/Datalet.aspx?UseSearch=no&amp;mode=sales&amp;pin=0604225020","sales record")</f>
        <v>sales record</v>
      </c>
      <c r="AC6335" t="s">
        <v>3</v>
      </c>
      <c r="AD6335">
        <v>41.901571</v>
      </c>
      <c r="AE6335">
        <v>-87.979339</v>
      </c>
      <c r="AF6335" s="5" t="str">
        <f>HYPERLINK("https://www.google.com/maps/search/?api=1&amp;query=41.901571,-87.979339","map")</f>
        <v>map</v>
      </c>
    </row>
    <row r="6336" spans="1:32">
      <c r="A6336" t="s">
        <v>6386</v>
      </c>
      <c r="B6336" t="s">
        <v>13878</v>
      </c>
      <c r="C6336" t="s">
        <v>15998</v>
      </c>
      <c r="D6336" t="s">
        <v>16209</v>
      </c>
      <c r="E6336" t="s">
        <v>16218</v>
      </c>
      <c r="F6336" t="s">
        <v>16221</v>
      </c>
      <c r="G6336" t="s">
        <v>16286</v>
      </c>
      <c r="H6336" t="s">
        <v>16286</v>
      </c>
      <c r="I6336" t="s">
        <v>16364</v>
      </c>
      <c r="J6336" t="s">
        <v>16386</v>
      </c>
      <c r="K6336">
        <v>0.31</v>
      </c>
      <c r="L6336">
        <v>13505</v>
      </c>
      <c r="M6336">
        <v>2777</v>
      </c>
      <c r="N6336" t="s">
        <v>16393</v>
      </c>
      <c r="O6336" s="4">
        <v>48557</v>
      </c>
      <c r="P6336" s="4">
        <v>67418</v>
      </c>
      <c r="Q6336" s="4">
        <v>115975</v>
      </c>
      <c r="R6336" s="4">
        <v>347925</v>
      </c>
      <c r="S6336" t="s">
        <v>22545</v>
      </c>
      <c r="T6336" s="6">
        <v>40664</v>
      </c>
      <c r="U6336" s="4">
        <v>170000</v>
      </c>
      <c r="V6336" t="s">
        <v>23740</v>
      </c>
      <c r="W6336" t="s">
        <v>27228</v>
      </c>
      <c r="X6336" t="s">
        <v>3</v>
      </c>
      <c r="AA6336" s="5" t="str">
        <f>HYPERLINK("https://www.zillow.com/homes/233-S-VILLA-AVE-VILLA-PARK-IL-60181_rb/","check listing")</f>
        <v>check listing</v>
      </c>
      <c r="AB6336" s="5" t="str">
        <f>HYPERLINK("https://propertylookup.dupagecounty.gov/Datalets/Datalet.aspx?UseSearch=no&amp;mode=sales&amp;pin=0610217004","sales record")</f>
        <v>sales record</v>
      </c>
      <c r="AC6336" t="s">
        <v>27873</v>
      </c>
      <c r="AD6336">
        <v>41.885128</v>
      </c>
      <c r="AE6336">
        <v>-87.968559</v>
      </c>
      <c r="AF6336" s="5" t="str">
        <f>HYPERLINK("https://www.google.com/maps/search/?api=1&amp;query=41.885128,-87.968559","map")</f>
        <v>map</v>
      </c>
    </row>
    <row r="6337" spans="1:32">
      <c r="A6337" t="s">
        <v>6387</v>
      </c>
      <c r="B6337" t="s">
        <v>13879</v>
      </c>
      <c r="C6337" t="s">
        <v>15998</v>
      </c>
      <c r="D6337" t="s">
        <v>16209</v>
      </c>
      <c r="E6337" t="s">
        <v>16218</v>
      </c>
      <c r="F6337" t="s">
        <v>16221</v>
      </c>
      <c r="G6337" t="s">
        <v>16285</v>
      </c>
      <c r="H6337" t="s">
        <v>16285</v>
      </c>
      <c r="I6337" t="s">
        <v>16363</v>
      </c>
      <c r="J6337" t="s">
        <v>16386</v>
      </c>
      <c r="K6337">
        <v>0.28</v>
      </c>
      <c r="L6337">
        <v>12190</v>
      </c>
      <c r="M6337">
        <v>999</v>
      </c>
      <c r="N6337" t="s">
        <v>16393</v>
      </c>
      <c r="O6337" s="4">
        <v>22115</v>
      </c>
      <c r="P6337" s="4">
        <v>85112</v>
      </c>
      <c r="Q6337" s="4">
        <v>107227</v>
      </c>
      <c r="R6337" s="4">
        <v>321681</v>
      </c>
      <c r="S6337" t="s">
        <v>22546</v>
      </c>
      <c r="T6337" s="6">
        <v>43009</v>
      </c>
      <c r="U6337" s="4">
        <v>267000</v>
      </c>
      <c r="V6337" t="s">
        <v>23739</v>
      </c>
      <c r="W6337" t="s">
        <v>22546</v>
      </c>
      <c r="X6337" t="s">
        <v>3</v>
      </c>
      <c r="AA6337" s="5" t="str">
        <f>HYPERLINK("https://www.zillow.com/homes/327-N-CORNELL-AVE-VILLA-PARK-IL-60181_rb/","check listing")</f>
        <v>check listing</v>
      </c>
      <c r="AB6337" s="5" t="str">
        <f>HYPERLINK("https://propertylookup.dupagecounty.gov/Datalets/Datalet.aspx?UseSearch=no&amp;mode=sales&amp;pin=0603304002","sales record")</f>
        <v>sales record</v>
      </c>
      <c r="AC6337" t="s">
        <v>3</v>
      </c>
      <c r="AD6337">
        <v>41.895852</v>
      </c>
      <c r="AE6337">
        <v>-87.97718</v>
      </c>
      <c r="AF6337" s="5" t="str">
        <f>HYPERLINK("https://www.google.com/maps/search/?api=1&amp;query=41.895852,-87.97718","map")</f>
        <v>map</v>
      </c>
    </row>
    <row r="6338" spans="1:32">
      <c r="A6338" t="s">
        <v>6388</v>
      </c>
      <c r="B6338" t="s">
        <v>13880</v>
      </c>
      <c r="C6338" t="s">
        <v>15998</v>
      </c>
      <c r="D6338" t="s">
        <v>16209</v>
      </c>
      <c r="E6338" t="s">
        <v>16218</v>
      </c>
      <c r="F6338" t="s">
        <v>16221</v>
      </c>
      <c r="G6338" t="s">
        <v>16286</v>
      </c>
      <c r="H6338" t="s">
        <v>16286</v>
      </c>
      <c r="I6338" t="s">
        <v>16364</v>
      </c>
      <c r="J6338" t="s">
        <v>16386</v>
      </c>
      <c r="K6338">
        <v>0.232</v>
      </c>
      <c r="L6338">
        <v>10117</v>
      </c>
      <c r="M6338">
        <v>1101</v>
      </c>
      <c r="N6338" t="s">
        <v>16393</v>
      </c>
      <c r="O6338" s="4">
        <v>39949</v>
      </c>
      <c r="P6338" s="4">
        <v>55334</v>
      </c>
      <c r="Q6338" s="4">
        <v>95283</v>
      </c>
      <c r="R6338" s="4">
        <v>285849</v>
      </c>
      <c r="S6338" t="s">
        <v>22547</v>
      </c>
      <c r="T6338" s="6">
        <v>32203</v>
      </c>
      <c r="U6338" s="4">
        <v>76500</v>
      </c>
      <c r="X6338" t="s">
        <v>3</v>
      </c>
      <c r="AA6338" s="5" t="str">
        <f>HYPERLINK("https://www.zillow.com/homes/208-S-MYRTLE-AVE-VILLA-PARK-IL-60181_rb/","check listing")</f>
        <v>check listing</v>
      </c>
      <c r="AB6338" s="5" t="str">
        <f>HYPERLINK("https://propertylookup.dupagecounty.gov/Datalets/Datalet.aspx?UseSearch=no&amp;mode=sales&amp;pin=0610114011","sales record")</f>
        <v>sales record</v>
      </c>
      <c r="AC6338" t="s">
        <v>3</v>
      </c>
      <c r="AD6338">
        <v>41.886319</v>
      </c>
      <c r="AE6338">
        <v>-87.971262</v>
      </c>
      <c r="AF6338" s="5" t="str">
        <f>HYPERLINK("https://www.google.com/maps/search/?api=1&amp;query=41.886319,-87.971262","map")</f>
        <v>map</v>
      </c>
    </row>
    <row r="6339" spans="1:32">
      <c r="A6339" t="s">
        <v>6389</v>
      </c>
      <c r="B6339" t="s">
        <v>13881</v>
      </c>
      <c r="C6339" t="s">
        <v>15998</v>
      </c>
      <c r="D6339" t="s">
        <v>16209</v>
      </c>
      <c r="E6339" t="s">
        <v>16218</v>
      </c>
      <c r="F6339" t="s">
        <v>16221</v>
      </c>
      <c r="G6339" t="s">
        <v>16285</v>
      </c>
      <c r="H6339" t="s">
        <v>16285</v>
      </c>
      <c r="I6339" t="s">
        <v>16363</v>
      </c>
      <c r="J6339" t="s">
        <v>16386</v>
      </c>
      <c r="K6339">
        <v>0.195</v>
      </c>
      <c r="L6339">
        <v>8491</v>
      </c>
      <c r="M6339">
        <v>1690</v>
      </c>
      <c r="N6339" t="s">
        <v>16393</v>
      </c>
      <c r="O6339" s="4">
        <v>15490</v>
      </c>
      <c r="P6339" s="4">
        <v>77788</v>
      </c>
      <c r="Q6339" s="4">
        <v>93278</v>
      </c>
      <c r="R6339" s="4">
        <v>279834</v>
      </c>
      <c r="S6339" t="s">
        <v>22548</v>
      </c>
      <c r="T6339" s="6">
        <v>31352</v>
      </c>
      <c r="U6339" s="4">
        <v>73000</v>
      </c>
      <c r="X6339" t="s">
        <v>3</v>
      </c>
      <c r="AA6339" s="5" t="str">
        <f>HYPERLINK("https://www.zillow.com/homes/314-N-CORNELL-AVE-VILLA-PARK-IL-60181_rb/","check listing")</f>
        <v>check listing</v>
      </c>
      <c r="AB6339" s="5" t="str">
        <f>HYPERLINK("https://propertylookup.dupagecounty.gov/Datalets/Datalet.aspx?UseSearch=no&amp;mode=sales&amp;pin=0603303019","sales record")</f>
        <v>sales record</v>
      </c>
      <c r="AC6339" t="s">
        <v>3</v>
      </c>
      <c r="AD6339">
        <v>41.895412</v>
      </c>
      <c r="AE6339">
        <v>-87.978127</v>
      </c>
      <c r="AF6339" s="5" t="str">
        <f>HYPERLINK("https://www.google.com/maps/search/?api=1&amp;query=41.895412,-87.978127","map")</f>
        <v>map</v>
      </c>
    </row>
    <row r="6340" spans="1:32">
      <c r="A6340" t="s">
        <v>6390</v>
      </c>
      <c r="B6340" t="s">
        <v>13882</v>
      </c>
      <c r="C6340" t="s">
        <v>16014</v>
      </c>
      <c r="D6340" t="s">
        <v>16209</v>
      </c>
      <c r="E6340" t="s">
        <v>16218</v>
      </c>
      <c r="F6340" t="s">
        <v>16221</v>
      </c>
      <c r="G6340" t="s">
        <v>16285</v>
      </c>
      <c r="H6340" t="s">
        <v>16285</v>
      </c>
      <c r="I6340" t="s">
        <v>16363</v>
      </c>
      <c r="J6340" t="s">
        <v>16386</v>
      </c>
      <c r="K6340">
        <v>0.195</v>
      </c>
      <c r="L6340">
        <v>8483</v>
      </c>
      <c r="M6340">
        <v>1191</v>
      </c>
      <c r="N6340" t="s">
        <v>16393</v>
      </c>
      <c r="O6340" s="4">
        <v>15490</v>
      </c>
      <c r="P6340" s="4">
        <v>82173</v>
      </c>
      <c r="Q6340" s="4">
        <v>97663</v>
      </c>
      <c r="R6340" s="4">
        <v>292989</v>
      </c>
      <c r="S6340" t="s">
        <v>22549</v>
      </c>
      <c r="T6340" s="6">
        <v>43221</v>
      </c>
      <c r="U6340" s="4">
        <v>230000</v>
      </c>
      <c r="V6340" t="s">
        <v>23739</v>
      </c>
      <c r="W6340" t="s">
        <v>27229</v>
      </c>
      <c r="X6340" t="s">
        <v>3</v>
      </c>
      <c r="AA6340" s="5" t="str">
        <f>HYPERLINK("https://www.zillow.com/homes/310-N-CORNELL-AVE-VILLA-PARK-IL-601812163_rb/","check listing")</f>
        <v>check listing</v>
      </c>
      <c r="AB6340" s="5" t="str">
        <f>HYPERLINK("https://propertylookup.dupagecounty.gov/Datalets/Datalet.aspx?UseSearch=no&amp;mode=sales&amp;pin=0603303020","sales record")</f>
        <v>sales record</v>
      </c>
      <c r="AC6340" t="s">
        <v>3</v>
      </c>
      <c r="AD6340">
        <v>41.895275</v>
      </c>
      <c r="AE6340">
        <v>-87.978128</v>
      </c>
      <c r="AF6340" s="5" t="str">
        <f>HYPERLINK("https://www.google.com/maps/search/?api=1&amp;query=41.895275,-87.978128","map")</f>
        <v>map</v>
      </c>
    </row>
    <row r="6341" spans="1:32">
      <c r="A6341" t="s">
        <v>6391</v>
      </c>
      <c r="B6341" t="s">
        <v>13883</v>
      </c>
      <c r="C6341" t="s">
        <v>15998</v>
      </c>
      <c r="D6341" t="s">
        <v>16209</v>
      </c>
      <c r="E6341" t="s">
        <v>16218</v>
      </c>
      <c r="F6341" t="s">
        <v>16221</v>
      </c>
      <c r="G6341" t="s">
        <v>16285</v>
      </c>
      <c r="H6341" t="s">
        <v>16285</v>
      </c>
      <c r="I6341" t="s">
        <v>16363</v>
      </c>
      <c r="J6341" t="s">
        <v>16386</v>
      </c>
      <c r="K6341">
        <v>0.181</v>
      </c>
      <c r="L6341">
        <v>7891</v>
      </c>
      <c r="M6341">
        <v>1032</v>
      </c>
      <c r="N6341" t="s">
        <v>16393</v>
      </c>
      <c r="O6341" s="4">
        <v>13752</v>
      </c>
      <c r="P6341" s="4">
        <v>82406</v>
      </c>
      <c r="Q6341" s="4">
        <v>96158</v>
      </c>
      <c r="R6341" s="4">
        <v>288474</v>
      </c>
      <c r="S6341" t="s">
        <v>22550</v>
      </c>
      <c r="T6341" s="6">
        <v>42767</v>
      </c>
      <c r="U6341" s="4">
        <v>173000</v>
      </c>
      <c r="V6341" t="s">
        <v>16232</v>
      </c>
      <c r="W6341" t="s">
        <v>22550</v>
      </c>
      <c r="X6341" t="s">
        <v>3</v>
      </c>
      <c r="AA6341" s="5" t="str">
        <f>HYPERLINK("https://www.zillow.com/homes/316-N-ARDMORE-AVE-VILLA-PARK-IL-60181_rb/","check listing")</f>
        <v>check listing</v>
      </c>
      <c r="AB6341" s="5" t="str">
        <f>HYPERLINK("https://propertylookup.dupagecounty.gov/Datalets/Datalet.aspx?UseSearch=no&amp;mode=sales&amp;pin=0604403014","sales record")</f>
        <v>sales record</v>
      </c>
      <c r="AC6341" t="s">
        <v>3</v>
      </c>
      <c r="AD6341">
        <v>41.895254</v>
      </c>
      <c r="AE6341">
        <v>-87.979505</v>
      </c>
      <c r="AF6341" s="5" t="str">
        <f>HYPERLINK("https://www.google.com/maps/search/?api=1&amp;query=41.895254,-87.979505","map")</f>
        <v>map</v>
      </c>
    </row>
    <row r="6342" spans="1:32">
      <c r="A6342" t="s">
        <v>6392</v>
      </c>
      <c r="B6342" t="s">
        <v>13884</v>
      </c>
      <c r="C6342" t="s">
        <v>15998</v>
      </c>
      <c r="D6342" t="s">
        <v>16209</v>
      </c>
      <c r="E6342" t="s">
        <v>16218</v>
      </c>
      <c r="F6342" t="s">
        <v>16221</v>
      </c>
      <c r="G6342" t="s">
        <v>16286</v>
      </c>
      <c r="H6342" t="s">
        <v>16286</v>
      </c>
      <c r="I6342" t="s">
        <v>16364</v>
      </c>
      <c r="J6342" t="s">
        <v>16386</v>
      </c>
      <c r="K6342">
        <v>0.178</v>
      </c>
      <c r="L6342">
        <v>7774</v>
      </c>
      <c r="M6342">
        <v>1874</v>
      </c>
      <c r="N6342" t="s">
        <v>16393</v>
      </c>
      <c r="O6342" s="4">
        <v>13787</v>
      </c>
      <c r="P6342" s="4">
        <v>80178</v>
      </c>
      <c r="Q6342" s="4">
        <v>93965</v>
      </c>
      <c r="R6342" s="4">
        <v>281895</v>
      </c>
      <c r="S6342" t="s">
        <v>22551</v>
      </c>
      <c r="T6342" s="6">
        <v>43405</v>
      </c>
      <c r="U6342" s="4">
        <v>244900</v>
      </c>
      <c r="V6342" t="s">
        <v>23739</v>
      </c>
      <c r="W6342" t="s">
        <v>27230</v>
      </c>
      <c r="X6342" t="s">
        <v>3</v>
      </c>
      <c r="AA6342" s="5" t="str">
        <f>HYPERLINK("https://www.zillow.com/homes/560-N-ARDMORE-AVE-VILLA-PARK-IL-60181_rb/","check listing")</f>
        <v>check listing</v>
      </c>
      <c r="AB6342" s="5" t="str">
        <f>HYPERLINK("https://propertylookup.dupagecounty.gov/Datalets/Datalet.aspx?UseSearch=no&amp;mode=sales&amp;pin=0604225023","sales record")</f>
        <v>sales record</v>
      </c>
      <c r="AC6342" t="s">
        <v>3</v>
      </c>
      <c r="AD6342">
        <v>41.901089</v>
      </c>
      <c r="AE6342">
        <v>-87.979326</v>
      </c>
      <c r="AF6342" s="5" t="str">
        <f>HYPERLINK("https://www.google.com/maps/search/?api=1&amp;query=41.901089,-87.979326","map")</f>
        <v>map</v>
      </c>
    </row>
    <row r="6343" spans="1:32">
      <c r="A6343" t="s">
        <v>6393</v>
      </c>
      <c r="B6343" t="s">
        <v>13885</v>
      </c>
      <c r="C6343" t="s">
        <v>15998</v>
      </c>
      <c r="D6343" t="s">
        <v>16209</v>
      </c>
      <c r="E6343" t="s">
        <v>16218</v>
      </c>
      <c r="F6343" t="s">
        <v>16221</v>
      </c>
      <c r="G6343" t="s">
        <v>16286</v>
      </c>
      <c r="H6343" t="s">
        <v>16286</v>
      </c>
      <c r="I6343" t="s">
        <v>16364</v>
      </c>
      <c r="J6343" t="s">
        <v>16386</v>
      </c>
      <c r="K6343">
        <v>0.164</v>
      </c>
      <c r="L6343">
        <v>7139</v>
      </c>
      <c r="M6343">
        <v>2020</v>
      </c>
      <c r="N6343" t="s">
        <v>16393</v>
      </c>
      <c r="O6343" s="4">
        <v>12364</v>
      </c>
      <c r="P6343" s="4">
        <v>96251</v>
      </c>
      <c r="Q6343" s="4">
        <v>108615</v>
      </c>
      <c r="R6343" s="4">
        <v>325845</v>
      </c>
      <c r="S6343" t="s">
        <v>22552</v>
      </c>
      <c r="T6343" s="6">
        <v>41426</v>
      </c>
      <c r="U6343" s="4">
        <v>175000</v>
      </c>
      <c r="V6343" t="s">
        <v>23739</v>
      </c>
      <c r="W6343" t="s">
        <v>27231</v>
      </c>
      <c r="X6343" t="s">
        <v>3</v>
      </c>
      <c r="AA6343" s="5" t="str">
        <f>HYPERLINK("https://www.zillow.com/homes/564-N-ARDMORE-AVE-VILLA-PARK-IL-60181_rb/","check listing")</f>
        <v>check listing</v>
      </c>
      <c r="AB6343" s="5" t="str">
        <f>HYPERLINK("https://propertylookup.dupagecounty.gov/Datalets/Datalet.aspx?UseSearch=no&amp;mode=sales&amp;pin=0604225022","sales record")</f>
        <v>sales record</v>
      </c>
      <c r="AC6343" t="s">
        <v>3</v>
      </c>
      <c r="AD6343">
        <v>41.901227</v>
      </c>
      <c r="AE6343">
        <v>-87.97934600000001</v>
      </c>
      <c r="AF6343" s="5" t="str">
        <f>HYPERLINK("https://www.google.com/maps/search/?api=1&amp;query=41.901227,-87.979346","map")</f>
        <v>map</v>
      </c>
    </row>
    <row r="6344" spans="1:32">
      <c r="A6344" t="s">
        <v>6394</v>
      </c>
      <c r="B6344" t="s">
        <v>13886</v>
      </c>
      <c r="C6344" t="s">
        <v>15998</v>
      </c>
      <c r="D6344" t="s">
        <v>16209</v>
      </c>
      <c r="E6344" t="s">
        <v>16218</v>
      </c>
      <c r="F6344" t="s">
        <v>16221</v>
      </c>
      <c r="G6344" t="s">
        <v>16286</v>
      </c>
      <c r="H6344" t="s">
        <v>16286</v>
      </c>
      <c r="I6344" t="s">
        <v>16364</v>
      </c>
      <c r="J6344" t="s">
        <v>16386</v>
      </c>
      <c r="K6344">
        <v>0.133</v>
      </c>
      <c r="L6344">
        <v>5776</v>
      </c>
      <c r="M6344">
        <v>1113</v>
      </c>
      <c r="N6344" t="s">
        <v>16393</v>
      </c>
      <c r="O6344" s="4">
        <v>22885</v>
      </c>
      <c r="P6344" s="4">
        <v>72935</v>
      </c>
      <c r="Q6344" s="4">
        <v>95820</v>
      </c>
      <c r="R6344" s="4">
        <v>287460</v>
      </c>
      <c r="S6344" t="s">
        <v>22553</v>
      </c>
      <c r="T6344" s="6">
        <v>35674</v>
      </c>
      <c r="U6344" s="4">
        <v>132000</v>
      </c>
      <c r="X6344" t="s">
        <v>3</v>
      </c>
      <c r="AA6344" s="5" t="str">
        <f>HYPERLINK("https://www.zillow.com/homes/204-S-MYRTLE-VILLA-PARK-IL-60181_rb/","check listing")</f>
        <v>check listing</v>
      </c>
      <c r="AB6344" s="5" t="str">
        <f>HYPERLINK("https://propertylookup.dupagecounty.gov/Datalets/Datalet.aspx?UseSearch=no&amp;mode=sales&amp;pin=0610114010","sales record")</f>
        <v>sales record</v>
      </c>
      <c r="AC6344" t="s">
        <v>3</v>
      </c>
      <c r="AD6344">
        <v>41.886457</v>
      </c>
      <c r="AE6344">
        <v>-87.971104</v>
      </c>
      <c r="AF6344" s="5" t="str">
        <f>HYPERLINK("https://www.google.com/maps/search/?api=1&amp;query=41.886457,-87.971104","map")</f>
        <v>map</v>
      </c>
    </row>
    <row r="6345" spans="1:32">
      <c r="A6345" t="s">
        <v>6395</v>
      </c>
      <c r="B6345" t="s">
        <v>13887</v>
      </c>
      <c r="C6345" t="s">
        <v>15998</v>
      </c>
      <c r="D6345" t="s">
        <v>16209</v>
      </c>
      <c r="E6345" t="s">
        <v>16218</v>
      </c>
      <c r="F6345" t="s">
        <v>16221</v>
      </c>
      <c r="G6345" t="s">
        <v>16286</v>
      </c>
      <c r="H6345" t="s">
        <v>16286</v>
      </c>
      <c r="I6345" t="s">
        <v>16364</v>
      </c>
      <c r="J6345" t="s">
        <v>16386</v>
      </c>
      <c r="K6345">
        <v>0.118</v>
      </c>
      <c r="L6345">
        <v>5161</v>
      </c>
      <c r="M6345">
        <v>1981</v>
      </c>
      <c r="N6345" t="s">
        <v>16393</v>
      </c>
      <c r="O6345" s="4">
        <v>17309</v>
      </c>
      <c r="P6345" s="4">
        <v>49828</v>
      </c>
      <c r="Q6345" s="4">
        <v>67137</v>
      </c>
      <c r="R6345" s="4">
        <v>201411</v>
      </c>
      <c r="S6345" t="s">
        <v>22554</v>
      </c>
      <c r="T6345" s="6">
        <v>31503</v>
      </c>
      <c r="U6345" s="4">
        <v>49000</v>
      </c>
      <c r="X6345" t="s">
        <v>3</v>
      </c>
      <c r="AA6345" s="5" t="str">
        <f>HYPERLINK("https://www.zillow.com/homes/261-E-KENILWORTH-AVE-VILLA-PARK-IL-60181_rb/","check listing")</f>
        <v>check listing</v>
      </c>
      <c r="AB6345" s="5" t="str">
        <f>HYPERLINK("https://propertylookup.dupagecounty.gov/Datalets/Datalet.aspx?UseSearch=no&amp;mode=sales&amp;pin=0610114009","sales record")</f>
        <v>sales record</v>
      </c>
      <c r="AC6345" t="s">
        <v>3</v>
      </c>
      <c r="AD6345">
        <v>41.886453</v>
      </c>
      <c r="AE6345">
        <v>-87.97147699999999</v>
      </c>
      <c r="AF6345" s="5" t="str">
        <f>HYPERLINK("https://www.google.com/maps/search/?api=1&amp;query=41.886453,-87.971477","map")</f>
        <v>map</v>
      </c>
    </row>
    <row r="6346" spans="1:32">
      <c r="A6346" t="s">
        <v>6396</v>
      </c>
      <c r="B6346" t="s">
        <v>13888</v>
      </c>
      <c r="C6346" t="s">
        <v>16015</v>
      </c>
      <c r="D6346" t="s">
        <v>16210</v>
      </c>
      <c r="E6346" t="s">
        <v>16218</v>
      </c>
      <c r="F6346" t="s">
        <v>16222</v>
      </c>
      <c r="G6346" t="s">
        <v>16287</v>
      </c>
      <c r="H6346" t="s">
        <v>16287</v>
      </c>
      <c r="I6346" t="s">
        <v>16365</v>
      </c>
      <c r="J6346" t="s">
        <v>16387</v>
      </c>
      <c r="K6346">
        <v>0.251</v>
      </c>
      <c r="L6346">
        <v>10912</v>
      </c>
      <c r="M6346">
        <v>1385</v>
      </c>
      <c r="N6346" t="s">
        <v>16393</v>
      </c>
      <c r="O6346" s="4">
        <v>32314</v>
      </c>
      <c r="P6346" s="4">
        <v>68243</v>
      </c>
      <c r="Q6346" s="4">
        <v>100557</v>
      </c>
      <c r="R6346" s="4">
        <v>301671</v>
      </c>
      <c r="S6346" t="s">
        <v>22555</v>
      </c>
      <c r="T6346" s="6">
        <v>36770</v>
      </c>
      <c r="U6346" s="4">
        <v>115000</v>
      </c>
      <c r="V6346" t="s">
        <v>23739</v>
      </c>
      <c r="W6346" t="s">
        <v>27232</v>
      </c>
      <c r="X6346" t="s">
        <v>3</v>
      </c>
      <c r="AA6346" s="5" t="str">
        <f>HYPERLINK("https://www.zillow.com/homes/117-MC-CONNELL-AVE-WEST-CHICAGO-IL-60185_rb/","check listing")</f>
        <v>check listing</v>
      </c>
      <c r="AB6346" s="5" t="str">
        <f>HYPERLINK("https://propertylookup.dupagecounty.gov/Datalets/Datalet.aspx?UseSearch=no&amp;mode=sales&amp;pin=0404412012","sales record")</f>
        <v>sales record</v>
      </c>
      <c r="AC6346" t="s">
        <v>3</v>
      </c>
      <c r="AD6346">
        <v>41.886359</v>
      </c>
      <c r="AE6346">
        <v>-88.206411</v>
      </c>
      <c r="AF6346" s="5" t="str">
        <f>HYPERLINK("https://www.google.com/maps/search/?api=1&amp;query=41.886359,-88.206411","map")</f>
        <v>map</v>
      </c>
    </row>
    <row r="6347" spans="1:32">
      <c r="A6347" t="s">
        <v>6397</v>
      </c>
      <c r="B6347" t="s">
        <v>13889</v>
      </c>
      <c r="C6347" t="s">
        <v>16015</v>
      </c>
      <c r="D6347" t="s">
        <v>16210</v>
      </c>
      <c r="E6347" t="s">
        <v>16218</v>
      </c>
      <c r="F6347" t="s">
        <v>16222</v>
      </c>
      <c r="G6347" t="s">
        <v>16287</v>
      </c>
      <c r="H6347" t="s">
        <v>16287</v>
      </c>
      <c r="I6347" t="s">
        <v>16365</v>
      </c>
      <c r="J6347" t="s">
        <v>16387</v>
      </c>
      <c r="K6347">
        <v>0.229</v>
      </c>
      <c r="L6347">
        <v>9965</v>
      </c>
      <c r="M6347">
        <v>1584</v>
      </c>
      <c r="N6347" t="s">
        <v>16393</v>
      </c>
      <c r="O6347" s="4">
        <v>31393</v>
      </c>
      <c r="P6347" s="4">
        <v>47526</v>
      </c>
      <c r="Q6347" s="4">
        <v>78919</v>
      </c>
      <c r="R6347" s="4">
        <v>236757</v>
      </c>
      <c r="S6347" t="s">
        <v>22556</v>
      </c>
      <c r="T6347" s="6">
        <v>42156</v>
      </c>
      <c r="U6347" s="4">
        <v>76900</v>
      </c>
      <c r="V6347" t="s">
        <v>16232</v>
      </c>
      <c r="W6347" t="s">
        <v>27233</v>
      </c>
      <c r="X6347" t="s">
        <v>3</v>
      </c>
      <c r="AA6347" s="5" t="str">
        <f>HYPERLINK("https://www.zillow.com/homes/207-W-WASHINGTON-ST-WEST-CHICAGO-IL-60185_rb/","check listing")</f>
        <v>check listing</v>
      </c>
      <c r="AB6347" s="5" t="str">
        <f>HYPERLINK("https://propertylookup.dupagecounty.gov/Datalets/Datalet.aspx?UseSearch=no&amp;mode=sales&amp;pin=0409201007","sales record")</f>
        <v>sales record</v>
      </c>
      <c r="AC6347" t="s">
        <v>27873</v>
      </c>
      <c r="AD6347">
        <v>41.883737</v>
      </c>
      <c r="AE6347">
        <v>-88.20834600000001</v>
      </c>
      <c r="AF6347" s="5" t="str">
        <f>HYPERLINK("https://www.google.com/maps/search/?api=1&amp;query=41.883737,-88.208346","map")</f>
        <v>map</v>
      </c>
    </row>
    <row r="6348" spans="1:32">
      <c r="A6348" t="s">
        <v>6398</v>
      </c>
      <c r="B6348" t="s">
        <v>13890</v>
      </c>
      <c r="C6348" t="s">
        <v>16015</v>
      </c>
      <c r="D6348" t="s">
        <v>16210</v>
      </c>
      <c r="E6348" t="s">
        <v>16217</v>
      </c>
      <c r="F6348" t="s">
        <v>16222</v>
      </c>
      <c r="G6348" t="s">
        <v>16287</v>
      </c>
      <c r="H6348" t="s">
        <v>16287</v>
      </c>
      <c r="I6348" t="s">
        <v>16365</v>
      </c>
      <c r="J6348" t="s">
        <v>16387</v>
      </c>
      <c r="K6348">
        <v>0.714</v>
      </c>
      <c r="L6348">
        <v>31110</v>
      </c>
      <c r="N6348" t="s">
        <v>16392</v>
      </c>
      <c r="O6348" s="4">
        <v>36641</v>
      </c>
      <c r="P6348" s="4">
        <v>0</v>
      </c>
      <c r="Q6348" s="4">
        <v>36641</v>
      </c>
      <c r="R6348" s="4">
        <v>109923</v>
      </c>
      <c r="S6348" t="s">
        <v>22557</v>
      </c>
      <c r="T6348" s="6">
        <v>36982</v>
      </c>
      <c r="U6348" s="4">
        <v>21000</v>
      </c>
      <c r="V6348" t="s">
        <v>23739</v>
      </c>
      <c r="W6348" t="s">
        <v>27234</v>
      </c>
      <c r="X6348" t="s">
        <v>3</v>
      </c>
      <c r="AA6348" s="5" t="str">
        <f>HYPERLINK("https://www.zillow.com/homes/420-S-NELTNOR-BLVD-WEST-CHICAGO-IL-60185_rb/","check listing")</f>
        <v>check listing</v>
      </c>
      <c r="AB6348" s="5" t="str">
        <f>HYPERLINK("https://propertylookup.dupagecounty.gov/Datalets/Datalet.aspx?UseSearch=no&amp;mode=sales&amp;pin=0410120032","sales record")</f>
        <v>sales record</v>
      </c>
      <c r="AC6348" t="s">
        <v>3</v>
      </c>
      <c r="AD6348">
        <v>41.880198</v>
      </c>
      <c r="AE6348">
        <v>-88.19544500000001</v>
      </c>
      <c r="AF6348" s="5" t="str">
        <f>HYPERLINK("https://www.google.com/maps/search/?api=1&amp;query=41.880198,-88.195445","map")</f>
        <v>map</v>
      </c>
    </row>
    <row r="6349" spans="1:32">
      <c r="A6349" t="s">
        <v>6399</v>
      </c>
      <c r="B6349" t="s">
        <v>13891</v>
      </c>
      <c r="C6349" t="s">
        <v>16015</v>
      </c>
      <c r="D6349" t="s">
        <v>16210</v>
      </c>
      <c r="E6349" t="s">
        <v>16217</v>
      </c>
      <c r="F6349" t="s">
        <v>16222</v>
      </c>
      <c r="G6349" t="s">
        <v>16287</v>
      </c>
      <c r="H6349" t="s">
        <v>16287</v>
      </c>
      <c r="I6349" t="s">
        <v>16365</v>
      </c>
      <c r="J6349" t="s">
        <v>16387</v>
      </c>
      <c r="K6349">
        <v>0.556</v>
      </c>
      <c r="L6349">
        <v>24231</v>
      </c>
      <c r="N6349" t="s">
        <v>16392</v>
      </c>
      <c r="O6349" s="4">
        <v>27874</v>
      </c>
      <c r="P6349" s="4">
        <v>0</v>
      </c>
      <c r="Q6349" s="4">
        <v>27874</v>
      </c>
      <c r="R6349" s="4">
        <v>83622</v>
      </c>
      <c r="S6349" t="s">
        <v>22557</v>
      </c>
      <c r="T6349" s="6">
        <v>39569</v>
      </c>
      <c r="U6349" s="4">
        <v>435000</v>
      </c>
      <c r="V6349" t="s">
        <v>23742</v>
      </c>
      <c r="W6349" t="s">
        <v>22557</v>
      </c>
      <c r="X6349" t="s">
        <v>3</v>
      </c>
      <c r="AA6349" s="5" t="str">
        <f>HYPERLINK("https://www.zillow.com/homes/358-S-NELTNOR-BLVD-WEST-CHICAGO-IL-60185_rb/","check listing")</f>
        <v>check listing</v>
      </c>
      <c r="AB6349" s="5" t="str">
        <f>HYPERLINK("https://propertylookup.dupagecounty.gov/Datalets/Datalet.aspx?UseSearch=no&amp;mode=sales&amp;pin=0410120028","sales record")</f>
        <v>sales record</v>
      </c>
      <c r="AC6349" t="s">
        <v>27872</v>
      </c>
      <c r="AD6349">
        <v>41.880435</v>
      </c>
      <c r="AE6349">
        <v>-88.195296</v>
      </c>
      <c r="AF6349" s="5" t="str">
        <f>HYPERLINK("https://www.google.com/maps/search/?api=1&amp;query=41.880435,-88.195296","map")</f>
        <v>map</v>
      </c>
    </row>
    <row r="6350" spans="1:32">
      <c r="A6350" t="s">
        <v>6400</v>
      </c>
      <c r="B6350" t="s">
        <v>13892</v>
      </c>
      <c r="C6350" t="s">
        <v>16015</v>
      </c>
      <c r="D6350" t="s">
        <v>16210</v>
      </c>
      <c r="E6350" t="s">
        <v>16217</v>
      </c>
      <c r="F6350" t="s">
        <v>16222</v>
      </c>
      <c r="G6350" t="s">
        <v>16287</v>
      </c>
      <c r="H6350" t="s">
        <v>16287</v>
      </c>
      <c r="I6350" t="s">
        <v>16365</v>
      </c>
      <c r="J6350" t="s">
        <v>16387</v>
      </c>
      <c r="K6350">
        <v>0.273</v>
      </c>
      <c r="L6350">
        <v>11875</v>
      </c>
      <c r="N6350" t="s">
        <v>16392</v>
      </c>
      <c r="O6350" s="4">
        <v>42345</v>
      </c>
      <c r="P6350" s="4">
        <v>0</v>
      </c>
      <c r="Q6350" s="4">
        <v>42345</v>
      </c>
      <c r="R6350" s="4">
        <v>127035</v>
      </c>
      <c r="S6350" t="s">
        <v>22558</v>
      </c>
      <c r="X6350" t="s">
        <v>3</v>
      </c>
      <c r="AA6350" s="5" t="str">
        <f>HYPERLINK("https://www.zillow.com/homes/314-S-NELTNOR-BLVD-WEST-CHICAGO-IL-60185_rb/","check listing")</f>
        <v>check listing</v>
      </c>
      <c r="AB6350" s="5" t="str">
        <f>HYPERLINK("https://propertylookup.dupagecounty.gov/Datalets/Datalet.aspx?UseSearch=no&amp;mode=sales&amp;pin=0410120036","sales record")</f>
        <v>sales record</v>
      </c>
      <c r="AC6350" t="s">
        <v>27872</v>
      </c>
      <c r="AD6350">
        <v>41.881469</v>
      </c>
      <c r="AE6350">
        <v>-88.194997</v>
      </c>
      <c r="AF6350" s="5" t="str">
        <f>HYPERLINK("https://www.google.com/maps/search/?api=1&amp;query=41.881469,-88.194997","map")</f>
        <v>map</v>
      </c>
    </row>
    <row r="6351" spans="1:32">
      <c r="A6351" t="s">
        <v>6401</v>
      </c>
      <c r="B6351" t="s">
        <v>13893</v>
      </c>
      <c r="C6351" t="s">
        <v>16015</v>
      </c>
      <c r="D6351" t="s">
        <v>16210</v>
      </c>
      <c r="E6351" t="s">
        <v>16217</v>
      </c>
      <c r="F6351" t="s">
        <v>16222</v>
      </c>
      <c r="G6351" t="s">
        <v>16287</v>
      </c>
      <c r="H6351" t="s">
        <v>16287</v>
      </c>
      <c r="I6351" t="s">
        <v>16365</v>
      </c>
      <c r="J6351" t="s">
        <v>16387</v>
      </c>
      <c r="K6351">
        <v>0.203</v>
      </c>
      <c r="L6351">
        <v>8850</v>
      </c>
      <c r="N6351" t="s">
        <v>16392</v>
      </c>
      <c r="O6351" s="4">
        <v>32817</v>
      </c>
      <c r="P6351" s="4">
        <v>0</v>
      </c>
      <c r="Q6351" s="4">
        <v>32817</v>
      </c>
      <c r="R6351" s="4">
        <v>98451</v>
      </c>
      <c r="S6351" t="s">
        <v>22559</v>
      </c>
      <c r="X6351" t="s">
        <v>3</v>
      </c>
      <c r="AA6351" s="5" t="str">
        <f>HYPERLINK("https://www.zillow.com/homes/101-MAIN-ST-WEST-CHICAGO-IL-60185_rb/","check listing")</f>
        <v>check listing</v>
      </c>
      <c r="AB6351" s="5" t="str">
        <f>HYPERLINK("https://propertylookup.dupagecounty.gov/Datalets/Datalet.aspx?UseSearch=no&amp;mode=sales&amp;pin=0410106012","sales record")</f>
        <v>sales record</v>
      </c>
      <c r="AC6351" t="s">
        <v>27872</v>
      </c>
      <c r="AD6351">
        <v>41.88432</v>
      </c>
      <c r="AE6351">
        <v>-88.203669</v>
      </c>
      <c r="AF6351" s="5" t="str">
        <f>HYPERLINK("https://www.google.com/maps/search/?api=1&amp;query=41.88432,-88.203669","map")</f>
        <v>map</v>
      </c>
    </row>
    <row r="6352" spans="1:32">
      <c r="A6352" t="s">
        <v>6402</v>
      </c>
      <c r="B6352" t="s">
        <v>13894</v>
      </c>
      <c r="C6352" t="s">
        <v>16015</v>
      </c>
      <c r="D6352" t="s">
        <v>16210</v>
      </c>
      <c r="E6352" t="s">
        <v>16217</v>
      </c>
      <c r="F6352" t="s">
        <v>16222</v>
      </c>
      <c r="G6352" t="s">
        <v>16287</v>
      </c>
      <c r="H6352" t="s">
        <v>16287</v>
      </c>
      <c r="I6352" t="s">
        <v>16365</v>
      </c>
      <c r="J6352" t="s">
        <v>16387</v>
      </c>
      <c r="K6352">
        <v>0.203</v>
      </c>
      <c r="L6352">
        <v>8841</v>
      </c>
      <c r="N6352" t="s">
        <v>16392</v>
      </c>
      <c r="O6352" s="4">
        <v>11502</v>
      </c>
      <c r="P6352" s="4">
        <v>0</v>
      </c>
      <c r="Q6352" s="4">
        <v>11502</v>
      </c>
      <c r="R6352" s="4">
        <v>34506</v>
      </c>
      <c r="S6352" t="s">
        <v>22560</v>
      </c>
      <c r="T6352" s="6">
        <v>44760</v>
      </c>
      <c r="U6352" s="4">
        <v>50000</v>
      </c>
      <c r="V6352" t="s">
        <v>23739</v>
      </c>
      <c r="W6352" t="s">
        <v>27235</v>
      </c>
      <c r="X6352" t="s">
        <v>3</v>
      </c>
      <c r="AA6352" s="5" t="str">
        <f>HYPERLINK("https://www.zillow.com/homes/185-W-WASHINGTON-ST-WEST-CHICAGO-IL-60185_rb/","check listing")</f>
        <v>check listing</v>
      </c>
      <c r="AB6352" s="5" t="str">
        <f>HYPERLINK("https://propertylookup.dupagecounty.gov/Datalets/Datalet.aspx?UseSearch=no&amp;mode=sales&amp;pin=0409201009","sales record")</f>
        <v>sales record</v>
      </c>
      <c r="AC6352" t="s">
        <v>3</v>
      </c>
      <c r="AD6352">
        <v>41.883858</v>
      </c>
      <c r="AE6352">
        <v>-88.207999</v>
      </c>
      <c r="AF6352" s="5" t="str">
        <f>HYPERLINK("https://www.google.com/maps/search/?api=1&amp;query=41.883858,-88.207999","map")</f>
        <v>map</v>
      </c>
    </row>
    <row r="6353" spans="1:32">
      <c r="A6353" t="s">
        <v>6403</v>
      </c>
      <c r="B6353" t="s">
        <v>13895</v>
      </c>
      <c r="C6353" t="s">
        <v>16015</v>
      </c>
      <c r="D6353" t="s">
        <v>16210</v>
      </c>
      <c r="E6353" t="s">
        <v>16217</v>
      </c>
      <c r="F6353" t="s">
        <v>16222</v>
      </c>
      <c r="G6353" t="s">
        <v>16287</v>
      </c>
      <c r="H6353" t="s">
        <v>16287</v>
      </c>
      <c r="I6353" t="s">
        <v>16365</v>
      </c>
      <c r="J6353" t="s">
        <v>16387</v>
      </c>
      <c r="K6353">
        <v>0.199</v>
      </c>
      <c r="L6353">
        <v>8665</v>
      </c>
      <c r="N6353" t="s">
        <v>16392</v>
      </c>
      <c r="O6353" s="4">
        <v>34648</v>
      </c>
      <c r="P6353" s="4">
        <v>0</v>
      </c>
      <c r="Q6353" s="4">
        <v>34648</v>
      </c>
      <c r="R6353" s="4">
        <v>103944</v>
      </c>
      <c r="S6353" t="s">
        <v>22561</v>
      </c>
      <c r="T6353" s="6">
        <v>36678</v>
      </c>
      <c r="U6353" s="4">
        <v>85000</v>
      </c>
      <c r="V6353" t="s">
        <v>23739</v>
      </c>
      <c r="W6353" t="s">
        <v>27236</v>
      </c>
      <c r="X6353" t="s">
        <v>3</v>
      </c>
      <c r="AA6353" s="5" t="str">
        <f>HYPERLINK("https://www.zillow.com/homes/166-W-WASHINGTON-ST-WEST-CHICAGO-IL-60185_rb/","check listing")</f>
        <v>check listing</v>
      </c>
      <c r="AB6353" s="5" t="str">
        <f>HYPERLINK("https://propertylookup.dupagecounty.gov/Datalets/Datalet.aspx?UseSearch=no&amp;mode=sales&amp;pin=0409203003","sales record")</f>
        <v>sales record</v>
      </c>
      <c r="AC6353" t="s">
        <v>27872</v>
      </c>
      <c r="AD6353">
        <v>41.8836</v>
      </c>
      <c r="AE6353">
        <v>-88.20707299999999</v>
      </c>
      <c r="AF6353" s="5" t="str">
        <f>HYPERLINK("https://www.google.com/maps/search/?api=1&amp;query=41.8836,-88.207073","map")</f>
        <v>map</v>
      </c>
    </row>
    <row r="6354" spans="1:32">
      <c r="A6354" t="s">
        <v>6404</v>
      </c>
      <c r="B6354" t="s">
        <v>13893</v>
      </c>
      <c r="C6354" t="s">
        <v>16015</v>
      </c>
      <c r="D6354" t="s">
        <v>16210</v>
      </c>
      <c r="E6354" t="s">
        <v>16217</v>
      </c>
      <c r="F6354" t="s">
        <v>16222</v>
      </c>
      <c r="G6354" t="s">
        <v>16287</v>
      </c>
      <c r="H6354" t="s">
        <v>16287</v>
      </c>
      <c r="I6354" t="s">
        <v>16365</v>
      </c>
      <c r="J6354" t="s">
        <v>16387</v>
      </c>
      <c r="K6354">
        <v>0.195</v>
      </c>
      <c r="L6354">
        <v>8490</v>
      </c>
      <c r="N6354" t="s">
        <v>16392</v>
      </c>
      <c r="O6354" s="4">
        <v>31932</v>
      </c>
      <c r="P6354" s="4">
        <v>0</v>
      </c>
      <c r="Q6354" s="4">
        <v>31932</v>
      </c>
      <c r="R6354" s="4">
        <v>95796</v>
      </c>
      <c r="S6354" t="s">
        <v>22559</v>
      </c>
      <c r="X6354" t="s">
        <v>3</v>
      </c>
      <c r="AA6354" s="5" t="str">
        <f>HYPERLINK("https://www.zillow.com/homes/101-MAIN-ST-WEST-CHICAGO-IL-60185_rb/","check listing")</f>
        <v>check listing</v>
      </c>
      <c r="AB6354" s="5" t="str">
        <f>HYPERLINK("https://propertylookup.dupagecounty.gov/Datalets/Datalet.aspx?UseSearch=no&amp;mode=sales&amp;pin=0410106009","sales record")</f>
        <v>sales record</v>
      </c>
      <c r="AC6354" t="s">
        <v>27872</v>
      </c>
      <c r="AD6354">
        <v>41.884658</v>
      </c>
      <c r="AE6354">
        <v>-88.204019</v>
      </c>
      <c r="AF6354" s="5" t="str">
        <f>HYPERLINK("https://www.google.com/maps/search/?api=1&amp;query=41.884658,-88.204019","map")</f>
        <v>map</v>
      </c>
    </row>
    <row r="6355" spans="1:32">
      <c r="A6355" t="s">
        <v>6405</v>
      </c>
      <c r="B6355" t="s">
        <v>13893</v>
      </c>
      <c r="C6355" t="s">
        <v>16015</v>
      </c>
      <c r="D6355" t="s">
        <v>16210</v>
      </c>
      <c r="E6355" t="s">
        <v>16217</v>
      </c>
      <c r="F6355" t="s">
        <v>16222</v>
      </c>
      <c r="G6355" t="s">
        <v>16287</v>
      </c>
      <c r="H6355" t="s">
        <v>16287</v>
      </c>
      <c r="I6355" t="s">
        <v>16365</v>
      </c>
      <c r="J6355" t="s">
        <v>16387</v>
      </c>
      <c r="K6355">
        <v>0.159</v>
      </c>
      <c r="L6355">
        <v>6911</v>
      </c>
      <c r="N6355" t="s">
        <v>16392</v>
      </c>
      <c r="O6355" s="4">
        <v>33189</v>
      </c>
      <c r="P6355" s="4">
        <v>0</v>
      </c>
      <c r="Q6355" s="4">
        <v>33189</v>
      </c>
      <c r="R6355" s="4">
        <v>99567</v>
      </c>
      <c r="S6355" t="s">
        <v>22559</v>
      </c>
      <c r="X6355" t="s">
        <v>3</v>
      </c>
      <c r="AA6355" s="5" t="str">
        <f>HYPERLINK("https://www.zillow.com/homes/101-MAIN-ST-WEST-CHICAGO-IL-60185_rb/","check listing")</f>
        <v>check listing</v>
      </c>
      <c r="AB6355" s="5" t="str">
        <f>HYPERLINK("https://propertylookup.dupagecounty.gov/Datalets/Datalet.aspx?UseSearch=no&amp;mode=sales&amp;pin=0410106011","sales record")</f>
        <v>sales record</v>
      </c>
      <c r="AC6355" t="s">
        <v>27872</v>
      </c>
      <c r="AD6355">
        <v>41.884747</v>
      </c>
      <c r="AE6355">
        <v>-88.203585</v>
      </c>
      <c r="AF6355" s="5" t="str">
        <f>HYPERLINK("https://www.google.com/maps/search/?api=1&amp;query=41.884747,-88.203585","map")</f>
        <v>map</v>
      </c>
    </row>
    <row r="6356" spans="1:32">
      <c r="A6356" t="s">
        <v>6406</v>
      </c>
      <c r="B6356" t="s">
        <v>13896</v>
      </c>
      <c r="C6356" t="s">
        <v>16015</v>
      </c>
      <c r="D6356" t="s">
        <v>16210</v>
      </c>
      <c r="E6356" t="s">
        <v>16217</v>
      </c>
      <c r="F6356" t="s">
        <v>16222</v>
      </c>
      <c r="G6356" t="s">
        <v>16287</v>
      </c>
      <c r="H6356" t="s">
        <v>16287</v>
      </c>
      <c r="I6356" t="s">
        <v>16365</v>
      </c>
      <c r="J6356" t="s">
        <v>16387</v>
      </c>
      <c r="K6356">
        <v>0.144</v>
      </c>
      <c r="L6356">
        <v>6275</v>
      </c>
      <c r="N6356" t="s">
        <v>16392</v>
      </c>
      <c r="O6356" s="4">
        <v>19341</v>
      </c>
      <c r="P6356" s="4">
        <v>0</v>
      </c>
      <c r="Q6356" s="4">
        <v>19341</v>
      </c>
      <c r="R6356" s="4">
        <v>58023</v>
      </c>
      <c r="S6356" t="s">
        <v>22562</v>
      </c>
      <c r="T6356" s="6">
        <v>36373</v>
      </c>
      <c r="U6356" s="4">
        <v>185000</v>
      </c>
      <c r="X6356" t="s">
        <v>3</v>
      </c>
      <c r="AA6356" s="5" t="str">
        <f>HYPERLINK("https://www.zillow.com/homes/200-S-NELTNOR-AVE-WEST-CHICAGO-IL-60185_rb/","check listing")</f>
        <v>check listing</v>
      </c>
      <c r="AB6356" s="5" t="str">
        <f>HYPERLINK("https://propertylookup.dupagecounty.gov/Datalets/Datalet.aspx?UseSearch=no&amp;mode=sales&amp;pin=0410119034","sales record")</f>
        <v>sales record</v>
      </c>
      <c r="AC6356" t="s">
        <v>27872</v>
      </c>
      <c r="AD6356">
        <v>41.882892</v>
      </c>
      <c r="AE6356">
        <v>-88.194804</v>
      </c>
      <c r="AF6356" s="5" t="str">
        <f>HYPERLINK("https://www.google.com/maps/search/?api=1&amp;query=41.882892,-88.194804","map")</f>
        <v>map</v>
      </c>
    </row>
    <row r="6357" spans="1:32">
      <c r="A6357" t="s">
        <v>6407</v>
      </c>
      <c r="B6357" t="s">
        <v>13893</v>
      </c>
      <c r="C6357" t="s">
        <v>16015</v>
      </c>
      <c r="D6357" t="s">
        <v>16210</v>
      </c>
      <c r="E6357" t="s">
        <v>16217</v>
      </c>
      <c r="F6357" t="s">
        <v>16222</v>
      </c>
      <c r="G6357" t="s">
        <v>16287</v>
      </c>
      <c r="H6357" t="s">
        <v>16287</v>
      </c>
      <c r="I6357" t="s">
        <v>16365</v>
      </c>
      <c r="J6357" t="s">
        <v>16387</v>
      </c>
      <c r="K6357">
        <v>0.14</v>
      </c>
      <c r="L6357">
        <v>6094</v>
      </c>
      <c r="N6357" t="s">
        <v>16392</v>
      </c>
      <c r="O6357" s="4">
        <v>27564</v>
      </c>
      <c r="P6357" s="4">
        <v>0</v>
      </c>
      <c r="Q6357" s="4">
        <v>27564</v>
      </c>
      <c r="R6357" s="4">
        <v>82692</v>
      </c>
      <c r="S6357" t="s">
        <v>22559</v>
      </c>
      <c r="X6357" t="s">
        <v>3</v>
      </c>
      <c r="AA6357" s="5" t="str">
        <f>HYPERLINK("https://www.zillow.com/homes/101-MAIN-ST-WEST-CHICAGO-IL-60185_rb/","check listing")</f>
        <v>check listing</v>
      </c>
      <c r="AB6357" s="5" t="str">
        <f>HYPERLINK("https://propertylookup.dupagecounty.gov/Datalets/Datalet.aspx?UseSearch=no&amp;mode=sales&amp;pin=0410106010","sales record")</f>
        <v>sales record</v>
      </c>
      <c r="AC6357" t="s">
        <v>27872</v>
      </c>
      <c r="AD6357">
        <v>41.884723</v>
      </c>
      <c r="AE6357">
        <v>-88.203844</v>
      </c>
      <c r="AF6357" s="5" t="str">
        <f>HYPERLINK("https://www.google.com/maps/search/?api=1&amp;query=41.884723,-88.203844","map")</f>
        <v>map</v>
      </c>
    </row>
    <row r="6358" spans="1:32">
      <c r="A6358" t="s">
        <v>6408</v>
      </c>
      <c r="B6358" t="s">
        <v>13897</v>
      </c>
      <c r="C6358" t="s">
        <v>16015</v>
      </c>
      <c r="D6358" t="s">
        <v>16210</v>
      </c>
      <c r="E6358" t="s">
        <v>16217</v>
      </c>
      <c r="F6358" t="s">
        <v>16222</v>
      </c>
      <c r="G6358" t="s">
        <v>16287</v>
      </c>
      <c r="H6358" t="s">
        <v>16287</v>
      </c>
      <c r="I6358" t="s">
        <v>16365</v>
      </c>
      <c r="J6358" t="s">
        <v>16387</v>
      </c>
      <c r="K6358">
        <v>0.131</v>
      </c>
      <c r="L6358">
        <v>5718</v>
      </c>
      <c r="N6358" t="s">
        <v>16392</v>
      </c>
      <c r="O6358" s="4">
        <v>6580</v>
      </c>
      <c r="P6358" s="4">
        <v>0</v>
      </c>
      <c r="Q6358" s="4">
        <v>6580</v>
      </c>
      <c r="R6358" s="4">
        <v>19740</v>
      </c>
      <c r="S6358" t="s">
        <v>22557</v>
      </c>
      <c r="T6358" s="6">
        <v>38108</v>
      </c>
      <c r="U6358" s="4">
        <v>140000</v>
      </c>
      <c r="V6358" t="s">
        <v>23739</v>
      </c>
      <c r="W6358" t="s">
        <v>27237</v>
      </c>
      <c r="X6358" t="s">
        <v>3</v>
      </c>
      <c r="AA6358" s="5" t="str">
        <f>HYPERLINK("https://www.zillow.com/homes/364-S-NELTNOR-BLVD-WEST-CHICAGO-IL-60185_rb/","check listing")</f>
        <v>check listing</v>
      </c>
      <c r="AB6358" s="5" t="str">
        <f>HYPERLINK("https://propertylookup.dupagecounty.gov/Datalets/Datalet.aspx?UseSearch=no&amp;mode=sales&amp;pin=0410120029","sales record")</f>
        <v>sales record</v>
      </c>
      <c r="AC6358" t="s">
        <v>3</v>
      </c>
      <c r="AD6358">
        <v>41.880223</v>
      </c>
      <c r="AE6358">
        <v>-88.19499399999999</v>
      </c>
      <c r="AF6358" s="5" t="str">
        <f>HYPERLINK("https://www.google.com/maps/search/?api=1&amp;query=41.880223,-88.194994","map")</f>
        <v>map</v>
      </c>
    </row>
    <row r="6359" spans="1:32">
      <c r="A6359" t="s">
        <v>6409</v>
      </c>
      <c r="B6359" t="s">
        <v>13898</v>
      </c>
      <c r="C6359" t="s">
        <v>16015</v>
      </c>
      <c r="D6359" t="s">
        <v>16210</v>
      </c>
      <c r="E6359" t="s">
        <v>16217</v>
      </c>
      <c r="F6359" t="s">
        <v>16222</v>
      </c>
      <c r="G6359" t="s">
        <v>16287</v>
      </c>
      <c r="H6359" t="s">
        <v>16287</v>
      </c>
      <c r="I6359" t="s">
        <v>16365</v>
      </c>
      <c r="J6359" t="s">
        <v>16387</v>
      </c>
      <c r="K6359">
        <v>0.091</v>
      </c>
      <c r="L6359">
        <v>3956</v>
      </c>
      <c r="N6359" t="s">
        <v>16392</v>
      </c>
      <c r="O6359" s="4">
        <v>17103</v>
      </c>
      <c r="P6359" s="4">
        <v>0</v>
      </c>
      <c r="Q6359" s="4">
        <v>17103</v>
      </c>
      <c r="R6359" s="4">
        <v>51309</v>
      </c>
      <c r="S6359" t="s">
        <v>22561</v>
      </c>
      <c r="T6359" s="6">
        <v>38869</v>
      </c>
      <c r="U6359" s="4">
        <v>265000</v>
      </c>
      <c r="V6359" t="s">
        <v>23739</v>
      </c>
      <c r="W6359" t="s">
        <v>27238</v>
      </c>
      <c r="X6359" t="s">
        <v>3</v>
      </c>
      <c r="AA6359" s="5" t="str">
        <f>HYPERLINK("https://www.zillow.com/homes/150-W-WASHINGTON-ST-WEST-CHICAGO-IL-60185_rb/","check listing")</f>
        <v>check listing</v>
      </c>
      <c r="AB6359" s="5" t="str">
        <f>HYPERLINK("https://propertylookup.dupagecounty.gov/Datalets/Datalet.aspx?UseSearch=no&amp;mode=sales&amp;pin=0409203005","sales record")</f>
        <v>sales record</v>
      </c>
      <c r="AC6359" t="s">
        <v>27872</v>
      </c>
      <c r="AD6359">
        <v>41.883731</v>
      </c>
      <c r="AE6359">
        <v>-88.206693</v>
      </c>
      <c r="AF6359" s="5" t="str">
        <f>HYPERLINK("https://www.google.com/maps/search/?api=1&amp;query=41.883731,-88.206693","map")</f>
        <v>map</v>
      </c>
    </row>
    <row r="6360" spans="1:32">
      <c r="A6360" t="s">
        <v>6410</v>
      </c>
      <c r="B6360" t="s">
        <v>13899</v>
      </c>
      <c r="C6360" t="s">
        <v>16015</v>
      </c>
      <c r="D6360" t="s">
        <v>16210</v>
      </c>
      <c r="E6360" t="s">
        <v>16217</v>
      </c>
      <c r="F6360" t="s">
        <v>16222</v>
      </c>
      <c r="G6360" t="s">
        <v>16287</v>
      </c>
      <c r="H6360" t="s">
        <v>16287</v>
      </c>
      <c r="I6360" t="s">
        <v>16365</v>
      </c>
      <c r="J6360" t="s">
        <v>16387</v>
      </c>
      <c r="K6360">
        <v>0.076</v>
      </c>
      <c r="L6360">
        <v>3306</v>
      </c>
      <c r="N6360" t="s">
        <v>16392</v>
      </c>
      <c r="O6360" s="4">
        <v>14817</v>
      </c>
      <c r="P6360" s="4">
        <v>0</v>
      </c>
      <c r="Q6360" s="4">
        <v>14817</v>
      </c>
      <c r="R6360" s="4">
        <v>44451</v>
      </c>
      <c r="S6360" t="s">
        <v>22563</v>
      </c>
      <c r="T6360" s="6">
        <v>39569</v>
      </c>
      <c r="U6360" s="4">
        <v>800000</v>
      </c>
      <c r="V6360" t="s">
        <v>23739</v>
      </c>
      <c r="W6360" t="s">
        <v>27239</v>
      </c>
      <c r="X6360" t="s">
        <v>3</v>
      </c>
      <c r="AA6360" s="5" t="str">
        <f>HYPERLINK("https://www.zillow.com/homes/2035-MAIN-ST-WEST-CHICAGO-IL-60185_rb/","check listing")</f>
        <v>check listing</v>
      </c>
      <c r="AB6360" s="5" t="str">
        <f>HYPERLINK("https://propertylookup.dupagecounty.gov/Datalets/Datalet.aspx?UseSearch=no&amp;mode=sales&amp;pin=0410109001","sales record")</f>
        <v>sales record</v>
      </c>
      <c r="AC6360" t="s">
        <v>27872</v>
      </c>
      <c r="AD6360">
        <v>41.88374</v>
      </c>
      <c r="AE6360">
        <v>-88.203728</v>
      </c>
      <c r="AF6360" s="5" t="str">
        <f>HYPERLINK("https://www.google.com/maps/search/?api=1&amp;query=41.88374,-88.203728","map")</f>
        <v>map</v>
      </c>
    </row>
    <row r="6361" spans="1:32">
      <c r="A6361" t="s">
        <v>6411</v>
      </c>
      <c r="B6361" t="s">
        <v>13900</v>
      </c>
      <c r="C6361" t="s">
        <v>16015</v>
      </c>
      <c r="D6361" t="s">
        <v>16210</v>
      </c>
      <c r="E6361" t="s">
        <v>16218</v>
      </c>
      <c r="F6361" t="s">
        <v>16220</v>
      </c>
      <c r="G6361" t="s">
        <v>16231</v>
      </c>
      <c r="H6361" t="s">
        <v>16231</v>
      </c>
      <c r="I6361" t="s">
        <v>16366</v>
      </c>
      <c r="J6361" t="s">
        <v>16385</v>
      </c>
      <c r="K6361">
        <v>0.422</v>
      </c>
      <c r="L6361">
        <v>18400</v>
      </c>
      <c r="M6361">
        <v>2541</v>
      </c>
      <c r="N6361" t="s">
        <v>16393</v>
      </c>
      <c r="O6361" s="4">
        <v>28604</v>
      </c>
      <c r="P6361" s="4">
        <v>61194</v>
      </c>
      <c r="Q6361" s="4">
        <v>89798</v>
      </c>
      <c r="R6361" s="4">
        <v>269394</v>
      </c>
      <c r="S6361" t="s">
        <v>22564</v>
      </c>
      <c r="T6361" s="6">
        <v>41000</v>
      </c>
      <c r="U6361" s="4">
        <v>74900</v>
      </c>
      <c r="V6361" t="s">
        <v>16232</v>
      </c>
      <c r="W6361" t="s">
        <v>22564</v>
      </c>
      <c r="X6361" t="s">
        <v>3</v>
      </c>
      <c r="AA6361" s="5" t="str">
        <f>HYPERLINK("https://www.zillow.com/homes/125-W-GENEVA-ST-WEST-CHICAGO-IL-60185_rb/","check listing")</f>
        <v>check listing</v>
      </c>
      <c r="AB6361" s="5" t="str">
        <f>HYPERLINK("https://propertylookup.dupagecounty.gov/Datalets/Datalet.aspx?UseSearch=no&amp;mode=sales&amp;pin=0409223008","sales record")</f>
        <v>sales record</v>
      </c>
      <c r="AC6361" t="s">
        <v>3</v>
      </c>
      <c r="AD6361">
        <v>41.882198</v>
      </c>
      <c r="AE6361">
        <v>-88.205259</v>
      </c>
      <c r="AF6361" s="5" t="str">
        <f>HYPERLINK("https://www.google.com/maps/search/?api=1&amp;query=41.882198,-88.205259","map")</f>
        <v>map</v>
      </c>
    </row>
    <row r="6362" spans="1:32">
      <c r="A6362" t="s">
        <v>6412</v>
      </c>
      <c r="B6362" t="s">
        <v>13901</v>
      </c>
      <c r="C6362" t="s">
        <v>16016</v>
      </c>
      <c r="D6362" t="s">
        <v>16210</v>
      </c>
      <c r="E6362" t="s">
        <v>16218</v>
      </c>
      <c r="F6362" t="s">
        <v>16220</v>
      </c>
      <c r="G6362" t="s">
        <v>16231</v>
      </c>
      <c r="H6362" t="s">
        <v>16231</v>
      </c>
      <c r="I6362" t="s">
        <v>16366</v>
      </c>
      <c r="J6362" t="s">
        <v>16385</v>
      </c>
      <c r="K6362">
        <v>0.363</v>
      </c>
      <c r="L6362">
        <v>15820</v>
      </c>
      <c r="M6362">
        <v>1578</v>
      </c>
      <c r="N6362" t="s">
        <v>16393</v>
      </c>
      <c r="O6362" s="4">
        <v>32578</v>
      </c>
      <c r="P6362" s="4">
        <v>76383</v>
      </c>
      <c r="Q6362" s="4">
        <v>108961</v>
      </c>
      <c r="R6362" s="4">
        <v>326883</v>
      </c>
      <c r="S6362" t="s">
        <v>22565</v>
      </c>
      <c r="T6362" s="6">
        <v>44378</v>
      </c>
      <c r="U6362" s="4">
        <v>220000</v>
      </c>
      <c r="V6362" t="s">
        <v>23739</v>
      </c>
      <c r="W6362" t="s">
        <v>27240</v>
      </c>
      <c r="X6362" t="s">
        <v>3</v>
      </c>
      <c r="AA6362" s="5" t="str">
        <f>HYPERLINK("https://www.zillow.com/homes/212-ARBOR-AVE-WEST-CHICAGO-IL-601852204_rb/","check listing")</f>
        <v>check listing</v>
      </c>
      <c r="AB6362" s="5" t="str">
        <f>HYPERLINK("https://propertylookup.dupagecounty.gov/Datalets/Datalet.aspx?UseSearch=no&amp;mode=sales&amp;pin=0404413007","sales record")</f>
        <v>sales record</v>
      </c>
      <c r="AC6362" t="s">
        <v>3</v>
      </c>
      <c r="AD6362">
        <v>41.886386</v>
      </c>
      <c r="AE6362">
        <v>-88.204926</v>
      </c>
      <c r="AF6362" s="5" t="str">
        <f>HYPERLINK("https://www.google.com/maps/search/?api=1&amp;query=41.886386,-88.204926","map")</f>
        <v>map</v>
      </c>
    </row>
    <row r="6363" spans="1:32">
      <c r="A6363" t="s">
        <v>6413</v>
      </c>
      <c r="B6363" t="s">
        <v>13902</v>
      </c>
      <c r="C6363" t="s">
        <v>16015</v>
      </c>
      <c r="D6363" t="s">
        <v>16210</v>
      </c>
      <c r="E6363" t="s">
        <v>16218</v>
      </c>
      <c r="F6363" t="s">
        <v>16220</v>
      </c>
      <c r="G6363" t="s">
        <v>16231</v>
      </c>
      <c r="H6363" t="s">
        <v>16231</v>
      </c>
      <c r="I6363" t="s">
        <v>16366</v>
      </c>
      <c r="J6363" t="s">
        <v>16385</v>
      </c>
      <c r="K6363">
        <v>0.337</v>
      </c>
      <c r="L6363">
        <v>14689</v>
      </c>
      <c r="M6363">
        <v>1089</v>
      </c>
      <c r="N6363" t="s">
        <v>16393</v>
      </c>
      <c r="O6363" s="4">
        <v>24990</v>
      </c>
      <c r="P6363" s="4">
        <v>60260</v>
      </c>
      <c r="Q6363" s="4">
        <v>85250</v>
      </c>
      <c r="R6363" s="4">
        <v>255750</v>
      </c>
      <c r="S6363" t="s">
        <v>22566</v>
      </c>
      <c r="T6363" s="6">
        <v>37469</v>
      </c>
      <c r="U6363" s="4">
        <v>121000</v>
      </c>
      <c r="V6363" t="s">
        <v>23739</v>
      </c>
      <c r="W6363" t="s">
        <v>27241</v>
      </c>
      <c r="X6363" t="s">
        <v>3</v>
      </c>
      <c r="AA6363" s="5" t="str">
        <f>HYPERLINK("https://www.zillow.com/homes/108-WOOD-ST-WEST-CHICAGO-IL-60185_rb/","check listing")</f>
        <v>check listing</v>
      </c>
      <c r="AB6363" s="5" t="str">
        <f>HYPERLINK("https://propertylookup.dupagecounty.gov/Datalets/Datalet.aspx?UseSearch=no&amp;mode=sales&amp;pin=0409210006","sales record")</f>
        <v>sales record</v>
      </c>
      <c r="AC6363" t="s">
        <v>3</v>
      </c>
      <c r="AD6363">
        <v>41.883073</v>
      </c>
      <c r="AE6363">
        <v>-88.208259</v>
      </c>
      <c r="AF6363" s="5" t="str">
        <f>HYPERLINK("https://www.google.com/maps/search/?api=1&amp;query=41.883073,-88.208259","map")</f>
        <v>map</v>
      </c>
    </row>
    <row r="6364" spans="1:32">
      <c r="A6364" t="s">
        <v>6414</v>
      </c>
      <c r="B6364" t="s">
        <v>13903</v>
      </c>
      <c r="C6364" t="s">
        <v>16015</v>
      </c>
      <c r="D6364" t="s">
        <v>16210</v>
      </c>
      <c r="E6364" t="s">
        <v>16218</v>
      </c>
      <c r="F6364" t="s">
        <v>16220</v>
      </c>
      <c r="G6364" t="s">
        <v>16231</v>
      </c>
      <c r="H6364" t="s">
        <v>16231</v>
      </c>
      <c r="I6364" t="s">
        <v>16366</v>
      </c>
      <c r="J6364" t="s">
        <v>16385</v>
      </c>
      <c r="K6364">
        <v>0.325</v>
      </c>
      <c r="L6364">
        <v>14148</v>
      </c>
      <c r="M6364">
        <v>2968</v>
      </c>
      <c r="N6364" t="s">
        <v>16393</v>
      </c>
      <c r="O6364" s="4">
        <v>32578</v>
      </c>
      <c r="P6364" s="4">
        <v>96070</v>
      </c>
      <c r="Q6364" s="4">
        <v>128648</v>
      </c>
      <c r="R6364" s="4">
        <v>385944</v>
      </c>
      <c r="S6364" t="s">
        <v>22567</v>
      </c>
      <c r="T6364" s="6">
        <v>41548</v>
      </c>
      <c r="U6364" s="4">
        <v>242500</v>
      </c>
      <c r="V6364" t="s">
        <v>23739</v>
      </c>
      <c r="W6364" t="s">
        <v>27242</v>
      </c>
      <c r="X6364" t="s">
        <v>3</v>
      </c>
      <c r="AA6364" s="5" t="str">
        <f>HYPERLINK("https://www.zillow.com/homes/204-ARBOR-AVE-WEST-CHICAGO-IL-60185_rb/","check listing")</f>
        <v>check listing</v>
      </c>
      <c r="AB6364" s="5" t="str">
        <f>HYPERLINK("https://propertylookup.dupagecounty.gov/Datalets/Datalet.aspx?UseSearch=no&amp;mode=sales&amp;pin=0404413008","sales record")</f>
        <v>sales record</v>
      </c>
      <c r="AC6364" t="s">
        <v>3</v>
      </c>
      <c r="AD6364">
        <v>41.886236</v>
      </c>
      <c r="AE6364">
        <v>-88.20489600000001</v>
      </c>
      <c r="AF6364" s="5" t="str">
        <f>HYPERLINK("https://www.google.com/maps/search/?api=1&amp;query=41.886236,-88.204896","map")</f>
        <v>map</v>
      </c>
    </row>
    <row r="6365" spans="1:32">
      <c r="A6365" t="s">
        <v>6415</v>
      </c>
      <c r="B6365" t="s">
        <v>13904</v>
      </c>
      <c r="C6365" t="s">
        <v>16017</v>
      </c>
      <c r="D6365" t="s">
        <v>16210</v>
      </c>
      <c r="E6365" t="s">
        <v>16218</v>
      </c>
      <c r="F6365" t="s">
        <v>16220</v>
      </c>
      <c r="G6365" t="s">
        <v>16231</v>
      </c>
      <c r="H6365" t="s">
        <v>16231</v>
      </c>
      <c r="I6365" t="s">
        <v>16366</v>
      </c>
      <c r="J6365" t="s">
        <v>16385</v>
      </c>
      <c r="K6365">
        <v>0.323</v>
      </c>
      <c r="L6365">
        <v>14084</v>
      </c>
      <c r="M6365">
        <v>890</v>
      </c>
      <c r="N6365" t="s">
        <v>16393</v>
      </c>
      <c r="O6365" s="4">
        <v>27850</v>
      </c>
      <c r="P6365" s="4">
        <v>57089</v>
      </c>
      <c r="Q6365" s="4">
        <v>84939</v>
      </c>
      <c r="R6365" s="4">
        <v>254817</v>
      </c>
      <c r="S6365" t="s">
        <v>22568</v>
      </c>
      <c r="T6365" s="6">
        <v>42491</v>
      </c>
      <c r="U6365" s="4">
        <v>80000</v>
      </c>
      <c r="V6365" t="s">
        <v>16232</v>
      </c>
      <c r="W6365" t="s">
        <v>22568</v>
      </c>
      <c r="X6365" t="s">
        <v>3</v>
      </c>
      <c r="AA6365" s="5" t="str">
        <f>HYPERLINK("https://www.zillow.com/homes/133-W-GENEVA-ST-WEST-CHICAGO-IL-601852854_rb/","check listing")</f>
        <v>check listing</v>
      </c>
      <c r="AB6365" s="5" t="str">
        <f>HYPERLINK("https://propertylookup.dupagecounty.gov/Datalets/Datalet.aspx?UseSearch=no&amp;mode=sales&amp;pin=0409223007","sales record")</f>
        <v>sales record</v>
      </c>
      <c r="AC6365" t="s">
        <v>3</v>
      </c>
      <c r="AD6365">
        <v>41.882312</v>
      </c>
      <c r="AE6365">
        <v>-88.205584</v>
      </c>
      <c r="AF6365" s="5" t="str">
        <f>HYPERLINK("https://www.google.com/maps/search/?api=1&amp;query=41.882312,-88.205584","map")</f>
        <v>map</v>
      </c>
    </row>
    <row r="6366" spans="1:32">
      <c r="A6366" t="s">
        <v>6416</v>
      </c>
      <c r="B6366" t="s">
        <v>13905</v>
      </c>
      <c r="C6366" t="s">
        <v>16017</v>
      </c>
      <c r="D6366" t="s">
        <v>16210</v>
      </c>
      <c r="E6366" t="s">
        <v>16218</v>
      </c>
      <c r="F6366" t="s">
        <v>16220</v>
      </c>
      <c r="G6366" t="s">
        <v>16231</v>
      </c>
      <c r="H6366" t="s">
        <v>16231</v>
      </c>
      <c r="I6366" t="s">
        <v>16366</v>
      </c>
      <c r="J6366" t="s">
        <v>16385</v>
      </c>
      <c r="K6366">
        <v>0.311</v>
      </c>
      <c r="L6366">
        <v>13547</v>
      </c>
      <c r="M6366">
        <v>1088</v>
      </c>
      <c r="N6366" t="s">
        <v>16393</v>
      </c>
      <c r="O6366" s="4">
        <v>22154</v>
      </c>
      <c r="P6366" s="4">
        <v>50435</v>
      </c>
      <c r="Q6366" s="4">
        <v>72589</v>
      </c>
      <c r="R6366" s="4">
        <v>217767</v>
      </c>
      <c r="S6366" t="s">
        <v>22569</v>
      </c>
      <c r="T6366" s="6">
        <v>40422</v>
      </c>
      <c r="U6366" s="4">
        <v>48000</v>
      </c>
      <c r="V6366" t="s">
        <v>23739</v>
      </c>
      <c r="W6366" t="s">
        <v>22569</v>
      </c>
      <c r="X6366" t="s">
        <v>3</v>
      </c>
      <c r="AA6366" s="5" t="str">
        <f>HYPERLINK("https://www.zillow.com/homes/147-W-GENEVA-ST-WEST-CHICAGO-IL-601852854_rb/","check listing")</f>
        <v>check listing</v>
      </c>
      <c r="AB6366" s="5" t="str">
        <f>HYPERLINK("https://propertylookup.dupagecounty.gov/Datalets/Datalet.aspx?UseSearch=no&amp;mode=sales&amp;pin=0409223005","sales record")</f>
        <v>sales record</v>
      </c>
      <c r="AC6366" t="s">
        <v>3</v>
      </c>
      <c r="AD6366">
        <v>41.882286</v>
      </c>
      <c r="AE6366">
        <v>-88.20601499999999</v>
      </c>
      <c r="AF6366" s="5" t="str">
        <f>HYPERLINK("https://www.google.com/maps/search/?api=1&amp;query=41.882286,-88.206015","map")</f>
        <v>map</v>
      </c>
    </row>
    <row r="6367" spans="1:32">
      <c r="A6367" t="s">
        <v>6417</v>
      </c>
      <c r="B6367" t="s">
        <v>13906</v>
      </c>
      <c r="C6367" t="s">
        <v>16015</v>
      </c>
      <c r="D6367" t="s">
        <v>16210</v>
      </c>
      <c r="E6367" t="s">
        <v>16218</v>
      </c>
      <c r="F6367" t="s">
        <v>16220</v>
      </c>
      <c r="G6367" t="s">
        <v>16231</v>
      </c>
      <c r="H6367" t="s">
        <v>16231</v>
      </c>
      <c r="I6367" t="s">
        <v>16366</v>
      </c>
      <c r="J6367" t="s">
        <v>16385</v>
      </c>
      <c r="K6367">
        <v>0.25</v>
      </c>
      <c r="L6367">
        <v>10876</v>
      </c>
      <c r="M6367">
        <v>1813</v>
      </c>
      <c r="N6367" t="s">
        <v>16393</v>
      </c>
      <c r="O6367" s="4">
        <v>30902</v>
      </c>
      <c r="P6367" s="4">
        <v>80642</v>
      </c>
      <c r="Q6367" s="4">
        <v>111544</v>
      </c>
      <c r="R6367" s="4">
        <v>334632</v>
      </c>
      <c r="S6367" t="s">
        <v>22570</v>
      </c>
      <c r="T6367" s="6">
        <v>36220</v>
      </c>
      <c r="U6367" s="4">
        <v>185000</v>
      </c>
      <c r="X6367" t="s">
        <v>3</v>
      </c>
      <c r="AA6367" s="5" t="str">
        <f>HYPERLINK("https://www.zillow.com/homes/145-S-WOOD-ST-WEST-CHICAGO-IL-60185_rb/","check listing")</f>
        <v>check listing</v>
      </c>
      <c r="AB6367" s="5" t="str">
        <f>HYPERLINK("https://propertylookup.dupagecounty.gov/Datalets/Datalet.aspx?UseSearch=no&amp;mode=sales&amp;pin=0409223001","sales record")</f>
        <v>sales record</v>
      </c>
      <c r="AC6367" t="s">
        <v>3</v>
      </c>
      <c r="AD6367">
        <v>41.882441</v>
      </c>
      <c r="AE6367">
        <v>-88.206626</v>
      </c>
      <c r="AF6367" s="5" t="str">
        <f>HYPERLINK("https://www.google.com/maps/search/?api=1&amp;query=41.882441,-88.206626","map")</f>
        <v>map</v>
      </c>
    </row>
    <row r="6368" spans="1:32">
      <c r="A6368" t="s">
        <v>6418</v>
      </c>
      <c r="B6368" t="s">
        <v>13907</v>
      </c>
      <c r="C6368" t="s">
        <v>16015</v>
      </c>
      <c r="D6368" t="s">
        <v>16210</v>
      </c>
      <c r="E6368" t="s">
        <v>16218</v>
      </c>
      <c r="F6368" t="s">
        <v>16220</v>
      </c>
      <c r="G6368" t="s">
        <v>16231</v>
      </c>
      <c r="H6368" t="s">
        <v>16231</v>
      </c>
      <c r="I6368" t="s">
        <v>16366</v>
      </c>
      <c r="J6368" t="s">
        <v>16385</v>
      </c>
      <c r="K6368">
        <v>0.218</v>
      </c>
      <c r="L6368">
        <v>9492</v>
      </c>
      <c r="M6368">
        <v>1980</v>
      </c>
      <c r="N6368" t="s">
        <v>16393</v>
      </c>
      <c r="O6368" s="4">
        <v>30125</v>
      </c>
      <c r="P6368" s="4">
        <v>48232</v>
      </c>
      <c r="Q6368" s="4">
        <v>78357</v>
      </c>
      <c r="R6368" s="4">
        <v>235071</v>
      </c>
      <c r="S6368" t="s">
        <v>22571</v>
      </c>
      <c r="X6368" t="s">
        <v>3</v>
      </c>
      <c r="AA6368" s="5" t="str">
        <f>HYPERLINK("https://www.zillow.com/homes/117-S-AURORA-ST-WEST-CHICAGO-IL-60185_rb/","check listing")</f>
        <v>check listing</v>
      </c>
      <c r="AB6368" s="5" t="str">
        <f>HYPERLINK("https://propertylookup.dupagecounty.gov/Datalets/Datalet.aspx?UseSearch=no&amp;mode=sales&amp;pin=0409210012","sales record")</f>
        <v>sales record</v>
      </c>
      <c r="AC6368" t="s">
        <v>3</v>
      </c>
      <c r="AD6368">
        <v>41.88279</v>
      </c>
      <c r="AE6368">
        <v>-88.208628</v>
      </c>
      <c r="AF6368" s="5" t="str">
        <f>HYPERLINK("https://www.google.com/maps/search/?api=1&amp;query=41.88279,-88.208628","map")</f>
        <v>map</v>
      </c>
    </row>
    <row r="6369" spans="1:32">
      <c r="A6369" t="s">
        <v>6419</v>
      </c>
      <c r="B6369" t="s">
        <v>13908</v>
      </c>
      <c r="C6369" t="s">
        <v>16015</v>
      </c>
      <c r="D6369" t="s">
        <v>16210</v>
      </c>
      <c r="E6369" t="s">
        <v>16218</v>
      </c>
      <c r="F6369" t="s">
        <v>16220</v>
      </c>
      <c r="G6369" t="s">
        <v>16231</v>
      </c>
      <c r="H6369" t="s">
        <v>16231</v>
      </c>
      <c r="I6369" t="s">
        <v>16366</v>
      </c>
      <c r="J6369" t="s">
        <v>16385</v>
      </c>
      <c r="K6369">
        <v>0.217</v>
      </c>
      <c r="L6369">
        <v>9444</v>
      </c>
      <c r="M6369">
        <v>1089</v>
      </c>
      <c r="N6369" t="s">
        <v>16393</v>
      </c>
      <c r="O6369" s="4">
        <v>25445</v>
      </c>
      <c r="P6369" s="4">
        <v>62990</v>
      </c>
      <c r="Q6369" s="4">
        <v>88435</v>
      </c>
      <c r="R6369" s="4">
        <v>265305</v>
      </c>
      <c r="S6369" t="s">
        <v>22572</v>
      </c>
      <c r="T6369" s="6">
        <v>37288</v>
      </c>
      <c r="U6369" s="4">
        <v>170000</v>
      </c>
      <c r="V6369" t="s">
        <v>23739</v>
      </c>
      <c r="W6369" t="s">
        <v>22572</v>
      </c>
      <c r="X6369" t="s">
        <v>3</v>
      </c>
      <c r="AA6369" s="5" t="str">
        <f>HYPERLINK("https://www.zillow.com/homes/104-E-GENEVA-ST-WEST-CHICAGO-IL-60185_rb/","check listing")</f>
        <v>check listing</v>
      </c>
      <c r="AB6369" s="5" t="str">
        <f>HYPERLINK("https://propertylookup.dupagecounty.gov/Datalets/Datalet.aspx?UseSearch=no&amp;mode=sales&amp;pin=0410121001","sales record")</f>
        <v>sales record</v>
      </c>
      <c r="AC6369" t="s">
        <v>3</v>
      </c>
      <c r="AD6369">
        <v>41.881651</v>
      </c>
      <c r="AE6369">
        <v>-88.204189</v>
      </c>
      <c r="AF6369" s="5" t="str">
        <f>HYPERLINK("https://www.google.com/maps/search/?api=1&amp;query=41.881651,-88.204189","map")</f>
        <v>map</v>
      </c>
    </row>
    <row r="6370" spans="1:32">
      <c r="A6370" t="s">
        <v>6420</v>
      </c>
      <c r="B6370" t="s">
        <v>13909</v>
      </c>
      <c r="C6370" t="s">
        <v>16018</v>
      </c>
      <c r="D6370" t="s">
        <v>16210</v>
      </c>
      <c r="E6370" t="s">
        <v>16218</v>
      </c>
      <c r="F6370" t="s">
        <v>16220</v>
      </c>
      <c r="G6370" t="s">
        <v>16231</v>
      </c>
      <c r="H6370" t="s">
        <v>16231</v>
      </c>
      <c r="I6370" t="s">
        <v>16366</v>
      </c>
      <c r="J6370" t="s">
        <v>16385</v>
      </c>
      <c r="K6370">
        <v>0.206</v>
      </c>
      <c r="L6370">
        <v>8961</v>
      </c>
      <c r="M6370">
        <v>1311</v>
      </c>
      <c r="N6370" t="s">
        <v>16393</v>
      </c>
      <c r="O6370" s="4">
        <v>24978</v>
      </c>
      <c r="P6370" s="4">
        <v>54013</v>
      </c>
      <c r="Q6370" s="4">
        <v>78991</v>
      </c>
      <c r="R6370" s="4">
        <v>236973</v>
      </c>
      <c r="S6370" t="s">
        <v>22573</v>
      </c>
      <c r="T6370" s="6">
        <v>33420</v>
      </c>
      <c r="U6370" s="4">
        <v>61000</v>
      </c>
      <c r="X6370" t="s">
        <v>3</v>
      </c>
      <c r="AA6370" s="5" t="str">
        <f>HYPERLINK("https://www.zillow.com/homes/153-WOOD-ST-WEST-CHICAGO-IL-601852804_rb/","check listing")</f>
        <v>check listing</v>
      </c>
      <c r="AB6370" s="5" t="str">
        <f>HYPERLINK("https://propertylookup.dupagecounty.gov/Datalets/Datalet.aspx?UseSearch=no&amp;mode=sales&amp;pin=0409223003","sales record")</f>
        <v>sales record</v>
      </c>
      <c r="AC6370" t="s">
        <v>3</v>
      </c>
      <c r="AD6370">
        <v>41.882178</v>
      </c>
      <c r="AE6370">
        <v>-88.20644799999999</v>
      </c>
      <c r="AF6370" s="5" t="str">
        <f>HYPERLINK("https://www.google.com/maps/search/?api=1&amp;query=41.882178,-88.206448","map")</f>
        <v>map</v>
      </c>
    </row>
    <row r="6371" spans="1:32">
      <c r="A6371" t="s">
        <v>6421</v>
      </c>
      <c r="B6371" t="s">
        <v>13910</v>
      </c>
      <c r="C6371" t="s">
        <v>16015</v>
      </c>
      <c r="D6371" t="s">
        <v>16210</v>
      </c>
      <c r="E6371" t="s">
        <v>16218</v>
      </c>
      <c r="F6371" t="s">
        <v>16220</v>
      </c>
      <c r="G6371" t="s">
        <v>16231</v>
      </c>
      <c r="H6371" t="s">
        <v>16231</v>
      </c>
      <c r="I6371" t="s">
        <v>16366</v>
      </c>
      <c r="J6371" t="s">
        <v>16385</v>
      </c>
      <c r="K6371">
        <v>0.205</v>
      </c>
      <c r="L6371">
        <v>8918</v>
      </c>
      <c r="M6371">
        <v>2980</v>
      </c>
      <c r="N6371" t="s">
        <v>16393</v>
      </c>
      <c r="O6371" s="4">
        <v>6776</v>
      </c>
      <c r="P6371" s="4">
        <v>27385</v>
      </c>
      <c r="Q6371" s="4">
        <v>34161</v>
      </c>
      <c r="R6371" s="4">
        <v>102483</v>
      </c>
      <c r="S6371" t="s">
        <v>22574</v>
      </c>
      <c r="T6371" s="6">
        <v>45909</v>
      </c>
      <c r="U6371" s="4">
        <v>295000</v>
      </c>
      <c r="V6371" t="s">
        <v>23739</v>
      </c>
      <c r="W6371" t="s">
        <v>22574</v>
      </c>
      <c r="X6371" t="s">
        <v>3</v>
      </c>
      <c r="AA6371" s="5" t="str">
        <f>HYPERLINK("https://www.zillow.com/homes/240-CHICAGO-ST-WEST-CHICAGO-IL-60185_rb/","check listing")</f>
        <v>check listing</v>
      </c>
      <c r="AB6371" s="5" t="str">
        <f>HYPERLINK("https://propertylookup.dupagecounty.gov/Datalets/Datalet.aspx?UseSearch=no&amp;mode=sales&amp;pin=0410119012","sales record")</f>
        <v>sales record</v>
      </c>
      <c r="AC6371" t="s">
        <v>3</v>
      </c>
      <c r="AD6371">
        <v>41.883181</v>
      </c>
      <c r="AE6371">
        <v>-88.199602</v>
      </c>
      <c r="AF6371" s="5" t="str">
        <f>HYPERLINK("https://www.google.com/maps/search/?api=1&amp;query=41.883181,-88.199602","map")</f>
        <v>map</v>
      </c>
    </row>
    <row r="6372" spans="1:32">
      <c r="A6372" t="s">
        <v>6422</v>
      </c>
      <c r="B6372" t="s">
        <v>13911</v>
      </c>
      <c r="C6372" t="s">
        <v>16019</v>
      </c>
      <c r="D6372" t="s">
        <v>16210</v>
      </c>
      <c r="E6372" t="s">
        <v>16218</v>
      </c>
      <c r="F6372" t="s">
        <v>16220</v>
      </c>
      <c r="G6372" t="s">
        <v>16231</v>
      </c>
      <c r="H6372" t="s">
        <v>16231</v>
      </c>
      <c r="I6372" t="s">
        <v>16366</v>
      </c>
      <c r="J6372" t="s">
        <v>16385</v>
      </c>
      <c r="K6372">
        <v>0.2</v>
      </c>
      <c r="L6372">
        <v>8705</v>
      </c>
      <c r="M6372">
        <v>2101</v>
      </c>
      <c r="N6372" t="s">
        <v>16393</v>
      </c>
      <c r="O6372" s="4">
        <v>27611</v>
      </c>
      <c r="P6372" s="4">
        <v>62487</v>
      </c>
      <c r="Q6372" s="4">
        <v>90098</v>
      </c>
      <c r="R6372" s="4">
        <v>270294</v>
      </c>
      <c r="S6372" t="s">
        <v>22575</v>
      </c>
      <c r="T6372" s="6">
        <v>43070</v>
      </c>
      <c r="U6372" s="4">
        <v>102000</v>
      </c>
      <c r="V6372" t="s">
        <v>23739</v>
      </c>
      <c r="W6372" t="s">
        <v>27243</v>
      </c>
      <c r="X6372" t="s">
        <v>3</v>
      </c>
      <c r="AA6372" s="5" t="str">
        <f>HYPERLINK("https://www.zillow.com/homes/111-S-AURORA-ST-WEST-CHICAGO-IL-601852703_rb/","check listing")</f>
        <v>check listing</v>
      </c>
      <c r="AB6372" s="5" t="str">
        <f>HYPERLINK("https://propertylookup.dupagecounty.gov/Datalets/Datalet.aspx?UseSearch=no&amp;mode=sales&amp;pin=0409210002","sales record")</f>
        <v>sales record</v>
      </c>
      <c r="AC6372" t="s">
        <v>3</v>
      </c>
      <c r="AD6372">
        <v>41.882958</v>
      </c>
      <c r="AE6372">
        <v>-88.208718</v>
      </c>
      <c r="AF6372" s="5" t="str">
        <f>HYPERLINK("https://www.google.com/maps/search/?api=1&amp;query=41.882958,-88.208718","map")</f>
        <v>map</v>
      </c>
    </row>
    <row r="6373" spans="1:32">
      <c r="A6373" t="s">
        <v>6423</v>
      </c>
      <c r="B6373" t="s">
        <v>13912</v>
      </c>
      <c r="C6373" t="s">
        <v>16015</v>
      </c>
      <c r="D6373" t="s">
        <v>16210</v>
      </c>
      <c r="E6373" t="s">
        <v>16218</v>
      </c>
      <c r="F6373" t="s">
        <v>16220</v>
      </c>
      <c r="G6373" t="s">
        <v>16231</v>
      </c>
      <c r="H6373" t="s">
        <v>16231</v>
      </c>
      <c r="I6373" t="s">
        <v>16366</v>
      </c>
      <c r="J6373" t="s">
        <v>16385</v>
      </c>
      <c r="K6373">
        <v>0.197</v>
      </c>
      <c r="L6373">
        <v>8590</v>
      </c>
      <c r="M6373">
        <v>1584</v>
      </c>
      <c r="N6373" t="s">
        <v>16393</v>
      </c>
      <c r="O6373" s="4">
        <v>25516</v>
      </c>
      <c r="P6373" s="4">
        <v>47431</v>
      </c>
      <c r="Q6373" s="4">
        <v>72947</v>
      </c>
      <c r="R6373" s="4">
        <v>218841</v>
      </c>
      <c r="S6373" t="s">
        <v>22576</v>
      </c>
      <c r="X6373" t="s">
        <v>3</v>
      </c>
      <c r="AA6373" s="5" t="str">
        <f>HYPERLINK("https://www.zillow.com/homes/321-CONDE-ST-WEST-CHICAGO-IL-60185_rb/","check listing")</f>
        <v>check listing</v>
      </c>
      <c r="AB6373" s="5" t="str">
        <f>HYPERLINK("https://propertylookup.dupagecounty.gov/Datalets/Datalet.aspx?UseSearch=no&amp;mode=sales&amp;pin=0410129008","sales record")</f>
        <v>sales record</v>
      </c>
      <c r="AC6373" t="s">
        <v>3</v>
      </c>
      <c r="AD6373">
        <v>41.878529</v>
      </c>
      <c r="AE6373">
        <v>-88.199563</v>
      </c>
      <c r="AF6373" s="5" t="str">
        <f>HYPERLINK("https://www.google.com/maps/search/?api=1&amp;query=41.878529,-88.199563","map")</f>
        <v>map</v>
      </c>
    </row>
    <row r="6374" spans="1:32">
      <c r="A6374" t="s">
        <v>6424</v>
      </c>
      <c r="B6374" t="s">
        <v>13913</v>
      </c>
      <c r="C6374" t="s">
        <v>16015</v>
      </c>
      <c r="D6374" t="s">
        <v>16210</v>
      </c>
      <c r="E6374" t="s">
        <v>16218</v>
      </c>
      <c r="F6374" t="s">
        <v>16220</v>
      </c>
      <c r="G6374" t="s">
        <v>16231</v>
      </c>
      <c r="H6374" t="s">
        <v>16231</v>
      </c>
      <c r="I6374" t="s">
        <v>16366</v>
      </c>
      <c r="J6374" t="s">
        <v>16385</v>
      </c>
      <c r="K6374">
        <v>0.188</v>
      </c>
      <c r="L6374">
        <v>8188</v>
      </c>
      <c r="M6374">
        <v>1187</v>
      </c>
      <c r="N6374" t="s">
        <v>16393</v>
      </c>
      <c r="O6374" s="4">
        <v>27540</v>
      </c>
      <c r="P6374" s="4">
        <v>48640</v>
      </c>
      <c r="Q6374" s="4">
        <v>76180</v>
      </c>
      <c r="R6374" s="4">
        <v>228540</v>
      </c>
      <c r="S6374" t="s">
        <v>22577</v>
      </c>
      <c r="T6374" s="6">
        <v>45883</v>
      </c>
      <c r="U6374" s="4">
        <v>305000</v>
      </c>
      <c r="V6374" t="s">
        <v>23739</v>
      </c>
      <c r="W6374" t="s">
        <v>27244</v>
      </c>
      <c r="X6374" t="s">
        <v>3</v>
      </c>
      <c r="AA6374" s="5" t="str">
        <f>HYPERLINK("https://www.zillow.com/homes/202-PARKER-AVE-WEST-CHICAGO-IL-60185_rb/","check listing")</f>
        <v>check listing</v>
      </c>
      <c r="AB6374" s="5" t="str">
        <f>HYPERLINK("https://propertylookup.dupagecounty.gov/Datalets/Datalet.aspx?UseSearch=no&amp;mode=sales&amp;pin=0410122020","sales record")</f>
        <v>sales record</v>
      </c>
      <c r="AC6374" t="s">
        <v>3</v>
      </c>
      <c r="AD6374">
        <v>41.881557</v>
      </c>
      <c r="AE6374">
        <v>-88.20183900000001</v>
      </c>
      <c r="AF6374" s="5" t="str">
        <f>HYPERLINK("https://www.google.com/maps/search/?api=1&amp;query=41.881557,-88.201839","map")</f>
        <v>map</v>
      </c>
    </row>
    <row r="6375" spans="1:32">
      <c r="A6375" t="s">
        <v>6425</v>
      </c>
      <c r="B6375" t="s">
        <v>13914</v>
      </c>
      <c r="C6375" t="s">
        <v>16020</v>
      </c>
      <c r="D6375" t="s">
        <v>16210</v>
      </c>
      <c r="E6375" t="s">
        <v>16218</v>
      </c>
      <c r="F6375" t="s">
        <v>16220</v>
      </c>
      <c r="G6375" t="s">
        <v>16231</v>
      </c>
      <c r="H6375" t="s">
        <v>16231</v>
      </c>
      <c r="I6375" t="s">
        <v>16366</v>
      </c>
      <c r="J6375" t="s">
        <v>16385</v>
      </c>
      <c r="K6375">
        <v>0.167</v>
      </c>
      <c r="L6375">
        <v>7274</v>
      </c>
      <c r="M6375">
        <v>2573</v>
      </c>
      <c r="N6375" t="s">
        <v>16393</v>
      </c>
      <c r="O6375" s="4">
        <v>25265</v>
      </c>
      <c r="P6375" s="4">
        <v>129043</v>
      </c>
      <c r="Q6375" s="4">
        <v>154308</v>
      </c>
      <c r="R6375" s="4">
        <v>462924</v>
      </c>
      <c r="S6375" t="s">
        <v>22578</v>
      </c>
      <c r="T6375" s="6">
        <v>33543</v>
      </c>
      <c r="U6375" s="4">
        <v>65000</v>
      </c>
      <c r="X6375" t="s">
        <v>3</v>
      </c>
      <c r="AA6375" s="5" t="str">
        <f>HYPERLINK("https://www.zillow.com/homes/103-E-MCCONNELL-AVE-WEST-CHICAGO-IL-601851953_rb/","check listing")</f>
        <v>check listing</v>
      </c>
      <c r="AB6375" s="5" t="str">
        <f>HYPERLINK("https://propertylookup.dupagecounty.gov/Datalets/Datalet.aspx?UseSearch=no&amp;mode=sales&amp;pin=0404413004","sales record")</f>
        <v>sales record</v>
      </c>
      <c r="AC6375" t="s">
        <v>3</v>
      </c>
      <c r="AD6375">
        <v>41.886232</v>
      </c>
      <c r="AE6375">
        <v>-88.205412</v>
      </c>
      <c r="AF6375" s="5" t="str">
        <f>HYPERLINK("https://www.google.com/maps/search/?api=1&amp;query=41.886232,-88.205412","map")</f>
        <v>map</v>
      </c>
    </row>
    <row r="6376" spans="1:32">
      <c r="A6376" t="s">
        <v>6426</v>
      </c>
      <c r="B6376" t="s">
        <v>13912</v>
      </c>
      <c r="C6376" t="s">
        <v>16015</v>
      </c>
      <c r="D6376" t="s">
        <v>16210</v>
      </c>
      <c r="E6376" t="s">
        <v>16218</v>
      </c>
      <c r="F6376" t="s">
        <v>16220</v>
      </c>
      <c r="G6376" t="s">
        <v>16231</v>
      </c>
      <c r="H6376" t="s">
        <v>16231</v>
      </c>
      <c r="I6376" t="s">
        <v>16366</v>
      </c>
      <c r="J6376" t="s">
        <v>16385</v>
      </c>
      <c r="K6376">
        <v>0.161</v>
      </c>
      <c r="L6376">
        <v>7023</v>
      </c>
      <c r="N6376" t="s">
        <v>16393</v>
      </c>
      <c r="O6376" s="4">
        <v>21579</v>
      </c>
      <c r="P6376" s="4">
        <v>4692</v>
      </c>
      <c r="Q6376" s="4">
        <v>26271</v>
      </c>
      <c r="R6376" s="4">
        <v>78813</v>
      </c>
      <c r="S6376" t="s">
        <v>22576</v>
      </c>
      <c r="T6376" s="6">
        <v>37803</v>
      </c>
      <c r="U6376" s="4">
        <v>165000</v>
      </c>
      <c r="V6376" t="s">
        <v>23739</v>
      </c>
      <c r="W6376" t="s">
        <v>22576</v>
      </c>
      <c r="X6376" t="s">
        <v>3</v>
      </c>
      <c r="AA6376" s="5" t="str">
        <f>HYPERLINK("https://www.zillow.com/homes/321-CONDE-ST-WEST-CHICAGO-IL-60185_rb/","check listing")</f>
        <v>check listing</v>
      </c>
      <c r="AB6376" s="5" t="str">
        <f>HYPERLINK("https://propertylookup.dupagecounty.gov/Datalets/Datalet.aspx?UseSearch=no&amp;mode=sales&amp;pin=0410129007","sales record")</f>
        <v>sales record</v>
      </c>
      <c r="AC6376" t="s">
        <v>3</v>
      </c>
      <c r="AD6376">
        <v>41.878686</v>
      </c>
      <c r="AE6376">
        <v>-88.199558</v>
      </c>
      <c r="AF6376" s="5" t="str">
        <f>HYPERLINK("https://www.google.com/maps/search/?api=1&amp;query=41.878686,-88.199558","map")</f>
        <v>map</v>
      </c>
    </row>
    <row r="6377" spans="1:32">
      <c r="A6377" t="s">
        <v>6427</v>
      </c>
      <c r="B6377" t="s">
        <v>13915</v>
      </c>
      <c r="C6377" t="s">
        <v>16015</v>
      </c>
      <c r="D6377" t="s">
        <v>16210</v>
      </c>
      <c r="E6377" t="s">
        <v>16218</v>
      </c>
      <c r="F6377" t="s">
        <v>16220</v>
      </c>
      <c r="G6377" t="s">
        <v>16231</v>
      </c>
      <c r="H6377" t="s">
        <v>16231</v>
      </c>
      <c r="I6377" t="s">
        <v>16366</v>
      </c>
      <c r="J6377" t="s">
        <v>16385</v>
      </c>
      <c r="K6377">
        <v>0.151</v>
      </c>
      <c r="L6377">
        <v>6576</v>
      </c>
      <c r="M6377">
        <v>1979</v>
      </c>
      <c r="N6377" t="s">
        <v>16393</v>
      </c>
      <c r="O6377" s="4">
        <v>32434</v>
      </c>
      <c r="P6377" s="4">
        <v>54432</v>
      </c>
      <c r="Q6377" s="4">
        <v>86866</v>
      </c>
      <c r="R6377" s="4">
        <v>260598</v>
      </c>
      <c r="S6377" t="s">
        <v>22579</v>
      </c>
      <c r="T6377" s="6">
        <v>42064</v>
      </c>
      <c r="U6377" s="4">
        <v>129900</v>
      </c>
      <c r="V6377" t="s">
        <v>16232</v>
      </c>
      <c r="W6377" t="s">
        <v>27245</v>
      </c>
      <c r="X6377" t="s">
        <v>3</v>
      </c>
      <c r="AA6377" s="5" t="str">
        <f>HYPERLINK("https://www.zillow.com/homes/232-CHICAGO-ST-WEST-CHICAGO-IL-60185_rb/","check listing")</f>
        <v>check listing</v>
      </c>
      <c r="AB6377" s="5" t="str">
        <f>HYPERLINK("https://propertylookup.dupagecounty.gov/Datalets/Datalet.aspx?UseSearch=no&amp;mode=sales&amp;pin=0410119058","sales record")</f>
        <v>sales record</v>
      </c>
      <c r="AC6377" t="s">
        <v>3</v>
      </c>
      <c r="AD6377">
        <v>41.883125</v>
      </c>
      <c r="AE6377">
        <v>-88.199766</v>
      </c>
      <c r="AF6377" s="5" t="str">
        <f>HYPERLINK("https://www.google.com/maps/search/?api=1&amp;query=41.883125,-88.199766","map")</f>
        <v>map</v>
      </c>
    </row>
    <row r="6378" spans="1:32">
      <c r="A6378" t="s">
        <v>6428</v>
      </c>
      <c r="B6378" t="s">
        <v>13916</v>
      </c>
      <c r="C6378" t="s">
        <v>16021</v>
      </c>
      <c r="D6378" t="s">
        <v>16210</v>
      </c>
      <c r="E6378" t="s">
        <v>16218</v>
      </c>
      <c r="F6378" t="s">
        <v>16220</v>
      </c>
      <c r="G6378" t="s">
        <v>16231</v>
      </c>
      <c r="H6378" t="s">
        <v>16231</v>
      </c>
      <c r="I6378" t="s">
        <v>16366</v>
      </c>
      <c r="J6378" t="s">
        <v>16385</v>
      </c>
      <c r="K6378">
        <v>0.146</v>
      </c>
      <c r="L6378">
        <v>6373</v>
      </c>
      <c r="M6378">
        <v>1582</v>
      </c>
      <c r="N6378" t="s">
        <v>16393</v>
      </c>
      <c r="O6378" s="4">
        <v>20322</v>
      </c>
      <c r="P6378" s="4">
        <v>57639</v>
      </c>
      <c r="Q6378" s="4">
        <v>77961</v>
      </c>
      <c r="R6378" s="4">
        <v>233883</v>
      </c>
      <c r="S6378" t="s">
        <v>22580</v>
      </c>
      <c r="T6378" s="6">
        <v>38078</v>
      </c>
      <c r="U6378" s="4">
        <v>160000</v>
      </c>
      <c r="V6378" t="s">
        <v>23739</v>
      </c>
      <c r="W6378" t="s">
        <v>22580</v>
      </c>
      <c r="X6378" t="s">
        <v>3</v>
      </c>
      <c r="AA6378" s="5" t="str">
        <f>HYPERLINK("https://www.zillow.com/homes/340-CLAYTON-ST-WEST-CHICAGO-IL-601853139_rb/","check listing")</f>
        <v>check listing</v>
      </c>
      <c r="AB6378" s="5" t="str">
        <f>HYPERLINK("https://propertylookup.dupagecounty.gov/Datalets/Datalet.aspx?UseSearch=no&amp;mode=sales&amp;pin=0410128019","sales record")</f>
        <v>sales record</v>
      </c>
      <c r="AC6378" t="s">
        <v>3</v>
      </c>
      <c r="AD6378">
        <v>41.878808</v>
      </c>
      <c r="AE6378">
        <v>-88.20025099999999</v>
      </c>
      <c r="AF6378" s="5" t="str">
        <f>HYPERLINK("https://www.google.com/maps/search/?api=1&amp;query=41.878808,-88.200251","map")</f>
        <v>map</v>
      </c>
    </row>
    <row r="6379" spans="1:32">
      <c r="A6379" t="s">
        <v>6429</v>
      </c>
      <c r="B6379" t="s">
        <v>13917</v>
      </c>
      <c r="C6379" t="s">
        <v>16015</v>
      </c>
      <c r="D6379" t="s">
        <v>16210</v>
      </c>
      <c r="E6379" t="s">
        <v>16218</v>
      </c>
      <c r="F6379" t="s">
        <v>16220</v>
      </c>
      <c r="G6379" t="s">
        <v>16231</v>
      </c>
      <c r="H6379" t="s">
        <v>16231</v>
      </c>
      <c r="I6379" t="s">
        <v>16366</v>
      </c>
      <c r="J6379" t="s">
        <v>16385</v>
      </c>
      <c r="K6379">
        <v>0.146</v>
      </c>
      <c r="L6379">
        <v>6370</v>
      </c>
      <c r="M6379">
        <v>2012</v>
      </c>
      <c r="N6379" t="s">
        <v>16393</v>
      </c>
      <c r="O6379" s="4">
        <v>20322</v>
      </c>
      <c r="P6379" s="4">
        <v>71870</v>
      </c>
      <c r="Q6379" s="4">
        <v>92192</v>
      </c>
      <c r="R6379" s="4">
        <v>276576</v>
      </c>
      <c r="S6379" t="s">
        <v>22581</v>
      </c>
      <c r="T6379" s="6">
        <v>41548</v>
      </c>
      <c r="U6379" s="4">
        <v>0</v>
      </c>
      <c r="V6379" t="s">
        <v>23739</v>
      </c>
      <c r="W6379" t="s">
        <v>27246</v>
      </c>
      <c r="X6379" t="s">
        <v>3</v>
      </c>
      <c r="AA6379" s="5" t="str">
        <f>HYPERLINK("https://www.zillow.com/homes/344-CLAYTON-ST-WEST-CHICAGO-IL-60185_rb/","check listing")</f>
        <v>check listing</v>
      </c>
      <c r="AB6379" s="5" t="str">
        <f>HYPERLINK("https://propertylookup.dupagecounty.gov/Datalets/Datalet.aspx?UseSearch=no&amp;mode=sales&amp;pin=0410128020","sales record")</f>
        <v>sales record</v>
      </c>
      <c r="AC6379" t="s">
        <v>3</v>
      </c>
      <c r="AD6379">
        <v>41.878671</v>
      </c>
      <c r="AE6379">
        <v>-88.200255</v>
      </c>
      <c r="AF6379" s="5" t="str">
        <f>HYPERLINK("https://www.google.com/maps/search/?api=1&amp;query=41.878671,-88.200255","map")</f>
        <v>map</v>
      </c>
    </row>
    <row r="6380" spans="1:32">
      <c r="A6380" t="s">
        <v>6430</v>
      </c>
      <c r="B6380" t="s">
        <v>13918</v>
      </c>
      <c r="C6380" t="s">
        <v>16022</v>
      </c>
      <c r="D6380" t="s">
        <v>16210</v>
      </c>
      <c r="E6380" t="s">
        <v>16218</v>
      </c>
      <c r="F6380" t="s">
        <v>16220</v>
      </c>
      <c r="G6380" t="s">
        <v>16231</v>
      </c>
      <c r="H6380" t="s">
        <v>16231</v>
      </c>
      <c r="I6380" t="s">
        <v>16366</v>
      </c>
      <c r="J6380" t="s">
        <v>16385</v>
      </c>
      <c r="K6380">
        <v>0.143</v>
      </c>
      <c r="L6380">
        <v>6209</v>
      </c>
      <c r="M6380">
        <v>1979</v>
      </c>
      <c r="N6380" t="s">
        <v>16393</v>
      </c>
      <c r="O6380" s="4">
        <v>19879</v>
      </c>
      <c r="P6380" s="4">
        <v>73808</v>
      </c>
      <c r="Q6380" s="4">
        <v>93687</v>
      </c>
      <c r="R6380" s="4">
        <v>281061</v>
      </c>
      <c r="S6380" t="s">
        <v>22582</v>
      </c>
      <c r="T6380" s="6">
        <v>44593</v>
      </c>
      <c r="U6380" s="4">
        <v>242000</v>
      </c>
      <c r="V6380" t="s">
        <v>23740</v>
      </c>
      <c r="W6380" t="s">
        <v>27247</v>
      </c>
      <c r="X6380" t="s">
        <v>3</v>
      </c>
      <c r="AA6380" s="5" t="str">
        <f>HYPERLINK("https://www.zillow.com/homes/226-ALLEN-AVE-WEST-CHICAGO-IL-601853133_rb/","check listing")</f>
        <v>check listing</v>
      </c>
      <c r="AB6380" s="5" t="str">
        <f>HYPERLINK("https://propertylookup.dupagecounty.gov/Datalets/Datalet.aspx?UseSearch=no&amp;mode=sales&amp;pin=0410121016","sales record")</f>
        <v>sales record</v>
      </c>
      <c r="AC6380" t="s">
        <v>3</v>
      </c>
      <c r="AD6380">
        <v>41.881091</v>
      </c>
      <c r="AE6380">
        <v>-88.203592</v>
      </c>
      <c r="AF6380" s="5" t="str">
        <f>HYPERLINK("https://www.google.com/maps/search/?api=1&amp;query=41.881091,-88.203592","map")</f>
        <v>map</v>
      </c>
    </row>
    <row r="6381" spans="1:32">
      <c r="A6381" t="s">
        <v>6431</v>
      </c>
      <c r="B6381" t="s">
        <v>13919</v>
      </c>
      <c r="C6381" t="s">
        <v>16015</v>
      </c>
      <c r="D6381" t="s">
        <v>16210</v>
      </c>
      <c r="E6381" t="s">
        <v>16218</v>
      </c>
      <c r="F6381" t="s">
        <v>16220</v>
      </c>
      <c r="G6381" t="s">
        <v>16231</v>
      </c>
      <c r="H6381" t="s">
        <v>16231</v>
      </c>
      <c r="I6381" t="s">
        <v>16366</v>
      </c>
      <c r="J6381" t="s">
        <v>16385</v>
      </c>
      <c r="K6381">
        <v>0.143</v>
      </c>
      <c r="L6381">
        <v>6209</v>
      </c>
      <c r="M6381">
        <v>1715</v>
      </c>
      <c r="N6381" t="s">
        <v>16393</v>
      </c>
      <c r="O6381" s="4">
        <v>19879</v>
      </c>
      <c r="P6381" s="4">
        <v>63684</v>
      </c>
      <c r="Q6381" s="4">
        <v>83563</v>
      </c>
      <c r="R6381" s="4">
        <v>250689</v>
      </c>
      <c r="S6381" t="s">
        <v>22583</v>
      </c>
      <c r="T6381" s="6">
        <v>45076</v>
      </c>
      <c r="U6381" s="4">
        <v>362500</v>
      </c>
      <c r="V6381" t="s">
        <v>23739</v>
      </c>
      <c r="W6381" t="s">
        <v>27248</v>
      </c>
      <c r="X6381" t="s">
        <v>3</v>
      </c>
      <c r="AA6381" s="5" t="str">
        <f>HYPERLINK("https://www.zillow.com/homes/220-ALLEN-AVE-WEST-CHICAGO-IL-60185_rb/","check listing")</f>
        <v>check listing</v>
      </c>
      <c r="AB6381" s="5" t="str">
        <f>HYPERLINK("https://propertylookup.dupagecounty.gov/Datalets/Datalet.aspx?UseSearch=no&amp;mode=sales&amp;pin=0410121015","sales record")</f>
        <v>sales record</v>
      </c>
      <c r="AC6381" t="s">
        <v>3</v>
      </c>
      <c r="AD6381">
        <v>41.881228</v>
      </c>
      <c r="AE6381">
        <v>-88.203588</v>
      </c>
      <c r="AF6381" s="5" t="str">
        <f>HYPERLINK("https://www.google.com/maps/search/?api=1&amp;query=41.881228,-88.203588","map")</f>
        <v>map</v>
      </c>
    </row>
    <row r="6382" spans="1:32">
      <c r="A6382" t="s">
        <v>6432</v>
      </c>
      <c r="B6382" t="s">
        <v>13920</v>
      </c>
      <c r="C6382" t="s">
        <v>16022</v>
      </c>
      <c r="D6382" t="s">
        <v>16210</v>
      </c>
      <c r="E6382" t="s">
        <v>16218</v>
      </c>
      <c r="F6382" t="s">
        <v>16220</v>
      </c>
      <c r="G6382" t="s">
        <v>16231</v>
      </c>
      <c r="H6382" t="s">
        <v>16231</v>
      </c>
      <c r="I6382" t="s">
        <v>16366</v>
      </c>
      <c r="J6382" t="s">
        <v>16385</v>
      </c>
      <c r="K6382">
        <v>0.143</v>
      </c>
      <c r="L6382">
        <v>6208</v>
      </c>
      <c r="M6382">
        <v>1583</v>
      </c>
      <c r="N6382" t="s">
        <v>16393</v>
      </c>
      <c r="O6382" s="4">
        <v>19879</v>
      </c>
      <c r="P6382" s="4">
        <v>58645</v>
      </c>
      <c r="Q6382" s="4">
        <v>78524</v>
      </c>
      <c r="R6382" s="4">
        <v>235572</v>
      </c>
      <c r="S6382" t="s">
        <v>22584</v>
      </c>
      <c r="T6382" s="6">
        <v>42948</v>
      </c>
      <c r="U6382" s="4">
        <v>168000</v>
      </c>
      <c r="V6382" t="s">
        <v>23739</v>
      </c>
      <c r="W6382" t="s">
        <v>27249</v>
      </c>
      <c r="X6382" t="s">
        <v>3</v>
      </c>
      <c r="AA6382" s="5" t="str">
        <f>HYPERLINK("https://www.zillow.com/homes/230-ALLEN-AVE-WEST-CHICAGO-IL-601853133_rb/","check listing")</f>
        <v>check listing</v>
      </c>
      <c r="AB6382" s="5" t="str">
        <f>HYPERLINK("https://propertylookup.dupagecounty.gov/Datalets/Datalet.aspx?UseSearch=no&amp;mode=sales&amp;pin=0410121017","sales record")</f>
        <v>sales record</v>
      </c>
      <c r="AC6382" t="s">
        <v>3</v>
      </c>
      <c r="AD6382">
        <v>41.880954</v>
      </c>
      <c r="AE6382">
        <v>-88.20359500000001</v>
      </c>
      <c r="AF6382" s="5" t="str">
        <f>HYPERLINK("https://www.google.com/maps/search/?api=1&amp;query=41.880954,-88.203595","map")</f>
        <v>map</v>
      </c>
    </row>
    <row r="6383" spans="1:32">
      <c r="A6383" t="s">
        <v>6433</v>
      </c>
      <c r="B6383" t="s">
        <v>13921</v>
      </c>
      <c r="C6383" t="s">
        <v>16015</v>
      </c>
      <c r="D6383" t="s">
        <v>16210</v>
      </c>
      <c r="E6383" t="s">
        <v>16218</v>
      </c>
      <c r="F6383" t="s">
        <v>16220</v>
      </c>
      <c r="G6383" t="s">
        <v>16231</v>
      </c>
      <c r="H6383" t="s">
        <v>16231</v>
      </c>
      <c r="I6383" t="s">
        <v>16366</v>
      </c>
      <c r="J6383" t="s">
        <v>16385</v>
      </c>
      <c r="K6383">
        <v>0.142</v>
      </c>
      <c r="L6383">
        <v>6188</v>
      </c>
      <c r="M6383">
        <v>1585</v>
      </c>
      <c r="N6383" t="s">
        <v>16393</v>
      </c>
      <c r="O6383" s="4">
        <v>20131</v>
      </c>
      <c r="P6383" s="4">
        <v>68100</v>
      </c>
      <c r="Q6383" s="4">
        <v>88231</v>
      </c>
      <c r="R6383" s="4">
        <v>264693</v>
      </c>
      <c r="S6383" t="s">
        <v>22585</v>
      </c>
      <c r="T6383" s="6">
        <v>29129</v>
      </c>
      <c r="U6383" s="4">
        <v>62000</v>
      </c>
      <c r="X6383" t="s">
        <v>3</v>
      </c>
      <c r="AA6383" s="5" t="str">
        <f>HYPERLINK("https://www.zillow.com/homes/229-PARKER-AVE-WEST-CHICAGO-IL-60185_rb/","check listing")</f>
        <v>check listing</v>
      </c>
      <c r="AB6383" s="5" t="str">
        <f>HYPERLINK("https://propertylookup.dupagecounty.gov/Datalets/Datalet.aspx?UseSearch=no&amp;mode=sales&amp;pin=0410123006","sales record")</f>
        <v>sales record</v>
      </c>
      <c r="AC6383" t="s">
        <v>3</v>
      </c>
      <c r="AD6383">
        <v>41.880776</v>
      </c>
      <c r="AE6383">
        <v>-88.201239</v>
      </c>
      <c r="AF6383" s="5" t="str">
        <f>HYPERLINK("https://www.google.com/maps/search/?api=1&amp;query=41.880776,-88.201239","map")</f>
        <v>map</v>
      </c>
    </row>
    <row r="6384" spans="1:32">
      <c r="A6384" t="s">
        <v>6434</v>
      </c>
      <c r="B6384" t="s">
        <v>13922</v>
      </c>
      <c r="C6384" t="s">
        <v>16015</v>
      </c>
      <c r="D6384" t="s">
        <v>16210</v>
      </c>
      <c r="E6384" t="s">
        <v>16218</v>
      </c>
      <c r="F6384" t="s">
        <v>16220</v>
      </c>
      <c r="G6384" t="s">
        <v>16231</v>
      </c>
      <c r="H6384" t="s">
        <v>16231</v>
      </c>
      <c r="I6384" t="s">
        <v>16366</v>
      </c>
      <c r="J6384" t="s">
        <v>16385</v>
      </c>
      <c r="K6384">
        <v>0.138</v>
      </c>
      <c r="L6384">
        <v>6002</v>
      </c>
      <c r="M6384">
        <v>1716</v>
      </c>
      <c r="N6384" t="s">
        <v>16393</v>
      </c>
      <c r="O6384" s="4">
        <v>19173</v>
      </c>
      <c r="P6384" s="4">
        <v>55150</v>
      </c>
      <c r="Q6384" s="4">
        <v>74323</v>
      </c>
      <c r="R6384" s="4">
        <v>222969</v>
      </c>
      <c r="S6384" t="s">
        <v>22586</v>
      </c>
      <c r="T6384" s="6">
        <v>36312</v>
      </c>
      <c r="U6384" s="4">
        <v>125000</v>
      </c>
      <c r="X6384" t="s">
        <v>3</v>
      </c>
      <c r="AA6384" s="5" t="str">
        <f>HYPERLINK("https://www.zillow.com/homes/235-PARKER-AVE-WEST-CHICAGO-IL-60185_rb/","check listing")</f>
        <v>check listing</v>
      </c>
      <c r="AB6384" s="5" t="str">
        <f>HYPERLINK("https://propertylookup.dupagecounty.gov/Datalets/Datalet.aspx?UseSearch=no&amp;mode=sales&amp;pin=0410123013","sales record")</f>
        <v>sales record</v>
      </c>
      <c r="AC6384" t="s">
        <v>3</v>
      </c>
      <c r="AD6384">
        <v>41.880622</v>
      </c>
      <c r="AE6384">
        <v>-88.201244</v>
      </c>
      <c r="AF6384" s="5" t="str">
        <f>HYPERLINK("https://www.google.com/maps/search/?api=1&amp;query=41.880622,-88.201244","map")</f>
        <v>map</v>
      </c>
    </row>
    <row r="6385" spans="1:32">
      <c r="A6385" t="s">
        <v>6435</v>
      </c>
      <c r="B6385" t="s">
        <v>13923</v>
      </c>
      <c r="C6385" t="s">
        <v>16023</v>
      </c>
      <c r="D6385" t="s">
        <v>16210</v>
      </c>
      <c r="E6385" t="s">
        <v>16218</v>
      </c>
      <c r="F6385" t="s">
        <v>16220</v>
      </c>
      <c r="G6385" t="s">
        <v>16231</v>
      </c>
      <c r="H6385" t="s">
        <v>16231</v>
      </c>
      <c r="I6385" t="s">
        <v>16366</v>
      </c>
      <c r="J6385" t="s">
        <v>16385</v>
      </c>
      <c r="K6385">
        <v>0.137</v>
      </c>
      <c r="L6385">
        <v>5967</v>
      </c>
      <c r="M6385">
        <v>4080</v>
      </c>
      <c r="N6385" t="s">
        <v>16393</v>
      </c>
      <c r="O6385" s="4">
        <v>19855</v>
      </c>
      <c r="P6385" s="4">
        <v>67477</v>
      </c>
      <c r="Q6385" s="4">
        <v>87332</v>
      </c>
      <c r="R6385" s="4">
        <v>261996</v>
      </c>
      <c r="S6385" t="s">
        <v>22587</v>
      </c>
      <c r="X6385" t="s">
        <v>3</v>
      </c>
      <c r="AA6385" s="5" t="str">
        <f>HYPERLINK("https://www.zillow.com/homes/208-PARKER-AVE-WEST-CHICAGO-IL-601853144_rb/","check listing")</f>
        <v>check listing</v>
      </c>
      <c r="AB6385" s="5" t="str">
        <f>HYPERLINK("https://propertylookup.dupagecounty.gov/Datalets/Datalet.aspx?UseSearch=no&amp;mode=sales&amp;pin=0410122021","sales record")</f>
        <v>sales record</v>
      </c>
      <c r="AC6385" t="s">
        <v>3</v>
      </c>
      <c r="AD6385">
        <v>41.881382</v>
      </c>
      <c r="AE6385">
        <v>-88.20186</v>
      </c>
      <c r="AF6385" s="5" t="str">
        <f>HYPERLINK("https://www.google.com/maps/search/?api=1&amp;query=41.881382,-88.20186","map")</f>
        <v>map</v>
      </c>
    </row>
    <row r="6386" spans="1:32">
      <c r="A6386" t="s">
        <v>6436</v>
      </c>
      <c r="B6386" t="s">
        <v>13924</v>
      </c>
      <c r="C6386" t="s">
        <v>16015</v>
      </c>
      <c r="D6386" t="s">
        <v>16210</v>
      </c>
      <c r="E6386" t="s">
        <v>16218</v>
      </c>
      <c r="F6386" t="s">
        <v>16220</v>
      </c>
      <c r="G6386" t="s">
        <v>16231</v>
      </c>
      <c r="H6386" t="s">
        <v>16231</v>
      </c>
      <c r="I6386" t="s">
        <v>16366</v>
      </c>
      <c r="J6386" t="s">
        <v>16385</v>
      </c>
      <c r="K6386">
        <v>0.132</v>
      </c>
      <c r="L6386">
        <v>5771</v>
      </c>
      <c r="M6386">
        <v>1319</v>
      </c>
      <c r="N6386" t="s">
        <v>16393</v>
      </c>
      <c r="O6386" s="4">
        <v>20322</v>
      </c>
      <c r="P6386" s="4">
        <v>63947</v>
      </c>
      <c r="Q6386" s="4">
        <v>84269</v>
      </c>
      <c r="R6386" s="4">
        <v>252807</v>
      </c>
      <c r="S6386" t="s">
        <v>22588</v>
      </c>
      <c r="T6386" s="6">
        <v>41395</v>
      </c>
      <c r="U6386" s="4">
        <v>95000</v>
      </c>
      <c r="V6386" t="s">
        <v>23739</v>
      </c>
      <c r="W6386" t="s">
        <v>27250</v>
      </c>
      <c r="X6386" t="s">
        <v>3</v>
      </c>
      <c r="AA6386" s="5" t="str">
        <f>HYPERLINK("https://www.zillow.com/homes/348-CLAYTON-ST-WEST-CHICAGO-IL-60185_rb/","check listing")</f>
        <v>check listing</v>
      </c>
      <c r="AB6386" s="5" t="str">
        <f>HYPERLINK("https://propertylookup.dupagecounty.gov/Datalets/Datalet.aspx?UseSearch=no&amp;mode=sales&amp;pin=0410128021","sales record")</f>
        <v>sales record</v>
      </c>
      <c r="AC6386" t="s">
        <v>3</v>
      </c>
      <c r="AD6386">
        <v>41.878546</v>
      </c>
      <c r="AE6386">
        <v>-88.20025800000001</v>
      </c>
      <c r="AF6386" s="5" t="str">
        <f>HYPERLINK("https://www.google.com/maps/search/?api=1&amp;query=41.878546,-88.200258","map")</f>
        <v>map</v>
      </c>
    </row>
    <row r="6387" spans="1:32">
      <c r="A6387" t="s">
        <v>6437</v>
      </c>
      <c r="B6387" t="s">
        <v>13925</v>
      </c>
      <c r="C6387" t="s">
        <v>16015</v>
      </c>
      <c r="D6387" t="s">
        <v>16210</v>
      </c>
      <c r="E6387" t="s">
        <v>16218</v>
      </c>
      <c r="F6387" t="s">
        <v>16220</v>
      </c>
      <c r="G6387" t="s">
        <v>16231</v>
      </c>
      <c r="H6387" t="s">
        <v>16231</v>
      </c>
      <c r="I6387" t="s">
        <v>16366</v>
      </c>
      <c r="J6387" t="s">
        <v>16385</v>
      </c>
      <c r="K6387">
        <v>0.113</v>
      </c>
      <c r="L6387">
        <v>4943</v>
      </c>
      <c r="M6387">
        <v>1048</v>
      </c>
      <c r="N6387" t="s">
        <v>16393</v>
      </c>
      <c r="O6387" s="4">
        <v>16600</v>
      </c>
      <c r="P6387" s="4">
        <v>55317</v>
      </c>
      <c r="Q6387" s="4">
        <v>71917</v>
      </c>
      <c r="R6387" s="4">
        <v>215751</v>
      </c>
      <c r="S6387" t="s">
        <v>20034</v>
      </c>
      <c r="T6387" s="6">
        <v>43617</v>
      </c>
      <c r="U6387" s="4">
        <v>95000</v>
      </c>
      <c r="V6387" t="s">
        <v>23738</v>
      </c>
      <c r="W6387" t="s">
        <v>27251</v>
      </c>
      <c r="X6387" t="s">
        <v>3</v>
      </c>
      <c r="AA6387" s="5" t="str">
        <f>HYPERLINK("https://www.zillow.com/homes/123-S-AURORA-ST-WEST-CHICAGO-IL-60185_rb/","check listing")</f>
        <v>check listing</v>
      </c>
      <c r="AB6387" s="5" t="str">
        <f>HYPERLINK("https://propertylookup.dupagecounty.gov/Datalets/Datalet.aspx?UseSearch=no&amp;mode=sales&amp;pin=0409210013","sales record")</f>
        <v>sales record</v>
      </c>
      <c r="AC6387" t="s">
        <v>3</v>
      </c>
      <c r="AD6387">
        <v>41.882613</v>
      </c>
      <c r="AE6387">
        <v>-88.20862200000001</v>
      </c>
      <c r="AF6387" s="5" t="str">
        <f>HYPERLINK("https://www.google.com/maps/search/?api=1&amp;query=41.882613,-88.208622","map")</f>
        <v>map</v>
      </c>
    </row>
    <row r="6388" spans="1:32">
      <c r="A6388" t="s">
        <v>6438</v>
      </c>
      <c r="B6388" t="s">
        <v>13926</v>
      </c>
      <c r="C6388" t="s">
        <v>16015</v>
      </c>
      <c r="D6388" t="s">
        <v>16210</v>
      </c>
      <c r="E6388" t="s">
        <v>16217</v>
      </c>
      <c r="F6388" t="s">
        <v>16220</v>
      </c>
      <c r="G6388" t="s">
        <v>16231</v>
      </c>
      <c r="H6388" t="s">
        <v>16231</v>
      </c>
      <c r="I6388" t="s">
        <v>16366</v>
      </c>
      <c r="J6388" t="s">
        <v>16385</v>
      </c>
      <c r="K6388">
        <v>26.711</v>
      </c>
      <c r="L6388">
        <v>1163517</v>
      </c>
      <c r="N6388" t="s">
        <v>16395</v>
      </c>
      <c r="O6388" s="4">
        <v>5654</v>
      </c>
      <c r="P6388" s="4">
        <v>0</v>
      </c>
      <c r="Q6388" s="4">
        <v>5654</v>
      </c>
      <c r="R6388" s="4">
        <v>16962</v>
      </c>
      <c r="S6388" t="s">
        <v>22589</v>
      </c>
      <c r="X6388" t="s">
        <v>27865</v>
      </c>
      <c r="Y6388" s="5" t="str">
        <f>HYPERLINK("https://www.cbre.com/properties/properties-for-lease/land/details/US-SMPL-121627/30w300-north-avenue-west-chicago-il-60185","listing")</f>
        <v>listing</v>
      </c>
      <c r="AA6388" s="5" t="str">
        <f>HYPERLINK("https://www.zillow.com/homes/30W300-NORTH-AVE-WEST-CHICAGO-IL-60185_rb/","check listing")</f>
        <v>check listing</v>
      </c>
      <c r="AB6388" s="5" t="str">
        <f>HYPERLINK("https://propertylookup.dupagecounty.gov/Datalets/Datalet.aspx?UseSearch=no&amp;mode=sales&amp;pin=0128300009","sales record")</f>
        <v>sales record</v>
      </c>
      <c r="AC6388" t="s">
        <v>3</v>
      </c>
      <c r="AD6388">
        <v>41.917865</v>
      </c>
      <c r="AE6388">
        <v>-88.216066</v>
      </c>
      <c r="AF6388" s="5" t="str">
        <f>HYPERLINK("https://www.google.com/maps/search/?api=1&amp;query=41.917865,-88.216066","map")</f>
        <v>map</v>
      </c>
    </row>
    <row r="6389" spans="1:32">
      <c r="A6389" t="s">
        <v>6439</v>
      </c>
      <c r="B6389" t="s">
        <v>13927</v>
      </c>
      <c r="C6389" t="s">
        <v>16015</v>
      </c>
      <c r="D6389" t="s">
        <v>16210</v>
      </c>
      <c r="E6389" t="s">
        <v>16217</v>
      </c>
      <c r="F6389" t="s">
        <v>16220</v>
      </c>
      <c r="G6389" t="s">
        <v>16231</v>
      </c>
      <c r="H6389" t="s">
        <v>16231</v>
      </c>
      <c r="I6389" t="s">
        <v>16366</v>
      </c>
      <c r="J6389" t="s">
        <v>16385</v>
      </c>
      <c r="K6389">
        <v>0.33</v>
      </c>
      <c r="L6389">
        <v>14378</v>
      </c>
      <c r="N6389" t="s">
        <v>16393</v>
      </c>
      <c r="O6389" s="4">
        <v>11944</v>
      </c>
      <c r="P6389" s="4">
        <v>0</v>
      </c>
      <c r="Q6389" s="4">
        <v>11944</v>
      </c>
      <c r="R6389" s="4">
        <v>35832</v>
      </c>
      <c r="S6389" t="s">
        <v>22590</v>
      </c>
      <c r="T6389" s="6">
        <v>44917</v>
      </c>
      <c r="U6389" s="4">
        <v>300000</v>
      </c>
      <c r="V6389" t="s">
        <v>23741</v>
      </c>
      <c r="W6389" t="s">
        <v>27252</v>
      </c>
      <c r="X6389" t="s">
        <v>3</v>
      </c>
      <c r="AA6389" s="5" t="str">
        <f>HYPERLINK("https://www.zillow.com/homes/WOODLAND-CT-WEST-CHICAGO-IL-60185_rb/","check listing")</f>
        <v>check listing</v>
      </c>
      <c r="AB6389" s="5" t="str">
        <f>HYPERLINK("https://propertylookup.dupagecounty.gov/Datalets/Datalet.aspx?UseSearch=no&amp;mode=sales&amp;pin=0410202064","sales record")</f>
        <v>sales record</v>
      </c>
      <c r="AC6389" t="s">
        <v>3</v>
      </c>
      <c r="AD6389">
        <v>41.883525</v>
      </c>
      <c r="AE6389">
        <v>-88.19069500000001</v>
      </c>
      <c r="AF6389" s="5" t="str">
        <f>HYPERLINK("https://www.google.com/maps/search/?api=1&amp;query=41.883525,-88.190695","map")</f>
        <v>map</v>
      </c>
    </row>
    <row r="6390" spans="1:32">
      <c r="A6390" t="s">
        <v>6440</v>
      </c>
      <c r="B6390" t="s">
        <v>13927</v>
      </c>
      <c r="C6390" t="s">
        <v>16015</v>
      </c>
      <c r="D6390" t="s">
        <v>16210</v>
      </c>
      <c r="E6390" t="s">
        <v>16217</v>
      </c>
      <c r="F6390" t="s">
        <v>16220</v>
      </c>
      <c r="G6390" t="s">
        <v>16231</v>
      </c>
      <c r="H6390" t="s">
        <v>16231</v>
      </c>
      <c r="I6390" t="s">
        <v>16366</v>
      </c>
      <c r="J6390" t="s">
        <v>16385</v>
      </c>
      <c r="K6390">
        <v>0.281</v>
      </c>
      <c r="L6390">
        <v>12256</v>
      </c>
      <c r="N6390" t="s">
        <v>16393</v>
      </c>
      <c r="O6390" s="4">
        <v>11944</v>
      </c>
      <c r="P6390" s="4">
        <v>0</v>
      </c>
      <c r="Q6390" s="4">
        <v>11944</v>
      </c>
      <c r="R6390" s="4">
        <v>35832</v>
      </c>
      <c r="S6390" t="s">
        <v>22590</v>
      </c>
      <c r="T6390" s="6">
        <v>44917</v>
      </c>
      <c r="U6390" s="4">
        <v>300000</v>
      </c>
      <c r="V6390" t="s">
        <v>23741</v>
      </c>
      <c r="W6390" t="s">
        <v>27252</v>
      </c>
      <c r="X6390" t="s">
        <v>3</v>
      </c>
      <c r="AA6390" s="5" t="str">
        <f>HYPERLINK("https://www.zillow.com/homes/WOODLAND-CT-WEST-CHICAGO-IL-60185_rb/","check listing")</f>
        <v>check listing</v>
      </c>
      <c r="AB6390" s="5" t="str">
        <f>HYPERLINK("https://propertylookup.dupagecounty.gov/Datalets/Datalet.aspx?UseSearch=no&amp;mode=sales&amp;pin=0410202060","sales record")</f>
        <v>sales record</v>
      </c>
      <c r="AC6390" t="s">
        <v>3</v>
      </c>
      <c r="AD6390">
        <v>41.882671</v>
      </c>
      <c r="AE6390">
        <v>-88.19073899999999</v>
      </c>
      <c r="AF6390" s="5" t="str">
        <f>HYPERLINK("https://www.google.com/maps/search/?api=1&amp;query=41.882671,-88.190739","map")</f>
        <v>map</v>
      </c>
    </row>
    <row r="6391" spans="1:32">
      <c r="A6391" t="s">
        <v>6441</v>
      </c>
      <c r="B6391" t="s">
        <v>13927</v>
      </c>
      <c r="C6391" t="s">
        <v>16015</v>
      </c>
      <c r="D6391" t="s">
        <v>16210</v>
      </c>
      <c r="E6391" t="s">
        <v>16217</v>
      </c>
      <c r="F6391" t="s">
        <v>16220</v>
      </c>
      <c r="G6391" t="s">
        <v>16231</v>
      </c>
      <c r="H6391" t="s">
        <v>16231</v>
      </c>
      <c r="I6391" t="s">
        <v>16366</v>
      </c>
      <c r="J6391" t="s">
        <v>16385</v>
      </c>
      <c r="K6391">
        <v>0.271</v>
      </c>
      <c r="L6391">
        <v>11783</v>
      </c>
      <c r="N6391" t="s">
        <v>16393</v>
      </c>
      <c r="O6391" s="4">
        <v>11944</v>
      </c>
      <c r="P6391" s="4">
        <v>0</v>
      </c>
      <c r="Q6391" s="4">
        <v>11944</v>
      </c>
      <c r="R6391" s="4">
        <v>35832</v>
      </c>
      <c r="S6391" t="s">
        <v>22590</v>
      </c>
      <c r="T6391" s="6">
        <v>44917</v>
      </c>
      <c r="U6391" s="4">
        <v>300000</v>
      </c>
      <c r="V6391" t="s">
        <v>23741</v>
      </c>
      <c r="W6391" t="s">
        <v>27252</v>
      </c>
      <c r="X6391" t="s">
        <v>3</v>
      </c>
      <c r="AA6391" s="5" t="str">
        <f>HYPERLINK("https://www.zillow.com/homes/WOODLAND-CT-WEST-CHICAGO-IL-60185_rb/","check listing")</f>
        <v>check listing</v>
      </c>
      <c r="AB6391" s="5" t="str">
        <f>HYPERLINK("https://propertylookup.dupagecounty.gov/Datalets/Datalet.aspx?UseSearch=no&amp;mode=sales&amp;pin=0410202061","sales record")</f>
        <v>sales record</v>
      </c>
      <c r="AC6391" t="s">
        <v>3</v>
      </c>
      <c r="AD6391">
        <v>41.882951</v>
      </c>
      <c r="AE6391">
        <v>-88.190732</v>
      </c>
      <c r="AF6391" s="5" t="str">
        <f>HYPERLINK("https://www.google.com/maps/search/?api=1&amp;query=41.882951,-88.190732","map")</f>
        <v>map</v>
      </c>
    </row>
    <row r="6392" spans="1:32">
      <c r="A6392" t="s">
        <v>6442</v>
      </c>
      <c r="B6392" t="s">
        <v>13927</v>
      </c>
      <c r="C6392" t="s">
        <v>16015</v>
      </c>
      <c r="D6392" t="s">
        <v>16210</v>
      </c>
      <c r="E6392" t="s">
        <v>16217</v>
      </c>
      <c r="F6392" t="s">
        <v>16220</v>
      </c>
      <c r="G6392" t="s">
        <v>16231</v>
      </c>
      <c r="H6392" t="s">
        <v>16231</v>
      </c>
      <c r="I6392" t="s">
        <v>16366</v>
      </c>
      <c r="J6392" t="s">
        <v>16385</v>
      </c>
      <c r="K6392">
        <v>0.221</v>
      </c>
      <c r="L6392">
        <v>9615</v>
      </c>
      <c r="N6392" t="s">
        <v>16393</v>
      </c>
      <c r="O6392" s="4">
        <v>11944</v>
      </c>
      <c r="P6392" s="4">
        <v>0</v>
      </c>
      <c r="Q6392" s="4">
        <v>11944</v>
      </c>
      <c r="R6392" s="4">
        <v>35832</v>
      </c>
      <c r="S6392" t="s">
        <v>22590</v>
      </c>
      <c r="T6392" s="6">
        <v>44917</v>
      </c>
      <c r="U6392" s="4">
        <v>300000</v>
      </c>
      <c r="V6392" t="s">
        <v>23741</v>
      </c>
      <c r="W6392" t="s">
        <v>27252</v>
      </c>
      <c r="X6392" t="s">
        <v>3</v>
      </c>
      <c r="AA6392" s="5" t="str">
        <f>HYPERLINK("https://www.zillow.com/homes/WOODLAND-CT-WEST-CHICAGO-IL-60185_rb/","check listing")</f>
        <v>check listing</v>
      </c>
      <c r="AB6392" s="5" t="str">
        <f>HYPERLINK("https://propertylookup.dupagecounty.gov/Datalets/Datalet.aspx?UseSearch=no&amp;mode=sales&amp;pin=0410202062","sales record")</f>
        <v>sales record</v>
      </c>
      <c r="AC6392" t="s">
        <v>3</v>
      </c>
      <c r="AD6392">
        <v>41.883117</v>
      </c>
      <c r="AE6392">
        <v>-88.190789</v>
      </c>
      <c r="AF6392" s="5" t="str">
        <f>HYPERLINK("https://www.google.com/maps/search/?api=1&amp;query=41.883117,-88.190789","map")</f>
        <v>map</v>
      </c>
    </row>
    <row r="6393" spans="1:32">
      <c r="A6393" t="s">
        <v>6443</v>
      </c>
      <c r="B6393" t="s">
        <v>13927</v>
      </c>
      <c r="C6393" t="s">
        <v>16015</v>
      </c>
      <c r="D6393" t="s">
        <v>16210</v>
      </c>
      <c r="E6393" t="s">
        <v>16217</v>
      </c>
      <c r="F6393" t="s">
        <v>16220</v>
      </c>
      <c r="G6393" t="s">
        <v>16231</v>
      </c>
      <c r="H6393" t="s">
        <v>16231</v>
      </c>
      <c r="I6393" t="s">
        <v>16366</v>
      </c>
      <c r="J6393" t="s">
        <v>16385</v>
      </c>
      <c r="K6393">
        <v>0.22</v>
      </c>
      <c r="L6393">
        <v>9593</v>
      </c>
      <c r="N6393" t="s">
        <v>16393</v>
      </c>
      <c r="O6393" s="4">
        <v>11944</v>
      </c>
      <c r="P6393" s="4">
        <v>0</v>
      </c>
      <c r="Q6393" s="4">
        <v>11944</v>
      </c>
      <c r="R6393" s="4">
        <v>35832</v>
      </c>
      <c r="S6393" t="s">
        <v>22590</v>
      </c>
      <c r="T6393" s="6">
        <v>44917</v>
      </c>
      <c r="U6393" s="4">
        <v>300000</v>
      </c>
      <c r="V6393" t="s">
        <v>23741</v>
      </c>
      <c r="W6393" t="s">
        <v>27252</v>
      </c>
      <c r="X6393" t="s">
        <v>3</v>
      </c>
      <c r="AA6393" s="5" t="str">
        <f>HYPERLINK("https://www.zillow.com/homes/WOODLAND-CT-WEST-CHICAGO-IL-60185_rb/","check listing")</f>
        <v>check listing</v>
      </c>
      <c r="AB6393" s="5" t="str">
        <f>HYPERLINK("https://propertylookup.dupagecounty.gov/Datalets/Datalet.aspx?UseSearch=no&amp;mode=sales&amp;pin=0410202065","sales record")</f>
        <v>sales record</v>
      </c>
      <c r="AC6393" t="s">
        <v>3</v>
      </c>
      <c r="AD6393">
        <v>41.883597</v>
      </c>
      <c r="AE6393">
        <v>-88.190381</v>
      </c>
      <c r="AF6393" s="5" t="str">
        <f>HYPERLINK("https://www.google.com/maps/search/?api=1&amp;query=41.883597,-88.190381","map")</f>
        <v>map</v>
      </c>
    </row>
    <row r="6394" spans="1:32">
      <c r="A6394" t="s">
        <v>6444</v>
      </c>
      <c r="B6394" t="s">
        <v>13927</v>
      </c>
      <c r="C6394" t="s">
        <v>16015</v>
      </c>
      <c r="D6394" t="s">
        <v>16210</v>
      </c>
      <c r="E6394" t="s">
        <v>16217</v>
      </c>
      <c r="F6394" t="s">
        <v>16220</v>
      </c>
      <c r="G6394" t="s">
        <v>16231</v>
      </c>
      <c r="H6394" t="s">
        <v>16231</v>
      </c>
      <c r="I6394" t="s">
        <v>16366</v>
      </c>
      <c r="J6394" t="s">
        <v>16385</v>
      </c>
      <c r="K6394">
        <v>0.209</v>
      </c>
      <c r="L6394">
        <v>9087</v>
      </c>
      <c r="N6394" t="s">
        <v>16393</v>
      </c>
      <c r="O6394" s="4">
        <v>11944</v>
      </c>
      <c r="P6394" s="4">
        <v>0</v>
      </c>
      <c r="Q6394" s="4">
        <v>11944</v>
      </c>
      <c r="R6394" s="4">
        <v>35832</v>
      </c>
      <c r="S6394" t="s">
        <v>22590</v>
      </c>
      <c r="T6394" s="6">
        <v>44917</v>
      </c>
      <c r="U6394" s="4">
        <v>300000</v>
      </c>
      <c r="V6394" t="s">
        <v>23741</v>
      </c>
      <c r="W6394" t="s">
        <v>27252</v>
      </c>
      <c r="X6394" t="s">
        <v>3</v>
      </c>
      <c r="AA6394" s="5" t="str">
        <f>HYPERLINK("https://www.zillow.com/homes/WOODLAND-CT-WEST-CHICAGO-IL-60185_rb/","check listing")</f>
        <v>check listing</v>
      </c>
      <c r="AB6394" s="5" t="str">
        <f>HYPERLINK("https://propertylookup.dupagecounty.gov/Datalets/Datalet.aspx?UseSearch=no&amp;mode=sales&amp;pin=0410202063","sales record")</f>
        <v>sales record</v>
      </c>
      <c r="AC6394" t="s">
        <v>3</v>
      </c>
      <c r="AD6394">
        <v>41.883463</v>
      </c>
      <c r="AE6394">
        <v>-88.190905</v>
      </c>
      <c r="AF6394" s="5" t="str">
        <f>HYPERLINK("https://www.google.com/maps/search/?api=1&amp;query=41.883463,-88.190905","map")</f>
        <v>map</v>
      </c>
    </row>
    <row r="6395" spans="1:32">
      <c r="A6395" t="s">
        <v>6445</v>
      </c>
      <c r="B6395" t="s">
        <v>13927</v>
      </c>
      <c r="C6395" t="s">
        <v>16015</v>
      </c>
      <c r="D6395" t="s">
        <v>16210</v>
      </c>
      <c r="E6395" t="s">
        <v>16217</v>
      </c>
      <c r="F6395" t="s">
        <v>16220</v>
      </c>
      <c r="G6395" t="s">
        <v>16231</v>
      </c>
      <c r="H6395" t="s">
        <v>16231</v>
      </c>
      <c r="I6395" t="s">
        <v>16366</v>
      </c>
      <c r="J6395" t="s">
        <v>16385</v>
      </c>
      <c r="K6395">
        <v>0.207</v>
      </c>
      <c r="L6395">
        <v>9020</v>
      </c>
      <c r="N6395" t="s">
        <v>16393</v>
      </c>
      <c r="O6395" s="4">
        <v>11944</v>
      </c>
      <c r="P6395" s="4">
        <v>0</v>
      </c>
      <c r="Q6395" s="4">
        <v>11944</v>
      </c>
      <c r="R6395" s="4">
        <v>35832</v>
      </c>
      <c r="S6395" t="s">
        <v>22590</v>
      </c>
      <c r="T6395" s="6">
        <v>44917</v>
      </c>
      <c r="U6395" s="4">
        <v>300000</v>
      </c>
      <c r="V6395" t="s">
        <v>23741</v>
      </c>
      <c r="W6395" t="s">
        <v>27252</v>
      </c>
      <c r="X6395" t="s">
        <v>3</v>
      </c>
      <c r="AA6395" s="5" t="str">
        <f>HYPERLINK("https://www.zillow.com/homes/WOODLAND-CT-WEST-CHICAGO-IL-60185_rb/","check listing")</f>
        <v>check listing</v>
      </c>
      <c r="AB6395" s="5" t="str">
        <f>HYPERLINK("https://propertylookup.dupagecounty.gov/Datalets/Datalet.aspx?UseSearch=no&amp;mode=sales&amp;pin=0410202059","sales record")</f>
        <v>sales record</v>
      </c>
      <c r="AC6395" t="s">
        <v>3</v>
      </c>
      <c r="AD6395">
        <v>41.882412</v>
      </c>
      <c r="AE6395">
        <v>-88.190579</v>
      </c>
      <c r="AF6395" s="5" t="str">
        <f>HYPERLINK("https://www.google.com/maps/search/?api=1&amp;query=41.882412,-88.190579","map")</f>
        <v>map</v>
      </c>
    </row>
    <row r="6396" spans="1:32">
      <c r="A6396" t="s">
        <v>6446</v>
      </c>
      <c r="B6396" t="s">
        <v>13928</v>
      </c>
      <c r="C6396" t="s">
        <v>16015</v>
      </c>
      <c r="D6396" t="s">
        <v>16210</v>
      </c>
      <c r="E6396" t="s">
        <v>16217</v>
      </c>
      <c r="F6396" t="s">
        <v>16220</v>
      </c>
      <c r="G6396" t="s">
        <v>16231</v>
      </c>
      <c r="H6396" t="s">
        <v>16231</v>
      </c>
      <c r="I6396" t="s">
        <v>16366</v>
      </c>
      <c r="J6396" t="s">
        <v>16385</v>
      </c>
      <c r="K6396">
        <v>0.188</v>
      </c>
      <c r="L6396">
        <v>8195</v>
      </c>
      <c r="N6396" t="s">
        <v>16393</v>
      </c>
      <c r="O6396" s="4">
        <v>24524</v>
      </c>
      <c r="P6396" s="4">
        <v>0</v>
      </c>
      <c r="Q6396" s="4">
        <v>24524</v>
      </c>
      <c r="R6396" s="4">
        <v>73572</v>
      </c>
      <c r="S6396" t="s">
        <v>22591</v>
      </c>
      <c r="X6396" t="s">
        <v>3</v>
      </c>
      <c r="AA6396" s="5" t="str">
        <f>HYPERLINK("https://www.zillow.com/homes/205-PARKER-WEST-CHICAGO-IL-60185_rb/","check listing")</f>
        <v>check listing</v>
      </c>
      <c r="AB6396" s="5" t="str">
        <f>HYPERLINK("https://propertylookup.dupagecounty.gov/Datalets/Datalet.aspx?UseSearch=no&amp;mode=sales&amp;pin=0410123010","sales record")</f>
        <v>sales record</v>
      </c>
      <c r="AC6396" t="s">
        <v>27872</v>
      </c>
      <c r="AD6396">
        <v>41.88161</v>
      </c>
      <c r="AE6396">
        <v>-88.201261</v>
      </c>
      <c r="AF6396" s="5" t="str">
        <f>HYPERLINK("https://www.google.com/maps/search/?api=1&amp;query=41.88161,-88.201261","map")</f>
        <v>map</v>
      </c>
    </row>
    <row r="6397" spans="1:32">
      <c r="A6397" t="s">
        <v>6447</v>
      </c>
      <c r="B6397" t="s">
        <v>13929</v>
      </c>
      <c r="C6397" t="s">
        <v>16015</v>
      </c>
      <c r="D6397" t="s">
        <v>16210</v>
      </c>
      <c r="E6397" t="s">
        <v>16217</v>
      </c>
      <c r="F6397" t="s">
        <v>16220</v>
      </c>
      <c r="G6397" t="s">
        <v>16231</v>
      </c>
      <c r="H6397" t="s">
        <v>16231</v>
      </c>
      <c r="I6397" t="s">
        <v>16366</v>
      </c>
      <c r="J6397" t="s">
        <v>16385</v>
      </c>
      <c r="K6397">
        <v>0.07099999999999999</v>
      </c>
      <c r="L6397">
        <v>3104</v>
      </c>
      <c r="N6397" t="s">
        <v>16393</v>
      </c>
      <c r="O6397" s="4">
        <v>4991</v>
      </c>
      <c r="P6397" s="4">
        <v>0</v>
      </c>
      <c r="Q6397" s="4">
        <v>4991</v>
      </c>
      <c r="R6397" s="4">
        <v>14973</v>
      </c>
      <c r="S6397" t="s">
        <v>22592</v>
      </c>
      <c r="X6397" t="s">
        <v>3</v>
      </c>
      <c r="AA6397" s="5" t="str">
        <f>HYPERLINK("https://www.zillow.com/homes/239-ALLEN-AVE-WEST-CHICAGO-IL-60185_rb/","check listing")</f>
        <v>check listing</v>
      </c>
      <c r="AB6397" s="5" t="str">
        <f>HYPERLINK("https://propertylookup.dupagecounty.gov/Datalets/Datalet.aspx?UseSearch=no&amp;mode=sales&amp;pin=0410122010","sales record")</f>
        <v>sales record</v>
      </c>
      <c r="AC6397" t="s">
        <v>27872</v>
      </c>
      <c r="AD6397">
        <v>41.88093</v>
      </c>
      <c r="AE6397">
        <v>-88.20291899999999</v>
      </c>
      <c r="AF6397" s="5" t="str">
        <f>HYPERLINK("https://www.google.com/maps/search/?api=1&amp;query=41.88093,-88.202919","map")</f>
        <v>map</v>
      </c>
    </row>
    <row r="6398" spans="1:32">
      <c r="A6398" t="s">
        <v>6448</v>
      </c>
      <c r="B6398" t="s">
        <v>13930</v>
      </c>
      <c r="C6398" t="s">
        <v>16015</v>
      </c>
      <c r="D6398" t="s">
        <v>16210</v>
      </c>
      <c r="E6398" t="s">
        <v>16217</v>
      </c>
      <c r="F6398" t="s">
        <v>16220</v>
      </c>
      <c r="G6398" t="s">
        <v>16231</v>
      </c>
      <c r="H6398" t="s">
        <v>16231</v>
      </c>
      <c r="I6398" t="s">
        <v>16366</v>
      </c>
      <c r="J6398" t="s">
        <v>16385</v>
      </c>
      <c r="K6398">
        <v>0.07000000000000001</v>
      </c>
      <c r="L6398">
        <v>3043</v>
      </c>
      <c r="N6398" t="s">
        <v>16392</v>
      </c>
      <c r="O6398" s="4">
        <v>5749</v>
      </c>
      <c r="P6398" s="4">
        <v>0</v>
      </c>
      <c r="Q6398" s="4">
        <v>5749</v>
      </c>
      <c r="R6398" s="4">
        <v>17247</v>
      </c>
      <c r="S6398" t="s">
        <v>22593</v>
      </c>
      <c r="T6398" s="6">
        <v>42217</v>
      </c>
      <c r="U6398" s="4">
        <v>2850000</v>
      </c>
      <c r="V6398" t="s">
        <v>23740</v>
      </c>
      <c r="W6398" t="s">
        <v>27253</v>
      </c>
      <c r="X6398" t="s">
        <v>3</v>
      </c>
      <c r="AA6398" s="5" t="str">
        <f>HYPERLINK("https://www.zillow.com/homes/10115-GENEVA-ST-WEST-CHICAGO-IL-60185_rb/","check listing")</f>
        <v>check listing</v>
      </c>
      <c r="AB6398" s="5" t="str">
        <f>HYPERLINK("https://propertylookup.dupagecounty.gov/Datalets/Datalet.aspx?UseSearch=no&amp;mode=sales&amp;pin=0409223009","sales record")</f>
        <v>sales record</v>
      </c>
      <c r="AC6398" t="s">
        <v>27872</v>
      </c>
      <c r="AD6398">
        <v>41.88251</v>
      </c>
      <c r="AE6398">
        <v>-88.20522699999999</v>
      </c>
      <c r="AF6398" s="5" t="str">
        <f>HYPERLINK("https://www.google.com/maps/search/?api=1&amp;query=41.88251,-88.205227","map")</f>
        <v>map</v>
      </c>
    </row>
    <row r="6399" spans="1:32">
      <c r="A6399" t="s">
        <v>6449</v>
      </c>
      <c r="B6399" t="s">
        <v>13931</v>
      </c>
      <c r="C6399" t="s">
        <v>16024</v>
      </c>
      <c r="D6399" t="s">
        <v>16211</v>
      </c>
      <c r="E6399" t="s">
        <v>16218</v>
      </c>
      <c r="F6399" t="s">
        <v>16222</v>
      </c>
      <c r="G6399" t="s">
        <v>16287</v>
      </c>
      <c r="H6399" t="s">
        <v>16287</v>
      </c>
      <c r="I6399" t="s">
        <v>16367</v>
      </c>
      <c r="J6399" t="s">
        <v>16385</v>
      </c>
      <c r="K6399">
        <v>0.282</v>
      </c>
      <c r="L6399">
        <v>12301</v>
      </c>
      <c r="M6399">
        <v>1070</v>
      </c>
      <c r="N6399" t="s">
        <v>16393</v>
      </c>
      <c r="O6399" s="4">
        <v>33921</v>
      </c>
      <c r="P6399" s="4">
        <v>63781</v>
      </c>
      <c r="Q6399" s="4">
        <v>97702</v>
      </c>
      <c r="R6399" s="4">
        <v>293106</v>
      </c>
      <c r="S6399" t="s">
        <v>22594</v>
      </c>
      <c r="T6399" s="6">
        <v>37316</v>
      </c>
      <c r="U6399" s="4">
        <v>220000</v>
      </c>
      <c r="V6399" t="s">
        <v>16232</v>
      </c>
      <c r="W6399" t="s">
        <v>27254</v>
      </c>
      <c r="X6399" t="s">
        <v>3</v>
      </c>
      <c r="AA6399" s="5" t="str">
        <f>HYPERLINK("https://www.zillow.com/homes/155-S-CASS-AVE-WESTMONT-IL-60559_rb/","check listing")</f>
        <v>check listing</v>
      </c>
      <c r="AB6399" s="5" t="str">
        <f>HYPERLINK("https://propertylookup.dupagecounty.gov/Datalets/Datalet.aspx?UseSearch=no&amp;mode=sales&amp;pin=0910306012","sales record")</f>
        <v>sales record</v>
      </c>
      <c r="AC6399" t="s">
        <v>3</v>
      </c>
      <c r="AD6399">
        <v>41.791592</v>
      </c>
      <c r="AE6399">
        <v>-87.97462</v>
      </c>
      <c r="AF6399" s="5" t="str">
        <f>HYPERLINK("https://www.google.com/maps/search/?api=1&amp;query=41.791592,-87.97462","map")</f>
        <v>map</v>
      </c>
    </row>
    <row r="6400" spans="1:32">
      <c r="A6400" t="s">
        <v>6450</v>
      </c>
      <c r="B6400" t="s">
        <v>13932</v>
      </c>
      <c r="C6400" t="s">
        <v>16024</v>
      </c>
      <c r="D6400" t="s">
        <v>16211</v>
      </c>
      <c r="E6400" t="s">
        <v>16218</v>
      </c>
      <c r="F6400" t="s">
        <v>16222</v>
      </c>
      <c r="G6400" t="s">
        <v>16287</v>
      </c>
      <c r="H6400" t="s">
        <v>16287</v>
      </c>
      <c r="I6400" t="s">
        <v>16367</v>
      </c>
      <c r="J6400" t="s">
        <v>16385</v>
      </c>
      <c r="K6400">
        <v>0.282</v>
      </c>
      <c r="L6400">
        <v>12292</v>
      </c>
      <c r="M6400">
        <v>1373</v>
      </c>
      <c r="N6400" t="s">
        <v>16393</v>
      </c>
      <c r="O6400" s="4">
        <v>37688</v>
      </c>
      <c r="P6400" s="4">
        <v>68699</v>
      </c>
      <c r="Q6400" s="4">
        <v>106387</v>
      </c>
      <c r="R6400" s="4">
        <v>319161</v>
      </c>
      <c r="S6400" t="s">
        <v>22594</v>
      </c>
      <c r="T6400" s="6">
        <v>40787</v>
      </c>
      <c r="U6400" s="4">
        <v>280000</v>
      </c>
      <c r="V6400" t="s">
        <v>16232</v>
      </c>
      <c r="W6400" t="s">
        <v>27255</v>
      </c>
      <c r="X6400" t="s">
        <v>3</v>
      </c>
      <c r="AA6400" s="5" t="str">
        <f>HYPERLINK("https://www.zillow.com/homes/147-S-CASS-AVE-WESTMONT-IL-60559_rb/","check listing")</f>
        <v>check listing</v>
      </c>
      <c r="AB6400" s="5" t="str">
        <f>HYPERLINK("https://propertylookup.dupagecounty.gov/Datalets/Datalet.aspx?UseSearch=no&amp;mode=sales&amp;pin=0910306011","sales record")</f>
        <v>sales record</v>
      </c>
      <c r="AC6400" t="s">
        <v>3</v>
      </c>
      <c r="AD6400">
        <v>41.791729</v>
      </c>
      <c r="AE6400">
        <v>-87.974625</v>
      </c>
      <c r="AF6400" s="5" t="str">
        <f>HYPERLINK("https://www.google.com/maps/search/?api=1&amp;query=41.791729,-87.974625","map")</f>
        <v>map</v>
      </c>
    </row>
    <row r="6401" spans="1:32">
      <c r="A6401" t="s">
        <v>6451</v>
      </c>
      <c r="B6401" t="s">
        <v>13933</v>
      </c>
      <c r="C6401" t="s">
        <v>16024</v>
      </c>
      <c r="D6401" t="s">
        <v>16211</v>
      </c>
      <c r="E6401" t="s">
        <v>16218</v>
      </c>
      <c r="F6401" t="s">
        <v>16222</v>
      </c>
      <c r="G6401" t="s">
        <v>16288</v>
      </c>
      <c r="H6401" t="s">
        <v>16288</v>
      </c>
      <c r="I6401" t="s">
        <v>16368</v>
      </c>
      <c r="J6401" t="s">
        <v>16385</v>
      </c>
      <c r="K6401">
        <v>0.115</v>
      </c>
      <c r="L6401">
        <v>5002</v>
      </c>
      <c r="M6401">
        <v>962</v>
      </c>
      <c r="N6401" t="s">
        <v>16393</v>
      </c>
      <c r="O6401" s="4">
        <v>27594</v>
      </c>
      <c r="P6401" s="4">
        <v>43792</v>
      </c>
      <c r="Q6401" s="4">
        <v>71386</v>
      </c>
      <c r="R6401" s="4">
        <v>214158</v>
      </c>
      <c r="S6401" t="s">
        <v>22595</v>
      </c>
      <c r="T6401" s="6">
        <v>43313</v>
      </c>
      <c r="U6401" s="4">
        <v>150000</v>
      </c>
      <c r="V6401" t="s">
        <v>23739</v>
      </c>
      <c r="W6401" t="s">
        <v>27256</v>
      </c>
      <c r="X6401" t="s">
        <v>3</v>
      </c>
      <c r="AA6401" s="5" t="str">
        <f>HYPERLINK("https://www.zillow.com/homes/15-E-QUINCY-ST-WESTMONT-IL-60559_rb/","check listing")</f>
        <v>check listing</v>
      </c>
      <c r="AB6401" s="5" t="str">
        <f>HYPERLINK("https://propertylookup.dupagecounty.gov/Datalets/Datalet.aspx?UseSearch=no&amp;mode=sales&amp;pin=0910303008","sales record")</f>
        <v>sales record</v>
      </c>
      <c r="AC6401" t="s">
        <v>3</v>
      </c>
      <c r="AD6401">
        <v>41.794821</v>
      </c>
      <c r="AE6401">
        <v>-87.974542</v>
      </c>
      <c r="AF6401" s="5" t="str">
        <f>HYPERLINK("https://www.google.com/maps/search/?api=1&amp;query=41.794821,-87.974542","map")</f>
        <v>map</v>
      </c>
    </row>
    <row r="6402" spans="1:32">
      <c r="A6402" t="s">
        <v>6452</v>
      </c>
      <c r="B6402" t="s">
        <v>13934</v>
      </c>
      <c r="C6402" t="s">
        <v>16025</v>
      </c>
      <c r="D6402" t="s">
        <v>16211</v>
      </c>
      <c r="E6402" t="s">
        <v>16218</v>
      </c>
      <c r="F6402" t="s">
        <v>16222</v>
      </c>
      <c r="G6402" t="s">
        <v>16288</v>
      </c>
      <c r="H6402" t="s">
        <v>16288</v>
      </c>
      <c r="I6402" t="s">
        <v>16368</v>
      </c>
      <c r="J6402" t="s">
        <v>16385</v>
      </c>
      <c r="K6402">
        <v>0.092</v>
      </c>
      <c r="L6402">
        <v>4020</v>
      </c>
      <c r="M6402">
        <v>654</v>
      </c>
      <c r="N6402" t="s">
        <v>16393</v>
      </c>
      <c r="O6402" s="4">
        <v>16995</v>
      </c>
      <c r="P6402" s="4">
        <v>28357</v>
      </c>
      <c r="Q6402" s="4">
        <v>45352</v>
      </c>
      <c r="R6402" s="4">
        <v>136056</v>
      </c>
      <c r="S6402" t="s">
        <v>22596</v>
      </c>
      <c r="T6402" s="6">
        <v>35947</v>
      </c>
      <c r="U6402" s="4">
        <v>105730</v>
      </c>
      <c r="X6402" t="s">
        <v>3</v>
      </c>
      <c r="AA6402" s="5" t="str">
        <f>HYPERLINK("https://www.zillow.com/homes/14-W-BURLINGTON-AVE-WESTMONT-IL-605591839_rb/","check listing")</f>
        <v>check listing</v>
      </c>
      <c r="AB6402" s="5" t="str">
        <f>HYPERLINK("https://propertylookup.dupagecounty.gov/Datalets/Datalet.aspx?UseSearch=no&amp;mode=sales&amp;pin=0909222011","sales record")</f>
        <v>sales record</v>
      </c>
      <c r="AC6402" t="s">
        <v>3</v>
      </c>
      <c r="AD6402">
        <v>41.796152</v>
      </c>
      <c r="AE6402">
        <v>-87.97626</v>
      </c>
      <c r="AF6402" s="5" t="str">
        <f>HYPERLINK("https://www.google.com/maps/search/?api=1&amp;query=41.796152,-87.97626","map")</f>
        <v>map</v>
      </c>
    </row>
    <row r="6403" spans="1:32">
      <c r="A6403" t="s">
        <v>6453</v>
      </c>
      <c r="B6403" t="s">
        <v>13935</v>
      </c>
      <c r="C6403" t="s">
        <v>16024</v>
      </c>
      <c r="D6403" t="s">
        <v>16211</v>
      </c>
      <c r="E6403" t="s">
        <v>16217</v>
      </c>
      <c r="F6403" t="s">
        <v>16222</v>
      </c>
      <c r="G6403" t="s">
        <v>16287</v>
      </c>
      <c r="H6403" t="s">
        <v>16287</v>
      </c>
      <c r="I6403" t="s">
        <v>16367</v>
      </c>
      <c r="J6403" t="s">
        <v>16385</v>
      </c>
      <c r="K6403">
        <v>0.403</v>
      </c>
      <c r="L6403">
        <v>17550</v>
      </c>
      <c r="N6403" t="s">
        <v>16392</v>
      </c>
      <c r="O6403" s="4">
        <v>215474</v>
      </c>
      <c r="P6403" s="4">
        <v>0</v>
      </c>
      <c r="Q6403" s="4">
        <v>215474</v>
      </c>
      <c r="R6403" s="4">
        <v>646422</v>
      </c>
      <c r="S6403" t="s">
        <v>22597</v>
      </c>
      <c r="T6403" s="6">
        <v>43952</v>
      </c>
      <c r="U6403" s="4">
        <v>800000</v>
      </c>
      <c r="V6403" t="s">
        <v>23739</v>
      </c>
      <c r="W6403" t="s">
        <v>27257</v>
      </c>
      <c r="X6403" t="s">
        <v>3</v>
      </c>
      <c r="AA6403" s="5" t="str">
        <f>HYPERLINK("https://www.zillow.com/homes/257-N-CASS-AVE-WESTMONT-IL-60559_rb/","check listing")</f>
        <v>check listing</v>
      </c>
      <c r="AB6403" s="5" t="str">
        <f>HYPERLINK("https://propertylookup.dupagecounty.gov/Datalets/Datalet.aspx?UseSearch=no&amp;mode=sales&amp;pin=0910100001","sales record")</f>
        <v>sales record</v>
      </c>
      <c r="AC6403" t="s">
        <v>27872</v>
      </c>
      <c r="AD6403">
        <v>41.802359</v>
      </c>
      <c r="AE6403">
        <v>-87.975183</v>
      </c>
      <c r="AF6403" s="5" t="str">
        <f>HYPERLINK("https://www.google.com/maps/search/?api=1&amp;query=41.802359,-87.975183","map")</f>
        <v>map</v>
      </c>
    </row>
    <row r="6404" spans="1:32">
      <c r="A6404" t="s">
        <v>6454</v>
      </c>
      <c r="B6404" t="s">
        <v>13936</v>
      </c>
      <c r="C6404" t="s">
        <v>16024</v>
      </c>
      <c r="D6404" t="s">
        <v>16211</v>
      </c>
      <c r="E6404" t="s">
        <v>16217</v>
      </c>
      <c r="F6404" t="s">
        <v>16222</v>
      </c>
      <c r="G6404" t="s">
        <v>16287</v>
      </c>
      <c r="H6404" t="s">
        <v>16287</v>
      </c>
      <c r="I6404" t="s">
        <v>16367</v>
      </c>
      <c r="J6404" t="s">
        <v>16385</v>
      </c>
      <c r="K6404">
        <v>0.255</v>
      </c>
      <c r="L6404">
        <v>11097</v>
      </c>
      <c r="N6404" t="s">
        <v>16392</v>
      </c>
      <c r="O6404" s="4">
        <v>27243</v>
      </c>
      <c r="P6404" s="4">
        <v>0</v>
      </c>
      <c r="Q6404" s="4">
        <v>27243</v>
      </c>
      <c r="R6404" s="4">
        <v>81729</v>
      </c>
      <c r="S6404" t="s">
        <v>22598</v>
      </c>
      <c r="T6404" s="6">
        <v>42583</v>
      </c>
      <c r="U6404" s="4">
        <v>112000</v>
      </c>
      <c r="V6404" t="s">
        <v>16232</v>
      </c>
      <c r="W6404" t="s">
        <v>27258</v>
      </c>
      <c r="X6404" t="s">
        <v>3</v>
      </c>
      <c r="AA6404" s="5" t="str">
        <f>HYPERLINK("https://www.zillow.com/homes/303-N-CASS-AVE-WESTMONT-IL-60559_rb/","check listing")</f>
        <v>check listing</v>
      </c>
      <c r="AB6404" s="5" t="str">
        <f>HYPERLINK("https://propertylookup.dupagecounty.gov/Datalets/Datalet.aspx?UseSearch=no&amp;mode=sales&amp;pin=0903308026","sales record")</f>
        <v>sales record</v>
      </c>
      <c r="AC6404" t="s">
        <v>3</v>
      </c>
      <c r="AD6404">
        <v>41.803104</v>
      </c>
      <c r="AE6404">
        <v>-87.975213</v>
      </c>
      <c r="AF6404" s="5" t="str">
        <f>HYPERLINK("https://www.google.com/maps/search/?api=1&amp;query=41.803104,-87.975213","map")</f>
        <v>map</v>
      </c>
    </row>
    <row r="6405" spans="1:32">
      <c r="A6405" t="s">
        <v>6455</v>
      </c>
      <c r="B6405" t="s">
        <v>13937</v>
      </c>
      <c r="C6405" t="s">
        <v>16024</v>
      </c>
      <c r="D6405" t="s">
        <v>16211</v>
      </c>
      <c r="E6405" t="s">
        <v>16217</v>
      </c>
      <c r="F6405" t="s">
        <v>16222</v>
      </c>
      <c r="G6405" t="s">
        <v>16287</v>
      </c>
      <c r="H6405" t="s">
        <v>16287</v>
      </c>
      <c r="I6405" t="s">
        <v>16367</v>
      </c>
      <c r="J6405" t="s">
        <v>16385</v>
      </c>
      <c r="K6405">
        <v>0.241</v>
      </c>
      <c r="L6405">
        <v>10494</v>
      </c>
      <c r="M6405">
        <v>457</v>
      </c>
      <c r="N6405" t="s">
        <v>16392</v>
      </c>
      <c r="O6405" s="4">
        <v>25635</v>
      </c>
      <c r="P6405" s="4">
        <v>0</v>
      </c>
      <c r="Q6405" s="4">
        <v>25635</v>
      </c>
      <c r="R6405" s="4">
        <v>76905</v>
      </c>
      <c r="S6405" t="s">
        <v>22598</v>
      </c>
      <c r="T6405" s="6">
        <v>37773</v>
      </c>
      <c r="U6405" s="4">
        <v>335000</v>
      </c>
      <c r="V6405" t="s">
        <v>23740</v>
      </c>
      <c r="W6405" t="s">
        <v>27259</v>
      </c>
      <c r="X6405" t="s">
        <v>3</v>
      </c>
      <c r="AA6405" s="5" t="str">
        <f>HYPERLINK("https://www.zillow.com/homes/309-N-CASS-AVE-WESTMONT-IL-60559_rb/","check listing")</f>
        <v>check listing</v>
      </c>
      <c r="AB6405" s="5" t="str">
        <f>HYPERLINK("https://propertylookup.dupagecounty.gov/Datalets/Datalet.aspx?UseSearch=no&amp;mode=sales&amp;pin=0903308025","sales record")</f>
        <v>sales record</v>
      </c>
      <c r="AC6405" t="s">
        <v>11</v>
      </c>
      <c r="AD6405">
        <v>41.803301</v>
      </c>
      <c r="AE6405">
        <v>-87.975221</v>
      </c>
      <c r="AF6405" s="5" t="str">
        <f>HYPERLINK("https://www.google.com/maps/search/?api=1&amp;query=41.803301,-87.975221","map")</f>
        <v>map</v>
      </c>
    </row>
    <row r="6406" spans="1:32">
      <c r="A6406" t="s">
        <v>6456</v>
      </c>
      <c r="B6406" t="s">
        <v>13938</v>
      </c>
      <c r="C6406" t="s">
        <v>16024</v>
      </c>
      <c r="D6406" t="s">
        <v>16211</v>
      </c>
      <c r="E6406" t="s">
        <v>16217</v>
      </c>
      <c r="F6406" t="s">
        <v>16222</v>
      </c>
      <c r="G6406" t="s">
        <v>16287</v>
      </c>
      <c r="H6406" t="s">
        <v>16287</v>
      </c>
      <c r="I6406" t="s">
        <v>16367</v>
      </c>
      <c r="J6406" t="s">
        <v>16385</v>
      </c>
      <c r="K6406">
        <v>0.142</v>
      </c>
      <c r="L6406">
        <v>6179</v>
      </c>
      <c r="N6406" t="s">
        <v>16393</v>
      </c>
      <c r="O6406" s="4">
        <v>29038</v>
      </c>
      <c r="P6406" s="4">
        <v>0</v>
      </c>
      <c r="Q6406" s="4">
        <v>29038</v>
      </c>
      <c r="R6406" s="4">
        <v>87114</v>
      </c>
      <c r="S6406" t="s">
        <v>22599</v>
      </c>
      <c r="T6406" s="6">
        <v>37530</v>
      </c>
      <c r="U6406" s="4">
        <v>155000</v>
      </c>
      <c r="V6406" t="s">
        <v>23739</v>
      </c>
      <c r="W6406" t="s">
        <v>27260</v>
      </c>
      <c r="X6406" t="s">
        <v>3</v>
      </c>
      <c r="AA6406" s="5" t="str">
        <f>HYPERLINK("https://www.zillow.com/homes/26-W-BURLINGTON-AVE-WESTMONT-IL-60559_rb/","check listing")</f>
        <v>check listing</v>
      </c>
      <c r="AB6406" s="5" t="str">
        <f>HYPERLINK("https://propertylookup.dupagecounty.gov/Datalets/Datalet.aspx?UseSearch=no&amp;mode=sales&amp;pin=0909221022","sales record")</f>
        <v>sales record</v>
      </c>
      <c r="AC6406" t="s">
        <v>3</v>
      </c>
      <c r="AD6406">
        <v>41.796151</v>
      </c>
      <c r="AE6406">
        <v>-87.976972</v>
      </c>
      <c r="AF6406" s="5" t="str">
        <f>HYPERLINK("https://www.google.com/maps/search/?api=1&amp;query=41.796151,-87.976972","map")</f>
        <v>map</v>
      </c>
    </row>
    <row r="6407" spans="1:32">
      <c r="A6407" t="s">
        <v>6457</v>
      </c>
      <c r="B6407" t="s">
        <v>13939</v>
      </c>
      <c r="C6407" t="s">
        <v>16026</v>
      </c>
      <c r="D6407" t="s">
        <v>16211</v>
      </c>
      <c r="E6407" t="s">
        <v>16217</v>
      </c>
      <c r="F6407" t="s">
        <v>16222</v>
      </c>
      <c r="G6407" t="s">
        <v>16288</v>
      </c>
      <c r="H6407" t="s">
        <v>16288</v>
      </c>
      <c r="I6407" t="s">
        <v>16368</v>
      </c>
      <c r="J6407" t="s">
        <v>16385</v>
      </c>
      <c r="K6407">
        <v>0.106</v>
      </c>
      <c r="L6407">
        <v>4613</v>
      </c>
      <c r="N6407" t="s">
        <v>16392</v>
      </c>
      <c r="O6407" s="4">
        <v>56516</v>
      </c>
      <c r="P6407" s="4">
        <v>0</v>
      </c>
      <c r="Q6407" s="4">
        <v>56516</v>
      </c>
      <c r="R6407" s="4">
        <v>169548</v>
      </c>
      <c r="S6407" t="s">
        <v>22600</v>
      </c>
      <c r="X6407" t="s">
        <v>3</v>
      </c>
      <c r="AA6407" s="5" t="str">
        <f>HYPERLINK("https://www.zillow.com/homes/18-N-CASS-AVE-WESTMONT-IL-605591977_rb/","check listing")</f>
        <v>check listing</v>
      </c>
      <c r="AB6407" s="5" t="str">
        <f>HYPERLINK("https://propertylookup.dupagecounty.gov/Datalets/Datalet.aspx?UseSearch=no&amp;mode=sales&amp;pin=0909222024","sales record")</f>
        <v>sales record</v>
      </c>
      <c r="AC6407" t="s">
        <v>27872</v>
      </c>
      <c r="AD6407">
        <v>41.79651</v>
      </c>
      <c r="AE6407">
        <v>-87.97576599999999</v>
      </c>
      <c r="AF6407" s="5" t="str">
        <f>HYPERLINK("https://www.google.com/maps/search/?api=1&amp;query=41.79651,-87.975766","map")</f>
        <v>map</v>
      </c>
    </row>
    <row r="6408" spans="1:32">
      <c r="A6408" t="s">
        <v>6458</v>
      </c>
      <c r="B6408" t="s">
        <v>13940</v>
      </c>
      <c r="C6408" t="s">
        <v>16027</v>
      </c>
      <c r="D6408" t="s">
        <v>16211</v>
      </c>
      <c r="E6408" t="s">
        <v>16217</v>
      </c>
      <c r="F6408" t="s">
        <v>16222</v>
      </c>
      <c r="G6408" t="s">
        <v>16287</v>
      </c>
      <c r="H6408" t="s">
        <v>16287</v>
      </c>
      <c r="I6408" t="s">
        <v>16367</v>
      </c>
      <c r="J6408" t="s">
        <v>16385</v>
      </c>
      <c r="K6408">
        <v>0.105</v>
      </c>
      <c r="L6408">
        <v>4585</v>
      </c>
      <c r="N6408" t="s">
        <v>16392</v>
      </c>
      <c r="O6408" s="4">
        <v>56398</v>
      </c>
      <c r="P6408" s="4">
        <v>0</v>
      </c>
      <c r="Q6408" s="4">
        <v>56398</v>
      </c>
      <c r="R6408" s="4">
        <v>169194</v>
      </c>
      <c r="S6408" t="s">
        <v>22601</v>
      </c>
      <c r="T6408" s="6">
        <v>31229</v>
      </c>
      <c r="U6408" s="4">
        <v>25000</v>
      </c>
      <c r="X6408" t="s">
        <v>3</v>
      </c>
      <c r="AA6408" s="5" t="str">
        <f>HYPERLINK("https://www.zillow.com/homes/110-S-CASS-AVE-WESTMONT-IL-605591966_rb/","check listing")</f>
        <v>check listing</v>
      </c>
      <c r="AB6408" s="5" t="str">
        <f>HYPERLINK("https://propertylookup.dupagecounty.gov/Datalets/Datalet.aspx?UseSearch=no&amp;mode=sales&amp;pin=0909414013","sales record")</f>
        <v>sales record</v>
      </c>
      <c r="AC6408" t="s">
        <v>27872</v>
      </c>
      <c r="AD6408">
        <v>41.793289</v>
      </c>
      <c r="AE6408">
        <v>-87.97565299999999</v>
      </c>
      <c r="AF6408" s="5" t="str">
        <f>HYPERLINK("https://www.google.com/maps/search/?api=1&amp;query=41.793289,-87.975653","map")</f>
        <v>map</v>
      </c>
    </row>
    <row r="6409" spans="1:32">
      <c r="A6409" t="s">
        <v>6459</v>
      </c>
      <c r="B6409" t="s">
        <v>13941</v>
      </c>
      <c r="C6409" t="s">
        <v>16024</v>
      </c>
      <c r="D6409" t="s">
        <v>16211</v>
      </c>
      <c r="E6409" t="s">
        <v>16217</v>
      </c>
      <c r="F6409" t="s">
        <v>16222</v>
      </c>
      <c r="G6409" t="s">
        <v>16288</v>
      </c>
      <c r="H6409" t="s">
        <v>16288</v>
      </c>
      <c r="I6409" t="s">
        <v>16368</v>
      </c>
      <c r="J6409" t="s">
        <v>16385</v>
      </c>
      <c r="K6409">
        <v>0.105</v>
      </c>
      <c r="L6409">
        <v>4574</v>
      </c>
      <c r="N6409" t="s">
        <v>16392</v>
      </c>
      <c r="O6409" s="4">
        <v>55929</v>
      </c>
      <c r="P6409" s="4">
        <v>0</v>
      </c>
      <c r="Q6409" s="4">
        <v>55929</v>
      </c>
      <c r="R6409" s="4">
        <v>167787</v>
      </c>
      <c r="S6409" t="s">
        <v>22602</v>
      </c>
      <c r="X6409" t="s">
        <v>3</v>
      </c>
      <c r="AA6409" s="5" t="str">
        <f>HYPERLINK("https://www.zillow.com/homes/128-N-CASS-AVE-WESTMONT-IL-60559_rb/","check listing")</f>
        <v>check listing</v>
      </c>
      <c r="AB6409" s="5" t="str">
        <f>HYPERLINK("https://propertylookup.dupagecounty.gov/Datalets/Datalet.aspx?UseSearch=no&amp;mode=sales&amp;pin=0909215017","sales record")</f>
        <v>sales record</v>
      </c>
      <c r="AC6409" t="s">
        <v>3</v>
      </c>
      <c r="AD6409">
        <v>41.798867</v>
      </c>
      <c r="AE6409">
        <v>-87.97585100000001</v>
      </c>
      <c r="AF6409" s="5" t="str">
        <f>HYPERLINK("https://www.google.com/maps/search/?api=1&amp;query=41.798867,-87.975851","map")</f>
        <v>map</v>
      </c>
    </row>
    <row r="6410" spans="1:32">
      <c r="A6410" t="s">
        <v>6460</v>
      </c>
      <c r="B6410" t="s">
        <v>13942</v>
      </c>
      <c r="C6410" t="s">
        <v>16024</v>
      </c>
      <c r="D6410" t="s">
        <v>16211</v>
      </c>
      <c r="E6410" t="s">
        <v>16217</v>
      </c>
      <c r="F6410" t="s">
        <v>16222</v>
      </c>
      <c r="G6410" t="s">
        <v>16288</v>
      </c>
      <c r="H6410" t="s">
        <v>16288</v>
      </c>
      <c r="I6410" t="s">
        <v>16368</v>
      </c>
      <c r="J6410" t="s">
        <v>16385</v>
      </c>
      <c r="K6410">
        <v>0.105</v>
      </c>
      <c r="L6410">
        <v>4570</v>
      </c>
      <c r="N6410" t="s">
        <v>16392</v>
      </c>
      <c r="O6410" s="4">
        <v>55929</v>
      </c>
      <c r="P6410" s="4">
        <v>0</v>
      </c>
      <c r="Q6410" s="4">
        <v>55929</v>
      </c>
      <c r="R6410" s="4">
        <v>167787</v>
      </c>
      <c r="S6410" t="s">
        <v>22603</v>
      </c>
      <c r="T6410" s="6">
        <v>44862</v>
      </c>
      <c r="U6410" s="4">
        <v>325000</v>
      </c>
      <c r="V6410" t="s">
        <v>23739</v>
      </c>
      <c r="W6410" t="s">
        <v>27261</v>
      </c>
      <c r="X6410" t="s">
        <v>3</v>
      </c>
      <c r="AA6410" s="5" t="str">
        <f>HYPERLINK("https://www.zillow.com/homes/134-N-CASS-AVE-WESTMONT-IL-60559_rb/","check listing")</f>
        <v>check listing</v>
      </c>
      <c r="AB6410" s="5" t="str">
        <f>HYPERLINK("https://propertylookup.dupagecounty.gov/Datalets/Datalet.aspx?UseSearch=no&amp;mode=sales&amp;pin=0909215014","sales record")</f>
        <v>sales record</v>
      </c>
      <c r="AC6410" t="s">
        <v>27872</v>
      </c>
      <c r="AD6410">
        <v>41.799114</v>
      </c>
      <c r="AE6410">
        <v>-87.97586</v>
      </c>
      <c r="AF6410" s="5" t="str">
        <f>HYPERLINK("https://www.google.com/maps/search/?api=1&amp;query=41.799114,-87.97586","map")</f>
        <v>map</v>
      </c>
    </row>
    <row r="6411" spans="1:32">
      <c r="A6411" t="s">
        <v>6461</v>
      </c>
      <c r="B6411" t="s">
        <v>13943</v>
      </c>
      <c r="C6411" t="s">
        <v>16024</v>
      </c>
      <c r="D6411" t="s">
        <v>16211</v>
      </c>
      <c r="E6411" t="s">
        <v>16217</v>
      </c>
      <c r="F6411" t="s">
        <v>16222</v>
      </c>
      <c r="G6411" t="s">
        <v>16287</v>
      </c>
      <c r="H6411" t="s">
        <v>16287</v>
      </c>
      <c r="I6411" t="s">
        <v>16367</v>
      </c>
      <c r="J6411" t="s">
        <v>16385</v>
      </c>
      <c r="K6411">
        <v>0.105</v>
      </c>
      <c r="L6411">
        <v>4559</v>
      </c>
      <c r="M6411">
        <v>1514</v>
      </c>
      <c r="N6411" t="s">
        <v>16392</v>
      </c>
      <c r="O6411" s="4">
        <v>55905</v>
      </c>
      <c r="P6411" s="4">
        <v>0</v>
      </c>
      <c r="Q6411" s="4">
        <v>55905</v>
      </c>
      <c r="R6411" s="4">
        <v>167715</v>
      </c>
      <c r="S6411" t="s">
        <v>22604</v>
      </c>
      <c r="X6411" t="s">
        <v>3</v>
      </c>
      <c r="AA6411" s="5" t="str">
        <f>HYPERLINK("https://www.zillow.com/homes/200-N-CASS-AVE-WESTMONT-IL-60559_rb/","check listing")</f>
        <v>check listing</v>
      </c>
      <c r="AB6411" s="5" t="str">
        <f>HYPERLINK("https://propertylookup.dupagecounty.gov/Datalets/Datalet.aspx?UseSearch=no&amp;mode=sales&amp;pin=0909211038","sales record")</f>
        <v>sales record</v>
      </c>
      <c r="AC6411" t="s">
        <v>27871</v>
      </c>
      <c r="AD6411">
        <v>41.799707</v>
      </c>
      <c r="AE6411">
        <v>-87.975881</v>
      </c>
      <c r="AF6411" s="5" t="str">
        <f>HYPERLINK("https://www.google.com/maps/search/?api=1&amp;query=41.799707,-87.975881","map")</f>
        <v>map</v>
      </c>
    </row>
    <row r="6412" spans="1:32">
      <c r="A6412" t="s">
        <v>6462</v>
      </c>
      <c r="B6412" t="s">
        <v>13944</v>
      </c>
      <c r="C6412" t="s">
        <v>16028</v>
      </c>
      <c r="D6412" t="s">
        <v>16211</v>
      </c>
      <c r="E6412" t="s">
        <v>16217</v>
      </c>
      <c r="F6412" t="s">
        <v>16222</v>
      </c>
      <c r="G6412" t="s">
        <v>16287</v>
      </c>
      <c r="H6412" t="s">
        <v>16287</v>
      </c>
      <c r="I6412" t="s">
        <v>16367</v>
      </c>
      <c r="J6412" t="s">
        <v>16385</v>
      </c>
      <c r="K6412">
        <v>0.104</v>
      </c>
      <c r="L6412">
        <v>4544</v>
      </c>
      <c r="N6412" t="s">
        <v>16392</v>
      </c>
      <c r="O6412" s="4">
        <v>53170</v>
      </c>
      <c r="P6412" s="4">
        <v>0</v>
      </c>
      <c r="Q6412" s="4">
        <v>53170</v>
      </c>
      <c r="R6412" s="4">
        <v>159510</v>
      </c>
      <c r="S6412" t="s">
        <v>22605</v>
      </c>
      <c r="T6412" s="6">
        <v>43040</v>
      </c>
      <c r="U6412" s="4">
        <v>440000</v>
      </c>
      <c r="V6412" t="s">
        <v>23739</v>
      </c>
      <c r="W6412" t="s">
        <v>27262</v>
      </c>
      <c r="X6412" t="s">
        <v>3</v>
      </c>
      <c r="AA6412" s="5" t="str">
        <f>HYPERLINK("https://www.zillow.com/homes/218-N-CASS-AVE-WESTMONT-IL-605591706_rb/","check listing")</f>
        <v>check listing</v>
      </c>
      <c r="AB6412" s="5" t="str">
        <f>HYPERLINK("https://propertylookup.dupagecounty.gov/Datalets/Datalet.aspx?UseSearch=no&amp;mode=sales&amp;pin=0909211029","sales record")</f>
        <v>sales record</v>
      </c>
      <c r="AC6412" t="s">
        <v>27872</v>
      </c>
      <c r="AD6412">
        <v>41.800612</v>
      </c>
      <c r="AE6412">
        <v>-87.975914</v>
      </c>
      <c r="AF6412" s="5" t="str">
        <f>HYPERLINK("https://www.google.com/maps/search/?api=1&amp;query=41.800612,-87.975914","map")</f>
        <v>map</v>
      </c>
    </row>
    <row r="6413" spans="1:32">
      <c r="A6413" t="s">
        <v>6463</v>
      </c>
      <c r="B6413" t="s">
        <v>13945</v>
      </c>
      <c r="C6413" t="s">
        <v>16024</v>
      </c>
      <c r="D6413" t="s">
        <v>16211</v>
      </c>
      <c r="E6413" t="s">
        <v>16217</v>
      </c>
      <c r="F6413" t="s">
        <v>16222</v>
      </c>
      <c r="G6413" t="s">
        <v>16287</v>
      </c>
      <c r="H6413" t="s">
        <v>16287</v>
      </c>
      <c r="I6413" t="s">
        <v>16367</v>
      </c>
      <c r="J6413" t="s">
        <v>16385</v>
      </c>
      <c r="K6413">
        <v>0.104</v>
      </c>
      <c r="L6413">
        <v>4540</v>
      </c>
      <c r="N6413" t="s">
        <v>16392</v>
      </c>
      <c r="O6413" s="4">
        <v>55424</v>
      </c>
      <c r="P6413" s="4">
        <v>0</v>
      </c>
      <c r="Q6413" s="4">
        <v>55424</v>
      </c>
      <c r="R6413" s="4">
        <v>166272</v>
      </c>
      <c r="S6413" t="s">
        <v>22606</v>
      </c>
      <c r="T6413" s="6">
        <v>40969</v>
      </c>
      <c r="U6413" s="4">
        <v>790000</v>
      </c>
      <c r="V6413" t="s">
        <v>23740</v>
      </c>
      <c r="W6413" t="s">
        <v>27263</v>
      </c>
      <c r="X6413" t="s">
        <v>3</v>
      </c>
      <c r="AA6413" s="5" t="str">
        <f>HYPERLINK("https://www.zillow.com/homes/226-N-CASS-AVE-WESTMONT-IL-60559_rb/","check listing")</f>
        <v>check listing</v>
      </c>
      <c r="AB6413" s="5" t="str">
        <f>HYPERLINK("https://propertylookup.dupagecounty.gov/Datalets/Datalet.aspx?UseSearch=no&amp;mode=sales&amp;pin=0909211026","sales record")</f>
        <v>sales record</v>
      </c>
      <c r="AC6413" t="s">
        <v>27872</v>
      </c>
      <c r="AD6413">
        <v>41.800859</v>
      </c>
      <c r="AE6413">
        <v>-87.97592299999999</v>
      </c>
      <c r="AF6413" s="5" t="str">
        <f>HYPERLINK("https://www.google.com/maps/search/?api=1&amp;query=41.800859,-87.975923","map")</f>
        <v>map</v>
      </c>
    </row>
    <row r="6414" spans="1:32">
      <c r="A6414" t="s">
        <v>6464</v>
      </c>
      <c r="B6414" t="s">
        <v>13945</v>
      </c>
      <c r="C6414" t="s">
        <v>16024</v>
      </c>
      <c r="D6414" t="s">
        <v>16211</v>
      </c>
      <c r="E6414" t="s">
        <v>16217</v>
      </c>
      <c r="F6414" t="s">
        <v>16222</v>
      </c>
      <c r="G6414" t="s">
        <v>16287</v>
      </c>
      <c r="H6414" t="s">
        <v>16287</v>
      </c>
      <c r="I6414" t="s">
        <v>16367</v>
      </c>
      <c r="J6414" t="s">
        <v>16385</v>
      </c>
      <c r="K6414">
        <v>0.104</v>
      </c>
      <c r="L6414">
        <v>4540</v>
      </c>
      <c r="N6414" t="s">
        <v>16392</v>
      </c>
      <c r="O6414" s="4">
        <v>55470</v>
      </c>
      <c r="P6414" s="4">
        <v>0</v>
      </c>
      <c r="Q6414" s="4">
        <v>55470</v>
      </c>
      <c r="R6414" s="4">
        <v>166410</v>
      </c>
      <c r="S6414" t="s">
        <v>22606</v>
      </c>
      <c r="X6414" t="s">
        <v>3</v>
      </c>
      <c r="AA6414" s="5" t="str">
        <f>HYPERLINK("https://www.zillow.com/homes/226-N-CASS-AVE-WESTMONT-IL-60559_rb/","check listing")</f>
        <v>check listing</v>
      </c>
      <c r="AB6414" s="5" t="str">
        <f>HYPERLINK("https://propertylookup.dupagecounty.gov/Datalets/Datalet.aspx?UseSearch=no&amp;mode=sales&amp;pin=0909211028","sales record")</f>
        <v>sales record</v>
      </c>
      <c r="AC6414" t="s">
        <v>27872</v>
      </c>
      <c r="AD6414">
        <v>41.800694</v>
      </c>
      <c r="AE6414">
        <v>-87.975917</v>
      </c>
      <c r="AF6414" s="5" t="str">
        <f>HYPERLINK("https://www.google.com/maps/search/?api=1&amp;query=41.800694,-87.975917","map")</f>
        <v>map</v>
      </c>
    </row>
    <row r="6415" spans="1:32">
      <c r="A6415" t="s">
        <v>6465</v>
      </c>
      <c r="B6415" t="s">
        <v>13946</v>
      </c>
      <c r="C6415" t="s">
        <v>16024</v>
      </c>
      <c r="D6415" t="s">
        <v>16211</v>
      </c>
      <c r="E6415" t="s">
        <v>16217</v>
      </c>
      <c r="F6415" t="s">
        <v>16222</v>
      </c>
      <c r="G6415" t="s">
        <v>16287</v>
      </c>
      <c r="H6415" t="s">
        <v>16287</v>
      </c>
      <c r="I6415" t="s">
        <v>16367</v>
      </c>
      <c r="J6415" t="s">
        <v>16385</v>
      </c>
      <c r="K6415">
        <v>0.104</v>
      </c>
      <c r="L6415">
        <v>4533</v>
      </c>
      <c r="M6415">
        <v>302</v>
      </c>
      <c r="N6415" t="s">
        <v>16392</v>
      </c>
      <c r="O6415" s="4">
        <v>55424</v>
      </c>
      <c r="P6415" s="4">
        <v>0</v>
      </c>
      <c r="Q6415" s="4">
        <v>55424</v>
      </c>
      <c r="R6415" s="4">
        <v>166272</v>
      </c>
      <c r="S6415" t="s">
        <v>22607</v>
      </c>
      <c r="T6415" s="6">
        <v>44754</v>
      </c>
      <c r="U6415" s="4">
        <v>425000</v>
      </c>
      <c r="V6415" t="s">
        <v>23739</v>
      </c>
      <c r="W6415" t="s">
        <v>27264</v>
      </c>
      <c r="X6415" t="s">
        <v>3</v>
      </c>
      <c r="AA6415" s="5" t="str">
        <f>HYPERLINK("https://www.zillow.com/homes/23638-CASS-AVE-WESTMONT-IL-60559_rb/","check listing")</f>
        <v>check listing</v>
      </c>
      <c r="AB6415" s="5" t="str">
        <f>HYPERLINK("https://propertylookup.dupagecounty.gov/Datalets/Datalet.aspx?UseSearch=no&amp;mode=sales&amp;pin=0909211021","sales record")</f>
        <v>sales record</v>
      </c>
      <c r="AC6415" t="s">
        <v>27871</v>
      </c>
      <c r="AD6415">
        <v>41.80127</v>
      </c>
      <c r="AE6415">
        <v>-87.975937</v>
      </c>
      <c r="AF6415" s="5" t="str">
        <f>HYPERLINK("https://www.google.com/maps/search/?api=1&amp;query=41.80127,-87.975937","map")</f>
        <v>map</v>
      </c>
    </row>
    <row r="6416" spans="1:32">
      <c r="A6416" t="s">
        <v>6466</v>
      </c>
      <c r="B6416" t="s">
        <v>13947</v>
      </c>
      <c r="C6416" t="s">
        <v>16024</v>
      </c>
      <c r="D6416" t="s">
        <v>16211</v>
      </c>
      <c r="E6416" t="s">
        <v>16217</v>
      </c>
      <c r="F6416" t="s">
        <v>16222</v>
      </c>
      <c r="G6416" t="s">
        <v>16287</v>
      </c>
      <c r="H6416" t="s">
        <v>16287</v>
      </c>
      <c r="I6416" t="s">
        <v>16367</v>
      </c>
      <c r="J6416" t="s">
        <v>16385</v>
      </c>
      <c r="K6416">
        <v>0.103</v>
      </c>
      <c r="L6416">
        <v>4500</v>
      </c>
      <c r="N6416" t="s">
        <v>16392</v>
      </c>
      <c r="O6416" s="4">
        <v>55248</v>
      </c>
      <c r="P6416" s="4">
        <v>0</v>
      </c>
      <c r="Q6416" s="4">
        <v>55248</v>
      </c>
      <c r="R6416" s="4">
        <v>165744</v>
      </c>
      <c r="S6416" t="s">
        <v>22608</v>
      </c>
      <c r="T6416" s="6">
        <v>41000</v>
      </c>
      <c r="U6416" s="4">
        <v>423750</v>
      </c>
      <c r="V6416" t="s">
        <v>23739</v>
      </c>
      <c r="W6416" t="s">
        <v>27265</v>
      </c>
      <c r="X6416" t="s">
        <v>3</v>
      </c>
      <c r="AA6416" s="5" t="str">
        <f>HYPERLINK("https://www.zillow.com/homes/203-N-CASS-AVE-WESTMONT-IL-60559_rb/","check listing")</f>
        <v>check listing</v>
      </c>
      <c r="AB6416" s="5" t="str">
        <f>HYPERLINK("https://propertylookup.dupagecounty.gov/Datalets/Datalet.aspx?UseSearch=no&amp;mode=sales&amp;pin=0910100024","sales record")</f>
        <v>sales record</v>
      </c>
      <c r="AC6416" t="s">
        <v>27872</v>
      </c>
      <c r="AD6416">
        <v>41.799722</v>
      </c>
      <c r="AE6416">
        <v>-87.975086</v>
      </c>
      <c r="AF6416" s="5" t="str">
        <f>HYPERLINK("https://www.google.com/maps/search/?api=1&amp;query=41.799722,-87.975086","map")</f>
        <v>map</v>
      </c>
    </row>
    <row r="6417" spans="1:32">
      <c r="A6417" t="s">
        <v>6467</v>
      </c>
      <c r="B6417" t="s">
        <v>13948</v>
      </c>
      <c r="C6417" t="s">
        <v>16029</v>
      </c>
      <c r="D6417" t="s">
        <v>16211</v>
      </c>
      <c r="E6417" t="s">
        <v>16217</v>
      </c>
      <c r="F6417" t="s">
        <v>16222</v>
      </c>
      <c r="G6417" t="s">
        <v>16288</v>
      </c>
      <c r="H6417" t="s">
        <v>16288</v>
      </c>
      <c r="I6417" t="s">
        <v>16368</v>
      </c>
      <c r="J6417" t="s">
        <v>16385</v>
      </c>
      <c r="K6417">
        <v>0.103</v>
      </c>
      <c r="L6417">
        <v>4500</v>
      </c>
      <c r="N6417" t="s">
        <v>16392</v>
      </c>
      <c r="O6417" s="4">
        <v>55248</v>
      </c>
      <c r="P6417" s="4">
        <v>0</v>
      </c>
      <c r="Q6417" s="4">
        <v>55248</v>
      </c>
      <c r="R6417" s="4">
        <v>165744</v>
      </c>
      <c r="S6417" t="s">
        <v>22609</v>
      </c>
      <c r="X6417" t="s">
        <v>3</v>
      </c>
      <c r="AA6417" s="5" t="str">
        <f>HYPERLINK("https://www.zillow.com/homes/39-N-CASS-AVE-WESTMONT-IL-605591601_rb/","check listing")</f>
        <v>check listing</v>
      </c>
      <c r="AB6417" s="5" t="str">
        <f>HYPERLINK("https://propertylookup.dupagecounty.gov/Datalets/Datalet.aspx?UseSearch=no&amp;mode=sales&amp;pin=0910112003","sales record")</f>
        <v>sales record</v>
      </c>
      <c r="AC6417" t="s">
        <v>27872</v>
      </c>
      <c r="AD6417">
        <v>41.797418</v>
      </c>
      <c r="AE6417">
        <v>-87.97499999999999</v>
      </c>
      <c r="AF6417" s="5" t="str">
        <f>HYPERLINK("https://www.google.com/maps/search/?api=1&amp;query=41.797418,-87.975","map")</f>
        <v>map</v>
      </c>
    </row>
    <row r="6418" spans="1:32">
      <c r="A6418" t="s">
        <v>6468</v>
      </c>
      <c r="B6418" t="s">
        <v>13949</v>
      </c>
      <c r="C6418" t="s">
        <v>16024</v>
      </c>
      <c r="D6418" t="s">
        <v>16211</v>
      </c>
      <c r="E6418" t="s">
        <v>16217</v>
      </c>
      <c r="F6418" t="s">
        <v>16222</v>
      </c>
      <c r="G6418" t="s">
        <v>16287</v>
      </c>
      <c r="H6418" t="s">
        <v>16287</v>
      </c>
      <c r="I6418" t="s">
        <v>16367</v>
      </c>
      <c r="J6418" t="s">
        <v>16385</v>
      </c>
      <c r="K6418">
        <v>0.103</v>
      </c>
      <c r="L6418">
        <v>4500</v>
      </c>
      <c r="M6418">
        <v>931</v>
      </c>
      <c r="N6418" t="s">
        <v>16392</v>
      </c>
      <c r="O6418" s="4">
        <v>47654</v>
      </c>
      <c r="P6418" s="4">
        <v>0</v>
      </c>
      <c r="Q6418" s="4">
        <v>47654</v>
      </c>
      <c r="R6418" s="4">
        <v>142962</v>
      </c>
      <c r="S6418" t="s">
        <v>22610</v>
      </c>
      <c r="T6418" s="6">
        <v>45258</v>
      </c>
      <c r="U6418" s="4">
        <v>265000</v>
      </c>
      <c r="V6418" t="s">
        <v>16232</v>
      </c>
      <c r="W6418" t="s">
        <v>27266</v>
      </c>
      <c r="X6418" t="s">
        <v>3</v>
      </c>
      <c r="AA6418" s="5" t="str">
        <f>HYPERLINK("https://www.zillow.com/homes/235-N-CASS-AVE-WESTMONT-IL-60559_rb/","check listing")</f>
        <v>check listing</v>
      </c>
      <c r="AB6418" s="5" t="str">
        <f>HYPERLINK("https://propertylookup.dupagecounty.gov/Datalets/Datalet.aspx?UseSearch=no&amp;mode=sales&amp;pin=0910100010","sales record")</f>
        <v>sales record</v>
      </c>
      <c r="AC6418" t="s">
        <v>11</v>
      </c>
      <c r="AD6418">
        <v>41.801121</v>
      </c>
      <c r="AE6418">
        <v>-87.975137</v>
      </c>
      <c r="AF6418" s="5" t="str">
        <f>HYPERLINK("https://www.google.com/maps/search/?api=1&amp;query=41.801121,-87.975137","map")</f>
        <v>map</v>
      </c>
    </row>
    <row r="6419" spans="1:32">
      <c r="A6419" t="s">
        <v>6469</v>
      </c>
      <c r="B6419" t="s">
        <v>13950</v>
      </c>
      <c r="C6419" t="s">
        <v>16024</v>
      </c>
      <c r="D6419" t="s">
        <v>16211</v>
      </c>
      <c r="E6419" t="s">
        <v>16217</v>
      </c>
      <c r="F6419" t="s">
        <v>16222</v>
      </c>
      <c r="G6419" t="s">
        <v>16287</v>
      </c>
      <c r="H6419" t="s">
        <v>16287</v>
      </c>
      <c r="I6419" t="s">
        <v>16367</v>
      </c>
      <c r="J6419" t="s">
        <v>16385</v>
      </c>
      <c r="K6419">
        <v>0.103</v>
      </c>
      <c r="L6419">
        <v>4500</v>
      </c>
      <c r="N6419" t="s">
        <v>16392</v>
      </c>
      <c r="O6419" s="4">
        <v>55248</v>
      </c>
      <c r="P6419" s="4">
        <v>0</v>
      </c>
      <c r="Q6419" s="4">
        <v>55248</v>
      </c>
      <c r="R6419" s="4">
        <v>165744</v>
      </c>
      <c r="S6419" t="s">
        <v>22611</v>
      </c>
      <c r="T6419" s="6">
        <v>35156</v>
      </c>
      <c r="U6419" s="4">
        <v>235000</v>
      </c>
      <c r="X6419" t="s">
        <v>3</v>
      </c>
      <c r="AA6419" s="5" t="str">
        <f>HYPERLINK("https://www.zillow.com/homes/223-N-CASS-AVE-WESTMONT-IL-60559_rb/","check listing")</f>
        <v>check listing</v>
      </c>
      <c r="AB6419" s="5" t="str">
        <f>HYPERLINK("https://propertylookup.dupagecounty.gov/Datalets/Datalet.aspx?UseSearch=no&amp;mode=sales&amp;pin=0910100014","sales record")</f>
        <v>sales record</v>
      </c>
      <c r="AC6419" t="s">
        <v>3</v>
      </c>
      <c r="AD6419">
        <v>41.80071</v>
      </c>
      <c r="AE6419">
        <v>-87.975122</v>
      </c>
      <c r="AF6419" s="5" t="str">
        <f>HYPERLINK("https://www.google.com/maps/search/?api=1&amp;query=41.80071,-87.975122","map")</f>
        <v>map</v>
      </c>
    </row>
    <row r="6420" spans="1:32">
      <c r="A6420" t="s">
        <v>6470</v>
      </c>
      <c r="B6420" t="s">
        <v>13951</v>
      </c>
      <c r="C6420" t="s">
        <v>16024</v>
      </c>
      <c r="D6420" t="s">
        <v>16211</v>
      </c>
      <c r="E6420" t="s">
        <v>16217</v>
      </c>
      <c r="F6420" t="s">
        <v>16222</v>
      </c>
      <c r="G6420" t="s">
        <v>16288</v>
      </c>
      <c r="H6420" t="s">
        <v>16288</v>
      </c>
      <c r="I6420" t="s">
        <v>16368</v>
      </c>
      <c r="J6420" t="s">
        <v>16385</v>
      </c>
      <c r="K6420">
        <v>0.103</v>
      </c>
      <c r="L6420">
        <v>4500</v>
      </c>
      <c r="N6420" t="s">
        <v>16392</v>
      </c>
      <c r="O6420" s="4">
        <v>55248</v>
      </c>
      <c r="P6420" s="4">
        <v>0</v>
      </c>
      <c r="Q6420" s="4">
        <v>55248</v>
      </c>
      <c r="R6420" s="4">
        <v>165744</v>
      </c>
      <c r="S6420" t="s">
        <v>22612</v>
      </c>
      <c r="X6420" t="s">
        <v>3</v>
      </c>
      <c r="AA6420" s="5" t="str">
        <f>HYPERLINK("https://www.zillow.com/homes/2931-N-CASS-AVE-WESTMONT-IL-60559_rb/","check listing")</f>
        <v>check listing</v>
      </c>
      <c r="AB6420" s="5" t="str">
        <f>HYPERLINK("https://propertylookup.dupagecounty.gov/Datalets/Datalet.aspx?UseSearch=no&amp;mode=sales&amp;pin=0910112007","sales record")</f>
        <v>sales record</v>
      </c>
      <c r="AC6420" t="s">
        <v>27872</v>
      </c>
      <c r="AD6420">
        <v>41.797007</v>
      </c>
      <c r="AE6420">
        <v>-87.974985</v>
      </c>
      <c r="AF6420" s="5" t="str">
        <f>HYPERLINK("https://www.google.com/maps/search/?api=1&amp;query=41.797007,-87.974985","map")</f>
        <v>map</v>
      </c>
    </row>
    <row r="6421" spans="1:32">
      <c r="A6421" t="s">
        <v>6471</v>
      </c>
      <c r="B6421" t="s">
        <v>13952</v>
      </c>
      <c r="C6421" t="s">
        <v>16024</v>
      </c>
      <c r="D6421" t="s">
        <v>16211</v>
      </c>
      <c r="E6421" t="s">
        <v>16217</v>
      </c>
      <c r="F6421" t="s">
        <v>16222</v>
      </c>
      <c r="G6421" t="s">
        <v>16287</v>
      </c>
      <c r="H6421" t="s">
        <v>16287</v>
      </c>
      <c r="I6421" t="s">
        <v>16367</v>
      </c>
      <c r="J6421" t="s">
        <v>16385</v>
      </c>
      <c r="K6421">
        <v>0.103</v>
      </c>
      <c r="L6421">
        <v>4500</v>
      </c>
      <c r="N6421" t="s">
        <v>16392</v>
      </c>
      <c r="O6421" s="4">
        <v>47654</v>
      </c>
      <c r="P6421" s="4">
        <v>0</v>
      </c>
      <c r="Q6421" s="4">
        <v>47654</v>
      </c>
      <c r="R6421" s="4">
        <v>142962</v>
      </c>
      <c r="S6421" t="s">
        <v>22610</v>
      </c>
      <c r="T6421" s="6">
        <v>45258</v>
      </c>
      <c r="U6421" s="4">
        <v>265000</v>
      </c>
      <c r="V6421" t="s">
        <v>16232</v>
      </c>
      <c r="W6421" t="s">
        <v>27266</v>
      </c>
      <c r="X6421" t="s">
        <v>3</v>
      </c>
      <c r="AA6421" s="5" t="str">
        <f>HYPERLINK("https://www.zillow.com/homes/233-N-CASS-AVE-WESTMONT-IL-60559_rb/","check listing")</f>
        <v>check listing</v>
      </c>
      <c r="AB6421" s="5" t="str">
        <f>HYPERLINK("https://propertylookup.dupagecounty.gov/Datalets/Datalet.aspx?UseSearch=no&amp;mode=sales&amp;pin=0910100011","sales record")</f>
        <v>sales record</v>
      </c>
      <c r="AC6421" t="s">
        <v>3</v>
      </c>
      <c r="AD6421">
        <v>41.801039</v>
      </c>
      <c r="AE6421">
        <v>-87.975134</v>
      </c>
      <c r="AF6421" s="5" t="str">
        <f>HYPERLINK("https://www.google.com/maps/search/?api=1&amp;query=41.801039,-87.975134","map")</f>
        <v>map</v>
      </c>
    </row>
    <row r="6422" spans="1:32">
      <c r="A6422" t="s">
        <v>6472</v>
      </c>
      <c r="B6422" t="s">
        <v>13950</v>
      </c>
      <c r="C6422" t="s">
        <v>16024</v>
      </c>
      <c r="D6422" t="s">
        <v>16211</v>
      </c>
      <c r="E6422" t="s">
        <v>16217</v>
      </c>
      <c r="F6422" t="s">
        <v>16222</v>
      </c>
      <c r="G6422" t="s">
        <v>16287</v>
      </c>
      <c r="H6422" t="s">
        <v>16287</v>
      </c>
      <c r="I6422" t="s">
        <v>16367</v>
      </c>
      <c r="J6422" t="s">
        <v>16385</v>
      </c>
      <c r="K6422">
        <v>0.103</v>
      </c>
      <c r="L6422">
        <v>4500</v>
      </c>
      <c r="N6422" t="s">
        <v>16392</v>
      </c>
      <c r="O6422" s="4">
        <v>55248</v>
      </c>
      <c r="P6422" s="4">
        <v>0</v>
      </c>
      <c r="Q6422" s="4">
        <v>55248</v>
      </c>
      <c r="R6422" s="4">
        <v>165744</v>
      </c>
      <c r="S6422" t="s">
        <v>22611</v>
      </c>
      <c r="X6422" t="s">
        <v>3</v>
      </c>
      <c r="AA6422" s="5" t="str">
        <f>HYPERLINK("https://www.zillow.com/homes/223-N-CASS-AVE-WESTMONT-IL-60559_rb/","check listing")</f>
        <v>check listing</v>
      </c>
      <c r="AB6422" s="5" t="str">
        <f>HYPERLINK("https://propertylookup.dupagecounty.gov/Datalets/Datalet.aspx?UseSearch=no&amp;mode=sales&amp;pin=0910100015","sales record")</f>
        <v>sales record</v>
      </c>
      <c r="AC6422" t="s">
        <v>27872</v>
      </c>
      <c r="AD6422">
        <v>41.800627</v>
      </c>
      <c r="AE6422">
        <v>-87.97511900000001</v>
      </c>
      <c r="AF6422" s="5" t="str">
        <f>HYPERLINK("https://www.google.com/maps/search/?api=1&amp;query=41.800627,-87.975119","map")</f>
        <v>map</v>
      </c>
    </row>
    <row r="6423" spans="1:32">
      <c r="A6423" t="s">
        <v>6473</v>
      </c>
      <c r="B6423" t="s">
        <v>13953</v>
      </c>
      <c r="C6423" t="s">
        <v>16024</v>
      </c>
      <c r="D6423" t="s">
        <v>16211</v>
      </c>
      <c r="E6423" t="s">
        <v>16217</v>
      </c>
      <c r="F6423" t="s">
        <v>16222</v>
      </c>
      <c r="G6423" t="s">
        <v>16287</v>
      </c>
      <c r="H6423" t="s">
        <v>16287</v>
      </c>
      <c r="I6423" t="s">
        <v>16367</v>
      </c>
      <c r="J6423" t="s">
        <v>16385</v>
      </c>
      <c r="K6423">
        <v>0.103</v>
      </c>
      <c r="L6423">
        <v>4500</v>
      </c>
      <c r="N6423" t="s">
        <v>16392</v>
      </c>
      <c r="O6423" s="4">
        <v>55248</v>
      </c>
      <c r="P6423" s="4">
        <v>0</v>
      </c>
      <c r="Q6423" s="4">
        <v>55248</v>
      </c>
      <c r="R6423" s="4">
        <v>165744</v>
      </c>
      <c r="S6423" t="s">
        <v>22613</v>
      </c>
      <c r="X6423" t="s">
        <v>3</v>
      </c>
      <c r="AA6423" s="5" t="str">
        <f>HYPERLINK("https://www.zillow.com/homes/245-N-CASS-AVE-WESTMONT-IL-60559_rb/","check listing")</f>
        <v>check listing</v>
      </c>
      <c r="AB6423" s="5" t="str">
        <f>HYPERLINK("https://propertylookup.dupagecounty.gov/Datalets/Datalet.aspx?UseSearch=no&amp;mode=sales&amp;pin=0910100006","sales record")</f>
        <v>sales record</v>
      </c>
      <c r="AC6423" t="s">
        <v>27872</v>
      </c>
      <c r="AD6423">
        <v>41.80145</v>
      </c>
      <c r="AE6423">
        <v>-87.97515</v>
      </c>
      <c r="AF6423" s="5" t="str">
        <f>HYPERLINK("https://www.google.com/maps/search/?api=1&amp;query=41.80145,-87.97515","map")</f>
        <v>map</v>
      </c>
    </row>
    <row r="6424" spans="1:32">
      <c r="A6424" t="s">
        <v>6474</v>
      </c>
      <c r="B6424" t="s">
        <v>13954</v>
      </c>
      <c r="C6424" t="s">
        <v>16024</v>
      </c>
      <c r="D6424" t="s">
        <v>16211</v>
      </c>
      <c r="E6424" t="s">
        <v>16217</v>
      </c>
      <c r="F6424" t="s">
        <v>16222</v>
      </c>
      <c r="G6424" t="s">
        <v>16287</v>
      </c>
      <c r="H6424" t="s">
        <v>16287</v>
      </c>
      <c r="I6424" t="s">
        <v>16367</v>
      </c>
      <c r="J6424" t="s">
        <v>16385</v>
      </c>
      <c r="K6424">
        <v>0.092</v>
      </c>
      <c r="L6424">
        <v>4019</v>
      </c>
      <c r="M6424">
        <v>1853</v>
      </c>
      <c r="N6424" t="s">
        <v>16392</v>
      </c>
      <c r="O6424" s="4">
        <v>29179</v>
      </c>
      <c r="P6424" s="4">
        <v>0</v>
      </c>
      <c r="Q6424" s="4">
        <v>29179</v>
      </c>
      <c r="R6424" s="4">
        <v>87537</v>
      </c>
      <c r="S6424" t="s">
        <v>22614</v>
      </c>
      <c r="T6424" s="6">
        <v>46057</v>
      </c>
      <c r="U6424" s="4">
        <v>525000</v>
      </c>
      <c r="V6424" t="s">
        <v>23739</v>
      </c>
      <c r="W6424" t="s">
        <v>22614</v>
      </c>
      <c r="X6424" t="s">
        <v>3</v>
      </c>
      <c r="AA6424" s="5" t="str">
        <f>HYPERLINK("https://www.zillow.com/homes/34-W-BURLINGTON-AVE-WESTMONT-IL-60559_rb/","check listing")</f>
        <v>check listing</v>
      </c>
      <c r="AB6424" s="5" t="str">
        <f>HYPERLINK("https://propertylookup.dupagecounty.gov/Datalets/Datalet.aspx?UseSearch=no&amp;mode=sales&amp;pin=0909221018","sales record")</f>
        <v>sales record</v>
      </c>
      <c r="AC6424" t="s">
        <v>27871</v>
      </c>
      <c r="AD6424">
        <v>41.79615</v>
      </c>
      <c r="AE6424">
        <v>-87.977442</v>
      </c>
      <c r="AF6424" s="5" t="str">
        <f>HYPERLINK("https://www.google.com/maps/search/?api=1&amp;query=41.79615,-87.977442","map")</f>
        <v>map</v>
      </c>
    </row>
    <row r="6425" spans="1:32">
      <c r="A6425" t="s">
        <v>6475</v>
      </c>
      <c r="B6425" t="s">
        <v>13955</v>
      </c>
      <c r="C6425" t="s">
        <v>16024</v>
      </c>
      <c r="D6425" t="s">
        <v>16211</v>
      </c>
      <c r="E6425" t="s">
        <v>16217</v>
      </c>
      <c r="F6425" t="s">
        <v>16222</v>
      </c>
      <c r="G6425" t="s">
        <v>16287</v>
      </c>
      <c r="H6425" t="s">
        <v>16287</v>
      </c>
      <c r="I6425" t="s">
        <v>16367</v>
      </c>
      <c r="J6425" t="s">
        <v>16385</v>
      </c>
      <c r="K6425">
        <v>0.075</v>
      </c>
      <c r="L6425">
        <v>3261</v>
      </c>
      <c r="N6425" t="s">
        <v>16392</v>
      </c>
      <c r="O6425" s="4">
        <v>41198</v>
      </c>
      <c r="P6425" s="4">
        <v>0</v>
      </c>
      <c r="Q6425" s="4">
        <v>41198</v>
      </c>
      <c r="R6425" s="4">
        <v>123594</v>
      </c>
      <c r="S6425" t="s">
        <v>22615</v>
      </c>
      <c r="T6425" s="6">
        <v>39381</v>
      </c>
      <c r="U6425" s="4">
        <v>900000</v>
      </c>
      <c r="V6425" t="s">
        <v>23741</v>
      </c>
      <c r="W6425" t="s">
        <v>27267</v>
      </c>
      <c r="X6425" t="s">
        <v>3</v>
      </c>
      <c r="AA6425" s="5" t="str">
        <f>HYPERLINK("https://www.zillow.com/homes/1216-W-NAPERVILLE-RD-WESTMONT-IL-60559_rb/","check listing")</f>
        <v>check listing</v>
      </c>
      <c r="AB6425" s="5" t="str">
        <f>HYPERLINK("https://propertylookup.dupagecounty.gov/Datalets/Datalet.aspx?UseSearch=no&amp;mode=sales&amp;pin=0909204003","sales record")</f>
        <v>sales record</v>
      </c>
      <c r="AC6425" t="s">
        <v>27872</v>
      </c>
      <c r="AD6425">
        <v>41.802389</v>
      </c>
      <c r="AE6425">
        <v>-87.976815</v>
      </c>
      <c r="AF6425" s="5" t="str">
        <f>HYPERLINK("https://www.google.com/maps/search/?api=1&amp;query=41.802389,-87.976815","map")</f>
        <v>map</v>
      </c>
    </row>
    <row r="6426" spans="1:32">
      <c r="A6426" t="s">
        <v>6476</v>
      </c>
      <c r="B6426" t="s">
        <v>13956</v>
      </c>
      <c r="C6426" t="s">
        <v>16030</v>
      </c>
      <c r="D6426" t="s">
        <v>16211</v>
      </c>
      <c r="E6426" t="s">
        <v>16218</v>
      </c>
      <c r="F6426" t="s">
        <v>16220</v>
      </c>
      <c r="G6426" t="s">
        <v>16238</v>
      </c>
      <c r="H6426" t="s">
        <v>16238</v>
      </c>
      <c r="I6426" t="s">
        <v>16369</v>
      </c>
      <c r="J6426" t="s">
        <v>16385</v>
      </c>
      <c r="K6426">
        <v>0.696</v>
      </c>
      <c r="L6426">
        <v>30305</v>
      </c>
      <c r="M6426">
        <v>2076</v>
      </c>
      <c r="N6426" t="s">
        <v>16393</v>
      </c>
      <c r="O6426" s="4">
        <v>71938</v>
      </c>
      <c r="P6426" s="4">
        <v>75554</v>
      </c>
      <c r="Q6426" s="4">
        <v>147492</v>
      </c>
      <c r="R6426" s="4">
        <v>442476</v>
      </c>
      <c r="S6426" t="s">
        <v>22616</v>
      </c>
      <c r="T6426" s="6">
        <v>32448</v>
      </c>
      <c r="U6426" s="4">
        <v>155000</v>
      </c>
      <c r="X6426" t="s">
        <v>3</v>
      </c>
      <c r="AA6426" s="5" t="str">
        <f>HYPERLINK("https://www.zillow.com/homes/409-N-CASS-AVE-WESTMONT-IL-605591525_rb/","check listing")</f>
        <v>check listing</v>
      </c>
      <c r="AB6426" s="5" t="str">
        <f>HYPERLINK("https://propertylookup.dupagecounty.gov/Datalets/Datalet.aspx?UseSearch=no&amp;mode=sales&amp;pin=0903304008","sales record")</f>
        <v>sales record</v>
      </c>
      <c r="AC6426" t="s">
        <v>3</v>
      </c>
      <c r="AD6426">
        <v>41.805692</v>
      </c>
      <c r="AE6426">
        <v>-87.97505099999999</v>
      </c>
      <c r="AF6426" s="5" t="str">
        <f>HYPERLINK("https://www.google.com/maps/search/?api=1&amp;query=41.805692,-87.975051","map")</f>
        <v>map</v>
      </c>
    </row>
    <row r="6427" spans="1:32">
      <c r="A6427" t="s">
        <v>6477</v>
      </c>
      <c r="B6427" t="s">
        <v>13957</v>
      </c>
      <c r="C6427" t="s">
        <v>16031</v>
      </c>
      <c r="D6427" t="s">
        <v>16211</v>
      </c>
      <c r="E6427" t="s">
        <v>16218</v>
      </c>
      <c r="F6427" t="s">
        <v>16220</v>
      </c>
      <c r="G6427" t="s">
        <v>16238</v>
      </c>
      <c r="H6427" t="s">
        <v>16238</v>
      </c>
      <c r="I6427" t="s">
        <v>16369</v>
      </c>
      <c r="J6427" t="s">
        <v>16385</v>
      </c>
      <c r="K6427">
        <v>0.489</v>
      </c>
      <c r="L6427">
        <v>21315</v>
      </c>
      <c r="M6427">
        <v>1718</v>
      </c>
      <c r="N6427" t="s">
        <v>16393</v>
      </c>
      <c r="O6427" s="4">
        <v>63288</v>
      </c>
      <c r="P6427" s="4">
        <v>83617</v>
      </c>
      <c r="Q6427" s="4">
        <v>146905</v>
      </c>
      <c r="R6427" s="4">
        <v>440715</v>
      </c>
      <c r="S6427" t="s">
        <v>22617</v>
      </c>
      <c r="T6427" s="6">
        <v>44348</v>
      </c>
      <c r="U6427" s="4">
        <v>495000</v>
      </c>
      <c r="V6427" t="s">
        <v>23739</v>
      </c>
      <c r="W6427" t="s">
        <v>27268</v>
      </c>
      <c r="X6427" t="s">
        <v>3</v>
      </c>
      <c r="AA6427" s="5" t="str">
        <f>HYPERLINK("https://www.zillow.com/homes/225-S-CASS-AVE-WESTMONT-IL-605591929_rb/","check listing")</f>
        <v>check listing</v>
      </c>
      <c r="AB6427" s="5" t="str">
        <f>HYPERLINK("https://propertylookup.dupagecounty.gov/Datalets/Datalet.aspx?UseSearch=no&amp;mode=sales&amp;pin=0910310006","sales record")</f>
        <v>sales record</v>
      </c>
      <c r="AC6427" t="s">
        <v>3</v>
      </c>
      <c r="AD6427">
        <v>41.790563</v>
      </c>
      <c r="AE6427">
        <v>-87.97462299999999</v>
      </c>
      <c r="AF6427" s="5" t="str">
        <f>HYPERLINK("https://www.google.com/maps/search/?api=1&amp;query=41.790563,-87.974623","map")</f>
        <v>map</v>
      </c>
    </row>
    <row r="6428" spans="1:32">
      <c r="A6428" t="s">
        <v>6478</v>
      </c>
      <c r="B6428" t="s">
        <v>13958</v>
      </c>
      <c r="C6428" t="s">
        <v>16024</v>
      </c>
      <c r="D6428" t="s">
        <v>16211</v>
      </c>
      <c r="E6428" t="s">
        <v>16218</v>
      </c>
      <c r="F6428" t="s">
        <v>16220</v>
      </c>
      <c r="G6428" t="s">
        <v>16238</v>
      </c>
      <c r="H6428" t="s">
        <v>16238</v>
      </c>
      <c r="I6428" t="s">
        <v>16369</v>
      </c>
      <c r="J6428" t="s">
        <v>16385</v>
      </c>
      <c r="K6428">
        <v>0.481</v>
      </c>
      <c r="L6428">
        <v>20958</v>
      </c>
      <c r="M6428">
        <v>820</v>
      </c>
      <c r="N6428" t="s">
        <v>16393</v>
      </c>
      <c r="O6428" s="4">
        <v>43405</v>
      </c>
      <c r="P6428" s="4">
        <v>40436</v>
      </c>
      <c r="Q6428" s="4">
        <v>83841</v>
      </c>
      <c r="R6428" s="4">
        <v>251523</v>
      </c>
      <c r="S6428" t="s">
        <v>22618</v>
      </c>
      <c r="T6428" s="6">
        <v>45077</v>
      </c>
      <c r="U6428" s="4">
        <v>170000</v>
      </c>
      <c r="V6428" t="s">
        <v>23741</v>
      </c>
      <c r="W6428" t="s">
        <v>27269</v>
      </c>
      <c r="X6428" t="s">
        <v>3</v>
      </c>
      <c r="AA6428" s="5" t="str">
        <f>HYPERLINK("https://www.zillow.com/homes/406-N-CASS-AVE-WESTMONT-IL-60559_rb/","check listing")</f>
        <v>check listing</v>
      </c>
      <c r="AB6428" s="5" t="str">
        <f>HYPERLINK("https://propertylookup.dupagecounty.gov/Datalets/Datalet.aspx?UseSearch=no&amp;mode=sales&amp;pin=0904409010","sales record")</f>
        <v>sales record</v>
      </c>
      <c r="AC6428" t="s">
        <v>3</v>
      </c>
      <c r="AD6428">
        <v>41.80487</v>
      </c>
      <c r="AE6428">
        <v>-87.976445</v>
      </c>
      <c r="AF6428" s="5" t="str">
        <f>HYPERLINK("https://www.google.com/maps/search/?api=1&amp;query=41.80487,-87.976445","map")</f>
        <v>map</v>
      </c>
    </row>
    <row r="6429" spans="1:32">
      <c r="A6429" t="s">
        <v>6479</v>
      </c>
      <c r="B6429" t="s">
        <v>13959</v>
      </c>
      <c r="C6429" t="s">
        <v>16024</v>
      </c>
      <c r="D6429" t="s">
        <v>16211</v>
      </c>
      <c r="E6429" t="s">
        <v>16218</v>
      </c>
      <c r="F6429" t="s">
        <v>16220</v>
      </c>
      <c r="G6429" t="s">
        <v>16238</v>
      </c>
      <c r="H6429" t="s">
        <v>16238</v>
      </c>
      <c r="I6429" t="s">
        <v>16369</v>
      </c>
      <c r="J6429" t="s">
        <v>16385</v>
      </c>
      <c r="K6429">
        <v>0.481</v>
      </c>
      <c r="L6429">
        <v>20958</v>
      </c>
      <c r="M6429">
        <v>1834</v>
      </c>
      <c r="N6429" t="s">
        <v>16393</v>
      </c>
      <c r="O6429" s="4">
        <v>43405</v>
      </c>
      <c r="P6429" s="4">
        <v>70189</v>
      </c>
      <c r="Q6429" s="4">
        <v>113594</v>
      </c>
      <c r="R6429" s="4">
        <v>340782</v>
      </c>
      <c r="S6429" t="s">
        <v>22619</v>
      </c>
      <c r="T6429" s="6">
        <v>45114</v>
      </c>
      <c r="U6429" s="4">
        <v>380000</v>
      </c>
      <c r="V6429" t="s">
        <v>23739</v>
      </c>
      <c r="W6429" t="s">
        <v>27270</v>
      </c>
      <c r="X6429" t="s">
        <v>3</v>
      </c>
      <c r="AA6429" s="5" t="str">
        <f>HYPERLINK("https://www.zillow.com/homes/404-N-CASS-AVE-WESTMONT-IL-60559_rb/","check listing")</f>
        <v>check listing</v>
      </c>
      <c r="AB6429" s="5" t="str">
        <f>HYPERLINK("https://propertylookup.dupagecounty.gov/Datalets/Datalet.aspx?UseSearch=no&amp;mode=sales&amp;pin=0904409011","sales record")</f>
        <v>sales record</v>
      </c>
      <c r="AC6429" t="s">
        <v>3</v>
      </c>
      <c r="AD6429">
        <v>41.804706</v>
      </c>
      <c r="AE6429">
        <v>-87.976438</v>
      </c>
      <c r="AF6429" s="5" t="str">
        <f>HYPERLINK("https://www.google.com/maps/search/?api=1&amp;query=41.804706,-87.976438","map")</f>
        <v>map</v>
      </c>
    </row>
    <row r="6430" spans="1:32">
      <c r="A6430" t="s">
        <v>6480</v>
      </c>
      <c r="B6430" t="s">
        <v>13960</v>
      </c>
      <c r="C6430" t="s">
        <v>16024</v>
      </c>
      <c r="D6430" t="s">
        <v>16211</v>
      </c>
      <c r="E6430" t="s">
        <v>16218</v>
      </c>
      <c r="F6430" t="s">
        <v>16220</v>
      </c>
      <c r="G6430" t="s">
        <v>16238</v>
      </c>
      <c r="H6430" t="s">
        <v>16238</v>
      </c>
      <c r="I6430" t="s">
        <v>16369</v>
      </c>
      <c r="J6430" t="s">
        <v>16385</v>
      </c>
      <c r="K6430">
        <v>0.466</v>
      </c>
      <c r="L6430">
        <v>20278</v>
      </c>
      <c r="M6430">
        <v>2924</v>
      </c>
      <c r="N6430" t="s">
        <v>16393</v>
      </c>
      <c r="O6430" s="4">
        <v>101223</v>
      </c>
      <c r="P6430" s="4">
        <v>89814</v>
      </c>
      <c r="Q6430" s="4">
        <v>191037</v>
      </c>
      <c r="R6430" s="4">
        <v>573111</v>
      </c>
      <c r="S6430" t="s">
        <v>22620</v>
      </c>
      <c r="T6430" s="6">
        <v>41122</v>
      </c>
      <c r="U6430" s="4">
        <v>135000</v>
      </c>
      <c r="V6430" t="s">
        <v>23740</v>
      </c>
      <c r="W6430" t="s">
        <v>22620</v>
      </c>
      <c r="X6430" t="s">
        <v>3</v>
      </c>
      <c r="AA6430" s="5" t="str">
        <f>HYPERLINK("https://www.zillow.com/homes/525-S-CASS-AVE-WESTMONT-IL-60559_rb/","check listing")</f>
        <v>check listing</v>
      </c>
      <c r="AB6430" s="5" t="str">
        <f>HYPERLINK("https://propertylookup.dupagecounty.gov/Datalets/Datalet.aspx?UseSearch=no&amp;mode=sales&amp;pin=0915106003","sales record")</f>
        <v>sales record</v>
      </c>
      <c r="AC6430" t="s">
        <v>3</v>
      </c>
      <c r="AD6430">
        <v>41.785207</v>
      </c>
      <c r="AE6430">
        <v>-87.974504</v>
      </c>
      <c r="AF6430" s="5" t="str">
        <f>HYPERLINK("https://www.google.com/maps/search/?api=1&amp;query=41.785207,-87.974504","map")</f>
        <v>map</v>
      </c>
    </row>
    <row r="6431" spans="1:32">
      <c r="A6431" t="s">
        <v>6481</v>
      </c>
      <c r="B6431" t="s">
        <v>13961</v>
      </c>
      <c r="C6431" t="s">
        <v>16024</v>
      </c>
      <c r="D6431" t="s">
        <v>16211</v>
      </c>
      <c r="E6431" t="s">
        <v>16218</v>
      </c>
      <c r="F6431" t="s">
        <v>16220</v>
      </c>
      <c r="G6431" t="s">
        <v>16238</v>
      </c>
      <c r="H6431" t="s">
        <v>16238</v>
      </c>
      <c r="I6431" t="s">
        <v>16369</v>
      </c>
      <c r="J6431" t="s">
        <v>16385</v>
      </c>
      <c r="K6431">
        <v>0.457</v>
      </c>
      <c r="L6431">
        <v>19897</v>
      </c>
      <c r="M6431">
        <v>2349</v>
      </c>
      <c r="N6431" t="s">
        <v>16393</v>
      </c>
      <c r="O6431" s="4">
        <v>73312</v>
      </c>
      <c r="P6431" s="4">
        <v>90013</v>
      </c>
      <c r="Q6431" s="4">
        <v>163325</v>
      </c>
      <c r="R6431" s="4">
        <v>489975</v>
      </c>
      <c r="S6431" t="s">
        <v>22621</v>
      </c>
      <c r="T6431" s="6">
        <v>41395</v>
      </c>
      <c r="U6431" s="4">
        <v>170000</v>
      </c>
      <c r="V6431" t="s">
        <v>23739</v>
      </c>
      <c r="W6431" t="s">
        <v>22621</v>
      </c>
      <c r="X6431" t="s">
        <v>3</v>
      </c>
      <c r="AA6431" s="5" t="str">
        <f>HYPERLINK("https://www.zillow.com/homes/301-E-NAPERVILLE-RD-WESTMONT-IL-60559_rb/","check listing")</f>
        <v>check listing</v>
      </c>
      <c r="AB6431" s="5" t="str">
        <f>HYPERLINK("https://propertylookup.dupagecounty.gov/Datalets/Datalet.aspx?UseSearch=no&amp;mode=sales&amp;pin=0903314001","sales record")</f>
        <v>sales record</v>
      </c>
      <c r="AC6431" t="s">
        <v>3</v>
      </c>
      <c r="AD6431">
        <v>41.804075</v>
      </c>
      <c r="AE6431">
        <v>-87.968085</v>
      </c>
      <c r="AF6431" s="5" t="str">
        <f>HYPERLINK("https://www.google.com/maps/search/?api=1&amp;query=41.804075,-87.968085","map")</f>
        <v>map</v>
      </c>
    </row>
    <row r="6432" spans="1:32">
      <c r="A6432" t="s">
        <v>6482</v>
      </c>
      <c r="B6432" t="s">
        <v>13962</v>
      </c>
      <c r="C6432" t="s">
        <v>16024</v>
      </c>
      <c r="D6432" t="s">
        <v>16211</v>
      </c>
      <c r="E6432" t="s">
        <v>16218</v>
      </c>
      <c r="F6432" t="s">
        <v>16220</v>
      </c>
      <c r="G6432" t="s">
        <v>16238</v>
      </c>
      <c r="H6432" t="s">
        <v>16238</v>
      </c>
      <c r="I6432" t="s">
        <v>16369</v>
      </c>
      <c r="J6432" t="s">
        <v>16385</v>
      </c>
      <c r="K6432">
        <v>0.441</v>
      </c>
      <c r="L6432">
        <v>19208</v>
      </c>
      <c r="M6432">
        <v>1860</v>
      </c>
      <c r="N6432" t="s">
        <v>16393</v>
      </c>
      <c r="O6432" s="4">
        <v>80706</v>
      </c>
      <c r="P6432" s="4">
        <v>32642</v>
      </c>
      <c r="Q6432" s="4">
        <v>113348</v>
      </c>
      <c r="R6432" s="4">
        <v>340044</v>
      </c>
      <c r="S6432" t="s">
        <v>22622</v>
      </c>
      <c r="T6432" s="6">
        <v>45813</v>
      </c>
      <c r="U6432" s="4">
        <v>275000</v>
      </c>
      <c r="V6432" t="s">
        <v>23739</v>
      </c>
      <c r="W6432" t="s">
        <v>22622</v>
      </c>
      <c r="X6432" t="s">
        <v>3</v>
      </c>
      <c r="AA6432" s="5" t="str">
        <f>HYPERLINK("https://www.zillow.com/homes/5628-S-CASS-AVE-WESTMONT-IL-60559_rb/","check listing")</f>
        <v>check listing</v>
      </c>
      <c r="AB6432" s="5" t="str">
        <f>HYPERLINK("https://propertylookup.dupagecounty.gov/Datalets/Datalet.aspx?UseSearch=no&amp;mode=sales&amp;pin=0916207012","sales record")</f>
        <v>sales record</v>
      </c>
      <c r="AC6432" t="s">
        <v>3</v>
      </c>
      <c r="AD6432">
        <v>41.784956</v>
      </c>
      <c r="AE6432">
        <v>-87.975419</v>
      </c>
      <c r="AF6432" s="5" t="str">
        <f>HYPERLINK("https://www.google.com/maps/search/?api=1&amp;query=41.784956,-87.975419","map")</f>
        <v>map</v>
      </c>
    </row>
    <row r="6433" spans="1:32">
      <c r="A6433" t="s">
        <v>6483</v>
      </c>
      <c r="B6433" t="s">
        <v>13963</v>
      </c>
      <c r="C6433" t="s">
        <v>16031</v>
      </c>
      <c r="D6433" t="s">
        <v>16211</v>
      </c>
      <c r="E6433" t="s">
        <v>16218</v>
      </c>
      <c r="F6433" t="s">
        <v>16220</v>
      </c>
      <c r="G6433" t="s">
        <v>16238</v>
      </c>
      <c r="H6433" t="s">
        <v>16238</v>
      </c>
      <c r="I6433" t="s">
        <v>16369</v>
      </c>
      <c r="J6433" t="s">
        <v>16385</v>
      </c>
      <c r="K6433">
        <v>0.386</v>
      </c>
      <c r="L6433">
        <v>16822</v>
      </c>
      <c r="M6433">
        <v>2318</v>
      </c>
      <c r="N6433" t="s">
        <v>16393</v>
      </c>
      <c r="O6433" s="4">
        <v>49966</v>
      </c>
      <c r="P6433" s="4">
        <v>106751</v>
      </c>
      <c r="Q6433" s="4">
        <v>156717</v>
      </c>
      <c r="R6433" s="4">
        <v>470151</v>
      </c>
      <c r="S6433" t="s">
        <v>22623</v>
      </c>
      <c r="T6433" s="6">
        <v>43678</v>
      </c>
      <c r="U6433" s="4">
        <v>457000</v>
      </c>
      <c r="V6433" t="s">
        <v>23739</v>
      </c>
      <c r="W6433" t="s">
        <v>27271</v>
      </c>
      <c r="X6433" t="s">
        <v>3</v>
      </c>
      <c r="AA6433" s="5" t="str">
        <f>HYPERLINK("https://www.zillow.com/homes/223-S-CASS-AVE-WESTMONT-IL-605591929_rb/","check listing")</f>
        <v>check listing</v>
      </c>
      <c r="AB6433" s="5" t="str">
        <f>HYPERLINK("https://propertylookup.dupagecounty.gov/Datalets/Datalet.aspx?UseSearch=no&amp;mode=sales&amp;pin=0910310005","sales record")</f>
        <v>sales record</v>
      </c>
      <c r="AC6433" t="s">
        <v>3</v>
      </c>
      <c r="AD6433">
        <v>41.790769</v>
      </c>
      <c r="AE6433">
        <v>-87.97463</v>
      </c>
      <c r="AF6433" s="5" t="str">
        <f>HYPERLINK("https://www.google.com/maps/search/?api=1&amp;query=41.790769,-87.97463","map")</f>
        <v>map</v>
      </c>
    </row>
    <row r="6434" spans="1:32">
      <c r="A6434" t="s">
        <v>6484</v>
      </c>
      <c r="B6434" t="s">
        <v>13964</v>
      </c>
      <c r="C6434" t="s">
        <v>16032</v>
      </c>
      <c r="D6434" t="s">
        <v>16211</v>
      </c>
      <c r="E6434" t="s">
        <v>16218</v>
      </c>
      <c r="F6434" t="s">
        <v>16220</v>
      </c>
      <c r="G6434" t="s">
        <v>16238</v>
      </c>
      <c r="H6434" t="s">
        <v>16238</v>
      </c>
      <c r="I6434" t="s">
        <v>16369</v>
      </c>
      <c r="J6434" t="s">
        <v>16385</v>
      </c>
      <c r="K6434">
        <v>0.357</v>
      </c>
      <c r="L6434">
        <v>15549</v>
      </c>
      <c r="M6434">
        <v>1894</v>
      </c>
      <c r="N6434" t="s">
        <v>16393</v>
      </c>
      <c r="O6434" s="4">
        <v>61574</v>
      </c>
      <c r="P6434" s="4">
        <v>45342</v>
      </c>
      <c r="Q6434" s="4">
        <v>106916</v>
      </c>
      <c r="R6434" s="4">
        <v>320748</v>
      </c>
      <c r="S6434" t="s">
        <v>22624</v>
      </c>
      <c r="T6434" s="6">
        <v>45154</v>
      </c>
      <c r="U6434" s="4">
        <v>300000</v>
      </c>
      <c r="V6434" t="s">
        <v>23739</v>
      </c>
      <c r="W6434" t="s">
        <v>26465</v>
      </c>
      <c r="X6434" t="s">
        <v>3</v>
      </c>
      <c r="AA6434" s="5" t="str">
        <f>HYPERLINK("https://www.zillow.com/homes/129-E-55TH-ST-WESTMONT-IL-605592051_rb/","check listing")</f>
        <v>check listing</v>
      </c>
      <c r="AB6434" s="5" t="str">
        <f>HYPERLINK("https://propertylookup.dupagecounty.gov/Datalets/Datalet.aspx?UseSearch=no&amp;mode=sales&amp;pin=0915102042","sales record")</f>
        <v>sales record</v>
      </c>
      <c r="AC6434" t="s">
        <v>3</v>
      </c>
      <c r="AD6434">
        <v>41.787917</v>
      </c>
      <c r="AE6434">
        <v>-87.970733</v>
      </c>
      <c r="AF6434" s="5" t="str">
        <f>HYPERLINK("https://www.google.com/maps/search/?api=1&amp;query=41.787917,-87.970733","map")</f>
        <v>map</v>
      </c>
    </row>
    <row r="6435" spans="1:32">
      <c r="A6435" t="s">
        <v>6485</v>
      </c>
      <c r="B6435" t="s">
        <v>13965</v>
      </c>
      <c r="C6435" t="s">
        <v>16033</v>
      </c>
      <c r="D6435" t="s">
        <v>16211</v>
      </c>
      <c r="E6435" t="s">
        <v>16218</v>
      </c>
      <c r="F6435" t="s">
        <v>16220</v>
      </c>
      <c r="G6435" t="s">
        <v>16238</v>
      </c>
      <c r="H6435" t="s">
        <v>16238</v>
      </c>
      <c r="I6435" t="s">
        <v>16369</v>
      </c>
      <c r="J6435" t="s">
        <v>16385</v>
      </c>
      <c r="K6435">
        <v>0.357</v>
      </c>
      <c r="L6435">
        <v>15535</v>
      </c>
      <c r="M6435">
        <v>1787</v>
      </c>
      <c r="N6435" t="s">
        <v>16393</v>
      </c>
      <c r="O6435" s="4">
        <v>26734</v>
      </c>
      <c r="P6435" s="4">
        <v>364942</v>
      </c>
      <c r="Q6435" s="4">
        <v>391676</v>
      </c>
      <c r="R6435" s="4">
        <v>1175028</v>
      </c>
      <c r="S6435" t="s">
        <v>22625</v>
      </c>
      <c r="T6435" s="6">
        <v>42979</v>
      </c>
      <c r="U6435" s="4">
        <v>999900</v>
      </c>
      <c r="V6435" t="s">
        <v>23739</v>
      </c>
      <c r="W6435" t="s">
        <v>27272</v>
      </c>
      <c r="X6435" t="s">
        <v>3</v>
      </c>
      <c r="AA6435" s="5" t="str">
        <f>HYPERLINK("https://www.zillow.com/homes/37-WILLOWCREST-DR-OAK-BROOK-IL-605232625_rb/","check listing")</f>
        <v>check listing</v>
      </c>
      <c r="AB6435" s="5" t="str">
        <f>HYPERLINK("https://propertylookup.dupagecounty.gov/Datalets/Datalet.aspx?UseSearch=no&amp;mode=sales&amp;pin=0634300033","sales record")</f>
        <v>sales record</v>
      </c>
      <c r="AC6435" t="s">
        <v>3</v>
      </c>
      <c r="AD6435">
        <v>41.819575</v>
      </c>
      <c r="AE6435">
        <v>-87.969404</v>
      </c>
      <c r="AF6435" s="5" t="str">
        <f>HYPERLINK("https://www.google.com/maps/search/?api=1&amp;query=41.819575,-87.969404","map")</f>
        <v>map</v>
      </c>
    </row>
    <row r="6436" spans="1:32">
      <c r="A6436" t="s">
        <v>6486</v>
      </c>
      <c r="B6436" t="s">
        <v>13966</v>
      </c>
      <c r="C6436" t="s">
        <v>16034</v>
      </c>
      <c r="D6436" t="s">
        <v>16211</v>
      </c>
      <c r="E6436" t="s">
        <v>16218</v>
      </c>
      <c r="F6436" t="s">
        <v>16220</v>
      </c>
      <c r="G6436" t="s">
        <v>16238</v>
      </c>
      <c r="H6436" t="s">
        <v>16238</v>
      </c>
      <c r="I6436" t="s">
        <v>16369</v>
      </c>
      <c r="J6436" t="s">
        <v>16385</v>
      </c>
      <c r="K6436">
        <v>0.351</v>
      </c>
      <c r="L6436">
        <v>15299</v>
      </c>
      <c r="M6436">
        <v>1424</v>
      </c>
      <c r="N6436" t="s">
        <v>16393</v>
      </c>
      <c r="O6436" s="4">
        <v>36316</v>
      </c>
      <c r="P6436" s="4">
        <v>69426</v>
      </c>
      <c r="Q6436" s="4">
        <v>105742</v>
      </c>
      <c r="R6436" s="4">
        <v>317226</v>
      </c>
      <c r="S6436" t="s">
        <v>22626</v>
      </c>
      <c r="T6436" s="6">
        <v>42522</v>
      </c>
      <c r="U6436" s="4">
        <v>220000</v>
      </c>
      <c r="V6436" t="s">
        <v>23740</v>
      </c>
      <c r="W6436" t="s">
        <v>27273</v>
      </c>
      <c r="X6436" t="s">
        <v>3</v>
      </c>
      <c r="AA6436" s="5" t="str">
        <f>HYPERLINK("https://www.zillow.com/homes/315-N-CASS-AVE-WESTMONT-IL-605591524_rb/","check listing")</f>
        <v>check listing</v>
      </c>
      <c r="AB6436" s="5" t="str">
        <f>HYPERLINK("https://propertylookup.dupagecounty.gov/Datalets/Datalet.aspx?UseSearch=no&amp;mode=sales&amp;pin=0903308006","sales record")</f>
        <v>sales record</v>
      </c>
      <c r="AC6436" t="s">
        <v>3</v>
      </c>
      <c r="AD6436">
        <v>41.803888</v>
      </c>
      <c r="AE6436">
        <v>-87.974975</v>
      </c>
      <c r="AF6436" s="5" t="str">
        <f>HYPERLINK("https://www.google.com/maps/search/?api=1&amp;query=41.803888,-87.974975","map")</f>
        <v>map</v>
      </c>
    </row>
    <row r="6437" spans="1:32">
      <c r="A6437" t="s">
        <v>6487</v>
      </c>
      <c r="B6437" t="s">
        <v>13967</v>
      </c>
      <c r="C6437" t="s">
        <v>16024</v>
      </c>
      <c r="D6437" t="s">
        <v>16211</v>
      </c>
      <c r="E6437" t="s">
        <v>16218</v>
      </c>
      <c r="F6437" t="s">
        <v>16220</v>
      </c>
      <c r="G6437" t="s">
        <v>16238</v>
      </c>
      <c r="H6437" t="s">
        <v>16238</v>
      </c>
      <c r="I6437" t="s">
        <v>16369</v>
      </c>
      <c r="J6437" t="s">
        <v>16385</v>
      </c>
      <c r="K6437">
        <v>0.339</v>
      </c>
      <c r="L6437">
        <v>14752</v>
      </c>
      <c r="M6437">
        <v>1391</v>
      </c>
      <c r="N6437" t="s">
        <v>16393</v>
      </c>
      <c r="O6437" s="4">
        <v>56023</v>
      </c>
      <c r="P6437" s="4">
        <v>54989</v>
      </c>
      <c r="Q6437" s="4">
        <v>111012</v>
      </c>
      <c r="R6437" s="4">
        <v>333036</v>
      </c>
      <c r="S6437" t="s">
        <v>22627</v>
      </c>
      <c r="X6437" t="s">
        <v>3</v>
      </c>
      <c r="AA6437" s="5" t="str">
        <f>HYPERLINK("https://www.zillow.com/homes/321-S-CASS-AVE-WESTMONT-IL-60559_rb/","check listing")</f>
        <v>check listing</v>
      </c>
      <c r="AB6437" s="5" t="str">
        <f>HYPERLINK("https://propertylookup.dupagecounty.gov/Datalets/Datalet.aspx?UseSearch=no&amp;mode=sales&amp;pin=0910315005","sales record")</f>
        <v>sales record</v>
      </c>
      <c r="AC6437" t="s">
        <v>3</v>
      </c>
      <c r="AD6437">
        <v>41.789129</v>
      </c>
      <c r="AE6437">
        <v>-87.974709</v>
      </c>
      <c r="AF6437" s="5" t="str">
        <f>HYPERLINK("https://www.google.com/maps/search/?api=1&amp;query=41.789129,-87.974709","map")</f>
        <v>map</v>
      </c>
    </row>
    <row r="6438" spans="1:32">
      <c r="A6438" t="s">
        <v>6488</v>
      </c>
      <c r="B6438" t="s">
        <v>13968</v>
      </c>
      <c r="C6438" t="s">
        <v>16032</v>
      </c>
      <c r="D6438" t="s">
        <v>16211</v>
      </c>
      <c r="E6438" t="s">
        <v>16218</v>
      </c>
      <c r="F6438" t="s">
        <v>16220</v>
      </c>
      <c r="G6438" t="s">
        <v>16238</v>
      </c>
      <c r="H6438" t="s">
        <v>16238</v>
      </c>
      <c r="I6438" t="s">
        <v>16369</v>
      </c>
      <c r="J6438" t="s">
        <v>16385</v>
      </c>
      <c r="K6438">
        <v>0.33</v>
      </c>
      <c r="L6438">
        <v>14376</v>
      </c>
      <c r="M6438">
        <v>749</v>
      </c>
      <c r="N6438" t="s">
        <v>16393</v>
      </c>
      <c r="O6438" s="4">
        <v>40518</v>
      </c>
      <c r="P6438" s="4">
        <v>33839</v>
      </c>
      <c r="Q6438" s="4">
        <v>74357</v>
      </c>
      <c r="R6438" s="4">
        <v>223071</v>
      </c>
      <c r="S6438" t="s">
        <v>22628</v>
      </c>
      <c r="T6438" s="6">
        <v>43922</v>
      </c>
      <c r="U6438" s="4">
        <v>195000</v>
      </c>
      <c r="V6438" t="s">
        <v>23739</v>
      </c>
      <c r="W6438" t="s">
        <v>27274</v>
      </c>
      <c r="X6438" t="s">
        <v>3</v>
      </c>
      <c r="AA6438" s="5" t="str">
        <f>HYPERLINK("https://www.zillow.com/homes/125-E-55TH-ST-WESTMONT-IL-605592051_rb/","check listing")</f>
        <v>check listing</v>
      </c>
      <c r="AB6438" s="5" t="str">
        <f>HYPERLINK("https://propertylookup.dupagecounty.gov/Datalets/Datalet.aspx?UseSearch=no&amp;mode=sales&amp;pin=0915102041","sales record")</f>
        <v>sales record</v>
      </c>
      <c r="AC6438" t="s">
        <v>3</v>
      </c>
      <c r="AD6438">
        <v>41.78792</v>
      </c>
      <c r="AE6438">
        <v>-87.970972</v>
      </c>
      <c r="AF6438" s="5" t="str">
        <f>HYPERLINK("https://www.google.com/maps/search/?api=1&amp;query=41.78792,-87.970972","map")</f>
        <v>map</v>
      </c>
    </row>
    <row r="6439" spans="1:32">
      <c r="A6439" t="s">
        <v>6489</v>
      </c>
      <c r="B6439" t="s">
        <v>13969</v>
      </c>
      <c r="C6439" t="s">
        <v>16024</v>
      </c>
      <c r="D6439" t="s">
        <v>16211</v>
      </c>
      <c r="E6439" t="s">
        <v>16218</v>
      </c>
      <c r="F6439" t="s">
        <v>16220</v>
      </c>
      <c r="G6439" t="s">
        <v>16238</v>
      </c>
      <c r="H6439" t="s">
        <v>16238</v>
      </c>
      <c r="I6439" t="s">
        <v>16369</v>
      </c>
      <c r="J6439" t="s">
        <v>16385</v>
      </c>
      <c r="K6439">
        <v>0.313</v>
      </c>
      <c r="L6439">
        <v>13635</v>
      </c>
      <c r="M6439">
        <v>1935</v>
      </c>
      <c r="N6439" t="s">
        <v>16393</v>
      </c>
      <c r="O6439" s="4">
        <v>40458</v>
      </c>
      <c r="P6439" s="4">
        <v>77760</v>
      </c>
      <c r="Q6439" s="4">
        <v>118218</v>
      </c>
      <c r="R6439" s="4">
        <v>354654</v>
      </c>
      <c r="S6439" t="s">
        <v>22629</v>
      </c>
      <c r="X6439" t="s">
        <v>3</v>
      </c>
      <c r="AA6439" s="5" t="str">
        <f>HYPERLINK("https://www.zillow.com/homes/235-S-CASS-AVE-WESTMONT-IL-60559_rb/","check listing")</f>
        <v>check listing</v>
      </c>
      <c r="AB6439" s="5" t="str">
        <f>HYPERLINK("https://propertylookup.dupagecounty.gov/Datalets/Datalet.aspx?UseSearch=no&amp;mode=sales&amp;pin=0910310008","sales record")</f>
        <v>sales record</v>
      </c>
      <c r="AC6439" t="s">
        <v>3</v>
      </c>
      <c r="AD6439">
        <v>41.790342</v>
      </c>
      <c r="AE6439">
        <v>-87.974615</v>
      </c>
      <c r="AF6439" s="5" t="str">
        <f>HYPERLINK("https://www.google.com/maps/search/?api=1&amp;query=41.790342,-87.974615","map")</f>
        <v>map</v>
      </c>
    </row>
    <row r="6440" spans="1:32">
      <c r="A6440" t="s">
        <v>6490</v>
      </c>
      <c r="B6440" t="s">
        <v>13970</v>
      </c>
      <c r="C6440" t="s">
        <v>16024</v>
      </c>
      <c r="D6440" t="s">
        <v>16211</v>
      </c>
      <c r="E6440" t="s">
        <v>16218</v>
      </c>
      <c r="F6440" t="s">
        <v>16220</v>
      </c>
      <c r="G6440" t="s">
        <v>16238</v>
      </c>
      <c r="H6440" t="s">
        <v>16238</v>
      </c>
      <c r="I6440" t="s">
        <v>16369</v>
      </c>
      <c r="J6440" t="s">
        <v>16385</v>
      </c>
      <c r="K6440">
        <v>0.31</v>
      </c>
      <c r="L6440">
        <v>13505</v>
      </c>
      <c r="M6440">
        <v>1027</v>
      </c>
      <c r="N6440" t="s">
        <v>16393</v>
      </c>
      <c r="O6440" s="4">
        <v>49050</v>
      </c>
      <c r="P6440" s="4">
        <v>37219</v>
      </c>
      <c r="Q6440" s="4">
        <v>86269</v>
      </c>
      <c r="R6440" s="4">
        <v>258807</v>
      </c>
      <c r="S6440" t="s">
        <v>22630</v>
      </c>
      <c r="T6440" s="6">
        <v>39722</v>
      </c>
      <c r="U6440" s="4">
        <v>148000</v>
      </c>
      <c r="V6440" t="s">
        <v>23738</v>
      </c>
      <c r="W6440" t="s">
        <v>27275</v>
      </c>
      <c r="X6440" t="s">
        <v>3</v>
      </c>
      <c r="AA6440" s="5" t="str">
        <f>HYPERLINK("https://www.zillow.com/homes/319-S-CASS-AVE-WESTMONT-IL-60559_rb/","check listing")</f>
        <v>check listing</v>
      </c>
      <c r="AB6440" s="5" t="str">
        <f>HYPERLINK("https://propertylookup.dupagecounty.gov/Datalets/Datalet.aspx?UseSearch=no&amp;mode=sales&amp;pin=0910315004","sales record")</f>
        <v>sales record</v>
      </c>
      <c r="AC6440" t="s">
        <v>3</v>
      </c>
      <c r="AD6440">
        <v>41.789322</v>
      </c>
      <c r="AE6440">
        <v>-87.974661</v>
      </c>
      <c r="AF6440" s="5" t="str">
        <f>HYPERLINK("https://www.google.com/maps/search/?api=1&amp;query=41.789322,-87.974661","map")</f>
        <v>map</v>
      </c>
    </row>
    <row r="6441" spans="1:32">
      <c r="A6441" t="s">
        <v>6491</v>
      </c>
      <c r="B6441" t="s">
        <v>13971</v>
      </c>
      <c r="C6441" t="s">
        <v>16024</v>
      </c>
      <c r="D6441" t="s">
        <v>16211</v>
      </c>
      <c r="E6441" t="s">
        <v>16218</v>
      </c>
      <c r="F6441" t="s">
        <v>16220</v>
      </c>
      <c r="G6441" t="s">
        <v>16238</v>
      </c>
      <c r="H6441" t="s">
        <v>16238</v>
      </c>
      <c r="I6441" t="s">
        <v>16369</v>
      </c>
      <c r="J6441" t="s">
        <v>16385</v>
      </c>
      <c r="K6441">
        <v>0.31</v>
      </c>
      <c r="L6441">
        <v>13504</v>
      </c>
      <c r="M6441">
        <v>866</v>
      </c>
      <c r="N6441" t="s">
        <v>16393</v>
      </c>
      <c r="O6441" s="4">
        <v>49050</v>
      </c>
      <c r="P6441" s="4">
        <v>46750</v>
      </c>
      <c r="Q6441" s="4">
        <v>95800</v>
      </c>
      <c r="R6441" s="4">
        <v>287400</v>
      </c>
      <c r="S6441" t="s">
        <v>22631</v>
      </c>
      <c r="T6441" s="6">
        <v>41518</v>
      </c>
      <c r="U6441" s="4">
        <v>145000</v>
      </c>
      <c r="V6441" t="s">
        <v>23739</v>
      </c>
      <c r="W6441" t="s">
        <v>27276</v>
      </c>
      <c r="X6441" t="s">
        <v>3</v>
      </c>
      <c r="AA6441" s="5" t="str">
        <f>HYPERLINK("https://www.zillow.com/homes/315-S-CASS-AVE-WESTMONT-IL-60559_rb/","check listing")</f>
        <v>check listing</v>
      </c>
      <c r="AB6441" s="5" t="str">
        <f>HYPERLINK("https://propertylookup.dupagecounty.gov/Datalets/Datalet.aspx?UseSearch=no&amp;mode=sales&amp;pin=0910315003","sales record")</f>
        <v>sales record</v>
      </c>
      <c r="AC6441" t="s">
        <v>3</v>
      </c>
      <c r="AD6441">
        <v>41.789596</v>
      </c>
      <c r="AE6441">
        <v>-87.974671</v>
      </c>
      <c r="AF6441" s="5" t="str">
        <f>HYPERLINK("https://www.google.com/maps/search/?api=1&amp;query=41.789596,-87.974671","map")</f>
        <v>map</v>
      </c>
    </row>
    <row r="6442" spans="1:32">
      <c r="A6442" t="s">
        <v>6492</v>
      </c>
      <c r="B6442" t="s">
        <v>13972</v>
      </c>
      <c r="C6442" t="s">
        <v>16024</v>
      </c>
      <c r="D6442" t="s">
        <v>16211</v>
      </c>
      <c r="E6442" t="s">
        <v>16218</v>
      </c>
      <c r="F6442" t="s">
        <v>16220</v>
      </c>
      <c r="G6442" t="s">
        <v>16238</v>
      </c>
      <c r="H6442" t="s">
        <v>16238</v>
      </c>
      <c r="I6442" t="s">
        <v>16369</v>
      </c>
      <c r="J6442" t="s">
        <v>16385</v>
      </c>
      <c r="K6442">
        <v>0.31</v>
      </c>
      <c r="L6442">
        <v>13503</v>
      </c>
      <c r="M6442">
        <v>928</v>
      </c>
      <c r="N6442" t="s">
        <v>16393</v>
      </c>
      <c r="O6442" s="4">
        <v>49050</v>
      </c>
      <c r="P6442" s="4">
        <v>100788</v>
      </c>
      <c r="Q6442" s="4">
        <v>149838</v>
      </c>
      <c r="R6442" s="4">
        <v>449514</v>
      </c>
      <c r="S6442" t="s">
        <v>22632</v>
      </c>
      <c r="T6442" s="6">
        <v>41913</v>
      </c>
      <c r="U6442" s="4">
        <v>257500</v>
      </c>
      <c r="V6442" t="s">
        <v>23739</v>
      </c>
      <c r="W6442" t="s">
        <v>27277</v>
      </c>
      <c r="X6442" t="s">
        <v>3</v>
      </c>
      <c r="AA6442" s="5" t="str">
        <f>HYPERLINK("https://www.zillow.com/homes/309-S-CASS-AVE-WESTMONT-IL-60559_rb/","check listing")</f>
        <v>check listing</v>
      </c>
      <c r="AB6442" s="5" t="str">
        <f>HYPERLINK("https://propertylookup.dupagecounty.gov/Datalets/Datalet.aspx?UseSearch=no&amp;mode=sales&amp;pin=0910315002","sales record")</f>
        <v>sales record</v>
      </c>
      <c r="AC6442" t="s">
        <v>3</v>
      </c>
      <c r="AD6442">
        <v>41.789734</v>
      </c>
      <c r="AE6442">
        <v>-87.974675</v>
      </c>
      <c r="AF6442" s="5" t="str">
        <f>HYPERLINK("https://www.google.com/maps/search/?api=1&amp;query=41.789734,-87.974675","map")</f>
        <v>map</v>
      </c>
    </row>
    <row r="6443" spans="1:32">
      <c r="A6443" t="s">
        <v>6493</v>
      </c>
      <c r="B6443" t="s">
        <v>13973</v>
      </c>
      <c r="C6443" t="s">
        <v>16024</v>
      </c>
      <c r="D6443" t="s">
        <v>16211</v>
      </c>
      <c r="E6443" t="s">
        <v>16218</v>
      </c>
      <c r="F6443" t="s">
        <v>16220</v>
      </c>
      <c r="G6443" t="s">
        <v>16238</v>
      </c>
      <c r="H6443" t="s">
        <v>16238</v>
      </c>
      <c r="I6443" t="s">
        <v>16369</v>
      </c>
      <c r="J6443" t="s">
        <v>16385</v>
      </c>
      <c r="K6443">
        <v>0.31</v>
      </c>
      <c r="L6443">
        <v>13499</v>
      </c>
      <c r="M6443">
        <v>1229</v>
      </c>
      <c r="N6443" t="s">
        <v>16393</v>
      </c>
      <c r="O6443" s="4">
        <v>49050</v>
      </c>
      <c r="P6443" s="4">
        <v>46692</v>
      </c>
      <c r="Q6443" s="4">
        <v>95742</v>
      </c>
      <c r="R6443" s="4">
        <v>287226</v>
      </c>
      <c r="S6443" t="s">
        <v>22633</v>
      </c>
      <c r="X6443" t="s">
        <v>3</v>
      </c>
      <c r="AA6443" s="5" t="str">
        <f>HYPERLINK("https://www.zillow.com/homes/301-S-CASS-AVE-WESTMONT-IL-60559_rb/","check listing")</f>
        <v>check listing</v>
      </c>
      <c r="AB6443" s="5" t="str">
        <f>HYPERLINK("https://propertylookup.dupagecounty.gov/Datalets/Datalet.aspx?UseSearch=no&amp;mode=sales&amp;pin=0910315001","sales record")</f>
        <v>sales record</v>
      </c>
      <c r="AC6443" t="s">
        <v>3</v>
      </c>
      <c r="AD6443">
        <v>41.790008</v>
      </c>
      <c r="AE6443">
        <v>-87.97468499999999</v>
      </c>
      <c r="AF6443" s="5" t="str">
        <f>HYPERLINK("https://www.google.com/maps/search/?api=1&amp;query=41.790008,-87.974685","map")</f>
        <v>map</v>
      </c>
    </row>
    <row r="6444" spans="1:32">
      <c r="A6444" t="s">
        <v>6494</v>
      </c>
      <c r="B6444" t="s">
        <v>13974</v>
      </c>
      <c r="C6444" t="s">
        <v>16024</v>
      </c>
      <c r="D6444" t="s">
        <v>16211</v>
      </c>
      <c r="E6444" t="s">
        <v>16218</v>
      </c>
      <c r="F6444" t="s">
        <v>16220</v>
      </c>
      <c r="G6444" t="s">
        <v>16238</v>
      </c>
      <c r="H6444" t="s">
        <v>16238</v>
      </c>
      <c r="I6444" t="s">
        <v>16369</v>
      </c>
      <c r="J6444" t="s">
        <v>16385</v>
      </c>
      <c r="K6444">
        <v>0.309</v>
      </c>
      <c r="L6444">
        <v>13450</v>
      </c>
      <c r="N6444" t="s">
        <v>16393</v>
      </c>
      <c r="O6444" s="4">
        <v>51233</v>
      </c>
      <c r="P6444" s="4">
        <v>57748</v>
      </c>
      <c r="Q6444" s="4">
        <v>108981</v>
      </c>
      <c r="R6444" s="4">
        <v>326943</v>
      </c>
      <c r="S6444" t="s">
        <v>22634</v>
      </c>
      <c r="T6444" s="6">
        <v>29952</v>
      </c>
      <c r="U6444" s="4">
        <v>32500</v>
      </c>
      <c r="X6444" t="s">
        <v>3</v>
      </c>
      <c r="AA6444" s="5" t="str">
        <f>HYPERLINK("https://www.zillow.com/homes/322-N-CASS-AVE-WESTMONT-IL-60559_rb/","check listing")</f>
        <v>check listing</v>
      </c>
      <c r="AB6444" s="5" t="str">
        <f>HYPERLINK("https://propertylookup.dupagecounty.gov/Datalets/Datalet.aspx?UseSearch=no&amp;mode=sales&amp;pin=0904409025","sales record")</f>
        <v>sales record</v>
      </c>
      <c r="AC6444" t="s">
        <v>3</v>
      </c>
      <c r="AD6444">
        <v>41.803958</v>
      </c>
      <c r="AE6444">
        <v>-87.976056</v>
      </c>
      <c r="AF6444" s="5" t="str">
        <f>HYPERLINK("https://www.google.com/maps/search/?api=1&amp;query=41.803958,-87.976056","map")</f>
        <v>map</v>
      </c>
    </row>
    <row r="6445" spans="1:32">
      <c r="A6445" t="s">
        <v>6495</v>
      </c>
      <c r="B6445" t="s">
        <v>13975</v>
      </c>
      <c r="C6445" t="s">
        <v>16032</v>
      </c>
      <c r="D6445" t="s">
        <v>16211</v>
      </c>
      <c r="E6445" t="s">
        <v>16218</v>
      </c>
      <c r="F6445" t="s">
        <v>16220</v>
      </c>
      <c r="G6445" t="s">
        <v>16238</v>
      </c>
      <c r="H6445" t="s">
        <v>16238</v>
      </c>
      <c r="I6445" t="s">
        <v>16369</v>
      </c>
      <c r="J6445" t="s">
        <v>16385</v>
      </c>
      <c r="K6445">
        <v>0.301</v>
      </c>
      <c r="L6445">
        <v>13127</v>
      </c>
      <c r="M6445">
        <v>1740</v>
      </c>
      <c r="N6445" t="s">
        <v>16393</v>
      </c>
      <c r="O6445" s="4">
        <v>52439</v>
      </c>
      <c r="P6445" s="4">
        <v>61924</v>
      </c>
      <c r="Q6445" s="4">
        <v>114363</v>
      </c>
      <c r="R6445" s="4">
        <v>343089</v>
      </c>
      <c r="S6445" t="s">
        <v>22624</v>
      </c>
      <c r="T6445" s="6">
        <v>45089</v>
      </c>
      <c r="U6445" s="4">
        <v>318000</v>
      </c>
      <c r="V6445" t="s">
        <v>23739</v>
      </c>
      <c r="W6445" t="s">
        <v>27278</v>
      </c>
      <c r="X6445" t="s">
        <v>3</v>
      </c>
      <c r="AA6445" s="5" t="str">
        <f>HYPERLINK("https://www.zillow.com/homes/135-E-55TH-ST-WESTMONT-IL-605592051_rb/","check listing")</f>
        <v>check listing</v>
      </c>
      <c r="AB6445" s="5" t="str">
        <f>HYPERLINK("https://propertylookup.dupagecounty.gov/Datalets/Datalet.aspx?UseSearch=no&amp;mode=sales&amp;pin=0915102043","sales record")</f>
        <v>sales record</v>
      </c>
      <c r="AC6445" t="s">
        <v>3</v>
      </c>
      <c r="AD6445">
        <v>41.787908</v>
      </c>
      <c r="AE6445">
        <v>-87.97045799999999</v>
      </c>
      <c r="AF6445" s="5" t="str">
        <f>HYPERLINK("https://www.google.com/maps/search/?api=1&amp;query=41.787908,-87.970458","map")</f>
        <v>map</v>
      </c>
    </row>
    <row r="6446" spans="1:32">
      <c r="A6446" t="s">
        <v>6496</v>
      </c>
      <c r="B6446" t="s">
        <v>13976</v>
      </c>
      <c r="C6446" t="s">
        <v>16024</v>
      </c>
      <c r="D6446" t="s">
        <v>16211</v>
      </c>
      <c r="E6446" t="s">
        <v>16218</v>
      </c>
      <c r="F6446" t="s">
        <v>16220</v>
      </c>
      <c r="G6446" t="s">
        <v>16238</v>
      </c>
      <c r="H6446" t="s">
        <v>16238</v>
      </c>
      <c r="I6446" t="s">
        <v>16369</v>
      </c>
      <c r="J6446" t="s">
        <v>16385</v>
      </c>
      <c r="K6446">
        <v>0.269</v>
      </c>
      <c r="L6446">
        <v>11730</v>
      </c>
      <c r="M6446">
        <v>2261</v>
      </c>
      <c r="N6446" t="s">
        <v>16393</v>
      </c>
      <c r="O6446" s="4">
        <v>46750</v>
      </c>
      <c r="P6446" s="4">
        <v>42466</v>
      </c>
      <c r="Q6446" s="4">
        <v>89216</v>
      </c>
      <c r="R6446" s="4">
        <v>267648</v>
      </c>
      <c r="S6446" t="s">
        <v>22635</v>
      </c>
      <c r="T6446" s="6">
        <v>40940</v>
      </c>
      <c r="U6446" s="4">
        <v>135000</v>
      </c>
      <c r="V6446" t="s">
        <v>23740</v>
      </c>
      <c r="W6446" t="s">
        <v>27279</v>
      </c>
      <c r="X6446" t="s">
        <v>3</v>
      </c>
      <c r="AA6446" s="5" t="str">
        <f>HYPERLINK("https://www.zillow.com/homes/103-E-55TH-ST-WESTMONT-IL-60559_rb/","check listing")</f>
        <v>check listing</v>
      </c>
      <c r="AB6446" s="5" t="str">
        <f>HYPERLINK("https://propertylookup.dupagecounty.gov/Datalets/Datalet.aspx?UseSearch=no&amp;mode=sales&amp;pin=0915102025","sales record")</f>
        <v>sales record</v>
      </c>
      <c r="AC6446" t="s">
        <v>3</v>
      </c>
      <c r="AD6446">
        <v>41.78785</v>
      </c>
      <c r="AE6446">
        <v>-87.972037</v>
      </c>
      <c r="AF6446" s="5" t="str">
        <f>HYPERLINK("https://www.google.com/maps/search/?api=1&amp;query=41.78785,-87.972037","map")</f>
        <v>map</v>
      </c>
    </row>
    <row r="6447" spans="1:32">
      <c r="A6447" t="s">
        <v>6497</v>
      </c>
      <c r="B6447" t="s">
        <v>13977</v>
      </c>
      <c r="C6447" t="s">
        <v>16024</v>
      </c>
      <c r="D6447" t="s">
        <v>16211</v>
      </c>
      <c r="E6447" t="s">
        <v>16218</v>
      </c>
      <c r="F6447" t="s">
        <v>16220</v>
      </c>
      <c r="G6447" t="s">
        <v>16238</v>
      </c>
      <c r="H6447" t="s">
        <v>16238</v>
      </c>
      <c r="I6447" t="s">
        <v>16369</v>
      </c>
      <c r="J6447" t="s">
        <v>16385</v>
      </c>
      <c r="K6447">
        <v>0.257</v>
      </c>
      <c r="L6447">
        <v>11206</v>
      </c>
      <c r="M6447">
        <v>1282</v>
      </c>
      <c r="N6447" t="s">
        <v>16393</v>
      </c>
      <c r="O6447" s="4">
        <v>33311</v>
      </c>
      <c r="P6447" s="4">
        <v>44144</v>
      </c>
      <c r="Q6447" s="4">
        <v>77455</v>
      </c>
      <c r="R6447" s="4">
        <v>232365</v>
      </c>
      <c r="S6447" t="s">
        <v>22636</v>
      </c>
      <c r="X6447" t="s">
        <v>3</v>
      </c>
      <c r="AA6447" s="5" t="str">
        <f>HYPERLINK("https://www.zillow.com/homes/211-S-CASS-AVE-WESTMONT-IL-60559_rb/","check listing")</f>
        <v>check listing</v>
      </c>
      <c r="AB6447" s="5" t="str">
        <f>HYPERLINK("https://propertylookup.dupagecounty.gov/Datalets/Datalet.aspx?UseSearch=no&amp;mode=sales&amp;pin=0910310003","sales record")</f>
        <v>sales record</v>
      </c>
      <c r="AC6447" t="s">
        <v>3</v>
      </c>
      <c r="AD6447">
        <v>41.791043</v>
      </c>
      <c r="AE6447">
        <v>-87.97463999999999</v>
      </c>
      <c r="AF6447" s="5" t="str">
        <f>HYPERLINK("https://www.google.com/maps/search/?api=1&amp;query=41.791043,-87.97464","map")</f>
        <v>map</v>
      </c>
    </row>
    <row r="6448" spans="1:32">
      <c r="A6448" t="s">
        <v>6498</v>
      </c>
      <c r="B6448" t="s">
        <v>13978</v>
      </c>
      <c r="C6448" t="s">
        <v>16024</v>
      </c>
      <c r="D6448" t="s">
        <v>16211</v>
      </c>
      <c r="E6448" t="s">
        <v>16218</v>
      </c>
      <c r="F6448" t="s">
        <v>16220</v>
      </c>
      <c r="G6448" t="s">
        <v>16238</v>
      </c>
      <c r="H6448" t="s">
        <v>16238</v>
      </c>
      <c r="I6448" t="s">
        <v>16369</v>
      </c>
      <c r="J6448" t="s">
        <v>16385</v>
      </c>
      <c r="K6448">
        <v>0.257</v>
      </c>
      <c r="L6448">
        <v>11202</v>
      </c>
      <c r="M6448">
        <v>654</v>
      </c>
      <c r="N6448" t="s">
        <v>16393</v>
      </c>
      <c r="O6448" s="4">
        <v>33311</v>
      </c>
      <c r="P6448" s="4">
        <v>30928</v>
      </c>
      <c r="Q6448" s="4">
        <v>64239</v>
      </c>
      <c r="R6448" s="4">
        <v>192717</v>
      </c>
      <c r="S6448" t="s">
        <v>22637</v>
      </c>
      <c r="T6448" s="6">
        <v>41275</v>
      </c>
      <c r="U6448" s="4">
        <v>73800</v>
      </c>
      <c r="V6448" t="s">
        <v>16232</v>
      </c>
      <c r="W6448" t="s">
        <v>27280</v>
      </c>
      <c r="X6448" t="s">
        <v>3</v>
      </c>
      <c r="AA6448" s="5" t="str">
        <f>HYPERLINK("https://www.zillow.com/homes/205-S-CASS-AVE-WESTMONT-IL-60559_rb/","check listing")</f>
        <v>check listing</v>
      </c>
      <c r="AB6448" s="5" t="str">
        <f>HYPERLINK("https://propertylookup.dupagecounty.gov/Datalets/Datalet.aspx?UseSearch=no&amp;mode=sales&amp;pin=0910310002","sales record")</f>
        <v>sales record</v>
      </c>
      <c r="AC6448" t="s">
        <v>27873</v>
      </c>
      <c r="AD6448">
        <v>41.79118</v>
      </c>
      <c r="AE6448">
        <v>-87.974645</v>
      </c>
      <c r="AF6448" s="5" t="str">
        <f>HYPERLINK("https://www.google.com/maps/search/?api=1&amp;query=41.79118,-87.974645","map")</f>
        <v>map</v>
      </c>
    </row>
    <row r="6449" spans="1:32">
      <c r="A6449" t="s">
        <v>6499</v>
      </c>
      <c r="B6449" t="s">
        <v>13979</v>
      </c>
      <c r="C6449" t="s">
        <v>16035</v>
      </c>
      <c r="D6449" t="s">
        <v>16211</v>
      </c>
      <c r="E6449" t="s">
        <v>16218</v>
      </c>
      <c r="F6449" t="s">
        <v>16220</v>
      </c>
      <c r="G6449" t="s">
        <v>16238</v>
      </c>
      <c r="H6449" t="s">
        <v>16238</v>
      </c>
      <c r="I6449" t="s">
        <v>16369</v>
      </c>
      <c r="J6449" t="s">
        <v>16385</v>
      </c>
      <c r="K6449">
        <v>0.253</v>
      </c>
      <c r="L6449">
        <v>11017</v>
      </c>
      <c r="M6449">
        <v>1710</v>
      </c>
      <c r="N6449" t="s">
        <v>16393</v>
      </c>
      <c r="O6449" s="4">
        <v>53147</v>
      </c>
      <c r="P6449" s="4">
        <v>38593</v>
      </c>
      <c r="Q6449" s="4">
        <v>91740</v>
      </c>
      <c r="R6449" s="4">
        <v>275220</v>
      </c>
      <c r="S6449" t="s">
        <v>22638</v>
      </c>
      <c r="T6449" s="6">
        <v>42064</v>
      </c>
      <c r="U6449" s="4">
        <v>135000</v>
      </c>
      <c r="V6449" t="s">
        <v>23739</v>
      </c>
      <c r="W6449" t="s">
        <v>27281</v>
      </c>
      <c r="X6449" t="s">
        <v>3</v>
      </c>
      <c r="AA6449" s="5" t="str">
        <f>HYPERLINK("https://www.zillow.com/homes/434-S-CASS-AVE-WESTMONT-IL-605592337_rb/","check listing")</f>
        <v>check listing</v>
      </c>
      <c r="AB6449" s="5" t="str">
        <f>HYPERLINK("https://propertylookup.dupagecounty.gov/Datalets/Datalet.aspx?UseSearch=no&amp;mode=sales&amp;pin=0916205034","sales record")</f>
        <v>sales record</v>
      </c>
      <c r="AC6449" t="s">
        <v>3</v>
      </c>
      <c r="AD6449">
        <v>41.786513</v>
      </c>
      <c r="AE6449">
        <v>-87.975425</v>
      </c>
      <c r="AF6449" s="5" t="str">
        <f>HYPERLINK("https://www.google.com/maps/search/?api=1&amp;query=41.786513,-87.975425","map")</f>
        <v>map</v>
      </c>
    </row>
    <row r="6450" spans="1:32">
      <c r="A6450" t="s">
        <v>6500</v>
      </c>
      <c r="B6450" t="s">
        <v>13980</v>
      </c>
      <c r="C6450" t="s">
        <v>16036</v>
      </c>
      <c r="D6450" t="s">
        <v>16211</v>
      </c>
      <c r="E6450" t="s">
        <v>16218</v>
      </c>
      <c r="F6450" t="s">
        <v>16220</v>
      </c>
      <c r="G6450" t="s">
        <v>16238</v>
      </c>
      <c r="H6450" t="s">
        <v>16238</v>
      </c>
      <c r="I6450" t="s">
        <v>16369</v>
      </c>
      <c r="J6450" t="s">
        <v>16385</v>
      </c>
      <c r="K6450">
        <v>0.252</v>
      </c>
      <c r="L6450">
        <v>10962</v>
      </c>
      <c r="M6450">
        <v>1596</v>
      </c>
      <c r="N6450" t="s">
        <v>16393</v>
      </c>
      <c r="O6450" s="4">
        <v>60107</v>
      </c>
      <c r="P6450" s="4">
        <v>83817</v>
      </c>
      <c r="Q6450" s="4">
        <v>143924</v>
      </c>
      <c r="R6450" s="4">
        <v>431772</v>
      </c>
      <c r="S6450" t="s">
        <v>22639</v>
      </c>
      <c r="T6450" s="6">
        <v>43891</v>
      </c>
      <c r="U6450" s="4">
        <v>200000</v>
      </c>
      <c r="V6450" t="s">
        <v>23739</v>
      </c>
      <c r="W6450" t="s">
        <v>27282</v>
      </c>
      <c r="X6450" t="s">
        <v>3</v>
      </c>
      <c r="AA6450" s="5" t="str">
        <f>HYPERLINK("https://www.zillow.com/homes/511-S-CASS-AVE-WESTMONT-IL-605592318_rb/","check listing")</f>
        <v>check listing</v>
      </c>
      <c r="AB6450" s="5" t="str">
        <f>HYPERLINK("https://propertylookup.dupagecounty.gov/Datalets/Datalet.aspx?UseSearch=no&amp;mode=sales&amp;pin=0915105004","sales record")</f>
        <v>sales record</v>
      </c>
      <c r="AC6450" t="s">
        <v>3</v>
      </c>
      <c r="AD6450">
        <v>41.785678</v>
      </c>
      <c r="AE6450">
        <v>-87.97461199999999</v>
      </c>
      <c r="AF6450" s="5" t="str">
        <f>HYPERLINK("https://www.google.com/maps/search/?api=1&amp;query=41.785678,-87.974612","map")</f>
        <v>map</v>
      </c>
    </row>
    <row r="6451" spans="1:32">
      <c r="A6451" t="s">
        <v>6501</v>
      </c>
      <c r="B6451" t="s">
        <v>13981</v>
      </c>
      <c r="C6451" t="s">
        <v>16037</v>
      </c>
      <c r="D6451" t="s">
        <v>16211</v>
      </c>
      <c r="E6451" t="s">
        <v>16218</v>
      </c>
      <c r="F6451" t="s">
        <v>16220</v>
      </c>
      <c r="G6451" t="s">
        <v>16238</v>
      </c>
      <c r="H6451" t="s">
        <v>16238</v>
      </c>
      <c r="I6451" t="s">
        <v>16369</v>
      </c>
      <c r="J6451" t="s">
        <v>16385</v>
      </c>
      <c r="K6451">
        <v>0.248</v>
      </c>
      <c r="L6451">
        <v>10796</v>
      </c>
      <c r="M6451">
        <v>943</v>
      </c>
      <c r="N6451" t="s">
        <v>16393</v>
      </c>
      <c r="O6451" s="4">
        <v>41139</v>
      </c>
      <c r="P6451" s="4">
        <v>61868</v>
      </c>
      <c r="Q6451" s="4">
        <v>103007</v>
      </c>
      <c r="R6451" s="4">
        <v>309021</v>
      </c>
      <c r="S6451" t="s">
        <v>22640</v>
      </c>
      <c r="T6451" s="6">
        <v>44652</v>
      </c>
      <c r="U6451" s="4">
        <v>200000</v>
      </c>
      <c r="V6451" t="s">
        <v>23739</v>
      </c>
      <c r="W6451" t="s">
        <v>27283</v>
      </c>
      <c r="X6451" t="s">
        <v>3</v>
      </c>
      <c r="AA6451" s="5" t="str">
        <f>HYPERLINK("https://www.zillow.com/homes/402-N-CASS-AVE-WESTMONT-IL-605591502_rb/","check listing")</f>
        <v>check listing</v>
      </c>
      <c r="AB6451" s="5" t="str">
        <f>HYPERLINK("https://propertylookup.dupagecounty.gov/Datalets/Datalet.aspx?UseSearch=no&amp;mode=sales&amp;pin=0904409035","sales record")</f>
        <v>sales record</v>
      </c>
      <c r="AC6451" t="s">
        <v>3</v>
      </c>
      <c r="AD6451">
        <v>41.804536</v>
      </c>
      <c r="AE6451">
        <v>-87.97608</v>
      </c>
      <c r="AF6451" s="5" t="str">
        <f>HYPERLINK("https://www.google.com/maps/search/?api=1&amp;query=41.804536,-87.97608","map")</f>
        <v>map</v>
      </c>
    </row>
    <row r="6452" spans="1:32">
      <c r="A6452" t="s">
        <v>6502</v>
      </c>
      <c r="B6452" t="s">
        <v>13982</v>
      </c>
      <c r="C6452" t="s">
        <v>16038</v>
      </c>
      <c r="D6452" t="s">
        <v>16211</v>
      </c>
      <c r="E6452" t="s">
        <v>16218</v>
      </c>
      <c r="F6452" t="s">
        <v>16220</v>
      </c>
      <c r="G6452" t="s">
        <v>16238</v>
      </c>
      <c r="H6452" t="s">
        <v>16238</v>
      </c>
      <c r="I6452" t="s">
        <v>16369</v>
      </c>
      <c r="J6452" t="s">
        <v>16385</v>
      </c>
      <c r="K6452">
        <v>0.242</v>
      </c>
      <c r="L6452">
        <v>10561</v>
      </c>
      <c r="M6452">
        <v>1066</v>
      </c>
      <c r="N6452" t="s">
        <v>16393</v>
      </c>
      <c r="O6452" s="4">
        <v>52924</v>
      </c>
      <c r="P6452" s="4">
        <v>226790</v>
      </c>
      <c r="Q6452" s="4">
        <v>279714</v>
      </c>
      <c r="R6452" s="4">
        <v>839142</v>
      </c>
      <c r="S6452" t="s">
        <v>22641</v>
      </c>
      <c r="T6452" s="6">
        <v>41334</v>
      </c>
      <c r="U6452" s="4">
        <v>70000</v>
      </c>
      <c r="V6452" t="s">
        <v>23739</v>
      </c>
      <c r="W6452" t="s">
        <v>22641</v>
      </c>
      <c r="X6452" t="s">
        <v>3</v>
      </c>
      <c r="AA6452" s="5" t="str">
        <f>HYPERLINK("https://www.zillow.com/homes/47-E-55TH-ST-WESTMONT-IL-605592064_rb/","check listing")</f>
        <v>check listing</v>
      </c>
      <c r="AB6452" s="5" t="str">
        <f>HYPERLINK("https://propertylookup.dupagecounty.gov/Datalets/Datalet.aspx?UseSearch=no&amp;mode=sales&amp;pin=0915102028","sales record")</f>
        <v>sales record</v>
      </c>
      <c r="AC6452" t="s">
        <v>3</v>
      </c>
      <c r="AD6452">
        <v>41.788051</v>
      </c>
      <c r="AE6452">
        <v>-87.972399</v>
      </c>
      <c r="AF6452" s="5" t="str">
        <f>HYPERLINK("https://www.google.com/maps/search/?api=1&amp;query=41.788051,-87.972399","map")</f>
        <v>map</v>
      </c>
    </row>
    <row r="6453" spans="1:32">
      <c r="A6453" t="s">
        <v>6503</v>
      </c>
      <c r="B6453" t="s">
        <v>13983</v>
      </c>
      <c r="C6453" t="s">
        <v>16039</v>
      </c>
      <c r="D6453" t="s">
        <v>16211</v>
      </c>
      <c r="E6453" t="s">
        <v>16218</v>
      </c>
      <c r="F6453" t="s">
        <v>16220</v>
      </c>
      <c r="G6453" t="s">
        <v>16238</v>
      </c>
      <c r="H6453" t="s">
        <v>16238</v>
      </c>
      <c r="I6453" t="s">
        <v>16369</v>
      </c>
      <c r="J6453" t="s">
        <v>16385</v>
      </c>
      <c r="K6453">
        <v>0.242</v>
      </c>
      <c r="L6453">
        <v>10539</v>
      </c>
      <c r="M6453">
        <v>1637</v>
      </c>
      <c r="N6453" t="s">
        <v>16393</v>
      </c>
      <c r="O6453" s="4">
        <v>54555</v>
      </c>
      <c r="P6453" s="4">
        <v>85788</v>
      </c>
      <c r="Q6453" s="4">
        <v>140343</v>
      </c>
      <c r="R6453" s="4">
        <v>421029</v>
      </c>
      <c r="S6453" t="s">
        <v>22642</v>
      </c>
      <c r="T6453" s="6">
        <v>37043</v>
      </c>
      <c r="U6453" s="4">
        <v>204500</v>
      </c>
      <c r="V6453" t="s">
        <v>23739</v>
      </c>
      <c r="W6453" t="s">
        <v>27284</v>
      </c>
      <c r="X6453" t="s">
        <v>3</v>
      </c>
      <c r="AA6453" s="5" t="str">
        <f>HYPERLINK("https://www.zillow.com/homes/6-W-55TH-PL-WESTMONT-IL-605592335_rb/","check listing")</f>
        <v>check listing</v>
      </c>
      <c r="AB6453" s="5" t="str">
        <f>HYPERLINK("https://propertylookup.dupagecounty.gov/Datalets/Datalet.aspx?UseSearch=no&amp;mode=sales&amp;pin=0916204032","sales record")</f>
        <v>sales record</v>
      </c>
      <c r="AC6453" t="s">
        <v>3</v>
      </c>
      <c r="AD6453">
        <v>41.78746</v>
      </c>
      <c r="AE6453">
        <v>-87.975544</v>
      </c>
      <c r="AF6453" s="5" t="str">
        <f>HYPERLINK("https://www.google.com/maps/search/?api=1&amp;query=41.78746,-87.975544","map")</f>
        <v>map</v>
      </c>
    </row>
    <row r="6454" spans="1:32">
      <c r="A6454" t="s">
        <v>6504</v>
      </c>
      <c r="B6454" t="s">
        <v>13984</v>
      </c>
      <c r="C6454" t="s">
        <v>16040</v>
      </c>
      <c r="D6454" t="s">
        <v>16211</v>
      </c>
      <c r="E6454" t="s">
        <v>16218</v>
      </c>
      <c r="F6454" t="s">
        <v>16220</v>
      </c>
      <c r="G6454" t="s">
        <v>16238</v>
      </c>
      <c r="H6454" t="s">
        <v>16238</v>
      </c>
      <c r="I6454" t="s">
        <v>16369</v>
      </c>
      <c r="J6454" t="s">
        <v>16385</v>
      </c>
      <c r="K6454">
        <v>0.236</v>
      </c>
      <c r="L6454">
        <v>10295</v>
      </c>
      <c r="M6454">
        <v>969</v>
      </c>
      <c r="N6454" t="s">
        <v>16393</v>
      </c>
      <c r="O6454" s="4">
        <v>39180</v>
      </c>
      <c r="P6454" s="4">
        <v>77091</v>
      </c>
      <c r="Q6454" s="4">
        <v>116271</v>
      </c>
      <c r="R6454" s="4">
        <v>348813</v>
      </c>
      <c r="S6454" t="s">
        <v>22643</v>
      </c>
      <c r="T6454" s="6">
        <v>33086</v>
      </c>
      <c r="U6454" s="4">
        <v>123000</v>
      </c>
      <c r="X6454" t="s">
        <v>3</v>
      </c>
      <c r="AA6454" s="5" t="str">
        <f>HYPERLINK("https://www.zillow.com/homes/318-N-CASS-AVE-WESTMONT-IL-605591501_rb/","check listing")</f>
        <v>check listing</v>
      </c>
      <c r="AB6454" s="5" t="str">
        <f>HYPERLINK("https://propertylookup.dupagecounty.gov/Datalets/Datalet.aspx?UseSearch=no&amp;mode=sales&amp;pin=0904409026","sales record")</f>
        <v>sales record</v>
      </c>
      <c r="AC6454" t="s">
        <v>3</v>
      </c>
      <c r="AD6454">
        <v>41.803683</v>
      </c>
      <c r="AE6454">
        <v>-87.976045</v>
      </c>
      <c r="AF6454" s="5" t="str">
        <f>HYPERLINK("https://www.google.com/maps/search/?api=1&amp;query=41.803683,-87.976045","map")</f>
        <v>map</v>
      </c>
    </row>
    <row r="6455" spans="1:32">
      <c r="A6455" t="s">
        <v>6505</v>
      </c>
      <c r="B6455" t="s">
        <v>13985</v>
      </c>
      <c r="C6455" t="s">
        <v>16041</v>
      </c>
      <c r="D6455" t="s">
        <v>16211</v>
      </c>
      <c r="E6455" t="s">
        <v>16218</v>
      </c>
      <c r="F6455" t="s">
        <v>16220</v>
      </c>
      <c r="G6455" t="s">
        <v>16289</v>
      </c>
      <c r="H6455" t="s">
        <v>16289</v>
      </c>
      <c r="I6455" t="s">
        <v>16370</v>
      </c>
      <c r="J6455" t="s">
        <v>16385</v>
      </c>
      <c r="K6455">
        <v>0.236</v>
      </c>
      <c r="L6455">
        <v>10273</v>
      </c>
      <c r="M6455">
        <v>1185</v>
      </c>
      <c r="N6455" t="s">
        <v>16393</v>
      </c>
      <c r="O6455" s="4">
        <v>49156</v>
      </c>
      <c r="P6455" s="4">
        <v>72032</v>
      </c>
      <c r="Q6455" s="4">
        <v>121188</v>
      </c>
      <c r="R6455" s="4">
        <v>363564</v>
      </c>
      <c r="S6455" t="s">
        <v>22644</v>
      </c>
      <c r="T6455" s="6">
        <v>44013</v>
      </c>
      <c r="U6455" s="4">
        <v>340000</v>
      </c>
      <c r="V6455" t="s">
        <v>23739</v>
      </c>
      <c r="W6455" t="s">
        <v>22644</v>
      </c>
      <c r="X6455" t="s">
        <v>3</v>
      </c>
      <c r="AA6455" s="5" t="str">
        <f>HYPERLINK("https://www.zillow.com/homes/125-W-QUINCY-ST-WESTMONT-IL-605591847_rb/","check listing")</f>
        <v>check listing</v>
      </c>
      <c r="AB6455" s="5" t="str">
        <f>HYPERLINK("https://propertylookup.dupagecounty.gov/Datalets/Datalet.aspx?UseSearch=no&amp;mode=sales&amp;pin=0909403005","sales record")</f>
        <v>sales record</v>
      </c>
      <c r="AC6455" t="s">
        <v>3</v>
      </c>
      <c r="AD6455">
        <v>41.794943</v>
      </c>
      <c r="AE6455">
        <v>-87.979788</v>
      </c>
      <c r="AF6455" s="5" t="str">
        <f>HYPERLINK("https://www.google.com/maps/search/?api=1&amp;query=41.794943,-87.979788","map")</f>
        <v>map</v>
      </c>
    </row>
    <row r="6456" spans="1:32">
      <c r="A6456" t="s">
        <v>6506</v>
      </c>
      <c r="B6456" t="s">
        <v>13986</v>
      </c>
      <c r="C6456" t="s">
        <v>16024</v>
      </c>
      <c r="D6456" t="s">
        <v>16211</v>
      </c>
      <c r="E6456" t="s">
        <v>16218</v>
      </c>
      <c r="F6456" t="s">
        <v>16220</v>
      </c>
      <c r="G6456" t="s">
        <v>16289</v>
      </c>
      <c r="H6456" t="s">
        <v>16289</v>
      </c>
      <c r="I6456" t="s">
        <v>16370</v>
      </c>
      <c r="J6456" t="s">
        <v>16385</v>
      </c>
      <c r="K6456">
        <v>0.236</v>
      </c>
      <c r="L6456">
        <v>10271</v>
      </c>
      <c r="M6456">
        <v>1022</v>
      </c>
      <c r="N6456" t="s">
        <v>16393</v>
      </c>
      <c r="O6456" s="4">
        <v>49156</v>
      </c>
      <c r="P6456" s="4">
        <v>72079</v>
      </c>
      <c r="Q6456" s="4">
        <v>121235</v>
      </c>
      <c r="R6456" s="4">
        <v>363705</v>
      </c>
      <c r="S6456" t="s">
        <v>22645</v>
      </c>
      <c r="T6456" s="6">
        <v>45839</v>
      </c>
      <c r="U6456" s="4">
        <v>285000</v>
      </c>
      <c r="V6456" t="s">
        <v>23739</v>
      </c>
      <c r="W6456" t="s">
        <v>27285</v>
      </c>
      <c r="X6456" t="s">
        <v>3</v>
      </c>
      <c r="AA6456" s="5" t="str">
        <f>HYPERLINK("https://www.zillow.com/homes/205-W-QUINCY-ST-WESTMONT-IL-60559_rb/","check listing")</f>
        <v>check listing</v>
      </c>
      <c r="AB6456" s="5" t="str">
        <f>HYPERLINK("https://propertylookup.dupagecounty.gov/Datalets/Datalet.aspx?UseSearch=no&amp;mode=sales&amp;pin=0909402005","sales record")</f>
        <v>sales record</v>
      </c>
      <c r="AC6456" t="s">
        <v>3</v>
      </c>
      <c r="AD6456">
        <v>41.794939</v>
      </c>
      <c r="AE6456">
        <v>-87.981189</v>
      </c>
      <c r="AF6456" s="5" t="str">
        <f>HYPERLINK("https://www.google.com/maps/search/?api=1&amp;query=41.794939,-87.981189","map")</f>
        <v>map</v>
      </c>
    </row>
    <row r="6457" spans="1:32">
      <c r="A6457" t="s">
        <v>6507</v>
      </c>
      <c r="B6457" t="s">
        <v>13987</v>
      </c>
      <c r="C6457" t="s">
        <v>16024</v>
      </c>
      <c r="D6457" t="s">
        <v>16211</v>
      </c>
      <c r="E6457" t="s">
        <v>16218</v>
      </c>
      <c r="F6457" t="s">
        <v>16220</v>
      </c>
      <c r="G6457" t="s">
        <v>16238</v>
      </c>
      <c r="H6457" t="s">
        <v>16238</v>
      </c>
      <c r="I6457" t="s">
        <v>16369</v>
      </c>
      <c r="J6457" t="s">
        <v>16385</v>
      </c>
      <c r="K6457">
        <v>0.235</v>
      </c>
      <c r="L6457">
        <v>10221</v>
      </c>
      <c r="M6457">
        <v>1602</v>
      </c>
      <c r="N6457" t="s">
        <v>16393</v>
      </c>
      <c r="O6457" s="4">
        <v>49297</v>
      </c>
      <c r="P6457" s="4">
        <v>70882</v>
      </c>
      <c r="Q6457" s="4">
        <v>120179</v>
      </c>
      <c r="R6457" s="4">
        <v>360537</v>
      </c>
      <c r="S6457" t="s">
        <v>22646</v>
      </c>
      <c r="X6457" t="s">
        <v>3</v>
      </c>
      <c r="AA6457" s="5" t="str">
        <f>HYPERLINK("https://www.zillow.com/homes/432-S-CASS-AVE-WESTMONT-IL-60559_rb/","check listing")</f>
        <v>check listing</v>
      </c>
      <c r="AB6457" s="5" t="str">
        <f>HYPERLINK("https://propertylookup.dupagecounty.gov/Datalets/Datalet.aspx?UseSearch=no&amp;mode=sales&amp;pin=0916205035","sales record")</f>
        <v>sales record</v>
      </c>
      <c r="AC6457" t="s">
        <v>3</v>
      </c>
      <c r="AD6457">
        <v>41.786767</v>
      </c>
      <c r="AE6457">
        <v>-87.97543400000001</v>
      </c>
      <c r="AF6457" s="5" t="str">
        <f>HYPERLINK("https://www.google.com/maps/search/?api=1&amp;query=41.786767,-87.975434","map")</f>
        <v>map</v>
      </c>
    </row>
    <row r="6458" spans="1:32">
      <c r="A6458" t="s">
        <v>6508</v>
      </c>
      <c r="B6458" t="s">
        <v>13988</v>
      </c>
      <c r="C6458" t="s">
        <v>16024</v>
      </c>
      <c r="D6458" t="s">
        <v>16211</v>
      </c>
      <c r="E6458" t="s">
        <v>16218</v>
      </c>
      <c r="F6458" t="s">
        <v>16220</v>
      </c>
      <c r="G6458" t="s">
        <v>16289</v>
      </c>
      <c r="H6458" t="s">
        <v>16289</v>
      </c>
      <c r="I6458" t="s">
        <v>16370</v>
      </c>
      <c r="J6458" t="s">
        <v>16385</v>
      </c>
      <c r="K6458">
        <v>0.234</v>
      </c>
      <c r="L6458">
        <v>10202</v>
      </c>
      <c r="M6458">
        <v>2179</v>
      </c>
      <c r="N6458" t="s">
        <v>16393</v>
      </c>
      <c r="O6458" s="4">
        <v>43123</v>
      </c>
      <c r="P6458" s="4">
        <v>68136</v>
      </c>
      <c r="Q6458" s="4">
        <v>111259</v>
      </c>
      <c r="R6458" s="4">
        <v>333777</v>
      </c>
      <c r="S6458" t="s">
        <v>22647</v>
      </c>
      <c r="T6458" s="6">
        <v>41579</v>
      </c>
      <c r="U6458" s="4">
        <v>230000</v>
      </c>
      <c r="V6458" t="s">
        <v>23739</v>
      </c>
      <c r="W6458" t="s">
        <v>22647</v>
      </c>
      <c r="X6458" t="s">
        <v>3</v>
      </c>
      <c r="AA6458" s="5" t="str">
        <f>HYPERLINK("https://www.zillow.com/homes/126-W-BURLINGTON-AVE-WESTMONT-IL-60559_rb/","check listing")</f>
        <v>check listing</v>
      </c>
      <c r="AB6458" s="5" t="str">
        <f>HYPERLINK("https://propertylookup.dupagecounty.gov/Datalets/Datalet.aspx?UseSearch=no&amp;mode=sales&amp;pin=0909219021","sales record")</f>
        <v>sales record</v>
      </c>
      <c r="AC6458" t="s">
        <v>3</v>
      </c>
      <c r="AD6458">
        <v>41.796146</v>
      </c>
      <c r="AE6458">
        <v>-87.979831</v>
      </c>
      <c r="AF6458" s="5" t="str">
        <f>HYPERLINK("https://www.google.com/maps/search/?api=1&amp;query=41.796146,-87.979831","map")</f>
        <v>map</v>
      </c>
    </row>
    <row r="6459" spans="1:32">
      <c r="A6459" t="s">
        <v>6509</v>
      </c>
      <c r="B6459" t="s">
        <v>13989</v>
      </c>
      <c r="C6459" t="s">
        <v>16024</v>
      </c>
      <c r="D6459" t="s">
        <v>16211</v>
      </c>
      <c r="E6459" t="s">
        <v>16218</v>
      </c>
      <c r="F6459" t="s">
        <v>16220</v>
      </c>
      <c r="G6459" t="s">
        <v>16289</v>
      </c>
      <c r="H6459" t="s">
        <v>16289</v>
      </c>
      <c r="I6459" t="s">
        <v>16370</v>
      </c>
      <c r="J6459" t="s">
        <v>16385</v>
      </c>
      <c r="K6459">
        <v>0.234</v>
      </c>
      <c r="L6459">
        <v>10199</v>
      </c>
      <c r="M6459">
        <v>754</v>
      </c>
      <c r="N6459" t="s">
        <v>16393</v>
      </c>
      <c r="O6459" s="4">
        <v>43123</v>
      </c>
      <c r="P6459" s="4">
        <v>35893</v>
      </c>
      <c r="Q6459" s="4">
        <v>79016</v>
      </c>
      <c r="R6459" s="4">
        <v>237048</v>
      </c>
      <c r="S6459" t="s">
        <v>22648</v>
      </c>
      <c r="T6459" s="6">
        <v>31444</v>
      </c>
      <c r="U6459" s="4">
        <v>54000</v>
      </c>
      <c r="X6459" t="s">
        <v>3</v>
      </c>
      <c r="AA6459" s="5" t="str">
        <f>HYPERLINK("https://www.zillow.com/homes/200-BURLINGTON-AVE-WESTMONT-IL-60559_rb/","check listing")</f>
        <v>check listing</v>
      </c>
      <c r="AB6459" s="5" t="str">
        <f>HYPERLINK("https://propertylookup.dupagecounty.gov/Datalets/Datalet.aspx?UseSearch=no&amp;mode=sales&amp;pin=0909218021","sales record")</f>
        <v>sales record</v>
      </c>
      <c r="AC6459" t="s">
        <v>27873</v>
      </c>
      <c r="AD6459">
        <v>41.796143</v>
      </c>
      <c r="AE6459">
        <v>-87.981233</v>
      </c>
      <c r="AF6459" s="5" t="str">
        <f>HYPERLINK("https://www.google.com/maps/search/?api=1&amp;query=41.796143,-87.981233","map")</f>
        <v>map</v>
      </c>
    </row>
    <row r="6460" spans="1:32">
      <c r="A6460" t="s">
        <v>6510</v>
      </c>
      <c r="B6460" t="s">
        <v>13990</v>
      </c>
      <c r="C6460" t="s">
        <v>16036</v>
      </c>
      <c r="D6460" t="s">
        <v>16211</v>
      </c>
      <c r="E6460" t="s">
        <v>16218</v>
      </c>
      <c r="F6460" t="s">
        <v>16220</v>
      </c>
      <c r="G6460" t="s">
        <v>16238</v>
      </c>
      <c r="H6460" t="s">
        <v>16238</v>
      </c>
      <c r="I6460" t="s">
        <v>16369</v>
      </c>
      <c r="J6460" t="s">
        <v>16385</v>
      </c>
      <c r="K6460">
        <v>0.229</v>
      </c>
      <c r="L6460">
        <v>9982</v>
      </c>
      <c r="M6460">
        <v>1354</v>
      </c>
      <c r="N6460" t="s">
        <v>16393</v>
      </c>
      <c r="O6460" s="4">
        <v>50835</v>
      </c>
      <c r="P6460" s="4">
        <v>45647</v>
      </c>
      <c r="Q6460" s="4">
        <v>96482</v>
      </c>
      <c r="R6460" s="4">
        <v>289446</v>
      </c>
      <c r="S6460" t="s">
        <v>22649</v>
      </c>
      <c r="T6460" s="6">
        <v>44348</v>
      </c>
      <c r="U6460" s="4">
        <v>250000</v>
      </c>
      <c r="V6460" t="s">
        <v>23739</v>
      </c>
      <c r="W6460" t="s">
        <v>27286</v>
      </c>
      <c r="X6460" t="s">
        <v>3</v>
      </c>
      <c r="AA6460" s="5" t="str">
        <f>HYPERLINK("https://www.zillow.com/homes/501-S-CASS-AVE-WESTMONT-IL-605592318_rb/","check listing")</f>
        <v>check listing</v>
      </c>
      <c r="AB6460" s="5" t="str">
        <f>HYPERLINK("https://propertylookup.dupagecounty.gov/Datalets/Datalet.aspx?UseSearch=no&amp;mode=sales&amp;pin=0915105001","sales record")</f>
        <v>sales record</v>
      </c>
      <c r="AC6460" t="s">
        <v>3</v>
      </c>
      <c r="AD6460">
        <v>41.786206</v>
      </c>
      <c r="AE6460">
        <v>-87.9746</v>
      </c>
      <c r="AF6460" s="5" t="str">
        <f>HYPERLINK("https://www.google.com/maps/search/?api=1&amp;query=41.786206,-87.9746","map")</f>
        <v>map</v>
      </c>
    </row>
    <row r="6461" spans="1:32">
      <c r="A6461" t="s">
        <v>6511</v>
      </c>
      <c r="B6461" t="s">
        <v>13991</v>
      </c>
      <c r="C6461" t="s">
        <v>16042</v>
      </c>
      <c r="D6461" t="s">
        <v>16211</v>
      </c>
      <c r="E6461" t="s">
        <v>16218</v>
      </c>
      <c r="F6461" t="s">
        <v>16220</v>
      </c>
      <c r="G6461" t="s">
        <v>16238</v>
      </c>
      <c r="H6461" t="s">
        <v>16238</v>
      </c>
      <c r="I6461" t="s">
        <v>16369</v>
      </c>
      <c r="J6461" t="s">
        <v>16385</v>
      </c>
      <c r="K6461">
        <v>0.227</v>
      </c>
      <c r="L6461">
        <v>9900</v>
      </c>
      <c r="M6461">
        <v>2139</v>
      </c>
      <c r="N6461" t="s">
        <v>16393</v>
      </c>
      <c r="O6461" s="4">
        <v>26734</v>
      </c>
      <c r="P6461" s="4">
        <v>357956</v>
      </c>
      <c r="Q6461" s="4">
        <v>384690</v>
      </c>
      <c r="R6461" s="4">
        <v>1154070</v>
      </c>
      <c r="S6461" t="s">
        <v>22650</v>
      </c>
      <c r="X6461" t="s">
        <v>3</v>
      </c>
      <c r="AA6461" s="5" t="str">
        <f>HYPERLINK("https://www.zillow.com/homes/30-WILLOW-CREST-DR-WESTMONT-IL-60523_rb/","check listing")</f>
        <v>check listing</v>
      </c>
      <c r="AB6461" s="5" t="str">
        <f>HYPERLINK("https://propertylookup.dupagecounty.gov/Datalets/Datalet.aspx?UseSearch=no&amp;mode=sales&amp;pin=0634300034","sales record")</f>
        <v>sales record</v>
      </c>
      <c r="AC6461" t="s">
        <v>27873</v>
      </c>
      <c r="AD6461">
        <v>41.819988</v>
      </c>
      <c r="AE6461">
        <v>-87.96863500000001</v>
      </c>
      <c r="AF6461" s="5" t="str">
        <f>HYPERLINK("https://www.google.com/maps/search/?api=1&amp;query=41.819988,-87.968635","map")</f>
        <v>map</v>
      </c>
    </row>
    <row r="6462" spans="1:32">
      <c r="A6462" t="s">
        <v>6512</v>
      </c>
      <c r="B6462" t="s">
        <v>13992</v>
      </c>
      <c r="C6462" t="s">
        <v>16024</v>
      </c>
      <c r="D6462" t="s">
        <v>16211</v>
      </c>
      <c r="E6462" t="s">
        <v>16218</v>
      </c>
      <c r="F6462" t="s">
        <v>16220</v>
      </c>
      <c r="G6462" t="s">
        <v>16238</v>
      </c>
      <c r="H6462" t="s">
        <v>16238</v>
      </c>
      <c r="I6462" t="s">
        <v>16369</v>
      </c>
      <c r="J6462" t="s">
        <v>16385</v>
      </c>
      <c r="K6462">
        <v>0.218</v>
      </c>
      <c r="L6462">
        <v>9509</v>
      </c>
      <c r="M6462">
        <v>1119</v>
      </c>
      <c r="N6462" t="s">
        <v>16393</v>
      </c>
      <c r="O6462" s="4">
        <v>44602</v>
      </c>
      <c r="P6462" s="4">
        <v>65917</v>
      </c>
      <c r="Q6462" s="4">
        <v>110519</v>
      </c>
      <c r="R6462" s="4">
        <v>331557</v>
      </c>
      <c r="S6462" t="s">
        <v>22651</v>
      </c>
      <c r="X6462" t="s">
        <v>3</v>
      </c>
      <c r="AA6462" s="5" t="str">
        <f>HYPERLINK("https://www.zillow.com/homes/418-S-CASS-AVE-WESTMONT-IL-60559_rb/","check listing")</f>
        <v>check listing</v>
      </c>
      <c r="AB6462" s="5" t="str">
        <f>HYPERLINK("https://propertylookup.dupagecounty.gov/Datalets/Datalet.aspx?UseSearch=no&amp;mode=sales&amp;pin=0916204039","sales record")</f>
        <v>sales record</v>
      </c>
      <c r="AC6462" t="s">
        <v>3</v>
      </c>
      <c r="AD6462">
        <v>41.787469</v>
      </c>
      <c r="AE6462">
        <v>-87.97530500000001</v>
      </c>
      <c r="AF6462" s="5" t="str">
        <f>HYPERLINK("https://www.google.com/maps/search/?api=1&amp;query=41.787469,-87.975305","map")</f>
        <v>map</v>
      </c>
    </row>
    <row r="6463" spans="1:32">
      <c r="A6463" t="s">
        <v>6513</v>
      </c>
      <c r="B6463" t="s">
        <v>13993</v>
      </c>
      <c r="C6463" t="s">
        <v>16024</v>
      </c>
      <c r="D6463" t="s">
        <v>16211</v>
      </c>
      <c r="E6463" t="s">
        <v>16218</v>
      </c>
      <c r="F6463" t="s">
        <v>16220</v>
      </c>
      <c r="G6463" t="s">
        <v>16238</v>
      </c>
      <c r="H6463" t="s">
        <v>16238</v>
      </c>
      <c r="I6463" t="s">
        <v>16369</v>
      </c>
      <c r="J6463" t="s">
        <v>16385</v>
      </c>
      <c r="K6463">
        <v>0.212</v>
      </c>
      <c r="L6463">
        <v>9215</v>
      </c>
      <c r="M6463">
        <v>875</v>
      </c>
      <c r="N6463" t="s">
        <v>16393</v>
      </c>
      <c r="O6463" s="4">
        <v>46914</v>
      </c>
      <c r="P6463" s="4">
        <v>51786</v>
      </c>
      <c r="Q6463" s="4">
        <v>98700</v>
      </c>
      <c r="R6463" s="4">
        <v>296100</v>
      </c>
      <c r="S6463" t="s">
        <v>22652</v>
      </c>
      <c r="T6463" s="6">
        <v>44044</v>
      </c>
      <c r="U6463" s="4">
        <v>246500</v>
      </c>
      <c r="V6463" t="s">
        <v>23739</v>
      </c>
      <c r="W6463" t="s">
        <v>27287</v>
      </c>
      <c r="X6463" t="s">
        <v>3</v>
      </c>
      <c r="AA6463" s="5" t="str">
        <f>HYPERLINK("https://www.zillow.com/homes/503-S-CASS-AVE-WESTMONT-IL-60559_rb/","check listing")</f>
        <v>check listing</v>
      </c>
      <c r="AB6463" s="5" t="str">
        <f>HYPERLINK("https://propertylookup.dupagecounty.gov/Datalets/Datalet.aspx?UseSearch=no&amp;mode=sales&amp;pin=0915105002","sales record")</f>
        <v>sales record</v>
      </c>
      <c r="AC6463" t="s">
        <v>3</v>
      </c>
      <c r="AD6463">
        <v>41.786035</v>
      </c>
      <c r="AE6463">
        <v>-87.974594</v>
      </c>
      <c r="AF6463" s="5" t="str">
        <f>HYPERLINK("https://www.google.com/maps/search/?api=1&amp;query=41.786035,-87.974594","map")</f>
        <v>map</v>
      </c>
    </row>
    <row r="6464" spans="1:32">
      <c r="A6464" t="s">
        <v>6514</v>
      </c>
      <c r="B6464" t="s">
        <v>13994</v>
      </c>
      <c r="C6464" t="s">
        <v>16043</v>
      </c>
      <c r="D6464" t="s">
        <v>16211</v>
      </c>
      <c r="E6464" t="s">
        <v>16218</v>
      </c>
      <c r="F6464" t="s">
        <v>16220</v>
      </c>
      <c r="G6464" t="s">
        <v>16238</v>
      </c>
      <c r="H6464" t="s">
        <v>16238</v>
      </c>
      <c r="I6464" t="s">
        <v>16369</v>
      </c>
      <c r="J6464" t="s">
        <v>16385</v>
      </c>
      <c r="K6464">
        <v>0.21</v>
      </c>
      <c r="L6464">
        <v>9151</v>
      </c>
      <c r="M6464">
        <v>1482</v>
      </c>
      <c r="N6464" t="s">
        <v>16393</v>
      </c>
      <c r="O6464" s="4">
        <v>44449</v>
      </c>
      <c r="P6464" s="4">
        <v>71844</v>
      </c>
      <c r="Q6464" s="4">
        <v>116293</v>
      </c>
      <c r="R6464" s="4">
        <v>348879</v>
      </c>
      <c r="S6464" t="s">
        <v>22653</v>
      </c>
      <c r="T6464" s="6">
        <v>43497</v>
      </c>
      <c r="U6464" s="4">
        <v>229000</v>
      </c>
      <c r="V6464" t="s">
        <v>23739</v>
      </c>
      <c r="W6464" t="s">
        <v>27288</v>
      </c>
      <c r="X6464" t="s">
        <v>3</v>
      </c>
      <c r="AA6464" s="5" t="str">
        <f>HYPERLINK("https://www.zillow.com/homes/502-S-CASS-AVE-WESTMONT-IL-605592319_rb/","check listing")</f>
        <v>check listing</v>
      </c>
      <c r="AB6464" s="5" t="str">
        <f>HYPERLINK("https://propertylookup.dupagecounty.gov/Datalets/Datalet.aspx?UseSearch=no&amp;mode=sales&amp;pin=0916206027","sales record")</f>
        <v>sales record</v>
      </c>
      <c r="AC6464" t="s">
        <v>3</v>
      </c>
      <c r="AD6464">
        <v>41.786019</v>
      </c>
      <c r="AE6464">
        <v>-87.97538299999999</v>
      </c>
      <c r="AF6464" s="5" t="str">
        <f>HYPERLINK("https://www.google.com/maps/search/?api=1&amp;query=41.786019,-87.975383","map")</f>
        <v>map</v>
      </c>
    </row>
    <row r="6465" spans="1:32">
      <c r="A6465" t="s">
        <v>6515</v>
      </c>
      <c r="B6465" t="s">
        <v>13995</v>
      </c>
      <c r="C6465" t="s">
        <v>16044</v>
      </c>
      <c r="D6465" t="s">
        <v>16211</v>
      </c>
      <c r="E6465" t="s">
        <v>16218</v>
      </c>
      <c r="F6465" t="s">
        <v>16220</v>
      </c>
      <c r="G6465" t="s">
        <v>16238</v>
      </c>
      <c r="H6465" t="s">
        <v>16238</v>
      </c>
      <c r="I6465" t="s">
        <v>16369</v>
      </c>
      <c r="J6465" t="s">
        <v>16385</v>
      </c>
      <c r="K6465">
        <v>0.209</v>
      </c>
      <c r="L6465">
        <v>9097</v>
      </c>
      <c r="M6465">
        <v>1396</v>
      </c>
      <c r="N6465" t="s">
        <v>16393</v>
      </c>
      <c r="O6465" s="4">
        <v>36339</v>
      </c>
      <c r="P6465" s="4">
        <v>56187</v>
      </c>
      <c r="Q6465" s="4">
        <v>92526</v>
      </c>
      <c r="R6465" s="4">
        <v>277578</v>
      </c>
      <c r="S6465" t="s">
        <v>22654</v>
      </c>
      <c r="T6465" s="6">
        <v>44682</v>
      </c>
      <c r="U6465" s="4">
        <v>295000</v>
      </c>
      <c r="V6465" t="s">
        <v>23739</v>
      </c>
      <c r="W6465" t="s">
        <v>27289</v>
      </c>
      <c r="X6465" t="s">
        <v>3</v>
      </c>
      <c r="AA6465" s="5" t="str">
        <f>HYPERLINK("https://www.zillow.com/homes/234-S-CASS-AVE-WESTMONT-IL-605591930_rb/","check listing")</f>
        <v>check listing</v>
      </c>
      <c r="AB6465" s="5" t="str">
        <f>HYPERLINK("https://propertylookup.dupagecounty.gov/Datalets/Datalet.aspx?UseSearch=no&amp;mode=sales&amp;pin=0909421019","sales record")</f>
        <v>sales record</v>
      </c>
      <c r="AC6465" t="s">
        <v>3</v>
      </c>
      <c r="AD6465">
        <v>41.79035</v>
      </c>
      <c r="AE6465">
        <v>-87.97554700000001</v>
      </c>
      <c r="AF6465" s="5" t="str">
        <f>HYPERLINK("https://www.google.com/maps/search/?api=1&amp;query=41.79035,-87.975547","map")</f>
        <v>map</v>
      </c>
    </row>
    <row r="6466" spans="1:32">
      <c r="A6466" t="s">
        <v>6516</v>
      </c>
      <c r="B6466" t="s">
        <v>13996</v>
      </c>
      <c r="C6466" t="s">
        <v>16024</v>
      </c>
      <c r="D6466" t="s">
        <v>16211</v>
      </c>
      <c r="E6466" t="s">
        <v>16218</v>
      </c>
      <c r="F6466" t="s">
        <v>16220</v>
      </c>
      <c r="G6466" t="s">
        <v>16238</v>
      </c>
      <c r="H6466" t="s">
        <v>16238</v>
      </c>
      <c r="I6466" t="s">
        <v>16369</v>
      </c>
      <c r="J6466" t="s">
        <v>16385</v>
      </c>
      <c r="K6466">
        <v>0.209</v>
      </c>
      <c r="L6466">
        <v>9095</v>
      </c>
      <c r="M6466">
        <v>1492</v>
      </c>
      <c r="N6466" t="s">
        <v>16393</v>
      </c>
      <c r="O6466" s="4">
        <v>36339</v>
      </c>
      <c r="P6466" s="4">
        <v>37372</v>
      </c>
      <c r="Q6466" s="4">
        <v>73711</v>
      </c>
      <c r="R6466" s="4">
        <v>221133</v>
      </c>
      <c r="S6466" t="s">
        <v>22655</v>
      </c>
      <c r="T6466" s="6">
        <v>41334</v>
      </c>
      <c r="U6466" s="4">
        <v>82000</v>
      </c>
      <c r="V6466" t="s">
        <v>16232</v>
      </c>
      <c r="W6466" t="s">
        <v>27290</v>
      </c>
      <c r="X6466" t="s">
        <v>3</v>
      </c>
      <c r="AA6466" s="5" t="str">
        <f>HYPERLINK("https://www.zillow.com/homes/218-S-CASS-AVE-WESTMONT-IL-60559_rb/","check listing")</f>
        <v>check listing</v>
      </c>
      <c r="AB6466" s="5" t="str">
        <f>HYPERLINK("https://propertylookup.dupagecounty.gov/Datalets/Datalet.aspx?UseSearch=no&amp;mode=sales&amp;pin=0909421015","sales record")</f>
        <v>sales record</v>
      </c>
      <c r="AC6466" t="s">
        <v>3</v>
      </c>
      <c r="AD6466">
        <v>41.791008</v>
      </c>
      <c r="AE6466">
        <v>-87.975571</v>
      </c>
      <c r="AF6466" s="5" t="str">
        <f>HYPERLINK("https://www.google.com/maps/search/?api=1&amp;query=41.791008,-87.975571","map")</f>
        <v>map</v>
      </c>
    </row>
    <row r="6467" spans="1:32">
      <c r="A6467" t="s">
        <v>6517</v>
      </c>
      <c r="B6467" t="s">
        <v>13997</v>
      </c>
      <c r="C6467" t="s">
        <v>16045</v>
      </c>
      <c r="D6467" t="s">
        <v>16211</v>
      </c>
      <c r="E6467" t="s">
        <v>16218</v>
      </c>
      <c r="F6467" t="s">
        <v>16220</v>
      </c>
      <c r="G6467" t="s">
        <v>16238</v>
      </c>
      <c r="H6467" t="s">
        <v>16238</v>
      </c>
      <c r="I6467" t="s">
        <v>16369</v>
      </c>
      <c r="J6467" t="s">
        <v>16385</v>
      </c>
      <c r="K6467">
        <v>0.207</v>
      </c>
      <c r="L6467">
        <v>9026</v>
      </c>
      <c r="M6467">
        <v>1514</v>
      </c>
      <c r="N6467" t="s">
        <v>16393</v>
      </c>
      <c r="O6467" s="4">
        <v>36339</v>
      </c>
      <c r="P6467" s="4">
        <v>76281</v>
      </c>
      <c r="Q6467" s="4">
        <v>112620</v>
      </c>
      <c r="R6467" s="4">
        <v>337860</v>
      </c>
      <c r="S6467" t="s">
        <v>22656</v>
      </c>
      <c r="T6467" s="6">
        <v>43282</v>
      </c>
      <c r="U6467" s="4">
        <v>230000</v>
      </c>
      <c r="V6467" t="s">
        <v>23739</v>
      </c>
      <c r="W6467" t="s">
        <v>27291</v>
      </c>
      <c r="X6467" t="s">
        <v>3</v>
      </c>
      <c r="AA6467" s="5" t="str">
        <f>HYPERLINK("https://www.zillow.com/homes/320-S-CASS-AVE-WESTMONT-IL-605591932_rb/","check listing")</f>
        <v>check listing</v>
      </c>
      <c r="AB6467" s="5" t="str">
        <f>HYPERLINK("https://propertylookup.dupagecounty.gov/Datalets/Datalet.aspx?UseSearch=no&amp;mode=sales&amp;pin=0909428015","sales record")</f>
        <v>sales record</v>
      </c>
      <c r="AC6467" t="s">
        <v>3</v>
      </c>
      <c r="AD6467">
        <v>41.789182</v>
      </c>
      <c r="AE6467">
        <v>-87.975505</v>
      </c>
      <c r="AF6467" s="5" t="str">
        <f>HYPERLINK("https://www.google.com/maps/search/?api=1&amp;query=41.789182,-87.975505","map")</f>
        <v>map</v>
      </c>
    </row>
    <row r="6468" spans="1:32">
      <c r="A6468" t="s">
        <v>6518</v>
      </c>
      <c r="B6468" t="s">
        <v>13998</v>
      </c>
      <c r="C6468" t="s">
        <v>16024</v>
      </c>
      <c r="D6468" t="s">
        <v>16211</v>
      </c>
      <c r="E6468" t="s">
        <v>16218</v>
      </c>
      <c r="F6468" t="s">
        <v>16220</v>
      </c>
      <c r="G6468" t="s">
        <v>16238</v>
      </c>
      <c r="H6468" t="s">
        <v>16238</v>
      </c>
      <c r="I6468" t="s">
        <v>16369</v>
      </c>
      <c r="J6468" t="s">
        <v>16385</v>
      </c>
      <c r="K6468">
        <v>0.207</v>
      </c>
      <c r="L6468">
        <v>9007</v>
      </c>
      <c r="M6468">
        <v>1057</v>
      </c>
      <c r="N6468" t="s">
        <v>16393</v>
      </c>
      <c r="O6468" s="4">
        <v>36339</v>
      </c>
      <c r="P6468" s="4">
        <v>46820</v>
      </c>
      <c r="Q6468" s="4">
        <v>83159</v>
      </c>
      <c r="R6468" s="4">
        <v>249477</v>
      </c>
      <c r="S6468" t="s">
        <v>22657</v>
      </c>
      <c r="T6468" s="6">
        <v>40575</v>
      </c>
      <c r="U6468" s="4">
        <v>110000</v>
      </c>
      <c r="V6468" t="s">
        <v>23739</v>
      </c>
      <c r="W6468" t="s">
        <v>22657</v>
      </c>
      <c r="X6468" t="s">
        <v>3</v>
      </c>
      <c r="AA6468" s="5" t="str">
        <f>HYPERLINK("https://www.zillow.com/homes/335-S-CASS-AVE-WESTMONT-IL-60559_rb/","check listing")</f>
        <v>check listing</v>
      </c>
      <c r="AB6468" s="5" t="str">
        <f>HYPERLINK("https://propertylookup.dupagecounty.gov/Datalets/Datalet.aspx?UseSearch=no&amp;mode=sales&amp;pin=0910315007","sales record")</f>
        <v>sales record</v>
      </c>
      <c r="AC6468" t="s">
        <v>3</v>
      </c>
      <c r="AD6468">
        <v>41.788759</v>
      </c>
      <c r="AE6468">
        <v>-87.97469599999999</v>
      </c>
      <c r="AF6468" s="5" t="str">
        <f>HYPERLINK("https://www.google.com/maps/search/?api=1&amp;query=41.788759,-87.974696","map")</f>
        <v>map</v>
      </c>
    </row>
    <row r="6469" spans="1:32">
      <c r="A6469" t="s">
        <v>6519</v>
      </c>
      <c r="B6469" t="s">
        <v>13999</v>
      </c>
      <c r="C6469" t="s">
        <v>16046</v>
      </c>
      <c r="D6469" t="s">
        <v>16211</v>
      </c>
      <c r="E6469" t="s">
        <v>16218</v>
      </c>
      <c r="F6469" t="s">
        <v>16220</v>
      </c>
      <c r="G6469" t="s">
        <v>16238</v>
      </c>
      <c r="H6469" t="s">
        <v>16238</v>
      </c>
      <c r="I6469" t="s">
        <v>16369</v>
      </c>
      <c r="J6469" t="s">
        <v>16385</v>
      </c>
      <c r="K6469">
        <v>0.207</v>
      </c>
      <c r="L6469">
        <v>9001</v>
      </c>
      <c r="M6469">
        <v>1086</v>
      </c>
      <c r="N6469" t="s">
        <v>16393</v>
      </c>
      <c r="O6469" s="4">
        <v>36339</v>
      </c>
      <c r="P6469" s="4">
        <v>55460</v>
      </c>
      <c r="Q6469" s="4">
        <v>91799</v>
      </c>
      <c r="R6469" s="4">
        <v>275397</v>
      </c>
      <c r="S6469" t="s">
        <v>22658</v>
      </c>
      <c r="T6469" s="6">
        <v>44682</v>
      </c>
      <c r="U6469" s="4">
        <v>360000</v>
      </c>
      <c r="V6469" t="s">
        <v>23739</v>
      </c>
      <c r="W6469" t="s">
        <v>27292</v>
      </c>
      <c r="X6469" t="s">
        <v>3</v>
      </c>
      <c r="AA6469" s="5" t="str">
        <f>HYPERLINK("https://www.zillow.com/homes/333-S-CASS-AVE-WESTMONT-IL-605591991_rb/","check listing")</f>
        <v>check listing</v>
      </c>
      <c r="AB6469" s="5" t="str">
        <f>HYPERLINK("https://propertylookup.dupagecounty.gov/Datalets/Datalet.aspx?UseSearch=no&amp;mode=sales&amp;pin=0910315006","sales record")</f>
        <v>sales record</v>
      </c>
      <c r="AC6469" t="s">
        <v>3</v>
      </c>
      <c r="AD6469">
        <v>41.788923</v>
      </c>
      <c r="AE6469">
        <v>-87.97470199999999</v>
      </c>
      <c r="AF6469" s="5" t="str">
        <f>HYPERLINK("https://www.google.com/maps/search/?api=1&amp;query=41.788923,-87.974702","map")</f>
        <v>map</v>
      </c>
    </row>
    <row r="6470" spans="1:32">
      <c r="A6470" t="s">
        <v>6520</v>
      </c>
      <c r="B6470" t="s">
        <v>14000</v>
      </c>
      <c r="C6470" t="s">
        <v>16024</v>
      </c>
      <c r="D6470" t="s">
        <v>16211</v>
      </c>
      <c r="E6470" t="s">
        <v>16218</v>
      </c>
      <c r="F6470" t="s">
        <v>16220</v>
      </c>
      <c r="G6470" t="s">
        <v>16238</v>
      </c>
      <c r="H6470" t="s">
        <v>16238</v>
      </c>
      <c r="I6470" t="s">
        <v>16369</v>
      </c>
      <c r="J6470" t="s">
        <v>16385</v>
      </c>
      <c r="K6470">
        <v>0.207</v>
      </c>
      <c r="L6470">
        <v>9000</v>
      </c>
      <c r="M6470">
        <v>1766</v>
      </c>
      <c r="N6470" t="s">
        <v>16393</v>
      </c>
      <c r="O6470" s="4">
        <v>36339</v>
      </c>
      <c r="P6470" s="4">
        <v>53358</v>
      </c>
      <c r="Q6470" s="4">
        <v>89697</v>
      </c>
      <c r="R6470" s="4">
        <v>269091</v>
      </c>
      <c r="S6470" t="s">
        <v>22659</v>
      </c>
      <c r="T6470" s="6">
        <v>44044</v>
      </c>
      <c r="U6470" s="4">
        <v>252500</v>
      </c>
      <c r="V6470" t="s">
        <v>23740</v>
      </c>
      <c r="W6470" t="s">
        <v>22659</v>
      </c>
      <c r="X6470" t="s">
        <v>3</v>
      </c>
      <c r="AA6470" s="5" t="str">
        <f>HYPERLINK("https://www.zillow.com/homes/339-S-CASS-AVE-WESTMONT-IL-60559_rb/","check listing")</f>
        <v>check listing</v>
      </c>
      <c r="AB6470" s="5" t="str">
        <f>HYPERLINK("https://propertylookup.dupagecounty.gov/Datalets/Datalet.aspx?UseSearch=no&amp;mode=sales&amp;pin=0910315008","sales record")</f>
        <v>sales record</v>
      </c>
      <c r="AC6470" t="s">
        <v>27873</v>
      </c>
      <c r="AD6470">
        <v>41.788594</v>
      </c>
      <c r="AE6470">
        <v>-87.97469</v>
      </c>
      <c r="AF6470" s="5" t="str">
        <f>HYPERLINK("https://www.google.com/maps/search/?api=1&amp;query=41.788594,-87.97469","map")</f>
        <v>map</v>
      </c>
    </row>
    <row r="6471" spans="1:32">
      <c r="A6471" t="s">
        <v>6521</v>
      </c>
      <c r="B6471" t="s">
        <v>14001</v>
      </c>
      <c r="C6471" t="s">
        <v>16043</v>
      </c>
      <c r="D6471" t="s">
        <v>16211</v>
      </c>
      <c r="E6471" t="s">
        <v>16218</v>
      </c>
      <c r="F6471" t="s">
        <v>16220</v>
      </c>
      <c r="G6471" t="s">
        <v>16238</v>
      </c>
      <c r="H6471" t="s">
        <v>16238</v>
      </c>
      <c r="I6471" t="s">
        <v>16369</v>
      </c>
      <c r="J6471" t="s">
        <v>16385</v>
      </c>
      <c r="K6471">
        <v>0.2</v>
      </c>
      <c r="L6471">
        <v>8698</v>
      </c>
      <c r="M6471">
        <v>1411</v>
      </c>
      <c r="N6471" t="s">
        <v>16393</v>
      </c>
      <c r="O6471" s="4">
        <v>42255</v>
      </c>
      <c r="P6471" s="4">
        <v>73863</v>
      </c>
      <c r="Q6471" s="4">
        <v>116118</v>
      </c>
      <c r="R6471" s="4">
        <v>348354</v>
      </c>
      <c r="S6471" t="s">
        <v>22660</v>
      </c>
      <c r="T6471" s="6">
        <v>32568</v>
      </c>
      <c r="U6471" s="4">
        <v>99000</v>
      </c>
      <c r="X6471" t="s">
        <v>3</v>
      </c>
      <c r="AA6471" s="5" t="str">
        <f>HYPERLINK("https://www.zillow.com/homes/508-S-CASS-AVE-WESTMONT-IL-605592319_rb/","check listing")</f>
        <v>check listing</v>
      </c>
      <c r="AB6471" s="5" t="str">
        <f>HYPERLINK("https://propertylookup.dupagecounty.gov/Datalets/Datalet.aspx?UseSearch=no&amp;mode=sales&amp;pin=0916206029","sales record")</f>
        <v>sales record</v>
      </c>
      <c r="AC6471" t="s">
        <v>3</v>
      </c>
      <c r="AD6471">
        <v>41.785648</v>
      </c>
      <c r="AE6471">
        <v>-87.97537</v>
      </c>
      <c r="AF6471" s="5" t="str">
        <f>HYPERLINK("https://www.google.com/maps/search/?api=1&amp;query=41.785648,-87.97537","map")</f>
        <v>map</v>
      </c>
    </row>
    <row r="6472" spans="1:32">
      <c r="A6472" t="s">
        <v>6522</v>
      </c>
      <c r="B6472" t="s">
        <v>14002</v>
      </c>
      <c r="C6472" t="s">
        <v>16024</v>
      </c>
      <c r="D6472" t="s">
        <v>16211</v>
      </c>
      <c r="E6472" t="s">
        <v>16218</v>
      </c>
      <c r="F6472" t="s">
        <v>16220</v>
      </c>
      <c r="G6472" t="s">
        <v>16238</v>
      </c>
      <c r="H6472" t="s">
        <v>16238</v>
      </c>
      <c r="I6472" t="s">
        <v>16369</v>
      </c>
      <c r="J6472" t="s">
        <v>16385</v>
      </c>
      <c r="K6472">
        <v>0.2</v>
      </c>
      <c r="L6472">
        <v>8696</v>
      </c>
      <c r="M6472">
        <v>1565</v>
      </c>
      <c r="N6472" t="s">
        <v>16393</v>
      </c>
      <c r="O6472" s="4">
        <v>42255</v>
      </c>
      <c r="P6472" s="4">
        <v>84134</v>
      </c>
      <c r="Q6472" s="4">
        <v>126389</v>
      </c>
      <c r="R6472" s="4">
        <v>379167</v>
      </c>
      <c r="S6472" t="s">
        <v>22661</v>
      </c>
      <c r="T6472" s="6">
        <v>45071</v>
      </c>
      <c r="U6472" s="4">
        <v>275000</v>
      </c>
      <c r="V6472" t="s">
        <v>23741</v>
      </c>
      <c r="W6472" t="s">
        <v>27293</v>
      </c>
      <c r="X6472" t="s">
        <v>3</v>
      </c>
      <c r="AA6472" s="5" t="str">
        <f>HYPERLINK("https://www.zillow.com/homes/504-S-CASS-AVE-WESTMONT-IL-60559_rb/","check listing")</f>
        <v>check listing</v>
      </c>
      <c r="AB6472" s="5" t="str">
        <f>HYPERLINK("https://propertylookup.dupagecounty.gov/Datalets/Datalet.aspx?UseSearch=no&amp;mode=sales&amp;pin=0916206028","sales record")</f>
        <v>sales record</v>
      </c>
      <c r="AC6472" t="s">
        <v>3</v>
      </c>
      <c r="AD6472">
        <v>41.78585</v>
      </c>
      <c r="AE6472">
        <v>-87.97537699999999</v>
      </c>
      <c r="AF6472" s="5" t="str">
        <f>HYPERLINK("https://www.google.com/maps/search/?api=1&amp;query=41.78585,-87.975377","map")</f>
        <v>map</v>
      </c>
    </row>
    <row r="6473" spans="1:32">
      <c r="A6473" t="s">
        <v>6523</v>
      </c>
      <c r="B6473" t="s">
        <v>14003</v>
      </c>
      <c r="C6473" t="s">
        <v>16024</v>
      </c>
      <c r="D6473" t="s">
        <v>16211</v>
      </c>
      <c r="E6473" t="s">
        <v>16218</v>
      </c>
      <c r="F6473" t="s">
        <v>16220</v>
      </c>
      <c r="G6473" t="s">
        <v>16238</v>
      </c>
      <c r="H6473" t="s">
        <v>16238</v>
      </c>
      <c r="I6473" t="s">
        <v>16369</v>
      </c>
      <c r="J6473" t="s">
        <v>16385</v>
      </c>
      <c r="K6473">
        <v>0.2</v>
      </c>
      <c r="L6473">
        <v>8695</v>
      </c>
      <c r="M6473">
        <v>1475</v>
      </c>
      <c r="N6473" t="s">
        <v>16393</v>
      </c>
      <c r="O6473" s="4">
        <v>42255</v>
      </c>
      <c r="P6473" s="4">
        <v>71199</v>
      </c>
      <c r="Q6473" s="4">
        <v>113454</v>
      </c>
      <c r="R6473" s="4">
        <v>340362</v>
      </c>
      <c r="S6473" t="s">
        <v>22662</v>
      </c>
      <c r="T6473" s="6">
        <v>44621</v>
      </c>
      <c r="U6473" s="4">
        <v>290000</v>
      </c>
      <c r="V6473" t="s">
        <v>23739</v>
      </c>
      <c r="W6473" t="s">
        <v>22662</v>
      </c>
      <c r="X6473" t="s">
        <v>3</v>
      </c>
      <c r="AA6473" s="5" t="str">
        <f>HYPERLINK("https://www.zillow.com/homes/512-S-CASS-AVE-WESTMONT-IL-60559_rb/","check listing")</f>
        <v>check listing</v>
      </c>
      <c r="AB6473" s="5" t="str">
        <f>HYPERLINK("https://propertylookup.dupagecounty.gov/Datalets/Datalet.aspx?UseSearch=no&amp;mode=sales&amp;pin=0916206030","sales record")</f>
        <v>sales record</v>
      </c>
      <c r="AC6473" t="s">
        <v>3</v>
      </c>
      <c r="AD6473">
        <v>41.785521</v>
      </c>
      <c r="AE6473">
        <v>-87.97536599999999</v>
      </c>
      <c r="AF6473" s="5" t="str">
        <f>HYPERLINK("https://www.google.com/maps/search/?api=1&amp;query=41.785521,-87.975366","map")</f>
        <v>map</v>
      </c>
    </row>
    <row r="6474" spans="1:32">
      <c r="A6474" t="s">
        <v>6524</v>
      </c>
      <c r="B6474" t="s">
        <v>14004</v>
      </c>
      <c r="C6474" t="s">
        <v>16024</v>
      </c>
      <c r="D6474" t="s">
        <v>16211</v>
      </c>
      <c r="E6474" t="s">
        <v>16218</v>
      </c>
      <c r="F6474" t="s">
        <v>16220</v>
      </c>
      <c r="G6474" t="s">
        <v>16238</v>
      </c>
      <c r="H6474" t="s">
        <v>16238</v>
      </c>
      <c r="I6474" t="s">
        <v>16369</v>
      </c>
      <c r="J6474" t="s">
        <v>16385</v>
      </c>
      <c r="K6474">
        <v>0.199</v>
      </c>
      <c r="L6474">
        <v>8648</v>
      </c>
      <c r="M6474">
        <v>1395</v>
      </c>
      <c r="N6474" t="s">
        <v>16393</v>
      </c>
      <c r="O6474" s="4">
        <v>35248</v>
      </c>
      <c r="P6474" s="4">
        <v>62055</v>
      </c>
      <c r="Q6474" s="4">
        <v>97303</v>
      </c>
      <c r="R6474" s="4">
        <v>291909</v>
      </c>
      <c r="S6474" t="s">
        <v>22663</v>
      </c>
      <c r="T6474" s="6">
        <v>40848</v>
      </c>
      <c r="U6474" s="4">
        <v>127922</v>
      </c>
      <c r="V6474" t="s">
        <v>16232</v>
      </c>
      <c r="W6474" t="s">
        <v>22663</v>
      </c>
      <c r="X6474" t="s">
        <v>3</v>
      </c>
      <c r="AA6474" s="5" t="str">
        <f>HYPERLINK("https://www.zillow.com/homes/336-S-CASS-AVE-WESTMONT-IL-60559_rb/","check listing")</f>
        <v>check listing</v>
      </c>
      <c r="AB6474" s="5" t="str">
        <f>HYPERLINK("https://propertylookup.dupagecounty.gov/Datalets/Datalet.aspx?UseSearch=no&amp;mode=sales&amp;pin=0909428024","sales record")</f>
        <v>sales record</v>
      </c>
      <c r="AC6474" t="s">
        <v>3</v>
      </c>
      <c r="AD6474">
        <v>41.788523</v>
      </c>
      <c r="AE6474">
        <v>-87.975492</v>
      </c>
      <c r="AF6474" s="5" t="str">
        <f>HYPERLINK("https://www.google.com/maps/search/?api=1&amp;query=41.788523,-87.975492","map")</f>
        <v>map</v>
      </c>
    </row>
    <row r="6475" spans="1:32">
      <c r="A6475" t="s">
        <v>6525</v>
      </c>
      <c r="B6475" t="s">
        <v>14005</v>
      </c>
      <c r="C6475" t="s">
        <v>16024</v>
      </c>
      <c r="D6475" t="s">
        <v>16211</v>
      </c>
      <c r="E6475" t="s">
        <v>16218</v>
      </c>
      <c r="F6475" t="s">
        <v>16220</v>
      </c>
      <c r="G6475" t="s">
        <v>16289</v>
      </c>
      <c r="H6475" t="s">
        <v>16289</v>
      </c>
      <c r="I6475" t="s">
        <v>16370</v>
      </c>
      <c r="J6475" t="s">
        <v>16385</v>
      </c>
      <c r="K6475">
        <v>0.195</v>
      </c>
      <c r="L6475">
        <v>8478</v>
      </c>
      <c r="M6475">
        <v>1841</v>
      </c>
      <c r="N6475" t="s">
        <v>16393</v>
      </c>
      <c r="O6475" s="4">
        <v>45025</v>
      </c>
      <c r="P6475" s="4">
        <v>72889</v>
      </c>
      <c r="Q6475" s="4">
        <v>117914</v>
      </c>
      <c r="R6475" s="4">
        <v>353742</v>
      </c>
      <c r="S6475" t="s">
        <v>22664</v>
      </c>
      <c r="T6475" s="6">
        <v>38443</v>
      </c>
      <c r="U6475" s="4">
        <v>270000</v>
      </c>
      <c r="V6475" t="s">
        <v>23739</v>
      </c>
      <c r="W6475" t="s">
        <v>27294</v>
      </c>
      <c r="X6475" t="s">
        <v>3</v>
      </c>
      <c r="AA6475" s="5" t="str">
        <f>HYPERLINK("https://www.zillow.com/homes/16-N-WILMETTE-AVE-WESTMONT-IL-60559_rb/","check listing")</f>
        <v>check listing</v>
      </c>
      <c r="AB6475" s="5" t="str">
        <f>HYPERLINK("https://propertylookup.dupagecounty.gov/Datalets/Datalet.aspx?UseSearch=no&amp;mode=sales&amp;pin=0910114017","sales record")</f>
        <v>sales record</v>
      </c>
      <c r="AC6475" t="s">
        <v>3</v>
      </c>
      <c r="AD6475">
        <v>41.796563</v>
      </c>
      <c r="AE6475">
        <v>-87.971429</v>
      </c>
      <c r="AF6475" s="5" t="str">
        <f>HYPERLINK("https://www.google.com/maps/search/?api=1&amp;query=41.796563,-87.971429","map")</f>
        <v>map</v>
      </c>
    </row>
    <row r="6476" spans="1:32">
      <c r="A6476" t="s">
        <v>6526</v>
      </c>
      <c r="B6476" t="s">
        <v>14006</v>
      </c>
      <c r="C6476" t="s">
        <v>16042</v>
      </c>
      <c r="D6476" t="s">
        <v>16211</v>
      </c>
      <c r="E6476" t="s">
        <v>16218</v>
      </c>
      <c r="F6476" t="s">
        <v>16220</v>
      </c>
      <c r="G6476" t="s">
        <v>16238</v>
      </c>
      <c r="H6476" t="s">
        <v>16238</v>
      </c>
      <c r="I6476" t="s">
        <v>16369</v>
      </c>
      <c r="J6476" t="s">
        <v>16385</v>
      </c>
      <c r="K6476">
        <v>0.192</v>
      </c>
      <c r="L6476">
        <v>8359</v>
      </c>
      <c r="M6476">
        <v>1707</v>
      </c>
      <c r="N6476" t="s">
        <v>16393</v>
      </c>
      <c r="O6476" s="4">
        <v>26734</v>
      </c>
      <c r="P6476" s="4">
        <v>365572</v>
      </c>
      <c r="Q6476" s="4">
        <v>392306</v>
      </c>
      <c r="R6476" s="4">
        <v>1176918</v>
      </c>
      <c r="S6476" t="s">
        <v>22665</v>
      </c>
      <c r="X6476" t="s">
        <v>3</v>
      </c>
      <c r="AA6476" s="5" t="str">
        <f>HYPERLINK("https://www.zillow.com/homes/38-WILLOW-CREST-DR-WESTMONT-IL-60523_rb/","check listing")</f>
        <v>check listing</v>
      </c>
      <c r="AB6476" s="5" t="str">
        <f>HYPERLINK("https://propertylookup.dupagecounty.gov/Datalets/Datalet.aspx?UseSearch=no&amp;mode=sales&amp;pin=0634300031","sales record")</f>
        <v>sales record</v>
      </c>
      <c r="AC6476" t="s">
        <v>3</v>
      </c>
      <c r="AD6476">
        <v>41.820176</v>
      </c>
      <c r="AE6476">
        <v>-87.970156</v>
      </c>
      <c r="AF6476" s="5" t="str">
        <f>HYPERLINK("https://www.google.com/maps/search/?api=1&amp;query=41.820176,-87.970156","map")</f>
        <v>map</v>
      </c>
    </row>
    <row r="6477" spans="1:32">
      <c r="A6477" t="s">
        <v>6527</v>
      </c>
      <c r="B6477" t="s">
        <v>14007</v>
      </c>
      <c r="C6477" t="s">
        <v>16047</v>
      </c>
      <c r="D6477" t="s">
        <v>16211</v>
      </c>
      <c r="E6477" t="s">
        <v>16218</v>
      </c>
      <c r="F6477" t="s">
        <v>16220</v>
      </c>
      <c r="G6477" t="s">
        <v>16238</v>
      </c>
      <c r="H6477" t="s">
        <v>16238</v>
      </c>
      <c r="I6477" t="s">
        <v>16369</v>
      </c>
      <c r="J6477" t="s">
        <v>16385</v>
      </c>
      <c r="K6477">
        <v>0.191</v>
      </c>
      <c r="L6477">
        <v>8302</v>
      </c>
      <c r="M6477">
        <v>2134</v>
      </c>
      <c r="N6477" t="s">
        <v>16393</v>
      </c>
      <c r="O6477" s="4">
        <v>40142</v>
      </c>
      <c r="P6477" s="4">
        <v>85378</v>
      </c>
      <c r="Q6477" s="4">
        <v>125520</v>
      </c>
      <c r="R6477" s="4">
        <v>376560</v>
      </c>
      <c r="S6477" t="s">
        <v>22666</v>
      </c>
      <c r="T6477" s="6">
        <v>45636</v>
      </c>
      <c r="U6477" s="4">
        <v>390000</v>
      </c>
      <c r="V6477" t="s">
        <v>23739</v>
      </c>
      <c r="W6477" t="s">
        <v>27295</v>
      </c>
      <c r="X6477" t="s">
        <v>3</v>
      </c>
      <c r="AA6477" s="5" t="str">
        <f>HYPERLINK("https://www.zillow.com/homes/516-S-CASS-AVE-WESTMONT-IL-605592312_rb/","check listing")</f>
        <v>check listing</v>
      </c>
      <c r="AB6477" s="5" t="str">
        <f>HYPERLINK("https://propertylookup.dupagecounty.gov/Datalets/Datalet.aspx?UseSearch=no&amp;mode=sales&amp;pin=0916206031","sales record")</f>
        <v>sales record</v>
      </c>
      <c r="AC6477" t="s">
        <v>3</v>
      </c>
      <c r="AD6477">
        <v>41.78536</v>
      </c>
      <c r="AE6477">
        <v>-87.97535999999999</v>
      </c>
      <c r="AF6477" s="5" t="str">
        <f>HYPERLINK("https://www.google.com/maps/search/?api=1&amp;query=41.78536,-87.97536","map")</f>
        <v>map</v>
      </c>
    </row>
    <row r="6478" spans="1:32">
      <c r="A6478" t="s">
        <v>6528</v>
      </c>
      <c r="B6478" t="s">
        <v>14008</v>
      </c>
      <c r="C6478" t="s">
        <v>16024</v>
      </c>
      <c r="D6478" t="s">
        <v>16211</v>
      </c>
      <c r="E6478" t="s">
        <v>16218</v>
      </c>
      <c r="F6478" t="s">
        <v>16220</v>
      </c>
      <c r="G6478" t="s">
        <v>16238</v>
      </c>
      <c r="H6478" t="s">
        <v>16238</v>
      </c>
      <c r="I6478" t="s">
        <v>16369</v>
      </c>
      <c r="J6478" t="s">
        <v>16385</v>
      </c>
      <c r="K6478">
        <v>0.189</v>
      </c>
      <c r="L6478">
        <v>8215</v>
      </c>
      <c r="M6478">
        <v>1070</v>
      </c>
      <c r="N6478" t="s">
        <v>16393</v>
      </c>
      <c r="O6478" s="4">
        <v>45048</v>
      </c>
      <c r="P6478" s="4">
        <v>37583</v>
      </c>
      <c r="Q6478" s="4">
        <v>82631</v>
      </c>
      <c r="R6478" s="4">
        <v>247893</v>
      </c>
      <c r="S6478" t="s">
        <v>22667</v>
      </c>
      <c r="T6478" s="6">
        <v>31868</v>
      </c>
      <c r="U6478" s="4">
        <v>61000</v>
      </c>
      <c r="X6478" t="s">
        <v>3</v>
      </c>
      <c r="AA6478" s="5" t="str">
        <f>HYPERLINK("https://www.zillow.com/homes/505-S-CASS-AVE-WESTMONT-IL-60559_rb/","check listing")</f>
        <v>check listing</v>
      </c>
      <c r="AB6478" s="5" t="str">
        <f>HYPERLINK("https://propertylookup.dupagecounty.gov/Datalets/Datalet.aspx?UseSearch=no&amp;mode=sales&amp;pin=0915105003","sales record")</f>
        <v>sales record</v>
      </c>
      <c r="AC6478" t="s">
        <v>3</v>
      </c>
      <c r="AD6478">
        <v>41.78587</v>
      </c>
      <c r="AE6478">
        <v>-87.974619</v>
      </c>
      <c r="AF6478" s="5" t="str">
        <f>HYPERLINK("https://www.google.com/maps/search/?api=1&amp;query=41.78587,-87.974619","map")</f>
        <v>map</v>
      </c>
    </row>
    <row r="6479" spans="1:32">
      <c r="A6479" t="s">
        <v>6529</v>
      </c>
      <c r="B6479" t="s">
        <v>14009</v>
      </c>
      <c r="C6479" t="s">
        <v>16024</v>
      </c>
      <c r="D6479" t="s">
        <v>16211</v>
      </c>
      <c r="E6479" t="s">
        <v>16218</v>
      </c>
      <c r="F6479" t="s">
        <v>16220</v>
      </c>
      <c r="G6479" t="s">
        <v>16289</v>
      </c>
      <c r="H6479" t="s">
        <v>16289</v>
      </c>
      <c r="I6479" t="s">
        <v>16370</v>
      </c>
      <c r="J6479" t="s">
        <v>16385</v>
      </c>
      <c r="K6479">
        <v>0.186</v>
      </c>
      <c r="L6479">
        <v>8102</v>
      </c>
      <c r="M6479">
        <v>829</v>
      </c>
      <c r="N6479" t="s">
        <v>16393</v>
      </c>
      <c r="O6479" s="4">
        <v>38757</v>
      </c>
      <c r="P6479" s="4">
        <v>45518</v>
      </c>
      <c r="Q6479" s="4">
        <v>84275</v>
      </c>
      <c r="R6479" s="4">
        <v>252825</v>
      </c>
      <c r="S6479" t="s">
        <v>22668</v>
      </c>
      <c r="X6479" t="s">
        <v>3</v>
      </c>
      <c r="AA6479" s="5" t="str">
        <f>HYPERLINK("https://www.zillow.com/homes/301-W-QUINCY-ST-WESTMONT-IL-60559_rb/","check listing")</f>
        <v>check listing</v>
      </c>
      <c r="AB6479" s="5" t="str">
        <f>HYPERLINK("https://propertylookup.dupagecounty.gov/Datalets/Datalet.aspx?UseSearch=no&amp;mode=sales&amp;pin=0909400005","sales record")</f>
        <v>sales record</v>
      </c>
      <c r="AC6479" t="s">
        <v>3</v>
      </c>
      <c r="AD6479">
        <v>41.794933</v>
      </c>
      <c r="AE6479">
        <v>-87.98392200000001</v>
      </c>
      <c r="AF6479" s="5" t="str">
        <f>HYPERLINK("https://www.google.com/maps/search/?api=1&amp;query=41.794933,-87.983922","map")</f>
        <v>map</v>
      </c>
    </row>
    <row r="6480" spans="1:32">
      <c r="A6480" t="s">
        <v>6530</v>
      </c>
      <c r="B6480" t="s">
        <v>14010</v>
      </c>
      <c r="C6480" t="s">
        <v>16024</v>
      </c>
      <c r="D6480" t="s">
        <v>16211</v>
      </c>
      <c r="E6480" t="s">
        <v>16218</v>
      </c>
      <c r="F6480" t="s">
        <v>16220</v>
      </c>
      <c r="G6480" t="s">
        <v>16289</v>
      </c>
      <c r="H6480" t="s">
        <v>16289</v>
      </c>
      <c r="I6480" t="s">
        <v>16370</v>
      </c>
      <c r="J6480" t="s">
        <v>16385</v>
      </c>
      <c r="K6480">
        <v>0.186</v>
      </c>
      <c r="L6480">
        <v>8102</v>
      </c>
      <c r="M6480">
        <v>2995</v>
      </c>
      <c r="N6480" t="s">
        <v>16393</v>
      </c>
      <c r="O6480" s="4">
        <v>38757</v>
      </c>
      <c r="P6480" s="4">
        <v>79462</v>
      </c>
      <c r="Q6480" s="4">
        <v>118219</v>
      </c>
      <c r="R6480" s="4">
        <v>354657</v>
      </c>
      <c r="S6480" t="s">
        <v>22669</v>
      </c>
      <c r="T6480" s="6">
        <v>41821</v>
      </c>
      <c r="U6480" s="4">
        <v>201500</v>
      </c>
      <c r="V6480" t="s">
        <v>23739</v>
      </c>
      <c r="W6480" t="s">
        <v>27296</v>
      </c>
      <c r="X6480" t="s">
        <v>3</v>
      </c>
      <c r="AA6480" s="5" t="str">
        <f>HYPERLINK("https://www.zillow.com/homes/141-W-QUINCY-ST-WESTMONT-IL-60559_rb/","check listing")</f>
        <v>check listing</v>
      </c>
      <c r="AB6480" s="5" t="str">
        <f>HYPERLINK("https://propertylookup.dupagecounty.gov/Datalets/Datalet.aspx?UseSearch=no&amp;mode=sales&amp;pin=0909403001","sales record")</f>
        <v>sales record</v>
      </c>
      <c r="AC6480" t="s">
        <v>27873</v>
      </c>
      <c r="AD6480">
        <v>41.79494</v>
      </c>
      <c r="AE6480">
        <v>-87.98069700000001</v>
      </c>
      <c r="AF6480" s="5" t="str">
        <f>HYPERLINK("https://www.google.com/maps/search/?api=1&amp;query=41.79494,-87.980697","map")</f>
        <v>map</v>
      </c>
    </row>
    <row r="6481" spans="1:32">
      <c r="A6481" t="s">
        <v>6531</v>
      </c>
      <c r="B6481" t="s">
        <v>14011</v>
      </c>
      <c r="C6481" t="s">
        <v>16041</v>
      </c>
      <c r="D6481" t="s">
        <v>16211</v>
      </c>
      <c r="E6481" t="s">
        <v>16218</v>
      </c>
      <c r="F6481" t="s">
        <v>16220</v>
      </c>
      <c r="G6481" t="s">
        <v>16289</v>
      </c>
      <c r="H6481" t="s">
        <v>16289</v>
      </c>
      <c r="I6481" t="s">
        <v>16370</v>
      </c>
      <c r="J6481" t="s">
        <v>16385</v>
      </c>
      <c r="K6481">
        <v>0.186</v>
      </c>
      <c r="L6481">
        <v>8102</v>
      </c>
      <c r="M6481">
        <v>1654</v>
      </c>
      <c r="N6481" t="s">
        <v>16393</v>
      </c>
      <c r="O6481" s="4">
        <v>38757</v>
      </c>
      <c r="P6481" s="4">
        <v>54379</v>
      </c>
      <c r="Q6481" s="4">
        <v>93136</v>
      </c>
      <c r="R6481" s="4">
        <v>279408</v>
      </c>
      <c r="S6481" t="s">
        <v>22670</v>
      </c>
      <c r="T6481" s="6">
        <v>44378</v>
      </c>
      <c r="U6481" s="4">
        <v>225600</v>
      </c>
      <c r="V6481" t="s">
        <v>23739</v>
      </c>
      <c r="W6481" t="s">
        <v>27297</v>
      </c>
      <c r="X6481" t="s">
        <v>3</v>
      </c>
      <c r="AA6481" s="5" t="str">
        <f>HYPERLINK("https://www.zillow.com/homes/135-W-QUINCY-ST-WESTMONT-IL-605591847_rb/","check listing")</f>
        <v>check listing</v>
      </c>
      <c r="AB6481" s="5" t="str">
        <f>HYPERLINK("https://propertylookup.dupagecounty.gov/Datalets/Datalet.aspx?UseSearch=no&amp;mode=sales&amp;pin=0909403003","sales record")</f>
        <v>sales record</v>
      </c>
      <c r="AC6481" t="s">
        <v>3</v>
      </c>
      <c r="AD6481">
        <v>41.794941</v>
      </c>
      <c r="AE6481">
        <v>-87.98025699999999</v>
      </c>
      <c r="AF6481" s="5" t="str">
        <f>HYPERLINK("https://www.google.com/maps/search/?api=1&amp;query=41.794941,-87.980257","map")</f>
        <v>map</v>
      </c>
    </row>
    <row r="6482" spans="1:32">
      <c r="A6482" t="s">
        <v>6532</v>
      </c>
      <c r="B6482" t="s">
        <v>14012</v>
      </c>
      <c r="C6482" t="s">
        <v>16024</v>
      </c>
      <c r="D6482" t="s">
        <v>16211</v>
      </c>
      <c r="E6482" t="s">
        <v>16218</v>
      </c>
      <c r="F6482" t="s">
        <v>16220</v>
      </c>
      <c r="G6482" t="s">
        <v>16289</v>
      </c>
      <c r="H6482" t="s">
        <v>16289</v>
      </c>
      <c r="I6482" t="s">
        <v>16370</v>
      </c>
      <c r="J6482" t="s">
        <v>16385</v>
      </c>
      <c r="K6482">
        <v>0.186</v>
      </c>
      <c r="L6482">
        <v>8101</v>
      </c>
      <c r="M6482">
        <v>1241</v>
      </c>
      <c r="N6482" t="s">
        <v>16393</v>
      </c>
      <c r="O6482" s="4">
        <v>38757</v>
      </c>
      <c r="P6482" s="4">
        <v>52712</v>
      </c>
      <c r="Q6482" s="4">
        <v>91469</v>
      </c>
      <c r="R6482" s="4">
        <v>274407</v>
      </c>
      <c r="S6482" t="s">
        <v>22671</v>
      </c>
      <c r="T6482" s="6">
        <v>36069</v>
      </c>
      <c r="U6482" s="4">
        <v>127000</v>
      </c>
      <c r="X6482" t="s">
        <v>3</v>
      </c>
      <c r="AA6482" s="5" t="str">
        <f>HYPERLINK("https://www.zillow.com/homes/305-W-QUINCY-ST-WESTMONT-IL-60559_rb/","check listing")</f>
        <v>check listing</v>
      </c>
      <c r="AB6482" s="5" t="str">
        <f>HYPERLINK("https://propertylookup.dupagecounty.gov/Datalets/Datalet.aspx?UseSearch=no&amp;mode=sales&amp;pin=0909400004","sales record")</f>
        <v>sales record</v>
      </c>
      <c r="AC6482" t="s">
        <v>3</v>
      </c>
      <c r="AD6482">
        <v>41.794932</v>
      </c>
      <c r="AE6482">
        <v>-87.98414200000001</v>
      </c>
      <c r="AF6482" s="5" t="str">
        <f>HYPERLINK("https://www.google.com/maps/search/?api=1&amp;query=41.794932,-87.984142","map")</f>
        <v>map</v>
      </c>
    </row>
    <row r="6483" spans="1:32">
      <c r="A6483" t="s">
        <v>6533</v>
      </c>
      <c r="B6483" t="s">
        <v>14013</v>
      </c>
      <c r="C6483" t="s">
        <v>16024</v>
      </c>
      <c r="D6483" t="s">
        <v>16211</v>
      </c>
      <c r="E6483" t="s">
        <v>16218</v>
      </c>
      <c r="F6483" t="s">
        <v>16220</v>
      </c>
      <c r="G6483" t="s">
        <v>16289</v>
      </c>
      <c r="H6483" t="s">
        <v>16289</v>
      </c>
      <c r="I6483" t="s">
        <v>16370</v>
      </c>
      <c r="J6483" t="s">
        <v>16385</v>
      </c>
      <c r="K6483">
        <v>0.186</v>
      </c>
      <c r="L6483">
        <v>8100</v>
      </c>
      <c r="M6483">
        <v>1519</v>
      </c>
      <c r="N6483" t="s">
        <v>16393</v>
      </c>
      <c r="O6483" s="4">
        <v>38757</v>
      </c>
      <c r="P6483" s="4">
        <v>98066</v>
      </c>
      <c r="Q6483" s="4">
        <v>136823</v>
      </c>
      <c r="R6483" s="4">
        <v>410469</v>
      </c>
      <c r="S6483" t="s">
        <v>22672</v>
      </c>
      <c r="T6483" s="6">
        <v>32933</v>
      </c>
      <c r="U6483" s="4">
        <v>79900</v>
      </c>
      <c r="X6483" t="s">
        <v>3</v>
      </c>
      <c r="AA6483" s="5" t="str">
        <f>HYPERLINK("https://www.zillow.com/homes/231-W-QUINCY-ST-WESTMONT-IL-60559_rb/","check listing")</f>
        <v>check listing</v>
      </c>
      <c r="AB6483" s="5" t="str">
        <f>HYPERLINK("https://propertylookup.dupagecounty.gov/Datalets/Datalet.aspx?UseSearch=no&amp;mode=sales&amp;pin=0909401004","sales record")</f>
        <v>sales record</v>
      </c>
      <c r="AC6483" t="s">
        <v>3</v>
      </c>
      <c r="AD6483">
        <v>41.794935</v>
      </c>
      <c r="AE6483">
        <v>-87.98302</v>
      </c>
      <c r="AF6483" s="5" t="str">
        <f>HYPERLINK("https://www.google.com/maps/search/?api=1&amp;query=41.794935,-87.98302","map")</f>
        <v>map</v>
      </c>
    </row>
    <row r="6484" spans="1:32">
      <c r="A6484" t="s">
        <v>6534</v>
      </c>
      <c r="B6484" t="s">
        <v>14014</v>
      </c>
      <c r="C6484" t="s">
        <v>16024</v>
      </c>
      <c r="D6484" t="s">
        <v>16211</v>
      </c>
      <c r="E6484" t="s">
        <v>16218</v>
      </c>
      <c r="F6484" t="s">
        <v>16220</v>
      </c>
      <c r="G6484" t="s">
        <v>16289</v>
      </c>
      <c r="H6484" t="s">
        <v>16289</v>
      </c>
      <c r="I6484" t="s">
        <v>16370</v>
      </c>
      <c r="J6484" t="s">
        <v>16385</v>
      </c>
      <c r="K6484">
        <v>0.186</v>
      </c>
      <c r="L6484">
        <v>8100</v>
      </c>
      <c r="M6484">
        <v>1249</v>
      </c>
      <c r="N6484" t="s">
        <v>16393</v>
      </c>
      <c r="O6484" s="4">
        <v>38757</v>
      </c>
      <c r="P6484" s="4">
        <v>35987</v>
      </c>
      <c r="Q6484" s="4">
        <v>74744</v>
      </c>
      <c r="R6484" s="4">
        <v>224232</v>
      </c>
      <c r="S6484" t="s">
        <v>22673</v>
      </c>
      <c r="T6484" s="6">
        <v>35947</v>
      </c>
      <c r="U6484" s="4">
        <v>102000</v>
      </c>
      <c r="X6484" t="s">
        <v>3</v>
      </c>
      <c r="AA6484" s="5" t="str">
        <f>HYPERLINK("https://www.zillow.com/homes/309-W-QUINCY-ST-WESTMONT-IL-60559_rb/","check listing")</f>
        <v>check listing</v>
      </c>
      <c r="AB6484" s="5" t="str">
        <f>HYPERLINK("https://propertylookup.dupagecounty.gov/Datalets/Datalet.aspx?UseSearch=no&amp;mode=sales&amp;pin=0909400003","sales record")</f>
        <v>sales record</v>
      </c>
      <c r="AC6484" t="s">
        <v>3</v>
      </c>
      <c r="AD6484">
        <v>41.794932</v>
      </c>
      <c r="AE6484">
        <v>-87.984362</v>
      </c>
      <c r="AF6484" s="5" t="str">
        <f>HYPERLINK("https://www.google.com/maps/search/?api=1&amp;query=41.794932,-87.984362","map")</f>
        <v>map</v>
      </c>
    </row>
    <row r="6485" spans="1:32">
      <c r="A6485" t="s">
        <v>6535</v>
      </c>
      <c r="B6485" t="s">
        <v>14015</v>
      </c>
      <c r="C6485" t="s">
        <v>16024</v>
      </c>
      <c r="D6485" t="s">
        <v>16211</v>
      </c>
      <c r="E6485" t="s">
        <v>16218</v>
      </c>
      <c r="F6485" t="s">
        <v>16220</v>
      </c>
      <c r="G6485" t="s">
        <v>16289</v>
      </c>
      <c r="H6485" t="s">
        <v>16289</v>
      </c>
      <c r="I6485" t="s">
        <v>16370</v>
      </c>
      <c r="J6485" t="s">
        <v>16385</v>
      </c>
      <c r="K6485">
        <v>0.186</v>
      </c>
      <c r="L6485">
        <v>8100</v>
      </c>
      <c r="M6485">
        <v>1068</v>
      </c>
      <c r="N6485" t="s">
        <v>16393</v>
      </c>
      <c r="O6485" s="4">
        <v>38757</v>
      </c>
      <c r="P6485" s="4">
        <v>100906</v>
      </c>
      <c r="Q6485" s="4">
        <v>139663</v>
      </c>
      <c r="R6485" s="4">
        <v>418989</v>
      </c>
      <c r="S6485" t="s">
        <v>22674</v>
      </c>
      <c r="T6485" s="6">
        <v>44866</v>
      </c>
      <c r="U6485" s="4">
        <v>370000</v>
      </c>
      <c r="V6485" t="s">
        <v>23739</v>
      </c>
      <c r="W6485" t="s">
        <v>27298</v>
      </c>
      <c r="X6485" t="s">
        <v>3</v>
      </c>
      <c r="AA6485" s="5" t="str">
        <f>HYPERLINK("https://www.zillow.com/homes/139-W-QUINCY-ST-WESTMONT-IL-60559_rb/","check listing")</f>
        <v>check listing</v>
      </c>
      <c r="AB6485" s="5" t="str">
        <f>HYPERLINK("https://propertylookup.dupagecounty.gov/Datalets/Datalet.aspx?UseSearch=no&amp;mode=sales&amp;pin=0909403002","sales record")</f>
        <v>sales record</v>
      </c>
      <c r="AC6485" t="s">
        <v>27873</v>
      </c>
      <c r="AD6485">
        <v>41.794941</v>
      </c>
      <c r="AE6485">
        <v>-87.98047699999999</v>
      </c>
      <c r="AF6485" s="5" t="str">
        <f>HYPERLINK("https://www.google.com/maps/search/?api=1&amp;query=41.794941,-87.980477","map")</f>
        <v>map</v>
      </c>
    </row>
    <row r="6486" spans="1:32">
      <c r="A6486" t="s">
        <v>6536</v>
      </c>
      <c r="B6486" t="s">
        <v>14016</v>
      </c>
      <c r="C6486" t="s">
        <v>16048</v>
      </c>
      <c r="D6486" t="s">
        <v>16211</v>
      </c>
      <c r="E6486" t="s">
        <v>16218</v>
      </c>
      <c r="F6486" t="s">
        <v>16220</v>
      </c>
      <c r="G6486" t="s">
        <v>16289</v>
      </c>
      <c r="H6486" t="s">
        <v>16289</v>
      </c>
      <c r="I6486" t="s">
        <v>16370</v>
      </c>
      <c r="J6486" t="s">
        <v>16385</v>
      </c>
      <c r="K6486">
        <v>0.186</v>
      </c>
      <c r="L6486">
        <v>8100</v>
      </c>
      <c r="M6486">
        <v>1835</v>
      </c>
      <c r="N6486" t="s">
        <v>16393</v>
      </c>
      <c r="O6486" s="4">
        <v>38757</v>
      </c>
      <c r="P6486" s="4">
        <v>64462</v>
      </c>
      <c r="Q6486" s="4">
        <v>103219</v>
      </c>
      <c r="R6486" s="4">
        <v>309657</v>
      </c>
      <c r="S6486" t="s">
        <v>22675</v>
      </c>
      <c r="T6486" s="6">
        <v>45806</v>
      </c>
      <c r="U6486" s="4">
        <v>430000</v>
      </c>
      <c r="V6486" t="s">
        <v>23739</v>
      </c>
      <c r="W6486" t="s">
        <v>27299</v>
      </c>
      <c r="X6486" t="s">
        <v>3</v>
      </c>
      <c r="AA6486" s="5" t="str">
        <f>HYPERLINK("https://www.zillow.com/homes/207-W-QUINCY-ST-WESTMONT-IL-605591811_rb/","check listing")</f>
        <v>check listing</v>
      </c>
      <c r="AB6486" s="5" t="str">
        <f>HYPERLINK("https://propertylookup.dupagecounty.gov/Datalets/Datalet.aspx?UseSearch=no&amp;mode=sales&amp;pin=0909402004","sales record")</f>
        <v>sales record</v>
      </c>
      <c r="AC6486" t="s">
        <v>3</v>
      </c>
      <c r="AD6486">
        <v>41.794939</v>
      </c>
      <c r="AE6486">
        <v>-87.98143899999999</v>
      </c>
      <c r="AF6486" s="5" t="str">
        <f>HYPERLINK("https://www.google.com/maps/search/?api=1&amp;query=41.794939,-87.981439","map")</f>
        <v>map</v>
      </c>
    </row>
    <row r="6487" spans="1:32">
      <c r="A6487" t="s">
        <v>6537</v>
      </c>
      <c r="B6487" t="s">
        <v>14017</v>
      </c>
      <c r="C6487" t="s">
        <v>16024</v>
      </c>
      <c r="D6487" t="s">
        <v>16211</v>
      </c>
      <c r="E6487" t="s">
        <v>16218</v>
      </c>
      <c r="F6487" t="s">
        <v>16220</v>
      </c>
      <c r="G6487" t="s">
        <v>16289</v>
      </c>
      <c r="H6487" t="s">
        <v>16289</v>
      </c>
      <c r="I6487" t="s">
        <v>16370</v>
      </c>
      <c r="J6487" t="s">
        <v>16385</v>
      </c>
      <c r="K6487">
        <v>0.186</v>
      </c>
      <c r="L6487">
        <v>8099</v>
      </c>
      <c r="M6487">
        <v>1183</v>
      </c>
      <c r="N6487" t="s">
        <v>16393</v>
      </c>
      <c r="O6487" s="4">
        <v>38757</v>
      </c>
      <c r="P6487" s="4">
        <v>57630</v>
      </c>
      <c r="Q6487" s="4">
        <v>96387</v>
      </c>
      <c r="R6487" s="4">
        <v>289161</v>
      </c>
      <c r="S6487" t="s">
        <v>22676</v>
      </c>
      <c r="T6487" s="6">
        <v>42767</v>
      </c>
      <c r="U6487" s="4">
        <v>282000</v>
      </c>
      <c r="V6487" t="s">
        <v>23739</v>
      </c>
      <c r="W6487" t="s">
        <v>27300</v>
      </c>
      <c r="X6487" t="s">
        <v>3</v>
      </c>
      <c r="AA6487" s="5" t="str">
        <f>HYPERLINK("https://www.zillow.com/homes/315-W-QUINCY-ST-WESTMONT-IL-60559_rb/","check listing")</f>
        <v>check listing</v>
      </c>
      <c r="AB6487" s="5" t="str">
        <f>HYPERLINK("https://propertylookup.dupagecounty.gov/Datalets/Datalet.aspx?UseSearch=no&amp;mode=sales&amp;pin=0909400002","sales record")</f>
        <v>sales record</v>
      </c>
      <c r="AC6487" t="s">
        <v>3</v>
      </c>
      <c r="AD6487">
        <v>41.79484</v>
      </c>
      <c r="AE6487">
        <v>-87.984578</v>
      </c>
      <c r="AF6487" s="5" t="str">
        <f>HYPERLINK("https://www.google.com/maps/search/?api=1&amp;query=41.79484,-87.984578","map")</f>
        <v>map</v>
      </c>
    </row>
    <row r="6488" spans="1:32">
      <c r="A6488" t="s">
        <v>6538</v>
      </c>
      <c r="B6488" t="s">
        <v>14018</v>
      </c>
      <c r="C6488" t="s">
        <v>16048</v>
      </c>
      <c r="D6488" t="s">
        <v>16211</v>
      </c>
      <c r="E6488" t="s">
        <v>16218</v>
      </c>
      <c r="F6488" t="s">
        <v>16220</v>
      </c>
      <c r="G6488" t="s">
        <v>16289</v>
      </c>
      <c r="H6488" t="s">
        <v>16289</v>
      </c>
      <c r="I6488" t="s">
        <v>16370</v>
      </c>
      <c r="J6488" t="s">
        <v>16385</v>
      </c>
      <c r="K6488">
        <v>0.186</v>
      </c>
      <c r="L6488">
        <v>8098</v>
      </c>
      <c r="N6488" t="s">
        <v>16393</v>
      </c>
      <c r="O6488" s="4">
        <v>38757</v>
      </c>
      <c r="P6488" s="4">
        <v>183572</v>
      </c>
      <c r="Q6488" s="4">
        <v>222329</v>
      </c>
      <c r="R6488" s="4">
        <v>666987</v>
      </c>
      <c r="S6488" t="s">
        <v>22677</v>
      </c>
      <c r="T6488" s="6">
        <v>41699</v>
      </c>
      <c r="U6488" s="4">
        <v>431000</v>
      </c>
      <c r="V6488" t="s">
        <v>23739</v>
      </c>
      <c r="W6488" t="s">
        <v>22677</v>
      </c>
      <c r="X6488" t="s">
        <v>3</v>
      </c>
      <c r="AA6488" s="5" t="str">
        <f>HYPERLINK("https://www.zillow.com/homes/213-W-QUINCY-ST-WESTMONT-IL-605591811_rb/","check listing")</f>
        <v>check listing</v>
      </c>
      <c r="AB6488" s="5" t="str">
        <f>HYPERLINK("https://propertylookup.dupagecounty.gov/Datalets/Datalet.aspx?UseSearch=no&amp;mode=sales&amp;pin=0909402003","sales record")</f>
        <v>sales record</v>
      </c>
      <c r="AC6488" t="s">
        <v>3</v>
      </c>
      <c r="AD6488">
        <v>41.794938</v>
      </c>
      <c r="AE6488">
        <v>-87.98165899999999</v>
      </c>
      <c r="AF6488" s="5" t="str">
        <f>HYPERLINK("https://www.google.com/maps/search/?api=1&amp;query=41.794938,-87.981659","map")</f>
        <v>map</v>
      </c>
    </row>
    <row r="6489" spans="1:32">
      <c r="A6489" t="s">
        <v>6539</v>
      </c>
      <c r="B6489" t="s">
        <v>14019</v>
      </c>
      <c r="C6489" t="s">
        <v>16049</v>
      </c>
      <c r="D6489" t="s">
        <v>16211</v>
      </c>
      <c r="E6489" t="s">
        <v>16218</v>
      </c>
      <c r="F6489" t="s">
        <v>16220</v>
      </c>
      <c r="G6489" t="s">
        <v>16289</v>
      </c>
      <c r="H6489" t="s">
        <v>16289</v>
      </c>
      <c r="I6489" t="s">
        <v>16370</v>
      </c>
      <c r="J6489" t="s">
        <v>16385</v>
      </c>
      <c r="K6489">
        <v>0.186</v>
      </c>
      <c r="L6489">
        <v>8098</v>
      </c>
      <c r="M6489">
        <v>1549</v>
      </c>
      <c r="N6489" t="s">
        <v>16393</v>
      </c>
      <c r="O6489" s="4">
        <v>38757</v>
      </c>
      <c r="P6489" s="4">
        <v>54379</v>
      </c>
      <c r="Q6489" s="4">
        <v>93136</v>
      </c>
      <c r="R6489" s="4">
        <v>279408</v>
      </c>
      <c r="S6489" t="s">
        <v>22678</v>
      </c>
      <c r="T6489" s="6">
        <v>44228</v>
      </c>
      <c r="U6489" s="4">
        <v>214900</v>
      </c>
      <c r="V6489" t="s">
        <v>23738</v>
      </c>
      <c r="W6489" t="s">
        <v>27301</v>
      </c>
      <c r="X6489" t="s">
        <v>3</v>
      </c>
      <c r="AA6489" s="5" t="str">
        <f>HYPERLINK("https://www.zillow.com/homes/243-W-QUINCY-ST-WESTMONT-IL-605591848_rb/","check listing")</f>
        <v>check listing</v>
      </c>
      <c r="AB6489" s="5" t="str">
        <f>HYPERLINK("https://propertylookup.dupagecounty.gov/Datalets/Datalet.aspx?UseSearch=no&amp;mode=sales&amp;pin=0909401001","sales record")</f>
        <v>sales record</v>
      </c>
      <c r="AC6489" t="s">
        <v>3</v>
      </c>
      <c r="AD6489">
        <v>41.794934</v>
      </c>
      <c r="AE6489">
        <v>-87.98345999999999</v>
      </c>
      <c r="AF6489" s="5" t="str">
        <f>HYPERLINK("https://www.google.com/maps/search/?api=1&amp;query=41.794934,-87.98346","map")</f>
        <v>map</v>
      </c>
    </row>
    <row r="6490" spans="1:32">
      <c r="A6490" t="s">
        <v>6540</v>
      </c>
      <c r="B6490" t="s">
        <v>14020</v>
      </c>
      <c r="C6490" t="s">
        <v>16050</v>
      </c>
      <c r="D6490" t="s">
        <v>16211</v>
      </c>
      <c r="E6490" t="s">
        <v>16218</v>
      </c>
      <c r="F6490" t="s">
        <v>16220</v>
      </c>
      <c r="G6490" t="s">
        <v>16289</v>
      </c>
      <c r="H6490" t="s">
        <v>16289</v>
      </c>
      <c r="I6490" t="s">
        <v>16370</v>
      </c>
      <c r="J6490" t="s">
        <v>16385</v>
      </c>
      <c r="K6490">
        <v>0.185</v>
      </c>
      <c r="L6490">
        <v>8042</v>
      </c>
      <c r="N6490" t="s">
        <v>16393</v>
      </c>
      <c r="O6490" s="4">
        <v>33992</v>
      </c>
      <c r="P6490" s="4">
        <v>166893</v>
      </c>
      <c r="Q6490" s="4">
        <v>200885</v>
      </c>
      <c r="R6490" s="4">
        <v>602655</v>
      </c>
      <c r="S6490" t="s">
        <v>22679</v>
      </c>
      <c r="X6490" t="s">
        <v>3</v>
      </c>
      <c r="AA6490" s="5" t="str">
        <f>HYPERLINK("https://www.zillow.com/homes/234-W-BURLINGTON-AVE-WESTMONT-IL-605591648_rb/","check listing")</f>
        <v>check listing</v>
      </c>
      <c r="AB6490" s="5" t="str">
        <f>HYPERLINK("https://propertylookup.dupagecounty.gov/Datalets/Datalet.aspx?UseSearch=no&amp;mode=sales&amp;pin=0909217025","sales record")</f>
        <v>sales record</v>
      </c>
      <c r="AC6490" t="s">
        <v>3</v>
      </c>
      <c r="AD6490">
        <v>41.796139</v>
      </c>
      <c r="AE6490">
        <v>-87.983288</v>
      </c>
      <c r="AF6490" s="5" t="str">
        <f>HYPERLINK("https://www.google.com/maps/search/?api=1&amp;query=41.796139,-87.983288","map")</f>
        <v>map</v>
      </c>
    </row>
    <row r="6491" spans="1:32">
      <c r="A6491" t="s">
        <v>6541</v>
      </c>
      <c r="B6491" t="s">
        <v>14021</v>
      </c>
      <c r="C6491" t="s">
        <v>16024</v>
      </c>
      <c r="D6491" t="s">
        <v>16211</v>
      </c>
      <c r="E6491" t="s">
        <v>16218</v>
      </c>
      <c r="F6491" t="s">
        <v>16220</v>
      </c>
      <c r="G6491" t="s">
        <v>16289</v>
      </c>
      <c r="H6491" t="s">
        <v>16289</v>
      </c>
      <c r="I6491" t="s">
        <v>16370</v>
      </c>
      <c r="J6491" t="s">
        <v>16385</v>
      </c>
      <c r="K6491">
        <v>0.185</v>
      </c>
      <c r="L6491">
        <v>8042</v>
      </c>
      <c r="M6491">
        <v>1200</v>
      </c>
      <c r="N6491" t="s">
        <v>16393</v>
      </c>
      <c r="O6491" s="4">
        <v>33992</v>
      </c>
      <c r="P6491" s="4">
        <v>48112</v>
      </c>
      <c r="Q6491" s="4">
        <v>82104</v>
      </c>
      <c r="R6491" s="4">
        <v>246312</v>
      </c>
      <c r="S6491" t="s">
        <v>22680</v>
      </c>
      <c r="T6491" s="6">
        <v>45034</v>
      </c>
      <c r="U6491" s="4">
        <v>235000</v>
      </c>
      <c r="V6491" t="s">
        <v>23739</v>
      </c>
      <c r="W6491" t="s">
        <v>27302</v>
      </c>
      <c r="X6491" t="s">
        <v>3</v>
      </c>
      <c r="AA6491" s="5" t="str">
        <f>HYPERLINK("https://www.zillow.com/homes/230-W-BURLINGTON-AVE-WESTMONT-IL-60559_rb/","check listing")</f>
        <v>check listing</v>
      </c>
      <c r="AB6491" s="5" t="str">
        <f>HYPERLINK("https://propertylookup.dupagecounty.gov/Datalets/Datalet.aspx?UseSearch=no&amp;mode=sales&amp;pin=0909217020","sales record")</f>
        <v>sales record</v>
      </c>
      <c r="AC6491" t="s">
        <v>3</v>
      </c>
      <c r="AD6491">
        <v>41.79614</v>
      </c>
      <c r="AE6491">
        <v>-87.983068</v>
      </c>
      <c r="AF6491" s="5" t="str">
        <f>HYPERLINK("https://www.google.com/maps/search/?api=1&amp;query=41.79614,-87.983068","map")</f>
        <v>map</v>
      </c>
    </row>
    <row r="6492" spans="1:32">
      <c r="A6492" t="s">
        <v>6542</v>
      </c>
      <c r="B6492" t="s">
        <v>14022</v>
      </c>
      <c r="C6492" t="s">
        <v>16024</v>
      </c>
      <c r="D6492" t="s">
        <v>16211</v>
      </c>
      <c r="E6492" t="s">
        <v>16218</v>
      </c>
      <c r="F6492" t="s">
        <v>16220</v>
      </c>
      <c r="G6492" t="s">
        <v>16289</v>
      </c>
      <c r="H6492" t="s">
        <v>16289</v>
      </c>
      <c r="I6492" t="s">
        <v>16370</v>
      </c>
      <c r="J6492" t="s">
        <v>16385</v>
      </c>
      <c r="K6492">
        <v>0.185</v>
      </c>
      <c r="L6492">
        <v>8040</v>
      </c>
      <c r="M6492">
        <v>1462</v>
      </c>
      <c r="N6492" t="s">
        <v>16393</v>
      </c>
      <c r="O6492" s="4">
        <v>33992</v>
      </c>
      <c r="P6492" s="4">
        <v>55799</v>
      </c>
      <c r="Q6492" s="4">
        <v>89791</v>
      </c>
      <c r="R6492" s="4">
        <v>269373</v>
      </c>
      <c r="S6492" t="s">
        <v>22681</v>
      </c>
      <c r="T6492" s="6">
        <v>38657</v>
      </c>
      <c r="U6492" s="4">
        <v>238000</v>
      </c>
      <c r="V6492" t="s">
        <v>23739</v>
      </c>
      <c r="W6492" t="s">
        <v>22681</v>
      </c>
      <c r="X6492" t="s">
        <v>3</v>
      </c>
      <c r="AA6492" s="5" t="str">
        <f>HYPERLINK("https://www.zillow.com/homes/216-W-BURLINGTON-AVE-WESTMONT-IL-60559_rb/","check listing")</f>
        <v>check listing</v>
      </c>
      <c r="AB6492" s="5" t="str">
        <f>HYPERLINK("https://propertylookup.dupagecounty.gov/Datalets/Datalet.aspx?UseSearch=no&amp;mode=sales&amp;pin=0909218017","sales record")</f>
        <v>sales record</v>
      </c>
      <c r="AC6492" t="s">
        <v>3</v>
      </c>
      <c r="AD6492">
        <v>41.796142</v>
      </c>
      <c r="AE6492">
        <v>-87.98192299999999</v>
      </c>
      <c r="AF6492" s="5" t="str">
        <f>HYPERLINK("https://www.google.com/maps/search/?api=1&amp;query=41.796142,-87.981923","map")</f>
        <v>map</v>
      </c>
    </row>
    <row r="6493" spans="1:32">
      <c r="A6493" t="s">
        <v>6543</v>
      </c>
      <c r="B6493" t="s">
        <v>14023</v>
      </c>
      <c r="C6493" t="s">
        <v>16051</v>
      </c>
      <c r="D6493" t="s">
        <v>16211</v>
      </c>
      <c r="E6493" t="s">
        <v>16218</v>
      </c>
      <c r="F6493" t="s">
        <v>16220</v>
      </c>
      <c r="G6493" t="s">
        <v>16289</v>
      </c>
      <c r="H6493" t="s">
        <v>16289</v>
      </c>
      <c r="I6493" t="s">
        <v>16370</v>
      </c>
      <c r="J6493" t="s">
        <v>16385</v>
      </c>
      <c r="K6493">
        <v>0.185</v>
      </c>
      <c r="L6493">
        <v>8038</v>
      </c>
      <c r="M6493">
        <v>889</v>
      </c>
      <c r="N6493" t="s">
        <v>16393</v>
      </c>
      <c r="O6493" s="4">
        <v>33992</v>
      </c>
      <c r="P6493" s="4">
        <v>63781</v>
      </c>
      <c r="Q6493" s="4">
        <v>97773</v>
      </c>
      <c r="R6493" s="4">
        <v>293319</v>
      </c>
      <c r="S6493" t="s">
        <v>22682</v>
      </c>
      <c r="T6493" s="6">
        <v>43191</v>
      </c>
      <c r="U6493" s="4">
        <v>270000</v>
      </c>
      <c r="V6493" t="s">
        <v>23739</v>
      </c>
      <c r="W6493" t="s">
        <v>27303</v>
      </c>
      <c r="X6493" t="s">
        <v>3</v>
      </c>
      <c r="AA6493" s="5" t="str">
        <f>HYPERLINK("https://www.zillow.com/homes/140-W-BURLINGTON-AVE-WESTMONT-IL-605591851_rb/","check listing")</f>
        <v>check listing</v>
      </c>
      <c r="AB6493" s="5" t="str">
        <f>HYPERLINK("https://propertylookup.dupagecounty.gov/Datalets/Datalet.aspx?UseSearch=no&amp;mode=sales&amp;pin=0909219016","sales record")</f>
        <v>sales record</v>
      </c>
      <c r="AC6493" t="s">
        <v>3</v>
      </c>
      <c r="AD6493">
        <v>41.796144</v>
      </c>
      <c r="AE6493">
        <v>-87.980521</v>
      </c>
      <c r="AF6493" s="5" t="str">
        <f>HYPERLINK("https://www.google.com/maps/search/?api=1&amp;query=41.796144,-87.980521","map")</f>
        <v>map</v>
      </c>
    </row>
    <row r="6494" spans="1:32">
      <c r="A6494" t="s">
        <v>6544</v>
      </c>
      <c r="B6494" t="s">
        <v>14024</v>
      </c>
      <c r="C6494" t="s">
        <v>16052</v>
      </c>
      <c r="D6494" t="s">
        <v>16211</v>
      </c>
      <c r="E6494" t="s">
        <v>16218</v>
      </c>
      <c r="F6494" t="s">
        <v>16220</v>
      </c>
      <c r="G6494" t="s">
        <v>16289</v>
      </c>
      <c r="H6494" t="s">
        <v>16289</v>
      </c>
      <c r="I6494" t="s">
        <v>16370</v>
      </c>
      <c r="J6494" t="s">
        <v>16385</v>
      </c>
      <c r="K6494">
        <v>0.185</v>
      </c>
      <c r="L6494">
        <v>8038</v>
      </c>
      <c r="M6494">
        <v>3015</v>
      </c>
      <c r="N6494" t="s">
        <v>16393</v>
      </c>
      <c r="O6494" s="4">
        <v>33992</v>
      </c>
      <c r="P6494" s="4">
        <v>67607</v>
      </c>
      <c r="Q6494" s="4">
        <v>101599</v>
      </c>
      <c r="R6494" s="4">
        <v>304797</v>
      </c>
      <c r="S6494" t="s">
        <v>22683</v>
      </c>
      <c r="T6494" s="6">
        <v>45174</v>
      </c>
      <c r="U6494" s="4">
        <v>330000</v>
      </c>
      <c r="V6494" t="s">
        <v>23739</v>
      </c>
      <c r="W6494" t="s">
        <v>27304</v>
      </c>
      <c r="X6494" t="s">
        <v>3</v>
      </c>
      <c r="AA6494" s="5" t="str">
        <f>HYPERLINK("https://www.zillow.com/homes/120-W-BURLINGTON-AVE-WESTMONT-IL-605591840_rb/","check listing")</f>
        <v>check listing</v>
      </c>
      <c r="AB6494" s="5" t="str">
        <f>HYPERLINK("https://propertylookup.dupagecounty.gov/Datalets/Datalet.aspx?UseSearch=no&amp;mode=sales&amp;pin=0909220016","sales record")</f>
        <v>sales record</v>
      </c>
      <c r="AC6494" t="s">
        <v>3</v>
      </c>
      <c r="AD6494">
        <v>41.796146</v>
      </c>
      <c r="AE6494">
        <v>-87.979339</v>
      </c>
      <c r="AF6494" s="5" t="str">
        <f>HYPERLINK("https://www.google.com/maps/search/?api=1&amp;query=41.796146,-87.979339","map")</f>
        <v>map</v>
      </c>
    </row>
    <row r="6495" spans="1:32">
      <c r="A6495" t="s">
        <v>6545</v>
      </c>
      <c r="B6495" t="s">
        <v>14025</v>
      </c>
      <c r="C6495" t="s">
        <v>16024</v>
      </c>
      <c r="D6495" t="s">
        <v>16211</v>
      </c>
      <c r="E6495" t="s">
        <v>16218</v>
      </c>
      <c r="F6495" t="s">
        <v>16220</v>
      </c>
      <c r="G6495" t="s">
        <v>16238</v>
      </c>
      <c r="H6495" t="s">
        <v>16238</v>
      </c>
      <c r="I6495" t="s">
        <v>16369</v>
      </c>
      <c r="J6495" t="s">
        <v>16385</v>
      </c>
      <c r="K6495">
        <v>0.182</v>
      </c>
      <c r="L6495">
        <v>7919</v>
      </c>
      <c r="M6495">
        <v>1420</v>
      </c>
      <c r="N6495" t="s">
        <v>16393</v>
      </c>
      <c r="O6495" s="4">
        <v>30142</v>
      </c>
      <c r="P6495" s="4">
        <v>46116</v>
      </c>
      <c r="Q6495" s="4">
        <v>76258</v>
      </c>
      <c r="R6495" s="4">
        <v>228774</v>
      </c>
      <c r="S6495" t="s">
        <v>22684</v>
      </c>
      <c r="T6495" s="6">
        <v>44501</v>
      </c>
      <c r="U6495" s="4">
        <v>180000</v>
      </c>
      <c r="V6495" t="s">
        <v>23740</v>
      </c>
      <c r="W6495" t="s">
        <v>27305</v>
      </c>
      <c r="X6495" t="s">
        <v>3</v>
      </c>
      <c r="AA6495" s="5" t="str">
        <f>HYPERLINK("https://www.zillow.com/homes/314-N-CASS-AVE-WESTMONT-IL-60559_rb/","check listing")</f>
        <v>check listing</v>
      </c>
      <c r="AB6495" s="5" t="str">
        <f>HYPERLINK("https://propertylookup.dupagecounty.gov/Datalets/Datalet.aspx?UseSearch=no&amp;mode=sales&amp;pin=0904409028","sales record")</f>
        <v>sales record</v>
      </c>
      <c r="AC6495" t="s">
        <v>3</v>
      </c>
      <c r="AD6495">
        <v>41.803409</v>
      </c>
      <c r="AE6495">
        <v>-87.976033</v>
      </c>
      <c r="AF6495" s="5" t="str">
        <f>HYPERLINK("https://www.google.com/maps/search/?api=1&amp;query=41.803409,-87.976033","map")</f>
        <v>map</v>
      </c>
    </row>
    <row r="6496" spans="1:32">
      <c r="A6496" t="s">
        <v>6546</v>
      </c>
      <c r="B6496" t="s">
        <v>14026</v>
      </c>
      <c r="C6496" t="s">
        <v>16024</v>
      </c>
      <c r="D6496" t="s">
        <v>16211</v>
      </c>
      <c r="E6496" t="s">
        <v>16218</v>
      </c>
      <c r="F6496" t="s">
        <v>16220</v>
      </c>
      <c r="G6496" t="s">
        <v>16238</v>
      </c>
      <c r="H6496" t="s">
        <v>16238</v>
      </c>
      <c r="I6496" t="s">
        <v>16369</v>
      </c>
      <c r="J6496" t="s">
        <v>16385</v>
      </c>
      <c r="K6496">
        <v>0.182</v>
      </c>
      <c r="L6496">
        <v>7917</v>
      </c>
      <c r="N6496" t="s">
        <v>16393</v>
      </c>
      <c r="O6496" s="4">
        <v>30142</v>
      </c>
      <c r="P6496" s="4">
        <v>31702</v>
      </c>
      <c r="Q6496" s="4">
        <v>61844</v>
      </c>
      <c r="R6496" s="4">
        <v>185532</v>
      </c>
      <c r="S6496" t="s">
        <v>22684</v>
      </c>
      <c r="T6496" s="6">
        <v>32752</v>
      </c>
      <c r="U6496" s="4">
        <v>62000</v>
      </c>
      <c r="X6496" t="s">
        <v>3</v>
      </c>
      <c r="AA6496" s="5" t="str">
        <f>HYPERLINK("https://www.zillow.com/homes/310-N-CASS-AVE-WESTMONT-IL-60559_rb/","check listing")</f>
        <v>check listing</v>
      </c>
      <c r="AB6496" s="5" t="str">
        <f>HYPERLINK("https://propertylookup.dupagecounty.gov/Datalets/Datalet.aspx?UseSearch=no&amp;mode=sales&amp;pin=0904409030","sales record")</f>
        <v>sales record</v>
      </c>
      <c r="AC6496" t="s">
        <v>3</v>
      </c>
      <c r="AD6496">
        <v>41.803135</v>
      </c>
      <c r="AE6496">
        <v>-87.976022</v>
      </c>
      <c r="AF6496" s="5" t="str">
        <f>HYPERLINK("https://www.google.com/maps/search/?api=1&amp;query=41.803135,-87.976022","map")</f>
        <v>map</v>
      </c>
    </row>
    <row r="6497" spans="1:32">
      <c r="A6497" t="s">
        <v>6547</v>
      </c>
      <c r="B6497" t="s">
        <v>14027</v>
      </c>
      <c r="C6497" t="s">
        <v>16040</v>
      </c>
      <c r="D6497" t="s">
        <v>16211</v>
      </c>
      <c r="E6497" t="s">
        <v>16218</v>
      </c>
      <c r="F6497" t="s">
        <v>16220</v>
      </c>
      <c r="G6497" t="s">
        <v>16238</v>
      </c>
      <c r="H6497" t="s">
        <v>16238</v>
      </c>
      <c r="I6497" t="s">
        <v>16369</v>
      </c>
      <c r="J6497" t="s">
        <v>16385</v>
      </c>
      <c r="K6497">
        <v>0.182</v>
      </c>
      <c r="L6497">
        <v>7917</v>
      </c>
      <c r="M6497">
        <v>2083</v>
      </c>
      <c r="N6497" t="s">
        <v>16393</v>
      </c>
      <c r="O6497" s="4">
        <v>30142</v>
      </c>
      <c r="P6497" s="4">
        <v>71528</v>
      </c>
      <c r="Q6497" s="4">
        <v>101670</v>
      </c>
      <c r="R6497" s="4">
        <v>305010</v>
      </c>
      <c r="S6497" t="s">
        <v>22684</v>
      </c>
      <c r="T6497" s="6">
        <v>40878</v>
      </c>
      <c r="U6497" s="4">
        <v>100000</v>
      </c>
      <c r="V6497" t="s">
        <v>23739</v>
      </c>
      <c r="W6497" t="s">
        <v>27305</v>
      </c>
      <c r="X6497" t="s">
        <v>3</v>
      </c>
      <c r="AA6497" s="5" t="str">
        <f>HYPERLINK("https://www.zillow.com/homes/312-N-CASS-AVE-WESTMONT-IL-605591501_rb/","check listing")</f>
        <v>check listing</v>
      </c>
      <c r="AB6497" s="5" t="str">
        <f>HYPERLINK("https://propertylookup.dupagecounty.gov/Datalets/Datalet.aspx?UseSearch=no&amp;mode=sales&amp;pin=0904409029","sales record")</f>
        <v>sales record</v>
      </c>
      <c r="AC6497" t="s">
        <v>3</v>
      </c>
      <c r="AD6497">
        <v>41.803272</v>
      </c>
      <c r="AE6497">
        <v>-87.976028</v>
      </c>
      <c r="AF6497" s="5" t="str">
        <f>HYPERLINK("https://www.google.com/maps/search/?api=1&amp;query=41.803272,-87.976028","map")</f>
        <v>map</v>
      </c>
    </row>
    <row r="6498" spans="1:32">
      <c r="A6498" t="s">
        <v>6548</v>
      </c>
      <c r="B6498" t="s">
        <v>14028</v>
      </c>
      <c r="C6498" t="s">
        <v>16024</v>
      </c>
      <c r="D6498" t="s">
        <v>16211</v>
      </c>
      <c r="E6498" t="s">
        <v>16218</v>
      </c>
      <c r="F6498" t="s">
        <v>16220</v>
      </c>
      <c r="G6498" t="s">
        <v>16238</v>
      </c>
      <c r="H6498" t="s">
        <v>16238</v>
      </c>
      <c r="I6498" t="s">
        <v>16369</v>
      </c>
      <c r="J6498" t="s">
        <v>16385</v>
      </c>
      <c r="K6498">
        <v>0.182</v>
      </c>
      <c r="L6498">
        <v>7915</v>
      </c>
      <c r="M6498">
        <v>772</v>
      </c>
      <c r="N6498" t="s">
        <v>16393</v>
      </c>
      <c r="O6498" s="4">
        <v>30142</v>
      </c>
      <c r="P6498" s="4">
        <v>30376</v>
      </c>
      <c r="Q6498" s="4">
        <v>60518</v>
      </c>
      <c r="R6498" s="4">
        <v>181554</v>
      </c>
      <c r="S6498" t="s">
        <v>22685</v>
      </c>
      <c r="X6498" t="s">
        <v>3</v>
      </c>
      <c r="AA6498" s="5" t="str">
        <f>HYPERLINK("https://www.zillow.com/homes/316-N-CASS-AVE-WESTMONT-IL-60559_rb/","check listing")</f>
        <v>check listing</v>
      </c>
      <c r="AB6498" s="5" t="str">
        <f>HYPERLINK("https://propertylookup.dupagecounty.gov/Datalets/Datalet.aspx?UseSearch=no&amp;mode=sales&amp;pin=0904409027","sales record")</f>
        <v>sales record</v>
      </c>
      <c r="AC6498" t="s">
        <v>3</v>
      </c>
      <c r="AD6498">
        <v>41.803546</v>
      </c>
      <c r="AE6498">
        <v>-87.976039</v>
      </c>
      <c r="AF6498" s="5" t="str">
        <f>HYPERLINK("https://www.google.com/maps/search/?api=1&amp;query=41.803546,-87.976039","map")</f>
        <v>map</v>
      </c>
    </row>
    <row r="6499" spans="1:32">
      <c r="A6499" t="s">
        <v>6549</v>
      </c>
      <c r="B6499" t="s">
        <v>14029</v>
      </c>
      <c r="C6499" t="s">
        <v>16024</v>
      </c>
      <c r="D6499" t="s">
        <v>16211</v>
      </c>
      <c r="E6499" t="s">
        <v>16218</v>
      </c>
      <c r="F6499" t="s">
        <v>16220</v>
      </c>
      <c r="G6499" t="s">
        <v>16238</v>
      </c>
      <c r="H6499" t="s">
        <v>16238</v>
      </c>
      <c r="I6499" t="s">
        <v>16369</v>
      </c>
      <c r="J6499" t="s">
        <v>16385</v>
      </c>
      <c r="K6499">
        <v>0.174</v>
      </c>
      <c r="L6499">
        <v>7601</v>
      </c>
      <c r="M6499">
        <v>940</v>
      </c>
      <c r="N6499" t="s">
        <v>16393</v>
      </c>
      <c r="O6499" s="4">
        <v>35929</v>
      </c>
      <c r="P6499" s="4">
        <v>64697</v>
      </c>
      <c r="Q6499" s="4">
        <v>100626</v>
      </c>
      <c r="R6499" s="4">
        <v>301878</v>
      </c>
      <c r="S6499" t="s">
        <v>22686</v>
      </c>
      <c r="T6499" s="6">
        <v>39814</v>
      </c>
      <c r="U6499" s="4">
        <v>168000</v>
      </c>
      <c r="V6499" t="s">
        <v>16232</v>
      </c>
      <c r="W6499" t="s">
        <v>22686</v>
      </c>
      <c r="X6499" t="s">
        <v>3</v>
      </c>
      <c r="AA6499" s="5" t="str">
        <f>HYPERLINK("https://www.zillow.com/homes/2-W-56TH-ST-WESTMONT-IL-60559_rb/","check listing")</f>
        <v>check listing</v>
      </c>
      <c r="AB6499" s="5" t="str">
        <f>HYPERLINK("https://propertylookup.dupagecounty.gov/Datalets/Datalet.aspx?UseSearch=no&amp;mode=sales&amp;pin=0916205031","sales record")</f>
        <v>sales record</v>
      </c>
      <c r="AC6499" t="s">
        <v>3</v>
      </c>
      <c r="AD6499">
        <v>41.786355</v>
      </c>
      <c r="AE6499">
        <v>-87.975408</v>
      </c>
      <c r="AF6499" s="5" t="str">
        <f>HYPERLINK("https://www.google.com/maps/search/?api=1&amp;query=41.786355,-87.975408","map")</f>
        <v>map</v>
      </c>
    </row>
    <row r="6500" spans="1:32">
      <c r="A6500" t="s">
        <v>6550</v>
      </c>
      <c r="B6500" t="s">
        <v>14030</v>
      </c>
      <c r="C6500" t="s">
        <v>16042</v>
      </c>
      <c r="D6500" t="s">
        <v>16211</v>
      </c>
      <c r="E6500" t="s">
        <v>16218</v>
      </c>
      <c r="F6500" t="s">
        <v>16220</v>
      </c>
      <c r="G6500" t="s">
        <v>16238</v>
      </c>
      <c r="H6500" t="s">
        <v>16238</v>
      </c>
      <c r="I6500" t="s">
        <v>16369</v>
      </c>
      <c r="J6500" t="s">
        <v>16385</v>
      </c>
      <c r="K6500">
        <v>0.173</v>
      </c>
      <c r="L6500">
        <v>7543</v>
      </c>
      <c r="M6500">
        <v>1348</v>
      </c>
      <c r="N6500" t="s">
        <v>16393</v>
      </c>
      <c r="O6500" s="4">
        <v>28740</v>
      </c>
      <c r="P6500" s="4">
        <v>375697</v>
      </c>
      <c r="Q6500" s="4">
        <v>404437</v>
      </c>
      <c r="R6500" s="4">
        <v>1213311</v>
      </c>
      <c r="S6500" t="s">
        <v>22687</v>
      </c>
      <c r="T6500" s="6">
        <v>40695</v>
      </c>
      <c r="U6500" s="4">
        <v>180000</v>
      </c>
      <c r="V6500" t="s">
        <v>16232</v>
      </c>
      <c r="W6500" t="s">
        <v>27306</v>
      </c>
      <c r="X6500" t="s">
        <v>3</v>
      </c>
      <c r="AA6500" s="5" t="str">
        <f>HYPERLINK("https://www.zillow.com/homes/29-WILLOW-CREST-DR-WESTMONT-IL-60523_rb/","check listing")</f>
        <v>check listing</v>
      </c>
      <c r="AB6500" s="5" t="str">
        <f>HYPERLINK("https://propertylookup.dupagecounty.gov/Datalets/Datalet.aspx?UseSearch=no&amp;mode=sales&amp;pin=0634300025","sales record")</f>
        <v>sales record</v>
      </c>
      <c r="AC6500" t="s">
        <v>3</v>
      </c>
      <c r="AD6500">
        <v>41.820594</v>
      </c>
      <c r="AE6500">
        <v>-87.96865099999999</v>
      </c>
      <c r="AF6500" s="5" t="str">
        <f>HYPERLINK("https://www.google.com/maps/search/?api=1&amp;query=41.820594,-87.968651","map")</f>
        <v>map</v>
      </c>
    </row>
    <row r="6501" spans="1:32">
      <c r="A6501" t="s">
        <v>6551</v>
      </c>
      <c r="B6501" t="s">
        <v>14031</v>
      </c>
      <c r="C6501" t="s">
        <v>16024</v>
      </c>
      <c r="D6501" t="s">
        <v>16211</v>
      </c>
      <c r="E6501" t="s">
        <v>16218</v>
      </c>
      <c r="F6501" t="s">
        <v>16220</v>
      </c>
      <c r="G6501" t="s">
        <v>16238</v>
      </c>
      <c r="H6501" t="s">
        <v>16238</v>
      </c>
      <c r="I6501" t="s">
        <v>16369</v>
      </c>
      <c r="J6501" t="s">
        <v>16385</v>
      </c>
      <c r="K6501">
        <v>0.168</v>
      </c>
      <c r="L6501">
        <v>7300</v>
      </c>
      <c r="M6501">
        <v>934</v>
      </c>
      <c r="N6501" t="s">
        <v>16393</v>
      </c>
      <c r="O6501" s="4">
        <v>35212</v>
      </c>
      <c r="P6501" s="4">
        <v>49120</v>
      </c>
      <c r="Q6501" s="4">
        <v>84332</v>
      </c>
      <c r="R6501" s="4">
        <v>252996</v>
      </c>
      <c r="S6501" t="s">
        <v>22688</v>
      </c>
      <c r="T6501" s="6">
        <v>43070</v>
      </c>
      <c r="U6501" s="4">
        <v>178000</v>
      </c>
      <c r="V6501" t="s">
        <v>23739</v>
      </c>
      <c r="W6501" t="s">
        <v>27307</v>
      </c>
      <c r="X6501" t="s">
        <v>3</v>
      </c>
      <c r="AA6501" s="5" t="str">
        <f>HYPERLINK("https://www.zillow.com/homes/428-S-CASS-AVE-WESTMONT-IL-60559_rb/","check listing")</f>
        <v>check listing</v>
      </c>
      <c r="AB6501" s="5" t="str">
        <f>HYPERLINK("https://propertylookup.dupagecounty.gov/Datalets/Datalet.aspx?UseSearch=no&amp;mode=sales&amp;pin=0916205033","sales record")</f>
        <v>sales record</v>
      </c>
      <c r="AC6501" t="s">
        <v>3</v>
      </c>
      <c r="AD6501">
        <v>41.786891</v>
      </c>
      <c r="AE6501">
        <v>-87.975438</v>
      </c>
      <c r="AF6501" s="5" t="str">
        <f>HYPERLINK("https://www.google.com/maps/search/?api=1&amp;query=41.786891,-87.975438","map")</f>
        <v>map</v>
      </c>
    </row>
    <row r="6502" spans="1:32">
      <c r="A6502" t="s">
        <v>6552</v>
      </c>
      <c r="B6502" t="s">
        <v>14032</v>
      </c>
      <c r="C6502" t="s">
        <v>16024</v>
      </c>
      <c r="D6502" t="s">
        <v>16211</v>
      </c>
      <c r="E6502" t="s">
        <v>16218</v>
      </c>
      <c r="F6502" t="s">
        <v>16220</v>
      </c>
      <c r="G6502" t="s">
        <v>16289</v>
      </c>
      <c r="H6502" t="s">
        <v>16289</v>
      </c>
      <c r="I6502" t="s">
        <v>16370</v>
      </c>
      <c r="J6502" t="s">
        <v>16385</v>
      </c>
      <c r="K6502">
        <v>0.167</v>
      </c>
      <c r="L6502">
        <v>7285</v>
      </c>
      <c r="M6502">
        <v>1124</v>
      </c>
      <c r="N6502" t="s">
        <v>16393</v>
      </c>
      <c r="O6502" s="4">
        <v>38439</v>
      </c>
      <c r="P6502" s="4">
        <v>49367</v>
      </c>
      <c r="Q6502" s="4">
        <v>87806</v>
      </c>
      <c r="R6502" s="4">
        <v>263418</v>
      </c>
      <c r="S6502" t="s">
        <v>22689</v>
      </c>
      <c r="T6502" s="6">
        <v>41913</v>
      </c>
      <c r="U6502" s="4">
        <v>153500</v>
      </c>
      <c r="V6502" t="s">
        <v>23739</v>
      </c>
      <c r="W6502" t="s">
        <v>27308</v>
      </c>
      <c r="X6502" t="s">
        <v>3</v>
      </c>
      <c r="AA6502" s="5" t="str">
        <f>HYPERLINK("https://www.zillow.com/homes/114-E-BURLINGTON-AVE-WESTMONT-IL-60559_rb/","check listing")</f>
        <v>check listing</v>
      </c>
      <c r="AB6502" s="5" t="str">
        <f>HYPERLINK("https://propertylookup.dupagecounty.gov/Datalets/Datalet.aspx?UseSearch=no&amp;mode=sales&amp;pin=0910114016","sales record")</f>
        <v>sales record</v>
      </c>
      <c r="AC6502" t="s">
        <v>3</v>
      </c>
      <c r="AD6502">
        <v>41.79656</v>
      </c>
      <c r="AE6502">
        <v>-87.971704</v>
      </c>
      <c r="AF6502" s="5" t="str">
        <f>HYPERLINK("https://www.google.com/maps/search/?api=1&amp;query=41.79656,-87.971704","map")</f>
        <v>map</v>
      </c>
    </row>
    <row r="6503" spans="1:32">
      <c r="A6503" t="s">
        <v>6553</v>
      </c>
      <c r="B6503" t="s">
        <v>14033</v>
      </c>
      <c r="C6503" t="s">
        <v>16024</v>
      </c>
      <c r="D6503" t="s">
        <v>16211</v>
      </c>
      <c r="E6503" t="s">
        <v>16218</v>
      </c>
      <c r="F6503" t="s">
        <v>16220</v>
      </c>
      <c r="G6503" t="s">
        <v>16289</v>
      </c>
      <c r="H6503" t="s">
        <v>16289</v>
      </c>
      <c r="I6503" t="s">
        <v>16370</v>
      </c>
      <c r="J6503" t="s">
        <v>16385</v>
      </c>
      <c r="K6503">
        <v>0.165</v>
      </c>
      <c r="L6503">
        <v>7200</v>
      </c>
      <c r="M6503">
        <v>933</v>
      </c>
      <c r="N6503" t="s">
        <v>16393</v>
      </c>
      <c r="O6503" s="4">
        <v>36339</v>
      </c>
      <c r="P6503" s="4">
        <v>60647</v>
      </c>
      <c r="Q6503" s="4">
        <v>96986</v>
      </c>
      <c r="R6503" s="4">
        <v>290958</v>
      </c>
      <c r="S6503" t="s">
        <v>22690</v>
      </c>
      <c r="T6503" s="6">
        <v>42736</v>
      </c>
      <c r="U6503" s="4">
        <v>270000</v>
      </c>
      <c r="V6503" t="s">
        <v>23739</v>
      </c>
      <c r="W6503" t="s">
        <v>22690</v>
      </c>
      <c r="X6503" t="s">
        <v>3</v>
      </c>
      <c r="AA6503" s="5" t="str">
        <f>HYPERLINK("https://www.zillow.com/homes/121-W-QUINCY-ST-WESTMONT-IL-60559_rb/","check listing")</f>
        <v>check listing</v>
      </c>
      <c r="AB6503" s="5" t="str">
        <f>HYPERLINK("https://propertylookup.dupagecounty.gov/Datalets/Datalet.aspx?UseSearch=no&amp;mode=sales&amp;pin=0909404001","sales record")</f>
        <v>sales record</v>
      </c>
      <c r="AC6503" t="s">
        <v>3</v>
      </c>
      <c r="AD6503">
        <v>41.794964</v>
      </c>
      <c r="AE6503">
        <v>-87.979297</v>
      </c>
      <c r="AF6503" s="5" t="str">
        <f>HYPERLINK("https://www.google.com/maps/search/?api=1&amp;query=41.794964,-87.979297","map")</f>
        <v>map</v>
      </c>
    </row>
    <row r="6504" spans="1:32">
      <c r="A6504" t="s">
        <v>6554</v>
      </c>
      <c r="B6504" t="s">
        <v>14034</v>
      </c>
      <c r="C6504" t="s">
        <v>16024</v>
      </c>
      <c r="D6504" t="s">
        <v>16211</v>
      </c>
      <c r="E6504" t="s">
        <v>16218</v>
      </c>
      <c r="F6504" t="s">
        <v>16220</v>
      </c>
      <c r="G6504" t="s">
        <v>16238</v>
      </c>
      <c r="H6504" t="s">
        <v>16238</v>
      </c>
      <c r="I6504" t="s">
        <v>16369</v>
      </c>
      <c r="J6504" t="s">
        <v>16385</v>
      </c>
      <c r="K6504">
        <v>0.154</v>
      </c>
      <c r="L6504">
        <v>6715</v>
      </c>
      <c r="M6504">
        <v>1384</v>
      </c>
      <c r="N6504" t="s">
        <v>16393</v>
      </c>
      <c r="O6504" s="4">
        <v>33082</v>
      </c>
      <c r="P6504" s="4">
        <v>73814</v>
      </c>
      <c r="Q6504" s="4">
        <v>106896</v>
      </c>
      <c r="R6504" s="4">
        <v>320688</v>
      </c>
      <c r="S6504" t="s">
        <v>22691</v>
      </c>
      <c r="T6504" s="6">
        <v>44013</v>
      </c>
      <c r="U6504" s="4">
        <v>239000</v>
      </c>
      <c r="V6504" t="s">
        <v>23739</v>
      </c>
      <c r="W6504" t="s">
        <v>22691</v>
      </c>
      <c r="X6504" t="s">
        <v>3</v>
      </c>
      <c r="AA6504" s="5" t="str">
        <f>HYPERLINK("https://www.zillow.com/homes/15-E-55TH-ST-WESTMONT-IL-60559_rb/","check listing")</f>
        <v>check listing</v>
      </c>
      <c r="AB6504" s="5" t="str">
        <f>HYPERLINK("https://propertylookup.dupagecounty.gov/Datalets/Datalet.aspx?UseSearch=no&amp;mode=sales&amp;pin=0915100012","sales record")</f>
        <v>sales record</v>
      </c>
      <c r="AC6504" t="s">
        <v>3</v>
      </c>
      <c r="AD6504">
        <v>41.788045</v>
      </c>
      <c r="AE6504">
        <v>-87.97420700000001</v>
      </c>
      <c r="AF6504" s="5" t="str">
        <f>HYPERLINK("https://www.google.com/maps/search/?api=1&amp;query=41.788045,-87.974207","map")</f>
        <v>map</v>
      </c>
    </row>
    <row r="6505" spans="1:32">
      <c r="A6505" t="s">
        <v>6555</v>
      </c>
      <c r="B6505" t="s">
        <v>14035</v>
      </c>
      <c r="C6505" t="s">
        <v>16024</v>
      </c>
      <c r="D6505" t="s">
        <v>16211</v>
      </c>
      <c r="E6505" t="s">
        <v>16218</v>
      </c>
      <c r="F6505" t="s">
        <v>16220</v>
      </c>
      <c r="G6505" t="s">
        <v>16238</v>
      </c>
      <c r="H6505" t="s">
        <v>16238</v>
      </c>
      <c r="I6505" t="s">
        <v>16369</v>
      </c>
      <c r="J6505" t="s">
        <v>16385</v>
      </c>
      <c r="K6505">
        <v>0.147</v>
      </c>
      <c r="L6505">
        <v>6415</v>
      </c>
      <c r="M6505">
        <v>1392</v>
      </c>
      <c r="N6505" t="s">
        <v>16393</v>
      </c>
      <c r="O6505" s="4">
        <v>35975</v>
      </c>
      <c r="P6505" s="4">
        <v>40682</v>
      </c>
      <c r="Q6505" s="4">
        <v>76657</v>
      </c>
      <c r="R6505" s="4">
        <v>229971</v>
      </c>
      <c r="S6505" t="s">
        <v>22692</v>
      </c>
      <c r="X6505" t="s">
        <v>3</v>
      </c>
      <c r="AA6505" s="5" t="str">
        <f>HYPERLINK("https://www.zillow.com/homes/427-S-CASS-AVE-WESTMONT-IL-60559_rb/","check listing")</f>
        <v>check listing</v>
      </c>
      <c r="AB6505" s="5" t="str">
        <f>HYPERLINK("https://propertylookup.dupagecounty.gov/Datalets/Datalet.aspx?UseSearch=no&amp;mode=sales&amp;pin=0915100026","sales record")</f>
        <v>sales record</v>
      </c>
      <c r="AC6505" t="s">
        <v>3</v>
      </c>
      <c r="AD6505">
        <v>41.786946</v>
      </c>
      <c r="AE6505">
        <v>-87.97465</v>
      </c>
      <c r="AF6505" s="5" t="str">
        <f>HYPERLINK("https://www.google.com/maps/search/?api=1&amp;query=41.786946,-87.97465","map")</f>
        <v>map</v>
      </c>
    </row>
    <row r="6506" spans="1:32">
      <c r="A6506" t="s">
        <v>6556</v>
      </c>
      <c r="B6506" t="s">
        <v>14036</v>
      </c>
      <c r="C6506" t="s">
        <v>16024</v>
      </c>
      <c r="D6506" t="s">
        <v>16211</v>
      </c>
      <c r="E6506" t="s">
        <v>16218</v>
      </c>
      <c r="F6506" t="s">
        <v>16220</v>
      </c>
      <c r="G6506" t="s">
        <v>16289</v>
      </c>
      <c r="H6506" t="s">
        <v>16289</v>
      </c>
      <c r="I6506" t="s">
        <v>16370</v>
      </c>
      <c r="J6506" t="s">
        <v>16385</v>
      </c>
      <c r="K6506">
        <v>0.139</v>
      </c>
      <c r="L6506">
        <v>6047</v>
      </c>
      <c r="M6506">
        <v>1825</v>
      </c>
      <c r="N6506" t="s">
        <v>16393</v>
      </c>
      <c r="O6506" s="4">
        <v>25564</v>
      </c>
      <c r="P6506" s="4">
        <v>55107</v>
      </c>
      <c r="Q6506" s="4">
        <v>80671</v>
      </c>
      <c r="R6506" s="4">
        <v>242013</v>
      </c>
      <c r="S6506" t="s">
        <v>22693</v>
      </c>
      <c r="T6506" s="6">
        <v>45926</v>
      </c>
      <c r="U6506" s="4">
        <v>300000</v>
      </c>
      <c r="V6506" t="s">
        <v>23739</v>
      </c>
      <c r="W6506" t="s">
        <v>27309</v>
      </c>
      <c r="X6506" t="s">
        <v>3</v>
      </c>
      <c r="AA6506" s="5" t="str">
        <f>HYPERLINK("https://www.zillow.com/homes/100-W-BURLINGTON-AVE-WESTMONT-IL-60559_rb/","check listing")</f>
        <v>check listing</v>
      </c>
      <c r="AB6506" s="5" t="str">
        <f>HYPERLINK("https://propertylookup.dupagecounty.gov/Datalets/Datalet.aspx?UseSearch=no&amp;mode=sales&amp;pin=0909220023","sales record")</f>
        <v>sales record</v>
      </c>
      <c r="AC6506" t="s">
        <v>27873</v>
      </c>
      <c r="AD6506">
        <v>41.796148</v>
      </c>
      <c r="AE6506">
        <v>-87.97837199999999</v>
      </c>
      <c r="AF6506" s="5" t="str">
        <f>HYPERLINK("https://www.google.com/maps/search/?api=1&amp;query=41.796148,-87.978372","map")</f>
        <v>map</v>
      </c>
    </row>
    <row r="6507" spans="1:32">
      <c r="A6507" t="s">
        <v>6557</v>
      </c>
      <c r="B6507" t="s">
        <v>14037</v>
      </c>
      <c r="C6507" t="s">
        <v>16024</v>
      </c>
      <c r="D6507" t="s">
        <v>16211</v>
      </c>
      <c r="E6507" t="s">
        <v>16218</v>
      </c>
      <c r="F6507" t="s">
        <v>16220</v>
      </c>
      <c r="G6507" t="s">
        <v>16238</v>
      </c>
      <c r="H6507" t="s">
        <v>16238</v>
      </c>
      <c r="I6507" t="s">
        <v>16369</v>
      </c>
      <c r="J6507" t="s">
        <v>16385</v>
      </c>
      <c r="K6507">
        <v>0.136</v>
      </c>
      <c r="L6507">
        <v>5925</v>
      </c>
      <c r="M6507">
        <v>928</v>
      </c>
      <c r="N6507" t="s">
        <v>16393</v>
      </c>
      <c r="O6507" s="4">
        <v>33205</v>
      </c>
      <c r="P6507" s="4">
        <v>56621</v>
      </c>
      <c r="Q6507" s="4">
        <v>89826</v>
      </c>
      <c r="R6507" s="4">
        <v>269478</v>
      </c>
      <c r="S6507" t="s">
        <v>22694</v>
      </c>
      <c r="T6507" s="6">
        <v>42675</v>
      </c>
      <c r="U6507" s="4">
        <v>227500</v>
      </c>
      <c r="V6507" t="s">
        <v>23739</v>
      </c>
      <c r="W6507" t="s">
        <v>22694</v>
      </c>
      <c r="X6507" t="s">
        <v>3</v>
      </c>
      <c r="AA6507" s="5" t="str">
        <f>HYPERLINK("https://www.zillow.com/homes/447-S-CASS-AVE-WESTMONT-IL-60559_rb/","check listing")</f>
        <v>check listing</v>
      </c>
      <c r="AB6507" s="5" t="str">
        <f>HYPERLINK("https://propertylookup.dupagecounty.gov/Datalets/Datalet.aspx?UseSearch=no&amp;mode=sales&amp;pin=0915100025","sales record")</f>
        <v>sales record</v>
      </c>
      <c r="AC6507" t="s">
        <v>3</v>
      </c>
      <c r="AD6507">
        <v>41.78654</v>
      </c>
      <c r="AE6507">
        <v>-87.974636</v>
      </c>
      <c r="AF6507" s="5" t="str">
        <f>HYPERLINK("https://www.google.com/maps/search/?api=1&amp;query=41.78654,-87.974636","map")</f>
        <v>map</v>
      </c>
    </row>
    <row r="6508" spans="1:32">
      <c r="A6508" t="s">
        <v>6558</v>
      </c>
      <c r="B6508" t="s">
        <v>14038</v>
      </c>
      <c r="C6508" t="s">
        <v>16053</v>
      </c>
      <c r="D6508" t="s">
        <v>16211</v>
      </c>
      <c r="E6508" t="s">
        <v>16218</v>
      </c>
      <c r="F6508" t="s">
        <v>16220</v>
      </c>
      <c r="G6508" t="s">
        <v>16289</v>
      </c>
      <c r="H6508" t="s">
        <v>16289</v>
      </c>
      <c r="I6508" t="s">
        <v>16370</v>
      </c>
      <c r="J6508" t="s">
        <v>16385</v>
      </c>
      <c r="K6508">
        <v>0.127</v>
      </c>
      <c r="L6508">
        <v>5532</v>
      </c>
      <c r="M6508">
        <v>741</v>
      </c>
      <c r="N6508" t="s">
        <v>16393</v>
      </c>
      <c r="O6508" s="4">
        <v>27923</v>
      </c>
      <c r="P6508" s="4">
        <v>87314</v>
      </c>
      <c r="Q6508" s="4">
        <v>115237</v>
      </c>
      <c r="R6508" s="4">
        <v>345711</v>
      </c>
      <c r="S6508" t="s">
        <v>22695</v>
      </c>
      <c r="T6508" s="6">
        <v>42917</v>
      </c>
      <c r="U6508" s="4">
        <v>269500</v>
      </c>
      <c r="V6508" t="s">
        <v>23739</v>
      </c>
      <c r="W6508" t="s">
        <v>27310</v>
      </c>
      <c r="X6508" t="s">
        <v>3</v>
      </c>
      <c r="AA6508" s="5" t="str">
        <f>HYPERLINK("https://www.zillow.com/homes/101-W-QUINCY-ST-WESTMONT-IL-605591809_rb/","check listing")</f>
        <v>check listing</v>
      </c>
      <c r="AB6508" s="5" t="str">
        <f>HYPERLINK("https://propertylookup.dupagecounty.gov/Datalets/Datalet.aspx?UseSearch=no&amp;mode=sales&amp;pin=0909404007","sales record")</f>
        <v>sales record</v>
      </c>
      <c r="AC6508" t="s">
        <v>3</v>
      </c>
      <c r="AD6508">
        <v>41.794966</v>
      </c>
      <c r="AE6508">
        <v>-87.97833199999999</v>
      </c>
      <c r="AF6508" s="5" t="str">
        <f>HYPERLINK("https://www.google.com/maps/search/?api=1&amp;query=41.794966,-87.978332","map")</f>
        <v>map</v>
      </c>
    </row>
    <row r="6509" spans="1:32">
      <c r="A6509" t="s">
        <v>6559</v>
      </c>
      <c r="B6509" t="s">
        <v>14039</v>
      </c>
      <c r="C6509" t="s">
        <v>16024</v>
      </c>
      <c r="D6509" t="s">
        <v>16211</v>
      </c>
      <c r="E6509" t="s">
        <v>16218</v>
      </c>
      <c r="F6509" t="s">
        <v>16220</v>
      </c>
      <c r="G6509" t="s">
        <v>16289</v>
      </c>
      <c r="H6509" t="s">
        <v>16289</v>
      </c>
      <c r="I6509" t="s">
        <v>16370</v>
      </c>
      <c r="J6509" t="s">
        <v>16385</v>
      </c>
      <c r="K6509">
        <v>0.117</v>
      </c>
      <c r="L6509">
        <v>5109</v>
      </c>
      <c r="M6509">
        <v>1505</v>
      </c>
      <c r="N6509" t="s">
        <v>16393</v>
      </c>
      <c r="O6509" s="4">
        <v>32947</v>
      </c>
      <c r="P6509" s="4">
        <v>60776</v>
      </c>
      <c r="Q6509" s="4">
        <v>93723</v>
      </c>
      <c r="R6509" s="4">
        <v>281169</v>
      </c>
      <c r="S6509" t="s">
        <v>22696</v>
      </c>
      <c r="T6509" s="6">
        <v>43374</v>
      </c>
      <c r="U6509" s="4">
        <v>255000</v>
      </c>
      <c r="V6509" t="s">
        <v>23739</v>
      </c>
      <c r="W6509" t="s">
        <v>27311</v>
      </c>
      <c r="X6509" t="s">
        <v>3</v>
      </c>
      <c r="AA6509" s="5" t="str">
        <f>HYPERLINK("https://www.zillow.com/homes/108-E-BURLINGTON-AVE-WESTMONT-IL-60559_rb/","check listing")</f>
        <v>check listing</v>
      </c>
      <c r="AB6509" s="5" t="str">
        <f>HYPERLINK("https://propertylookup.dupagecounty.gov/Datalets/Datalet.aspx?UseSearch=no&amp;mode=sales&amp;pin=0910114015","sales record")</f>
        <v>sales record</v>
      </c>
      <c r="AC6509" t="s">
        <v>3</v>
      </c>
      <c r="AD6509">
        <v>41.796557</v>
      </c>
      <c r="AE6509">
        <v>-87.971982</v>
      </c>
      <c r="AF6509" s="5" t="str">
        <f>HYPERLINK("https://www.google.com/maps/search/?api=1&amp;query=41.796557,-87.971982","map")</f>
        <v>map</v>
      </c>
    </row>
    <row r="6510" spans="1:32">
      <c r="A6510" t="s">
        <v>6560</v>
      </c>
      <c r="B6510" t="s">
        <v>14040</v>
      </c>
      <c r="C6510" t="s">
        <v>16024</v>
      </c>
      <c r="D6510" t="s">
        <v>16211</v>
      </c>
      <c r="E6510" t="s">
        <v>16218</v>
      </c>
      <c r="F6510" t="s">
        <v>16220</v>
      </c>
      <c r="G6510" t="s">
        <v>16289</v>
      </c>
      <c r="H6510" t="s">
        <v>16289</v>
      </c>
      <c r="I6510" t="s">
        <v>16370</v>
      </c>
      <c r="J6510" t="s">
        <v>16385</v>
      </c>
      <c r="K6510">
        <v>0.116</v>
      </c>
      <c r="L6510">
        <v>5046</v>
      </c>
      <c r="M6510">
        <v>975</v>
      </c>
      <c r="N6510" t="s">
        <v>16393</v>
      </c>
      <c r="O6510" s="4">
        <v>27466</v>
      </c>
      <c r="P6510" s="4">
        <v>42278</v>
      </c>
      <c r="Q6510" s="4">
        <v>69744</v>
      </c>
      <c r="R6510" s="4">
        <v>209232</v>
      </c>
      <c r="S6510" t="s">
        <v>22697</v>
      </c>
      <c r="T6510" s="6">
        <v>44827</v>
      </c>
      <c r="U6510" s="4">
        <v>217000</v>
      </c>
      <c r="V6510" t="s">
        <v>23739</v>
      </c>
      <c r="W6510" t="s">
        <v>27312</v>
      </c>
      <c r="X6510" t="s">
        <v>3</v>
      </c>
      <c r="AA6510" s="5" t="str">
        <f>HYPERLINK("https://www.zillow.com/homes/102-E-BURLINGTON-AVE-WESTMONT-IL-60559_rb/","check listing")</f>
        <v>check listing</v>
      </c>
      <c r="AB6510" s="5" t="str">
        <f>HYPERLINK("https://propertylookup.dupagecounty.gov/Datalets/Datalet.aspx?UseSearch=no&amp;mode=sales&amp;pin=0910114014","sales record")</f>
        <v>sales record</v>
      </c>
      <c r="AC6510" t="s">
        <v>27873</v>
      </c>
      <c r="AD6510">
        <v>41.796555</v>
      </c>
      <c r="AE6510">
        <v>-87.972166</v>
      </c>
      <c r="AF6510" s="5" t="str">
        <f>HYPERLINK("https://www.google.com/maps/search/?api=1&amp;query=41.796555,-87.972166","map")</f>
        <v>map</v>
      </c>
    </row>
    <row r="6511" spans="1:32">
      <c r="A6511" t="s">
        <v>6561</v>
      </c>
      <c r="B6511" t="s">
        <v>14041</v>
      </c>
      <c r="C6511" t="s">
        <v>16024</v>
      </c>
      <c r="D6511" t="s">
        <v>16211</v>
      </c>
      <c r="E6511" t="s">
        <v>16218</v>
      </c>
      <c r="F6511" t="s">
        <v>16220</v>
      </c>
      <c r="G6511" t="s">
        <v>16289</v>
      </c>
      <c r="H6511" t="s">
        <v>16289</v>
      </c>
      <c r="I6511" t="s">
        <v>16370</v>
      </c>
      <c r="J6511" t="s">
        <v>16385</v>
      </c>
      <c r="K6511">
        <v>0.114</v>
      </c>
      <c r="L6511">
        <v>4985</v>
      </c>
      <c r="M6511">
        <v>1236</v>
      </c>
      <c r="N6511" t="s">
        <v>16393</v>
      </c>
      <c r="O6511" s="4">
        <v>26785</v>
      </c>
      <c r="P6511" s="4">
        <v>45212</v>
      </c>
      <c r="Q6511" s="4">
        <v>71997</v>
      </c>
      <c r="R6511" s="4">
        <v>215991</v>
      </c>
      <c r="S6511" t="s">
        <v>22698</v>
      </c>
      <c r="X6511" t="s">
        <v>3</v>
      </c>
      <c r="AA6511" s="5" t="str">
        <f>HYPERLINK("https://www.zillow.com/homes/100-E-BURLINGTON-AVE-WESTMONT-IL-60559_rb/","check listing")</f>
        <v>check listing</v>
      </c>
      <c r="AB6511" s="5" t="str">
        <f>HYPERLINK("https://propertylookup.dupagecounty.gov/Datalets/Datalet.aspx?UseSearch=no&amp;mode=sales&amp;pin=0910114013","sales record")</f>
        <v>sales record</v>
      </c>
      <c r="AC6511" t="s">
        <v>27873</v>
      </c>
      <c r="AD6511">
        <v>41.796553</v>
      </c>
      <c r="AE6511">
        <v>-87.97234899999999</v>
      </c>
      <c r="AF6511" s="5" t="str">
        <f>HYPERLINK("https://www.google.com/maps/search/?api=1&amp;query=41.796553,-87.972349","map")</f>
        <v>map</v>
      </c>
    </row>
    <row r="6512" spans="1:32">
      <c r="A6512" t="s">
        <v>6562</v>
      </c>
      <c r="B6512" t="s">
        <v>14042</v>
      </c>
      <c r="C6512" t="s">
        <v>16050</v>
      </c>
      <c r="D6512" t="s">
        <v>16211</v>
      </c>
      <c r="E6512" t="s">
        <v>16218</v>
      </c>
      <c r="F6512" t="s">
        <v>16220</v>
      </c>
      <c r="G6512" t="s">
        <v>16289</v>
      </c>
      <c r="H6512" t="s">
        <v>16289</v>
      </c>
      <c r="I6512" t="s">
        <v>16370</v>
      </c>
      <c r="J6512" t="s">
        <v>16385</v>
      </c>
      <c r="K6512">
        <v>0.111</v>
      </c>
      <c r="L6512">
        <v>4839</v>
      </c>
      <c r="M6512">
        <v>737</v>
      </c>
      <c r="N6512" t="s">
        <v>16393</v>
      </c>
      <c r="O6512" s="4">
        <v>20470</v>
      </c>
      <c r="P6512" s="4">
        <v>40764</v>
      </c>
      <c r="Q6512" s="4">
        <v>61234</v>
      </c>
      <c r="R6512" s="4">
        <v>183702</v>
      </c>
      <c r="S6512" t="s">
        <v>22699</v>
      </c>
      <c r="T6512" s="6">
        <v>35521</v>
      </c>
      <c r="U6512" s="4">
        <v>112963</v>
      </c>
      <c r="X6512" t="s">
        <v>3</v>
      </c>
      <c r="AA6512" s="5" t="str">
        <f>HYPERLINK("https://www.zillow.com/homes/220-W-BURLINGTON-AVE-WESTMONT-IL-605591648_rb/","check listing")</f>
        <v>check listing</v>
      </c>
      <c r="AB6512" s="5" t="str">
        <f>HYPERLINK("https://propertylookup.dupagecounty.gov/Datalets/Datalet.aspx?UseSearch=no&amp;mode=sales&amp;pin=0909217024","sales record")</f>
        <v>sales record</v>
      </c>
      <c r="AC6512" t="s">
        <v>3</v>
      </c>
      <c r="AD6512">
        <v>41.79614</v>
      </c>
      <c r="AE6512">
        <v>-87.982561</v>
      </c>
      <c r="AF6512" s="5" t="str">
        <f>HYPERLINK("https://www.google.com/maps/search/?api=1&amp;query=41.79614,-87.982561","map")</f>
        <v>map</v>
      </c>
    </row>
    <row r="6513" spans="1:32">
      <c r="A6513" t="s">
        <v>6563</v>
      </c>
      <c r="B6513" t="s">
        <v>14043</v>
      </c>
      <c r="C6513" t="s">
        <v>16024</v>
      </c>
      <c r="D6513" t="s">
        <v>16211</v>
      </c>
      <c r="E6513" t="s">
        <v>16218</v>
      </c>
      <c r="F6513" t="s">
        <v>16220</v>
      </c>
      <c r="G6513" t="s">
        <v>16289</v>
      </c>
      <c r="H6513" t="s">
        <v>16289</v>
      </c>
      <c r="I6513" t="s">
        <v>16370</v>
      </c>
      <c r="J6513" t="s">
        <v>16385</v>
      </c>
      <c r="K6513">
        <v>0.11</v>
      </c>
      <c r="L6513">
        <v>4801</v>
      </c>
      <c r="M6513">
        <v>1116</v>
      </c>
      <c r="N6513" t="s">
        <v>16393</v>
      </c>
      <c r="O6513" s="4">
        <v>24226</v>
      </c>
      <c r="P6513" s="4">
        <v>57912</v>
      </c>
      <c r="Q6513" s="4">
        <v>82138</v>
      </c>
      <c r="R6513" s="4">
        <v>246414</v>
      </c>
      <c r="S6513" t="s">
        <v>22700</v>
      </c>
      <c r="T6513" s="6">
        <v>35065</v>
      </c>
      <c r="U6513" s="4">
        <v>100000</v>
      </c>
      <c r="X6513" t="s">
        <v>3</v>
      </c>
      <c r="AA6513" s="5" t="str">
        <f>HYPERLINK("https://www.zillow.com/homes/109-W-QUINCY-ST-WESTMONT-IL-60559_rb/","check listing")</f>
        <v>check listing</v>
      </c>
      <c r="AB6513" s="5" t="str">
        <f>HYPERLINK("https://propertylookup.dupagecounty.gov/Datalets/Datalet.aspx?UseSearch=no&amp;mode=sales&amp;pin=0909404004","sales record")</f>
        <v>sales record</v>
      </c>
      <c r="AC6513" t="s">
        <v>3</v>
      </c>
      <c r="AD6513">
        <v>41.794966</v>
      </c>
      <c r="AE6513">
        <v>-87.97871000000001</v>
      </c>
      <c r="AF6513" s="5" t="str">
        <f>HYPERLINK("https://www.google.com/maps/search/?api=1&amp;query=41.794966,-87.97871","map")</f>
        <v>map</v>
      </c>
    </row>
    <row r="6514" spans="1:32">
      <c r="A6514" t="s">
        <v>6564</v>
      </c>
      <c r="B6514" t="s">
        <v>14044</v>
      </c>
      <c r="C6514" t="s">
        <v>16054</v>
      </c>
      <c r="D6514" t="s">
        <v>16211</v>
      </c>
      <c r="E6514" t="s">
        <v>16218</v>
      </c>
      <c r="F6514" t="s">
        <v>16220</v>
      </c>
      <c r="G6514" t="s">
        <v>16238</v>
      </c>
      <c r="H6514" t="s">
        <v>16238</v>
      </c>
      <c r="I6514" t="s">
        <v>16369</v>
      </c>
      <c r="J6514" t="s">
        <v>16385</v>
      </c>
      <c r="K6514">
        <v>0.104</v>
      </c>
      <c r="L6514">
        <v>4541</v>
      </c>
      <c r="N6514" t="s">
        <v>16393</v>
      </c>
      <c r="O6514" s="4">
        <v>18169</v>
      </c>
      <c r="P6514" s="4">
        <v>161506</v>
      </c>
      <c r="Q6514" s="4">
        <v>179675</v>
      </c>
      <c r="R6514" s="4">
        <v>539025</v>
      </c>
      <c r="S6514" t="s">
        <v>22701</v>
      </c>
      <c r="T6514" s="6">
        <v>44714</v>
      </c>
      <c r="U6514" s="4">
        <v>447000</v>
      </c>
      <c r="V6514" t="s">
        <v>23739</v>
      </c>
      <c r="W6514" t="s">
        <v>27313</v>
      </c>
      <c r="X6514" t="s">
        <v>3</v>
      </c>
      <c r="AA6514" s="5" t="str">
        <f>HYPERLINK("https://www.zillow.com/homes/230-S-CASS-AVE-WESTMONT-IL-605592058_rb/","check listing")</f>
        <v>check listing</v>
      </c>
      <c r="AB6514" s="5" t="str">
        <f>HYPERLINK("https://propertylookup.dupagecounty.gov/Datalets/Datalet.aspx?UseSearch=no&amp;mode=sales&amp;pin=0909421032","sales record")</f>
        <v>sales record</v>
      </c>
      <c r="AC6514" t="s">
        <v>3</v>
      </c>
      <c r="AD6514">
        <v>41.790556</v>
      </c>
      <c r="AE6514">
        <v>-87.975554</v>
      </c>
      <c r="AF6514" s="5" t="str">
        <f>HYPERLINK("https://www.google.com/maps/search/?api=1&amp;query=41.790556,-87.975554","map")</f>
        <v>map</v>
      </c>
    </row>
    <row r="6515" spans="1:32">
      <c r="A6515" t="s">
        <v>6565</v>
      </c>
      <c r="B6515" t="s">
        <v>14045</v>
      </c>
      <c r="C6515" t="s">
        <v>16044</v>
      </c>
      <c r="D6515" t="s">
        <v>16211</v>
      </c>
      <c r="E6515" t="s">
        <v>16218</v>
      </c>
      <c r="F6515" t="s">
        <v>16220</v>
      </c>
      <c r="G6515" t="s">
        <v>16238</v>
      </c>
      <c r="H6515" t="s">
        <v>16238</v>
      </c>
      <c r="I6515" t="s">
        <v>16369</v>
      </c>
      <c r="J6515" t="s">
        <v>16385</v>
      </c>
      <c r="K6515">
        <v>0.104</v>
      </c>
      <c r="L6515">
        <v>4539</v>
      </c>
      <c r="N6515" t="s">
        <v>16393</v>
      </c>
      <c r="O6515" s="4">
        <v>18169</v>
      </c>
      <c r="P6515" s="4">
        <v>178760</v>
      </c>
      <c r="Q6515" s="4">
        <v>196929</v>
      </c>
      <c r="R6515" s="4">
        <v>590787</v>
      </c>
      <c r="S6515" t="s">
        <v>22702</v>
      </c>
      <c r="T6515" s="6">
        <v>44621</v>
      </c>
      <c r="U6515" s="4">
        <v>480000</v>
      </c>
      <c r="V6515" t="s">
        <v>23739</v>
      </c>
      <c r="W6515" t="s">
        <v>27314</v>
      </c>
      <c r="X6515" t="s">
        <v>3</v>
      </c>
      <c r="AA6515" s="5" t="str">
        <f>HYPERLINK("https://www.zillow.com/homes/232-S-CASS-AVE-WESTMONT-IL-605591930_rb/","check listing")</f>
        <v>check listing</v>
      </c>
      <c r="AB6515" s="5" t="str">
        <f>HYPERLINK("https://propertylookup.dupagecounty.gov/Datalets/Datalet.aspx?UseSearch=no&amp;mode=sales&amp;pin=0909421031","sales record")</f>
        <v>sales record</v>
      </c>
      <c r="AC6515" t="s">
        <v>3</v>
      </c>
      <c r="AD6515">
        <v>41.790474</v>
      </c>
      <c r="AE6515">
        <v>-87.975551</v>
      </c>
      <c r="AF6515" s="5" t="str">
        <f>HYPERLINK("https://www.google.com/maps/search/?api=1&amp;query=41.790474,-87.975551","map")</f>
        <v>map</v>
      </c>
    </row>
    <row r="6516" spans="1:32">
      <c r="A6516" t="s">
        <v>6566</v>
      </c>
      <c r="B6516" t="s">
        <v>14046</v>
      </c>
      <c r="C6516" t="s">
        <v>16024</v>
      </c>
      <c r="D6516" t="s">
        <v>16211</v>
      </c>
      <c r="E6516" t="s">
        <v>16218</v>
      </c>
      <c r="F6516" t="s">
        <v>16220</v>
      </c>
      <c r="G6516" t="s">
        <v>16289</v>
      </c>
      <c r="H6516" t="s">
        <v>16289</v>
      </c>
      <c r="I6516" t="s">
        <v>16370</v>
      </c>
      <c r="J6516" t="s">
        <v>16385</v>
      </c>
      <c r="K6516">
        <v>0.093</v>
      </c>
      <c r="L6516">
        <v>4049</v>
      </c>
      <c r="M6516">
        <v>1370</v>
      </c>
      <c r="N6516" t="s">
        <v>16393</v>
      </c>
      <c r="O6516" s="4">
        <v>19379</v>
      </c>
      <c r="P6516" s="4">
        <v>55941</v>
      </c>
      <c r="Q6516" s="4">
        <v>75320</v>
      </c>
      <c r="R6516" s="4">
        <v>225960</v>
      </c>
      <c r="S6516" t="s">
        <v>22703</v>
      </c>
      <c r="T6516" s="6">
        <v>41487</v>
      </c>
      <c r="U6516" s="4">
        <v>197900</v>
      </c>
      <c r="V6516" t="s">
        <v>23739</v>
      </c>
      <c r="W6516" t="s">
        <v>27315</v>
      </c>
      <c r="X6516" t="s">
        <v>3</v>
      </c>
      <c r="AA6516" s="5" t="str">
        <f>HYPERLINK("https://www.zillow.com/homes/241-W-QUINCY-ST-WESTMONT-IL-60559_rb/","check listing")</f>
        <v>check listing</v>
      </c>
      <c r="AB6516" s="5" t="str">
        <f>HYPERLINK("https://propertylookup.dupagecounty.gov/Datalets/Datalet.aspx?UseSearch=no&amp;mode=sales&amp;pin=0909401002","sales record")</f>
        <v>sales record</v>
      </c>
      <c r="AC6516" t="s">
        <v>3</v>
      </c>
      <c r="AD6516">
        <v>41.794934</v>
      </c>
      <c r="AE6516">
        <v>-87.983295</v>
      </c>
      <c r="AF6516" s="5" t="str">
        <f>HYPERLINK("https://www.google.com/maps/search/?api=1&amp;query=41.794934,-87.983295","map")</f>
        <v>map</v>
      </c>
    </row>
    <row r="6517" spans="1:32">
      <c r="A6517" t="s">
        <v>6567</v>
      </c>
      <c r="B6517" t="s">
        <v>14047</v>
      </c>
      <c r="C6517" t="s">
        <v>16024</v>
      </c>
      <c r="D6517" t="s">
        <v>16211</v>
      </c>
      <c r="E6517" t="s">
        <v>16218</v>
      </c>
      <c r="F6517" t="s">
        <v>16220</v>
      </c>
      <c r="G6517" t="s">
        <v>16289</v>
      </c>
      <c r="H6517" t="s">
        <v>16289</v>
      </c>
      <c r="I6517" t="s">
        <v>16370</v>
      </c>
      <c r="J6517" t="s">
        <v>16385</v>
      </c>
      <c r="K6517">
        <v>0.092</v>
      </c>
      <c r="L6517">
        <v>4022</v>
      </c>
      <c r="M6517">
        <v>1122</v>
      </c>
      <c r="N6517" t="s">
        <v>16393</v>
      </c>
      <c r="O6517" s="4">
        <v>16995</v>
      </c>
      <c r="P6517" s="4">
        <v>142081</v>
      </c>
      <c r="Q6517" s="4">
        <v>159076</v>
      </c>
      <c r="R6517" s="4">
        <v>477228</v>
      </c>
      <c r="S6517" t="s">
        <v>22704</v>
      </c>
      <c r="T6517" s="6">
        <v>42826</v>
      </c>
      <c r="U6517" s="4">
        <v>407000</v>
      </c>
      <c r="V6517" t="s">
        <v>23739</v>
      </c>
      <c r="W6517" t="s">
        <v>27316</v>
      </c>
      <c r="X6517" t="s">
        <v>3</v>
      </c>
      <c r="AA6517" s="5" t="str">
        <f>HYPERLINK("https://www.zillow.com/homes/206-W-BURLINGTON-AVE-WESTMONT-IL-60559_rb/","check listing")</f>
        <v>check listing</v>
      </c>
      <c r="AB6517" s="5" t="str">
        <f>HYPERLINK("https://propertylookup.dupagecounty.gov/Datalets/Datalet.aspx?UseSearch=no&amp;mode=sales&amp;pin=0909218022","sales record")</f>
        <v>sales record</v>
      </c>
      <c r="AC6517" t="s">
        <v>27873</v>
      </c>
      <c r="AD6517">
        <v>41.796143</v>
      </c>
      <c r="AE6517">
        <v>-87.981427</v>
      </c>
      <c r="AF6517" s="5" t="str">
        <f>HYPERLINK("https://www.google.com/maps/search/?api=1&amp;query=41.796143,-87.981427","map")</f>
        <v>map</v>
      </c>
    </row>
    <row r="6518" spans="1:32">
      <c r="A6518" t="s">
        <v>6568</v>
      </c>
      <c r="B6518" t="s">
        <v>14048</v>
      </c>
      <c r="C6518" t="s">
        <v>16024</v>
      </c>
      <c r="D6518" t="s">
        <v>16211</v>
      </c>
      <c r="E6518" t="s">
        <v>16218</v>
      </c>
      <c r="F6518" t="s">
        <v>16220</v>
      </c>
      <c r="G6518" t="s">
        <v>16289</v>
      </c>
      <c r="H6518" t="s">
        <v>16289</v>
      </c>
      <c r="I6518" t="s">
        <v>16370</v>
      </c>
      <c r="J6518" t="s">
        <v>16385</v>
      </c>
      <c r="K6518">
        <v>0.092</v>
      </c>
      <c r="L6518">
        <v>4021</v>
      </c>
      <c r="M6518">
        <v>655</v>
      </c>
      <c r="N6518" t="s">
        <v>16393</v>
      </c>
      <c r="O6518" s="4">
        <v>16995</v>
      </c>
      <c r="P6518" s="4">
        <v>44285</v>
      </c>
      <c r="Q6518" s="4">
        <v>61280</v>
      </c>
      <c r="R6518" s="4">
        <v>183840</v>
      </c>
      <c r="S6518" t="s">
        <v>22705</v>
      </c>
      <c r="X6518" t="s">
        <v>3</v>
      </c>
      <c r="AA6518" s="5" t="str">
        <f>HYPERLINK("https://www.zillow.com/homes/134-W-BURLINGTON-AVE-WESTMONT-IL-60559_rb/","check listing")</f>
        <v>check listing</v>
      </c>
      <c r="AB6518" s="5" t="str">
        <f>HYPERLINK("https://propertylookup.dupagecounty.gov/Datalets/Datalet.aspx?UseSearch=no&amp;mode=sales&amp;pin=0909219017","sales record")</f>
        <v>sales record</v>
      </c>
      <c r="AC6518" t="s">
        <v>3</v>
      </c>
      <c r="AD6518">
        <v>41.796145</v>
      </c>
      <c r="AE6518">
        <v>-87.980356</v>
      </c>
      <c r="AF6518" s="5" t="str">
        <f>HYPERLINK("https://www.google.com/maps/search/?api=1&amp;query=41.796145,-87.980356","map")</f>
        <v>map</v>
      </c>
    </row>
    <row r="6519" spans="1:32">
      <c r="A6519" t="s">
        <v>6569</v>
      </c>
      <c r="B6519" t="s">
        <v>14049</v>
      </c>
      <c r="C6519" t="s">
        <v>16024</v>
      </c>
      <c r="D6519" t="s">
        <v>16211</v>
      </c>
      <c r="E6519" t="s">
        <v>16218</v>
      </c>
      <c r="F6519" t="s">
        <v>16220</v>
      </c>
      <c r="G6519" t="s">
        <v>16289</v>
      </c>
      <c r="H6519" t="s">
        <v>16289</v>
      </c>
      <c r="I6519" t="s">
        <v>16370</v>
      </c>
      <c r="J6519" t="s">
        <v>16385</v>
      </c>
      <c r="K6519">
        <v>0.092</v>
      </c>
      <c r="L6519">
        <v>4021</v>
      </c>
      <c r="M6519">
        <v>766</v>
      </c>
      <c r="N6519" t="s">
        <v>16393</v>
      </c>
      <c r="O6519" s="4">
        <v>16995</v>
      </c>
      <c r="P6519" s="4">
        <v>64485</v>
      </c>
      <c r="Q6519" s="4">
        <v>81480</v>
      </c>
      <c r="R6519" s="4">
        <v>244440</v>
      </c>
      <c r="S6519" t="s">
        <v>22706</v>
      </c>
      <c r="T6519" s="6">
        <v>42156</v>
      </c>
      <c r="U6519" s="4">
        <v>217000</v>
      </c>
      <c r="V6519" t="s">
        <v>23739</v>
      </c>
      <c r="W6519" t="s">
        <v>27317</v>
      </c>
      <c r="X6519" t="s">
        <v>3</v>
      </c>
      <c r="AA6519" s="5" t="str">
        <f>HYPERLINK("https://www.zillow.com/homes/212-BURLINGTON-AVE-WESTMONT-IL-60559_rb/","check listing")</f>
        <v>check listing</v>
      </c>
      <c r="AB6519" s="5" t="str">
        <f>HYPERLINK("https://propertylookup.dupagecounty.gov/Datalets/Datalet.aspx?UseSearch=no&amp;mode=sales&amp;pin=0909218018","sales record")</f>
        <v>sales record</v>
      </c>
      <c r="AC6519" t="s">
        <v>27873</v>
      </c>
      <c r="AD6519">
        <v>41.796142</v>
      </c>
      <c r="AE6519">
        <v>-87.981758</v>
      </c>
      <c r="AF6519" s="5" t="str">
        <f>HYPERLINK("https://www.google.com/maps/search/?api=1&amp;query=41.796142,-87.981758","map")</f>
        <v>map</v>
      </c>
    </row>
    <row r="6520" spans="1:32">
      <c r="A6520" t="s">
        <v>6570</v>
      </c>
      <c r="B6520" t="s">
        <v>14050</v>
      </c>
      <c r="C6520" t="s">
        <v>16024</v>
      </c>
      <c r="D6520" t="s">
        <v>16211</v>
      </c>
      <c r="E6520" t="s">
        <v>16218</v>
      </c>
      <c r="F6520" t="s">
        <v>16220</v>
      </c>
      <c r="G6520" t="s">
        <v>16289</v>
      </c>
      <c r="H6520" t="s">
        <v>16289</v>
      </c>
      <c r="I6520" t="s">
        <v>16370</v>
      </c>
      <c r="J6520" t="s">
        <v>16385</v>
      </c>
      <c r="K6520">
        <v>0.092</v>
      </c>
      <c r="L6520">
        <v>4021</v>
      </c>
      <c r="M6520">
        <v>933</v>
      </c>
      <c r="N6520" t="s">
        <v>16393</v>
      </c>
      <c r="O6520" s="4">
        <v>16995</v>
      </c>
      <c r="P6520" s="4">
        <v>41750</v>
      </c>
      <c r="Q6520" s="4">
        <v>58745</v>
      </c>
      <c r="R6520" s="4">
        <v>176235</v>
      </c>
      <c r="S6520" t="s">
        <v>22707</v>
      </c>
      <c r="T6520" s="6">
        <v>39661</v>
      </c>
      <c r="U6520" s="4">
        <v>140000</v>
      </c>
      <c r="V6520" t="s">
        <v>23740</v>
      </c>
      <c r="W6520" t="s">
        <v>27318</v>
      </c>
      <c r="X6520" t="s">
        <v>3</v>
      </c>
      <c r="AA6520" s="5" t="str">
        <f>HYPERLINK("https://www.zillow.com/homes/116-BURLINGTON-AVE-WESTMONT-IL-60559_rb/","check listing")</f>
        <v>check listing</v>
      </c>
      <c r="AB6520" s="5" t="str">
        <f>HYPERLINK("https://propertylookup.dupagecounty.gov/Datalets/Datalet.aspx?UseSearch=no&amp;mode=sales&amp;pin=0909220017","sales record")</f>
        <v>sales record</v>
      </c>
      <c r="AC6520" t="s">
        <v>3</v>
      </c>
      <c r="AD6520">
        <v>41.796147</v>
      </c>
      <c r="AE6520">
        <v>-87.979174</v>
      </c>
      <c r="AF6520" s="5" t="str">
        <f>HYPERLINK("https://www.google.com/maps/search/?api=1&amp;query=41.796147,-87.979174","map")</f>
        <v>map</v>
      </c>
    </row>
    <row r="6521" spans="1:32">
      <c r="A6521" t="s">
        <v>6571</v>
      </c>
      <c r="B6521" t="s">
        <v>14051</v>
      </c>
      <c r="C6521" t="s">
        <v>16050</v>
      </c>
      <c r="D6521" t="s">
        <v>16211</v>
      </c>
      <c r="E6521" t="s">
        <v>16218</v>
      </c>
      <c r="F6521" t="s">
        <v>16220</v>
      </c>
      <c r="G6521" t="s">
        <v>16289</v>
      </c>
      <c r="H6521" t="s">
        <v>16289</v>
      </c>
      <c r="I6521" t="s">
        <v>16370</v>
      </c>
      <c r="J6521" t="s">
        <v>16385</v>
      </c>
      <c r="K6521">
        <v>0.092</v>
      </c>
      <c r="L6521">
        <v>4020</v>
      </c>
      <c r="M6521">
        <v>802</v>
      </c>
      <c r="N6521" t="s">
        <v>16393</v>
      </c>
      <c r="O6521" s="4">
        <v>16995</v>
      </c>
      <c r="P6521" s="4">
        <v>173091</v>
      </c>
      <c r="Q6521" s="4">
        <v>190086</v>
      </c>
      <c r="R6521" s="4">
        <v>570258</v>
      </c>
      <c r="S6521" t="s">
        <v>22708</v>
      </c>
      <c r="T6521" s="6">
        <v>44562</v>
      </c>
      <c r="U6521" s="4">
        <v>445000</v>
      </c>
      <c r="V6521" t="s">
        <v>23739</v>
      </c>
      <c r="W6521" t="s">
        <v>27319</v>
      </c>
      <c r="X6521" t="s">
        <v>3</v>
      </c>
      <c r="AA6521" s="5" t="str">
        <f>HYPERLINK("https://www.zillow.com/homes/226-W-BURLINGTON-AVE-WESTMONT-IL-605591648_rb/","check listing")</f>
        <v>check listing</v>
      </c>
      <c r="AB6521" s="5" t="str">
        <f>HYPERLINK("https://propertylookup.dupagecounty.gov/Datalets/Datalet.aspx?UseSearch=no&amp;mode=sales&amp;pin=0909217021","sales record")</f>
        <v>sales record</v>
      </c>
      <c r="AC6521" t="s">
        <v>3</v>
      </c>
      <c r="AD6521">
        <v>41.79614</v>
      </c>
      <c r="AE6521">
        <v>-87.98290299999999</v>
      </c>
      <c r="AF6521" s="5" t="str">
        <f>HYPERLINK("https://www.google.com/maps/search/?api=1&amp;query=41.79614,-87.982903","map")</f>
        <v>map</v>
      </c>
    </row>
    <row r="6522" spans="1:32">
      <c r="A6522" t="s">
        <v>6572</v>
      </c>
      <c r="B6522" t="s">
        <v>14052</v>
      </c>
      <c r="C6522" t="s">
        <v>16024</v>
      </c>
      <c r="D6522" t="s">
        <v>16211</v>
      </c>
      <c r="E6522" t="s">
        <v>16218</v>
      </c>
      <c r="F6522" t="s">
        <v>16220</v>
      </c>
      <c r="G6522" t="s">
        <v>16289</v>
      </c>
      <c r="H6522" t="s">
        <v>16289</v>
      </c>
      <c r="I6522" t="s">
        <v>16370</v>
      </c>
      <c r="J6522" t="s">
        <v>16385</v>
      </c>
      <c r="K6522">
        <v>0.092</v>
      </c>
      <c r="L6522">
        <v>4020</v>
      </c>
      <c r="M6522">
        <v>869</v>
      </c>
      <c r="N6522" t="s">
        <v>16393</v>
      </c>
      <c r="O6522" s="4">
        <v>16995</v>
      </c>
      <c r="P6522" s="4">
        <v>46949</v>
      </c>
      <c r="Q6522" s="4">
        <v>63944</v>
      </c>
      <c r="R6522" s="4">
        <v>191832</v>
      </c>
      <c r="S6522" t="s">
        <v>22709</v>
      </c>
      <c r="T6522" s="6">
        <v>36586</v>
      </c>
      <c r="U6522" s="4">
        <v>113000</v>
      </c>
      <c r="V6522" t="s">
        <v>23740</v>
      </c>
      <c r="W6522" t="s">
        <v>22709</v>
      </c>
      <c r="X6522" t="s">
        <v>3</v>
      </c>
      <c r="AA6522" s="5" t="str">
        <f>HYPERLINK("https://www.zillow.com/homes/132-W-BURLINGTON-AVE-WESTMONT-IL-60559_rb/","check listing")</f>
        <v>check listing</v>
      </c>
      <c r="AB6522" s="5" t="str">
        <f>HYPERLINK("https://propertylookup.dupagecounty.gov/Datalets/Datalet.aspx?UseSearch=no&amp;mode=sales&amp;pin=0909219018","sales record")</f>
        <v>sales record</v>
      </c>
      <c r="AC6522" t="s">
        <v>3</v>
      </c>
      <c r="AD6522">
        <v>41.796145</v>
      </c>
      <c r="AE6522">
        <v>-87.98024599999999</v>
      </c>
      <c r="AF6522" s="5" t="str">
        <f>HYPERLINK("https://www.google.com/maps/search/?api=1&amp;query=41.796145,-87.980246","map")</f>
        <v>map</v>
      </c>
    </row>
    <row r="6523" spans="1:32">
      <c r="A6523" t="s">
        <v>6573</v>
      </c>
      <c r="B6523" t="s">
        <v>14053</v>
      </c>
      <c r="C6523" t="s">
        <v>16024</v>
      </c>
      <c r="D6523" t="s">
        <v>16211</v>
      </c>
      <c r="E6523" t="s">
        <v>16218</v>
      </c>
      <c r="F6523" t="s">
        <v>16220</v>
      </c>
      <c r="G6523" t="s">
        <v>16289</v>
      </c>
      <c r="H6523" t="s">
        <v>16289</v>
      </c>
      <c r="I6523" t="s">
        <v>16370</v>
      </c>
      <c r="J6523" t="s">
        <v>16385</v>
      </c>
      <c r="K6523">
        <v>0.092</v>
      </c>
      <c r="L6523">
        <v>4020</v>
      </c>
      <c r="M6523">
        <v>682</v>
      </c>
      <c r="N6523" t="s">
        <v>16393</v>
      </c>
      <c r="O6523" s="4">
        <v>16995</v>
      </c>
      <c r="P6523" s="4">
        <v>40177</v>
      </c>
      <c r="Q6523" s="4">
        <v>57172</v>
      </c>
      <c r="R6523" s="4">
        <v>171516</v>
      </c>
      <c r="S6523" t="s">
        <v>22710</v>
      </c>
      <c r="T6523" s="6">
        <v>45771</v>
      </c>
      <c r="U6523" s="4">
        <v>325000</v>
      </c>
      <c r="V6523" t="s">
        <v>23739</v>
      </c>
      <c r="W6523" t="s">
        <v>27320</v>
      </c>
      <c r="X6523" t="s">
        <v>3</v>
      </c>
      <c r="AA6523" s="5" t="str">
        <f>HYPERLINK("https://www.zillow.com/homes/238-W-BURLINGTON-AVE-WESTMONT-IL-60559_rb/","check listing")</f>
        <v>check listing</v>
      </c>
      <c r="AB6523" s="5" t="str">
        <f>HYPERLINK("https://propertylookup.dupagecounty.gov/Datalets/Datalet.aspx?UseSearch=no&amp;mode=sales&amp;pin=0909217017","sales record")</f>
        <v>sales record</v>
      </c>
      <c r="AC6523" t="s">
        <v>27873</v>
      </c>
      <c r="AD6523">
        <v>41.796139</v>
      </c>
      <c r="AE6523">
        <v>-87.983453</v>
      </c>
      <c r="AF6523" s="5" t="str">
        <f>HYPERLINK("https://www.google.com/maps/search/?api=1&amp;query=41.796139,-87.983453","map")</f>
        <v>map</v>
      </c>
    </row>
    <row r="6524" spans="1:32">
      <c r="A6524" t="s">
        <v>6574</v>
      </c>
      <c r="B6524" t="s">
        <v>14054</v>
      </c>
      <c r="C6524" t="s">
        <v>16024</v>
      </c>
      <c r="D6524" t="s">
        <v>16211</v>
      </c>
      <c r="E6524" t="s">
        <v>16218</v>
      </c>
      <c r="F6524" t="s">
        <v>16220</v>
      </c>
      <c r="G6524" t="s">
        <v>16289</v>
      </c>
      <c r="H6524" t="s">
        <v>16289</v>
      </c>
      <c r="I6524" t="s">
        <v>16370</v>
      </c>
      <c r="J6524" t="s">
        <v>16385</v>
      </c>
      <c r="K6524">
        <v>0.092</v>
      </c>
      <c r="L6524">
        <v>4019</v>
      </c>
      <c r="M6524">
        <v>978</v>
      </c>
      <c r="N6524" t="s">
        <v>16393</v>
      </c>
      <c r="O6524" s="4">
        <v>16995</v>
      </c>
      <c r="P6524" s="4">
        <v>55917</v>
      </c>
      <c r="Q6524" s="4">
        <v>72912</v>
      </c>
      <c r="R6524" s="4">
        <v>218736</v>
      </c>
      <c r="S6524" t="s">
        <v>22711</v>
      </c>
      <c r="T6524" s="6">
        <v>44876</v>
      </c>
      <c r="U6524" s="4">
        <v>215000</v>
      </c>
      <c r="V6524" t="s">
        <v>23739</v>
      </c>
      <c r="W6524" t="s">
        <v>27321</v>
      </c>
      <c r="X6524" t="s">
        <v>3</v>
      </c>
      <c r="AA6524" s="5" t="str">
        <f>HYPERLINK("https://www.zillow.com/homes/114-W-BURLINGTON-WESTMONT-IL-60559_rb/","check listing")</f>
        <v>check listing</v>
      </c>
      <c r="AB6524" s="5" t="str">
        <f>HYPERLINK("https://propertylookup.dupagecounty.gov/Datalets/Datalet.aspx?UseSearch=no&amp;mode=sales&amp;pin=0909220018","sales record")</f>
        <v>sales record</v>
      </c>
      <c r="AC6524" t="s">
        <v>27873</v>
      </c>
      <c r="AD6524">
        <v>41.796147</v>
      </c>
      <c r="AE6524">
        <v>-87.97906399999999</v>
      </c>
      <c r="AF6524" s="5" t="str">
        <f>HYPERLINK("https://www.google.com/maps/search/?api=1&amp;query=41.796147,-87.979064","map")</f>
        <v>map</v>
      </c>
    </row>
    <row r="6525" spans="1:32">
      <c r="A6525" t="s">
        <v>6575</v>
      </c>
      <c r="B6525" t="s">
        <v>14055</v>
      </c>
      <c r="C6525" t="s">
        <v>16055</v>
      </c>
      <c r="D6525" t="s">
        <v>16211</v>
      </c>
      <c r="E6525" t="s">
        <v>16218</v>
      </c>
      <c r="F6525" t="s">
        <v>16220</v>
      </c>
      <c r="G6525" t="s">
        <v>16238</v>
      </c>
      <c r="H6525" t="s">
        <v>16238</v>
      </c>
      <c r="I6525" t="s">
        <v>16369</v>
      </c>
      <c r="J6525" t="s">
        <v>16385</v>
      </c>
      <c r="K6525">
        <v>0.079</v>
      </c>
      <c r="L6525">
        <v>3460</v>
      </c>
      <c r="N6525" t="s">
        <v>16393</v>
      </c>
      <c r="O6525" s="4">
        <v>49743</v>
      </c>
      <c r="P6525" s="4">
        <v>128172</v>
      </c>
      <c r="Q6525" s="4">
        <v>177915</v>
      </c>
      <c r="R6525" s="4">
        <v>533745</v>
      </c>
      <c r="S6525" t="s">
        <v>22712</v>
      </c>
      <c r="T6525" s="6">
        <v>43221</v>
      </c>
      <c r="U6525" s="4">
        <v>425000</v>
      </c>
      <c r="V6525" t="s">
        <v>23739</v>
      </c>
      <c r="W6525" t="s">
        <v>27322</v>
      </c>
      <c r="X6525" t="s">
        <v>3</v>
      </c>
      <c r="AA6525" s="5" t="str">
        <f>HYPERLINK("https://www.zillow.com/homes/1216-E-CHARLES-LN-WESTMONT-IL-605592903_rb/","check listing")</f>
        <v>check listing</v>
      </c>
      <c r="AB6525" s="5" t="str">
        <f>HYPERLINK("https://propertylookup.dupagecounty.gov/Datalets/Datalet.aspx?UseSearch=no&amp;mode=sales&amp;pin=0921102047","sales record")</f>
        <v>sales record</v>
      </c>
      <c r="AC6525" t="s">
        <v>3</v>
      </c>
      <c r="AD6525">
        <v>41.772807</v>
      </c>
      <c r="AE6525">
        <v>-87.99026499999999</v>
      </c>
      <c r="AF6525" s="5" t="str">
        <f>HYPERLINK("https://www.google.com/maps/search/?api=1&amp;query=41.772807,-87.990265","map")</f>
        <v>map</v>
      </c>
    </row>
    <row r="6526" spans="1:32">
      <c r="A6526" t="s">
        <v>6576</v>
      </c>
      <c r="B6526" t="s">
        <v>14056</v>
      </c>
      <c r="C6526" t="s">
        <v>16024</v>
      </c>
      <c r="D6526" t="s">
        <v>16211</v>
      </c>
      <c r="E6526" t="s">
        <v>16217</v>
      </c>
      <c r="F6526" t="s">
        <v>16220</v>
      </c>
      <c r="G6526" t="s">
        <v>16238</v>
      </c>
      <c r="H6526" t="s">
        <v>16238</v>
      </c>
      <c r="I6526" t="s">
        <v>16369</v>
      </c>
      <c r="J6526" t="s">
        <v>16385</v>
      </c>
      <c r="K6526">
        <v>1.526</v>
      </c>
      <c r="L6526">
        <v>66479</v>
      </c>
      <c r="N6526" t="s">
        <v>16393</v>
      </c>
      <c r="O6526" s="4">
        <v>110460</v>
      </c>
      <c r="P6526" s="4">
        <v>0</v>
      </c>
      <c r="Q6526" s="4">
        <v>110460</v>
      </c>
      <c r="R6526" s="4">
        <v>331380</v>
      </c>
      <c r="S6526" t="s">
        <v>22713</v>
      </c>
      <c r="X6526" t="s">
        <v>3</v>
      </c>
      <c r="AA6526" s="5" t="str">
        <f>HYPERLINK("https://www.zillow.com/homes/63RD-ST-WESTMONT-IL-60559_rb/","check listing")</f>
        <v>check listing</v>
      </c>
      <c r="AB6526" s="5" t="str">
        <f>HYPERLINK("https://propertylookup.dupagecounty.gov/Datalets/Datalet.aspx?UseSearch=no&amp;mode=sales&amp;pin=0922102045","sales record")</f>
        <v>sales record</v>
      </c>
      <c r="AC6526" t="s">
        <v>3</v>
      </c>
      <c r="AD6526">
        <v>41.773335</v>
      </c>
      <c r="AE6526">
        <v>-87.96585899999999</v>
      </c>
      <c r="AF6526" s="5" t="str">
        <f>HYPERLINK("https://www.google.com/maps/search/?api=1&amp;query=41.773335,-87.965859","map")</f>
        <v>map</v>
      </c>
    </row>
    <row r="6527" spans="1:32">
      <c r="A6527" t="s">
        <v>6577</v>
      </c>
      <c r="B6527" t="s">
        <v>14057</v>
      </c>
      <c r="C6527" t="s">
        <v>16024</v>
      </c>
      <c r="D6527" t="s">
        <v>16211</v>
      </c>
      <c r="E6527" t="s">
        <v>16217</v>
      </c>
      <c r="F6527" t="s">
        <v>16220</v>
      </c>
      <c r="G6527" t="s">
        <v>16238</v>
      </c>
      <c r="H6527" t="s">
        <v>16238</v>
      </c>
      <c r="I6527" t="s">
        <v>16369</v>
      </c>
      <c r="J6527" t="s">
        <v>16385</v>
      </c>
      <c r="K6527">
        <v>0.797</v>
      </c>
      <c r="L6527">
        <v>34735</v>
      </c>
      <c r="N6527" t="s">
        <v>16393</v>
      </c>
      <c r="O6527" s="4">
        <v>89228</v>
      </c>
      <c r="P6527" s="4">
        <v>0</v>
      </c>
      <c r="Q6527" s="4">
        <v>89228</v>
      </c>
      <c r="R6527" s="4">
        <v>267684</v>
      </c>
      <c r="S6527" t="s">
        <v>22714</v>
      </c>
      <c r="X6527" t="s">
        <v>3</v>
      </c>
      <c r="AA6527" s="5" t="str">
        <f>HYPERLINK("https://www.zillow.com/homes/S-CASS-AVE-WESTMONT-IL-60559_rb/","check listing")</f>
        <v>check listing</v>
      </c>
      <c r="AB6527" s="5" t="str">
        <f>HYPERLINK("https://propertylookup.dupagecounty.gov/Datalets/Datalet.aspx?UseSearch=no&amp;mode=sales&amp;pin=0922101081","sales record")</f>
        <v>sales record</v>
      </c>
      <c r="AC6527" t="s">
        <v>27872</v>
      </c>
      <c r="AD6527">
        <v>41.767512</v>
      </c>
      <c r="AE6527">
        <v>-87.973635</v>
      </c>
      <c r="AF6527" s="5" t="str">
        <f>HYPERLINK("https://www.google.com/maps/search/?api=1&amp;query=41.767512,-87.973635","map")</f>
        <v>map</v>
      </c>
    </row>
    <row r="6528" spans="1:32">
      <c r="A6528" t="s">
        <v>6578</v>
      </c>
      <c r="B6528" t="s">
        <v>14058</v>
      </c>
      <c r="C6528" t="s">
        <v>16024</v>
      </c>
      <c r="D6528" t="s">
        <v>16211</v>
      </c>
      <c r="E6528" t="s">
        <v>16217</v>
      </c>
      <c r="F6528" t="s">
        <v>16220</v>
      </c>
      <c r="G6528" t="s">
        <v>16238</v>
      </c>
      <c r="H6528" t="s">
        <v>16238</v>
      </c>
      <c r="I6528" t="s">
        <v>16369</v>
      </c>
      <c r="J6528" t="s">
        <v>16385</v>
      </c>
      <c r="K6528">
        <v>0.6820000000000001</v>
      </c>
      <c r="L6528">
        <v>29712</v>
      </c>
      <c r="N6528" t="s">
        <v>16393</v>
      </c>
      <c r="O6528" s="4">
        <v>70518</v>
      </c>
      <c r="P6528" s="4">
        <v>0</v>
      </c>
      <c r="Q6528" s="4">
        <v>70518</v>
      </c>
      <c r="R6528" s="4">
        <v>211554</v>
      </c>
      <c r="S6528" t="s">
        <v>22715</v>
      </c>
      <c r="T6528" s="6">
        <v>44531</v>
      </c>
      <c r="U6528" s="4">
        <v>360000</v>
      </c>
      <c r="V6528" t="s">
        <v>23740</v>
      </c>
      <c r="W6528" t="s">
        <v>27323</v>
      </c>
      <c r="X6528" t="s">
        <v>3</v>
      </c>
      <c r="AA6528" s="5" t="str">
        <f>HYPERLINK("https://www.zillow.com/homes/31113-N-CASS-AVE-WESTMONT-IL-60559_rb/","check listing")</f>
        <v>check listing</v>
      </c>
      <c r="AB6528" s="5" t="str">
        <f>HYPERLINK("https://propertylookup.dupagecounty.gov/Datalets/Datalet.aspx?UseSearch=no&amp;mode=sales&amp;pin=0903308008","sales record")</f>
        <v>sales record</v>
      </c>
      <c r="AC6528" t="s">
        <v>3</v>
      </c>
      <c r="AD6528">
        <v>41.803598</v>
      </c>
      <c r="AE6528">
        <v>-87.974963</v>
      </c>
      <c r="AF6528" s="5" t="str">
        <f>HYPERLINK("https://www.google.com/maps/search/?api=1&amp;query=41.803598,-87.974963","map")</f>
        <v>map</v>
      </c>
    </row>
    <row r="6529" spans="1:32">
      <c r="A6529" t="s">
        <v>6579</v>
      </c>
      <c r="B6529" t="s">
        <v>14059</v>
      </c>
      <c r="C6529" t="s">
        <v>16024</v>
      </c>
      <c r="D6529" t="s">
        <v>16211</v>
      </c>
      <c r="E6529" t="s">
        <v>16217</v>
      </c>
      <c r="F6529" t="s">
        <v>16220</v>
      </c>
      <c r="G6529" t="s">
        <v>16238</v>
      </c>
      <c r="H6529" t="s">
        <v>16238</v>
      </c>
      <c r="I6529" t="s">
        <v>16369</v>
      </c>
      <c r="J6529" t="s">
        <v>16385</v>
      </c>
      <c r="K6529">
        <v>0.351</v>
      </c>
      <c r="L6529">
        <v>15299</v>
      </c>
      <c r="N6529" t="s">
        <v>16393</v>
      </c>
      <c r="O6529" s="4">
        <v>36316</v>
      </c>
      <c r="P6529" s="4">
        <v>0</v>
      </c>
      <c r="Q6529" s="4">
        <v>36316</v>
      </c>
      <c r="R6529" s="4">
        <v>108948</v>
      </c>
      <c r="S6529" t="s">
        <v>22715</v>
      </c>
      <c r="T6529" s="6">
        <v>29556</v>
      </c>
      <c r="U6529" s="4">
        <v>22500</v>
      </c>
      <c r="X6529" t="s">
        <v>3</v>
      </c>
      <c r="AA6529" s="5" t="str">
        <f>HYPERLINK("https://www.zillow.com/homes/31113-CASS-AVE-WESTMONT-IL-60559_rb/","check listing")</f>
        <v>check listing</v>
      </c>
      <c r="AB6529" s="5" t="str">
        <f>HYPERLINK("https://propertylookup.dupagecounty.gov/Datalets/Datalet.aspx?UseSearch=no&amp;mode=sales&amp;pin=0903308007","sales record")</f>
        <v>sales record</v>
      </c>
      <c r="AC6529" t="s">
        <v>3</v>
      </c>
      <c r="AD6529">
        <v>41.803747</v>
      </c>
      <c r="AE6529">
        <v>-87.974969</v>
      </c>
      <c r="AF6529" s="5" t="str">
        <f>HYPERLINK("https://www.google.com/maps/search/?api=1&amp;query=41.803747,-87.974969","map")</f>
        <v>map</v>
      </c>
    </row>
    <row r="6530" spans="1:32">
      <c r="A6530" t="s">
        <v>6580</v>
      </c>
      <c r="B6530" t="s">
        <v>13956</v>
      </c>
      <c r="C6530" t="s">
        <v>16024</v>
      </c>
      <c r="D6530" t="s">
        <v>16211</v>
      </c>
      <c r="E6530" t="s">
        <v>16217</v>
      </c>
      <c r="F6530" t="s">
        <v>16220</v>
      </c>
      <c r="G6530" t="s">
        <v>16238</v>
      </c>
      <c r="H6530" t="s">
        <v>16238</v>
      </c>
      <c r="I6530" t="s">
        <v>16369</v>
      </c>
      <c r="J6530" t="s">
        <v>16385</v>
      </c>
      <c r="K6530">
        <v>0.351</v>
      </c>
      <c r="L6530">
        <v>15295</v>
      </c>
      <c r="N6530" t="s">
        <v>16392</v>
      </c>
      <c r="O6530" s="4">
        <v>59204</v>
      </c>
      <c r="P6530" s="4">
        <v>0</v>
      </c>
      <c r="Q6530" s="4">
        <v>59204</v>
      </c>
      <c r="R6530" s="4">
        <v>177612</v>
      </c>
      <c r="S6530" t="s">
        <v>22616</v>
      </c>
      <c r="T6530" s="6">
        <v>37653</v>
      </c>
      <c r="U6530" s="4">
        <v>70000</v>
      </c>
      <c r="V6530" t="s">
        <v>23739</v>
      </c>
      <c r="W6530" t="s">
        <v>27324</v>
      </c>
      <c r="X6530" t="s">
        <v>3</v>
      </c>
      <c r="AA6530" s="5" t="str">
        <f>HYPERLINK("https://www.zillow.com/homes/409-N-CASS-AVE-WESTMONT-IL-60559_rb/","check listing")</f>
        <v>check listing</v>
      </c>
      <c r="AB6530" s="5" t="str">
        <f>HYPERLINK("https://propertylookup.dupagecounty.gov/Datalets/Datalet.aspx?UseSearch=no&amp;mode=sales&amp;pin=0903304028","sales record")</f>
        <v>sales record</v>
      </c>
      <c r="AC6530" t="s">
        <v>27872</v>
      </c>
      <c r="AD6530">
        <v>41.805416</v>
      </c>
      <c r="AE6530">
        <v>-87.974767</v>
      </c>
      <c r="AF6530" s="5" t="str">
        <f>HYPERLINK("https://www.google.com/maps/search/?api=1&amp;query=41.805416,-87.974767","map")</f>
        <v>map</v>
      </c>
    </row>
    <row r="6531" spans="1:32">
      <c r="A6531" t="s">
        <v>6581</v>
      </c>
      <c r="B6531" t="s">
        <v>14060</v>
      </c>
      <c r="C6531" t="s">
        <v>16024</v>
      </c>
      <c r="D6531" t="s">
        <v>16211</v>
      </c>
      <c r="E6531" t="s">
        <v>16217</v>
      </c>
      <c r="F6531" t="s">
        <v>16220</v>
      </c>
      <c r="G6531" t="s">
        <v>16238</v>
      </c>
      <c r="H6531" t="s">
        <v>16238</v>
      </c>
      <c r="I6531" t="s">
        <v>16369</v>
      </c>
      <c r="J6531" t="s">
        <v>16385</v>
      </c>
      <c r="K6531">
        <v>0.348</v>
      </c>
      <c r="L6531">
        <v>15146</v>
      </c>
      <c r="M6531">
        <v>664</v>
      </c>
      <c r="N6531" t="s">
        <v>16392</v>
      </c>
      <c r="O6531" s="4">
        <v>49943</v>
      </c>
      <c r="P6531" s="4">
        <v>0</v>
      </c>
      <c r="Q6531" s="4">
        <v>49943</v>
      </c>
      <c r="R6531" s="4">
        <v>149829</v>
      </c>
      <c r="S6531" t="s">
        <v>22716</v>
      </c>
      <c r="T6531" s="6">
        <v>38384</v>
      </c>
      <c r="U6531" s="4">
        <v>200000</v>
      </c>
      <c r="V6531" t="s">
        <v>23740</v>
      </c>
      <c r="W6531" t="s">
        <v>27325</v>
      </c>
      <c r="X6531" t="s">
        <v>3</v>
      </c>
      <c r="AA6531" s="5" t="str">
        <f>HYPERLINK("https://www.zillow.com/homes/413-N-CASS-AVE-WESTMONT-IL-60559_rb/","check listing")</f>
        <v>check listing</v>
      </c>
      <c r="AB6531" s="5" t="str">
        <f>HYPERLINK("https://propertylookup.dupagecounty.gov/Datalets/Datalet.aspx?UseSearch=no&amp;mode=sales&amp;pin=0903304006","sales record")</f>
        <v>sales record</v>
      </c>
      <c r="AC6531" t="s">
        <v>11</v>
      </c>
      <c r="AD6531">
        <v>41.806181</v>
      </c>
      <c r="AE6531">
        <v>-87.975071</v>
      </c>
      <c r="AF6531" s="5" t="str">
        <f>HYPERLINK("https://www.google.com/maps/search/?api=1&amp;query=41.806181,-87.975071","map")</f>
        <v>map</v>
      </c>
    </row>
    <row r="6532" spans="1:32">
      <c r="A6532" t="s">
        <v>6582</v>
      </c>
      <c r="B6532" t="s">
        <v>13981</v>
      </c>
      <c r="C6532" t="s">
        <v>16056</v>
      </c>
      <c r="D6532" t="s">
        <v>16211</v>
      </c>
      <c r="E6532" t="s">
        <v>16217</v>
      </c>
      <c r="F6532" t="s">
        <v>16220</v>
      </c>
      <c r="G6532" t="s">
        <v>16238</v>
      </c>
      <c r="H6532" t="s">
        <v>16238</v>
      </c>
      <c r="I6532" t="s">
        <v>16369</v>
      </c>
      <c r="J6532" t="s">
        <v>16385</v>
      </c>
      <c r="K6532">
        <v>0.248</v>
      </c>
      <c r="L6532">
        <v>10797</v>
      </c>
      <c r="N6532" t="s">
        <v>16393</v>
      </c>
      <c r="O6532" s="4">
        <v>41139</v>
      </c>
      <c r="P6532" s="4">
        <v>0</v>
      </c>
      <c r="Q6532" s="4">
        <v>41139</v>
      </c>
      <c r="R6532" s="4">
        <v>123417</v>
      </c>
      <c r="S6532" t="s">
        <v>22640</v>
      </c>
      <c r="X6532" t="s">
        <v>3</v>
      </c>
      <c r="AA6532" s="5" t="str">
        <f>HYPERLINK("https://www.zillow.com/homes/402-N-CASS-AVE-WESTMONT-IL-605591510_rb/","check listing")</f>
        <v>check listing</v>
      </c>
      <c r="AB6532" s="5" t="str">
        <f>HYPERLINK("https://propertylookup.dupagecounty.gov/Datalets/Datalet.aspx?UseSearch=no&amp;mode=sales&amp;pin=0904409036","sales record")</f>
        <v>sales record</v>
      </c>
      <c r="AC6532" t="s">
        <v>27872</v>
      </c>
      <c r="AD6532">
        <v>41.804349</v>
      </c>
      <c r="AE6532">
        <v>-87.976072</v>
      </c>
      <c r="AF6532" s="5" t="str">
        <f>HYPERLINK("https://www.google.com/maps/search/?api=1&amp;query=41.804349,-87.976072","map")</f>
        <v>map</v>
      </c>
    </row>
    <row r="6533" spans="1:32">
      <c r="A6533" t="s">
        <v>6583</v>
      </c>
      <c r="B6533" t="s">
        <v>14031</v>
      </c>
      <c r="C6533" t="s">
        <v>16024</v>
      </c>
      <c r="D6533" t="s">
        <v>16211</v>
      </c>
      <c r="E6533" t="s">
        <v>16217</v>
      </c>
      <c r="F6533" t="s">
        <v>16220</v>
      </c>
      <c r="G6533" t="s">
        <v>16238</v>
      </c>
      <c r="H6533" t="s">
        <v>16238</v>
      </c>
      <c r="I6533" t="s">
        <v>16369</v>
      </c>
      <c r="J6533" t="s">
        <v>16385</v>
      </c>
      <c r="K6533">
        <v>0.133</v>
      </c>
      <c r="L6533">
        <v>5809</v>
      </c>
      <c r="N6533" t="s">
        <v>16393</v>
      </c>
      <c r="O6533" s="4">
        <v>28099</v>
      </c>
      <c r="P6533" s="4">
        <v>0</v>
      </c>
      <c r="Q6533" s="4">
        <v>28099</v>
      </c>
      <c r="R6533" s="4">
        <v>84297</v>
      </c>
      <c r="S6533" t="s">
        <v>22688</v>
      </c>
      <c r="X6533" t="s">
        <v>3</v>
      </c>
      <c r="AA6533" s="5" t="str">
        <f>HYPERLINK("https://www.zillow.com/homes/428-S-CASS-AVE-WESTMONT-IL-60559_rb/","check listing")</f>
        <v>check listing</v>
      </c>
      <c r="AB6533" s="5" t="str">
        <f>HYPERLINK("https://propertylookup.dupagecounty.gov/Datalets/Datalet.aspx?UseSearch=no&amp;mode=sales&amp;pin=0916205032","sales record")</f>
        <v>sales record</v>
      </c>
      <c r="AC6533" t="s">
        <v>27872</v>
      </c>
      <c r="AD6533">
        <v>41.787007</v>
      </c>
      <c r="AE6533">
        <v>-87.975442</v>
      </c>
      <c r="AF6533" s="5" t="str">
        <f>HYPERLINK("https://www.google.com/maps/search/?api=1&amp;query=41.787007,-87.975442","map")</f>
        <v>map</v>
      </c>
    </row>
    <row r="6534" spans="1:32">
      <c r="A6534" t="s">
        <v>6584</v>
      </c>
      <c r="B6534" t="s">
        <v>13977</v>
      </c>
      <c r="C6534" t="s">
        <v>16024</v>
      </c>
      <c r="D6534" t="s">
        <v>16211</v>
      </c>
      <c r="E6534" t="s">
        <v>16217</v>
      </c>
      <c r="F6534" t="s">
        <v>16220</v>
      </c>
      <c r="G6534" t="s">
        <v>16238</v>
      </c>
      <c r="H6534" t="s">
        <v>16238</v>
      </c>
      <c r="I6534" t="s">
        <v>16369</v>
      </c>
      <c r="J6534" t="s">
        <v>16385</v>
      </c>
      <c r="K6534">
        <v>0.129</v>
      </c>
      <c r="L6534">
        <v>5600</v>
      </c>
      <c r="N6534" t="s">
        <v>16393</v>
      </c>
      <c r="O6534" s="4">
        <v>16655</v>
      </c>
      <c r="P6534" s="4">
        <v>0</v>
      </c>
      <c r="Q6534" s="4">
        <v>16655</v>
      </c>
      <c r="R6534" s="4">
        <v>49965</v>
      </c>
      <c r="S6534" t="s">
        <v>22636</v>
      </c>
      <c r="T6534" s="6">
        <v>30468</v>
      </c>
      <c r="U6534" s="4">
        <v>69900</v>
      </c>
      <c r="X6534" t="s">
        <v>3</v>
      </c>
      <c r="AA6534" s="5" t="str">
        <f>HYPERLINK("https://www.zillow.com/homes/211-S-CASS-AVE-WESTMONT-IL-60559_rb/","check listing")</f>
        <v>check listing</v>
      </c>
      <c r="AB6534" s="5" t="str">
        <f>HYPERLINK("https://propertylookup.dupagecounty.gov/Datalets/Datalet.aspx?UseSearch=no&amp;mode=sales&amp;pin=0910310004","sales record")</f>
        <v>sales record</v>
      </c>
      <c r="AC6534" t="s">
        <v>27872</v>
      </c>
      <c r="AD6534">
        <v>41.79094</v>
      </c>
      <c r="AE6534">
        <v>-87.974637</v>
      </c>
      <c r="AF6534" s="5" t="str">
        <f>HYPERLINK("https://www.google.com/maps/search/?api=1&amp;query=41.79094,-87.974637","map")</f>
        <v>map</v>
      </c>
    </row>
    <row r="6535" spans="1:32">
      <c r="A6535" t="s">
        <v>6585</v>
      </c>
      <c r="B6535" t="s">
        <v>14061</v>
      </c>
      <c r="C6535" t="s">
        <v>16024</v>
      </c>
      <c r="D6535" t="s">
        <v>16211</v>
      </c>
      <c r="E6535" t="s">
        <v>16217</v>
      </c>
      <c r="F6535" t="s">
        <v>16220</v>
      </c>
      <c r="G6535" t="s">
        <v>16238</v>
      </c>
      <c r="H6535" t="s">
        <v>16238</v>
      </c>
      <c r="I6535" t="s">
        <v>16369</v>
      </c>
      <c r="J6535" t="s">
        <v>16385</v>
      </c>
      <c r="K6535">
        <v>0.103</v>
      </c>
      <c r="L6535">
        <v>4502</v>
      </c>
      <c r="N6535" t="s">
        <v>16393</v>
      </c>
      <c r="O6535" s="4">
        <v>18169</v>
      </c>
      <c r="P6535" s="4">
        <v>0</v>
      </c>
      <c r="Q6535" s="4">
        <v>18169</v>
      </c>
      <c r="R6535" s="4">
        <v>54507</v>
      </c>
      <c r="S6535" t="s">
        <v>22717</v>
      </c>
      <c r="T6535" s="6">
        <v>42186</v>
      </c>
      <c r="U6535" s="4">
        <v>250000</v>
      </c>
      <c r="V6535" t="s">
        <v>16232</v>
      </c>
      <c r="W6535" t="s">
        <v>26366</v>
      </c>
      <c r="X6535" t="s">
        <v>3</v>
      </c>
      <c r="AA6535" s="5" t="str">
        <f>HYPERLINK("https://www.zillow.com/homes/347-S-CASS-AVE-WESTMONT-IL-60559_rb/","check listing")</f>
        <v>check listing</v>
      </c>
      <c r="AB6535" s="5" t="str">
        <f>HYPERLINK("https://propertylookup.dupagecounty.gov/Datalets/Datalet.aspx?UseSearch=no&amp;mode=sales&amp;pin=0910315009","sales record")</f>
        <v>sales record</v>
      </c>
      <c r="AC6535" t="s">
        <v>3</v>
      </c>
      <c r="AD6535">
        <v>41.788471</v>
      </c>
      <c r="AE6535">
        <v>-87.97468600000001</v>
      </c>
      <c r="AF6535" s="5" t="str">
        <f>HYPERLINK("https://www.google.com/maps/search/?api=1&amp;query=41.788471,-87.974686","map")</f>
        <v>map</v>
      </c>
    </row>
    <row r="6536" spans="1:32">
      <c r="A6536" t="s">
        <v>6586</v>
      </c>
      <c r="B6536" t="s">
        <v>14062</v>
      </c>
      <c r="C6536" t="s">
        <v>16024</v>
      </c>
      <c r="D6536" t="s">
        <v>16211</v>
      </c>
      <c r="E6536" t="s">
        <v>16217</v>
      </c>
      <c r="F6536" t="s">
        <v>16220</v>
      </c>
      <c r="G6536" t="s">
        <v>16289</v>
      </c>
      <c r="H6536" t="s">
        <v>16289</v>
      </c>
      <c r="I6536" t="s">
        <v>16370</v>
      </c>
      <c r="J6536" t="s">
        <v>16385</v>
      </c>
      <c r="K6536">
        <v>0.093</v>
      </c>
      <c r="L6536">
        <v>4052</v>
      </c>
      <c r="N6536" t="s">
        <v>16393</v>
      </c>
      <c r="O6536" s="4">
        <v>19379</v>
      </c>
      <c r="P6536" s="4">
        <v>0</v>
      </c>
      <c r="Q6536" s="4">
        <v>19379</v>
      </c>
      <c r="R6536" s="4">
        <v>58137</v>
      </c>
      <c r="S6536" t="s">
        <v>22672</v>
      </c>
      <c r="T6536" s="6">
        <v>40118</v>
      </c>
      <c r="U6536" s="4">
        <v>65000</v>
      </c>
      <c r="V6536" t="s">
        <v>16232</v>
      </c>
      <c r="W6536" t="s">
        <v>27326</v>
      </c>
      <c r="X6536" t="s">
        <v>3</v>
      </c>
      <c r="AA6536" s="5" t="str">
        <f>HYPERLINK("https://www.zillow.com/homes/235-W-QUINCY-ST-WESTMONT-IL-60559_rb/","check listing")</f>
        <v>check listing</v>
      </c>
      <c r="AB6536" s="5" t="str">
        <f>HYPERLINK("https://propertylookup.dupagecounty.gov/Datalets/Datalet.aspx?UseSearch=no&amp;mode=sales&amp;pin=0909401003","sales record")</f>
        <v>sales record</v>
      </c>
      <c r="AC6536" t="s">
        <v>27872</v>
      </c>
      <c r="AD6536">
        <v>41.794935</v>
      </c>
      <c r="AE6536">
        <v>-87.98318500000001</v>
      </c>
      <c r="AF6536" s="5" t="str">
        <f>HYPERLINK("https://www.google.com/maps/search/?api=1&amp;query=41.794935,-87.983185","map")</f>
        <v>map</v>
      </c>
    </row>
    <row r="6537" spans="1:32">
      <c r="A6537" t="s">
        <v>6587</v>
      </c>
      <c r="B6537" t="s">
        <v>14063</v>
      </c>
      <c r="C6537" t="s">
        <v>16052</v>
      </c>
      <c r="D6537" t="s">
        <v>16211</v>
      </c>
      <c r="E6537" t="s">
        <v>16217</v>
      </c>
      <c r="F6537" t="s">
        <v>16220</v>
      </c>
      <c r="G6537" t="s">
        <v>16289</v>
      </c>
      <c r="H6537" t="s">
        <v>16289</v>
      </c>
      <c r="I6537" t="s">
        <v>16370</v>
      </c>
      <c r="J6537" t="s">
        <v>16385</v>
      </c>
      <c r="K6537">
        <v>0.092</v>
      </c>
      <c r="L6537">
        <v>4020</v>
      </c>
      <c r="N6537" t="s">
        <v>16393</v>
      </c>
      <c r="O6537" s="4">
        <v>16995</v>
      </c>
      <c r="P6537" s="4">
        <v>0</v>
      </c>
      <c r="Q6537" s="4">
        <v>16995</v>
      </c>
      <c r="R6537" s="4">
        <v>50985</v>
      </c>
      <c r="S6537" t="s">
        <v>22718</v>
      </c>
      <c r="T6537" s="6">
        <v>43831</v>
      </c>
      <c r="U6537" s="4">
        <v>244900</v>
      </c>
      <c r="V6537" t="s">
        <v>23739</v>
      </c>
      <c r="W6537" t="s">
        <v>22718</v>
      </c>
      <c r="X6537" t="s">
        <v>3</v>
      </c>
      <c r="AA6537" s="5" t="str">
        <f>HYPERLINK("https://www.zillow.com/homes/106-W-BURLINGTON-AVE-WESTMONT-IL-605591840_rb/","check listing")</f>
        <v>check listing</v>
      </c>
      <c r="AB6537" s="5" t="str">
        <f>HYPERLINK("https://propertylookup.dupagecounty.gov/Datalets/Datalet.aspx?UseSearch=no&amp;mode=sales&amp;pin=0909220020","sales record")</f>
        <v>sales record</v>
      </c>
      <c r="AC6537" t="s">
        <v>27872</v>
      </c>
      <c r="AD6537">
        <v>41.796148</v>
      </c>
      <c r="AE6537">
        <v>-87.978734</v>
      </c>
      <c r="AF6537" s="5" t="str">
        <f>HYPERLINK("https://www.google.com/maps/search/?api=1&amp;query=41.796148,-87.978734","map")</f>
        <v>map</v>
      </c>
    </row>
    <row r="6538" spans="1:32">
      <c r="A6538" t="s">
        <v>6588</v>
      </c>
      <c r="B6538" t="s">
        <v>14064</v>
      </c>
      <c r="C6538" t="s">
        <v>16024</v>
      </c>
      <c r="D6538" t="s">
        <v>16211</v>
      </c>
      <c r="E6538" t="s">
        <v>16217</v>
      </c>
      <c r="F6538" t="s">
        <v>16220</v>
      </c>
      <c r="G6538" t="s">
        <v>16289</v>
      </c>
      <c r="H6538" t="s">
        <v>16289</v>
      </c>
      <c r="I6538" t="s">
        <v>16370</v>
      </c>
      <c r="J6538" t="s">
        <v>16385</v>
      </c>
      <c r="K6538">
        <v>0.092</v>
      </c>
      <c r="L6538">
        <v>4020</v>
      </c>
      <c r="M6538">
        <v>549</v>
      </c>
      <c r="N6538" t="s">
        <v>16393</v>
      </c>
      <c r="O6538" s="4">
        <v>16995</v>
      </c>
      <c r="P6538" s="4">
        <v>0</v>
      </c>
      <c r="Q6538" s="4">
        <v>16995</v>
      </c>
      <c r="R6538" s="4">
        <v>50985</v>
      </c>
      <c r="S6538" t="s">
        <v>22719</v>
      </c>
      <c r="T6538" s="6">
        <v>44931</v>
      </c>
      <c r="U6538" s="4">
        <v>228000</v>
      </c>
      <c r="V6538" t="s">
        <v>23739</v>
      </c>
      <c r="W6538" t="s">
        <v>27327</v>
      </c>
      <c r="X6538" t="s">
        <v>3</v>
      </c>
      <c r="AA6538" s="5" t="str">
        <f>HYPERLINK("https://www.zillow.com/homes/306-W-BURLINGTON-AVE-WESTMONT-IL-60559_rb/","check listing")</f>
        <v>check listing</v>
      </c>
      <c r="AB6538" s="5" t="str">
        <f>HYPERLINK("https://propertylookup.dupagecounty.gov/Datalets/Datalet.aspx?UseSearch=no&amp;mode=sales&amp;pin=0909216020","sales record")</f>
        <v>sales record</v>
      </c>
      <c r="AC6538" t="s">
        <v>27871</v>
      </c>
      <c r="AD6538">
        <v>41.796137</v>
      </c>
      <c r="AE6538">
        <v>-87.98413600000001</v>
      </c>
      <c r="AF6538" s="5" t="str">
        <f>HYPERLINK("https://www.google.com/maps/search/?api=1&amp;query=41.796137,-87.984136","map")</f>
        <v>map</v>
      </c>
    </row>
    <row r="6539" spans="1:32">
      <c r="A6539" t="s">
        <v>6589</v>
      </c>
      <c r="B6539" t="s">
        <v>14053</v>
      </c>
      <c r="C6539" t="s">
        <v>16024</v>
      </c>
      <c r="D6539" t="s">
        <v>16211</v>
      </c>
      <c r="E6539" t="s">
        <v>16217</v>
      </c>
      <c r="F6539" t="s">
        <v>16220</v>
      </c>
      <c r="G6539" t="s">
        <v>16289</v>
      </c>
      <c r="H6539" t="s">
        <v>16289</v>
      </c>
      <c r="I6539" t="s">
        <v>16370</v>
      </c>
      <c r="J6539" t="s">
        <v>16385</v>
      </c>
      <c r="K6539">
        <v>0.092</v>
      </c>
      <c r="L6539">
        <v>4019</v>
      </c>
      <c r="N6539" t="s">
        <v>16393</v>
      </c>
      <c r="O6539" s="4">
        <v>16995</v>
      </c>
      <c r="P6539" s="4">
        <v>0</v>
      </c>
      <c r="Q6539" s="4">
        <v>16995</v>
      </c>
      <c r="R6539" s="4">
        <v>50985</v>
      </c>
      <c r="S6539" t="s">
        <v>22710</v>
      </c>
      <c r="T6539" s="6">
        <v>45771</v>
      </c>
      <c r="U6539" s="4">
        <v>325000</v>
      </c>
      <c r="V6539" t="s">
        <v>23739</v>
      </c>
      <c r="W6539" t="s">
        <v>27320</v>
      </c>
      <c r="X6539" t="s">
        <v>3</v>
      </c>
      <c r="AA6539" s="5" t="str">
        <f>HYPERLINK("https://www.zillow.com/homes/238-W-BURLINGTON-AVE-WESTMONT-IL-60559_rb/","check listing")</f>
        <v>check listing</v>
      </c>
      <c r="AB6539" s="5" t="str">
        <f>HYPERLINK("https://propertylookup.dupagecounty.gov/Datalets/Datalet.aspx?UseSearch=no&amp;mode=sales&amp;pin=0909217016","sales record")</f>
        <v>sales record</v>
      </c>
      <c r="AC6539" t="s">
        <v>27872</v>
      </c>
      <c r="AD6539">
        <v>41.796139</v>
      </c>
      <c r="AE6539">
        <v>-87.983563</v>
      </c>
      <c r="AF6539" s="5" t="str">
        <f>HYPERLINK("https://www.google.com/maps/search/?api=1&amp;query=41.796139,-87.983563","map")</f>
        <v>map</v>
      </c>
    </row>
    <row r="6540" spans="1:32">
      <c r="A6540" t="s">
        <v>6590</v>
      </c>
      <c r="B6540" t="s">
        <v>14065</v>
      </c>
      <c r="C6540" t="s">
        <v>16033</v>
      </c>
      <c r="D6540" t="s">
        <v>16211</v>
      </c>
      <c r="E6540" t="s">
        <v>16217</v>
      </c>
      <c r="F6540" t="s">
        <v>16220</v>
      </c>
      <c r="G6540" t="s">
        <v>16238</v>
      </c>
      <c r="H6540" t="s">
        <v>16238</v>
      </c>
      <c r="I6540" t="s">
        <v>16369</v>
      </c>
      <c r="J6540" t="s">
        <v>16385</v>
      </c>
      <c r="K6540">
        <v>0.074</v>
      </c>
      <c r="L6540">
        <v>3236</v>
      </c>
      <c r="N6540" t="s">
        <v>16393</v>
      </c>
      <c r="O6540" s="4">
        <v>8879</v>
      </c>
      <c r="P6540" s="4">
        <v>0</v>
      </c>
      <c r="Q6540" s="4">
        <v>8879</v>
      </c>
      <c r="R6540" s="4">
        <v>26637</v>
      </c>
      <c r="S6540" t="s">
        <v>22720</v>
      </c>
      <c r="X6540" t="s">
        <v>3</v>
      </c>
      <c r="AA6540" s="5" t="str">
        <f>HYPERLINK("https://www.zillow.com/homes/1-WILLOWCREST-DR-OAK-BROOK-IL-605232625_rb/","check listing")</f>
        <v>check listing</v>
      </c>
      <c r="AB6540" s="5" t="str">
        <f>HYPERLINK("https://propertylookup.dupagecounty.gov/Datalets/Datalet.aspx?UseSearch=no&amp;mode=sales&amp;pin=0634300036","sales record")</f>
        <v>sales record</v>
      </c>
      <c r="AC6540" t="s">
        <v>3</v>
      </c>
      <c r="AD6540">
        <v>41.822875</v>
      </c>
      <c r="AE6540">
        <v>-87.970546</v>
      </c>
      <c r="AF6540" s="5" t="str">
        <f>HYPERLINK("https://www.google.com/maps/search/?api=1&amp;query=41.822875,-87.970546","map")</f>
        <v>map</v>
      </c>
    </row>
    <row r="6541" spans="1:32">
      <c r="A6541" t="s">
        <v>6591</v>
      </c>
      <c r="B6541" t="s">
        <v>14066</v>
      </c>
      <c r="C6541" t="s">
        <v>15426</v>
      </c>
      <c r="D6541" t="s">
        <v>16212</v>
      </c>
      <c r="E6541" t="s">
        <v>16218</v>
      </c>
      <c r="F6541" t="s">
        <v>16222</v>
      </c>
      <c r="G6541" t="s">
        <v>16290</v>
      </c>
      <c r="H6541" t="s">
        <v>16290</v>
      </c>
      <c r="I6541" t="s">
        <v>16371</v>
      </c>
      <c r="J6541" t="s">
        <v>16385</v>
      </c>
      <c r="K6541">
        <v>0.31</v>
      </c>
      <c r="L6541">
        <v>13494</v>
      </c>
      <c r="M6541">
        <v>1779</v>
      </c>
      <c r="N6541" t="s">
        <v>16393</v>
      </c>
      <c r="O6541" s="4">
        <v>39332</v>
      </c>
      <c r="P6541" s="4">
        <v>142422</v>
      </c>
      <c r="Q6541" s="4">
        <v>181754</v>
      </c>
      <c r="R6541" s="4">
        <v>545262</v>
      </c>
      <c r="S6541" t="s">
        <v>22721</v>
      </c>
      <c r="T6541" s="6">
        <v>42401</v>
      </c>
      <c r="U6541" s="4">
        <v>375000</v>
      </c>
      <c r="V6541" t="s">
        <v>23739</v>
      </c>
      <c r="W6541" t="s">
        <v>22721</v>
      </c>
      <c r="X6541" t="s">
        <v>3</v>
      </c>
      <c r="AA6541" s="5" t="str">
        <f>HYPERLINK("https://www.zillow.com/homes/110-W-ROOSEVELT-RD-WHEATON-IL-60187_rb/","check listing")</f>
        <v>check listing</v>
      </c>
      <c r="AB6541" s="5" t="str">
        <f>HYPERLINK("https://propertylookup.dupagecounty.gov/Datalets/Datalet.aspx?UseSearch=no&amp;mode=sales&amp;pin=0521102016","sales record")</f>
        <v>sales record</v>
      </c>
      <c r="AC6541" t="s">
        <v>27873</v>
      </c>
      <c r="AD6541">
        <v>41.858462</v>
      </c>
      <c r="AE6541">
        <v>-88.107111</v>
      </c>
      <c r="AF6541" s="5" t="str">
        <f>HYPERLINK("https://www.google.com/maps/search/?api=1&amp;query=41.858462,-88.107111","map")</f>
        <v>map</v>
      </c>
    </row>
    <row r="6542" spans="1:32">
      <c r="A6542" t="s">
        <v>6592</v>
      </c>
      <c r="B6542" t="s">
        <v>14067</v>
      </c>
      <c r="C6542" t="s">
        <v>15426</v>
      </c>
      <c r="D6542" t="s">
        <v>16212</v>
      </c>
      <c r="E6542" t="s">
        <v>16218</v>
      </c>
      <c r="F6542" t="s">
        <v>16222</v>
      </c>
      <c r="G6542" t="s">
        <v>16291</v>
      </c>
      <c r="H6542" t="s">
        <v>16291</v>
      </c>
      <c r="I6542" t="s">
        <v>16372</v>
      </c>
      <c r="J6542" t="s">
        <v>16385</v>
      </c>
      <c r="K6542">
        <v>0.276</v>
      </c>
      <c r="L6542">
        <v>12023</v>
      </c>
      <c r="M6542">
        <v>478</v>
      </c>
      <c r="N6542" t="s">
        <v>16393</v>
      </c>
      <c r="O6542" s="4">
        <v>36056</v>
      </c>
      <c r="P6542" s="4">
        <v>55180</v>
      </c>
      <c r="Q6542" s="4">
        <v>91236</v>
      </c>
      <c r="R6542" s="4">
        <v>273708</v>
      </c>
      <c r="S6542" t="s">
        <v>22722</v>
      </c>
      <c r="T6542" s="6">
        <v>34700</v>
      </c>
      <c r="U6542" s="4">
        <v>67000</v>
      </c>
      <c r="X6542" t="s">
        <v>3</v>
      </c>
      <c r="AA6542" s="5" t="str">
        <f>HYPERLINK("https://www.zillow.com/homes/224-W-ROOSEVELT-RD-WHEATON-IL-60187_rb/","check listing")</f>
        <v>check listing</v>
      </c>
      <c r="AB6542" s="5" t="str">
        <f>HYPERLINK("https://propertylookup.dupagecounty.gov/Datalets/Datalet.aspx?UseSearch=no&amp;mode=sales&amp;pin=0521101015","sales record")</f>
        <v>sales record</v>
      </c>
      <c r="AC6542" t="s">
        <v>27873</v>
      </c>
      <c r="AD6542">
        <v>41.858393</v>
      </c>
      <c r="AE6542">
        <v>-88.10958599999999</v>
      </c>
      <c r="AF6542" s="5" t="str">
        <f>HYPERLINK("https://www.google.com/maps/search/?api=1&amp;query=41.858393,-88.109586","map")</f>
        <v>map</v>
      </c>
    </row>
    <row r="6543" spans="1:32">
      <c r="A6543" t="s">
        <v>6593</v>
      </c>
      <c r="B6543" t="s">
        <v>14068</v>
      </c>
      <c r="C6543" t="s">
        <v>15426</v>
      </c>
      <c r="D6543" t="s">
        <v>16212</v>
      </c>
      <c r="E6543" t="s">
        <v>16218</v>
      </c>
      <c r="F6543" t="s">
        <v>16222</v>
      </c>
      <c r="G6543" t="s">
        <v>16291</v>
      </c>
      <c r="H6543" t="s">
        <v>16291</v>
      </c>
      <c r="I6543" t="s">
        <v>16372</v>
      </c>
      <c r="J6543" t="s">
        <v>16385</v>
      </c>
      <c r="K6543">
        <v>0.258</v>
      </c>
      <c r="L6543">
        <v>11225</v>
      </c>
      <c r="N6543" t="s">
        <v>16393</v>
      </c>
      <c r="O6543" s="4">
        <v>31861</v>
      </c>
      <c r="P6543" s="4">
        <v>42266</v>
      </c>
      <c r="Q6543" s="4">
        <v>74127</v>
      </c>
      <c r="R6543" s="4">
        <v>222381</v>
      </c>
      <c r="S6543" t="s">
        <v>22723</v>
      </c>
      <c r="T6543" s="6">
        <v>33909</v>
      </c>
      <c r="U6543" s="4">
        <v>96000</v>
      </c>
      <c r="X6543" t="s">
        <v>3</v>
      </c>
      <c r="AA6543" s="5" t="str">
        <f>HYPERLINK("https://www.zillow.com/homes/210-ROOSEVELT-RD-WHEATON-IL-60187_rb/","check listing")</f>
        <v>check listing</v>
      </c>
      <c r="AB6543" s="5" t="str">
        <f>HYPERLINK("https://propertylookup.dupagecounty.gov/Datalets/Datalet.aspx?UseSearch=no&amp;mode=sales&amp;pin=0521101017","sales record")</f>
        <v>sales record</v>
      </c>
      <c r="AC6543" t="s">
        <v>3</v>
      </c>
      <c r="AD6543">
        <v>41.858422</v>
      </c>
      <c r="AE6543">
        <v>-88.1086</v>
      </c>
      <c r="AF6543" s="5" t="str">
        <f>HYPERLINK("https://www.google.com/maps/search/?api=1&amp;query=41.858422,-88.1086","map")</f>
        <v>map</v>
      </c>
    </row>
    <row r="6544" spans="1:32">
      <c r="A6544" t="s">
        <v>6594</v>
      </c>
      <c r="B6544" t="s">
        <v>14069</v>
      </c>
      <c r="C6544" t="s">
        <v>15426</v>
      </c>
      <c r="D6544" t="s">
        <v>16212</v>
      </c>
      <c r="E6544" t="s">
        <v>16218</v>
      </c>
      <c r="F6544" t="s">
        <v>16222</v>
      </c>
      <c r="G6544" t="s">
        <v>16291</v>
      </c>
      <c r="H6544" t="s">
        <v>16291</v>
      </c>
      <c r="I6544" t="s">
        <v>16372</v>
      </c>
      <c r="J6544" t="s">
        <v>16385</v>
      </c>
      <c r="K6544">
        <v>0.258</v>
      </c>
      <c r="L6544">
        <v>11225</v>
      </c>
      <c r="M6544">
        <v>1384</v>
      </c>
      <c r="N6544" t="s">
        <v>16393</v>
      </c>
      <c r="O6544" s="4">
        <v>31827</v>
      </c>
      <c r="P6544" s="4">
        <v>47863</v>
      </c>
      <c r="Q6544" s="4">
        <v>79690</v>
      </c>
      <c r="R6544" s="4">
        <v>239070</v>
      </c>
      <c r="S6544" t="s">
        <v>22724</v>
      </c>
      <c r="T6544" s="6">
        <v>33909</v>
      </c>
      <c r="U6544" s="4">
        <v>83000</v>
      </c>
      <c r="X6544" t="s">
        <v>3</v>
      </c>
      <c r="AA6544" s="5" t="str">
        <f>HYPERLINK("https://www.zillow.com/homes/214-W-ROOSEVELT-RD-WHEATON-IL-60187_rb/","check listing")</f>
        <v>check listing</v>
      </c>
      <c r="AB6544" s="5" t="str">
        <f>HYPERLINK("https://propertylookup.dupagecounty.gov/Datalets/Datalet.aspx?UseSearch=no&amp;mode=sales&amp;pin=0521101016","sales record")</f>
        <v>sales record</v>
      </c>
      <c r="AC6544" t="s">
        <v>3</v>
      </c>
      <c r="AD6544">
        <v>41.858405</v>
      </c>
      <c r="AE6544">
        <v>-88.108842</v>
      </c>
      <c r="AF6544" s="5" t="str">
        <f>HYPERLINK("https://www.google.com/maps/search/?api=1&amp;query=41.858405,-88.108842","map")</f>
        <v>map</v>
      </c>
    </row>
    <row r="6545" spans="1:32">
      <c r="A6545" t="s">
        <v>6595</v>
      </c>
      <c r="B6545" t="s">
        <v>14070</v>
      </c>
      <c r="C6545" t="s">
        <v>16057</v>
      </c>
      <c r="D6545" t="s">
        <v>16212</v>
      </c>
      <c r="E6545" t="s">
        <v>16218</v>
      </c>
      <c r="F6545" t="s">
        <v>16222</v>
      </c>
      <c r="G6545" t="s">
        <v>16290</v>
      </c>
      <c r="H6545" t="s">
        <v>16290</v>
      </c>
      <c r="I6545" t="s">
        <v>16371</v>
      </c>
      <c r="J6545" t="s">
        <v>16385</v>
      </c>
      <c r="K6545">
        <v>0.254</v>
      </c>
      <c r="L6545">
        <v>11063</v>
      </c>
      <c r="M6545">
        <v>2144</v>
      </c>
      <c r="N6545" t="s">
        <v>16393</v>
      </c>
      <c r="O6545" s="4">
        <v>29964</v>
      </c>
      <c r="P6545" s="4">
        <v>162854</v>
      </c>
      <c r="Q6545" s="4">
        <v>192818</v>
      </c>
      <c r="R6545" s="4">
        <v>578454</v>
      </c>
      <c r="S6545" t="s">
        <v>22725</v>
      </c>
      <c r="T6545" s="6">
        <v>44706</v>
      </c>
      <c r="U6545" s="4">
        <v>491000</v>
      </c>
      <c r="V6545" t="s">
        <v>23739</v>
      </c>
      <c r="W6545" t="s">
        <v>27328</v>
      </c>
      <c r="X6545" t="s">
        <v>3</v>
      </c>
      <c r="AA6545" s="5" t="str">
        <f>HYPERLINK("https://www.zillow.com/homes/507-E-ROOSEVELT-RD-WHEATON-IL-601871906_rb/","check listing")</f>
        <v>check listing</v>
      </c>
      <c r="AB6545" s="5" t="str">
        <f>HYPERLINK("https://propertylookup.dupagecounty.gov/Datalets/Datalet.aspx?UseSearch=no&amp;mode=sales&amp;pin=0516422024","sales record")</f>
        <v>sales record</v>
      </c>
      <c r="AC6545" t="s">
        <v>3</v>
      </c>
      <c r="AD6545">
        <v>41.859225</v>
      </c>
      <c r="AE6545">
        <v>-88.099165</v>
      </c>
      <c r="AF6545" s="5" t="str">
        <f>HYPERLINK("https://www.google.com/maps/search/?api=1&amp;query=41.859225,-88.099165","map")</f>
        <v>map</v>
      </c>
    </row>
    <row r="6546" spans="1:32">
      <c r="A6546" t="s">
        <v>6596</v>
      </c>
      <c r="B6546" t="s">
        <v>14071</v>
      </c>
      <c r="C6546" t="s">
        <v>15426</v>
      </c>
      <c r="D6546" t="s">
        <v>16212</v>
      </c>
      <c r="E6546" t="s">
        <v>16218</v>
      </c>
      <c r="F6546" t="s">
        <v>16222</v>
      </c>
      <c r="G6546" t="s">
        <v>16290</v>
      </c>
      <c r="H6546" t="s">
        <v>16290</v>
      </c>
      <c r="I6546" t="s">
        <v>16371</v>
      </c>
      <c r="J6546" t="s">
        <v>16385</v>
      </c>
      <c r="K6546">
        <v>0.252</v>
      </c>
      <c r="L6546">
        <v>10970</v>
      </c>
      <c r="M6546">
        <v>1848</v>
      </c>
      <c r="N6546" t="s">
        <v>16393</v>
      </c>
      <c r="O6546" s="4">
        <v>29847</v>
      </c>
      <c r="P6546" s="4">
        <v>108570</v>
      </c>
      <c r="Q6546" s="4">
        <v>138417</v>
      </c>
      <c r="R6546" s="4">
        <v>415251</v>
      </c>
      <c r="S6546" t="s">
        <v>22726</v>
      </c>
      <c r="T6546" s="6">
        <v>45287</v>
      </c>
      <c r="U6546" s="4">
        <v>379000</v>
      </c>
      <c r="V6546" t="s">
        <v>23739</v>
      </c>
      <c r="W6546" t="s">
        <v>27329</v>
      </c>
      <c r="X6546" t="s">
        <v>3</v>
      </c>
      <c r="AA6546" s="5" t="str">
        <f>HYPERLINK("https://www.zillow.com/homes/505-E-ROOSEVELT-RD-WHEATON-IL-60187_rb/","check listing")</f>
        <v>check listing</v>
      </c>
      <c r="AB6546" s="5" t="str">
        <f>HYPERLINK("https://propertylookup.dupagecounty.gov/Datalets/Datalet.aspx?UseSearch=no&amp;mode=sales&amp;pin=0516422022","sales record")</f>
        <v>sales record</v>
      </c>
      <c r="AC6546" t="s">
        <v>3</v>
      </c>
      <c r="AD6546">
        <v>41.859223</v>
      </c>
      <c r="AE6546">
        <v>-88.099407</v>
      </c>
      <c r="AF6546" s="5" t="str">
        <f>HYPERLINK("https://www.google.com/maps/search/?api=1&amp;query=41.859223,-88.099407","map")</f>
        <v>map</v>
      </c>
    </row>
    <row r="6547" spans="1:32">
      <c r="A6547" t="s">
        <v>6597</v>
      </c>
      <c r="B6547" t="s">
        <v>14072</v>
      </c>
      <c r="C6547" t="s">
        <v>15426</v>
      </c>
      <c r="D6547" t="s">
        <v>16212</v>
      </c>
      <c r="E6547" t="s">
        <v>16218</v>
      </c>
      <c r="F6547" t="s">
        <v>16222</v>
      </c>
      <c r="G6547" t="s">
        <v>16290</v>
      </c>
      <c r="H6547" t="s">
        <v>16290</v>
      </c>
      <c r="I6547" t="s">
        <v>16371</v>
      </c>
      <c r="J6547" t="s">
        <v>16385</v>
      </c>
      <c r="K6547">
        <v>0.25</v>
      </c>
      <c r="L6547">
        <v>10876</v>
      </c>
      <c r="M6547">
        <v>2869</v>
      </c>
      <c r="N6547" t="s">
        <v>16393</v>
      </c>
      <c r="O6547" s="4">
        <v>29681</v>
      </c>
      <c r="P6547" s="4">
        <v>137014</v>
      </c>
      <c r="Q6547" s="4">
        <v>166695</v>
      </c>
      <c r="R6547" s="4">
        <v>500085</v>
      </c>
      <c r="S6547" t="s">
        <v>22727</v>
      </c>
      <c r="T6547" s="6">
        <v>42705</v>
      </c>
      <c r="U6547" s="4">
        <v>336500</v>
      </c>
      <c r="V6547" t="s">
        <v>16232</v>
      </c>
      <c r="W6547" t="s">
        <v>27330</v>
      </c>
      <c r="X6547" t="s">
        <v>3</v>
      </c>
      <c r="AA6547" s="5" t="str">
        <f>HYPERLINK("https://www.zillow.com/homes/631-S-HALE-ST-WHEATON-IL-60187_rb/","check listing")</f>
        <v>check listing</v>
      </c>
      <c r="AB6547" s="5" t="str">
        <f>HYPERLINK("https://propertylookup.dupagecounty.gov/Datalets/Datalet.aspx?UseSearch=no&amp;mode=sales&amp;pin=0516337019","sales record")</f>
        <v>sales record</v>
      </c>
      <c r="AC6547" t="s">
        <v>3</v>
      </c>
      <c r="AD6547">
        <v>41.85896</v>
      </c>
      <c r="AE6547">
        <v>-88.107719</v>
      </c>
      <c r="AF6547" s="5" t="str">
        <f>HYPERLINK("https://www.google.com/maps/search/?api=1&amp;query=41.85896,-88.107719","map")</f>
        <v>map</v>
      </c>
    </row>
    <row r="6548" spans="1:32">
      <c r="A6548" t="s">
        <v>6598</v>
      </c>
      <c r="B6548" t="s">
        <v>14073</v>
      </c>
      <c r="C6548" t="s">
        <v>16058</v>
      </c>
      <c r="D6548" t="s">
        <v>16212</v>
      </c>
      <c r="E6548" t="s">
        <v>16218</v>
      </c>
      <c r="F6548" t="s">
        <v>16222</v>
      </c>
      <c r="G6548" t="s">
        <v>16290</v>
      </c>
      <c r="H6548" t="s">
        <v>16290</v>
      </c>
      <c r="I6548" t="s">
        <v>16371</v>
      </c>
      <c r="J6548" t="s">
        <v>16385</v>
      </c>
      <c r="K6548">
        <v>0.249</v>
      </c>
      <c r="L6548">
        <v>10833</v>
      </c>
      <c r="M6548">
        <v>1286</v>
      </c>
      <c r="N6548" t="s">
        <v>16393</v>
      </c>
      <c r="O6548" s="4">
        <v>29635</v>
      </c>
      <c r="P6548" s="4">
        <v>64242</v>
      </c>
      <c r="Q6548" s="4">
        <v>93877</v>
      </c>
      <c r="R6548" s="4">
        <v>281631</v>
      </c>
      <c r="S6548" t="s">
        <v>22728</v>
      </c>
      <c r="T6548" s="6">
        <v>43160</v>
      </c>
      <c r="U6548" s="4">
        <v>170000</v>
      </c>
      <c r="V6548" t="s">
        <v>23739</v>
      </c>
      <c r="W6548" t="s">
        <v>22728</v>
      </c>
      <c r="X6548" t="s">
        <v>3</v>
      </c>
      <c r="AA6548" s="5" t="str">
        <f>HYPERLINK("https://www.zillow.com/homes/431-E-ROOSEVELT-RD-WHEATON-IL-601875564_rb/","check listing")</f>
        <v>check listing</v>
      </c>
      <c r="AB6548" s="5" t="str">
        <f>HYPERLINK("https://propertylookup.dupagecounty.gov/Datalets/Datalet.aspx?UseSearch=no&amp;mode=sales&amp;pin=0516422023","sales record")</f>
        <v>sales record</v>
      </c>
      <c r="AC6548" t="s">
        <v>3</v>
      </c>
      <c r="AD6548">
        <v>41.859223</v>
      </c>
      <c r="AE6548">
        <v>-88.099649</v>
      </c>
      <c r="AF6548" s="5" t="str">
        <f>HYPERLINK("https://www.google.com/maps/search/?api=1&amp;query=41.859223,-88.099649","map")</f>
        <v>map</v>
      </c>
    </row>
    <row r="6549" spans="1:32">
      <c r="A6549" t="s">
        <v>6599</v>
      </c>
      <c r="B6549" t="s">
        <v>14074</v>
      </c>
      <c r="C6549" t="s">
        <v>15426</v>
      </c>
      <c r="D6549" t="s">
        <v>16212</v>
      </c>
      <c r="E6549" t="s">
        <v>16218</v>
      </c>
      <c r="F6549" t="s">
        <v>16222</v>
      </c>
      <c r="G6549" t="s">
        <v>16290</v>
      </c>
      <c r="H6549" t="s">
        <v>16290</v>
      </c>
      <c r="I6549" t="s">
        <v>16371</v>
      </c>
      <c r="J6549" t="s">
        <v>16385</v>
      </c>
      <c r="K6549">
        <v>0.247</v>
      </c>
      <c r="L6549">
        <v>10768</v>
      </c>
      <c r="M6549">
        <v>469</v>
      </c>
      <c r="N6549" t="s">
        <v>16393</v>
      </c>
      <c r="O6549" s="4">
        <v>29588</v>
      </c>
      <c r="P6549" s="4">
        <v>64029</v>
      </c>
      <c r="Q6549" s="4">
        <v>93617</v>
      </c>
      <c r="R6549" s="4">
        <v>280851</v>
      </c>
      <c r="S6549" t="s">
        <v>22729</v>
      </c>
      <c r="T6549" s="6">
        <v>37742</v>
      </c>
      <c r="U6549" s="4">
        <v>170000</v>
      </c>
      <c r="V6549" t="s">
        <v>23739</v>
      </c>
      <c r="W6549" t="s">
        <v>27331</v>
      </c>
      <c r="X6549" t="s">
        <v>3</v>
      </c>
      <c r="AA6549" s="5" t="str">
        <f>HYPERLINK("https://www.zillow.com/homes/427-E-ROOSEVELT-RD-WHEATON-IL-60187_rb/","check listing")</f>
        <v>check listing</v>
      </c>
      <c r="AB6549" s="5" t="str">
        <f>HYPERLINK("https://propertylookup.dupagecounty.gov/Datalets/Datalet.aspx?UseSearch=no&amp;mode=sales&amp;pin=0516422014","sales record")</f>
        <v>sales record</v>
      </c>
      <c r="AC6549" t="s">
        <v>27873</v>
      </c>
      <c r="AD6549">
        <v>41.859222</v>
      </c>
      <c r="AE6549">
        <v>-88.099891</v>
      </c>
      <c r="AF6549" s="5" t="str">
        <f>HYPERLINK("https://www.google.com/maps/search/?api=1&amp;query=41.859222,-88.099891","map")</f>
        <v>map</v>
      </c>
    </row>
    <row r="6550" spans="1:32">
      <c r="A6550" t="s">
        <v>6600</v>
      </c>
      <c r="B6550" t="s">
        <v>14075</v>
      </c>
      <c r="C6550" t="s">
        <v>16059</v>
      </c>
      <c r="D6550" t="s">
        <v>16212</v>
      </c>
      <c r="E6550" t="s">
        <v>16218</v>
      </c>
      <c r="F6550" t="s">
        <v>16222</v>
      </c>
      <c r="G6550" t="s">
        <v>16291</v>
      </c>
      <c r="H6550" t="s">
        <v>16291</v>
      </c>
      <c r="I6550" t="s">
        <v>16372</v>
      </c>
      <c r="J6550" t="s">
        <v>16385</v>
      </c>
      <c r="K6550">
        <v>0.242</v>
      </c>
      <c r="L6550">
        <v>10561</v>
      </c>
      <c r="M6550">
        <v>2737</v>
      </c>
      <c r="N6550" t="s">
        <v>16393</v>
      </c>
      <c r="O6550" s="4">
        <v>30601</v>
      </c>
      <c r="P6550" s="4">
        <v>54979</v>
      </c>
      <c r="Q6550" s="4">
        <v>85580</v>
      </c>
      <c r="R6550" s="4">
        <v>256740</v>
      </c>
      <c r="S6550" t="s">
        <v>22730</v>
      </c>
      <c r="T6550" s="6">
        <v>35947</v>
      </c>
      <c r="U6550" s="4">
        <v>126900</v>
      </c>
      <c r="X6550" t="s">
        <v>3</v>
      </c>
      <c r="AA6550" s="5" t="str">
        <f>HYPERLINK("https://www.zillow.com/homes/218-W-ROOSEVELT-RD-WHEATON-IL-601875246_rb/","check listing")</f>
        <v>check listing</v>
      </c>
      <c r="AB6550" s="5" t="str">
        <f>HYPERLINK("https://propertylookup.dupagecounty.gov/Datalets/Datalet.aspx?UseSearch=no&amp;mode=sales&amp;pin=0521101014","sales record")</f>
        <v>sales record</v>
      </c>
      <c r="AC6550" t="s">
        <v>3</v>
      </c>
      <c r="AD6550">
        <v>41.858401</v>
      </c>
      <c r="AE6550">
        <v>-88.109084</v>
      </c>
      <c r="AF6550" s="5" t="str">
        <f>HYPERLINK("https://www.google.com/maps/search/?api=1&amp;query=41.858401,-88.109084","map")</f>
        <v>map</v>
      </c>
    </row>
    <row r="6551" spans="1:32">
      <c r="A6551" t="s">
        <v>6601</v>
      </c>
      <c r="B6551" t="s">
        <v>14076</v>
      </c>
      <c r="C6551" t="s">
        <v>15426</v>
      </c>
      <c r="D6551" t="s">
        <v>16212</v>
      </c>
      <c r="E6551" t="s">
        <v>16218</v>
      </c>
      <c r="F6551" t="s">
        <v>16222</v>
      </c>
      <c r="G6551" t="s">
        <v>16291</v>
      </c>
      <c r="H6551" t="s">
        <v>16291</v>
      </c>
      <c r="I6551" t="s">
        <v>16372</v>
      </c>
      <c r="J6551" t="s">
        <v>16385</v>
      </c>
      <c r="K6551">
        <v>0.234</v>
      </c>
      <c r="L6551">
        <v>10202</v>
      </c>
      <c r="M6551">
        <v>1583</v>
      </c>
      <c r="N6551" t="s">
        <v>16393</v>
      </c>
      <c r="O6551" s="4">
        <v>29010</v>
      </c>
      <c r="P6551" s="4">
        <v>90942</v>
      </c>
      <c r="Q6551" s="4">
        <v>119952</v>
      </c>
      <c r="R6551" s="4">
        <v>359856</v>
      </c>
      <c r="S6551" t="s">
        <v>22731</v>
      </c>
      <c r="T6551" s="6">
        <v>41030</v>
      </c>
      <c r="U6551" s="4">
        <v>136000</v>
      </c>
      <c r="V6551" t="s">
        <v>16232</v>
      </c>
      <c r="W6551" t="s">
        <v>22731</v>
      </c>
      <c r="X6551" t="s">
        <v>3</v>
      </c>
      <c r="AA6551" s="5" t="str">
        <f>HYPERLINK("https://www.zillow.com/homes/204-W-ROOSEVELT-RD-WHEATON-IL-60187_rb/","check listing")</f>
        <v>check listing</v>
      </c>
      <c r="AB6551" s="5" t="str">
        <f>HYPERLINK("https://propertylookup.dupagecounty.gov/Datalets/Datalet.aspx?UseSearch=no&amp;mode=sales&amp;pin=0521101018","sales record")</f>
        <v>sales record</v>
      </c>
      <c r="AC6551" t="s">
        <v>3</v>
      </c>
      <c r="AD6551">
        <v>41.858426</v>
      </c>
      <c r="AE6551">
        <v>-88.108369</v>
      </c>
      <c r="AF6551" s="5" t="str">
        <f>HYPERLINK("https://www.google.com/maps/search/?api=1&amp;query=41.858426,-88.108369","map")</f>
        <v>map</v>
      </c>
    </row>
    <row r="6552" spans="1:32">
      <c r="A6552" t="s">
        <v>6602</v>
      </c>
      <c r="B6552" t="s">
        <v>14077</v>
      </c>
      <c r="C6552" t="s">
        <v>16060</v>
      </c>
      <c r="D6552" t="s">
        <v>16212</v>
      </c>
      <c r="E6552" t="s">
        <v>16218</v>
      </c>
      <c r="F6552" t="s">
        <v>16222</v>
      </c>
      <c r="G6552" t="s">
        <v>16292</v>
      </c>
      <c r="H6552" t="s">
        <v>16292</v>
      </c>
      <c r="I6552" t="s">
        <v>16373</v>
      </c>
      <c r="J6552" t="s">
        <v>16385</v>
      </c>
      <c r="K6552">
        <v>0.22</v>
      </c>
      <c r="L6552">
        <v>9565</v>
      </c>
      <c r="M6552">
        <v>1971</v>
      </c>
      <c r="N6552" t="s">
        <v>16393</v>
      </c>
      <c r="O6552" s="4">
        <v>37152</v>
      </c>
      <c r="P6552" s="4">
        <v>91472</v>
      </c>
      <c r="Q6552" s="4">
        <v>128624</v>
      </c>
      <c r="R6552" s="4">
        <v>385872</v>
      </c>
      <c r="S6552" t="s">
        <v>22732</v>
      </c>
      <c r="T6552" s="6">
        <v>31168</v>
      </c>
      <c r="U6552" s="4">
        <v>70000</v>
      </c>
      <c r="X6552" t="s">
        <v>3</v>
      </c>
      <c r="AA6552" s="5" t="str">
        <f>HYPERLINK("https://www.zillow.com/homes/107-W-INDIANA-ST-WHEATON-IL-601875203_rb/","check listing")</f>
        <v>check listing</v>
      </c>
      <c r="AB6552" s="5" t="str">
        <f>HYPERLINK("https://propertylookup.dupagecounty.gov/Datalets/Datalet.aspx?UseSearch=no&amp;mode=sales&amp;pin=0516329018","sales record")</f>
        <v>sales record</v>
      </c>
      <c r="AC6552" t="s">
        <v>3</v>
      </c>
      <c r="AD6552">
        <v>41.861352</v>
      </c>
      <c r="AE6552">
        <v>-88.10708200000001</v>
      </c>
      <c r="AF6552" s="5" t="str">
        <f>HYPERLINK("https://www.google.com/maps/search/?api=1&amp;query=41.861352,-88.107082","map")</f>
        <v>map</v>
      </c>
    </row>
    <row r="6553" spans="1:32">
      <c r="A6553" t="s">
        <v>6603</v>
      </c>
      <c r="B6553" t="s">
        <v>14078</v>
      </c>
      <c r="C6553" t="s">
        <v>15426</v>
      </c>
      <c r="D6553" t="s">
        <v>16212</v>
      </c>
      <c r="E6553" t="s">
        <v>16218</v>
      </c>
      <c r="F6553" t="s">
        <v>16222</v>
      </c>
      <c r="G6553" t="s">
        <v>16291</v>
      </c>
      <c r="H6553" t="s">
        <v>16291</v>
      </c>
      <c r="I6553" t="s">
        <v>16372</v>
      </c>
      <c r="J6553" t="s">
        <v>16385</v>
      </c>
      <c r="K6553">
        <v>0.219</v>
      </c>
      <c r="L6553">
        <v>9522</v>
      </c>
      <c r="M6553">
        <v>1649</v>
      </c>
      <c r="N6553" t="s">
        <v>16393</v>
      </c>
      <c r="O6553" s="4">
        <v>27796</v>
      </c>
      <c r="P6553" s="4">
        <v>136259</v>
      </c>
      <c r="Q6553" s="4">
        <v>164055</v>
      </c>
      <c r="R6553" s="4">
        <v>492165</v>
      </c>
      <c r="S6553" t="s">
        <v>22733</v>
      </c>
      <c r="T6553" s="6">
        <v>41306</v>
      </c>
      <c r="U6553" s="4">
        <v>358800</v>
      </c>
      <c r="V6553" t="s">
        <v>23739</v>
      </c>
      <c r="W6553" t="s">
        <v>27332</v>
      </c>
      <c r="X6553" t="s">
        <v>3</v>
      </c>
      <c r="AA6553" s="5" t="str">
        <f>HYPERLINK("https://www.zillow.com/homes/625-S-WHEATON-AVE-WHEATON-IL-60187_rb/","check listing")</f>
        <v>check listing</v>
      </c>
      <c r="AB6553" s="5" t="str">
        <f>HYPERLINK("https://propertylookup.dupagecounty.gov/Datalets/Datalet.aspx?UseSearch=no&amp;mode=sales&amp;pin=0516336019","sales record")</f>
        <v>sales record</v>
      </c>
      <c r="AC6553" t="s">
        <v>3</v>
      </c>
      <c r="AD6553">
        <v>41.858958</v>
      </c>
      <c r="AE6553">
        <v>-88.10956</v>
      </c>
      <c r="AF6553" s="5" t="str">
        <f>HYPERLINK("https://www.google.com/maps/search/?api=1&amp;query=41.858958,-88.10956","map")</f>
        <v>map</v>
      </c>
    </row>
    <row r="6554" spans="1:32">
      <c r="A6554" t="s">
        <v>6604</v>
      </c>
      <c r="B6554" t="s">
        <v>14079</v>
      </c>
      <c r="C6554" t="s">
        <v>16061</v>
      </c>
      <c r="D6554" t="s">
        <v>16212</v>
      </c>
      <c r="E6554" t="s">
        <v>16218</v>
      </c>
      <c r="F6554" t="s">
        <v>16222</v>
      </c>
      <c r="G6554" t="s">
        <v>16290</v>
      </c>
      <c r="H6554" t="s">
        <v>16290</v>
      </c>
      <c r="I6554" t="s">
        <v>16371</v>
      </c>
      <c r="J6554" t="s">
        <v>16385</v>
      </c>
      <c r="K6554">
        <v>0.215</v>
      </c>
      <c r="L6554">
        <v>9372</v>
      </c>
      <c r="M6554">
        <v>1132</v>
      </c>
      <c r="N6554" t="s">
        <v>16393</v>
      </c>
      <c r="O6554" s="4">
        <v>28256</v>
      </c>
      <c r="P6554" s="4">
        <v>56794</v>
      </c>
      <c r="Q6554" s="4">
        <v>85050</v>
      </c>
      <c r="R6554" s="4">
        <v>255150</v>
      </c>
      <c r="S6554" t="s">
        <v>22734</v>
      </c>
      <c r="T6554" s="6">
        <v>43647</v>
      </c>
      <c r="U6554" s="4">
        <v>161000</v>
      </c>
      <c r="V6554" t="s">
        <v>23739</v>
      </c>
      <c r="W6554" t="s">
        <v>27333</v>
      </c>
      <c r="X6554" t="s">
        <v>3</v>
      </c>
      <c r="AA6554" s="5" t="str">
        <f>HYPERLINK("https://www.zillow.com/homes/106-W-ROOSEVELT-RD-WHEATON-IL-601875244_rb/","check listing")</f>
        <v>check listing</v>
      </c>
      <c r="AB6554" s="5" t="str">
        <f>HYPERLINK("https://propertylookup.dupagecounty.gov/Datalets/Datalet.aspx?UseSearch=no&amp;mode=sales&amp;pin=0521102005","sales record")</f>
        <v>sales record</v>
      </c>
      <c r="AC6554" t="s">
        <v>3</v>
      </c>
      <c r="AD6554">
        <v>41.858466</v>
      </c>
      <c r="AE6554">
        <v>-88.10681599999999</v>
      </c>
      <c r="AF6554" s="5" t="str">
        <f>HYPERLINK("https://www.google.com/maps/search/?api=1&amp;query=41.858466,-88.106816","map")</f>
        <v>map</v>
      </c>
    </row>
    <row r="6555" spans="1:32">
      <c r="A6555" t="s">
        <v>6605</v>
      </c>
      <c r="B6555" t="s">
        <v>14080</v>
      </c>
      <c r="C6555" t="s">
        <v>16061</v>
      </c>
      <c r="D6555" t="s">
        <v>16212</v>
      </c>
      <c r="E6555" t="s">
        <v>16218</v>
      </c>
      <c r="F6555" t="s">
        <v>16222</v>
      </c>
      <c r="G6555" t="s">
        <v>16290</v>
      </c>
      <c r="H6555" t="s">
        <v>16290</v>
      </c>
      <c r="I6555" t="s">
        <v>16371</v>
      </c>
      <c r="J6555" t="s">
        <v>16385</v>
      </c>
      <c r="K6555">
        <v>0.215</v>
      </c>
      <c r="L6555">
        <v>9346</v>
      </c>
      <c r="M6555">
        <v>1253</v>
      </c>
      <c r="N6555" t="s">
        <v>16393</v>
      </c>
      <c r="O6555" s="4">
        <v>27997</v>
      </c>
      <c r="P6555" s="4">
        <v>68048</v>
      </c>
      <c r="Q6555" s="4">
        <v>96045</v>
      </c>
      <c r="R6555" s="4">
        <v>288135</v>
      </c>
      <c r="S6555" t="s">
        <v>22735</v>
      </c>
      <c r="T6555" s="6">
        <v>44105</v>
      </c>
      <c r="U6555" s="4">
        <v>217500</v>
      </c>
      <c r="V6555" t="s">
        <v>23739</v>
      </c>
      <c r="W6555" t="s">
        <v>22735</v>
      </c>
      <c r="X6555" t="s">
        <v>3</v>
      </c>
      <c r="AA6555" s="5" t="str">
        <f>HYPERLINK("https://www.zillow.com/homes/126-W-ROOSEVELT-RD-WHEATON-IL-601875244_rb/","check listing")</f>
        <v>check listing</v>
      </c>
      <c r="AB6555" s="5" t="str">
        <f>HYPERLINK("https://propertylookup.dupagecounty.gov/Datalets/Datalet.aspx?UseSearch=no&amp;mode=sales&amp;pin=0521102021","sales record")</f>
        <v>sales record</v>
      </c>
      <c r="AC6555" t="s">
        <v>3</v>
      </c>
      <c r="AD6555">
        <v>41.858453</v>
      </c>
      <c r="AE6555">
        <v>-88.107675</v>
      </c>
      <c r="AF6555" s="5" t="str">
        <f>HYPERLINK("https://www.google.com/maps/search/?api=1&amp;query=41.858453,-88.107675","map")</f>
        <v>map</v>
      </c>
    </row>
    <row r="6556" spans="1:32">
      <c r="A6556" t="s">
        <v>6606</v>
      </c>
      <c r="B6556" t="s">
        <v>14081</v>
      </c>
      <c r="C6556" t="s">
        <v>15426</v>
      </c>
      <c r="D6556" t="s">
        <v>16212</v>
      </c>
      <c r="E6556" t="s">
        <v>16218</v>
      </c>
      <c r="F6556" t="s">
        <v>16222</v>
      </c>
      <c r="G6556" t="s">
        <v>16290</v>
      </c>
      <c r="H6556" t="s">
        <v>16290</v>
      </c>
      <c r="I6556" t="s">
        <v>16371</v>
      </c>
      <c r="J6556" t="s">
        <v>16385</v>
      </c>
      <c r="K6556">
        <v>0.202</v>
      </c>
      <c r="L6556">
        <v>8811</v>
      </c>
      <c r="M6556">
        <v>1386</v>
      </c>
      <c r="N6556" t="s">
        <v>16393</v>
      </c>
      <c r="O6556" s="4">
        <v>26476</v>
      </c>
      <c r="P6556" s="4">
        <v>56394</v>
      </c>
      <c r="Q6556" s="4">
        <v>82870</v>
      </c>
      <c r="R6556" s="4">
        <v>248610</v>
      </c>
      <c r="S6556" t="s">
        <v>22736</v>
      </c>
      <c r="T6556" s="6">
        <v>38443</v>
      </c>
      <c r="U6556" s="4">
        <v>208000</v>
      </c>
      <c r="V6556" t="s">
        <v>23740</v>
      </c>
      <c r="W6556" t="s">
        <v>27334</v>
      </c>
      <c r="X6556" t="s">
        <v>3</v>
      </c>
      <c r="AA6556" s="5" t="str">
        <f>HYPERLINK("https://www.zillow.com/homes/128-W-ROOSEVELT-RD-WHEATON-IL-60187_rb/","check listing")</f>
        <v>check listing</v>
      </c>
      <c r="AB6556" s="5" t="str">
        <f>HYPERLINK("https://propertylookup.dupagecounty.gov/Datalets/Datalet.aspx?UseSearch=no&amp;mode=sales&amp;pin=0521102022","sales record")</f>
        <v>sales record</v>
      </c>
      <c r="AC6556" t="s">
        <v>3</v>
      </c>
      <c r="AD6556">
        <v>41.85845</v>
      </c>
      <c r="AE6556">
        <v>-88.10790299999999</v>
      </c>
      <c r="AF6556" s="5" t="str">
        <f>HYPERLINK("https://www.google.com/maps/search/?api=1&amp;query=41.85845,-88.107903","map")</f>
        <v>map</v>
      </c>
    </row>
    <row r="6557" spans="1:32">
      <c r="A6557" t="s">
        <v>6607</v>
      </c>
      <c r="B6557" t="s">
        <v>14082</v>
      </c>
      <c r="C6557" t="s">
        <v>15426</v>
      </c>
      <c r="D6557" t="s">
        <v>16212</v>
      </c>
      <c r="E6557" t="s">
        <v>16218</v>
      </c>
      <c r="F6557" t="s">
        <v>16222</v>
      </c>
      <c r="G6557" t="s">
        <v>16291</v>
      </c>
      <c r="H6557" t="s">
        <v>16291</v>
      </c>
      <c r="I6557" t="s">
        <v>16372</v>
      </c>
      <c r="J6557" t="s">
        <v>16385</v>
      </c>
      <c r="K6557">
        <v>0.199</v>
      </c>
      <c r="L6557">
        <v>8682</v>
      </c>
      <c r="M6557">
        <v>577</v>
      </c>
      <c r="N6557" t="s">
        <v>16393</v>
      </c>
      <c r="O6557" s="4">
        <v>26135</v>
      </c>
      <c r="P6557" s="4">
        <v>90495</v>
      </c>
      <c r="Q6557" s="4">
        <v>116630</v>
      </c>
      <c r="R6557" s="4">
        <v>349890</v>
      </c>
      <c r="S6557" t="s">
        <v>22737</v>
      </c>
      <c r="T6557" s="6">
        <v>44013</v>
      </c>
      <c r="U6557" s="4">
        <v>236000</v>
      </c>
      <c r="V6557" t="s">
        <v>23739</v>
      </c>
      <c r="W6557" t="s">
        <v>27335</v>
      </c>
      <c r="X6557" t="s">
        <v>3</v>
      </c>
      <c r="AA6557" s="5" t="str">
        <f>HYPERLINK("https://www.zillow.com/homes/421-W-ROOSEVELT-RD-WHEATON-IL-60187_rb/","check listing")</f>
        <v>check listing</v>
      </c>
      <c r="AB6557" s="5" t="str">
        <f>HYPERLINK("https://propertylookup.dupagecounty.gov/Datalets/Datalet.aspx?UseSearch=no&amp;mode=sales&amp;pin=0517420023","sales record")</f>
        <v>sales record</v>
      </c>
      <c r="AC6557" t="s">
        <v>3</v>
      </c>
      <c r="AD6557">
        <v>41.858971</v>
      </c>
      <c r="AE6557">
        <v>-88.11279</v>
      </c>
      <c r="AF6557" s="5" t="str">
        <f>HYPERLINK("https://www.google.com/maps/search/?api=1&amp;query=41.858971,-88.11279","map")</f>
        <v>map</v>
      </c>
    </row>
    <row r="6558" spans="1:32">
      <c r="A6558" t="s">
        <v>6608</v>
      </c>
      <c r="B6558" t="s">
        <v>14083</v>
      </c>
      <c r="C6558" t="s">
        <v>15426</v>
      </c>
      <c r="D6558" t="s">
        <v>16212</v>
      </c>
      <c r="E6558" t="s">
        <v>16218</v>
      </c>
      <c r="F6558" t="s">
        <v>16222</v>
      </c>
      <c r="G6558" t="s">
        <v>16292</v>
      </c>
      <c r="H6558" t="s">
        <v>16292</v>
      </c>
      <c r="I6558" t="s">
        <v>16373</v>
      </c>
      <c r="J6558" t="s">
        <v>16385</v>
      </c>
      <c r="K6558">
        <v>0.178</v>
      </c>
      <c r="L6558">
        <v>7771</v>
      </c>
      <c r="M6558">
        <v>1842</v>
      </c>
      <c r="N6558" t="s">
        <v>16393</v>
      </c>
      <c r="O6558" s="4">
        <v>31154</v>
      </c>
      <c r="P6558" s="4">
        <v>78947</v>
      </c>
      <c r="Q6558" s="4">
        <v>110101</v>
      </c>
      <c r="R6558" s="4">
        <v>330303</v>
      </c>
      <c r="S6558" t="s">
        <v>22738</v>
      </c>
      <c r="T6558" s="6">
        <v>34121</v>
      </c>
      <c r="U6558" s="4">
        <v>128000</v>
      </c>
      <c r="X6558" t="s">
        <v>3</v>
      </c>
      <c r="AA6558" s="5" t="str">
        <f>HYPERLINK("https://www.zillow.com/homes/315-S-HALE-ST-WHEATON-IL-60187_rb/","check listing")</f>
        <v>check listing</v>
      </c>
      <c r="AB6558" s="5" t="str">
        <f>HYPERLINK("https://propertylookup.dupagecounty.gov/Datalets/Datalet.aspx?UseSearch=no&amp;mode=sales&amp;pin=0516323010","sales record")</f>
        <v>sales record</v>
      </c>
      <c r="AC6558" t="s">
        <v>3</v>
      </c>
      <c r="AD6558">
        <v>41.862576</v>
      </c>
      <c r="AE6558">
        <v>-88.107707</v>
      </c>
      <c r="AF6558" s="5" t="str">
        <f>HYPERLINK("https://www.google.com/maps/search/?api=1&amp;query=41.862576,-88.107707","map")</f>
        <v>map</v>
      </c>
    </row>
    <row r="6559" spans="1:32">
      <c r="A6559" t="s">
        <v>6609</v>
      </c>
      <c r="B6559" t="s">
        <v>14084</v>
      </c>
      <c r="C6559" t="s">
        <v>16062</v>
      </c>
      <c r="D6559" t="s">
        <v>16212</v>
      </c>
      <c r="E6559" t="s">
        <v>16218</v>
      </c>
      <c r="F6559" t="s">
        <v>16222</v>
      </c>
      <c r="G6559" t="s">
        <v>16292</v>
      </c>
      <c r="H6559" t="s">
        <v>16292</v>
      </c>
      <c r="I6559" t="s">
        <v>16373</v>
      </c>
      <c r="J6559" t="s">
        <v>16385</v>
      </c>
      <c r="K6559">
        <v>0.178</v>
      </c>
      <c r="L6559">
        <v>7748</v>
      </c>
      <c r="M6559">
        <v>1979</v>
      </c>
      <c r="N6559" t="s">
        <v>16393</v>
      </c>
      <c r="O6559" s="4">
        <v>31072</v>
      </c>
      <c r="P6559" s="4">
        <v>94301</v>
      </c>
      <c r="Q6559" s="4">
        <v>125373</v>
      </c>
      <c r="R6559" s="4">
        <v>376119</v>
      </c>
      <c r="S6559" t="s">
        <v>22739</v>
      </c>
      <c r="T6559" s="6">
        <v>37712</v>
      </c>
      <c r="U6559" s="4">
        <v>260000</v>
      </c>
      <c r="V6559" t="s">
        <v>23739</v>
      </c>
      <c r="W6559" t="s">
        <v>27336</v>
      </c>
      <c r="X6559" t="s">
        <v>3</v>
      </c>
      <c r="AA6559" s="5" t="str">
        <f>HYPERLINK("https://www.zillow.com/homes/309-S-HALE-ST-WHEATON-IL-601875219_rb/","check listing")</f>
        <v>check listing</v>
      </c>
      <c r="AB6559" s="5" t="str">
        <f>HYPERLINK("https://propertylookup.dupagecounty.gov/Datalets/Datalet.aspx?UseSearch=no&amp;mode=sales&amp;pin=0516323003","sales record")</f>
        <v>sales record</v>
      </c>
      <c r="AC6559" t="s">
        <v>3</v>
      </c>
      <c r="AD6559">
        <v>41.862753</v>
      </c>
      <c r="AE6559">
        <v>-88.10783000000001</v>
      </c>
      <c r="AF6559" s="5" t="str">
        <f>HYPERLINK("https://www.google.com/maps/search/?api=1&amp;query=41.862753,-88.10783","map")</f>
        <v>map</v>
      </c>
    </row>
    <row r="6560" spans="1:32">
      <c r="A6560" t="s">
        <v>6610</v>
      </c>
      <c r="B6560" t="s">
        <v>14085</v>
      </c>
      <c r="C6560" t="s">
        <v>16063</v>
      </c>
      <c r="D6560" t="s">
        <v>16212</v>
      </c>
      <c r="E6560" t="s">
        <v>16218</v>
      </c>
      <c r="F6560" t="s">
        <v>16222</v>
      </c>
      <c r="G6560" t="s">
        <v>16291</v>
      </c>
      <c r="H6560" t="s">
        <v>16291</v>
      </c>
      <c r="I6560" t="s">
        <v>16372</v>
      </c>
      <c r="J6560" t="s">
        <v>16385</v>
      </c>
      <c r="K6560">
        <v>0.167</v>
      </c>
      <c r="L6560">
        <v>7278</v>
      </c>
      <c r="M6560">
        <v>2310</v>
      </c>
      <c r="N6560" t="s">
        <v>16393</v>
      </c>
      <c r="O6560" s="4">
        <v>21893</v>
      </c>
      <c r="P6560" s="4">
        <v>64618</v>
      </c>
      <c r="Q6560" s="4">
        <v>86511</v>
      </c>
      <c r="R6560" s="4">
        <v>259533</v>
      </c>
      <c r="S6560" t="s">
        <v>22740</v>
      </c>
      <c r="T6560" s="6">
        <v>42917</v>
      </c>
      <c r="U6560" s="4">
        <v>167500</v>
      </c>
      <c r="V6560" t="s">
        <v>23739</v>
      </c>
      <c r="W6560" t="s">
        <v>27337</v>
      </c>
      <c r="X6560" t="s">
        <v>3</v>
      </c>
      <c r="AA6560" s="5" t="str">
        <f>HYPERLINK("https://www.zillow.com/homes/207-W-ROOSEVELT-RD-WHEATON-IL-601875245_rb/","check listing")</f>
        <v>check listing</v>
      </c>
      <c r="AB6560" s="5" t="str">
        <f>HYPERLINK("https://propertylookup.dupagecounty.gov/Datalets/Datalet.aspx?UseSearch=no&amp;mode=sales&amp;pin=0516336017","sales record")</f>
        <v>sales record</v>
      </c>
      <c r="AC6560" t="s">
        <v>3</v>
      </c>
      <c r="AD6560">
        <v>41.859017</v>
      </c>
      <c r="AE6560">
        <v>-88.10856699999999</v>
      </c>
      <c r="AF6560" s="5" t="str">
        <f>HYPERLINK("https://www.google.com/maps/search/?api=1&amp;query=41.859017,-88.108567","map")</f>
        <v>map</v>
      </c>
    </row>
    <row r="6561" spans="1:32">
      <c r="A6561" t="s">
        <v>6611</v>
      </c>
      <c r="B6561" t="s">
        <v>14086</v>
      </c>
      <c r="C6561" t="s">
        <v>16063</v>
      </c>
      <c r="D6561" t="s">
        <v>16212</v>
      </c>
      <c r="E6561" t="s">
        <v>16218</v>
      </c>
      <c r="F6561" t="s">
        <v>16222</v>
      </c>
      <c r="G6561" t="s">
        <v>16291</v>
      </c>
      <c r="H6561" t="s">
        <v>16291</v>
      </c>
      <c r="I6561" t="s">
        <v>16372</v>
      </c>
      <c r="J6561" t="s">
        <v>16385</v>
      </c>
      <c r="K6561">
        <v>0.167</v>
      </c>
      <c r="L6561">
        <v>7277</v>
      </c>
      <c r="M6561">
        <v>1583</v>
      </c>
      <c r="N6561" t="s">
        <v>16393</v>
      </c>
      <c r="O6561" s="4">
        <v>21905</v>
      </c>
      <c r="P6561" s="4">
        <v>92816</v>
      </c>
      <c r="Q6561" s="4">
        <v>114721</v>
      </c>
      <c r="R6561" s="4">
        <v>344163</v>
      </c>
      <c r="S6561" t="s">
        <v>22741</v>
      </c>
      <c r="T6561" s="6">
        <v>43040</v>
      </c>
      <c r="U6561" s="4">
        <v>240000</v>
      </c>
      <c r="V6561" t="s">
        <v>23739</v>
      </c>
      <c r="W6561" t="s">
        <v>27338</v>
      </c>
      <c r="X6561" t="s">
        <v>3</v>
      </c>
      <c r="AA6561" s="5" t="str">
        <f>HYPERLINK("https://www.zillow.com/homes/203-W-ROOSEVELT-RD-WHEATON-IL-601875245_rb/","check listing")</f>
        <v>check listing</v>
      </c>
      <c r="AB6561" s="5" t="str">
        <f>HYPERLINK("https://propertylookup.dupagecounty.gov/Datalets/Datalet.aspx?UseSearch=no&amp;mode=sales&amp;pin=0516336018","sales record")</f>
        <v>sales record</v>
      </c>
      <c r="AC6561" t="s">
        <v>3</v>
      </c>
      <c r="AD6561">
        <v>41.859021</v>
      </c>
      <c r="AE6561">
        <v>-88.10836500000001</v>
      </c>
      <c r="AF6561" s="5" t="str">
        <f>HYPERLINK("https://www.google.com/maps/search/?api=1&amp;query=41.859021,-88.108365","map")</f>
        <v>map</v>
      </c>
    </row>
    <row r="6562" spans="1:32">
      <c r="A6562" t="s">
        <v>6612</v>
      </c>
      <c r="B6562" t="s">
        <v>14087</v>
      </c>
      <c r="C6562" t="s">
        <v>16064</v>
      </c>
      <c r="D6562" t="s">
        <v>16212</v>
      </c>
      <c r="E6562" t="s">
        <v>16218</v>
      </c>
      <c r="F6562" t="s">
        <v>16222</v>
      </c>
      <c r="G6562" t="s">
        <v>16291</v>
      </c>
      <c r="H6562" t="s">
        <v>16291</v>
      </c>
      <c r="I6562" t="s">
        <v>16372</v>
      </c>
      <c r="J6562" t="s">
        <v>16385</v>
      </c>
      <c r="K6562">
        <v>0.156</v>
      </c>
      <c r="L6562">
        <v>6796</v>
      </c>
      <c r="M6562">
        <v>1027</v>
      </c>
      <c r="N6562" t="s">
        <v>16393</v>
      </c>
      <c r="O6562" s="4">
        <v>22234</v>
      </c>
      <c r="P6562" s="4">
        <v>44245</v>
      </c>
      <c r="Q6562" s="4">
        <v>66479</v>
      </c>
      <c r="R6562" s="4">
        <v>199437</v>
      </c>
      <c r="S6562" t="s">
        <v>22742</v>
      </c>
      <c r="T6562" s="6">
        <v>37773</v>
      </c>
      <c r="U6562" s="4">
        <v>153000</v>
      </c>
      <c r="V6562" t="s">
        <v>23739</v>
      </c>
      <c r="W6562" t="s">
        <v>27339</v>
      </c>
      <c r="X6562" t="s">
        <v>3</v>
      </c>
      <c r="AA6562" s="5" t="str">
        <f>HYPERLINK("https://www.zillow.com/homes/714-WARRENVILLE-RD-WHEATON-IL-601896369_rb/","check listing")</f>
        <v>check listing</v>
      </c>
      <c r="AB6562" s="5" t="str">
        <f>HYPERLINK("https://propertylookup.dupagecounty.gov/Datalets/Datalet.aspx?UseSearch=no&amp;mode=sales&amp;pin=0520205042","sales record")</f>
        <v>sales record</v>
      </c>
      <c r="AC6562" t="s">
        <v>27873</v>
      </c>
      <c r="AD6562">
        <v>41.858169</v>
      </c>
      <c r="AE6562">
        <v>-88.112013</v>
      </c>
      <c r="AF6562" s="5" t="str">
        <f>HYPERLINK("https://www.google.com/maps/search/?api=1&amp;query=41.858169,-88.112013","map")</f>
        <v>map</v>
      </c>
    </row>
    <row r="6563" spans="1:32">
      <c r="A6563" t="s">
        <v>6613</v>
      </c>
      <c r="B6563" t="s">
        <v>14088</v>
      </c>
      <c r="C6563" t="s">
        <v>16065</v>
      </c>
      <c r="D6563" t="s">
        <v>16212</v>
      </c>
      <c r="E6563" t="s">
        <v>16218</v>
      </c>
      <c r="F6563" t="s">
        <v>16222</v>
      </c>
      <c r="G6563" t="s">
        <v>16292</v>
      </c>
      <c r="H6563" t="s">
        <v>16292</v>
      </c>
      <c r="I6563" t="s">
        <v>16373</v>
      </c>
      <c r="J6563" t="s">
        <v>16385</v>
      </c>
      <c r="K6563">
        <v>0.138</v>
      </c>
      <c r="L6563">
        <v>5990</v>
      </c>
      <c r="M6563">
        <v>1050</v>
      </c>
      <c r="N6563" t="s">
        <v>16393</v>
      </c>
      <c r="O6563" s="4">
        <v>28574</v>
      </c>
      <c r="P6563" s="4">
        <v>164846</v>
      </c>
      <c r="Q6563" s="4">
        <v>193420</v>
      </c>
      <c r="R6563" s="4">
        <v>580260</v>
      </c>
      <c r="S6563" t="s">
        <v>22743</v>
      </c>
      <c r="T6563" s="6">
        <v>44652</v>
      </c>
      <c r="U6563" s="4">
        <v>520000</v>
      </c>
      <c r="V6563" t="s">
        <v>23740</v>
      </c>
      <c r="W6563" t="s">
        <v>27340</v>
      </c>
      <c r="X6563" t="s">
        <v>3</v>
      </c>
      <c r="AA6563" s="5" t="str">
        <f>HYPERLINK("https://www.zillow.com/homes/129-N-WEST-ST-WHEATON-IL-601875061_rb/","check listing")</f>
        <v>check listing</v>
      </c>
      <c r="AB6563" s="5" t="str">
        <f>HYPERLINK("https://propertylookup.dupagecounty.gov/Datalets/Datalet.aspx?UseSearch=no&amp;mode=sales&amp;pin=0516300001","sales record")</f>
        <v>sales record</v>
      </c>
      <c r="AC6563" t="s">
        <v>3</v>
      </c>
      <c r="AD6563">
        <v>41.865916</v>
      </c>
      <c r="AE6563">
        <v>-88.111142</v>
      </c>
      <c r="AF6563" s="5" t="str">
        <f>HYPERLINK("https://www.google.com/maps/search/?api=1&amp;query=41.865916,-88.111142","map")</f>
        <v>map</v>
      </c>
    </row>
    <row r="6564" spans="1:32">
      <c r="A6564" t="s">
        <v>6614</v>
      </c>
      <c r="B6564" t="s">
        <v>14089</v>
      </c>
      <c r="C6564" t="s">
        <v>16066</v>
      </c>
      <c r="D6564" t="s">
        <v>16212</v>
      </c>
      <c r="E6564" t="s">
        <v>16218</v>
      </c>
      <c r="F6564" t="s">
        <v>16222</v>
      </c>
      <c r="G6564" t="s">
        <v>16292</v>
      </c>
      <c r="H6564" t="s">
        <v>16292</v>
      </c>
      <c r="I6564" t="s">
        <v>16373</v>
      </c>
      <c r="J6564" t="s">
        <v>16385</v>
      </c>
      <c r="K6564">
        <v>0.109</v>
      </c>
      <c r="L6564">
        <v>4733</v>
      </c>
      <c r="M6564">
        <v>1175</v>
      </c>
      <c r="N6564" t="s">
        <v>16393</v>
      </c>
      <c r="O6564" s="4">
        <v>20303</v>
      </c>
      <c r="P6564" s="4">
        <v>84603</v>
      </c>
      <c r="Q6564" s="4">
        <v>104906</v>
      </c>
      <c r="R6564" s="4">
        <v>314718</v>
      </c>
      <c r="S6564" t="s">
        <v>22744</v>
      </c>
      <c r="T6564" s="6">
        <v>44440</v>
      </c>
      <c r="U6564" s="4">
        <v>205000</v>
      </c>
      <c r="V6564" t="s">
        <v>23740</v>
      </c>
      <c r="W6564" t="s">
        <v>22744</v>
      </c>
      <c r="X6564" t="s">
        <v>3</v>
      </c>
      <c r="AA6564" s="5" t="str">
        <f>HYPERLINK("https://www.zillow.com/homes/117-N-ELLIS-AVE-WHEATON-IL-601874907_rb/","check listing")</f>
        <v>check listing</v>
      </c>
      <c r="AB6564" s="5" t="str">
        <f>HYPERLINK("https://propertylookup.dupagecounty.gov/Datalets/Datalet.aspx?UseSearch=no&amp;mode=sales&amp;pin=0517403019","sales record")</f>
        <v>sales record</v>
      </c>
      <c r="AC6564" t="s">
        <v>27873</v>
      </c>
      <c r="AD6564">
        <v>41.865372</v>
      </c>
      <c r="AE6564">
        <v>-88.11460099999999</v>
      </c>
      <c r="AF6564" s="5" t="str">
        <f>HYPERLINK("https://www.google.com/maps/search/?api=1&amp;query=41.865372,-88.114601","map")</f>
        <v>map</v>
      </c>
    </row>
    <row r="6565" spans="1:32">
      <c r="A6565" t="s">
        <v>6615</v>
      </c>
      <c r="B6565" t="s">
        <v>14090</v>
      </c>
      <c r="C6565" t="s">
        <v>15426</v>
      </c>
      <c r="D6565" t="s">
        <v>16212</v>
      </c>
      <c r="E6565" t="s">
        <v>16218</v>
      </c>
      <c r="F6565" t="s">
        <v>16222</v>
      </c>
      <c r="G6565" t="s">
        <v>16292</v>
      </c>
      <c r="H6565" t="s">
        <v>16292</v>
      </c>
      <c r="I6565" t="s">
        <v>16373</v>
      </c>
      <c r="J6565" t="s">
        <v>16385</v>
      </c>
      <c r="K6565">
        <v>0.076</v>
      </c>
      <c r="L6565">
        <v>3309</v>
      </c>
      <c r="M6565">
        <v>792</v>
      </c>
      <c r="N6565" t="s">
        <v>16393</v>
      </c>
      <c r="O6565" s="4">
        <v>13232</v>
      </c>
      <c r="P6565" s="4">
        <v>93228</v>
      </c>
      <c r="Q6565" s="4">
        <v>106460</v>
      </c>
      <c r="R6565" s="4">
        <v>319380</v>
      </c>
      <c r="S6565" t="s">
        <v>22745</v>
      </c>
      <c r="T6565" s="6">
        <v>32174</v>
      </c>
      <c r="U6565" s="4">
        <v>105000</v>
      </c>
      <c r="X6565" t="s">
        <v>3</v>
      </c>
      <c r="AA6565" s="5" t="str">
        <f>HYPERLINK("https://www.zillow.com/homes/321-S-WHEATON-AVE-WHEATON-IL-60187_rb/","check listing")</f>
        <v>check listing</v>
      </c>
      <c r="AB6565" s="5" t="str">
        <f>HYPERLINK("https://propertylookup.dupagecounty.gov/Datalets/Datalet.aspx?UseSearch=no&amp;mode=sales&amp;pin=0516322014","sales record")</f>
        <v>sales record</v>
      </c>
      <c r="AC6565" t="s">
        <v>3</v>
      </c>
      <c r="AD6565">
        <v>41.862222</v>
      </c>
      <c r="AE6565">
        <v>-88.10960799999999</v>
      </c>
      <c r="AF6565" s="5" t="str">
        <f>HYPERLINK("https://www.google.com/maps/search/?api=1&amp;query=41.862222,-88.109608","map")</f>
        <v>map</v>
      </c>
    </row>
    <row r="6566" spans="1:32">
      <c r="A6566" t="s">
        <v>6616</v>
      </c>
      <c r="B6566" t="s">
        <v>14091</v>
      </c>
      <c r="C6566" t="s">
        <v>15426</v>
      </c>
      <c r="D6566" t="s">
        <v>16212</v>
      </c>
      <c r="E6566" t="s">
        <v>16218</v>
      </c>
      <c r="F6566" t="s">
        <v>16222</v>
      </c>
      <c r="G6566" t="s">
        <v>16292</v>
      </c>
      <c r="H6566" t="s">
        <v>16292</v>
      </c>
      <c r="I6566" t="s">
        <v>16373</v>
      </c>
      <c r="J6566" t="s">
        <v>16385</v>
      </c>
      <c r="K6566">
        <v>0.07099999999999999</v>
      </c>
      <c r="L6566">
        <v>3093</v>
      </c>
      <c r="M6566">
        <v>398</v>
      </c>
      <c r="N6566" t="s">
        <v>16393</v>
      </c>
      <c r="O6566" s="4">
        <v>12407</v>
      </c>
      <c r="P6566" s="4">
        <v>59109</v>
      </c>
      <c r="Q6566" s="4">
        <v>71516</v>
      </c>
      <c r="R6566" s="4">
        <v>214548</v>
      </c>
      <c r="S6566" t="s">
        <v>22746</v>
      </c>
      <c r="T6566" s="6">
        <v>45540</v>
      </c>
      <c r="U6566" s="4">
        <v>250000</v>
      </c>
      <c r="V6566" t="s">
        <v>23739</v>
      </c>
      <c r="W6566" t="s">
        <v>27341</v>
      </c>
      <c r="X6566" t="s">
        <v>3</v>
      </c>
      <c r="AA6566" s="5" t="str">
        <f>HYPERLINK("https://www.zillow.com/homes/211-W-ILLINOIS-ST-WHEATON-IL-60187_rb/","check listing")</f>
        <v>check listing</v>
      </c>
      <c r="AB6566" s="5" t="str">
        <f>HYPERLINK("https://propertylookup.dupagecounty.gov/Datalets/Datalet.aspx?UseSearch=no&amp;mode=sales&amp;pin=0516322018","sales record")</f>
        <v>sales record</v>
      </c>
      <c r="AC6566" t="s">
        <v>27873</v>
      </c>
      <c r="AD6566">
        <v>41.862288</v>
      </c>
      <c r="AE6566">
        <v>-88.10870799999999</v>
      </c>
      <c r="AF6566" s="5" t="str">
        <f>HYPERLINK("https://www.google.com/maps/search/?api=1&amp;query=41.862288,-88.108708","map")</f>
        <v>map</v>
      </c>
    </row>
    <row r="6567" spans="1:32">
      <c r="A6567" t="s">
        <v>6617</v>
      </c>
      <c r="B6567" t="s">
        <v>14092</v>
      </c>
      <c r="C6567" t="s">
        <v>16067</v>
      </c>
      <c r="D6567" t="s">
        <v>16212</v>
      </c>
      <c r="E6567" t="s">
        <v>16217</v>
      </c>
      <c r="F6567" t="s">
        <v>16222</v>
      </c>
      <c r="G6567" t="s">
        <v>16290</v>
      </c>
      <c r="H6567" t="s">
        <v>16290</v>
      </c>
      <c r="I6567" t="s">
        <v>16371</v>
      </c>
      <c r="J6567" t="s">
        <v>16385</v>
      </c>
      <c r="K6567">
        <v>1.756</v>
      </c>
      <c r="L6567">
        <v>76513</v>
      </c>
      <c r="N6567" t="s">
        <v>16392</v>
      </c>
      <c r="O6567" s="4">
        <v>381972</v>
      </c>
      <c r="P6567" s="4">
        <v>0</v>
      </c>
      <c r="Q6567" s="4">
        <v>381972</v>
      </c>
      <c r="R6567" s="4">
        <v>1145916</v>
      </c>
      <c r="S6567" t="s">
        <v>22747</v>
      </c>
      <c r="T6567" s="6">
        <v>41821</v>
      </c>
      <c r="U6567" s="4">
        <v>3931034</v>
      </c>
      <c r="V6567" t="s">
        <v>16232</v>
      </c>
      <c r="W6567" t="s">
        <v>27342</v>
      </c>
      <c r="X6567" t="s">
        <v>3</v>
      </c>
      <c r="AA6567" s="5" t="str">
        <f>HYPERLINK("https://www.zillow.com/homes/666-S-MAIN-ST-WHEATON-IL-601875241_rb/","check listing")</f>
        <v>check listing</v>
      </c>
      <c r="AB6567" s="5" t="str">
        <f>HYPERLINK("https://propertylookup.dupagecounty.gov/Datalets/Datalet.aspx?UseSearch=no&amp;mode=sales&amp;pin=0516337022","sales record")</f>
        <v>sales record</v>
      </c>
      <c r="AC6567" t="s">
        <v>3</v>
      </c>
      <c r="AD6567">
        <v>41.859406</v>
      </c>
      <c r="AE6567">
        <v>-88.106494</v>
      </c>
      <c r="AF6567" s="5" t="str">
        <f>HYPERLINK("https://www.google.com/maps/search/?api=1&amp;query=41.859406,-88.106494","map")</f>
        <v>map</v>
      </c>
    </row>
    <row r="6568" spans="1:32">
      <c r="A6568" t="s">
        <v>6618</v>
      </c>
      <c r="B6568" t="s">
        <v>14093</v>
      </c>
      <c r="C6568" t="s">
        <v>16068</v>
      </c>
      <c r="D6568" t="s">
        <v>16212</v>
      </c>
      <c r="E6568" t="s">
        <v>16217</v>
      </c>
      <c r="F6568" t="s">
        <v>16222</v>
      </c>
      <c r="G6568" t="s">
        <v>16290</v>
      </c>
      <c r="H6568" t="s">
        <v>16290</v>
      </c>
      <c r="I6568" t="s">
        <v>16371</v>
      </c>
      <c r="J6568" t="s">
        <v>16385</v>
      </c>
      <c r="K6568">
        <v>1.341</v>
      </c>
      <c r="L6568">
        <v>58402</v>
      </c>
      <c r="M6568">
        <v>1187</v>
      </c>
      <c r="N6568" t="s">
        <v>16392</v>
      </c>
      <c r="O6568" s="4">
        <v>287603</v>
      </c>
      <c r="P6568" s="4">
        <v>0</v>
      </c>
      <c r="Q6568" s="4">
        <v>287603</v>
      </c>
      <c r="R6568" s="4">
        <v>862809</v>
      </c>
      <c r="S6568" t="s">
        <v>22748</v>
      </c>
      <c r="T6568" s="6">
        <v>46008</v>
      </c>
      <c r="U6568" s="4">
        <v>6800000</v>
      </c>
      <c r="V6568" t="s">
        <v>16232</v>
      </c>
      <c r="W6568" t="s">
        <v>27343</v>
      </c>
      <c r="X6568" t="s">
        <v>3</v>
      </c>
      <c r="AA6568" s="5" t="str">
        <f>HYPERLINK("https://www.zillow.com/homes/222-E-ROOSEVELT-RD-WHEATON-IL-601875780_rb/","check listing")</f>
        <v>check listing</v>
      </c>
      <c r="AB6568" s="5" t="str">
        <f>HYPERLINK("https://propertylookup.dupagecounty.gov/Datalets/Datalet.aspx?UseSearch=no&amp;mode=sales&amp;pin=0521103038","sales record")</f>
        <v>sales record</v>
      </c>
      <c r="AC6568" t="s">
        <v>11</v>
      </c>
      <c r="AD6568">
        <v>41.858444</v>
      </c>
      <c r="AE6568">
        <v>-88.103747</v>
      </c>
      <c r="AF6568" s="5" t="str">
        <f>HYPERLINK("https://www.google.com/maps/search/?api=1&amp;query=41.858444,-88.103747","map")</f>
        <v>map</v>
      </c>
    </row>
    <row r="6569" spans="1:32">
      <c r="A6569" t="s">
        <v>6619</v>
      </c>
      <c r="B6569" t="s">
        <v>14094</v>
      </c>
      <c r="C6569" t="s">
        <v>15426</v>
      </c>
      <c r="D6569" t="s">
        <v>16212</v>
      </c>
      <c r="E6569" t="s">
        <v>16217</v>
      </c>
      <c r="F6569" t="s">
        <v>16222</v>
      </c>
      <c r="G6569" t="s">
        <v>16293</v>
      </c>
      <c r="H6569" t="s">
        <v>16293</v>
      </c>
      <c r="I6569" t="s">
        <v>16371</v>
      </c>
      <c r="J6569" t="s">
        <v>16385</v>
      </c>
      <c r="K6569">
        <v>0.802</v>
      </c>
      <c r="L6569">
        <v>34925</v>
      </c>
      <c r="M6569">
        <v>3660</v>
      </c>
      <c r="N6569" t="s">
        <v>16392</v>
      </c>
      <c r="O6569" s="4">
        <v>59034</v>
      </c>
      <c r="P6569" s="4">
        <v>0</v>
      </c>
      <c r="Q6569" s="4">
        <v>59034</v>
      </c>
      <c r="R6569" s="4">
        <v>177102</v>
      </c>
      <c r="S6569" t="s">
        <v>22749</v>
      </c>
      <c r="X6569" t="s">
        <v>3</v>
      </c>
      <c r="AA6569" s="5" t="str">
        <f>HYPERLINK("https://www.zillow.com/homes/908-E-ROOSEVELT-RD-WHEATON-IL-60187_rb/","check listing")</f>
        <v>check listing</v>
      </c>
      <c r="AB6569" s="5" t="str">
        <f>HYPERLINK("https://propertylookup.dupagecounty.gov/Datalets/Datalet.aspx?UseSearch=no&amp;mode=sales&amp;pin=0521201050","sales record")</f>
        <v>sales record</v>
      </c>
      <c r="AC6569" t="s">
        <v>27871</v>
      </c>
      <c r="AD6569">
        <v>41.858458</v>
      </c>
      <c r="AE6569">
        <v>-88.093563</v>
      </c>
      <c r="AF6569" s="5" t="str">
        <f>HYPERLINK("https://www.google.com/maps/search/?api=1&amp;query=41.858458,-88.093563","map")</f>
        <v>map</v>
      </c>
    </row>
    <row r="6570" spans="1:32">
      <c r="A6570" t="s">
        <v>6620</v>
      </c>
      <c r="B6570" t="s">
        <v>14095</v>
      </c>
      <c r="C6570" t="s">
        <v>15426</v>
      </c>
      <c r="D6570" t="s">
        <v>16212</v>
      </c>
      <c r="E6570" t="s">
        <v>16217</v>
      </c>
      <c r="F6570" t="s">
        <v>16222</v>
      </c>
      <c r="G6570" t="s">
        <v>16291</v>
      </c>
      <c r="H6570" t="s">
        <v>16291</v>
      </c>
      <c r="I6570" t="s">
        <v>16372</v>
      </c>
      <c r="J6570" t="s">
        <v>16385</v>
      </c>
      <c r="K6570">
        <v>0.634</v>
      </c>
      <c r="L6570">
        <v>27626</v>
      </c>
      <c r="N6570" t="s">
        <v>16392</v>
      </c>
      <c r="O6570" s="4">
        <v>137344</v>
      </c>
      <c r="P6570" s="4">
        <v>0</v>
      </c>
      <c r="Q6570" s="4">
        <v>137344</v>
      </c>
      <c r="R6570" s="4">
        <v>412032</v>
      </c>
      <c r="S6570" t="s">
        <v>22750</v>
      </c>
      <c r="T6570" s="6">
        <v>44834</v>
      </c>
      <c r="U6570" s="4">
        <v>294500</v>
      </c>
      <c r="V6570" t="s">
        <v>23739</v>
      </c>
      <c r="W6570" t="s">
        <v>27344</v>
      </c>
      <c r="X6570" t="s">
        <v>3</v>
      </c>
      <c r="AA6570" s="5" t="str">
        <f>HYPERLINK("https://www.zillow.com/homes/518-W-ROOSEVELT-RD-WHEATON-IL-60187_rb/","check listing")</f>
        <v>check listing</v>
      </c>
      <c r="AB6570" s="5" t="str">
        <f>HYPERLINK("https://propertylookup.dupagecounty.gov/Datalets/Datalet.aspx?UseSearch=no&amp;mode=sales&amp;pin=0520205054","sales record")</f>
        <v>sales record</v>
      </c>
      <c r="AC6570" t="s">
        <v>3</v>
      </c>
      <c r="AD6570">
        <v>41.858304</v>
      </c>
      <c r="AE6570">
        <v>-88.113263</v>
      </c>
      <c r="AF6570" s="5" t="str">
        <f>HYPERLINK("https://www.google.com/maps/search/?api=1&amp;query=41.858304,-88.113263","map")</f>
        <v>map</v>
      </c>
    </row>
    <row r="6571" spans="1:32">
      <c r="A6571" t="s">
        <v>6621</v>
      </c>
      <c r="B6571" t="s">
        <v>14096</v>
      </c>
      <c r="C6571" t="s">
        <v>16068</v>
      </c>
      <c r="D6571" t="s">
        <v>16212</v>
      </c>
      <c r="E6571" t="s">
        <v>16217</v>
      </c>
      <c r="F6571" t="s">
        <v>16222</v>
      </c>
      <c r="G6571" t="s">
        <v>16290</v>
      </c>
      <c r="H6571" t="s">
        <v>16290</v>
      </c>
      <c r="I6571" t="s">
        <v>16371</v>
      </c>
      <c r="J6571" t="s">
        <v>16385</v>
      </c>
      <c r="K6571">
        <v>0.55</v>
      </c>
      <c r="L6571">
        <v>23958</v>
      </c>
      <c r="M6571">
        <v>6400</v>
      </c>
      <c r="N6571" t="s">
        <v>16392</v>
      </c>
      <c r="O6571" s="4">
        <v>118238</v>
      </c>
      <c r="P6571" s="4">
        <v>0</v>
      </c>
      <c r="Q6571" s="4">
        <v>118238</v>
      </c>
      <c r="R6571" s="4">
        <v>354714</v>
      </c>
      <c r="S6571" t="s">
        <v>22751</v>
      </c>
      <c r="X6571" t="s">
        <v>3</v>
      </c>
      <c r="AA6571" s="5" t="str">
        <f>HYPERLINK("https://www.zillow.com/homes/E-ROOSEVELT-RD-WHEATON-IL-601875780_rb/","check listing")</f>
        <v>check listing</v>
      </c>
      <c r="AB6571" s="5" t="str">
        <f>HYPERLINK("https://propertylookup.dupagecounty.gov/Datalets/Datalet.aspx?UseSearch=no&amp;mode=sales&amp;pin=0521103039","sales record")</f>
        <v>sales record</v>
      </c>
      <c r="AC6571" t="s">
        <v>11</v>
      </c>
      <c r="AD6571">
        <v>41.858446</v>
      </c>
      <c r="AE6571">
        <v>-88.102957</v>
      </c>
      <c r="AF6571" s="5" t="str">
        <f>HYPERLINK("https://www.google.com/maps/search/?api=1&amp;query=41.858446,-88.102957","map")</f>
        <v>map</v>
      </c>
    </row>
    <row r="6572" spans="1:32">
      <c r="A6572" t="s">
        <v>6622</v>
      </c>
      <c r="B6572" t="s">
        <v>14097</v>
      </c>
      <c r="C6572" t="s">
        <v>15426</v>
      </c>
      <c r="D6572" t="s">
        <v>16212</v>
      </c>
      <c r="E6572" t="s">
        <v>16217</v>
      </c>
      <c r="F6572" t="s">
        <v>16222</v>
      </c>
      <c r="G6572" t="s">
        <v>16293</v>
      </c>
      <c r="H6572" t="s">
        <v>16293</v>
      </c>
      <c r="I6572" t="s">
        <v>16371</v>
      </c>
      <c r="J6572" t="s">
        <v>16385</v>
      </c>
      <c r="K6572">
        <v>0.482</v>
      </c>
      <c r="L6572">
        <v>20978</v>
      </c>
      <c r="N6572" t="s">
        <v>16392</v>
      </c>
      <c r="O6572" s="4">
        <v>104622</v>
      </c>
      <c r="P6572" s="4">
        <v>0</v>
      </c>
      <c r="Q6572" s="4">
        <v>104622</v>
      </c>
      <c r="R6572" s="4">
        <v>313866</v>
      </c>
      <c r="S6572" t="s">
        <v>22752</v>
      </c>
      <c r="T6572" s="6">
        <v>44862</v>
      </c>
      <c r="U6572" s="4">
        <v>2935000</v>
      </c>
      <c r="V6572" t="s">
        <v>23739</v>
      </c>
      <c r="W6572" t="s">
        <v>27345</v>
      </c>
      <c r="X6572" t="s">
        <v>3</v>
      </c>
      <c r="AA6572" s="5" t="str">
        <f>HYPERLINK("https://www.zillow.com/homes/91729-E-ROOSEVELT-RD-WHEATON-IL-60187_rb/","check listing")</f>
        <v>check listing</v>
      </c>
      <c r="AB6572" s="5" t="str">
        <f>HYPERLINK("https://propertylookup.dupagecounty.gov/Datalets/Datalet.aspx?UseSearch=no&amp;mode=sales&amp;pin=0516424031","sales record")</f>
        <v>sales record</v>
      </c>
      <c r="AC6572" t="s">
        <v>27872</v>
      </c>
      <c r="AD6572">
        <v>41.859312</v>
      </c>
      <c r="AE6572">
        <v>-88.093242</v>
      </c>
      <c r="AF6572" s="5" t="str">
        <f>HYPERLINK("https://www.google.com/maps/search/?api=1&amp;query=41.859312,-88.093242","map")</f>
        <v>map</v>
      </c>
    </row>
    <row r="6573" spans="1:32">
      <c r="A6573" t="s">
        <v>6623</v>
      </c>
      <c r="B6573" t="s">
        <v>14098</v>
      </c>
      <c r="C6573" t="s">
        <v>16069</v>
      </c>
      <c r="D6573" t="s">
        <v>16212</v>
      </c>
      <c r="E6573" t="s">
        <v>16217</v>
      </c>
      <c r="F6573" t="s">
        <v>16222</v>
      </c>
      <c r="G6573" t="s">
        <v>16293</v>
      </c>
      <c r="H6573" t="s">
        <v>16293</v>
      </c>
      <c r="I6573" t="s">
        <v>16371</v>
      </c>
      <c r="J6573" t="s">
        <v>16385</v>
      </c>
      <c r="K6573">
        <v>0.401</v>
      </c>
      <c r="L6573">
        <v>17457</v>
      </c>
      <c r="N6573" t="s">
        <v>16392</v>
      </c>
      <c r="O6573" s="4">
        <v>87053</v>
      </c>
      <c r="P6573" s="4">
        <v>0</v>
      </c>
      <c r="Q6573" s="4">
        <v>87053</v>
      </c>
      <c r="R6573" s="4">
        <v>261159</v>
      </c>
      <c r="S6573" t="s">
        <v>22753</v>
      </c>
      <c r="X6573" t="s">
        <v>3</v>
      </c>
      <c r="AA6573" s="5" t="str">
        <f>HYPERLINK("https://www.zillow.com/homes/820-E-ROOSEVELT-RD-WHEATON-IL-601875604_rb/","check listing")</f>
        <v>check listing</v>
      </c>
      <c r="AB6573" s="5" t="str">
        <f>HYPERLINK("https://propertylookup.dupagecounty.gov/Datalets/Datalet.aspx?UseSearch=no&amp;mode=sales&amp;pin=0521201049","sales record")</f>
        <v>sales record</v>
      </c>
      <c r="AC6573" t="s">
        <v>27872</v>
      </c>
      <c r="AD6573">
        <v>41.858453</v>
      </c>
      <c r="AE6573">
        <v>-88.093892</v>
      </c>
      <c r="AF6573" s="5" t="str">
        <f>HYPERLINK("https://www.google.com/maps/search/?api=1&amp;query=41.858453,-88.093892","map")</f>
        <v>map</v>
      </c>
    </row>
    <row r="6574" spans="1:32">
      <c r="A6574" t="s">
        <v>6624</v>
      </c>
      <c r="B6574" t="s">
        <v>14099</v>
      </c>
      <c r="C6574" t="s">
        <v>15426</v>
      </c>
      <c r="D6574" t="s">
        <v>16212</v>
      </c>
      <c r="E6574" t="s">
        <v>16217</v>
      </c>
      <c r="F6574" t="s">
        <v>16222</v>
      </c>
      <c r="G6574" t="s">
        <v>16290</v>
      </c>
      <c r="H6574" t="s">
        <v>16290</v>
      </c>
      <c r="I6574" t="s">
        <v>16371</v>
      </c>
      <c r="J6574" t="s">
        <v>16385</v>
      </c>
      <c r="K6574">
        <v>0.369</v>
      </c>
      <c r="L6574">
        <v>16066</v>
      </c>
      <c r="N6574" t="s">
        <v>16392</v>
      </c>
      <c r="O6574" s="4">
        <v>80113</v>
      </c>
      <c r="P6574" s="4">
        <v>0</v>
      </c>
      <c r="Q6574" s="4">
        <v>80113</v>
      </c>
      <c r="R6574" s="4">
        <v>240339</v>
      </c>
      <c r="S6574" t="s">
        <v>22754</v>
      </c>
      <c r="X6574" t="s">
        <v>3</v>
      </c>
      <c r="AA6574" s="5" t="str">
        <f>HYPERLINK("https://www.zillow.com/homes/610-ROOSEVELT-RD-WHEATON-IL-60187_rb/","check listing")</f>
        <v>check listing</v>
      </c>
      <c r="AB6574" s="5" t="str">
        <f>HYPERLINK("https://propertylookup.dupagecounty.gov/Datalets/Datalet.aspx?UseSearch=no&amp;mode=sales&amp;pin=0521200075","sales record")</f>
        <v>sales record</v>
      </c>
      <c r="AC6574" t="s">
        <v>27872</v>
      </c>
      <c r="AD6574">
        <v>41.858408</v>
      </c>
      <c r="AE6574">
        <v>-88.09718599999999</v>
      </c>
      <c r="AF6574" s="5" t="str">
        <f>HYPERLINK("https://www.google.com/maps/search/?api=1&amp;query=41.858408,-88.097186","map")</f>
        <v>map</v>
      </c>
    </row>
    <row r="6575" spans="1:32">
      <c r="A6575" t="s">
        <v>6625</v>
      </c>
      <c r="B6575" t="s">
        <v>14100</v>
      </c>
      <c r="C6575" t="s">
        <v>15426</v>
      </c>
      <c r="D6575" t="s">
        <v>16212</v>
      </c>
      <c r="E6575" t="s">
        <v>16217</v>
      </c>
      <c r="F6575" t="s">
        <v>16222</v>
      </c>
      <c r="G6575" t="s">
        <v>16293</v>
      </c>
      <c r="H6575" t="s">
        <v>16293</v>
      </c>
      <c r="I6575" t="s">
        <v>16371</v>
      </c>
      <c r="J6575" t="s">
        <v>16385</v>
      </c>
      <c r="K6575">
        <v>0.362</v>
      </c>
      <c r="L6575">
        <v>15777</v>
      </c>
      <c r="N6575" t="s">
        <v>16392</v>
      </c>
      <c r="O6575" s="4">
        <v>78688</v>
      </c>
      <c r="P6575" s="4">
        <v>0</v>
      </c>
      <c r="Q6575" s="4">
        <v>78688</v>
      </c>
      <c r="R6575" s="4">
        <v>236064</v>
      </c>
      <c r="S6575" t="s">
        <v>22755</v>
      </c>
      <c r="T6575" s="6">
        <v>40878</v>
      </c>
      <c r="U6575" s="4">
        <v>240000</v>
      </c>
      <c r="V6575" t="s">
        <v>23739</v>
      </c>
      <c r="W6575" t="s">
        <v>27346</v>
      </c>
      <c r="X6575" t="s">
        <v>3</v>
      </c>
      <c r="AA6575" s="5" t="str">
        <f>HYPERLINK("https://www.zillow.com/homes/1003-ROOSEVELT-RD-WHEATON-IL-60187_rb/","check listing")</f>
        <v>check listing</v>
      </c>
      <c r="AB6575" s="5" t="str">
        <f>HYPERLINK("https://propertylookup.dupagecounty.gov/Datalets/Datalet.aspx?UseSearch=no&amp;mode=sales&amp;pin=0515324020","sales record")</f>
        <v>sales record</v>
      </c>
      <c r="AC6575" t="s">
        <v>3</v>
      </c>
      <c r="AD6575">
        <v>41.859293</v>
      </c>
      <c r="AE6575">
        <v>-88.091621</v>
      </c>
      <c r="AF6575" s="5" t="str">
        <f>HYPERLINK("https://www.google.com/maps/search/?api=1&amp;query=41.859293,-88.091621","map")</f>
        <v>map</v>
      </c>
    </row>
    <row r="6576" spans="1:32">
      <c r="A6576" t="s">
        <v>6626</v>
      </c>
      <c r="B6576" t="s">
        <v>14101</v>
      </c>
      <c r="C6576" t="s">
        <v>15426</v>
      </c>
      <c r="D6576" t="s">
        <v>16212</v>
      </c>
      <c r="E6576" t="s">
        <v>16217</v>
      </c>
      <c r="F6576" t="s">
        <v>16222</v>
      </c>
      <c r="G6576" t="s">
        <v>16292</v>
      </c>
      <c r="H6576" t="s">
        <v>16292</v>
      </c>
      <c r="I6576" t="s">
        <v>16373</v>
      </c>
      <c r="J6576" t="s">
        <v>16385</v>
      </c>
      <c r="K6576">
        <v>0.328</v>
      </c>
      <c r="L6576">
        <v>14289</v>
      </c>
      <c r="N6576" t="s">
        <v>16392</v>
      </c>
      <c r="O6576" s="4">
        <v>164968</v>
      </c>
      <c r="P6576" s="4">
        <v>0</v>
      </c>
      <c r="Q6576" s="4">
        <v>164968</v>
      </c>
      <c r="R6576" s="4">
        <v>494904</v>
      </c>
      <c r="S6576" t="s">
        <v>22756</v>
      </c>
      <c r="X6576" t="s">
        <v>3</v>
      </c>
      <c r="AA6576" s="5" t="str">
        <f>HYPERLINK("https://www.zillow.com/homes/311-E-WESLEY-ST-WHEATON-IL-60187_rb/","check listing")</f>
        <v>check listing</v>
      </c>
      <c r="AB6576" s="5" t="str">
        <f>HYPERLINK("https://propertylookup.dupagecounty.gov/Datalets/Datalet.aspx?UseSearch=no&amp;mode=sales&amp;pin=0516136026","sales record")</f>
        <v>sales record</v>
      </c>
      <c r="AC6576" t="s">
        <v>27872</v>
      </c>
      <c r="AD6576">
        <v>41.866603</v>
      </c>
      <c r="AE6576">
        <v>-88.103016</v>
      </c>
      <c r="AF6576" s="5" t="str">
        <f>HYPERLINK("https://www.google.com/maps/search/?api=1&amp;query=41.866603,-88.103016","map")</f>
        <v>map</v>
      </c>
    </row>
    <row r="6577" spans="1:32">
      <c r="A6577" t="s">
        <v>6627</v>
      </c>
      <c r="B6577" t="s">
        <v>14102</v>
      </c>
      <c r="C6577" t="s">
        <v>15426</v>
      </c>
      <c r="D6577" t="s">
        <v>16212</v>
      </c>
      <c r="E6577" t="s">
        <v>16217</v>
      </c>
      <c r="F6577" t="s">
        <v>16222</v>
      </c>
      <c r="G6577" t="s">
        <v>16292</v>
      </c>
      <c r="H6577" t="s">
        <v>16292</v>
      </c>
      <c r="I6577" t="s">
        <v>16373</v>
      </c>
      <c r="J6577" t="s">
        <v>16385</v>
      </c>
      <c r="K6577">
        <v>0.312</v>
      </c>
      <c r="L6577">
        <v>13573</v>
      </c>
      <c r="M6577">
        <v>1813</v>
      </c>
      <c r="N6577" t="s">
        <v>16392</v>
      </c>
      <c r="O6577" s="4">
        <v>169205</v>
      </c>
      <c r="P6577" s="4">
        <v>0</v>
      </c>
      <c r="Q6577" s="4">
        <v>169205</v>
      </c>
      <c r="R6577" s="4">
        <v>507615</v>
      </c>
      <c r="S6577" t="s">
        <v>22757</v>
      </c>
      <c r="T6577" s="6">
        <v>35582</v>
      </c>
      <c r="U6577" s="4">
        <v>684000</v>
      </c>
      <c r="X6577" t="s">
        <v>3</v>
      </c>
      <c r="AA6577" s="5" t="str">
        <f>HYPERLINK("https://www.zillow.com/homes/305-W-FRONT-ST-WHEATON-IL-60187_rb/","check listing")</f>
        <v>check listing</v>
      </c>
      <c r="AB6577" s="5" t="str">
        <f>HYPERLINK("https://propertylookup.dupagecounty.gov/Datalets/Datalet.aspx?UseSearch=no&amp;mode=sales&amp;pin=0516300017","sales record")</f>
        <v>sales record</v>
      </c>
      <c r="AC6577" t="s">
        <v>11</v>
      </c>
      <c r="AD6577">
        <v>41.865279</v>
      </c>
      <c r="AE6577">
        <v>-88.110231</v>
      </c>
      <c r="AF6577" s="5" t="str">
        <f>HYPERLINK("https://www.google.com/maps/search/?api=1&amp;query=41.865279,-88.110231","map")</f>
        <v>map</v>
      </c>
    </row>
    <row r="6578" spans="1:32">
      <c r="A6578" t="s">
        <v>6628</v>
      </c>
      <c r="B6578" t="s">
        <v>14103</v>
      </c>
      <c r="C6578" t="s">
        <v>15426</v>
      </c>
      <c r="D6578" t="s">
        <v>16212</v>
      </c>
      <c r="E6578" t="s">
        <v>16217</v>
      </c>
      <c r="F6578" t="s">
        <v>16222</v>
      </c>
      <c r="G6578" t="s">
        <v>16291</v>
      </c>
      <c r="H6578" t="s">
        <v>16291</v>
      </c>
      <c r="I6578" t="s">
        <v>16372</v>
      </c>
      <c r="J6578" t="s">
        <v>16385</v>
      </c>
      <c r="K6578">
        <v>0.298</v>
      </c>
      <c r="L6578">
        <v>12989</v>
      </c>
      <c r="N6578" t="s">
        <v>16392</v>
      </c>
      <c r="O6578" s="4">
        <v>64783</v>
      </c>
      <c r="P6578" s="4">
        <v>0</v>
      </c>
      <c r="Q6578" s="4">
        <v>64783</v>
      </c>
      <c r="R6578" s="4">
        <v>194349</v>
      </c>
      <c r="S6578" t="s">
        <v>22758</v>
      </c>
      <c r="T6578" s="6">
        <v>36069</v>
      </c>
      <c r="U6578" s="4">
        <v>740000</v>
      </c>
      <c r="X6578" t="s">
        <v>3</v>
      </c>
      <c r="AA6578" s="5" t="str">
        <f>HYPERLINK("https://www.zillow.com/homes/60319-W-ROOSEVELT-RD-WHEATON-IL-60187_rb/","check listing")</f>
        <v>check listing</v>
      </c>
      <c r="AB6578" s="5" t="str">
        <f>HYPERLINK("https://propertylookup.dupagecounty.gov/Datalets/Datalet.aspx?UseSearch=no&amp;mode=sales&amp;pin=0517417058","sales record")</f>
        <v>sales record</v>
      </c>
      <c r="AC6578" t="s">
        <v>27872</v>
      </c>
      <c r="AD6578">
        <v>41.858892</v>
      </c>
      <c r="AE6578">
        <v>-88.115965</v>
      </c>
      <c r="AF6578" s="5" t="str">
        <f>HYPERLINK("https://www.google.com/maps/search/?api=1&amp;query=41.858892,-88.115965","map")</f>
        <v>map</v>
      </c>
    </row>
    <row r="6579" spans="1:32">
      <c r="A6579" t="s">
        <v>6629</v>
      </c>
      <c r="B6579" t="s">
        <v>14104</v>
      </c>
      <c r="C6579" t="s">
        <v>15426</v>
      </c>
      <c r="D6579" t="s">
        <v>16212</v>
      </c>
      <c r="E6579" t="s">
        <v>16217</v>
      </c>
      <c r="F6579" t="s">
        <v>16222</v>
      </c>
      <c r="G6579" t="s">
        <v>16292</v>
      </c>
      <c r="H6579" t="s">
        <v>16292</v>
      </c>
      <c r="I6579" t="s">
        <v>16373</v>
      </c>
      <c r="J6579" t="s">
        <v>16385</v>
      </c>
      <c r="K6579">
        <v>0.277</v>
      </c>
      <c r="L6579">
        <v>12075</v>
      </c>
      <c r="N6579" t="s">
        <v>16392</v>
      </c>
      <c r="O6579" s="4">
        <v>150540</v>
      </c>
      <c r="P6579" s="4">
        <v>0</v>
      </c>
      <c r="Q6579" s="4">
        <v>150540</v>
      </c>
      <c r="R6579" s="4">
        <v>451620</v>
      </c>
      <c r="S6579" t="s">
        <v>22759</v>
      </c>
      <c r="X6579" t="s">
        <v>3</v>
      </c>
      <c r="AA6579" s="5" t="str">
        <f>HYPERLINK("https://www.zillow.com/homes/CROSS-ST-WHEATON-IL-60187_rb/","check listing")</f>
        <v>check listing</v>
      </c>
      <c r="AB6579" s="5" t="str">
        <f>HYPERLINK("https://propertylookup.dupagecounty.gov/Datalets/Datalet.aspx?UseSearch=no&amp;mode=sales&amp;pin=0516303025","sales record")</f>
        <v>sales record</v>
      </c>
      <c r="AC6579" t="s">
        <v>27872</v>
      </c>
      <c r="AD6579">
        <v>41.865755</v>
      </c>
      <c r="AE6579">
        <v>-88.10553899999999</v>
      </c>
      <c r="AF6579" s="5" t="str">
        <f>HYPERLINK("https://www.google.com/maps/search/?api=1&amp;query=41.865755,-88.105539","map")</f>
        <v>map</v>
      </c>
    </row>
    <row r="6580" spans="1:32">
      <c r="A6580" t="s">
        <v>6630</v>
      </c>
      <c r="B6580" t="s">
        <v>14105</v>
      </c>
      <c r="C6580" t="s">
        <v>15426</v>
      </c>
      <c r="D6580" t="s">
        <v>16212</v>
      </c>
      <c r="E6580" t="s">
        <v>16217</v>
      </c>
      <c r="F6580" t="s">
        <v>16222</v>
      </c>
      <c r="G6580" t="s">
        <v>16292</v>
      </c>
      <c r="H6580" t="s">
        <v>16292</v>
      </c>
      <c r="I6580" t="s">
        <v>16373</v>
      </c>
      <c r="J6580" t="s">
        <v>16385</v>
      </c>
      <c r="K6580">
        <v>0.229</v>
      </c>
      <c r="L6580">
        <v>9969</v>
      </c>
      <c r="N6580" t="s">
        <v>16392</v>
      </c>
      <c r="O6580" s="4">
        <v>123439</v>
      </c>
      <c r="P6580" s="4">
        <v>0</v>
      </c>
      <c r="Q6580" s="4">
        <v>123439</v>
      </c>
      <c r="R6580" s="4">
        <v>370317</v>
      </c>
      <c r="S6580" t="s">
        <v>22760</v>
      </c>
      <c r="T6580" s="6">
        <v>45202</v>
      </c>
      <c r="U6580" s="4">
        <v>130000</v>
      </c>
      <c r="V6580" t="s">
        <v>23741</v>
      </c>
      <c r="W6580" t="s">
        <v>27347</v>
      </c>
      <c r="X6580" t="s">
        <v>3</v>
      </c>
      <c r="AA6580" s="5" t="str">
        <f>HYPERLINK("https://www.zillow.com/homes/214-S-WEST-ST-WHEATON-IL-60187_rb/","check listing")</f>
        <v>check listing</v>
      </c>
      <c r="AB6580" s="5" t="str">
        <f>HYPERLINK("https://propertylookup.dupagecounty.gov/Datalets/Datalet.aspx?UseSearch=no&amp;mode=sales&amp;pin=0517411006","sales record")</f>
        <v>sales record</v>
      </c>
      <c r="AC6580" t="s">
        <v>3</v>
      </c>
      <c r="AD6580">
        <v>41.863358</v>
      </c>
      <c r="AE6580">
        <v>-88.111906</v>
      </c>
      <c r="AF6580" s="5" t="str">
        <f>HYPERLINK("https://www.google.com/maps/search/?api=1&amp;query=41.863358,-88.111906","map")</f>
        <v>map</v>
      </c>
    </row>
    <row r="6581" spans="1:32">
      <c r="A6581" t="s">
        <v>6631</v>
      </c>
      <c r="B6581" t="s">
        <v>14106</v>
      </c>
      <c r="C6581" t="s">
        <v>16070</v>
      </c>
      <c r="D6581" t="s">
        <v>16212</v>
      </c>
      <c r="E6581" t="s">
        <v>16217</v>
      </c>
      <c r="F6581" t="s">
        <v>16222</v>
      </c>
      <c r="G6581" t="s">
        <v>16294</v>
      </c>
      <c r="H6581" t="s">
        <v>16294</v>
      </c>
      <c r="I6581" t="s">
        <v>16371</v>
      </c>
      <c r="J6581" t="s">
        <v>16385</v>
      </c>
      <c r="K6581">
        <v>0.214</v>
      </c>
      <c r="L6581">
        <v>9330</v>
      </c>
      <c r="N6581" t="s">
        <v>16392</v>
      </c>
      <c r="O6581" s="4">
        <v>46532</v>
      </c>
      <c r="P6581" s="4">
        <v>0</v>
      </c>
      <c r="Q6581" s="4">
        <v>46532</v>
      </c>
      <c r="R6581" s="4">
        <v>139596</v>
      </c>
      <c r="S6581" t="s">
        <v>22761</v>
      </c>
      <c r="T6581" s="6">
        <v>46044</v>
      </c>
      <c r="U6581" s="4">
        <v>9200000</v>
      </c>
      <c r="V6581" t="s">
        <v>16232</v>
      </c>
      <c r="W6581" t="s">
        <v>27348</v>
      </c>
      <c r="X6581" t="s">
        <v>3</v>
      </c>
      <c r="AA6581" s="5" t="str">
        <f>HYPERLINK("https://www.zillow.com/homes/285-ROOSEVELT-RD-GLEN-ELLYN-IL-601375618_rb/","check listing")</f>
        <v>check listing</v>
      </c>
      <c r="AB6581" s="5" t="str">
        <f>HYPERLINK("https://propertylookup.dupagecounty.gov/Datalets/Datalet.aspx?UseSearch=no&amp;mode=sales&amp;pin=0522200028","sales record")</f>
        <v>sales record</v>
      </c>
      <c r="AC6581" t="s">
        <v>27872</v>
      </c>
      <c r="AD6581">
        <v>41.85853</v>
      </c>
      <c r="AE6581">
        <v>-88.07973800000001</v>
      </c>
      <c r="AF6581" s="5" t="str">
        <f>HYPERLINK("https://www.google.com/maps/search/?api=1&amp;query=41.85853,-88.079738","map")</f>
        <v>map</v>
      </c>
    </row>
    <row r="6582" spans="1:32">
      <c r="A6582" t="s">
        <v>6632</v>
      </c>
      <c r="B6582" t="s">
        <v>14107</v>
      </c>
      <c r="C6582" t="s">
        <v>15426</v>
      </c>
      <c r="D6582" t="s">
        <v>16212</v>
      </c>
      <c r="E6582" t="s">
        <v>16217</v>
      </c>
      <c r="F6582" t="s">
        <v>16222</v>
      </c>
      <c r="G6582" t="s">
        <v>16292</v>
      </c>
      <c r="H6582" t="s">
        <v>16292</v>
      </c>
      <c r="I6582" t="s">
        <v>16373</v>
      </c>
      <c r="J6582" t="s">
        <v>16385</v>
      </c>
      <c r="K6582">
        <v>0.203</v>
      </c>
      <c r="L6582">
        <v>8825</v>
      </c>
      <c r="N6582" t="s">
        <v>16392</v>
      </c>
      <c r="O6582" s="4">
        <v>110019</v>
      </c>
      <c r="P6582" s="4">
        <v>0</v>
      </c>
      <c r="Q6582" s="4">
        <v>110019</v>
      </c>
      <c r="R6582" s="4">
        <v>330057</v>
      </c>
      <c r="S6582" t="s">
        <v>22762</v>
      </c>
      <c r="T6582" s="6">
        <v>41456</v>
      </c>
      <c r="U6582" s="4">
        <v>385000</v>
      </c>
      <c r="V6582" t="s">
        <v>23739</v>
      </c>
      <c r="W6582" t="s">
        <v>27349</v>
      </c>
      <c r="X6582" t="s">
        <v>3</v>
      </c>
      <c r="AA6582" s="5" t="str">
        <f>HYPERLINK("https://www.zillow.com/homes/205-S-MAIN-ST-WHEATON-IL-60187_rb/","check listing")</f>
        <v>check listing</v>
      </c>
      <c r="AB6582" s="5" t="str">
        <f>HYPERLINK("https://propertylookup.dupagecounty.gov/Datalets/Datalet.aspx?UseSearch=no&amp;mode=sales&amp;pin=0516316012","sales record")</f>
        <v>sales record</v>
      </c>
      <c r="AC6582" t="s">
        <v>3</v>
      </c>
      <c r="AD6582">
        <v>41.863903</v>
      </c>
      <c r="AE6582">
        <v>-88.10638899999999</v>
      </c>
      <c r="AF6582" s="5" t="str">
        <f>HYPERLINK("https://www.google.com/maps/search/?api=1&amp;query=41.863903,-88.106389","map")</f>
        <v>map</v>
      </c>
    </row>
    <row r="6583" spans="1:32">
      <c r="A6583" t="s">
        <v>6633</v>
      </c>
      <c r="B6583" t="s">
        <v>14108</v>
      </c>
      <c r="C6583" t="s">
        <v>16071</v>
      </c>
      <c r="D6583" t="s">
        <v>16212</v>
      </c>
      <c r="E6583" t="s">
        <v>16217</v>
      </c>
      <c r="F6583" t="s">
        <v>16222</v>
      </c>
      <c r="G6583" t="s">
        <v>16294</v>
      </c>
      <c r="H6583" t="s">
        <v>16294</v>
      </c>
      <c r="I6583" t="s">
        <v>16371</v>
      </c>
      <c r="J6583" t="s">
        <v>16385</v>
      </c>
      <c r="K6583">
        <v>0.201</v>
      </c>
      <c r="L6583">
        <v>8744</v>
      </c>
      <c r="N6583" t="s">
        <v>16392</v>
      </c>
      <c r="O6583" s="4">
        <v>43598</v>
      </c>
      <c r="P6583" s="4">
        <v>0</v>
      </c>
      <c r="Q6583" s="4">
        <v>43598</v>
      </c>
      <c r="R6583" s="4">
        <v>130794</v>
      </c>
      <c r="S6583" t="s">
        <v>22763</v>
      </c>
      <c r="T6583" s="6">
        <v>39661</v>
      </c>
      <c r="U6583" s="4">
        <v>225000</v>
      </c>
      <c r="V6583" t="s">
        <v>23739</v>
      </c>
      <c r="W6583" t="s">
        <v>27350</v>
      </c>
      <c r="X6583" t="s">
        <v>3</v>
      </c>
      <c r="AA6583" s="5" t="str">
        <f>HYPERLINK("https://www.zillow.com/homes/1703-E-ROOSEVELT-RD-WHEATON-IL-601876837_rb/","check listing")</f>
        <v>check listing</v>
      </c>
      <c r="AB6583" s="5" t="str">
        <f>HYPERLINK("https://propertylookup.dupagecounty.gov/Datalets/Datalet.aspx?UseSearch=no&amp;mode=sales&amp;pin=0515327038","sales record")</f>
        <v>sales record</v>
      </c>
      <c r="AC6583" t="s">
        <v>3</v>
      </c>
      <c r="AD6583">
        <v>41.859457</v>
      </c>
      <c r="AE6583">
        <v>-88.083444</v>
      </c>
      <c r="AF6583" s="5" t="str">
        <f>HYPERLINK("https://www.google.com/maps/search/?api=1&amp;query=41.859457,-88.083444","map")</f>
        <v>map</v>
      </c>
    </row>
    <row r="6584" spans="1:32">
      <c r="A6584" t="s">
        <v>6634</v>
      </c>
      <c r="B6584" t="s">
        <v>14109</v>
      </c>
      <c r="C6584" t="s">
        <v>16072</v>
      </c>
      <c r="D6584" t="s">
        <v>16212</v>
      </c>
      <c r="E6584" t="s">
        <v>16217</v>
      </c>
      <c r="F6584" t="s">
        <v>16222</v>
      </c>
      <c r="G6584" t="s">
        <v>16294</v>
      </c>
      <c r="H6584" t="s">
        <v>16294</v>
      </c>
      <c r="I6584" t="s">
        <v>16371</v>
      </c>
      <c r="J6584" t="s">
        <v>16385</v>
      </c>
      <c r="K6584">
        <v>0.199</v>
      </c>
      <c r="L6584">
        <v>8669</v>
      </c>
      <c r="N6584" t="s">
        <v>16392</v>
      </c>
      <c r="O6584" s="4">
        <v>43244</v>
      </c>
      <c r="P6584" s="4">
        <v>0</v>
      </c>
      <c r="Q6584" s="4">
        <v>43244</v>
      </c>
      <c r="R6584" s="4">
        <v>129732</v>
      </c>
      <c r="S6584" t="s">
        <v>22763</v>
      </c>
      <c r="T6584" s="6">
        <v>39600</v>
      </c>
      <c r="U6584" s="4">
        <v>555000</v>
      </c>
      <c r="V6584" t="s">
        <v>23739</v>
      </c>
      <c r="W6584" t="s">
        <v>27350</v>
      </c>
      <c r="X6584" t="s">
        <v>3</v>
      </c>
      <c r="AA6584" s="5" t="str">
        <f>HYPERLINK("https://www.zillow.com/homes/1621-E-ROOSEVELT-RD-WHEATON-IL-601876807_rb/","check listing")</f>
        <v>check listing</v>
      </c>
      <c r="AB6584" s="5" t="str">
        <f>HYPERLINK("https://propertylookup.dupagecounty.gov/Datalets/Datalet.aspx?UseSearch=no&amp;mode=sales&amp;pin=0515327036","sales record")</f>
        <v>sales record</v>
      </c>
      <c r="AC6584" t="s">
        <v>3</v>
      </c>
      <c r="AD6584">
        <v>41.859445</v>
      </c>
      <c r="AE6584">
        <v>-88.083883</v>
      </c>
      <c r="AF6584" s="5" t="str">
        <f>HYPERLINK("https://www.google.com/maps/search/?api=1&amp;query=41.859445,-88.083883","map")</f>
        <v>map</v>
      </c>
    </row>
    <row r="6585" spans="1:32">
      <c r="A6585" t="s">
        <v>6635</v>
      </c>
      <c r="B6585" t="s">
        <v>14110</v>
      </c>
      <c r="C6585" t="s">
        <v>15426</v>
      </c>
      <c r="D6585" t="s">
        <v>16212</v>
      </c>
      <c r="E6585" t="s">
        <v>16217</v>
      </c>
      <c r="F6585" t="s">
        <v>16222</v>
      </c>
      <c r="G6585" t="s">
        <v>16294</v>
      </c>
      <c r="H6585" t="s">
        <v>16294</v>
      </c>
      <c r="I6585" t="s">
        <v>16371</v>
      </c>
      <c r="J6585" t="s">
        <v>16385</v>
      </c>
      <c r="K6585">
        <v>0.197</v>
      </c>
      <c r="L6585">
        <v>8603</v>
      </c>
      <c r="N6585" t="s">
        <v>16392</v>
      </c>
      <c r="O6585" s="4">
        <v>42891</v>
      </c>
      <c r="P6585" s="4">
        <v>0</v>
      </c>
      <c r="Q6585" s="4">
        <v>42891</v>
      </c>
      <c r="R6585" s="4">
        <v>128673</v>
      </c>
      <c r="S6585" t="s">
        <v>22764</v>
      </c>
      <c r="T6585" s="6">
        <v>45162</v>
      </c>
      <c r="U6585" s="4">
        <v>725000</v>
      </c>
      <c r="V6585" t="s">
        <v>23741</v>
      </c>
      <c r="W6585" t="s">
        <v>27351</v>
      </c>
      <c r="X6585" t="s">
        <v>3</v>
      </c>
      <c r="AA6585" s="5" t="str">
        <f>HYPERLINK("https://www.zillow.com/homes/1501-E-ROOSEVELT-RD-WHEATON-IL-60187_rb/","check listing")</f>
        <v>check listing</v>
      </c>
      <c r="AB6585" s="5" t="str">
        <f>HYPERLINK("https://propertylookup.dupagecounty.gov/Datalets/Datalet.aspx?UseSearch=no&amp;mode=sales&amp;pin=0515326026","sales record")</f>
        <v>sales record</v>
      </c>
      <c r="AC6585" t="s">
        <v>3</v>
      </c>
      <c r="AD6585">
        <v>41.859408</v>
      </c>
      <c r="AE6585">
        <v>-88.085751</v>
      </c>
      <c r="AF6585" s="5" t="str">
        <f>HYPERLINK("https://www.google.com/maps/search/?api=1&amp;query=41.859408,-88.085751","map")</f>
        <v>map</v>
      </c>
    </row>
    <row r="6586" spans="1:32">
      <c r="A6586" t="s">
        <v>6636</v>
      </c>
      <c r="B6586" t="s">
        <v>14109</v>
      </c>
      <c r="C6586" t="s">
        <v>16072</v>
      </c>
      <c r="D6586" t="s">
        <v>16212</v>
      </c>
      <c r="E6586" t="s">
        <v>16217</v>
      </c>
      <c r="F6586" t="s">
        <v>16222</v>
      </c>
      <c r="G6586" t="s">
        <v>16294</v>
      </c>
      <c r="H6586" t="s">
        <v>16294</v>
      </c>
      <c r="I6586" t="s">
        <v>16371</v>
      </c>
      <c r="J6586" t="s">
        <v>16385</v>
      </c>
      <c r="K6586">
        <v>0.197</v>
      </c>
      <c r="L6586">
        <v>8601</v>
      </c>
      <c r="N6586" t="s">
        <v>16392</v>
      </c>
      <c r="O6586" s="4">
        <v>42891</v>
      </c>
      <c r="P6586" s="4">
        <v>0</v>
      </c>
      <c r="Q6586" s="4">
        <v>42891</v>
      </c>
      <c r="R6586" s="4">
        <v>128673</v>
      </c>
      <c r="S6586" t="s">
        <v>22763</v>
      </c>
      <c r="T6586" s="6">
        <v>39052</v>
      </c>
      <c r="U6586" s="4">
        <v>460000</v>
      </c>
      <c r="V6586" t="s">
        <v>23740</v>
      </c>
      <c r="W6586" t="s">
        <v>27352</v>
      </c>
      <c r="X6586" t="s">
        <v>3</v>
      </c>
      <c r="AA6586" s="5" t="str">
        <f>HYPERLINK("https://www.zillow.com/homes/1621-E-ROOSEVELT-RD-WHEATON-IL-601876807_rb/","check listing")</f>
        <v>check listing</v>
      </c>
      <c r="AB6586" s="5" t="str">
        <f>HYPERLINK("https://propertylookup.dupagecounty.gov/Datalets/Datalet.aspx?UseSearch=no&amp;mode=sales&amp;pin=0515327037","sales record")</f>
        <v>sales record</v>
      </c>
      <c r="AC6586" t="s">
        <v>3</v>
      </c>
      <c r="AD6586">
        <v>41.859451</v>
      </c>
      <c r="AE6586">
        <v>-88.083663</v>
      </c>
      <c r="AF6586" s="5" t="str">
        <f>HYPERLINK("https://www.google.com/maps/search/?api=1&amp;query=41.859451,-88.083663","map")</f>
        <v>map</v>
      </c>
    </row>
    <row r="6587" spans="1:32">
      <c r="A6587" t="s">
        <v>6637</v>
      </c>
      <c r="B6587" t="s">
        <v>14111</v>
      </c>
      <c r="C6587" t="s">
        <v>15426</v>
      </c>
      <c r="D6587" t="s">
        <v>16212</v>
      </c>
      <c r="E6587" t="s">
        <v>16217</v>
      </c>
      <c r="F6587" t="s">
        <v>16222</v>
      </c>
      <c r="G6587" t="s">
        <v>16294</v>
      </c>
      <c r="H6587" t="s">
        <v>16294</v>
      </c>
      <c r="I6587" t="s">
        <v>16371</v>
      </c>
      <c r="J6587" t="s">
        <v>16385</v>
      </c>
      <c r="K6587">
        <v>0.197</v>
      </c>
      <c r="L6587">
        <v>8569</v>
      </c>
      <c r="N6587" t="s">
        <v>16392</v>
      </c>
      <c r="O6587" s="4">
        <v>42726</v>
      </c>
      <c r="P6587" s="4">
        <v>0</v>
      </c>
      <c r="Q6587" s="4">
        <v>42726</v>
      </c>
      <c r="R6587" s="4">
        <v>128178</v>
      </c>
      <c r="S6587" t="s">
        <v>22765</v>
      </c>
      <c r="X6587" t="s">
        <v>3</v>
      </c>
      <c r="AA6587" s="5" t="str">
        <f>HYPERLINK("https://www.zillow.com/homes/1831-E-ROOSEVELT-RD-WHEATON-IL-60187_rb/","check listing")</f>
        <v>check listing</v>
      </c>
      <c r="AB6587" s="5" t="str">
        <f>HYPERLINK("https://propertylookup.dupagecounty.gov/Datalets/Datalet.aspx?UseSearch=no&amp;mode=sales&amp;pin=0515417040","sales record")</f>
        <v>sales record</v>
      </c>
      <c r="AC6587" t="s">
        <v>27872</v>
      </c>
      <c r="AD6587">
        <v>41.859483</v>
      </c>
      <c r="AE6587">
        <v>-88.080506</v>
      </c>
      <c r="AF6587" s="5" t="str">
        <f>HYPERLINK("https://www.google.com/maps/search/?api=1&amp;query=41.859483,-88.080506","map")</f>
        <v>map</v>
      </c>
    </row>
    <row r="6588" spans="1:32">
      <c r="A6588" t="s">
        <v>6638</v>
      </c>
      <c r="B6588" t="s">
        <v>14112</v>
      </c>
      <c r="C6588" t="s">
        <v>16073</v>
      </c>
      <c r="D6588" t="s">
        <v>16212</v>
      </c>
      <c r="E6588" t="s">
        <v>16217</v>
      </c>
      <c r="F6588" t="s">
        <v>16222</v>
      </c>
      <c r="G6588" t="s">
        <v>16291</v>
      </c>
      <c r="H6588" t="s">
        <v>16291</v>
      </c>
      <c r="I6588" t="s">
        <v>16372</v>
      </c>
      <c r="J6588" t="s">
        <v>16385</v>
      </c>
      <c r="K6588">
        <v>0.181</v>
      </c>
      <c r="L6588">
        <v>7905</v>
      </c>
      <c r="N6588" t="s">
        <v>16392</v>
      </c>
      <c r="O6588" s="4">
        <v>39426</v>
      </c>
      <c r="P6588" s="4">
        <v>0</v>
      </c>
      <c r="Q6588" s="4">
        <v>39426</v>
      </c>
      <c r="R6588" s="4">
        <v>118278</v>
      </c>
      <c r="S6588" t="s">
        <v>22766</v>
      </c>
      <c r="X6588" t="s">
        <v>3</v>
      </c>
      <c r="AA6588" s="5" t="str">
        <f>HYPERLINK("https://www.zillow.com/homes/517-W-ROOSEVELT-RD-WHEATON-IL-601875057_rb/","check listing")</f>
        <v>check listing</v>
      </c>
      <c r="AB6588" s="5" t="str">
        <f>HYPERLINK("https://propertylookup.dupagecounty.gov/Datalets/Datalet.aspx?UseSearch=no&amp;mode=sales&amp;pin=0517420073","sales record")</f>
        <v>sales record</v>
      </c>
      <c r="AC6588" t="s">
        <v>3</v>
      </c>
      <c r="AD6588">
        <v>41.85896</v>
      </c>
      <c r="AE6588">
        <v>-88.113675</v>
      </c>
      <c r="AF6588" s="5" t="str">
        <f>HYPERLINK("https://www.google.com/maps/search/?api=1&amp;query=41.85896,-88.113675","map")</f>
        <v>map</v>
      </c>
    </row>
    <row r="6589" spans="1:32">
      <c r="A6589" t="s">
        <v>6639</v>
      </c>
      <c r="B6589" t="s">
        <v>14113</v>
      </c>
      <c r="C6589" t="s">
        <v>16074</v>
      </c>
      <c r="D6589" t="s">
        <v>16212</v>
      </c>
      <c r="E6589" t="s">
        <v>16217</v>
      </c>
      <c r="F6589" t="s">
        <v>16222</v>
      </c>
      <c r="G6589" t="s">
        <v>16292</v>
      </c>
      <c r="H6589" t="s">
        <v>16292</v>
      </c>
      <c r="I6589" t="s">
        <v>16373</v>
      </c>
      <c r="J6589" t="s">
        <v>16385</v>
      </c>
      <c r="K6589">
        <v>0.172</v>
      </c>
      <c r="L6589">
        <v>7483</v>
      </c>
      <c r="N6589" t="s">
        <v>16392</v>
      </c>
      <c r="O6589" s="4">
        <v>92568</v>
      </c>
      <c r="P6589" s="4">
        <v>0</v>
      </c>
      <c r="Q6589" s="4">
        <v>92568</v>
      </c>
      <c r="R6589" s="4">
        <v>277704</v>
      </c>
      <c r="S6589" t="s">
        <v>22767</v>
      </c>
      <c r="X6589" t="s">
        <v>3</v>
      </c>
      <c r="AA6589" s="5" t="str">
        <f>HYPERLINK("https://www.zillow.com/homes/402-W-LIBERTY-DR-WHEATON-IL-601874993_rb/","check listing")</f>
        <v>check listing</v>
      </c>
      <c r="AB6589" s="5" t="str">
        <f>HYPERLINK("https://propertylookup.dupagecounty.gov/Datalets/Datalet.aspx?UseSearch=no&amp;mode=sales&amp;pin=0517411003","sales record")</f>
        <v>sales record</v>
      </c>
      <c r="AC6589" t="s">
        <v>27872</v>
      </c>
      <c r="AD6589">
        <v>41.863723</v>
      </c>
      <c r="AE6589">
        <v>-88.11190999999999</v>
      </c>
      <c r="AF6589" s="5" t="str">
        <f>HYPERLINK("https://www.google.com/maps/search/?api=1&amp;query=41.863723,-88.11191","map")</f>
        <v>map</v>
      </c>
    </row>
    <row r="6590" spans="1:32">
      <c r="A6590" t="s">
        <v>6640</v>
      </c>
      <c r="B6590" t="s">
        <v>14114</v>
      </c>
      <c r="C6590" t="s">
        <v>15426</v>
      </c>
      <c r="D6590" t="s">
        <v>16212</v>
      </c>
      <c r="E6590" t="s">
        <v>16217</v>
      </c>
      <c r="F6590" t="s">
        <v>16222</v>
      </c>
      <c r="G6590" t="s">
        <v>16294</v>
      </c>
      <c r="H6590" t="s">
        <v>16294</v>
      </c>
      <c r="I6590" t="s">
        <v>16371</v>
      </c>
      <c r="J6590" t="s">
        <v>16385</v>
      </c>
      <c r="K6590">
        <v>0.17</v>
      </c>
      <c r="L6590">
        <v>7387</v>
      </c>
      <c r="N6590" t="s">
        <v>16392</v>
      </c>
      <c r="O6590" s="4">
        <v>36834</v>
      </c>
      <c r="P6590" s="4">
        <v>0</v>
      </c>
      <c r="Q6590" s="4">
        <v>36834</v>
      </c>
      <c r="R6590" s="4">
        <v>110502</v>
      </c>
      <c r="S6590" t="s">
        <v>22768</v>
      </c>
      <c r="T6590" s="6">
        <v>33939</v>
      </c>
      <c r="U6590" s="4">
        <v>449500</v>
      </c>
      <c r="X6590" t="s">
        <v>3</v>
      </c>
      <c r="AA6590" s="5" t="str">
        <f>HYPERLINK("https://www.zillow.com/homes/1506-E-ROOSEVELT-RD-WHEATON-IL-60187_rb/","check listing")</f>
        <v>check listing</v>
      </c>
      <c r="AB6590" s="5" t="str">
        <f>HYPERLINK("https://propertylookup.dupagecounty.gov/Datalets/Datalet.aspx?UseSearch=no&amp;mode=sales&amp;pin=0522102011","sales record")</f>
        <v>sales record</v>
      </c>
      <c r="AC6590" t="s">
        <v>27872</v>
      </c>
      <c r="AD6590">
        <v>41.858471</v>
      </c>
      <c r="AE6590">
        <v>-88.085537</v>
      </c>
      <c r="AF6590" s="5" t="str">
        <f>HYPERLINK("https://www.google.com/maps/search/?api=1&amp;query=41.858471,-88.085537","map")</f>
        <v>map</v>
      </c>
    </row>
    <row r="6591" spans="1:32">
      <c r="A6591" t="s">
        <v>6641</v>
      </c>
      <c r="B6591" t="s">
        <v>14114</v>
      </c>
      <c r="C6591" t="s">
        <v>15426</v>
      </c>
      <c r="D6591" t="s">
        <v>16212</v>
      </c>
      <c r="E6591" t="s">
        <v>16217</v>
      </c>
      <c r="F6591" t="s">
        <v>16222</v>
      </c>
      <c r="G6591" t="s">
        <v>16294</v>
      </c>
      <c r="H6591" t="s">
        <v>16294</v>
      </c>
      <c r="I6591" t="s">
        <v>16371</v>
      </c>
      <c r="J6591" t="s">
        <v>16385</v>
      </c>
      <c r="K6591">
        <v>0.17</v>
      </c>
      <c r="L6591">
        <v>7387</v>
      </c>
      <c r="N6591" t="s">
        <v>16392</v>
      </c>
      <c r="O6591" s="4">
        <v>36834</v>
      </c>
      <c r="P6591" s="4">
        <v>0</v>
      </c>
      <c r="Q6591" s="4">
        <v>36834</v>
      </c>
      <c r="R6591" s="4">
        <v>110502</v>
      </c>
      <c r="S6591" t="s">
        <v>22768</v>
      </c>
      <c r="X6591" t="s">
        <v>3</v>
      </c>
      <c r="AA6591" s="5" t="str">
        <f>HYPERLINK("https://www.zillow.com/homes/1506-E-ROOSEVELT-RD-WHEATON-IL-60187_rb/","check listing")</f>
        <v>check listing</v>
      </c>
      <c r="AB6591" s="5" t="str">
        <f>HYPERLINK("https://propertylookup.dupagecounty.gov/Datalets/Datalet.aspx?UseSearch=no&amp;mode=sales&amp;pin=0522102012","sales record")</f>
        <v>sales record</v>
      </c>
      <c r="AC6591" t="s">
        <v>27872</v>
      </c>
      <c r="AD6591">
        <v>41.858475</v>
      </c>
      <c r="AE6591">
        <v>-88.085331</v>
      </c>
      <c r="AF6591" s="5" t="str">
        <f>HYPERLINK("https://www.google.com/maps/search/?api=1&amp;query=41.858475,-88.085331","map")</f>
        <v>map</v>
      </c>
    </row>
    <row r="6592" spans="1:32">
      <c r="A6592" t="s">
        <v>6642</v>
      </c>
      <c r="B6592" t="s">
        <v>14115</v>
      </c>
      <c r="C6592" t="s">
        <v>15426</v>
      </c>
      <c r="D6592" t="s">
        <v>16212</v>
      </c>
      <c r="E6592" t="s">
        <v>16217</v>
      </c>
      <c r="F6592" t="s">
        <v>16222</v>
      </c>
      <c r="G6592" t="s">
        <v>16291</v>
      </c>
      <c r="H6592" t="s">
        <v>16291</v>
      </c>
      <c r="I6592" t="s">
        <v>16372</v>
      </c>
      <c r="J6592" t="s">
        <v>16385</v>
      </c>
      <c r="K6592">
        <v>0.167</v>
      </c>
      <c r="L6592">
        <v>7271</v>
      </c>
      <c r="N6592" t="s">
        <v>16392</v>
      </c>
      <c r="O6592" s="4">
        <v>36151</v>
      </c>
      <c r="P6592" s="4">
        <v>0</v>
      </c>
      <c r="Q6592" s="4">
        <v>36151</v>
      </c>
      <c r="R6592" s="4">
        <v>108453</v>
      </c>
      <c r="S6592" t="s">
        <v>22769</v>
      </c>
      <c r="T6592" s="6">
        <v>43374</v>
      </c>
      <c r="U6592" s="4">
        <v>95000</v>
      </c>
      <c r="V6592" t="s">
        <v>23739</v>
      </c>
      <c r="W6592" t="s">
        <v>22769</v>
      </c>
      <c r="X6592" t="s">
        <v>3</v>
      </c>
      <c r="AA6592" s="5" t="str">
        <f>HYPERLINK("https://www.zillow.com/homes/211-W-ROOSEVELT-RD-WHEATON-IL-60187_rb/","check listing")</f>
        <v>check listing</v>
      </c>
      <c r="AB6592" s="5" t="str">
        <f>HYPERLINK("https://propertylookup.dupagecounty.gov/Datalets/Datalet.aspx?UseSearch=no&amp;mode=sales&amp;pin=0516336015","sales record")</f>
        <v>sales record</v>
      </c>
      <c r="AC6592" t="s">
        <v>3</v>
      </c>
      <c r="AD6592">
        <v>41.859011</v>
      </c>
      <c r="AE6592">
        <v>-88.10897</v>
      </c>
      <c r="AF6592" s="5" t="str">
        <f>HYPERLINK("https://www.google.com/maps/search/?api=1&amp;query=41.859011,-88.10897","map")</f>
        <v>map</v>
      </c>
    </row>
    <row r="6593" spans="1:32">
      <c r="A6593" t="s">
        <v>6643</v>
      </c>
      <c r="B6593" t="s">
        <v>14116</v>
      </c>
      <c r="C6593" t="s">
        <v>15426</v>
      </c>
      <c r="D6593" t="s">
        <v>16212</v>
      </c>
      <c r="E6593" t="s">
        <v>16217</v>
      </c>
      <c r="F6593" t="s">
        <v>16222</v>
      </c>
      <c r="G6593" t="s">
        <v>16294</v>
      </c>
      <c r="H6593" t="s">
        <v>16294</v>
      </c>
      <c r="I6593" t="s">
        <v>16371</v>
      </c>
      <c r="J6593" t="s">
        <v>16385</v>
      </c>
      <c r="K6593">
        <v>0.167</v>
      </c>
      <c r="L6593">
        <v>7255</v>
      </c>
      <c r="N6593" t="s">
        <v>16392</v>
      </c>
      <c r="O6593" s="4">
        <v>36186</v>
      </c>
      <c r="P6593" s="4">
        <v>0</v>
      </c>
      <c r="Q6593" s="4">
        <v>36186</v>
      </c>
      <c r="R6593" s="4">
        <v>108558</v>
      </c>
      <c r="S6593" t="s">
        <v>22770</v>
      </c>
      <c r="T6593" s="6">
        <v>36312</v>
      </c>
      <c r="U6593" s="4">
        <v>860000</v>
      </c>
      <c r="X6593" t="s">
        <v>3</v>
      </c>
      <c r="AA6593" s="5" t="str">
        <f>HYPERLINK("https://www.zillow.com/homes/1616-E-ROOSEVELT-RD-WHEATON-IL-60187_rb/","check listing")</f>
        <v>check listing</v>
      </c>
      <c r="AB6593" s="5" t="str">
        <f>HYPERLINK("https://propertylookup.dupagecounty.gov/Datalets/Datalet.aspx?UseSearch=no&amp;mode=sales&amp;pin=0522103013","sales record")</f>
        <v>sales record</v>
      </c>
      <c r="AC6593" t="s">
        <v>27872</v>
      </c>
      <c r="AD6593">
        <v>41.858496</v>
      </c>
      <c r="AE6593">
        <v>-88.08386900000001</v>
      </c>
      <c r="AF6593" s="5" t="str">
        <f>HYPERLINK("https://www.google.com/maps/search/?api=1&amp;query=41.858496,-88.083869","map")</f>
        <v>map</v>
      </c>
    </row>
    <row r="6594" spans="1:32">
      <c r="A6594" t="s">
        <v>6644</v>
      </c>
      <c r="B6594" t="s">
        <v>14116</v>
      </c>
      <c r="C6594" t="s">
        <v>15426</v>
      </c>
      <c r="D6594" t="s">
        <v>16212</v>
      </c>
      <c r="E6594" t="s">
        <v>16217</v>
      </c>
      <c r="F6594" t="s">
        <v>16222</v>
      </c>
      <c r="G6594" t="s">
        <v>16294</v>
      </c>
      <c r="H6594" t="s">
        <v>16294</v>
      </c>
      <c r="I6594" t="s">
        <v>16371</v>
      </c>
      <c r="J6594" t="s">
        <v>16385</v>
      </c>
      <c r="K6594">
        <v>0.167</v>
      </c>
      <c r="L6594">
        <v>7255</v>
      </c>
      <c r="N6594" t="s">
        <v>16392</v>
      </c>
      <c r="O6594" s="4">
        <v>36186</v>
      </c>
      <c r="P6594" s="4">
        <v>0</v>
      </c>
      <c r="Q6594" s="4">
        <v>36186</v>
      </c>
      <c r="R6594" s="4">
        <v>108558</v>
      </c>
      <c r="S6594" t="s">
        <v>22770</v>
      </c>
      <c r="X6594" t="s">
        <v>3</v>
      </c>
      <c r="AA6594" s="5" t="str">
        <f>HYPERLINK("https://www.zillow.com/homes/1616-E-ROOSEVELT-RD-WHEATON-IL-60187_rb/","check listing")</f>
        <v>check listing</v>
      </c>
      <c r="AB6594" s="5" t="str">
        <f>HYPERLINK("https://propertylookup.dupagecounty.gov/Datalets/Datalet.aspx?UseSearch=no&amp;mode=sales&amp;pin=0522103014","sales record")</f>
        <v>sales record</v>
      </c>
      <c r="AC6594" t="s">
        <v>27872</v>
      </c>
      <c r="AD6594">
        <v>41.858503</v>
      </c>
      <c r="AE6594">
        <v>-88.08366700000001</v>
      </c>
      <c r="AF6594" s="5" t="str">
        <f>HYPERLINK("https://www.google.com/maps/search/?api=1&amp;query=41.858503,-88.083667","map")</f>
        <v>map</v>
      </c>
    </row>
    <row r="6595" spans="1:32">
      <c r="A6595" t="s">
        <v>6645</v>
      </c>
      <c r="B6595" t="s">
        <v>14117</v>
      </c>
      <c r="C6595" t="s">
        <v>15426</v>
      </c>
      <c r="D6595" t="s">
        <v>16212</v>
      </c>
      <c r="E6595" t="s">
        <v>16217</v>
      </c>
      <c r="F6595" t="s">
        <v>16222</v>
      </c>
      <c r="G6595" t="s">
        <v>16294</v>
      </c>
      <c r="H6595" t="s">
        <v>16294</v>
      </c>
      <c r="I6595" t="s">
        <v>16371</v>
      </c>
      <c r="J6595" t="s">
        <v>16385</v>
      </c>
      <c r="K6595">
        <v>0.167</v>
      </c>
      <c r="L6595">
        <v>7254</v>
      </c>
      <c r="N6595" t="s">
        <v>16392</v>
      </c>
      <c r="O6595" s="4">
        <v>36186</v>
      </c>
      <c r="P6595" s="4">
        <v>0</v>
      </c>
      <c r="Q6595" s="4">
        <v>36186</v>
      </c>
      <c r="R6595" s="4">
        <v>108558</v>
      </c>
      <c r="S6595" t="s">
        <v>22771</v>
      </c>
      <c r="T6595" s="6">
        <v>41000</v>
      </c>
      <c r="U6595" s="4">
        <v>1200000</v>
      </c>
      <c r="V6595" t="s">
        <v>23739</v>
      </c>
      <c r="W6595" t="s">
        <v>27353</v>
      </c>
      <c r="X6595" t="s">
        <v>3</v>
      </c>
      <c r="AA6595" s="5" t="str">
        <f>HYPERLINK("https://www.zillow.com/homes/1800-E-ROOSEVELT-RD-WHEATON-IL-60187_rb/","check listing")</f>
        <v>check listing</v>
      </c>
      <c r="AB6595" s="5" t="str">
        <f>HYPERLINK("https://propertylookup.dupagecounty.gov/Datalets/Datalet.aspx?UseSearch=no&amp;mode=sales&amp;pin=0522200006","sales record")</f>
        <v>sales record</v>
      </c>
      <c r="AC6595" t="s">
        <v>27872</v>
      </c>
      <c r="AD6595">
        <v>41.858532</v>
      </c>
      <c r="AE6595">
        <v>-88.08201200000001</v>
      </c>
      <c r="AF6595" s="5" t="str">
        <f>HYPERLINK("https://www.google.com/maps/search/?api=1&amp;query=41.858532,-88.082012","map")</f>
        <v>map</v>
      </c>
    </row>
    <row r="6596" spans="1:32">
      <c r="A6596" t="s">
        <v>6646</v>
      </c>
      <c r="B6596" t="s">
        <v>14116</v>
      </c>
      <c r="C6596" t="s">
        <v>15426</v>
      </c>
      <c r="D6596" t="s">
        <v>16212</v>
      </c>
      <c r="E6596" t="s">
        <v>16217</v>
      </c>
      <c r="F6596" t="s">
        <v>16222</v>
      </c>
      <c r="G6596" t="s">
        <v>16294</v>
      </c>
      <c r="H6596" t="s">
        <v>16294</v>
      </c>
      <c r="I6596" t="s">
        <v>16371</v>
      </c>
      <c r="J6596" t="s">
        <v>16385</v>
      </c>
      <c r="K6596">
        <v>0.167</v>
      </c>
      <c r="L6596">
        <v>7254</v>
      </c>
      <c r="N6596" t="s">
        <v>16392</v>
      </c>
      <c r="O6596" s="4">
        <v>36186</v>
      </c>
      <c r="P6596" s="4">
        <v>0</v>
      </c>
      <c r="Q6596" s="4">
        <v>36186</v>
      </c>
      <c r="R6596" s="4">
        <v>108558</v>
      </c>
      <c r="S6596" t="s">
        <v>22770</v>
      </c>
      <c r="X6596" t="s">
        <v>3</v>
      </c>
      <c r="AA6596" s="5" t="str">
        <f>HYPERLINK("https://www.zillow.com/homes/1616-E-ROOSEVELT-RD-WHEATON-IL-60187_rb/","check listing")</f>
        <v>check listing</v>
      </c>
      <c r="AB6596" s="5" t="str">
        <f>HYPERLINK("https://propertylookup.dupagecounty.gov/Datalets/Datalet.aspx?UseSearch=no&amp;mode=sales&amp;pin=0522103015","sales record")</f>
        <v>sales record</v>
      </c>
      <c r="AC6596" t="s">
        <v>27872</v>
      </c>
      <c r="AD6596">
        <v>41.858507</v>
      </c>
      <c r="AE6596">
        <v>-88.083465</v>
      </c>
      <c r="AF6596" s="5" t="str">
        <f>HYPERLINK("https://www.google.com/maps/search/?api=1&amp;query=41.858507,-88.083465","map")</f>
        <v>map</v>
      </c>
    </row>
    <row r="6597" spans="1:32">
      <c r="A6597" t="s">
        <v>6647</v>
      </c>
      <c r="B6597" t="s">
        <v>14112</v>
      </c>
      <c r="C6597" t="s">
        <v>16073</v>
      </c>
      <c r="D6597" t="s">
        <v>16212</v>
      </c>
      <c r="E6597" t="s">
        <v>16217</v>
      </c>
      <c r="F6597" t="s">
        <v>16222</v>
      </c>
      <c r="G6597" t="s">
        <v>16291</v>
      </c>
      <c r="H6597" t="s">
        <v>16291</v>
      </c>
      <c r="I6597" t="s">
        <v>16372</v>
      </c>
      <c r="J6597" t="s">
        <v>16385</v>
      </c>
      <c r="K6597">
        <v>0.165</v>
      </c>
      <c r="L6597">
        <v>7169</v>
      </c>
      <c r="N6597" t="s">
        <v>16392</v>
      </c>
      <c r="O6597" s="4">
        <v>35761</v>
      </c>
      <c r="P6597" s="4">
        <v>0</v>
      </c>
      <c r="Q6597" s="4">
        <v>35761</v>
      </c>
      <c r="R6597" s="4">
        <v>107283</v>
      </c>
      <c r="S6597" t="s">
        <v>22766</v>
      </c>
      <c r="T6597" s="6">
        <v>43556</v>
      </c>
      <c r="U6597" s="4">
        <v>110000</v>
      </c>
      <c r="V6597" t="s">
        <v>23740</v>
      </c>
      <c r="W6597" t="s">
        <v>27354</v>
      </c>
      <c r="X6597" t="s">
        <v>3</v>
      </c>
      <c r="AA6597" s="5" t="str">
        <f>HYPERLINK("https://www.zillow.com/homes/517-W-ROOSEVELT-RD-WHEATON-IL-601875057_rb/","check listing")</f>
        <v>check listing</v>
      </c>
      <c r="AB6597" s="5" t="str">
        <f>HYPERLINK("https://propertylookup.dupagecounty.gov/Datalets/Datalet.aspx?UseSearch=no&amp;mode=sales&amp;pin=0517420072","sales record")</f>
        <v>sales record</v>
      </c>
      <c r="AC6597" t="s">
        <v>3</v>
      </c>
      <c r="AD6597">
        <v>41.858959</v>
      </c>
      <c r="AE6597">
        <v>-88.113877</v>
      </c>
      <c r="AF6597" s="5" t="str">
        <f>HYPERLINK("https://www.google.com/maps/search/?api=1&amp;query=41.858959,-88.113877","map")</f>
        <v>map</v>
      </c>
    </row>
    <row r="6598" spans="1:32">
      <c r="A6598" t="s">
        <v>6648</v>
      </c>
      <c r="B6598" t="s">
        <v>14118</v>
      </c>
      <c r="C6598" t="s">
        <v>15426</v>
      </c>
      <c r="D6598" t="s">
        <v>16212</v>
      </c>
      <c r="E6598" t="s">
        <v>16217</v>
      </c>
      <c r="F6598" t="s">
        <v>16222</v>
      </c>
      <c r="G6598" t="s">
        <v>16292</v>
      </c>
      <c r="H6598" t="s">
        <v>16292</v>
      </c>
      <c r="I6598" t="s">
        <v>16373</v>
      </c>
      <c r="J6598" t="s">
        <v>16385</v>
      </c>
      <c r="K6598">
        <v>0.161</v>
      </c>
      <c r="L6598">
        <v>7019</v>
      </c>
      <c r="M6598">
        <v>1583</v>
      </c>
      <c r="N6598" t="s">
        <v>16392</v>
      </c>
      <c r="O6598" s="4">
        <v>57077</v>
      </c>
      <c r="P6598" s="4">
        <v>0</v>
      </c>
      <c r="Q6598" s="4">
        <v>57077</v>
      </c>
      <c r="R6598" s="4">
        <v>171231</v>
      </c>
      <c r="S6598" t="s">
        <v>22772</v>
      </c>
      <c r="X6598" t="s">
        <v>3</v>
      </c>
      <c r="AA6598" s="5" t="str">
        <f>HYPERLINK("https://www.zillow.com/homes/108-W-WILLOW-WHEATON-IL-60187_rb/","check listing")</f>
        <v>check listing</v>
      </c>
      <c r="AB6598" s="5" t="str">
        <f>HYPERLINK("https://propertylookup.dupagecounty.gov/Datalets/Datalet.aspx?UseSearch=no&amp;mode=sales&amp;pin=0516323006","sales record")</f>
        <v>sales record</v>
      </c>
      <c r="AC6598" t="s">
        <v>11</v>
      </c>
      <c r="AD6598">
        <v>41.86296</v>
      </c>
      <c r="AE6598">
        <v>-88.10706999999999</v>
      </c>
      <c r="AF6598" s="5" t="str">
        <f>HYPERLINK("https://www.google.com/maps/search/?api=1&amp;query=41.86296,-88.10707","map")</f>
        <v>map</v>
      </c>
    </row>
    <row r="6599" spans="1:32">
      <c r="A6599" t="s">
        <v>6649</v>
      </c>
      <c r="B6599" t="s">
        <v>14119</v>
      </c>
      <c r="C6599" t="s">
        <v>16075</v>
      </c>
      <c r="D6599" t="s">
        <v>16212</v>
      </c>
      <c r="E6599" t="s">
        <v>16217</v>
      </c>
      <c r="F6599" t="s">
        <v>16222</v>
      </c>
      <c r="G6599" t="s">
        <v>16294</v>
      </c>
      <c r="H6599" t="s">
        <v>16294</v>
      </c>
      <c r="I6599" t="s">
        <v>16371</v>
      </c>
      <c r="J6599" t="s">
        <v>16385</v>
      </c>
      <c r="K6599">
        <v>0.16</v>
      </c>
      <c r="L6599">
        <v>6980</v>
      </c>
      <c r="N6599" t="s">
        <v>16392</v>
      </c>
      <c r="O6599" s="4">
        <v>34819</v>
      </c>
      <c r="P6599" s="4">
        <v>0</v>
      </c>
      <c r="Q6599" s="4">
        <v>34819</v>
      </c>
      <c r="R6599" s="4">
        <v>104457</v>
      </c>
      <c r="S6599" t="s">
        <v>22773</v>
      </c>
      <c r="X6599" t="s">
        <v>3</v>
      </c>
      <c r="AA6599" s="5" t="str">
        <f>HYPERLINK("https://www.zillow.com/homes/ROOSEVELT-RD-WHEATON-IL-60189_rb/","check listing")</f>
        <v>check listing</v>
      </c>
      <c r="AB6599" s="5" t="str">
        <f>HYPERLINK("https://propertylookup.dupagecounty.gov/Datalets/Datalet.aspx?UseSearch=no&amp;mode=sales&amp;pin=0522103022","sales record")</f>
        <v>sales record</v>
      </c>
      <c r="AC6599" t="s">
        <v>27872</v>
      </c>
      <c r="AD6599">
        <v>41.858876</v>
      </c>
      <c r="AE6599">
        <v>-88.082658</v>
      </c>
      <c r="AF6599" s="5" t="str">
        <f>HYPERLINK("https://www.google.com/maps/search/?api=1&amp;query=41.858876,-88.082658","map")</f>
        <v>map</v>
      </c>
    </row>
    <row r="6600" spans="1:32">
      <c r="A6600" t="s">
        <v>6650</v>
      </c>
      <c r="B6600" t="s">
        <v>14116</v>
      </c>
      <c r="C6600" t="s">
        <v>15426</v>
      </c>
      <c r="D6600" t="s">
        <v>16212</v>
      </c>
      <c r="E6600" t="s">
        <v>16217</v>
      </c>
      <c r="F6600" t="s">
        <v>16222</v>
      </c>
      <c r="G6600" t="s">
        <v>16294</v>
      </c>
      <c r="H6600" t="s">
        <v>16294</v>
      </c>
      <c r="I6600" t="s">
        <v>16371</v>
      </c>
      <c r="J6600" t="s">
        <v>16385</v>
      </c>
      <c r="K6600">
        <v>0.16</v>
      </c>
      <c r="L6600">
        <v>6980</v>
      </c>
      <c r="N6600" t="s">
        <v>16392</v>
      </c>
      <c r="O6600" s="4">
        <v>34819</v>
      </c>
      <c r="P6600" s="4">
        <v>0</v>
      </c>
      <c r="Q6600" s="4">
        <v>34819</v>
      </c>
      <c r="R6600" s="4">
        <v>104457</v>
      </c>
      <c r="S6600" t="s">
        <v>22770</v>
      </c>
      <c r="X6600" t="s">
        <v>3</v>
      </c>
      <c r="AA6600" s="5" t="str">
        <f>HYPERLINK("https://www.zillow.com/homes/1616-E-ROOSEVELT-RD-WHEATON-IL-60187_rb/","check listing")</f>
        <v>check listing</v>
      </c>
      <c r="AB6600" s="5" t="str">
        <f>HYPERLINK("https://propertylookup.dupagecounty.gov/Datalets/Datalet.aspx?UseSearch=no&amp;mode=sales&amp;pin=0522103020","sales record")</f>
        <v>sales record</v>
      </c>
      <c r="AC6600" t="s">
        <v>27872</v>
      </c>
      <c r="AD6600">
        <v>41.858862</v>
      </c>
      <c r="AE6600">
        <v>-88.083466</v>
      </c>
      <c r="AF6600" s="5" t="str">
        <f>HYPERLINK("https://www.google.com/maps/search/?api=1&amp;query=41.858862,-88.083466","map")</f>
        <v>map</v>
      </c>
    </row>
    <row r="6601" spans="1:32">
      <c r="A6601" t="s">
        <v>6651</v>
      </c>
      <c r="B6601" t="s">
        <v>14117</v>
      </c>
      <c r="C6601" t="s">
        <v>15426</v>
      </c>
      <c r="D6601" t="s">
        <v>16212</v>
      </c>
      <c r="E6601" t="s">
        <v>16217</v>
      </c>
      <c r="F6601" t="s">
        <v>16222</v>
      </c>
      <c r="G6601" t="s">
        <v>16294</v>
      </c>
      <c r="H6601" t="s">
        <v>16294</v>
      </c>
      <c r="I6601" t="s">
        <v>16371</v>
      </c>
      <c r="J6601" t="s">
        <v>16385</v>
      </c>
      <c r="K6601">
        <v>0.16</v>
      </c>
      <c r="L6601">
        <v>6979</v>
      </c>
      <c r="N6601" t="s">
        <v>16392</v>
      </c>
      <c r="O6601" s="4">
        <v>34819</v>
      </c>
      <c r="P6601" s="4">
        <v>0</v>
      </c>
      <c r="Q6601" s="4">
        <v>34819</v>
      </c>
      <c r="R6601" s="4">
        <v>104457</v>
      </c>
      <c r="S6601" t="s">
        <v>22771</v>
      </c>
      <c r="T6601" s="6">
        <v>44652</v>
      </c>
      <c r="U6601" s="4">
        <v>2784519</v>
      </c>
      <c r="V6601" t="s">
        <v>16232</v>
      </c>
      <c r="W6601" t="s">
        <v>22771</v>
      </c>
      <c r="X6601" t="s">
        <v>3</v>
      </c>
      <c r="AA6601" s="5" t="str">
        <f>HYPERLINK("https://www.zillow.com/homes/1800-E-ROOSEVELT-RD-WHEATON-IL-60187_rb/","check listing")</f>
        <v>check listing</v>
      </c>
      <c r="AB6601" s="5" t="str">
        <f>HYPERLINK("https://propertylookup.dupagecounty.gov/Datalets/Datalet.aspx?UseSearch=no&amp;mode=sales&amp;pin=0522200023","sales record")</f>
        <v>sales record</v>
      </c>
      <c r="AC6601" t="s">
        <v>27872</v>
      </c>
      <c r="AD6601">
        <v>41.858894</v>
      </c>
      <c r="AE6601">
        <v>-88.081609</v>
      </c>
      <c r="AF6601" s="5" t="str">
        <f>HYPERLINK("https://www.google.com/maps/search/?api=1&amp;query=41.858894,-88.081609","map")</f>
        <v>map</v>
      </c>
    </row>
    <row r="6602" spans="1:32">
      <c r="A6602" t="s">
        <v>6652</v>
      </c>
      <c r="B6602" t="s">
        <v>14119</v>
      </c>
      <c r="C6602" t="s">
        <v>16075</v>
      </c>
      <c r="D6602" t="s">
        <v>16212</v>
      </c>
      <c r="E6602" t="s">
        <v>16217</v>
      </c>
      <c r="F6602" t="s">
        <v>16222</v>
      </c>
      <c r="G6602" t="s">
        <v>16294</v>
      </c>
      <c r="H6602" t="s">
        <v>16294</v>
      </c>
      <c r="I6602" t="s">
        <v>16371</v>
      </c>
      <c r="J6602" t="s">
        <v>16385</v>
      </c>
      <c r="K6602">
        <v>0.153</v>
      </c>
      <c r="L6602">
        <v>6670</v>
      </c>
      <c r="N6602" t="s">
        <v>16392</v>
      </c>
      <c r="O6602" s="4">
        <v>33264</v>
      </c>
      <c r="P6602" s="4">
        <v>0</v>
      </c>
      <c r="Q6602" s="4">
        <v>33264</v>
      </c>
      <c r="R6602" s="4">
        <v>99792</v>
      </c>
      <c r="S6602" t="s">
        <v>22773</v>
      </c>
      <c r="X6602" t="s">
        <v>3</v>
      </c>
      <c r="AA6602" s="5" t="str">
        <f>HYPERLINK("https://www.zillow.com/homes/ROOSEVELT-RD-WHEATON-IL-60189_rb/","check listing")</f>
        <v>check listing</v>
      </c>
      <c r="AB6602" s="5" t="str">
        <f>HYPERLINK("https://propertylookup.dupagecounty.gov/Datalets/Datalet.aspx?UseSearch=no&amp;mode=sales&amp;pin=0522103023","sales record")</f>
        <v>sales record</v>
      </c>
      <c r="AC6602" t="s">
        <v>3</v>
      </c>
      <c r="AD6602">
        <v>41.858847</v>
      </c>
      <c r="AE6602">
        <v>-88.08245599999999</v>
      </c>
      <c r="AF6602" s="5" t="str">
        <f>HYPERLINK("https://www.google.com/maps/search/?api=1&amp;query=41.858847,-88.082456","map")</f>
        <v>map</v>
      </c>
    </row>
    <row r="6603" spans="1:32">
      <c r="A6603" t="s">
        <v>6653</v>
      </c>
      <c r="B6603" t="s">
        <v>14117</v>
      </c>
      <c r="C6603" t="s">
        <v>15426</v>
      </c>
      <c r="D6603" t="s">
        <v>16212</v>
      </c>
      <c r="E6603" t="s">
        <v>16217</v>
      </c>
      <c r="F6603" t="s">
        <v>16222</v>
      </c>
      <c r="G6603" t="s">
        <v>16294</v>
      </c>
      <c r="H6603" t="s">
        <v>16294</v>
      </c>
      <c r="I6603" t="s">
        <v>16371</v>
      </c>
      <c r="J6603" t="s">
        <v>16385</v>
      </c>
      <c r="K6603">
        <v>0.153</v>
      </c>
      <c r="L6603">
        <v>6668</v>
      </c>
      <c r="N6603" t="s">
        <v>16392</v>
      </c>
      <c r="O6603" s="4">
        <v>33252</v>
      </c>
      <c r="P6603" s="4">
        <v>0</v>
      </c>
      <c r="Q6603" s="4">
        <v>33252</v>
      </c>
      <c r="R6603" s="4">
        <v>99756</v>
      </c>
      <c r="S6603" t="s">
        <v>22771</v>
      </c>
      <c r="X6603" t="s">
        <v>3</v>
      </c>
      <c r="AA6603" s="5" t="str">
        <f>HYPERLINK("https://www.zillow.com/homes/1800-E-ROOSEVELT-RD-WHEATON-IL-60187_rb/","check listing")</f>
        <v>check listing</v>
      </c>
      <c r="AB6603" s="5" t="str">
        <f>HYPERLINK("https://propertylookup.dupagecounty.gov/Datalets/Datalet.aspx?UseSearch=no&amp;mode=sales&amp;pin=0522200021","sales record")</f>
        <v>sales record</v>
      </c>
      <c r="AC6603" t="s">
        <v>27872</v>
      </c>
      <c r="AD6603">
        <v>41.858853</v>
      </c>
      <c r="AE6603">
        <v>-88.08201200000001</v>
      </c>
      <c r="AF6603" s="5" t="str">
        <f>HYPERLINK("https://www.google.com/maps/search/?api=1&amp;query=41.858853,-88.082012","map")</f>
        <v>map</v>
      </c>
    </row>
    <row r="6604" spans="1:32">
      <c r="A6604" t="s">
        <v>6654</v>
      </c>
      <c r="B6604" t="s">
        <v>14120</v>
      </c>
      <c r="C6604" t="s">
        <v>15426</v>
      </c>
      <c r="D6604" t="s">
        <v>16212</v>
      </c>
      <c r="E6604" t="s">
        <v>16217</v>
      </c>
      <c r="F6604" t="s">
        <v>16222</v>
      </c>
      <c r="G6604" t="s">
        <v>16292</v>
      </c>
      <c r="H6604" t="s">
        <v>16292</v>
      </c>
      <c r="I6604" t="s">
        <v>16373</v>
      </c>
      <c r="J6604" t="s">
        <v>16385</v>
      </c>
      <c r="K6604">
        <v>0.134</v>
      </c>
      <c r="L6604">
        <v>5831</v>
      </c>
      <c r="N6604" t="s">
        <v>16392</v>
      </c>
      <c r="O6604" s="4">
        <v>64989</v>
      </c>
      <c r="P6604" s="4">
        <v>0</v>
      </c>
      <c r="Q6604" s="4">
        <v>64989</v>
      </c>
      <c r="R6604" s="4">
        <v>194967</v>
      </c>
      <c r="S6604" t="s">
        <v>22756</v>
      </c>
      <c r="X6604" t="s">
        <v>3</v>
      </c>
      <c r="AA6604" s="5" t="str">
        <f>HYPERLINK("https://www.zillow.com/homes/207-N-SCOTT-ST-WHEATON-IL-60187_rb/","check listing")</f>
        <v>check listing</v>
      </c>
      <c r="AB6604" s="5" t="str">
        <f>HYPERLINK("https://propertylookup.dupagecounty.gov/Datalets/Datalet.aspx?UseSearch=no&amp;mode=sales&amp;pin=0516136027","sales record")</f>
        <v>sales record</v>
      </c>
      <c r="AC6604" t="s">
        <v>3</v>
      </c>
      <c r="AD6604">
        <v>41.866602</v>
      </c>
      <c r="AE6604">
        <v>-88.103238</v>
      </c>
      <c r="AF6604" s="5" t="str">
        <f>HYPERLINK("https://www.google.com/maps/search/?api=1&amp;query=41.866602,-88.103238","map")</f>
        <v>map</v>
      </c>
    </row>
    <row r="6605" spans="1:32">
      <c r="A6605" t="s">
        <v>6655</v>
      </c>
      <c r="B6605" t="s">
        <v>14121</v>
      </c>
      <c r="C6605" t="s">
        <v>15426</v>
      </c>
      <c r="D6605" t="s">
        <v>16212</v>
      </c>
      <c r="E6605" t="s">
        <v>16217</v>
      </c>
      <c r="F6605" t="s">
        <v>16222</v>
      </c>
      <c r="G6605" t="s">
        <v>16294</v>
      </c>
      <c r="H6605" t="s">
        <v>16294</v>
      </c>
      <c r="I6605" t="s">
        <v>16371</v>
      </c>
      <c r="J6605" t="s">
        <v>16385</v>
      </c>
      <c r="K6605">
        <v>0.125</v>
      </c>
      <c r="L6605">
        <v>5446</v>
      </c>
      <c r="N6605" t="s">
        <v>16392</v>
      </c>
      <c r="O6605" s="4">
        <v>27161</v>
      </c>
      <c r="P6605" s="4">
        <v>0</v>
      </c>
      <c r="Q6605" s="4">
        <v>27161</v>
      </c>
      <c r="R6605" s="4">
        <v>81483</v>
      </c>
      <c r="S6605" t="s">
        <v>22774</v>
      </c>
      <c r="X6605" t="s">
        <v>3</v>
      </c>
      <c r="AA6605" s="5" t="str">
        <f>HYPERLINK("https://www.zillow.com/homes/1815-E-ROOSEVELT-RD-WHEATON-IL-60187_rb/","check listing")</f>
        <v>check listing</v>
      </c>
      <c r="AB6605" s="5" t="str">
        <f>HYPERLINK("https://propertylookup.dupagecounty.gov/Datalets/Datalet.aspx?UseSearch=no&amp;mode=sales&amp;pin=0515417032","sales record")</f>
        <v>sales record</v>
      </c>
      <c r="AC6605" t="s">
        <v>3</v>
      </c>
      <c r="AD6605">
        <v>41.85947</v>
      </c>
      <c r="AE6605">
        <v>-88.081124</v>
      </c>
      <c r="AF6605" s="5" t="str">
        <f>HYPERLINK("https://www.google.com/maps/search/?api=1&amp;query=41.85947,-88.081124","map")</f>
        <v>map</v>
      </c>
    </row>
    <row r="6606" spans="1:32">
      <c r="A6606" t="s">
        <v>6656</v>
      </c>
      <c r="B6606" t="s">
        <v>14122</v>
      </c>
      <c r="C6606" t="s">
        <v>15426</v>
      </c>
      <c r="D6606" t="s">
        <v>16212</v>
      </c>
      <c r="E6606" t="s">
        <v>16217</v>
      </c>
      <c r="F6606" t="s">
        <v>16222</v>
      </c>
      <c r="G6606" t="s">
        <v>16292</v>
      </c>
      <c r="H6606" t="s">
        <v>16292</v>
      </c>
      <c r="I6606" t="s">
        <v>16373</v>
      </c>
      <c r="J6606" t="s">
        <v>16385</v>
      </c>
      <c r="K6606">
        <v>0.104</v>
      </c>
      <c r="L6606">
        <v>4548</v>
      </c>
      <c r="N6606" t="s">
        <v>16392</v>
      </c>
      <c r="O6606" s="4">
        <v>56783</v>
      </c>
      <c r="P6606" s="4">
        <v>0</v>
      </c>
      <c r="Q6606" s="4">
        <v>56783</v>
      </c>
      <c r="R6606" s="4">
        <v>170349</v>
      </c>
      <c r="S6606" t="s">
        <v>22775</v>
      </c>
      <c r="T6606" s="6">
        <v>42095</v>
      </c>
      <c r="U6606" s="4">
        <v>290000</v>
      </c>
      <c r="V6606" t="s">
        <v>23740</v>
      </c>
      <c r="W6606" t="s">
        <v>22775</v>
      </c>
      <c r="X6606" t="s">
        <v>3</v>
      </c>
      <c r="AA6606" s="5" t="str">
        <f>HYPERLINK("https://www.zillow.com/homes/21317-S-HALE-ST-WHEATON-IL-60187_rb/","check listing")</f>
        <v>check listing</v>
      </c>
      <c r="AB6606" s="5" t="str">
        <f>HYPERLINK("https://propertylookup.dupagecounty.gov/Datalets/Datalet.aspx?UseSearch=no&amp;mode=sales&amp;pin=0516315007","sales record")</f>
        <v>sales record</v>
      </c>
      <c r="AC6606" t="s">
        <v>27872</v>
      </c>
      <c r="AD6606">
        <v>41.863596</v>
      </c>
      <c r="AE6606">
        <v>-88.10795899999999</v>
      </c>
      <c r="AF6606" s="5" t="str">
        <f>HYPERLINK("https://www.google.com/maps/search/?api=1&amp;query=41.863596,-88.107959","map")</f>
        <v>map</v>
      </c>
    </row>
    <row r="6607" spans="1:32">
      <c r="A6607" t="s">
        <v>6657</v>
      </c>
      <c r="B6607" t="s">
        <v>14119</v>
      </c>
      <c r="C6607" t="s">
        <v>15426</v>
      </c>
      <c r="D6607" t="s">
        <v>16212</v>
      </c>
      <c r="E6607" t="s">
        <v>16217</v>
      </c>
      <c r="F6607" t="s">
        <v>16222</v>
      </c>
      <c r="G6607" t="s">
        <v>16291</v>
      </c>
      <c r="H6607" t="s">
        <v>16291</v>
      </c>
      <c r="I6607" t="s">
        <v>16372</v>
      </c>
      <c r="J6607" t="s">
        <v>16385</v>
      </c>
      <c r="K6607">
        <v>0.104</v>
      </c>
      <c r="L6607">
        <v>4545</v>
      </c>
      <c r="N6607" t="s">
        <v>16392</v>
      </c>
      <c r="O6607" s="4">
        <v>23154</v>
      </c>
      <c r="P6607" s="4">
        <v>0</v>
      </c>
      <c r="Q6607" s="4">
        <v>23154</v>
      </c>
      <c r="R6607" s="4">
        <v>69462</v>
      </c>
      <c r="S6607" t="s">
        <v>22776</v>
      </c>
      <c r="X6607" t="s">
        <v>3</v>
      </c>
      <c r="AA6607" s="5" t="str">
        <f>HYPERLINK("https://www.zillow.com/homes/ROOSEVELT-RD-WHEATON-IL-60187_rb/","check listing")</f>
        <v>check listing</v>
      </c>
      <c r="AB6607" s="5" t="str">
        <f>HYPERLINK("https://propertylookup.dupagecounty.gov/Datalets/Datalet.aspx?UseSearch=no&amp;mode=sales&amp;pin=0521100019","sales record")</f>
        <v>sales record</v>
      </c>
      <c r="AC6607" t="s">
        <v>27872</v>
      </c>
      <c r="AD6607">
        <v>41.858398</v>
      </c>
      <c r="AE6607">
        <v>-88.111093</v>
      </c>
      <c r="AF6607" s="5" t="str">
        <f>HYPERLINK("https://www.google.com/maps/search/?api=1&amp;query=41.858398,-88.111093","map")</f>
        <v>map</v>
      </c>
    </row>
    <row r="6608" spans="1:32">
      <c r="A6608" t="s">
        <v>6658</v>
      </c>
      <c r="B6608" t="s">
        <v>14123</v>
      </c>
      <c r="C6608" t="s">
        <v>15426</v>
      </c>
      <c r="D6608" t="s">
        <v>16212</v>
      </c>
      <c r="E6608" t="s">
        <v>16217</v>
      </c>
      <c r="F6608" t="s">
        <v>16222</v>
      </c>
      <c r="G6608" t="s">
        <v>16290</v>
      </c>
      <c r="H6608" t="s">
        <v>16290</v>
      </c>
      <c r="I6608" t="s">
        <v>16371</v>
      </c>
      <c r="J6608" t="s">
        <v>16385</v>
      </c>
      <c r="K6608">
        <v>0.101</v>
      </c>
      <c r="L6608">
        <v>4394</v>
      </c>
      <c r="N6608" t="s">
        <v>16392</v>
      </c>
      <c r="O6608" s="4">
        <v>21917</v>
      </c>
      <c r="P6608" s="4">
        <v>0</v>
      </c>
      <c r="Q6608" s="4">
        <v>21917</v>
      </c>
      <c r="R6608" s="4">
        <v>65751</v>
      </c>
      <c r="S6608" t="s">
        <v>22777</v>
      </c>
      <c r="X6608" t="s">
        <v>3</v>
      </c>
      <c r="AA6608" s="5" t="str">
        <f>HYPERLINK("https://www.zillow.com/homes/623-S-NAPERVILLE-RD-WHEATON-IL-60187_rb/","check listing")</f>
        <v>check listing</v>
      </c>
      <c r="AB6608" s="5" t="str">
        <f>HYPERLINK("https://propertylookup.dupagecounty.gov/Datalets/Datalet.aspx?UseSearch=no&amp;mode=sales&amp;pin=0516418009","sales record")</f>
        <v>sales record</v>
      </c>
      <c r="AC6608" t="s">
        <v>27872</v>
      </c>
      <c r="AD6608">
        <v>41.859252</v>
      </c>
      <c r="AE6608">
        <v>-88.10166700000001</v>
      </c>
      <c r="AF6608" s="5" t="str">
        <f>HYPERLINK("https://www.google.com/maps/search/?api=1&amp;query=41.859252,-88.101667","map")</f>
        <v>map</v>
      </c>
    </row>
    <row r="6609" spans="1:32">
      <c r="A6609" t="s">
        <v>6659</v>
      </c>
      <c r="B6609" t="s">
        <v>14124</v>
      </c>
      <c r="C6609" t="s">
        <v>15426</v>
      </c>
      <c r="D6609" t="s">
        <v>16212</v>
      </c>
      <c r="E6609" t="s">
        <v>16217</v>
      </c>
      <c r="F6609" t="s">
        <v>16222</v>
      </c>
      <c r="G6609" t="s">
        <v>16295</v>
      </c>
      <c r="H6609" t="s">
        <v>16295</v>
      </c>
      <c r="I6609" t="s">
        <v>16374</v>
      </c>
      <c r="J6609" t="s">
        <v>16387</v>
      </c>
      <c r="K6609">
        <v>0.1</v>
      </c>
      <c r="L6609">
        <v>4372</v>
      </c>
      <c r="N6609" t="s">
        <v>16392</v>
      </c>
      <c r="O6609" s="4">
        <v>54509</v>
      </c>
      <c r="P6609" s="4">
        <v>0</v>
      </c>
      <c r="Q6609" s="4">
        <v>54509</v>
      </c>
      <c r="R6609" s="4">
        <v>163527</v>
      </c>
      <c r="S6609" t="s">
        <v>22778</v>
      </c>
      <c r="X6609" t="s">
        <v>3</v>
      </c>
      <c r="AA6609" s="5" t="str">
        <f>HYPERLINK("https://www.zillow.com/homes/109-N-HALE-ST-WHEATON-IL-60187_rb/","check listing")</f>
        <v>check listing</v>
      </c>
      <c r="AB6609" s="5" t="str">
        <f>HYPERLINK("https://propertylookup.dupagecounty.gov/Datalets/Datalet.aspx?UseSearch=no&amp;mode=sales&amp;pin=0516302068","sales record")</f>
        <v>sales record</v>
      </c>
      <c r="AC6609" t="s">
        <v>3</v>
      </c>
      <c r="AD6609">
        <v>41.865404</v>
      </c>
      <c r="AE6609">
        <v>-88.107254</v>
      </c>
      <c r="AF6609" s="5" t="str">
        <f>HYPERLINK("https://www.google.com/maps/search/?api=1&amp;query=41.865404,-88.107254","map")</f>
        <v>map</v>
      </c>
    </row>
    <row r="6610" spans="1:32">
      <c r="A6610" t="s">
        <v>6660</v>
      </c>
      <c r="B6610" t="s">
        <v>14125</v>
      </c>
      <c r="C6610" t="s">
        <v>15426</v>
      </c>
      <c r="D6610" t="s">
        <v>16212</v>
      </c>
      <c r="E6610" t="s">
        <v>16217</v>
      </c>
      <c r="F6610" t="s">
        <v>16222</v>
      </c>
      <c r="G6610" t="s">
        <v>16292</v>
      </c>
      <c r="H6610" t="s">
        <v>16292</v>
      </c>
      <c r="I6610" t="s">
        <v>16373</v>
      </c>
      <c r="J6610" t="s">
        <v>16385</v>
      </c>
      <c r="K6610">
        <v>0.096</v>
      </c>
      <c r="L6610">
        <v>4182</v>
      </c>
      <c r="N6610" t="s">
        <v>16392</v>
      </c>
      <c r="O6610" s="4">
        <v>52128</v>
      </c>
      <c r="P6610" s="4">
        <v>0</v>
      </c>
      <c r="Q6610" s="4">
        <v>52128</v>
      </c>
      <c r="R6610" s="4">
        <v>156384</v>
      </c>
      <c r="S6610" t="s">
        <v>22779</v>
      </c>
      <c r="T6610" s="6">
        <v>46073</v>
      </c>
      <c r="U6610" s="4">
        <v>1925000</v>
      </c>
      <c r="V6610" t="s">
        <v>16232</v>
      </c>
      <c r="W6610" t="s">
        <v>27355</v>
      </c>
      <c r="X6610" t="s">
        <v>3</v>
      </c>
      <c r="AA6610" s="5" t="str">
        <f>HYPERLINK("https://www.zillow.com/homes/121-E-FRONT-ST-WHEATON-IL-60187_rb/","check listing")</f>
        <v>check listing</v>
      </c>
      <c r="AB6610" s="5" t="str">
        <f>HYPERLINK("https://propertylookup.dupagecounty.gov/Datalets/Datalet.aspx?UseSearch=no&amp;mode=sales&amp;pin=0516303020","sales record")</f>
        <v>sales record</v>
      </c>
      <c r="AC6610" t="s">
        <v>27872</v>
      </c>
      <c r="AD6610">
        <v>41.865362</v>
      </c>
      <c r="AE6610">
        <v>-88.105582</v>
      </c>
      <c r="AF6610" s="5" t="str">
        <f>HYPERLINK("https://www.google.com/maps/search/?api=1&amp;query=41.865362,-88.105582","map")</f>
        <v>map</v>
      </c>
    </row>
    <row r="6611" spans="1:32">
      <c r="A6611" t="s">
        <v>6661</v>
      </c>
      <c r="B6611" t="s">
        <v>14126</v>
      </c>
      <c r="C6611" t="s">
        <v>15426</v>
      </c>
      <c r="D6611" t="s">
        <v>16212</v>
      </c>
      <c r="E6611" t="s">
        <v>16217</v>
      </c>
      <c r="F6611" t="s">
        <v>16222</v>
      </c>
      <c r="G6611" t="s">
        <v>16292</v>
      </c>
      <c r="H6611" t="s">
        <v>16292</v>
      </c>
      <c r="I6611" t="s">
        <v>16373</v>
      </c>
      <c r="J6611" t="s">
        <v>16385</v>
      </c>
      <c r="K6611">
        <v>0.095</v>
      </c>
      <c r="L6611">
        <v>4152</v>
      </c>
      <c r="M6611">
        <v>1488</v>
      </c>
      <c r="N6611" t="s">
        <v>16392</v>
      </c>
      <c r="O6611" s="4">
        <v>34348</v>
      </c>
      <c r="P6611" s="4">
        <v>0</v>
      </c>
      <c r="Q6611" s="4">
        <v>34348</v>
      </c>
      <c r="R6611" s="4">
        <v>103044</v>
      </c>
      <c r="S6611" t="s">
        <v>22772</v>
      </c>
      <c r="X6611" t="s">
        <v>3</v>
      </c>
      <c r="AA6611" s="5" t="str">
        <f>HYPERLINK("https://www.zillow.com/homes/104-W-WILLOW-WHEATON-IL-60187_rb/","check listing")</f>
        <v>check listing</v>
      </c>
      <c r="AB6611" s="5" t="str">
        <f>HYPERLINK("https://propertylookup.dupagecounty.gov/Datalets/Datalet.aspx?UseSearch=no&amp;mode=sales&amp;pin=0516323007","sales record")</f>
        <v>sales record</v>
      </c>
      <c r="AC6611" t="s">
        <v>11</v>
      </c>
      <c r="AD6611">
        <v>41.863002</v>
      </c>
      <c r="AE6611">
        <v>-88.10692299999999</v>
      </c>
      <c r="AF6611" s="5" t="str">
        <f>HYPERLINK("https://www.google.com/maps/search/?api=1&amp;query=41.863002,-88.106923","map")</f>
        <v>map</v>
      </c>
    </row>
    <row r="6612" spans="1:32">
      <c r="A6612" t="s">
        <v>6662</v>
      </c>
      <c r="B6612" t="s">
        <v>14127</v>
      </c>
      <c r="C6612" t="s">
        <v>15426</v>
      </c>
      <c r="D6612" t="s">
        <v>16212</v>
      </c>
      <c r="E6612" t="s">
        <v>16217</v>
      </c>
      <c r="F6612" t="s">
        <v>16222</v>
      </c>
      <c r="G6612" t="s">
        <v>16292</v>
      </c>
      <c r="H6612" t="s">
        <v>16292</v>
      </c>
      <c r="I6612" t="s">
        <v>16373</v>
      </c>
      <c r="J6612" t="s">
        <v>16385</v>
      </c>
      <c r="K6612">
        <v>0.091</v>
      </c>
      <c r="L6612">
        <v>3983</v>
      </c>
      <c r="N6612" t="s">
        <v>16392</v>
      </c>
      <c r="O6612" s="4">
        <v>32922</v>
      </c>
      <c r="P6612" s="4">
        <v>0</v>
      </c>
      <c r="Q6612" s="4">
        <v>32922</v>
      </c>
      <c r="R6612" s="4">
        <v>98766</v>
      </c>
      <c r="S6612" t="s">
        <v>22780</v>
      </c>
      <c r="T6612" s="6">
        <v>42705</v>
      </c>
      <c r="U6612" s="4">
        <v>553000</v>
      </c>
      <c r="V6612" t="s">
        <v>23739</v>
      </c>
      <c r="W6612" t="s">
        <v>27356</v>
      </c>
      <c r="X6612" t="s">
        <v>3</v>
      </c>
      <c r="AA6612" s="5" t="str">
        <f>HYPERLINK("https://www.zillow.com/homes/412-S-MAIN-ST-WHEATON-IL-60187_rb/","check listing")</f>
        <v>check listing</v>
      </c>
      <c r="AB6612" s="5" t="str">
        <f>HYPERLINK("https://propertylookup.dupagecounty.gov/Datalets/Datalet.aspx?UseSearch=no&amp;mode=sales&amp;pin=0516329015","sales record")</f>
        <v>sales record</v>
      </c>
      <c r="AC6612" t="s">
        <v>27872</v>
      </c>
      <c r="AD6612">
        <v>41.861684</v>
      </c>
      <c r="AE6612">
        <v>-88.106966</v>
      </c>
      <c r="AF6612" s="5" t="str">
        <f>HYPERLINK("https://www.google.com/maps/search/?api=1&amp;query=41.861684,-88.106966","map")</f>
        <v>map</v>
      </c>
    </row>
    <row r="6613" spans="1:32">
      <c r="A6613" t="s">
        <v>6663</v>
      </c>
      <c r="B6613" t="s">
        <v>14128</v>
      </c>
      <c r="C6613" t="s">
        <v>15426</v>
      </c>
      <c r="D6613" t="s">
        <v>16212</v>
      </c>
      <c r="E6613" t="s">
        <v>16217</v>
      </c>
      <c r="F6613" t="s">
        <v>16222</v>
      </c>
      <c r="G6613" t="s">
        <v>16292</v>
      </c>
      <c r="H6613" t="s">
        <v>16292</v>
      </c>
      <c r="I6613" t="s">
        <v>16373</v>
      </c>
      <c r="J6613" t="s">
        <v>16385</v>
      </c>
      <c r="K6613">
        <v>0.08400000000000001</v>
      </c>
      <c r="L6613">
        <v>3663</v>
      </c>
      <c r="N6613" t="s">
        <v>16392</v>
      </c>
      <c r="O6613" s="4">
        <v>45671</v>
      </c>
      <c r="P6613" s="4">
        <v>0</v>
      </c>
      <c r="Q6613" s="4">
        <v>45671</v>
      </c>
      <c r="R6613" s="4">
        <v>137013</v>
      </c>
      <c r="S6613" t="s">
        <v>22781</v>
      </c>
      <c r="T6613" s="6">
        <v>36342</v>
      </c>
      <c r="U6613" s="4">
        <v>425000</v>
      </c>
      <c r="X6613" t="s">
        <v>3</v>
      </c>
      <c r="AA6613" s="5" t="str">
        <f>HYPERLINK("https://www.zillow.com/homes/12933-N-MAIN-ST-WHEATON-IL-60187_rb/","check listing")</f>
        <v>check listing</v>
      </c>
      <c r="AB6613" s="5" t="str">
        <f>HYPERLINK("https://propertylookup.dupagecounty.gov/Datalets/Datalet.aspx?UseSearch=no&amp;mode=sales&amp;pin=0516303005","sales record")</f>
        <v>sales record</v>
      </c>
      <c r="AC6613" t="s">
        <v>27872</v>
      </c>
      <c r="AD6613">
        <v>41.865746</v>
      </c>
      <c r="AE6613">
        <v>-88.10603999999999</v>
      </c>
      <c r="AF6613" s="5" t="str">
        <f>HYPERLINK("https://www.google.com/maps/search/?api=1&amp;query=41.865746,-88.10604","map")</f>
        <v>map</v>
      </c>
    </row>
    <row r="6614" spans="1:32">
      <c r="A6614" t="s">
        <v>6664</v>
      </c>
      <c r="B6614" t="s">
        <v>14129</v>
      </c>
      <c r="C6614" t="s">
        <v>15426</v>
      </c>
      <c r="D6614" t="s">
        <v>16212</v>
      </c>
      <c r="E6614" t="s">
        <v>16217</v>
      </c>
      <c r="F6614" t="s">
        <v>16222</v>
      </c>
      <c r="G6614" t="s">
        <v>16292</v>
      </c>
      <c r="H6614" t="s">
        <v>16292</v>
      </c>
      <c r="I6614" t="s">
        <v>16373</v>
      </c>
      <c r="J6614" t="s">
        <v>16385</v>
      </c>
      <c r="K6614">
        <v>0.074</v>
      </c>
      <c r="L6614">
        <v>3212</v>
      </c>
      <c r="N6614" t="s">
        <v>16392</v>
      </c>
      <c r="O6614" s="4">
        <v>26606</v>
      </c>
      <c r="P6614" s="4">
        <v>0</v>
      </c>
      <c r="Q6614" s="4">
        <v>26606</v>
      </c>
      <c r="R6614" s="4">
        <v>79818</v>
      </c>
      <c r="S6614" t="s">
        <v>22782</v>
      </c>
      <c r="T6614" s="6">
        <v>40238</v>
      </c>
      <c r="U6614" s="4">
        <v>275000</v>
      </c>
      <c r="V6614" t="s">
        <v>23739</v>
      </c>
      <c r="W6614" t="s">
        <v>27357</v>
      </c>
      <c r="X6614" t="s">
        <v>3</v>
      </c>
      <c r="AA6614" s="5" t="str">
        <f>HYPERLINK("https://www.zillow.com/homes/523-W-FRONT-ST-WHEATON-IL-60187_rb/","check listing")</f>
        <v>check listing</v>
      </c>
      <c r="AB6614" s="5" t="str">
        <f>HYPERLINK("https://propertylookup.dupagecounty.gov/Datalets/Datalet.aspx?UseSearch=no&amp;mode=sales&amp;pin=0517403021","sales record")</f>
        <v>sales record</v>
      </c>
      <c r="AC6614" t="s">
        <v>27872</v>
      </c>
      <c r="AD6614">
        <v>41.865158</v>
      </c>
      <c r="AE6614">
        <v>-88.114375</v>
      </c>
      <c r="AF6614" s="5" t="str">
        <f>HYPERLINK("https://www.google.com/maps/search/?api=1&amp;query=41.865158,-88.114375","map")</f>
        <v>map</v>
      </c>
    </row>
    <row r="6615" spans="1:32">
      <c r="A6615" t="s">
        <v>6665</v>
      </c>
      <c r="B6615" t="s">
        <v>14130</v>
      </c>
      <c r="C6615" t="s">
        <v>15426</v>
      </c>
      <c r="D6615" t="s">
        <v>16212</v>
      </c>
      <c r="E6615" t="s">
        <v>16217</v>
      </c>
      <c r="F6615" t="s">
        <v>16222</v>
      </c>
      <c r="G6615" t="s">
        <v>16292</v>
      </c>
      <c r="H6615" t="s">
        <v>16292</v>
      </c>
      <c r="I6615" t="s">
        <v>16373</v>
      </c>
      <c r="J6615" t="s">
        <v>16385</v>
      </c>
      <c r="K6615">
        <v>0.064</v>
      </c>
      <c r="L6615">
        <v>2800</v>
      </c>
      <c r="M6615">
        <v>1312</v>
      </c>
      <c r="N6615" t="s">
        <v>16392</v>
      </c>
      <c r="O6615" s="4">
        <v>22883</v>
      </c>
      <c r="P6615" s="4">
        <v>0</v>
      </c>
      <c r="Q6615" s="4">
        <v>22883</v>
      </c>
      <c r="R6615" s="4">
        <v>68649</v>
      </c>
      <c r="S6615" t="s">
        <v>22772</v>
      </c>
      <c r="X6615" t="s">
        <v>3</v>
      </c>
      <c r="AA6615" s="5" t="str">
        <f>HYPERLINK("https://www.zillow.com/homes/300-S-MAIN-ST-WHEATON-IL-60187_rb/","check listing")</f>
        <v>check listing</v>
      </c>
      <c r="AB6615" s="5" t="str">
        <f>HYPERLINK("https://propertylookup.dupagecounty.gov/Datalets/Datalet.aspx?UseSearch=no&amp;mode=sales&amp;pin=0516323008","sales record")</f>
        <v>sales record</v>
      </c>
      <c r="AC6615" t="s">
        <v>11</v>
      </c>
      <c r="AD6615">
        <v>41.863005</v>
      </c>
      <c r="AE6615">
        <v>-88.106798</v>
      </c>
      <c r="AF6615" s="5" t="str">
        <f>HYPERLINK("https://www.google.com/maps/search/?api=1&amp;query=41.863005,-88.106798","map")</f>
        <v>map</v>
      </c>
    </row>
    <row r="6616" spans="1:32">
      <c r="A6616" t="s">
        <v>6666</v>
      </c>
      <c r="B6616" t="s">
        <v>14131</v>
      </c>
      <c r="C6616" t="s">
        <v>15426</v>
      </c>
      <c r="D6616" t="s">
        <v>16212</v>
      </c>
      <c r="E6616" t="s">
        <v>16217</v>
      </c>
      <c r="F6616" t="s">
        <v>16222</v>
      </c>
      <c r="G6616" t="s">
        <v>16294</v>
      </c>
      <c r="H6616" t="s">
        <v>16294</v>
      </c>
      <c r="I6616" t="s">
        <v>16371</v>
      </c>
      <c r="J6616" t="s">
        <v>16385</v>
      </c>
      <c r="K6616">
        <v>0.063</v>
      </c>
      <c r="L6616">
        <v>2744</v>
      </c>
      <c r="N6616" t="s">
        <v>16392</v>
      </c>
      <c r="O6616" s="4">
        <v>13680</v>
      </c>
      <c r="P6616" s="4">
        <v>0</v>
      </c>
      <c r="Q6616" s="4">
        <v>13680</v>
      </c>
      <c r="R6616" s="4">
        <v>41040</v>
      </c>
      <c r="S6616" t="s">
        <v>22783</v>
      </c>
      <c r="X6616" t="s">
        <v>3</v>
      </c>
      <c r="AA6616" s="5" t="str">
        <f>HYPERLINK("https://www.zillow.com/homes/1830-E-ROOSEVELT-RD-WHEATON-IL-60187_rb/","check listing")</f>
        <v>check listing</v>
      </c>
      <c r="AB6616" s="5" t="str">
        <f>HYPERLINK("https://propertylookup.dupagecounty.gov/Datalets/Datalet.aspx?UseSearch=no&amp;mode=sales&amp;pin=0522200027","sales record")</f>
        <v>sales record</v>
      </c>
      <c r="AC6616" t="s">
        <v>3</v>
      </c>
      <c r="AD6616">
        <v>41.858711</v>
      </c>
      <c r="AE6616">
        <v>-88.07973800000001</v>
      </c>
      <c r="AF6616" s="5" t="str">
        <f>HYPERLINK("https://www.google.com/maps/search/?api=1&amp;query=41.858711,-88.079738","map")</f>
        <v>map</v>
      </c>
    </row>
    <row r="6617" spans="1:32">
      <c r="A6617" t="s">
        <v>6667</v>
      </c>
      <c r="B6617" t="s">
        <v>14132</v>
      </c>
      <c r="C6617" t="s">
        <v>16076</v>
      </c>
      <c r="D6617" t="s">
        <v>16212</v>
      </c>
      <c r="E6617" t="s">
        <v>16218</v>
      </c>
      <c r="F6617" t="s">
        <v>16220</v>
      </c>
      <c r="G6617" t="s">
        <v>16248</v>
      </c>
      <c r="H6617" t="s">
        <v>16248</v>
      </c>
      <c r="I6617" t="s">
        <v>16375</v>
      </c>
      <c r="J6617" t="s">
        <v>16385</v>
      </c>
      <c r="K6617">
        <v>0.257</v>
      </c>
      <c r="L6617">
        <v>11192</v>
      </c>
      <c r="M6617">
        <v>3792</v>
      </c>
      <c r="N6617" t="s">
        <v>16393</v>
      </c>
      <c r="O6617" s="4">
        <v>53860</v>
      </c>
      <c r="P6617" s="4">
        <v>376093</v>
      </c>
      <c r="Q6617" s="4">
        <v>429953</v>
      </c>
      <c r="R6617" s="4">
        <v>1289859</v>
      </c>
      <c r="S6617" t="s">
        <v>22784</v>
      </c>
      <c r="T6617" s="6">
        <v>44228</v>
      </c>
      <c r="U6617" s="4">
        <v>1010000</v>
      </c>
      <c r="V6617" t="s">
        <v>23740</v>
      </c>
      <c r="W6617" t="s">
        <v>27358</v>
      </c>
      <c r="X6617" t="s">
        <v>3</v>
      </c>
      <c r="AA6617" s="5" t="str">
        <f>HYPERLINK("https://www.zillow.com/homes/207-N-ELLIS-AVE-WHEATON-IL-601874909_rb/","check listing")</f>
        <v>check listing</v>
      </c>
      <c r="AB6617" s="5" t="str">
        <f>HYPERLINK("https://propertylookup.dupagecounty.gov/Datalets/Datalet.aspx?UseSearch=no&amp;mode=sales&amp;pin=0517231007","sales record")</f>
        <v>sales record</v>
      </c>
      <c r="AC6617" t="s">
        <v>3</v>
      </c>
      <c r="AD6617">
        <v>41.866307</v>
      </c>
      <c r="AE6617">
        <v>-88.114665</v>
      </c>
      <c r="AF6617" s="5" t="str">
        <f>HYPERLINK("https://www.google.com/maps/search/?api=1&amp;query=41.866307,-88.114665","map")</f>
        <v>map</v>
      </c>
    </row>
    <row r="6618" spans="1:32">
      <c r="A6618" t="s">
        <v>6668</v>
      </c>
      <c r="B6618" t="s">
        <v>14133</v>
      </c>
      <c r="C6618" t="s">
        <v>16077</v>
      </c>
      <c r="D6618" t="s">
        <v>16212</v>
      </c>
      <c r="E6618" t="s">
        <v>16218</v>
      </c>
      <c r="F6618" t="s">
        <v>16220</v>
      </c>
      <c r="G6618" t="s">
        <v>16248</v>
      </c>
      <c r="H6618" t="s">
        <v>16248</v>
      </c>
      <c r="I6618" t="s">
        <v>16375</v>
      </c>
      <c r="J6618" t="s">
        <v>16385</v>
      </c>
      <c r="K6618">
        <v>0.235</v>
      </c>
      <c r="L6618">
        <v>10258</v>
      </c>
      <c r="M6618">
        <v>1980</v>
      </c>
      <c r="N6618" t="s">
        <v>16393</v>
      </c>
      <c r="O6618" s="4">
        <v>49359</v>
      </c>
      <c r="P6618" s="4">
        <v>142988</v>
      </c>
      <c r="Q6618" s="4">
        <v>192347</v>
      </c>
      <c r="R6618" s="4">
        <v>577041</v>
      </c>
      <c r="S6618" t="s">
        <v>22785</v>
      </c>
      <c r="T6618" s="6">
        <v>44378</v>
      </c>
      <c r="U6618" s="4">
        <v>475000</v>
      </c>
      <c r="V6618" t="s">
        <v>23739</v>
      </c>
      <c r="W6618" t="s">
        <v>27359</v>
      </c>
      <c r="X6618" t="s">
        <v>3</v>
      </c>
      <c r="AA6618" s="5" t="str">
        <f>HYPERLINK("https://www.zillow.com/homes/525-W-WESLEY-ST-WHEATON-IL-601874927_rb/","check listing")</f>
        <v>check listing</v>
      </c>
      <c r="AB6618" s="5" t="str">
        <f>HYPERLINK("https://propertylookup.dupagecounty.gov/Datalets/Datalet.aspx?UseSearch=no&amp;mode=sales&amp;pin=0517231008","sales record")</f>
        <v>sales record</v>
      </c>
      <c r="AC6618" t="s">
        <v>27873</v>
      </c>
      <c r="AD6618">
        <v>41.866312</v>
      </c>
      <c r="AE6618">
        <v>-88.114411</v>
      </c>
      <c r="AF6618" s="5" t="str">
        <f>HYPERLINK("https://www.google.com/maps/search/?api=1&amp;query=41.866312,-88.114411","map")</f>
        <v>map</v>
      </c>
    </row>
    <row r="6619" spans="1:32">
      <c r="A6619" t="s">
        <v>6669</v>
      </c>
      <c r="B6619" t="s">
        <v>14134</v>
      </c>
      <c r="C6619" t="s">
        <v>16078</v>
      </c>
      <c r="D6619" t="s">
        <v>16212</v>
      </c>
      <c r="E6619" t="s">
        <v>16218</v>
      </c>
      <c r="F6619" t="s">
        <v>16220</v>
      </c>
      <c r="G6619" t="s">
        <v>16296</v>
      </c>
      <c r="H6619" t="s">
        <v>16296</v>
      </c>
      <c r="I6619" t="s">
        <v>16376</v>
      </c>
      <c r="J6619" t="s">
        <v>16385</v>
      </c>
      <c r="K6619">
        <v>0.225</v>
      </c>
      <c r="L6619">
        <v>9782</v>
      </c>
      <c r="M6619">
        <v>1780</v>
      </c>
      <c r="N6619" t="s">
        <v>16393</v>
      </c>
      <c r="O6619" s="4">
        <v>37541</v>
      </c>
      <c r="P6619" s="4">
        <v>66527</v>
      </c>
      <c r="Q6619" s="4">
        <v>104068</v>
      </c>
      <c r="R6619" s="4">
        <v>312204</v>
      </c>
      <c r="S6619" t="s">
        <v>22786</v>
      </c>
      <c r="T6619" s="6">
        <v>44348</v>
      </c>
      <c r="U6619" s="4">
        <v>229000</v>
      </c>
      <c r="V6619" t="s">
        <v>23739</v>
      </c>
      <c r="W6619" t="s">
        <v>22786</v>
      </c>
      <c r="X6619" t="s">
        <v>3</v>
      </c>
      <c r="AA6619" s="5" t="str">
        <f>HYPERLINK("https://www.zillow.com/homes/218-S-WASHINGTON-ST-WHEATON-IL-601875430_rb/","check listing")</f>
        <v>check listing</v>
      </c>
      <c r="AB6619" s="5" t="str">
        <f>HYPERLINK("https://propertylookup.dupagecounty.gov/Datalets/Datalet.aspx?UseSearch=no&amp;mode=sales&amp;pin=0516320014","sales record")</f>
        <v>sales record</v>
      </c>
      <c r="AC6619" t="s">
        <v>3</v>
      </c>
      <c r="AD6619">
        <v>41.863675</v>
      </c>
      <c r="AE6619">
        <v>-88.101625</v>
      </c>
      <c r="AF6619" s="5" t="str">
        <f>HYPERLINK("https://www.google.com/maps/search/?api=1&amp;query=41.863675,-88.101625","map")</f>
        <v>map</v>
      </c>
    </row>
    <row r="6620" spans="1:32">
      <c r="A6620" t="s">
        <v>6670</v>
      </c>
      <c r="B6620" t="s">
        <v>14135</v>
      </c>
      <c r="C6620" t="s">
        <v>16078</v>
      </c>
      <c r="D6620" t="s">
        <v>16212</v>
      </c>
      <c r="E6620" t="s">
        <v>16218</v>
      </c>
      <c r="F6620" t="s">
        <v>16220</v>
      </c>
      <c r="G6620" t="s">
        <v>16296</v>
      </c>
      <c r="H6620" t="s">
        <v>16296</v>
      </c>
      <c r="I6620" t="s">
        <v>16376</v>
      </c>
      <c r="J6620" t="s">
        <v>16385</v>
      </c>
      <c r="K6620">
        <v>0.224</v>
      </c>
      <c r="L6620">
        <v>9775</v>
      </c>
      <c r="M6620">
        <v>1188</v>
      </c>
      <c r="N6620" t="s">
        <v>16393</v>
      </c>
      <c r="O6620" s="4">
        <v>37529</v>
      </c>
      <c r="P6620" s="4">
        <v>62910</v>
      </c>
      <c r="Q6620" s="4">
        <v>100439</v>
      </c>
      <c r="R6620" s="4">
        <v>301317</v>
      </c>
      <c r="S6620" t="s">
        <v>22787</v>
      </c>
      <c r="T6620" s="6">
        <v>42948</v>
      </c>
      <c r="U6620" s="4">
        <v>210000</v>
      </c>
      <c r="V6620" t="s">
        <v>23739</v>
      </c>
      <c r="W6620" t="s">
        <v>22787</v>
      </c>
      <c r="X6620" t="s">
        <v>3</v>
      </c>
      <c r="AA6620" s="5" t="str">
        <f>HYPERLINK("https://www.zillow.com/homes/214-S-WASHINGTON-ST-WHEATON-IL-601875430_rb/","check listing")</f>
        <v>check listing</v>
      </c>
      <c r="AB6620" s="5" t="str">
        <f>HYPERLINK("https://propertylookup.dupagecounty.gov/Datalets/Datalet.aspx?UseSearch=no&amp;mode=sales&amp;pin=0516320013","sales record")</f>
        <v>sales record</v>
      </c>
      <c r="AC6620" t="s">
        <v>3</v>
      </c>
      <c r="AD6620">
        <v>41.863812</v>
      </c>
      <c r="AE6620">
        <v>-88.101626</v>
      </c>
      <c r="AF6620" s="5" t="str">
        <f>HYPERLINK("https://www.google.com/maps/search/?api=1&amp;query=41.863812,-88.101626","map")</f>
        <v>map</v>
      </c>
    </row>
    <row r="6621" spans="1:32">
      <c r="A6621" t="s">
        <v>6671</v>
      </c>
      <c r="B6621" t="s">
        <v>14136</v>
      </c>
      <c r="C6621" t="s">
        <v>15426</v>
      </c>
      <c r="D6621" t="s">
        <v>16212</v>
      </c>
      <c r="E6621" t="s">
        <v>16218</v>
      </c>
      <c r="F6621" t="s">
        <v>16220</v>
      </c>
      <c r="G6621" t="s">
        <v>16248</v>
      </c>
      <c r="H6621" t="s">
        <v>16248</v>
      </c>
      <c r="I6621" t="s">
        <v>16375</v>
      </c>
      <c r="J6621" t="s">
        <v>16385</v>
      </c>
      <c r="K6621">
        <v>0.207</v>
      </c>
      <c r="L6621">
        <v>9004</v>
      </c>
      <c r="M6621">
        <v>2110</v>
      </c>
      <c r="N6621" t="s">
        <v>16393</v>
      </c>
      <c r="O6621" s="4">
        <v>43338</v>
      </c>
      <c r="P6621" s="4">
        <v>117148</v>
      </c>
      <c r="Q6621" s="4">
        <v>160486</v>
      </c>
      <c r="R6621" s="4">
        <v>481458</v>
      </c>
      <c r="S6621" t="s">
        <v>22788</v>
      </c>
      <c r="T6621" s="6">
        <v>44858</v>
      </c>
      <c r="U6621" s="4">
        <v>395000</v>
      </c>
      <c r="V6621" t="s">
        <v>23739</v>
      </c>
      <c r="W6621" t="s">
        <v>27360</v>
      </c>
      <c r="X6621" t="s">
        <v>3</v>
      </c>
      <c r="AA6621" s="5" t="str">
        <f>HYPERLINK("https://www.zillow.com/homes/204-N-GARY-AVE-WHEATON-IL-60187_rb/","check listing")</f>
        <v>check listing</v>
      </c>
      <c r="AB6621" s="5" t="str">
        <f>HYPERLINK("https://propertylookup.dupagecounty.gov/Datalets/Datalet.aspx?UseSearch=no&amp;mode=sales&amp;pin=0517231012","sales record")</f>
        <v>sales record</v>
      </c>
      <c r="AC6621" t="s">
        <v>3</v>
      </c>
      <c r="AD6621">
        <v>41.866329</v>
      </c>
      <c r="AE6621">
        <v>-88.113445</v>
      </c>
      <c r="AF6621" s="5" t="str">
        <f>HYPERLINK("https://www.google.com/maps/search/?api=1&amp;query=41.866329,-88.113445","map")</f>
        <v>map</v>
      </c>
    </row>
    <row r="6622" spans="1:32">
      <c r="A6622" t="s">
        <v>6672</v>
      </c>
      <c r="B6622" t="s">
        <v>14137</v>
      </c>
      <c r="C6622" t="s">
        <v>15426</v>
      </c>
      <c r="D6622" t="s">
        <v>16212</v>
      </c>
      <c r="E6622" t="s">
        <v>16218</v>
      </c>
      <c r="F6622" t="s">
        <v>16220</v>
      </c>
      <c r="G6622" t="s">
        <v>16248</v>
      </c>
      <c r="H6622" t="s">
        <v>16248</v>
      </c>
      <c r="I6622" t="s">
        <v>16375</v>
      </c>
      <c r="J6622" t="s">
        <v>16385</v>
      </c>
      <c r="K6622">
        <v>0.206</v>
      </c>
      <c r="L6622">
        <v>8969</v>
      </c>
      <c r="M6622">
        <v>3463</v>
      </c>
      <c r="N6622" t="s">
        <v>16393</v>
      </c>
      <c r="O6622" s="4">
        <v>35974</v>
      </c>
      <c r="P6622" s="4">
        <v>110513</v>
      </c>
      <c r="Q6622" s="4">
        <v>146487</v>
      </c>
      <c r="R6622" s="4">
        <v>439461</v>
      </c>
      <c r="S6622" t="s">
        <v>22789</v>
      </c>
      <c r="X6622" t="s">
        <v>3</v>
      </c>
      <c r="AA6622" s="5" t="str">
        <f>HYPERLINK("https://www.zillow.com/homes/626-W-WESLEY-ST-WHEATON-IL-60187_rb/","check listing")</f>
        <v>check listing</v>
      </c>
      <c r="AB6622" s="5" t="str">
        <f>HYPERLINK("https://propertylookup.dupagecounty.gov/Datalets/Datalet.aspx?UseSearch=no&amp;mode=sales&amp;pin=0517402001","sales record")</f>
        <v>sales record</v>
      </c>
      <c r="AC6622" t="s">
        <v>3</v>
      </c>
      <c r="AD6622">
        <v>41.865744</v>
      </c>
      <c r="AE6622">
        <v>-88.116265</v>
      </c>
      <c r="AF6622" s="5" t="str">
        <f>HYPERLINK("https://www.google.com/maps/search/?api=1&amp;query=41.865744,-88.116265","map")</f>
        <v>map</v>
      </c>
    </row>
    <row r="6623" spans="1:32">
      <c r="A6623" t="s">
        <v>6673</v>
      </c>
      <c r="B6623" t="s">
        <v>14138</v>
      </c>
      <c r="C6623" t="s">
        <v>15426</v>
      </c>
      <c r="D6623" t="s">
        <v>16212</v>
      </c>
      <c r="E6623" t="s">
        <v>16218</v>
      </c>
      <c r="F6623" t="s">
        <v>16220</v>
      </c>
      <c r="G6623" t="s">
        <v>16248</v>
      </c>
      <c r="H6623" t="s">
        <v>16248</v>
      </c>
      <c r="I6623" t="s">
        <v>16375</v>
      </c>
      <c r="J6623" t="s">
        <v>16385</v>
      </c>
      <c r="K6623">
        <v>0.202</v>
      </c>
      <c r="L6623">
        <v>8797</v>
      </c>
      <c r="M6623">
        <v>1680</v>
      </c>
      <c r="N6623" t="s">
        <v>16393</v>
      </c>
      <c r="O6623" s="4">
        <v>30907</v>
      </c>
      <c r="P6623" s="4">
        <v>65609</v>
      </c>
      <c r="Q6623" s="4">
        <v>96516</v>
      </c>
      <c r="R6623" s="4">
        <v>289548</v>
      </c>
      <c r="S6623" t="s">
        <v>22790</v>
      </c>
      <c r="T6623" s="6">
        <v>35247</v>
      </c>
      <c r="U6623" s="4">
        <v>117000</v>
      </c>
      <c r="X6623" t="s">
        <v>3</v>
      </c>
      <c r="AA6623" s="5" t="str">
        <f>HYPERLINK("https://www.zillow.com/homes/116-E-PARKWAY-DR-WHEATON-IL-60187_rb/","check listing")</f>
        <v>check listing</v>
      </c>
      <c r="AB6623" s="5" t="str">
        <f>HYPERLINK("https://propertylookup.dupagecounty.gov/Datalets/Datalet.aspx?UseSearch=no&amp;mode=sales&amp;pin=0509301005","sales record")</f>
        <v>sales record</v>
      </c>
      <c r="AC6623" t="s">
        <v>27873</v>
      </c>
      <c r="AD6623">
        <v>41.880482</v>
      </c>
      <c r="AE6623">
        <v>-88.10585399999999</v>
      </c>
      <c r="AF6623" s="5" t="str">
        <f>HYPERLINK("https://www.google.com/maps/search/?api=1&amp;query=41.880482,-88.105854","map")</f>
        <v>map</v>
      </c>
    </row>
    <row r="6624" spans="1:32">
      <c r="A6624" t="s">
        <v>6674</v>
      </c>
      <c r="B6624" t="s">
        <v>14139</v>
      </c>
      <c r="C6624" t="s">
        <v>15426</v>
      </c>
      <c r="D6624" t="s">
        <v>16212</v>
      </c>
      <c r="E6624" t="s">
        <v>16218</v>
      </c>
      <c r="F6624" t="s">
        <v>16220</v>
      </c>
      <c r="G6624" t="s">
        <v>16248</v>
      </c>
      <c r="H6624" t="s">
        <v>16248</v>
      </c>
      <c r="I6624" t="s">
        <v>16375</v>
      </c>
      <c r="J6624" t="s">
        <v>16385</v>
      </c>
      <c r="K6624">
        <v>0.178</v>
      </c>
      <c r="L6624">
        <v>7770</v>
      </c>
      <c r="M6624">
        <v>471</v>
      </c>
      <c r="N6624" t="s">
        <v>16393</v>
      </c>
      <c r="O6624" s="4">
        <v>37364</v>
      </c>
      <c r="P6624" s="4">
        <v>36045</v>
      </c>
      <c r="Q6624" s="4">
        <v>73409</v>
      </c>
      <c r="R6624" s="4">
        <v>220227</v>
      </c>
      <c r="S6624" t="s">
        <v>22791</v>
      </c>
      <c r="T6624" s="6">
        <v>32356</v>
      </c>
      <c r="U6624" s="4">
        <v>71000</v>
      </c>
      <c r="X6624" t="s">
        <v>3</v>
      </c>
      <c r="AA6624" s="5" t="str">
        <f>HYPERLINK("https://www.zillow.com/homes/WESLEY-ST-WHEATON-IL-60187_rb/","check listing")</f>
        <v>check listing</v>
      </c>
      <c r="AB6624" s="5" t="str">
        <f>HYPERLINK("https://propertylookup.dupagecounty.gov/Datalets/Datalet.aspx?UseSearch=no&amp;mode=sales&amp;pin=0517231009","sales record")</f>
        <v>sales record</v>
      </c>
      <c r="AC6624" t="s">
        <v>27873</v>
      </c>
      <c r="AD6624">
        <v>41.866316</v>
      </c>
      <c r="AE6624">
        <v>-88.114197</v>
      </c>
      <c r="AF6624" s="5" t="str">
        <f>HYPERLINK("https://www.google.com/maps/search/?api=1&amp;query=41.866316,-88.114197","map")</f>
        <v>map</v>
      </c>
    </row>
    <row r="6625" spans="1:32">
      <c r="A6625" t="s">
        <v>6675</v>
      </c>
      <c r="B6625" t="s">
        <v>14140</v>
      </c>
      <c r="C6625" t="s">
        <v>16077</v>
      </c>
      <c r="D6625" t="s">
        <v>16212</v>
      </c>
      <c r="E6625" t="s">
        <v>16218</v>
      </c>
      <c r="F6625" t="s">
        <v>16220</v>
      </c>
      <c r="G6625" t="s">
        <v>16248</v>
      </c>
      <c r="H6625" t="s">
        <v>16248</v>
      </c>
      <c r="I6625" t="s">
        <v>16375</v>
      </c>
      <c r="J6625" t="s">
        <v>16385</v>
      </c>
      <c r="K6625">
        <v>0.178</v>
      </c>
      <c r="L6625">
        <v>7765</v>
      </c>
      <c r="M6625">
        <v>693</v>
      </c>
      <c r="N6625" t="s">
        <v>16393</v>
      </c>
      <c r="O6625" s="4">
        <v>37341</v>
      </c>
      <c r="P6625" s="4">
        <v>70670</v>
      </c>
      <c r="Q6625" s="4">
        <v>108011</v>
      </c>
      <c r="R6625" s="4">
        <v>324033</v>
      </c>
      <c r="S6625" t="s">
        <v>22792</v>
      </c>
      <c r="T6625" s="6">
        <v>44704</v>
      </c>
      <c r="U6625" s="4">
        <v>275000</v>
      </c>
      <c r="V6625" t="s">
        <v>23739</v>
      </c>
      <c r="W6625" t="s">
        <v>27361</v>
      </c>
      <c r="X6625" t="s">
        <v>3</v>
      </c>
      <c r="AA6625" s="5" t="str">
        <f>HYPERLINK("https://www.zillow.com/homes/507-W-WESLEY-ST-WHEATON-IL-601874927_rb/","check listing")</f>
        <v>check listing</v>
      </c>
      <c r="AB6625" s="5" t="str">
        <f>HYPERLINK("https://propertylookup.dupagecounty.gov/Datalets/Datalet.aspx?UseSearch=no&amp;mode=sales&amp;pin=0517231011","sales record")</f>
        <v>sales record</v>
      </c>
      <c r="AC6625" t="s">
        <v>3</v>
      </c>
      <c r="AD6625">
        <v>41.866326</v>
      </c>
      <c r="AE6625">
        <v>-88.11364399999999</v>
      </c>
      <c r="AF6625" s="5" t="str">
        <f>HYPERLINK("https://www.google.com/maps/search/?api=1&amp;query=41.866326,-88.113644","map")</f>
        <v>map</v>
      </c>
    </row>
    <row r="6626" spans="1:32">
      <c r="A6626" t="s">
        <v>6676</v>
      </c>
      <c r="B6626" t="s">
        <v>14141</v>
      </c>
      <c r="C6626" t="s">
        <v>16079</v>
      </c>
      <c r="D6626" t="s">
        <v>16212</v>
      </c>
      <c r="E6626" t="s">
        <v>16218</v>
      </c>
      <c r="F6626" t="s">
        <v>16220</v>
      </c>
      <c r="G6626" t="s">
        <v>16248</v>
      </c>
      <c r="H6626" t="s">
        <v>16248</v>
      </c>
      <c r="I6626" t="s">
        <v>16375</v>
      </c>
      <c r="J6626" t="s">
        <v>16385</v>
      </c>
      <c r="K6626">
        <v>0.163</v>
      </c>
      <c r="L6626">
        <v>7111</v>
      </c>
      <c r="M6626">
        <v>2177</v>
      </c>
      <c r="N6626" t="s">
        <v>16393</v>
      </c>
      <c r="O6626" s="4">
        <v>28503</v>
      </c>
      <c r="P6626" s="4">
        <v>94347</v>
      </c>
      <c r="Q6626" s="4">
        <v>122850</v>
      </c>
      <c r="R6626" s="4">
        <v>368550</v>
      </c>
      <c r="S6626" t="s">
        <v>22793</v>
      </c>
      <c r="T6626" s="6">
        <v>44287</v>
      </c>
      <c r="U6626" s="4">
        <v>290000</v>
      </c>
      <c r="V6626" t="s">
        <v>23739</v>
      </c>
      <c r="W6626" t="s">
        <v>27362</v>
      </c>
      <c r="X6626" t="s">
        <v>3</v>
      </c>
      <c r="AA6626" s="5" t="str">
        <f>HYPERLINK("https://www.zillow.com/homes/123-N-GARY-AVE-WHEATON-IL-601874913_rb/","check listing")</f>
        <v>check listing</v>
      </c>
      <c r="AB6626" s="5" t="str">
        <f>HYPERLINK("https://propertylookup.dupagecounty.gov/Datalets/Datalet.aspx?UseSearch=no&amp;mode=sales&amp;pin=0517404002","sales record")</f>
        <v>sales record</v>
      </c>
      <c r="AC6626" t="s">
        <v>27873</v>
      </c>
      <c r="AD6626">
        <v>41.86557</v>
      </c>
      <c r="AE6626">
        <v>-88.112959</v>
      </c>
      <c r="AF6626" s="5" t="str">
        <f>HYPERLINK("https://www.google.com/maps/search/?api=1&amp;query=41.86557,-88.112959","map")</f>
        <v>map</v>
      </c>
    </row>
    <row r="6627" spans="1:32">
      <c r="A6627" t="s">
        <v>6677</v>
      </c>
      <c r="B6627" t="s">
        <v>14142</v>
      </c>
      <c r="C6627" t="s">
        <v>16080</v>
      </c>
      <c r="D6627" t="s">
        <v>16212</v>
      </c>
      <c r="E6627" t="s">
        <v>16218</v>
      </c>
      <c r="F6627" t="s">
        <v>16220</v>
      </c>
      <c r="G6627" t="s">
        <v>16248</v>
      </c>
      <c r="H6627" t="s">
        <v>16248</v>
      </c>
      <c r="I6627" t="s">
        <v>16375</v>
      </c>
      <c r="J6627" t="s">
        <v>16385</v>
      </c>
      <c r="K6627">
        <v>0.158</v>
      </c>
      <c r="L6627">
        <v>6896</v>
      </c>
      <c r="M6627">
        <v>318</v>
      </c>
      <c r="N6627" t="s">
        <v>16393</v>
      </c>
      <c r="O6627" s="4">
        <v>32816</v>
      </c>
      <c r="P6627" s="4">
        <v>144661</v>
      </c>
      <c r="Q6627" s="4">
        <v>177477</v>
      </c>
      <c r="R6627" s="4">
        <v>532431</v>
      </c>
      <c r="S6627" t="s">
        <v>22794</v>
      </c>
      <c r="T6627" s="6">
        <v>43678</v>
      </c>
      <c r="U6627" s="4">
        <v>383000</v>
      </c>
      <c r="V6627" t="s">
        <v>23739</v>
      </c>
      <c r="W6627" t="s">
        <v>22794</v>
      </c>
      <c r="X6627" t="s">
        <v>3</v>
      </c>
      <c r="AA6627" s="5" t="str">
        <f>HYPERLINK("https://www.zillow.com/homes/425-W-WESLEY-ST-WHEATON-IL-601874923_rb/","check listing")</f>
        <v>check listing</v>
      </c>
      <c r="AB6627" s="5" t="str">
        <f>HYPERLINK("https://propertylookup.dupagecounty.gov/Datalets/Datalet.aspx?UseSearch=no&amp;mode=sales&amp;pin=0517232008","sales record")</f>
        <v>sales record</v>
      </c>
      <c r="AC6627" t="s">
        <v>3</v>
      </c>
      <c r="AD6627">
        <v>41.866343</v>
      </c>
      <c r="AE6627">
        <v>-88.11283</v>
      </c>
      <c r="AF6627" s="5" t="str">
        <f>HYPERLINK("https://www.google.com/maps/search/?api=1&amp;query=41.866343,-88.11283","map")</f>
        <v>map</v>
      </c>
    </row>
    <row r="6628" spans="1:32">
      <c r="A6628" t="s">
        <v>6678</v>
      </c>
      <c r="B6628" t="s">
        <v>14143</v>
      </c>
      <c r="C6628" t="s">
        <v>15426</v>
      </c>
      <c r="D6628" t="s">
        <v>16212</v>
      </c>
      <c r="E6628" t="s">
        <v>16218</v>
      </c>
      <c r="F6628" t="s">
        <v>16220</v>
      </c>
      <c r="G6628" t="s">
        <v>16248</v>
      </c>
      <c r="H6628" t="s">
        <v>16248</v>
      </c>
      <c r="I6628" t="s">
        <v>16375</v>
      </c>
      <c r="J6628" t="s">
        <v>16385</v>
      </c>
      <c r="K6628">
        <v>0.158</v>
      </c>
      <c r="L6628">
        <v>6892</v>
      </c>
      <c r="N6628" t="s">
        <v>16393</v>
      </c>
      <c r="O6628" s="4">
        <v>32816</v>
      </c>
      <c r="P6628" s="4">
        <v>174142</v>
      </c>
      <c r="Q6628" s="4">
        <v>206958</v>
      </c>
      <c r="R6628" s="4">
        <v>620874</v>
      </c>
      <c r="S6628" t="s">
        <v>22795</v>
      </c>
      <c r="T6628" s="6">
        <v>43983</v>
      </c>
      <c r="U6628" s="4">
        <v>458500</v>
      </c>
      <c r="V6628" t="s">
        <v>23739</v>
      </c>
      <c r="W6628" t="s">
        <v>27363</v>
      </c>
      <c r="X6628" t="s">
        <v>3</v>
      </c>
      <c r="AA6628" s="5" t="str">
        <f>HYPERLINK("https://www.zillow.com/homes/423-W-WESLEY-ST-WHEATON-IL-60187_rb/","check listing")</f>
        <v>check listing</v>
      </c>
      <c r="AB6628" s="5" t="str">
        <f>HYPERLINK("https://propertylookup.dupagecounty.gov/Datalets/Datalet.aspx?UseSearch=no&amp;mode=sales&amp;pin=0517232009","sales record")</f>
        <v>sales record</v>
      </c>
      <c r="AC6628" t="s">
        <v>3</v>
      </c>
      <c r="AD6628">
        <v>41.866346</v>
      </c>
      <c r="AE6628">
        <v>-88.112668</v>
      </c>
      <c r="AF6628" s="5" t="str">
        <f>HYPERLINK("https://www.google.com/maps/search/?api=1&amp;query=41.866346,-88.112668","map")</f>
        <v>map</v>
      </c>
    </row>
    <row r="6629" spans="1:32">
      <c r="A6629" t="s">
        <v>6679</v>
      </c>
      <c r="B6629" t="s">
        <v>14144</v>
      </c>
      <c r="C6629" t="s">
        <v>15426</v>
      </c>
      <c r="D6629" t="s">
        <v>16212</v>
      </c>
      <c r="E6629" t="s">
        <v>16218</v>
      </c>
      <c r="F6629" t="s">
        <v>16220</v>
      </c>
      <c r="G6629" t="s">
        <v>16248</v>
      </c>
      <c r="H6629" t="s">
        <v>16248</v>
      </c>
      <c r="I6629" t="s">
        <v>16375</v>
      </c>
      <c r="J6629" t="s">
        <v>16385</v>
      </c>
      <c r="K6629">
        <v>0.138</v>
      </c>
      <c r="L6629">
        <v>6023</v>
      </c>
      <c r="M6629">
        <v>1485</v>
      </c>
      <c r="N6629" t="s">
        <v>16393</v>
      </c>
      <c r="O6629" s="4">
        <v>24143</v>
      </c>
      <c r="P6629" s="4">
        <v>62651</v>
      </c>
      <c r="Q6629" s="4">
        <v>86794</v>
      </c>
      <c r="R6629" s="4">
        <v>260382</v>
      </c>
      <c r="S6629" t="s">
        <v>22796</v>
      </c>
      <c r="T6629" s="6">
        <v>41395</v>
      </c>
      <c r="U6629" s="4">
        <v>130000</v>
      </c>
      <c r="V6629" t="s">
        <v>23740</v>
      </c>
      <c r="W6629" t="s">
        <v>22796</v>
      </c>
      <c r="X6629" t="s">
        <v>3</v>
      </c>
      <c r="AA6629" s="5" t="str">
        <f>HYPERLINK("https://www.zillow.com/homes/428-W-WESLEY-ST-WHEATON-IL-60187_rb/","check listing")</f>
        <v>check listing</v>
      </c>
      <c r="AB6629" s="5" t="str">
        <f>HYPERLINK("https://propertylookup.dupagecounty.gov/Datalets/Datalet.aspx?UseSearch=no&amp;mode=sales&amp;pin=0517404001","sales record")</f>
        <v>sales record</v>
      </c>
      <c r="AC6629" t="s">
        <v>27873</v>
      </c>
      <c r="AD6629">
        <v>41.86582</v>
      </c>
      <c r="AE6629">
        <v>-88.112961</v>
      </c>
      <c r="AF6629" s="5" t="str">
        <f>HYPERLINK("https://www.google.com/maps/search/?api=1&amp;query=41.86582,-88.112961","map")</f>
        <v>map</v>
      </c>
    </row>
    <row r="6630" spans="1:32">
      <c r="A6630" t="s">
        <v>6680</v>
      </c>
      <c r="B6630" t="s">
        <v>14145</v>
      </c>
      <c r="C6630" t="s">
        <v>16081</v>
      </c>
      <c r="D6630" t="s">
        <v>16212</v>
      </c>
      <c r="E6630" t="s">
        <v>16218</v>
      </c>
      <c r="F6630" t="s">
        <v>16220</v>
      </c>
      <c r="G6630" t="s">
        <v>16248</v>
      </c>
      <c r="H6630" t="s">
        <v>16248</v>
      </c>
      <c r="I6630" t="s">
        <v>16375</v>
      </c>
      <c r="J6630" t="s">
        <v>16385</v>
      </c>
      <c r="K6630">
        <v>0.123</v>
      </c>
      <c r="L6630">
        <v>5373</v>
      </c>
      <c r="M6630">
        <v>1034</v>
      </c>
      <c r="N6630" t="s">
        <v>16393</v>
      </c>
      <c r="O6630" s="4">
        <v>21539</v>
      </c>
      <c r="P6630" s="4">
        <v>117867</v>
      </c>
      <c r="Q6630" s="4">
        <v>139406</v>
      </c>
      <c r="R6630" s="4">
        <v>418218</v>
      </c>
      <c r="S6630" t="s">
        <v>22797</v>
      </c>
      <c r="T6630" s="6">
        <v>44317</v>
      </c>
      <c r="U6630" s="4">
        <v>376000</v>
      </c>
      <c r="V6630" t="s">
        <v>23739</v>
      </c>
      <c r="W6630" t="s">
        <v>22797</v>
      </c>
      <c r="X6630" t="s">
        <v>3</v>
      </c>
      <c r="AA6630" s="5" t="str">
        <f>HYPERLINK("https://www.zillow.com/homes/130-N-ELLIS-AVE-WHEATON-IL-601874908_rb/","check listing")</f>
        <v>check listing</v>
      </c>
      <c r="AB6630" s="5" t="str">
        <f>HYPERLINK("https://propertylookup.dupagecounty.gov/Datalets/Datalet.aspx?UseSearch=no&amp;mode=sales&amp;pin=0517402005","sales record")</f>
        <v>sales record</v>
      </c>
      <c r="AC6630" t="s">
        <v>3</v>
      </c>
      <c r="AD6630">
        <v>41.865842</v>
      </c>
      <c r="AE6630">
        <v>-88.11525899999999</v>
      </c>
      <c r="AF6630" s="5" t="str">
        <f>HYPERLINK("https://www.google.com/maps/search/?api=1&amp;query=41.865842,-88.115259","map")</f>
        <v>map</v>
      </c>
    </row>
    <row r="6631" spans="1:32">
      <c r="A6631" t="s">
        <v>6681</v>
      </c>
      <c r="B6631" t="s">
        <v>14146</v>
      </c>
      <c r="C6631" t="s">
        <v>16081</v>
      </c>
      <c r="D6631" t="s">
        <v>16212</v>
      </c>
      <c r="E6631" t="s">
        <v>16218</v>
      </c>
      <c r="F6631" t="s">
        <v>16220</v>
      </c>
      <c r="G6631" t="s">
        <v>16248</v>
      </c>
      <c r="H6631" t="s">
        <v>16248</v>
      </c>
      <c r="I6631" t="s">
        <v>16375</v>
      </c>
      <c r="J6631" t="s">
        <v>16385</v>
      </c>
      <c r="K6631">
        <v>0.123</v>
      </c>
      <c r="L6631">
        <v>5370</v>
      </c>
      <c r="M6631">
        <v>1929</v>
      </c>
      <c r="N6631" t="s">
        <v>16393</v>
      </c>
      <c r="O6631" s="4">
        <v>21539</v>
      </c>
      <c r="P6631" s="4">
        <v>137473</v>
      </c>
      <c r="Q6631" s="4">
        <v>159012</v>
      </c>
      <c r="R6631" s="4">
        <v>477036</v>
      </c>
      <c r="S6631" t="s">
        <v>22798</v>
      </c>
      <c r="T6631" s="6">
        <v>44621</v>
      </c>
      <c r="U6631" s="4">
        <v>410000</v>
      </c>
      <c r="V6631" t="s">
        <v>23739</v>
      </c>
      <c r="W6631" t="s">
        <v>27364</v>
      </c>
      <c r="X6631" t="s">
        <v>3</v>
      </c>
      <c r="AA6631" s="5" t="str">
        <f>HYPERLINK("https://www.zillow.com/homes/122-N-ELLIS-AVE-WHEATON-IL-601874908_rb/","check listing")</f>
        <v>check listing</v>
      </c>
      <c r="AB6631" s="5" t="str">
        <f>HYPERLINK("https://propertylookup.dupagecounty.gov/Datalets/Datalet.aspx?UseSearch=no&amp;mode=sales&amp;pin=0517402007","sales record")</f>
        <v>sales record</v>
      </c>
      <c r="AC6631" t="s">
        <v>3</v>
      </c>
      <c r="AD6631">
        <v>41.865601</v>
      </c>
      <c r="AE6631">
        <v>-88.115257</v>
      </c>
      <c r="AF6631" s="5" t="str">
        <f>HYPERLINK("https://www.google.com/maps/search/?api=1&amp;query=41.865601,-88.115257","map")</f>
        <v>map</v>
      </c>
    </row>
    <row r="6632" spans="1:32">
      <c r="A6632" t="s">
        <v>6682</v>
      </c>
      <c r="B6632" t="s">
        <v>14147</v>
      </c>
      <c r="C6632" t="s">
        <v>15426</v>
      </c>
      <c r="D6632" t="s">
        <v>16212</v>
      </c>
      <c r="E6632" t="s">
        <v>16218</v>
      </c>
      <c r="F6632" t="s">
        <v>16220</v>
      </c>
      <c r="G6632" t="s">
        <v>16248</v>
      </c>
      <c r="H6632" t="s">
        <v>16248</v>
      </c>
      <c r="I6632" t="s">
        <v>16375</v>
      </c>
      <c r="J6632" t="s">
        <v>16385</v>
      </c>
      <c r="K6632">
        <v>0.115</v>
      </c>
      <c r="L6632">
        <v>5011</v>
      </c>
      <c r="N6632" t="s">
        <v>16393</v>
      </c>
      <c r="O6632" s="4">
        <v>24097</v>
      </c>
      <c r="P6632" s="4">
        <v>341254</v>
      </c>
      <c r="Q6632" s="4">
        <v>365351</v>
      </c>
      <c r="R6632" s="4">
        <v>1096053</v>
      </c>
      <c r="S6632" t="s">
        <v>22799</v>
      </c>
      <c r="T6632" s="6">
        <v>45609</v>
      </c>
      <c r="U6632" s="4">
        <v>1243703</v>
      </c>
      <c r="V6632" t="s">
        <v>23741</v>
      </c>
      <c r="W6632" t="s">
        <v>27365</v>
      </c>
      <c r="X6632" t="s">
        <v>3</v>
      </c>
      <c r="AA6632" s="5" t="str">
        <f>HYPERLINK("https://www.zillow.com/homes/456-W-SEMINARY-AVE-WHEATON-IL-60187_rb/","check listing")</f>
        <v>check listing</v>
      </c>
      <c r="AB6632" s="5" t="str">
        <f>HYPERLINK("https://propertylookup.dupagecounty.gov/Datalets/Datalet.aspx?UseSearch=no&amp;mode=sales&amp;pin=0517232025","sales record")</f>
        <v>sales record</v>
      </c>
      <c r="AC6632" t="s">
        <v>3</v>
      </c>
      <c r="AD6632">
        <v>41.866911</v>
      </c>
      <c r="AE6632">
        <v>-88.112571</v>
      </c>
      <c r="AF6632" s="5" t="str">
        <f>HYPERLINK("https://www.google.com/maps/search/?api=1&amp;query=41.866911,-88.112571","map")</f>
        <v>map</v>
      </c>
    </row>
    <row r="6633" spans="1:32">
      <c r="A6633" t="s">
        <v>6683</v>
      </c>
      <c r="B6633" t="s">
        <v>14148</v>
      </c>
      <c r="C6633" t="s">
        <v>15426</v>
      </c>
      <c r="D6633" t="s">
        <v>16212</v>
      </c>
      <c r="E6633" t="s">
        <v>16218</v>
      </c>
      <c r="F6633" t="s">
        <v>16220</v>
      </c>
      <c r="G6633" t="s">
        <v>16248</v>
      </c>
      <c r="H6633" t="s">
        <v>16248</v>
      </c>
      <c r="I6633" t="s">
        <v>16375</v>
      </c>
      <c r="J6633" t="s">
        <v>16385</v>
      </c>
      <c r="K6633">
        <v>0.115</v>
      </c>
      <c r="L6633">
        <v>5009</v>
      </c>
      <c r="N6633" t="s">
        <v>16393</v>
      </c>
      <c r="O6633" s="4">
        <v>24097</v>
      </c>
      <c r="P6633" s="4">
        <v>419467</v>
      </c>
      <c r="Q6633" s="4">
        <v>443564</v>
      </c>
      <c r="R6633" s="4">
        <v>1330692</v>
      </c>
      <c r="S6633" t="s">
        <v>22800</v>
      </c>
      <c r="T6633" s="6">
        <v>45139</v>
      </c>
      <c r="U6633" s="4">
        <v>1391566</v>
      </c>
      <c r="V6633" t="s">
        <v>23741</v>
      </c>
      <c r="W6633" t="s">
        <v>27366</v>
      </c>
      <c r="X6633" t="s">
        <v>3</v>
      </c>
      <c r="AA6633" s="5" t="str">
        <f>HYPERLINK("https://www.zillow.com/homes/462-W-SEMINARY-AVE-WHEATON-IL-60187_rb/","check listing")</f>
        <v>check listing</v>
      </c>
      <c r="AB6633" s="5" t="str">
        <f>HYPERLINK("https://propertylookup.dupagecounty.gov/Datalets/Datalet.aspx?UseSearch=no&amp;mode=sales&amp;pin=0517232024","sales record")</f>
        <v>sales record</v>
      </c>
      <c r="AC6633" t="s">
        <v>3</v>
      </c>
      <c r="AD6633">
        <v>41.866909</v>
      </c>
      <c r="AE6633">
        <v>-88.112689</v>
      </c>
      <c r="AF6633" s="5" t="str">
        <f>HYPERLINK("https://www.google.com/maps/search/?api=1&amp;query=41.866909,-88.112689","map")</f>
        <v>map</v>
      </c>
    </row>
    <row r="6634" spans="1:32">
      <c r="A6634" t="s">
        <v>6684</v>
      </c>
      <c r="B6634" t="s">
        <v>14149</v>
      </c>
      <c r="C6634" t="s">
        <v>16082</v>
      </c>
      <c r="D6634" t="s">
        <v>16212</v>
      </c>
      <c r="E6634" t="s">
        <v>16218</v>
      </c>
      <c r="F6634" t="s">
        <v>16220</v>
      </c>
      <c r="G6634" t="s">
        <v>16248</v>
      </c>
      <c r="H6634" t="s">
        <v>16248</v>
      </c>
      <c r="I6634" t="s">
        <v>16375</v>
      </c>
      <c r="J6634" t="s">
        <v>16385</v>
      </c>
      <c r="K6634">
        <v>0.115</v>
      </c>
      <c r="L6634">
        <v>5009</v>
      </c>
      <c r="M6634">
        <v>2184</v>
      </c>
      <c r="N6634" t="s">
        <v>16393</v>
      </c>
      <c r="O6634" s="4">
        <v>24097</v>
      </c>
      <c r="P6634" s="4">
        <v>423697</v>
      </c>
      <c r="Q6634" s="4">
        <v>447794</v>
      </c>
      <c r="R6634" s="4">
        <v>1343382</v>
      </c>
      <c r="S6634" t="s">
        <v>22801</v>
      </c>
      <c r="T6634" s="6">
        <v>40330</v>
      </c>
      <c r="U6634" s="4">
        <v>1110879</v>
      </c>
      <c r="V6634" t="s">
        <v>23739</v>
      </c>
      <c r="W6634" t="s">
        <v>27367</v>
      </c>
      <c r="X6634" t="s">
        <v>3</v>
      </c>
      <c r="AA6634" s="5" t="str">
        <f>HYPERLINK("https://www.zillow.com/homes/440-W-SEMINARY-AVE-WHEATON-IL-601874904_rb/","check listing")</f>
        <v>check listing</v>
      </c>
      <c r="AB6634" s="5" t="str">
        <f>HYPERLINK("https://propertylookup.dupagecounty.gov/Datalets/Datalet.aspx?UseSearch=no&amp;mode=sales&amp;pin=0517232014","sales record")</f>
        <v>sales record</v>
      </c>
      <c r="AC6634" t="s">
        <v>27873</v>
      </c>
      <c r="AD6634">
        <v>41.866826</v>
      </c>
      <c r="AE6634">
        <v>-88.11229</v>
      </c>
      <c r="AF6634" s="5" t="str">
        <f>HYPERLINK("https://www.google.com/maps/search/?api=1&amp;query=41.866826,-88.11229","map")</f>
        <v>map</v>
      </c>
    </row>
    <row r="6635" spans="1:32">
      <c r="A6635" t="s">
        <v>6685</v>
      </c>
      <c r="B6635" t="s">
        <v>14150</v>
      </c>
      <c r="C6635" t="s">
        <v>16082</v>
      </c>
      <c r="D6635" t="s">
        <v>16212</v>
      </c>
      <c r="E6635" t="s">
        <v>16218</v>
      </c>
      <c r="F6635" t="s">
        <v>16220</v>
      </c>
      <c r="G6635" t="s">
        <v>16248</v>
      </c>
      <c r="H6635" t="s">
        <v>16248</v>
      </c>
      <c r="I6635" t="s">
        <v>16375</v>
      </c>
      <c r="J6635" t="s">
        <v>16385</v>
      </c>
      <c r="K6635">
        <v>0.115</v>
      </c>
      <c r="L6635">
        <v>5007</v>
      </c>
      <c r="N6635" t="s">
        <v>16393</v>
      </c>
      <c r="O6635" s="4">
        <v>24097</v>
      </c>
      <c r="P6635" s="4">
        <v>422294</v>
      </c>
      <c r="Q6635" s="4">
        <v>446391</v>
      </c>
      <c r="R6635" s="4">
        <v>1339173</v>
      </c>
      <c r="S6635" t="s">
        <v>22802</v>
      </c>
      <c r="T6635" s="6">
        <v>44621</v>
      </c>
      <c r="U6635" s="4">
        <v>1075876</v>
      </c>
      <c r="V6635" t="s">
        <v>23740</v>
      </c>
      <c r="W6635" t="s">
        <v>27035</v>
      </c>
      <c r="X6635" t="s">
        <v>3</v>
      </c>
      <c r="AA6635" s="5" t="str">
        <f>HYPERLINK("https://www.zillow.com/homes/432-W-SEMINARY-AVE-WHEATON-IL-601874904_rb/","check listing")</f>
        <v>check listing</v>
      </c>
      <c r="AB6635" s="5" t="str">
        <f>HYPERLINK("https://propertylookup.dupagecounty.gov/Datalets/Datalet.aspx?UseSearch=no&amp;mode=sales&amp;pin=0517232015","sales record")</f>
        <v>sales record</v>
      </c>
      <c r="AC6635" t="s">
        <v>3</v>
      </c>
      <c r="AD6635">
        <v>41.866828</v>
      </c>
      <c r="AE6635">
        <v>-88.112172</v>
      </c>
      <c r="AF6635" s="5" t="str">
        <f>HYPERLINK("https://www.google.com/maps/search/?api=1&amp;query=41.866828,-88.112172","map")</f>
        <v>map</v>
      </c>
    </row>
    <row r="6636" spans="1:32">
      <c r="A6636" t="s">
        <v>6686</v>
      </c>
      <c r="B6636" t="s">
        <v>14151</v>
      </c>
      <c r="C6636" t="s">
        <v>16082</v>
      </c>
      <c r="D6636" t="s">
        <v>16212</v>
      </c>
      <c r="E6636" t="s">
        <v>16218</v>
      </c>
      <c r="F6636" t="s">
        <v>16220</v>
      </c>
      <c r="G6636" t="s">
        <v>16248</v>
      </c>
      <c r="H6636" t="s">
        <v>16248</v>
      </c>
      <c r="I6636" t="s">
        <v>16375</v>
      </c>
      <c r="J6636" t="s">
        <v>16385</v>
      </c>
      <c r="K6636">
        <v>0.115</v>
      </c>
      <c r="L6636">
        <v>5007</v>
      </c>
      <c r="M6636">
        <v>2992</v>
      </c>
      <c r="N6636" t="s">
        <v>16393</v>
      </c>
      <c r="O6636" s="4">
        <v>24097</v>
      </c>
      <c r="P6636" s="4">
        <v>424840</v>
      </c>
      <c r="Q6636" s="4">
        <v>448937</v>
      </c>
      <c r="R6636" s="4">
        <v>1346811</v>
      </c>
      <c r="S6636" t="s">
        <v>22803</v>
      </c>
      <c r="T6636" s="6">
        <v>44985</v>
      </c>
      <c r="U6636" s="4">
        <v>1200000</v>
      </c>
      <c r="V6636" t="s">
        <v>23739</v>
      </c>
      <c r="W6636" t="s">
        <v>27368</v>
      </c>
      <c r="X6636" t="s">
        <v>3</v>
      </c>
      <c r="AA6636" s="5" t="str">
        <f>HYPERLINK("https://www.zillow.com/homes/448-W-SEMINARY-AVE-WHEATON-IL-601874904_rb/","check listing")</f>
        <v>check listing</v>
      </c>
      <c r="AB6636" s="5" t="str">
        <f>HYPERLINK("https://propertylookup.dupagecounty.gov/Datalets/Datalet.aspx?UseSearch=no&amp;mode=sales&amp;pin=0517232026","sales record")</f>
        <v>sales record</v>
      </c>
      <c r="AC6636" t="s">
        <v>27873</v>
      </c>
      <c r="AD6636">
        <v>41.866913</v>
      </c>
      <c r="AE6636">
        <v>-88.112453</v>
      </c>
      <c r="AF6636" s="5" t="str">
        <f>HYPERLINK("https://www.google.com/maps/search/?api=1&amp;query=41.866913,-88.112453","map")</f>
        <v>map</v>
      </c>
    </row>
    <row r="6637" spans="1:32">
      <c r="A6637" t="s">
        <v>6687</v>
      </c>
      <c r="B6637" t="s">
        <v>14152</v>
      </c>
      <c r="C6637" t="s">
        <v>16082</v>
      </c>
      <c r="D6637" t="s">
        <v>16212</v>
      </c>
      <c r="E6637" t="s">
        <v>16218</v>
      </c>
      <c r="F6637" t="s">
        <v>16220</v>
      </c>
      <c r="G6637" t="s">
        <v>16248</v>
      </c>
      <c r="H6637" t="s">
        <v>16248</v>
      </c>
      <c r="I6637" t="s">
        <v>16375</v>
      </c>
      <c r="J6637" t="s">
        <v>16385</v>
      </c>
      <c r="K6637">
        <v>0.115</v>
      </c>
      <c r="L6637">
        <v>5004</v>
      </c>
      <c r="N6637" t="s">
        <v>16393</v>
      </c>
      <c r="O6637" s="4">
        <v>24097</v>
      </c>
      <c r="P6637" s="4">
        <v>426100</v>
      </c>
      <c r="Q6637" s="4">
        <v>450197</v>
      </c>
      <c r="R6637" s="4">
        <v>1350591</v>
      </c>
      <c r="S6637" t="s">
        <v>22804</v>
      </c>
      <c r="T6637" s="6">
        <v>45930</v>
      </c>
      <c r="U6637" s="4">
        <v>1500000</v>
      </c>
      <c r="V6637" t="s">
        <v>16232</v>
      </c>
      <c r="W6637" t="s">
        <v>27369</v>
      </c>
      <c r="X6637" t="s">
        <v>3</v>
      </c>
      <c r="AA6637" s="5" t="str">
        <f>HYPERLINK("https://www.zillow.com/homes/424-W-SEMINARY-AVE-WHEATON-IL-601874904_rb/","check listing")</f>
        <v>check listing</v>
      </c>
      <c r="AB6637" s="5" t="str">
        <f>HYPERLINK("https://propertylookup.dupagecounty.gov/Datalets/Datalet.aspx?UseSearch=no&amp;mode=sales&amp;pin=0517232016","sales record")</f>
        <v>sales record</v>
      </c>
      <c r="AC6637" t="s">
        <v>3</v>
      </c>
      <c r="AD6637">
        <v>41.86683</v>
      </c>
      <c r="AE6637">
        <v>-88.112054</v>
      </c>
      <c r="AF6637" s="5" t="str">
        <f>HYPERLINK("https://www.google.com/maps/search/?api=1&amp;query=41.86683,-88.112054","map")</f>
        <v>map</v>
      </c>
    </row>
    <row r="6638" spans="1:32">
      <c r="A6638" t="s">
        <v>6688</v>
      </c>
      <c r="B6638" t="s">
        <v>14153</v>
      </c>
      <c r="C6638" t="s">
        <v>16083</v>
      </c>
      <c r="D6638" t="s">
        <v>16212</v>
      </c>
      <c r="E6638" t="s">
        <v>16218</v>
      </c>
      <c r="F6638" t="s">
        <v>16220</v>
      </c>
      <c r="G6638" t="s">
        <v>16248</v>
      </c>
      <c r="H6638" t="s">
        <v>16248</v>
      </c>
      <c r="I6638" t="s">
        <v>16375</v>
      </c>
      <c r="J6638" t="s">
        <v>16385</v>
      </c>
      <c r="K6638">
        <v>0.08699999999999999</v>
      </c>
      <c r="L6638">
        <v>3774</v>
      </c>
      <c r="N6638" t="s">
        <v>16393</v>
      </c>
      <c r="O6638" s="4">
        <v>40098</v>
      </c>
      <c r="P6638" s="4">
        <v>300245</v>
      </c>
      <c r="Q6638" s="4">
        <v>340343</v>
      </c>
      <c r="R6638" s="4">
        <v>1021029</v>
      </c>
      <c r="S6638" t="s">
        <v>22805</v>
      </c>
      <c r="T6638" s="6">
        <v>42917</v>
      </c>
      <c r="U6638" s="4">
        <v>839659</v>
      </c>
      <c r="V6638" t="s">
        <v>23739</v>
      </c>
      <c r="W6638" t="s">
        <v>27370</v>
      </c>
      <c r="X6638" t="s">
        <v>3</v>
      </c>
      <c r="AA6638" s="5" t="str">
        <f>HYPERLINK("https://www.zillow.com/homes/202-N-WEST-ST-WHEATON-IL-601875064_rb/","check listing")</f>
        <v>check listing</v>
      </c>
      <c r="AB6638" s="5" t="str">
        <f>HYPERLINK("https://propertylookup.dupagecounty.gov/Datalets/Datalet.aspx?UseSearch=no&amp;mode=sales&amp;pin=0517232033","sales record")</f>
        <v>sales record</v>
      </c>
      <c r="AC6638" t="s">
        <v>3</v>
      </c>
      <c r="AD6638">
        <v>41.866192</v>
      </c>
      <c r="AE6638">
        <v>-88.11183800000001</v>
      </c>
      <c r="AF6638" s="5" t="str">
        <f>HYPERLINK("https://www.google.com/maps/search/?api=1&amp;query=41.866192,-88.111838","map")</f>
        <v>map</v>
      </c>
    </row>
    <row r="6639" spans="1:32">
      <c r="A6639" t="s">
        <v>6689</v>
      </c>
      <c r="B6639" t="s">
        <v>14154</v>
      </c>
      <c r="C6639" t="s">
        <v>15426</v>
      </c>
      <c r="D6639" t="s">
        <v>16212</v>
      </c>
      <c r="E6639" t="s">
        <v>16218</v>
      </c>
      <c r="F6639" t="s">
        <v>16220</v>
      </c>
      <c r="G6639" t="s">
        <v>16248</v>
      </c>
      <c r="H6639" t="s">
        <v>16248</v>
      </c>
      <c r="I6639" t="s">
        <v>16375</v>
      </c>
      <c r="J6639" t="s">
        <v>16385</v>
      </c>
      <c r="K6639">
        <v>0.08500000000000001</v>
      </c>
      <c r="L6639">
        <v>3722</v>
      </c>
      <c r="M6639">
        <v>1887</v>
      </c>
      <c r="N6639" t="s">
        <v>16393</v>
      </c>
      <c r="O6639" s="4">
        <v>14930</v>
      </c>
      <c r="P6639" s="4">
        <v>138298</v>
      </c>
      <c r="Q6639" s="4">
        <v>153228</v>
      </c>
      <c r="R6639" s="4">
        <v>459684</v>
      </c>
      <c r="S6639" t="s">
        <v>22806</v>
      </c>
      <c r="T6639" s="6">
        <v>45547</v>
      </c>
      <c r="U6639" s="4">
        <v>405000</v>
      </c>
      <c r="V6639" t="s">
        <v>23739</v>
      </c>
      <c r="W6639" t="s">
        <v>27371</v>
      </c>
      <c r="X6639" t="s">
        <v>3</v>
      </c>
      <c r="AA6639" s="5" t="str">
        <f>HYPERLINK("https://www.zillow.com/homes/118-N-ELLIS-AVE-WHEATON-IL-60187_rb/","check listing")</f>
        <v>check listing</v>
      </c>
      <c r="AB6639" s="5" t="str">
        <f>HYPERLINK("https://propertylookup.dupagecounty.gov/Datalets/Datalet.aspx?UseSearch=no&amp;mode=sales&amp;pin=0517402012","sales record")</f>
        <v>sales record</v>
      </c>
      <c r="AC6639" t="s">
        <v>3</v>
      </c>
      <c r="AD6639">
        <v>41.86546</v>
      </c>
      <c r="AE6639">
        <v>-88.115145</v>
      </c>
      <c r="AF6639" s="5" t="str">
        <f>HYPERLINK("https://www.google.com/maps/search/?api=1&amp;query=41.86546,-88.115145","map")</f>
        <v>map</v>
      </c>
    </row>
    <row r="6640" spans="1:32">
      <c r="A6640" t="s">
        <v>6690</v>
      </c>
      <c r="B6640" t="s">
        <v>14155</v>
      </c>
      <c r="C6640" t="s">
        <v>15426</v>
      </c>
      <c r="D6640" t="s">
        <v>16212</v>
      </c>
      <c r="E6640" t="s">
        <v>16218</v>
      </c>
      <c r="F6640" t="s">
        <v>16220</v>
      </c>
      <c r="G6640" t="s">
        <v>16248</v>
      </c>
      <c r="H6640" t="s">
        <v>16248</v>
      </c>
      <c r="I6640" t="s">
        <v>16375</v>
      </c>
      <c r="J6640" t="s">
        <v>16385</v>
      </c>
      <c r="K6640">
        <v>0.079</v>
      </c>
      <c r="L6640">
        <v>3425</v>
      </c>
      <c r="N6640" t="s">
        <v>16393</v>
      </c>
      <c r="O6640" s="4">
        <v>40098</v>
      </c>
      <c r="P6640" s="4">
        <v>294801</v>
      </c>
      <c r="Q6640" s="4">
        <v>334899</v>
      </c>
      <c r="R6640" s="4">
        <v>1004697</v>
      </c>
      <c r="S6640" t="s">
        <v>22807</v>
      </c>
      <c r="T6640" s="6">
        <v>44013</v>
      </c>
      <c r="U6640" s="4">
        <v>731826</v>
      </c>
      <c r="V6640" t="s">
        <v>23739</v>
      </c>
      <c r="W6640" t="s">
        <v>27372</v>
      </c>
      <c r="X6640" t="s">
        <v>3</v>
      </c>
      <c r="AA6640" s="5" t="str">
        <f>HYPERLINK("https://www.zillow.com/homes/210-N-WEST-ST-WHEATON-IL-60187_rb/","check listing")</f>
        <v>check listing</v>
      </c>
      <c r="AB6640" s="5" t="str">
        <f>HYPERLINK("https://propertylookup.dupagecounty.gov/Datalets/Datalet.aspx?UseSearch=no&amp;mode=sales&amp;pin=0517232031","sales record")</f>
        <v>sales record</v>
      </c>
      <c r="AC6640" t="s">
        <v>3</v>
      </c>
      <c r="AD6640">
        <v>41.866366</v>
      </c>
      <c r="AE6640">
        <v>-88.111841</v>
      </c>
      <c r="AF6640" s="5" t="str">
        <f>HYPERLINK("https://www.google.com/maps/search/?api=1&amp;query=41.866366,-88.111841","map")</f>
        <v>map</v>
      </c>
    </row>
    <row r="6641" spans="1:32">
      <c r="A6641" t="s">
        <v>6691</v>
      </c>
      <c r="B6641" t="s">
        <v>14156</v>
      </c>
      <c r="C6641" t="s">
        <v>15426</v>
      </c>
      <c r="D6641" t="s">
        <v>16212</v>
      </c>
      <c r="E6641" t="s">
        <v>16218</v>
      </c>
      <c r="F6641" t="s">
        <v>16220</v>
      </c>
      <c r="G6641" t="s">
        <v>16248</v>
      </c>
      <c r="H6641" t="s">
        <v>16248</v>
      </c>
      <c r="I6641" t="s">
        <v>16375</v>
      </c>
      <c r="J6641" t="s">
        <v>16385</v>
      </c>
      <c r="K6641">
        <v>0.079</v>
      </c>
      <c r="L6641">
        <v>3423</v>
      </c>
      <c r="N6641" t="s">
        <v>16393</v>
      </c>
      <c r="O6641" s="4">
        <v>40098</v>
      </c>
      <c r="P6641" s="4">
        <v>303638</v>
      </c>
      <c r="Q6641" s="4">
        <v>343736</v>
      </c>
      <c r="R6641" s="4">
        <v>1031208</v>
      </c>
      <c r="S6641" t="s">
        <v>22808</v>
      </c>
      <c r="T6641" s="6">
        <v>44621</v>
      </c>
      <c r="U6641" s="4">
        <v>800000</v>
      </c>
      <c r="V6641" t="s">
        <v>23739</v>
      </c>
      <c r="W6641" t="s">
        <v>27373</v>
      </c>
      <c r="X6641" t="s">
        <v>3</v>
      </c>
      <c r="AA6641" s="5" t="str">
        <f>HYPERLINK("https://www.zillow.com/homes/218-N-WEST-ST-WHEATON-IL-60187_rb/","check listing")</f>
        <v>check listing</v>
      </c>
      <c r="AB6641" s="5" t="str">
        <f>HYPERLINK("https://propertylookup.dupagecounty.gov/Datalets/Datalet.aspx?UseSearch=no&amp;mode=sales&amp;pin=0517232029","sales record")</f>
        <v>sales record</v>
      </c>
      <c r="AC6641" t="s">
        <v>27873</v>
      </c>
      <c r="AD6641">
        <v>41.866534</v>
      </c>
      <c r="AE6641">
        <v>-88.11184299999999</v>
      </c>
      <c r="AF6641" s="5" t="str">
        <f>HYPERLINK("https://www.google.com/maps/search/?api=1&amp;query=41.866534,-88.111843","map")</f>
        <v>map</v>
      </c>
    </row>
    <row r="6642" spans="1:32">
      <c r="A6642" t="s">
        <v>6692</v>
      </c>
      <c r="B6642" t="s">
        <v>14157</v>
      </c>
      <c r="C6642" t="s">
        <v>16083</v>
      </c>
      <c r="D6642" t="s">
        <v>16212</v>
      </c>
      <c r="E6642" t="s">
        <v>16218</v>
      </c>
      <c r="F6642" t="s">
        <v>16220</v>
      </c>
      <c r="G6642" t="s">
        <v>16248</v>
      </c>
      <c r="H6642" t="s">
        <v>16248</v>
      </c>
      <c r="I6642" t="s">
        <v>16375</v>
      </c>
      <c r="J6642" t="s">
        <v>16385</v>
      </c>
      <c r="K6642">
        <v>0.079</v>
      </c>
      <c r="L6642">
        <v>3422</v>
      </c>
      <c r="N6642" t="s">
        <v>16393</v>
      </c>
      <c r="O6642" s="4">
        <v>40098</v>
      </c>
      <c r="P6642" s="4">
        <v>294943</v>
      </c>
      <c r="Q6642" s="4">
        <v>335041</v>
      </c>
      <c r="R6642" s="4">
        <v>1005123</v>
      </c>
      <c r="S6642" t="s">
        <v>22809</v>
      </c>
      <c r="T6642" s="6">
        <v>43617</v>
      </c>
      <c r="U6642" s="4">
        <v>750000</v>
      </c>
      <c r="V6642" t="s">
        <v>23739</v>
      </c>
      <c r="W6642" t="s">
        <v>27374</v>
      </c>
      <c r="X6642" t="s">
        <v>3</v>
      </c>
      <c r="AA6642" s="5" t="str">
        <f>HYPERLINK("https://www.zillow.com/homes/206-N-WEST-ST-WHEATON-IL-601875064_rb/","check listing")</f>
        <v>check listing</v>
      </c>
      <c r="AB6642" s="5" t="str">
        <f>HYPERLINK("https://propertylookup.dupagecounty.gov/Datalets/Datalet.aspx?UseSearch=no&amp;mode=sales&amp;pin=0517232032","sales record")</f>
        <v>sales record</v>
      </c>
      <c r="AC6642" t="s">
        <v>3</v>
      </c>
      <c r="AD6642">
        <v>41.866282</v>
      </c>
      <c r="AE6642">
        <v>-88.111839</v>
      </c>
      <c r="AF6642" s="5" t="str">
        <f>HYPERLINK("https://www.google.com/maps/search/?api=1&amp;query=41.866282,-88.111839","map")</f>
        <v>map</v>
      </c>
    </row>
    <row r="6643" spans="1:32">
      <c r="A6643" t="s">
        <v>6693</v>
      </c>
      <c r="B6643" t="s">
        <v>14158</v>
      </c>
      <c r="C6643" t="s">
        <v>15426</v>
      </c>
      <c r="D6643" t="s">
        <v>16212</v>
      </c>
      <c r="E6643" t="s">
        <v>16217</v>
      </c>
      <c r="F6643" t="s">
        <v>16220</v>
      </c>
      <c r="G6643" t="s">
        <v>16296</v>
      </c>
      <c r="H6643" t="s">
        <v>16296</v>
      </c>
      <c r="I6643" t="s">
        <v>16376</v>
      </c>
      <c r="J6643" t="s">
        <v>16385</v>
      </c>
      <c r="K6643">
        <v>0.334</v>
      </c>
      <c r="L6643">
        <v>14549</v>
      </c>
      <c r="N6643" t="s">
        <v>16392</v>
      </c>
      <c r="O6643" s="4">
        <v>180528</v>
      </c>
      <c r="P6643" s="4">
        <v>0</v>
      </c>
      <c r="Q6643" s="4">
        <v>180528</v>
      </c>
      <c r="R6643" s="4">
        <v>541584</v>
      </c>
      <c r="S6643" t="s">
        <v>22810</v>
      </c>
      <c r="T6643" s="6">
        <v>45797</v>
      </c>
      <c r="U6643" s="4">
        <v>1965000</v>
      </c>
      <c r="V6643" t="s">
        <v>23739</v>
      </c>
      <c r="W6643" t="s">
        <v>27375</v>
      </c>
      <c r="X6643" t="s">
        <v>3</v>
      </c>
      <c r="AA6643" s="5" t="str">
        <f>HYPERLINK("https://www.zillow.com/homes/304-N-MAIN-ST-WHEATON-IL-60187_rb/","check listing")</f>
        <v>check listing</v>
      </c>
      <c r="AB6643" s="5" t="str">
        <f>HYPERLINK("https://propertylookup.dupagecounty.gov/Datalets/Datalet.aspx?UseSearch=no&amp;mode=sales&amp;pin=0516127009","sales record")</f>
        <v>sales record</v>
      </c>
      <c r="AC6643" t="s">
        <v>27872</v>
      </c>
      <c r="AD6643">
        <v>41.867421</v>
      </c>
      <c r="AE6643">
        <v>-88.10711000000001</v>
      </c>
      <c r="AF6643" s="5" t="str">
        <f>HYPERLINK("https://www.google.com/maps/search/?api=1&amp;query=41.867421,-88.10711","map")</f>
        <v>map</v>
      </c>
    </row>
    <row r="6644" spans="1:32">
      <c r="A6644" t="s">
        <v>6694</v>
      </c>
      <c r="B6644" t="s">
        <v>14158</v>
      </c>
      <c r="C6644" t="s">
        <v>15426</v>
      </c>
      <c r="D6644" t="s">
        <v>16212</v>
      </c>
      <c r="E6644" t="s">
        <v>16217</v>
      </c>
      <c r="F6644" t="s">
        <v>16220</v>
      </c>
      <c r="G6644" t="s">
        <v>16296</v>
      </c>
      <c r="H6644" t="s">
        <v>16296</v>
      </c>
      <c r="I6644" t="s">
        <v>16376</v>
      </c>
      <c r="J6644" t="s">
        <v>16385</v>
      </c>
      <c r="K6644">
        <v>0.242</v>
      </c>
      <c r="L6644">
        <v>10541</v>
      </c>
      <c r="N6644" t="s">
        <v>16392</v>
      </c>
      <c r="O6644" s="4">
        <v>130663</v>
      </c>
      <c r="P6644" s="4">
        <v>0</v>
      </c>
      <c r="Q6644" s="4">
        <v>130663</v>
      </c>
      <c r="R6644" s="4">
        <v>391989</v>
      </c>
      <c r="S6644" t="s">
        <v>22810</v>
      </c>
      <c r="T6644" s="6">
        <v>45797</v>
      </c>
      <c r="U6644" s="4">
        <v>1965000</v>
      </c>
      <c r="V6644" t="s">
        <v>23739</v>
      </c>
      <c r="W6644" t="s">
        <v>27375</v>
      </c>
      <c r="X6644" t="s">
        <v>3</v>
      </c>
      <c r="AA6644" s="5" t="str">
        <f>HYPERLINK("https://www.zillow.com/homes/304-N-MAIN-ST-WHEATON-IL-60187_rb/","check listing")</f>
        <v>check listing</v>
      </c>
      <c r="AB6644" s="5" t="str">
        <f>HYPERLINK("https://propertylookup.dupagecounty.gov/Datalets/Datalet.aspx?UseSearch=no&amp;mode=sales&amp;pin=0516127006","sales record")</f>
        <v>sales record</v>
      </c>
      <c r="AC6644" t="s">
        <v>27872</v>
      </c>
      <c r="AD6644">
        <v>41.867855</v>
      </c>
      <c r="AE6644">
        <v>-88.107023</v>
      </c>
      <c r="AF6644" s="5" t="str">
        <f>HYPERLINK("https://www.google.com/maps/search/?api=1&amp;query=41.867855,-88.107023","map")</f>
        <v>map</v>
      </c>
    </row>
    <row r="6645" spans="1:32">
      <c r="A6645" t="s">
        <v>6695</v>
      </c>
      <c r="B6645" t="s">
        <v>14159</v>
      </c>
      <c r="C6645" t="s">
        <v>15426</v>
      </c>
      <c r="D6645" t="s">
        <v>16212</v>
      </c>
      <c r="E6645" t="s">
        <v>16217</v>
      </c>
      <c r="F6645" t="s">
        <v>16220</v>
      </c>
      <c r="G6645" t="s">
        <v>16248</v>
      </c>
      <c r="H6645" t="s">
        <v>16248</v>
      </c>
      <c r="I6645" t="s">
        <v>16375</v>
      </c>
      <c r="J6645" t="s">
        <v>16385</v>
      </c>
      <c r="K6645">
        <v>0.229</v>
      </c>
      <c r="L6645">
        <v>9959</v>
      </c>
      <c r="N6645" t="s">
        <v>16392</v>
      </c>
      <c r="O6645" s="4">
        <v>42760</v>
      </c>
      <c r="P6645" s="4">
        <v>0</v>
      </c>
      <c r="Q6645" s="4">
        <v>42760</v>
      </c>
      <c r="R6645" s="4">
        <v>128280</v>
      </c>
      <c r="S6645" t="s">
        <v>22811</v>
      </c>
      <c r="X6645" t="s">
        <v>3</v>
      </c>
      <c r="AA6645" s="5" t="str">
        <f>HYPERLINK("https://www.zillow.com/homes/1333-N-MAIN-ST-WHEATON-IL-60187_rb/","check listing")</f>
        <v>check listing</v>
      </c>
      <c r="AB6645" s="5" t="str">
        <f>HYPERLINK("https://propertylookup.dupagecounty.gov/Datalets/Datalet.aspx?UseSearch=no&amp;mode=sales&amp;pin=0509307024","sales record")</f>
        <v>sales record</v>
      </c>
      <c r="AC6645" t="s">
        <v>27872</v>
      </c>
      <c r="AD6645">
        <v>41.878598</v>
      </c>
      <c r="AE6645">
        <v>-88.10582700000001</v>
      </c>
      <c r="AF6645" s="5" t="str">
        <f>HYPERLINK("https://www.google.com/maps/search/?api=1&amp;query=41.878598,-88.105827","map")</f>
        <v>map</v>
      </c>
    </row>
    <row r="6646" spans="1:32">
      <c r="A6646" t="s">
        <v>6696</v>
      </c>
      <c r="B6646" t="s">
        <v>14160</v>
      </c>
      <c r="C6646" t="s">
        <v>15426</v>
      </c>
      <c r="D6646" t="s">
        <v>16212</v>
      </c>
      <c r="E6646" t="s">
        <v>16217</v>
      </c>
      <c r="F6646" t="s">
        <v>16220</v>
      </c>
      <c r="G6646" t="s">
        <v>16248</v>
      </c>
      <c r="H6646" t="s">
        <v>16248</v>
      </c>
      <c r="I6646" t="s">
        <v>16375</v>
      </c>
      <c r="J6646" t="s">
        <v>16385</v>
      </c>
      <c r="K6646">
        <v>0.199</v>
      </c>
      <c r="L6646">
        <v>8655</v>
      </c>
      <c r="N6646" t="s">
        <v>16392</v>
      </c>
      <c r="O6646" s="4">
        <v>37152</v>
      </c>
      <c r="P6646" s="4">
        <v>0</v>
      </c>
      <c r="Q6646" s="4">
        <v>37152</v>
      </c>
      <c r="R6646" s="4">
        <v>111456</v>
      </c>
      <c r="S6646" t="s">
        <v>22812</v>
      </c>
      <c r="T6646" s="6">
        <v>29860</v>
      </c>
      <c r="U6646" s="4">
        <v>1550000</v>
      </c>
      <c r="X6646" t="s">
        <v>3</v>
      </c>
      <c r="AA6646" s="5" t="str">
        <f>HYPERLINK("https://www.zillow.com/homes/1403-N-MAIN-ST-WHEATON-IL-60187_rb/","check listing")</f>
        <v>check listing</v>
      </c>
      <c r="AB6646" s="5" t="str">
        <f>HYPERLINK("https://propertylookup.dupagecounty.gov/Datalets/Datalet.aspx?UseSearch=no&amp;mode=sales&amp;pin=0509305005","sales record")</f>
        <v>sales record</v>
      </c>
      <c r="AC6646" t="s">
        <v>3</v>
      </c>
      <c r="AD6646">
        <v>41.879451</v>
      </c>
      <c r="AE6646">
        <v>-88.105847</v>
      </c>
      <c r="AF6646" s="5" t="str">
        <f>HYPERLINK("https://www.google.com/maps/search/?api=1&amp;query=41.879451,-88.105847","map")</f>
        <v>map</v>
      </c>
    </row>
    <row r="6647" spans="1:32">
      <c r="A6647" t="s">
        <v>6697</v>
      </c>
      <c r="B6647" t="s">
        <v>14160</v>
      </c>
      <c r="C6647" t="s">
        <v>15426</v>
      </c>
      <c r="D6647" t="s">
        <v>16212</v>
      </c>
      <c r="E6647" t="s">
        <v>16217</v>
      </c>
      <c r="F6647" t="s">
        <v>16220</v>
      </c>
      <c r="G6647" t="s">
        <v>16248</v>
      </c>
      <c r="H6647" t="s">
        <v>16248</v>
      </c>
      <c r="I6647" t="s">
        <v>16375</v>
      </c>
      <c r="J6647" t="s">
        <v>16385</v>
      </c>
      <c r="K6647">
        <v>0.196</v>
      </c>
      <c r="L6647">
        <v>8559</v>
      </c>
      <c r="N6647" t="s">
        <v>16392</v>
      </c>
      <c r="O6647" s="4">
        <v>36752</v>
      </c>
      <c r="P6647" s="4">
        <v>0</v>
      </c>
      <c r="Q6647" s="4">
        <v>36752</v>
      </c>
      <c r="R6647" s="4">
        <v>110256</v>
      </c>
      <c r="S6647" t="s">
        <v>22812</v>
      </c>
      <c r="X6647" t="s">
        <v>3</v>
      </c>
      <c r="AA6647" s="5" t="str">
        <f>HYPERLINK("https://www.zillow.com/homes/1403-N-MAIN-ST-WHEATON-IL-60187_rb/","check listing")</f>
        <v>check listing</v>
      </c>
      <c r="AB6647" s="5" t="str">
        <f>HYPERLINK("https://propertylookup.dupagecounty.gov/Datalets/Datalet.aspx?UseSearch=no&amp;mode=sales&amp;pin=0509305015","sales record")</f>
        <v>sales record</v>
      </c>
      <c r="AC6647" t="s">
        <v>3</v>
      </c>
      <c r="AD6647">
        <v>41.879058</v>
      </c>
      <c r="AE6647">
        <v>-88.105844</v>
      </c>
      <c r="AF6647" s="5" t="str">
        <f>HYPERLINK("https://www.google.com/maps/search/?api=1&amp;query=41.879058,-88.105844","map")</f>
        <v>map</v>
      </c>
    </row>
    <row r="6648" spans="1:32">
      <c r="A6648" t="s">
        <v>6698</v>
      </c>
      <c r="B6648" t="s">
        <v>14161</v>
      </c>
      <c r="C6648" t="s">
        <v>16075</v>
      </c>
      <c r="D6648" t="s">
        <v>16212</v>
      </c>
      <c r="E6648" t="s">
        <v>16217</v>
      </c>
      <c r="F6648" t="s">
        <v>16220</v>
      </c>
      <c r="G6648" t="s">
        <v>16296</v>
      </c>
      <c r="H6648" t="s">
        <v>16296</v>
      </c>
      <c r="I6648" t="s">
        <v>16376</v>
      </c>
      <c r="J6648" t="s">
        <v>16385</v>
      </c>
      <c r="K6648">
        <v>0.167</v>
      </c>
      <c r="L6648">
        <v>7254</v>
      </c>
      <c r="N6648" t="s">
        <v>16392</v>
      </c>
      <c r="O6648" s="4">
        <v>18075</v>
      </c>
      <c r="P6648" s="4">
        <v>0</v>
      </c>
      <c r="Q6648" s="4">
        <v>18075</v>
      </c>
      <c r="R6648" s="4">
        <v>54225</v>
      </c>
      <c r="S6648" t="s">
        <v>22813</v>
      </c>
      <c r="X6648" t="s">
        <v>3</v>
      </c>
      <c r="AA6648" s="5" t="str">
        <f>HYPERLINK("https://www.zillow.com/homes/1810-TAFT-AVE-WHEATON-IL-60189_rb/","check listing")</f>
        <v>check listing</v>
      </c>
      <c r="AB6648" s="5" t="str">
        <f>HYPERLINK("https://propertylookup.dupagecounty.gov/Datalets/Datalet.aspx?UseSearch=no&amp;mode=sales&amp;pin=0522204003","sales record")</f>
        <v>sales record</v>
      </c>
      <c r="AC6648" t="s">
        <v>27872</v>
      </c>
      <c r="AD6648">
        <v>41.857999</v>
      </c>
      <c r="AE6648">
        <v>-88.081406</v>
      </c>
      <c r="AF6648" s="5" t="str">
        <f>HYPERLINK("https://www.google.com/maps/search/?api=1&amp;query=41.857999,-88.081406","map")</f>
        <v>map</v>
      </c>
    </row>
    <row r="6649" spans="1:32">
      <c r="A6649" t="s">
        <v>6699</v>
      </c>
      <c r="B6649" t="s">
        <v>14161</v>
      </c>
      <c r="C6649" t="s">
        <v>16075</v>
      </c>
      <c r="D6649" t="s">
        <v>16212</v>
      </c>
      <c r="E6649" t="s">
        <v>16217</v>
      </c>
      <c r="F6649" t="s">
        <v>16220</v>
      </c>
      <c r="G6649" t="s">
        <v>16296</v>
      </c>
      <c r="H6649" t="s">
        <v>16296</v>
      </c>
      <c r="I6649" t="s">
        <v>16376</v>
      </c>
      <c r="J6649" t="s">
        <v>16385</v>
      </c>
      <c r="K6649">
        <v>0.166</v>
      </c>
      <c r="L6649">
        <v>7252</v>
      </c>
      <c r="N6649" t="s">
        <v>16392</v>
      </c>
      <c r="O6649" s="4">
        <v>18099</v>
      </c>
      <c r="P6649" s="4">
        <v>0</v>
      </c>
      <c r="Q6649" s="4">
        <v>18099</v>
      </c>
      <c r="R6649" s="4">
        <v>54297</v>
      </c>
      <c r="S6649" t="s">
        <v>22814</v>
      </c>
      <c r="T6649" s="6">
        <v>43344</v>
      </c>
      <c r="U6649" s="4">
        <v>45000</v>
      </c>
      <c r="V6649" t="s">
        <v>23740</v>
      </c>
      <c r="W6649" t="s">
        <v>27376</v>
      </c>
      <c r="X6649" t="s">
        <v>3</v>
      </c>
      <c r="AA6649" s="5" t="str">
        <f>HYPERLINK("https://www.zillow.com/homes/1810-TAFT-AVE-WHEATON-IL-60189_rb/","check listing")</f>
        <v>check listing</v>
      </c>
      <c r="AB6649" s="5" t="str">
        <f>HYPERLINK("https://propertylookup.dupagecounty.gov/Datalets/Datalet.aspx?UseSearch=no&amp;mode=sales&amp;pin=0522204002","sales record")</f>
        <v>sales record</v>
      </c>
      <c r="AC6649" t="s">
        <v>3</v>
      </c>
      <c r="AD6649">
        <v>41.857996</v>
      </c>
      <c r="AE6649">
        <v>-88.081608</v>
      </c>
      <c r="AF6649" s="5" t="str">
        <f>HYPERLINK("https://www.google.com/maps/search/?api=1&amp;query=41.857996,-88.081608","map")</f>
        <v>map</v>
      </c>
    </row>
    <row r="6650" spans="1:32">
      <c r="A6650" t="s">
        <v>6700</v>
      </c>
      <c r="B6650" t="s">
        <v>14162</v>
      </c>
      <c r="C6650" t="s">
        <v>15426</v>
      </c>
      <c r="D6650" t="s">
        <v>16212</v>
      </c>
      <c r="E6650" t="s">
        <v>16217</v>
      </c>
      <c r="F6650" t="s">
        <v>16220</v>
      </c>
      <c r="G6650" t="s">
        <v>16296</v>
      </c>
      <c r="H6650" t="s">
        <v>16296</v>
      </c>
      <c r="I6650" t="s">
        <v>16376</v>
      </c>
      <c r="J6650" t="s">
        <v>16385</v>
      </c>
      <c r="K6650">
        <v>0.151</v>
      </c>
      <c r="L6650">
        <v>6572</v>
      </c>
      <c r="M6650">
        <v>2375</v>
      </c>
      <c r="N6650" t="s">
        <v>16393</v>
      </c>
      <c r="O6650" s="4">
        <v>23236</v>
      </c>
      <c r="P6650" s="4">
        <v>0</v>
      </c>
      <c r="Q6650" s="4">
        <v>23236</v>
      </c>
      <c r="R6650" s="4">
        <v>69708</v>
      </c>
      <c r="S6650" t="s">
        <v>22815</v>
      </c>
      <c r="T6650" s="6">
        <v>38991</v>
      </c>
      <c r="U6650" s="4">
        <v>545000</v>
      </c>
      <c r="V6650" t="s">
        <v>23740</v>
      </c>
      <c r="W6650" t="s">
        <v>27377</v>
      </c>
      <c r="X6650" t="s">
        <v>3</v>
      </c>
      <c r="AA6650" s="5" t="str">
        <f>HYPERLINK("https://www.zillow.com/homes/306-N-WESTERN-AVE-WHEATON-IL-60187_rb/","check listing")</f>
        <v>check listing</v>
      </c>
      <c r="AB6650" s="5" t="str">
        <f>HYPERLINK("https://propertylookup.dupagecounty.gov/Datalets/Datalet.aspx?UseSearch=no&amp;mode=sales&amp;pin=0517227015","sales record")</f>
        <v>sales record</v>
      </c>
      <c r="AC6650" t="s">
        <v>27871</v>
      </c>
      <c r="AD6650">
        <v>41.867148</v>
      </c>
      <c r="AE6650">
        <v>-88.118195</v>
      </c>
      <c r="AF6650" s="5" t="str">
        <f>HYPERLINK("https://www.google.com/maps/search/?api=1&amp;query=41.867148,-88.118195","map")</f>
        <v>map</v>
      </c>
    </row>
    <row r="6651" spans="1:32">
      <c r="A6651" t="s">
        <v>6701</v>
      </c>
      <c r="B6651" t="s">
        <v>14163</v>
      </c>
      <c r="C6651" t="s">
        <v>15426</v>
      </c>
      <c r="D6651" t="s">
        <v>16212</v>
      </c>
      <c r="E6651" t="s">
        <v>16217</v>
      </c>
      <c r="F6651" t="s">
        <v>16220</v>
      </c>
      <c r="G6651" t="s">
        <v>16296</v>
      </c>
      <c r="H6651" t="s">
        <v>16296</v>
      </c>
      <c r="I6651" t="s">
        <v>16376</v>
      </c>
      <c r="J6651" t="s">
        <v>16385</v>
      </c>
      <c r="K6651">
        <v>0.136</v>
      </c>
      <c r="L6651">
        <v>5923</v>
      </c>
      <c r="N6651" t="s">
        <v>16393</v>
      </c>
      <c r="O6651" s="4">
        <v>3323</v>
      </c>
      <c r="P6651" s="4">
        <v>0</v>
      </c>
      <c r="Q6651" s="4">
        <v>3323</v>
      </c>
      <c r="R6651" s="4">
        <v>9969</v>
      </c>
      <c r="S6651" t="s">
        <v>22816</v>
      </c>
      <c r="X6651" t="s">
        <v>3</v>
      </c>
      <c r="AA6651" s="5" t="str">
        <f>HYPERLINK("https://www.zillow.com/homes/202-S-WASHINGTON-ST-A-WHEATON-IL-60187_rb/","check listing")</f>
        <v>check listing</v>
      </c>
      <c r="AB6651" s="5" t="str">
        <f>HYPERLINK("https://propertylookup.dupagecounty.gov/Datalets/Datalet.aspx?UseSearch=no&amp;mode=sales&amp;pin=0516320026","sales record")</f>
        <v>sales record</v>
      </c>
      <c r="AC6651" t="s">
        <v>3</v>
      </c>
      <c r="AD6651">
        <v>41.863974</v>
      </c>
      <c r="AE6651">
        <v>-88.10169500000001</v>
      </c>
      <c r="AF6651" s="5" t="str">
        <f>HYPERLINK("https://www.google.com/maps/search/?api=1&amp;query=41.863974,-88.101695","map")</f>
        <v>map</v>
      </c>
    </row>
    <row r="6652" spans="1:32">
      <c r="A6652" t="s">
        <v>6702</v>
      </c>
      <c r="B6652" t="s">
        <v>14164</v>
      </c>
      <c r="C6652" t="s">
        <v>16084</v>
      </c>
      <c r="D6652" t="s">
        <v>16212</v>
      </c>
      <c r="E6652" t="s">
        <v>16218</v>
      </c>
      <c r="F6652" t="s">
        <v>16221</v>
      </c>
      <c r="G6652" t="s">
        <v>16250</v>
      </c>
      <c r="H6652" t="s">
        <v>16250</v>
      </c>
      <c r="I6652" t="s">
        <v>16377</v>
      </c>
      <c r="J6652" t="s">
        <v>16385</v>
      </c>
      <c r="K6652">
        <v>0.387</v>
      </c>
      <c r="L6652">
        <v>16869</v>
      </c>
      <c r="M6652">
        <v>3925</v>
      </c>
      <c r="N6652" t="s">
        <v>16393</v>
      </c>
      <c r="O6652" s="4">
        <v>33888</v>
      </c>
      <c r="P6652" s="4">
        <v>188494</v>
      </c>
      <c r="Q6652" s="4">
        <v>222382</v>
      </c>
      <c r="R6652" s="4">
        <v>667146</v>
      </c>
      <c r="S6652" t="s">
        <v>22817</v>
      </c>
      <c r="T6652" s="6">
        <v>43221</v>
      </c>
      <c r="U6652" s="4">
        <v>350000</v>
      </c>
      <c r="V6652" t="s">
        <v>23739</v>
      </c>
      <c r="W6652" t="s">
        <v>22817</v>
      </c>
      <c r="X6652" t="s">
        <v>3</v>
      </c>
      <c r="AA6652" s="5" t="str">
        <f>HYPERLINK("https://www.zillow.com/homes/1928-N-PRESIDENT-ST-WHEATON-IL-601873329_rb/","check listing")</f>
        <v>check listing</v>
      </c>
      <c r="AB6652" s="5" t="str">
        <f>HYPERLINK("https://propertylookup.dupagecounty.gov/Datalets/Datalet.aspx?UseSearch=no&amp;mode=sales&amp;pin=0509217050","sales record")</f>
        <v>sales record</v>
      </c>
      <c r="AC6652" t="s">
        <v>3</v>
      </c>
      <c r="AD6652">
        <v>41.885524</v>
      </c>
      <c r="AE6652">
        <v>-88.092591</v>
      </c>
      <c r="AF6652" s="5" t="str">
        <f>HYPERLINK("https://www.google.com/maps/search/?api=1&amp;query=41.885524,-88.092591","map")</f>
        <v>map</v>
      </c>
    </row>
    <row r="6653" spans="1:32">
      <c r="A6653" t="s">
        <v>6703</v>
      </c>
      <c r="B6653" t="s">
        <v>14165</v>
      </c>
      <c r="C6653" t="s">
        <v>15426</v>
      </c>
      <c r="D6653" t="s">
        <v>16212</v>
      </c>
      <c r="E6653" t="s">
        <v>16218</v>
      </c>
      <c r="F6653" t="s">
        <v>16221</v>
      </c>
      <c r="G6653" t="s">
        <v>16250</v>
      </c>
      <c r="H6653" t="s">
        <v>16250</v>
      </c>
      <c r="I6653" t="s">
        <v>16377</v>
      </c>
      <c r="J6653" t="s">
        <v>16385</v>
      </c>
      <c r="K6653">
        <v>0.378</v>
      </c>
      <c r="L6653">
        <v>16473</v>
      </c>
      <c r="M6653">
        <v>1847</v>
      </c>
      <c r="N6653" t="s">
        <v>16393</v>
      </c>
      <c r="O6653" s="4">
        <v>45318</v>
      </c>
      <c r="P6653" s="4">
        <v>107085</v>
      </c>
      <c r="Q6653" s="4">
        <v>152403</v>
      </c>
      <c r="R6653" s="4">
        <v>457209</v>
      </c>
      <c r="S6653" t="s">
        <v>22818</v>
      </c>
      <c r="T6653" s="6">
        <v>46003</v>
      </c>
      <c r="U6653" s="4">
        <v>450000</v>
      </c>
      <c r="V6653" t="s">
        <v>23739</v>
      </c>
      <c r="W6653" t="s">
        <v>27378</v>
      </c>
      <c r="X6653" t="s">
        <v>3</v>
      </c>
      <c r="AA6653" s="5" t="str">
        <f>HYPERLINK("https://www.zillow.com/homes/414-S-HALE-ST-WHEATON-IL-60187_rb/","check listing")</f>
        <v>check listing</v>
      </c>
      <c r="AB6653" s="5" t="str">
        <f>HYPERLINK("https://propertylookup.dupagecounty.gov/Datalets/Datalet.aspx?UseSearch=no&amp;mode=sales&amp;pin=0516328012","sales record")</f>
        <v>sales record</v>
      </c>
      <c r="AC6653" t="s">
        <v>3</v>
      </c>
      <c r="AD6653">
        <v>41.861466</v>
      </c>
      <c r="AE6653">
        <v>-88.10866300000001</v>
      </c>
      <c r="AF6653" s="5" t="str">
        <f>HYPERLINK("https://www.google.com/maps/search/?api=1&amp;query=41.861466,-88.108663","map")</f>
        <v>map</v>
      </c>
    </row>
    <row r="6654" spans="1:32">
      <c r="A6654" t="s">
        <v>6704</v>
      </c>
      <c r="B6654" t="s">
        <v>14166</v>
      </c>
      <c r="C6654" t="s">
        <v>15426</v>
      </c>
      <c r="D6654" t="s">
        <v>16212</v>
      </c>
      <c r="E6654" t="s">
        <v>16218</v>
      </c>
      <c r="F6654" t="s">
        <v>16221</v>
      </c>
      <c r="G6654" t="s">
        <v>16250</v>
      </c>
      <c r="H6654" t="s">
        <v>16250</v>
      </c>
      <c r="I6654" t="s">
        <v>16377</v>
      </c>
      <c r="J6654" t="s">
        <v>16385</v>
      </c>
      <c r="K6654">
        <v>0.321</v>
      </c>
      <c r="L6654">
        <v>13966</v>
      </c>
      <c r="M6654">
        <v>3842</v>
      </c>
      <c r="N6654" t="s">
        <v>16393</v>
      </c>
      <c r="O6654" s="4">
        <v>43550</v>
      </c>
      <c r="P6654" s="4">
        <v>221204</v>
      </c>
      <c r="Q6654" s="4">
        <v>264754</v>
      </c>
      <c r="R6654" s="4">
        <v>794262</v>
      </c>
      <c r="S6654" t="s">
        <v>22819</v>
      </c>
      <c r="T6654" s="6">
        <v>35490</v>
      </c>
      <c r="U6654" s="4">
        <v>251000</v>
      </c>
      <c r="X6654" t="s">
        <v>3</v>
      </c>
      <c r="AA6654" s="5" t="str">
        <f>HYPERLINK("https://www.zillow.com/homes/424-S-WHEATON-AVE-WHEATON-IL-60187_rb/","check listing")</f>
        <v>check listing</v>
      </c>
      <c r="AB6654" s="5" t="str">
        <f>HYPERLINK("https://propertylookup.dupagecounty.gov/Datalets/Datalet.aspx?UseSearch=no&amp;mode=sales&amp;pin=0516327015","sales record")</f>
        <v>sales record</v>
      </c>
      <c r="AC6654" t="s">
        <v>27873</v>
      </c>
      <c r="AD6654">
        <v>41.861145</v>
      </c>
      <c r="AE6654">
        <v>-88.110319</v>
      </c>
      <c r="AF6654" s="5" t="str">
        <f>HYPERLINK("https://www.google.com/maps/search/?api=1&amp;query=41.861145,-88.110319","map")</f>
        <v>map</v>
      </c>
    </row>
    <row r="6655" spans="1:32">
      <c r="A6655" t="s">
        <v>6705</v>
      </c>
      <c r="B6655" t="s">
        <v>14167</v>
      </c>
      <c r="C6655" t="s">
        <v>16075</v>
      </c>
      <c r="D6655" t="s">
        <v>16212</v>
      </c>
      <c r="E6655" t="s">
        <v>16218</v>
      </c>
      <c r="F6655" t="s">
        <v>16221</v>
      </c>
      <c r="G6655" t="s">
        <v>16250</v>
      </c>
      <c r="H6655" t="s">
        <v>16250</v>
      </c>
      <c r="I6655" t="s">
        <v>16377</v>
      </c>
      <c r="J6655" t="s">
        <v>16385</v>
      </c>
      <c r="K6655">
        <v>0.32</v>
      </c>
      <c r="L6655">
        <v>13954</v>
      </c>
      <c r="M6655">
        <v>2308</v>
      </c>
      <c r="N6655" t="s">
        <v>16393</v>
      </c>
      <c r="O6655" s="4">
        <v>32144</v>
      </c>
      <c r="P6655" s="4">
        <v>126951</v>
      </c>
      <c r="Q6655" s="4">
        <v>159095</v>
      </c>
      <c r="R6655" s="4">
        <v>477285</v>
      </c>
      <c r="S6655" t="s">
        <v>22820</v>
      </c>
      <c r="T6655" s="6">
        <v>36312</v>
      </c>
      <c r="U6655" s="4">
        <v>284000</v>
      </c>
      <c r="X6655" t="s">
        <v>3</v>
      </c>
      <c r="AA6655" s="5" t="str">
        <f>HYPERLINK("https://www.zillow.com/homes/1490-COUNTY-FARM-RD-WHEATON-IL-60189_rb/","check listing")</f>
        <v>check listing</v>
      </c>
      <c r="AB6655" s="5" t="str">
        <f>HYPERLINK("https://propertylookup.dupagecounty.gov/Datalets/Datalet.aspx?UseSearch=no&amp;mode=sales&amp;pin=0519305045","sales record")</f>
        <v>sales record</v>
      </c>
      <c r="AC6655" t="s">
        <v>3</v>
      </c>
      <c r="AD6655">
        <v>41.84914</v>
      </c>
      <c r="AE6655">
        <v>-88.14246199999999</v>
      </c>
      <c r="AF6655" s="5" t="str">
        <f>HYPERLINK("https://www.google.com/maps/search/?api=1&amp;query=41.84914,-88.142462","map")</f>
        <v>map</v>
      </c>
    </row>
    <row r="6656" spans="1:32">
      <c r="A6656" t="s">
        <v>6706</v>
      </c>
      <c r="B6656" t="s">
        <v>14168</v>
      </c>
      <c r="C6656" t="s">
        <v>16085</v>
      </c>
      <c r="D6656" t="s">
        <v>16212</v>
      </c>
      <c r="E6656" t="s">
        <v>16218</v>
      </c>
      <c r="F6656" t="s">
        <v>16221</v>
      </c>
      <c r="G6656" t="s">
        <v>16250</v>
      </c>
      <c r="H6656" t="s">
        <v>16250</v>
      </c>
      <c r="I6656" t="s">
        <v>16377</v>
      </c>
      <c r="J6656" t="s">
        <v>16385</v>
      </c>
      <c r="K6656">
        <v>0.313</v>
      </c>
      <c r="L6656">
        <v>13649</v>
      </c>
      <c r="M6656">
        <v>1141</v>
      </c>
      <c r="N6656" t="s">
        <v>16393</v>
      </c>
      <c r="O6656" s="4">
        <v>52541</v>
      </c>
      <c r="P6656" s="4">
        <v>66067</v>
      </c>
      <c r="Q6656" s="4">
        <v>118608</v>
      </c>
      <c r="R6656" s="4">
        <v>355824</v>
      </c>
      <c r="S6656" t="s">
        <v>22821</v>
      </c>
      <c r="T6656" s="6">
        <v>43739</v>
      </c>
      <c r="U6656" s="4">
        <v>230000</v>
      </c>
      <c r="V6656" t="s">
        <v>23739</v>
      </c>
      <c r="W6656" t="s">
        <v>22821</v>
      </c>
      <c r="X6656" t="s">
        <v>3</v>
      </c>
      <c r="AA6656" s="5" t="str">
        <f>HYPERLINK("https://www.zillow.com/homes/404-LYON-AVE-WHEATON-IL-601873921_rb/","check listing")</f>
        <v>check listing</v>
      </c>
      <c r="AB6656" s="5" t="str">
        <f>HYPERLINK("https://propertylookup.dupagecounty.gov/Datalets/Datalet.aspx?UseSearch=no&amp;mode=sales&amp;pin=0517215018","sales record")</f>
        <v>sales record</v>
      </c>
      <c r="AC6656" t="s">
        <v>27873</v>
      </c>
      <c r="AD6656">
        <v>41.868345</v>
      </c>
      <c r="AE6656">
        <v>-88.11974499999999</v>
      </c>
      <c r="AF6656" s="5" t="str">
        <f>HYPERLINK("https://www.google.com/maps/search/?api=1&amp;query=41.868345,-88.119745","map")</f>
        <v>map</v>
      </c>
    </row>
    <row r="6657" spans="1:32">
      <c r="A6657" t="s">
        <v>6707</v>
      </c>
      <c r="B6657" t="s">
        <v>14169</v>
      </c>
      <c r="C6657" t="s">
        <v>16086</v>
      </c>
      <c r="D6657" t="s">
        <v>16212</v>
      </c>
      <c r="E6657" t="s">
        <v>16218</v>
      </c>
      <c r="F6657" t="s">
        <v>16221</v>
      </c>
      <c r="G6657" t="s">
        <v>16250</v>
      </c>
      <c r="H6657" t="s">
        <v>16250</v>
      </c>
      <c r="I6657" t="s">
        <v>16377</v>
      </c>
      <c r="J6657" t="s">
        <v>16385</v>
      </c>
      <c r="K6657">
        <v>0.281</v>
      </c>
      <c r="L6657">
        <v>12244</v>
      </c>
      <c r="M6657">
        <v>989</v>
      </c>
      <c r="N6657" t="s">
        <v>16393</v>
      </c>
      <c r="O6657" s="4">
        <v>41936</v>
      </c>
      <c r="P6657" s="4">
        <v>22234</v>
      </c>
      <c r="Q6657" s="4">
        <v>64170</v>
      </c>
      <c r="R6657" s="4">
        <v>192510</v>
      </c>
      <c r="S6657" t="s">
        <v>22822</v>
      </c>
      <c r="T6657" s="6">
        <v>44440</v>
      </c>
      <c r="U6657" s="4">
        <v>161000</v>
      </c>
      <c r="V6657" t="s">
        <v>23739</v>
      </c>
      <c r="W6657" t="s">
        <v>22822</v>
      </c>
      <c r="X6657" t="s">
        <v>3</v>
      </c>
      <c r="AA6657" s="5" t="str">
        <f>HYPERLINK("https://www.zillow.com/homes/512-CRESCENT-ST-WHEATON-IL-601875508_rb/","check listing")</f>
        <v>check listing</v>
      </c>
      <c r="AB6657" s="5" t="str">
        <f>HYPERLINK("https://propertylookup.dupagecounty.gov/Datalets/Datalet.aspx?UseSearch=no&amp;mode=sales&amp;pin=0516401012","sales record")</f>
        <v>sales record</v>
      </c>
      <c r="AC6657" t="s">
        <v>3</v>
      </c>
      <c r="AD6657">
        <v>41.865319</v>
      </c>
      <c r="AE6657">
        <v>-88.098862</v>
      </c>
      <c r="AF6657" s="5" t="str">
        <f>HYPERLINK("https://www.google.com/maps/search/?api=1&amp;query=41.865319,-88.098862","map")</f>
        <v>map</v>
      </c>
    </row>
    <row r="6658" spans="1:32">
      <c r="A6658" t="s">
        <v>6708</v>
      </c>
      <c r="B6658" t="s">
        <v>14170</v>
      </c>
      <c r="C6658" t="s">
        <v>15426</v>
      </c>
      <c r="D6658" t="s">
        <v>16212</v>
      </c>
      <c r="E6658" t="s">
        <v>16218</v>
      </c>
      <c r="F6658" t="s">
        <v>16221</v>
      </c>
      <c r="G6658" t="s">
        <v>16250</v>
      </c>
      <c r="H6658" t="s">
        <v>16250</v>
      </c>
      <c r="I6658" t="s">
        <v>16377</v>
      </c>
      <c r="J6658" t="s">
        <v>16385</v>
      </c>
      <c r="K6658">
        <v>0.269</v>
      </c>
      <c r="L6658">
        <v>11706</v>
      </c>
      <c r="M6658">
        <v>2441</v>
      </c>
      <c r="N6658" t="s">
        <v>16393</v>
      </c>
      <c r="O6658" s="4">
        <v>41158</v>
      </c>
      <c r="P6658" s="4">
        <v>110856</v>
      </c>
      <c r="Q6658" s="4">
        <v>152014</v>
      </c>
      <c r="R6658" s="4">
        <v>456042</v>
      </c>
      <c r="S6658" t="s">
        <v>22823</v>
      </c>
      <c r="T6658" s="6">
        <v>43983</v>
      </c>
      <c r="U6658" s="4">
        <v>380000</v>
      </c>
      <c r="V6658" t="s">
        <v>23739</v>
      </c>
      <c r="W6658" t="s">
        <v>27379</v>
      </c>
      <c r="X6658" t="s">
        <v>3</v>
      </c>
      <c r="AA6658" s="5" t="str">
        <f>HYPERLINK("https://www.zillow.com/homes/511-E-LIBERTY-DR-WHEATON-IL-60187_rb/","check listing")</f>
        <v>check listing</v>
      </c>
      <c r="AB6658" s="5" t="str">
        <f>HYPERLINK("https://propertylookup.dupagecounty.gov/Datalets/Datalet.aspx?UseSearch=no&amp;mode=sales&amp;pin=0516401026","sales record")</f>
        <v>sales record</v>
      </c>
      <c r="AC6658" t="s">
        <v>3</v>
      </c>
      <c r="AD6658">
        <v>41.864772</v>
      </c>
      <c r="AE6658">
        <v>-88.09862</v>
      </c>
      <c r="AF6658" s="5" t="str">
        <f>HYPERLINK("https://www.google.com/maps/search/?api=1&amp;query=41.864772,-88.09862","map")</f>
        <v>map</v>
      </c>
    </row>
    <row r="6659" spans="1:32">
      <c r="A6659" t="s">
        <v>6709</v>
      </c>
      <c r="B6659" t="s">
        <v>14171</v>
      </c>
      <c r="C6659" t="s">
        <v>16087</v>
      </c>
      <c r="D6659" t="s">
        <v>16212</v>
      </c>
      <c r="E6659" t="s">
        <v>16218</v>
      </c>
      <c r="F6659" t="s">
        <v>16221</v>
      </c>
      <c r="G6659" t="s">
        <v>16250</v>
      </c>
      <c r="H6659" t="s">
        <v>16250</v>
      </c>
      <c r="I6659" t="s">
        <v>16377</v>
      </c>
      <c r="J6659" t="s">
        <v>16385</v>
      </c>
      <c r="K6659">
        <v>0.262</v>
      </c>
      <c r="L6659">
        <v>11409</v>
      </c>
      <c r="M6659">
        <v>2992</v>
      </c>
      <c r="N6659" t="s">
        <v>16393</v>
      </c>
      <c r="O6659" s="4">
        <v>40592</v>
      </c>
      <c r="P6659" s="4">
        <v>169842</v>
      </c>
      <c r="Q6659" s="4">
        <v>210434</v>
      </c>
      <c r="R6659" s="4">
        <v>631302</v>
      </c>
      <c r="S6659" t="s">
        <v>22824</v>
      </c>
      <c r="T6659" s="6">
        <v>42675</v>
      </c>
      <c r="U6659" s="4">
        <v>420000</v>
      </c>
      <c r="V6659" t="s">
        <v>23739</v>
      </c>
      <c r="W6659" t="s">
        <v>22824</v>
      </c>
      <c r="X6659" t="s">
        <v>3</v>
      </c>
      <c r="AA6659" s="5" t="str">
        <f>HYPERLINK("https://www.zillow.com/homes/520-S-WHEATON-AVE-WHEATON-IL-601875214_rb/","check listing")</f>
        <v>check listing</v>
      </c>
      <c r="AB6659" s="5" t="str">
        <f>HYPERLINK("https://propertylookup.dupagecounty.gov/Datalets/Datalet.aspx?UseSearch=no&amp;mode=sales&amp;pin=0516332010","sales record")</f>
        <v>sales record</v>
      </c>
      <c r="AC6659" t="s">
        <v>3</v>
      </c>
      <c r="AD6659">
        <v>41.860119</v>
      </c>
      <c r="AE6659">
        <v>-88.110311</v>
      </c>
      <c r="AF6659" s="5" t="str">
        <f>HYPERLINK("https://www.google.com/maps/search/?api=1&amp;query=41.860119,-88.110311","map")</f>
        <v>map</v>
      </c>
    </row>
    <row r="6660" spans="1:32">
      <c r="A6660" t="s">
        <v>6710</v>
      </c>
      <c r="B6660" t="s">
        <v>14172</v>
      </c>
      <c r="C6660" t="s">
        <v>16088</v>
      </c>
      <c r="D6660" t="s">
        <v>16212</v>
      </c>
      <c r="E6660" t="s">
        <v>16218</v>
      </c>
      <c r="F6660" t="s">
        <v>16221</v>
      </c>
      <c r="G6660" t="s">
        <v>16250</v>
      </c>
      <c r="H6660" t="s">
        <v>16250</v>
      </c>
      <c r="I6660" t="s">
        <v>16377</v>
      </c>
      <c r="J6660" t="s">
        <v>16385</v>
      </c>
      <c r="K6660">
        <v>0.255</v>
      </c>
      <c r="L6660">
        <v>11129</v>
      </c>
      <c r="M6660">
        <v>2513</v>
      </c>
      <c r="N6660" t="s">
        <v>16393</v>
      </c>
      <c r="O6660" s="4">
        <v>39674</v>
      </c>
      <c r="P6660" s="4">
        <v>158965</v>
      </c>
      <c r="Q6660" s="4">
        <v>198639</v>
      </c>
      <c r="R6660" s="4">
        <v>595917</v>
      </c>
      <c r="S6660" t="s">
        <v>22825</v>
      </c>
      <c r="T6660" s="6">
        <v>44440</v>
      </c>
      <c r="U6660" s="4">
        <v>360000</v>
      </c>
      <c r="V6660" t="s">
        <v>23738</v>
      </c>
      <c r="W6660" t="s">
        <v>27380</v>
      </c>
      <c r="X6660" t="s">
        <v>3</v>
      </c>
      <c r="AA6660" s="5" t="str">
        <f>HYPERLINK("https://www.zillow.com/homes/1480-BELLEAU-WOODS-CT-WHEATON-IL-601897172_rb/","check listing")</f>
        <v>check listing</v>
      </c>
      <c r="AB6660" s="5" t="str">
        <f>HYPERLINK("https://propertylookup.dupagecounty.gov/Datalets/Datalet.aspx?UseSearch=no&amp;mode=sales&amp;pin=0519305026","sales record")</f>
        <v>sales record</v>
      </c>
      <c r="AC6660" t="s">
        <v>3</v>
      </c>
      <c r="AD6660">
        <v>41.849304</v>
      </c>
      <c r="AE6660">
        <v>-88.143406</v>
      </c>
      <c r="AF6660" s="5" t="str">
        <f>HYPERLINK("https://www.google.com/maps/search/?api=1&amp;query=41.849304,-88.143406","map")</f>
        <v>map</v>
      </c>
    </row>
    <row r="6661" spans="1:32">
      <c r="A6661" t="s">
        <v>6711</v>
      </c>
      <c r="B6661" t="s">
        <v>14173</v>
      </c>
      <c r="C6661" t="s">
        <v>16075</v>
      </c>
      <c r="D6661" t="s">
        <v>16212</v>
      </c>
      <c r="E6661" t="s">
        <v>16218</v>
      </c>
      <c r="F6661" t="s">
        <v>16221</v>
      </c>
      <c r="G6661" t="s">
        <v>16250</v>
      </c>
      <c r="H6661" t="s">
        <v>16250</v>
      </c>
      <c r="I6661" t="s">
        <v>16377</v>
      </c>
      <c r="J6661" t="s">
        <v>16385</v>
      </c>
      <c r="K6661">
        <v>0.246</v>
      </c>
      <c r="L6661">
        <v>10730</v>
      </c>
      <c r="M6661">
        <v>2374</v>
      </c>
      <c r="N6661" t="s">
        <v>16393</v>
      </c>
      <c r="O6661" s="4">
        <v>39674</v>
      </c>
      <c r="P6661" s="4">
        <v>159013</v>
      </c>
      <c r="Q6661" s="4">
        <v>198687</v>
      </c>
      <c r="R6661" s="4">
        <v>596061</v>
      </c>
      <c r="S6661" t="s">
        <v>22826</v>
      </c>
      <c r="T6661" s="6">
        <v>43891</v>
      </c>
      <c r="U6661" s="4">
        <v>425000</v>
      </c>
      <c r="V6661" t="s">
        <v>23739</v>
      </c>
      <c r="W6661" t="s">
        <v>27381</v>
      </c>
      <c r="X6661" t="s">
        <v>3</v>
      </c>
      <c r="AA6661" s="5" t="str">
        <f>HYPERLINK("https://www.zillow.com/homes/2117-BELLEAU-WOODS-CT-WHEATON-IL-60189_rb/","check listing")</f>
        <v>check listing</v>
      </c>
      <c r="AB6661" s="5" t="str">
        <f>HYPERLINK("https://propertylookup.dupagecounty.gov/Datalets/Datalet.aspx?UseSearch=no&amp;mode=sales&amp;pin=0519101019","sales record")</f>
        <v>sales record</v>
      </c>
      <c r="AC6661" t="s">
        <v>3</v>
      </c>
      <c r="AD6661">
        <v>41.851008</v>
      </c>
      <c r="AE6661">
        <v>-88.142154</v>
      </c>
      <c r="AF6661" s="5" t="str">
        <f>HYPERLINK("https://www.google.com/maps/search/?api=1&amp;query=41.851008,-88.142154","map")</f>
        <v>map</v>
      </c>
    </row>
    <row r="6662" spans="1:32">
      <c r="A6662" t="s">
        <v>6712</v>
      </c>
      <c r="B6662" t="s">
        <v>14174</v>
      </c>
      <c r="C6662" t="s">
        <v>16088</v>
      </c>
      <c r="D6662" t="s">
        <v>16212</v>
      </c>
      <c r="E6662" t="s">
        <v>16218</v>
      </c>
      <c r="F6662" t="s">
        <v>16221</v>
      </c>
      <c r="G6662" t="s">
        <v>16250</v>
      </c>
      <c r="H6662" t="s">
        <v>16250</v>
      </c>
      <c r="I6662" t="s">
        <v>16377</v>
      </c>
      <c r="J6662" t="s">
        <v>16385</v>
      </c>
      <c r="K6662">
        <v>0.244</v>
      </c>
      <c r="L6662">
        <v>10628</v>
      </c>
      <c r="M6662">
        <v>2308</v>
      </c>
      <c r="N6662" t="s">
        <v>16393</v>
      </c>
      <c r="O6662" s="4">
        <v>39674</v>
      </c>
      <c r="P6662" s="4">
        <v>140832</v>
      </c>
      <c r="Q6662" s="4">
        <v>180506</v>
      </c>
      <c r="R6662" s="4">
        <v>541518</v>
      </c>
      <c r="S6662" t="s">
        <v>22827</v>
      </c>
      <c r="T6662" s="6">
        <v>43647</v>
      </c>
      <c r="U6662" s="4">
        <v>401000</v>
      </c>
      <c r="V6662" t="s">
        <v>23740</v>
      </c>
      <c r="W6662" t="s">
        <v>27382</v>
      </c>
      <c r="X6662" t="s">
        <v>3</v>
      </c>
      <c r="AA6662" s="5" t="str">
        <f>HYPERLINK("https://www.zillow.com/homes/1460-BELLEAU-WOODS-CT-WHEATON-IL-601897172_rb/","check listing")</f>
        <v>check listing</v>
      </c>
      <c r="AB6662" s="5" t="str">
        <f>HYPERLINK("https://propertylookup.dupagecounty.gov/Datalets/Datalet.aspx?UseSearch=no&amp;mode=sales&amp;pin=0519305025","sales record")</f>
        <v>sales record</v>
      </c>
      <c r="AC6662" t="s">
        <v>3</v>
      </c>
      <c r="AD6662">
        <v>41.849306</v>
      </c>
      <c r="AE6662">
        <v>-88.143675</v>
      </c>
      <c r="AF6662" s="5" t="str">
        <f>HYPERLINK("https://www.google.com/maps/search/?api=1&amp;query=41.849306,-88.143675","map")</f>
        <v>map</v>
      </c>
    </row>
    <row r="6663" spans="1:32">
      <c r="A6663" t="s">
        <v>6713</v>
      </c>
      <c r="B6663" t="s">
        <v>14175</v>
      </c>
      <c r="C6663" t="s">
        <v>16075</v>
      </c>
      <c r="D6663" t="s">
        <v>16212</v>
      </c>
      <c r="E6663" t="s">
        <v>16218</v>
      </c>
      <c r="F6663" t="s">
        <v>16221</v>
      </c>
      <c r="G6663" t="s">
        <v>16250</v>
      </c>
      <c r="H6663" t="s">
        <v>16250</v>
      </c>
      <c r="I6663" t="s">
        <v>16377</v>
      </c>
      <c r="J6663" t="s">
        <v>16385</v>
      </c>
      <c r="K6663">
        <v>0.242</v>
      </c>
      <c r="L6663">
        <v>10524</v>
      </c>
      <c r="M6663">
        <v>3166</v>
      </c>
      <c r="N6663" t="s">
        <v>16393</v>
      </c>
      <c r="O6663" s="4">
        <v>39674</v>
      </c>
      <c r="P6663" s="4">
        <v>171279</v>
      </c>
      <c r="Q6663" s="4">
        <v>210953</v>
      </c>
      <c r="R6663" s="4">
        <v>632859</v>
      </c>
      <c r="S6663" t="s">
        <v>22828</v>
      </c>
      <c r="T6663" s="6">
        <v>39203</v>
      </c>
      <c r="U6663" s="4">
        <v>492000</v>
      </c>
      <c r="V6663" t="s">
        <v>23740</v>
      </c>
      <c r="W6663" t="s">
        <v>27383</v>
      </c>
      <c r="X6663" t="s">
        <v>3</v>
      </c>
      <c r="AA6663" s="5" t="str">
        <f>HYPERLINK("https://www.zillow.com/homes/1471-BELLEAU-WOODS-CT-WHEATON-IL-60189_rb/","check listing")</f>
        <v>check listing</v>
      </c>
      <c r="AB6663" s="5" t="str">
        <f>HYPERLINK("https://propertylookup.dupagecounty.gov/Datalets/Datalet.aspx?UseSearch=no&amp;mode=sales&amp;pin=0519305028","sales record")</f>
        <v>sales record</v>
      </c>
      <c r="AC6663" t="s">
        <v>3</v>
      </c>
      <c r="AD6663">
        <v>41.849282</v>
      </c>
      <c r="AE6663">
        <v>-88.142809</v>
      </c>
      <c r="AF6663" s="5" t="str">
        <f>HYPERLINK("https://www.google.com/maps/search/?api=1&amp;query=41.849282,-88.142809","map")</f>
        <v>map</v>
      </c>
    </row>
    <row r="6664" spans="1:32">
      <c r="A6664" t="s">
        <v>6714</v>
      </c>
      <c r="B6664" t="s">
        <v>14176</v>
      </c>
      <c r="C6664" t="s">
        <v>15426</v>
      </c>
      <c r="D6664" t="s">
        <v>16212</v>
      </c>
      <c r="E6664" t="s">
        <v>16218</v>
      </c>
      <c r="F6664" t="s">
        <v>16221</v>
      </c>
      <c r="G6664" t="s">
        <v>16250</v>
      </c>
      <c r="H6664" t="s">
        <v>16250</v>
      </c>
      <c r="I6664" t="s">
        <v>16377</v>
      </c>
      <c r="J6664" t="s">
        <v>16385</v>
      </c>
      <c r="K6664">
        <v>0.234</v>
      </c>
      <c r="L6664">
        <v>10180</v>
      </c>
      <c r="M6664">
        <v>594</v>
      </c>
      <c r="N6664" t="s">
        <v>16393</v>
      </c>
      <c r="O6664" s="4">
        <v>38295</v>
      </c>
      <c r="P6664" s="4">
        <v>107509</v>
      </c>
      <c r="Q6664" s="4">
        <v>145804</v>
      </c>
      <c r="R6664" s="4">
        <v>437412</v>
      </c>
      <c r="S6664" t="s">
        <v>22829</v>
      </c>
      <c r="T6664" s="6">
        <v>35462</v>
      </c>
      <c r="U6664" s="4">
        <v>160000</v>
      </c>
      <c r="X6664" t="s">
        <v>3</v>
      </c>
      <c r="AA6664" s="5" t="str">
        <f>HYPERLINK("https://www.zillow.com/homes/214-W-ILLINOIS-ST-WHEATON-IL-60187_rb/","check listing")</f>
        <v>check listing</v>
      </c>
      <c r="AB6664" s="5" t="str">
        <f>HYPERLINK("https://propertylookup.dupagecounty.gov/Datalets/Datalet.aspx?UseSearch=no&amp;mode=sales&amp;pin=0516328005","sales record")</f>
        <v>sales record</v>
      </c>
      <c r="AC6664" t="s">
        <v>27873</v>
      </c>
      <c r="AD6664">
        <v>41.861786</v>
      </c>
      <c r="AE6664">
        <v>-88.10890999999999</v>
      </c>
      <c r="AF6664" s="5" t="str">
        <f>HYPERLINK("https://www.google.com/maps/search/?api=1&amp;query=41.861786,-88.10891","map")</f>
        <v>map</v>
      </c>
    </row>
    <row r="6665" spans="1:32">
      <c r="A6665" t="s">
        <v>6715</v>
      </c>
      <c r="B6665" t="s">
        <v>14177</v>
      </c>
      <c r="C6665" t="s">
        <v>15426</v>
      </c>
      <c r="D6665" t="s">
        <v>16212</v>
      </c>
      <c r="E6665" t="s">
        <v>16218</v>
      </c>
      <c r="F6665" t="s">
        <v>16221</v>
      </c>
      <c r="G6665" t="s">
        <v>16250</v>
      </c>
      <c r="H6665" t="s">
        <v>16250</v>
      </c>
      <c r="I6665" t="s">
        <v>16377</v>
      </c>
      <c r="J6665" t="s">
        <v>16385</v>
      </c>
      <c r="K6665">
        <v>0.234</v>
      </c>
      <c r="L6665">
        <v>10175</v>
      </c>
      <c r="M6665">
        <v>2093</v>
      </c>
      <c r="N6665" t="s">
        <v>16393</v>
      </c>
      <c r="O6665" s="4">
        <v>38295</v>
      </c>
      <c r="P6665" s="4">
        <v>163479</v>
      </c>
      <c r="Q6665" s="4">
        <v>201774</v>
      </c>
      <c r="R6665" s="4">
        <v>605322</v>
      </c>
      <c r="S6665" t="s">
        <v>22830</v>
      </c>
      <c r="T6665" s="6">
        <v>41456</v>
      </c>
      <c r="U6665" s="4">
        <v>405000</v>
      </c>
      <c r="V6665" t="s">
        <v>23739</v>
      </c>
      <c r="W6665" t="s">
        <v>27384</v>
      </c>
      <c r="X6665" t="s">
        <v>3</v>
      </c>
      <c r="AA6665" s="5" t="str">
        <f>HYPERLINK("https://www.zillow.com/homes/208-W-ILLINOIS-ST-WHEATON-IL-60187_rb/","check listing")</f>
        <v>check listing</v>
      </c>
      <c r="AB6665" s="5" t="str">
        <f>HYPERLINK("https://propertylookup.dupagecounty.gov/Datalets/Datalet.aspx?UseSearch=no&amp;mode=sales&amp;pin=0516328006","sales record")</f>
        <v>sales record</v>
      </c>
      <c r="AC6665" t="s">
        <v>27873</v>
      </c>
      <c r="AD6665">
        <v>41.861791</v>
      </c>
      <c r="AE6665">
        <v>-88.108667</v>
      </c>
      <c r="AF6665" s="5" t="str">
        <f>HYPERLINK("https://www.google.com/maps/search/?api=1&amp;query=41.861791,-88.108667","map")</f>
        <v>map</v>
      </c>
    </row>
    <row r="6666" spans="1:32">
      <c r="A6666" t="s">
        <v>6716</v>
      </c>
      <c r="B6666" t="s">
        <v>14178</v>
      </c>
      <c r="C6666" t="s">
        <v>15426</v>
      </c>
      <c r="D6666" t="s">
        <v>16212</v>
      </c>
      <c r="E6666" t="s">
        <v>16218</v>
      </c>
      <c r="F6666" t="s">
        <v>16221</v>
      </c>
      <c r="G6666" t="s">
        <v>16250</v>
      </c>
      <c r="H6666" t="s">
        <v>16250</v>
      </c>
      <c r="I6666" t="s">
        <v>16377</v>
      </c>
      <c r="J6666" t="s">
        <v>16385</v>
      </c>
      <c r="K6666">
        <v>0.233</v>
      </c>
      <c r="L6666">
        <v>10141</v>
      </c>
      <c r="M6666">
        <v>2373</v>
      </c>
      <c r="N6666" t="s">
        <v>16393</v>
      </c>
      <c r="O6666" s="4">
        <v>31260</v>
      </c>
      <c r="P6666" s="4">
        <v>113802</v>
      </c>
      <c r="Q6666" s="4">
        <v>145062</v>
      </c>
      <c r="R6666" s="4">
        <v>435186</v>
      </c>
      <c r="S6666" t="s">
        <v>22831</v>
      </c>
      <c r="T6666" s="6">
        <v>34151</v>
      </c>
      <c r="U6666" s="4">
        <v>170000</v>
      </c>
      <c r="X6666" t="s">
        <v>3</v>
      </c>
      <c r="AA6666" s="5" t="str">
        <f>HYPERLINK("https://www.zillow.com/homes/521-S-WEST-ST-WHEATON-IL-60187_rb/","check listing")</f>
        <v>check listing</v>
      </c>
      <c r="AB6666" s="5" t="str">
        <f>HYPERLINK("https://propertylookup.dupagecounty.gov/Datalets/Datalet.aspx?UseSearch=no&amp;mode=sales&amp;pin=0516332003","sales record")</f>
        <v>sales record</v>
      </c>
      <c r="AC6666" t="s">
        <v>3</v>
      </c>
      <c r="AD6666">
        <v>41.860425</v>
      </c>
      <c r="AE6666">
        <v>-88.11102099999999</v>
      </c>
      <c r="AF6666" s="5" t="str">
        <f>HYPERLINK("https://www.google.com/maps/search/?api=1&amp;query=41.860425,-88.111021","map")</f>
        <v>map</v>
      </c>
    </row>
    <row r="6667" spans="1:32">
      <c r="A6667" t="s">
        <v>6717</v>
      </c>
      <c r="B6667" t="s">
        <v>14179</v>
      </c>
      <c r="C6667" t="s">
        <v>15426</v>
      </c>
      <c r="D6667" t="s">
        <v>16212</v>
      </c>
      <c r="E6667" t="s">
        <v>16218</v>
      </c>
      <c r="F6667" t="s">
        <v>16221</v>
      </c>
      <c r="G6667" t="s">
        <v>16250</v>
      </c>
      <c r="H6667" t="s">
        <v>16250</v>
      </c>
      <c r="I6667" t="s">
        <v>16377</v>
      </c>
      <c r="J6667" t="s">
        <v>16385</v>
      </c>
      <c r="K6667">
        <v>0.233</v>
      </c>
      <c r="L6667">
        <v>10141</v>
      </c>
      <c r="M6667">
        <v>2879</v>
      </c>
      <c r="N6667" t="s">
        <v>16393</v>
      </c>
      <c r="O6667" s="4">
        <v>31260</v>
      </c>
      <c r="P6667" s="4">
        <v>133032</v>
      </c>
      <c r="Q6667" s="4">
        <v>164292</v>
      </c>
      <c r="R6667" s="4">
        <v>492876</v>
      </c>
      <c r="S6667" t="s">
        <v>22832</v>
      </c>
      <c r="T6667" s="6">
        <v>40940</v>
      </c>
      <c r="U6667" s="4">
        <v>275000</v>
      </c>
      <c r="V6667" t="s">
        <v>23739</v>
      </c>
      <c r="W6667" t="s">
        <v>27385</v>
      </c>
      <c r="X6667" t="s">
        <v>3</v>
      </c>
      <c r="AA6667" s="5" t="str">
        <f>HYPERLINK("https://www.zillow.com/homes/505-S-WEST-ST-WHEATON-IL-60187_rb/","check listing")</f>
        <v>check listing</v>
      </c>
      <c r="AB6667" s="5" t="str">
        <f>HYPERLINK("https://propertylookup.dupagecounty.gov/Datalets/Datalet.aspx?UseSearch=no&amp;mode=sales&amp;pin=0516332002","sales record")</f>
        <v>sales record</v>
      </c>
      <c r="AC6667" t="s">
        <v>3</v>
      </c>
      <c r="AD6667">
        <v>41.86059</v>
      </c>
      <c r="AE6667">
        <v>-88.111023</v>
      </c>
      <c r="AF6667" s="5" t="str">
        <f>HYPERLINK("https://www.google.com/maps/search/?api=1&amp;query=41.86059,-88.111023","map")</f>
        <v>map</v>
      </c>
    </row>
    <row r="6668" spans="1:32">
      <c r="A6668" t="s">
        <v>6718</v>
      </c>
      <c r="B6668" t="s">
        <v>14180</v>
      </c>
      <c r="C6668" t="s">
        <v>15426</v>
      </c>
      <c r="D6668" t="s">
        <v>16212</v>
      </c>
      <c r="E6668" t="s">
        <v>16218</v>
      </c>
      <c r="F6668" t="s">
        <v>16221</v>
      </c>
      <c r="G6668" t="s">
        <v>16250</v>
      </c>
      <c r="H6668" t="s">
        <v>16250</v>
      </c>
      <c r="I6668" t="s">
        <v>16377</v>
      </c>
      <c r="J6668" t="s">
        <v>16385</v>
      </c>
      <c r="K6668">
        <v>0.232</v>
      </c>
      <c r="L6668">
        <v>10092</v>
      </c>
      <c r="M6668">
        <v>3101</v>
      </c>
      <c r="N6668" t="s">
        <v>16393</v>
      </c>
      <c r="O6668" s="4">
        <v>31260</v>
      </c>
      <c r="P6668" s="4">
        <v>175851</v>
      </c>
      <c r="Q6668" s="4">
        <v>207111</v>
      </c>
      <c r="R6668" s="4">
        <v>621333</v>
      </c>
      <c r="S6668" t="s">
        <v>22833</v>
      </c>
      <c r="T6668" s="6">
        <v>37681</v>
      </c>
      <c r="U6668" s="4">
        <v>402000</v>
      </c>
      <c r="V6668" t="s">
        <v>23739</v>
      </c>
      <c r="W6668" t="s">
        <v>27386</v>
      </c>
      <c r="X6668" t="s">
        <v>3</v>
      </c>
      <c r="AA6668" s="5" t="str">
        <f>HYPERLINK("https://www.zillow.com/homes/525-S-WEST-ST-WHEATON-IL-60187_rb/","check listing")</f>
        <v>check listing</v>
      </c>
      <c r="AB6668" s="5" t="str">
        <f>HYPERLINK("https://propertylookup.dupagecounty.gov/Datalets/Datalet.aspx?UseSearch=no&amp;mode=sales&amp;pin=0516332005","sales record")</f>
        <v>sales record</v>
      </c>
      <c r="AC6668" t="s">
        <v>3</v>
      </c>
      <c r="AD6668">
        <v>41.860096</v>
      </c>
      <c r="AE6668">
        <v>-88.111018</v>
      </c>
      <c r="AF6668" s="5" t="str">
        <f>HYPERLINK("https://www.google.com/maps/search/?api=1&amp;query=41.860096,-88.111018","map")</f>
        <v>map</v>
      </c>
    </row>
    <row r="6669" spans="1:32">
      <c r="A6669" t="s">
        <v>6719</v>
      </c>
      <c r="B6669" t="s">
        <v>14181</v>
      </c>
      <c r="C6669" t="s">
        <v>16088</v>
      </c>
      <c r="D6669" t="s">
        <v>16212</v>
      </c>
      <c r="E6669" t="s">
        <v>16218</v>
      </c>
      <c r="F6669" t="s">
        <v>16221</v>
      </c>
      <c r="G6669" t="s">
        <v>16250</v>
      </c>
      <c r="H6669" t="s">
        <v>16250</v>
      </c>
      <c r="I6669" t="s">
        <v>16377</v>
      </c>
      <c r="J6669" t="s">
        <v>16385</v>
      </c>
      <c r="K6669">
        <v>0.229</v>
      </c>
      <c r="L6669">
        <v>9960</v>
      </c>
      <c r="M6669">
        <v>3132</v>
      </c>
      <c r="N6669" t="s">
        <v>16393</v>
      </c>
      <c r="O6669" s="4">
        <v>39674</v>
      </c>
      <c r="P6669" s="4">
        <v>174767</v>
      </c>
      <c r="Q6669" s="4">
        <v>214441</v>
      </c>
      <c r="R6669" s="4">
        <v>643323</v>
      </c>
      <c r="S6669" t="s">
        <v>22834</v>
      </c>
      <c r="T6669" s="6">
        <v>45737</v>
      </c>
      <c r="U6669" s="4">
        <v>728500</v>
      </c>
      <c r="V6669" t="s">
        <v>23739</v>
      </c>
      <c r="W6669" t="s">
        <v>27387</v>
      </c>
      <c r="X6669" t="s">
        <v>3</v>
      </c>
      <c r="AA6669" s="5" t="str">
        <f>HYPERLINK("https://www.zillow.com/homes/1420-BELLEAU-WOODS-CT-WHEATON-IL-601897172_rb/","check listing")</f>
        <v>check listing</v>
      </c>
      <c r="AB6669" s="5" t="str">
        <f>HYPERLINK("https://propertylookup.dupagecounty.gov/Datalets/Datalet.aspx?UseSearch=no&amp;mode=sales&amp;pin=0519305022","sales record")</f>
        <v>sales record</v>
      </c>
      <c r="AC6669" t="s">
        <v>3</v>
      </c>
      <c r="AD6669">
        <v>41.849858</v>
      </c>
      <c r="AE6669">
        <v>-88.143263</v>
      </c>
      <c r="AF6669" s="5" t="str">
        <f>HYPERLINK("https://www.google.com/maps/search/?api=1&amp;query=41.849858,-88.143263","map")</f>
        <v>map</v>
      </c>
    </row>
    <row r="6670" spans="1:32">
      <c r="A6670" t="s">
        <v>6720</v>
      </c>
      <c r="B6670" t="s">
        <v>14182</v>
      </c>
      <c r="C6670" t="s">
        <v>15426</v>
      </c>
      <c r="D6670" t="s">
        <v>16212</v>
      </c>
      <c r="E6670" t="s">
        <v>16218</v>
      </c>
      <c r="F6670" t="s">
        <v>16221</v>
      </c>
      <c r="G6670" t="s">
        <v>16250</v>
      </c>
      <c r="H6670" t="s">
        <v>16250</v>
      </c>
      <c r="I6670" t="s">
        <v>16377</v>
      </c>
      <c r="J6670" t="s">
        <v>16385</v>
      </c>
      <c r="K6670">
        <v>0.226</v>
      </c>
      <c r="L6670">
        <v>9827</v>
      </c>
      <c r="M6670">
        <v>2376</v>
      </c>
      <c r="N6670" t="s">
        <v>16393</v>
      </c>
      <c r="O6670" s="4">
        <v>30212</v>
      </c>
      <c r="P6670" s="4">
        <v>183958</v>
      </c>
      <c r="Q6670" s="4">
        <v>214170</v>
      </c>
      <c r="R6670" s="4">
        <v>642510</v>
      </c>
      <c r="S6670" t="s">
        <v>22835</v>
      </c>
      <c r="T6670" s="6">
        <v>38047</v>
      </c>
      <c r="U6670" s="4">
        <v>480000</v>
      </c>
      <c r="V6670" t="s">
        <v>23739</v>
      </c>
      <c r="W6670" t="s">
        <v>27388</v>
      </c>
      <c r="X6670" t="s">
        <v>3</v>
      </c>
      <c r="AA6670" s="5" t="str">
        <f>HYPERLINK("https://www.zillow.com/homes/423-S-WEST-ST-WHEATON-IL-60187_rb/","check listing")</f>
        <v>check listing</v>
      </c>
      <c r="AB6670" s="5" t="str">
        <f>HYPERLINK("https://propertylookup.dupagecounty.gov/Datalets/Datalet.aspx?UseSearch=no&amp;mode=sales&amp;pin=0516327006","sales record")</f>
        <v>sales record</v>
      </c>
      <c r="AC6670" t="s">
        <v>3</v>
      </c>
      <c r="AD6670">
        <v>41.861325</v>
      </c>
      <c r="AE6670">
        <v>-88.11103</v>
      </c>
      <c r="AF6670" s="5" t="str">
        <f>HYPERLINK("https://www.google.com/maps/search/?api=1&amp;query=41.861325,-88.11103","map")</f>
        <v>map</v>
      </c>
    </row>
    <row r="6671" spans="1:32">
      <c r="A6671" t="s">
        <v>6721</v>
      </c>
      <c r="B6671" t="s">
        <v>14183</v>
      </c>
      <c r="C6671" t="s">
        <v>16088</v>
      </c>
      <c r="D6671" t="s">
        <v>16212</v>
      </c>
      <c r="E6671" t="s">
        <v>16218</v>
      </c>
      <c r="F6671" t="s">
        <v>16221</v>
      </c>
      <c r="G6671" t="s">
        <v>16250</v>
      </c>
      <c r="H6671" t="s">
        <v>16250</v>
      </c>
      <c r="I6671" t="s">
        <v>16377</v>
      </c>
      <c r="J6671" t="s">
        <v>16385</v>
      </c>
      <c r="K6671">
        <v>0.225</v>
      </c>
      <c r="L6671">
        <v>9811</v>
      </c>
      <c r="M6671">
        <v>2358</v>
      </c>
      <c r="N6671" t="s">
        <v>16393</v>
      </c>
      <c r="O6671" s="4">
        <v>39674</v>
      </c>
      <c r="P6671" s="4">
        <v>152933</v>
      </c>
      <c r="Q6671" s="4">
        <v>192607</v>
      </c>
      <c r="R6671" s="4">
        <v>577821</v>
      </c>
      <c r="S6671" t="s">
        <v>22836</v>
      </c>
      <c r="T6671" s="6">
        <v>43891</v>
      </c>
      <c r="U6671" s="4">
        <v>491000</v>
      </c>
      <c r="V6671" t="s">
        <v>23739</v>
      </c>
      <c r="W6671" t="s">
        <v>27389</v>
      </c>
      <c r="X6671" t="s">
        <v>3</v>
      </c>
      <c r="AA6671" s="5" t="str">
        <f>HYPERLINK("https://www.zillow.com/homes/1430-BELLEAU-WOODS-CT-WHEATON-IL-601897172_rb/","check listing")</f>
        <v>check listing</v>
      </c>
      <c r="AB6671" s="5" t="str">
        <f>HYPERLINK("https://propertylookup.dupagecounty.gov/Datalets/Datalet.aspx?UseSearch=no&amp;mode=sales&amp;pin=0519305023","sales record")</f>
        <v>sales record</v>
      </c>
      <c r="AC6671" t="s">
        <v>3</v>
      </c>
      <c r="AD6671">
        <v>41.84983</v>
      </c>
      <c r="AE6671">
        <v>-88.14364500000001</v>
      </c>
      <c r="AF6671" s="5" t="str">
        <f>HYPERLINK("https://www.google.com/maps/search/?api=1&amp;query=41.84983,-88.143645","map")</f>
        <v>map</v>
      </c>
    </row>
    <row r="6672" spans="1:32">
      <c r="A6672" t="s">
        <v>6722</v>
      </c>
      <c r="B6672" t="s">
        <v>14184</v>
      </c>
      <c r="C6672" t="s">
        <v>15426</v>
      </c>
      <c r="D6672" t="s">
        <v>16212</v>
      </c>
      <c r="E6672" t="s">
        <v>16218</v>
      </c>
      <c r="F6672" t="s">
        <v>16221</v>
      </c>
      <c r="G6672" t="s">
        <v>16250</v>
      </c>
      <c r="H6672" t="s">
        <v>16250</v>
      </c>
      <c r="I6672" t="s">
        <v>16377</v>
      </c>
      <c r="J6672" t="s">
        <v>16385</v>
      </c>
      <c r="K6672">
        <v>0.214</v>
      </c>
      <c r="L6672">
        <v>9307</v>
      </c>
      <c r="M6672">
        <v>3126</v>
      </c>
      <c r="N6672" t="s">
        <v>16393</v>
      </c>
      <c r="O6672" s="4">
        <v>36681</v>
      </c>
      <c r="P6672" s="4">
        <v>223160</v>
      </c>
      <c r="Q6672" s="4">
        <v>259841</v>
      </c>
      <c r="R6672" s="4">
        <v>779523</v>
      </c>
      <c r="S6672" t="s">
        <v>22837</v>
      </c>
      <c r="T6672" s="6">
        <v>36892</v>
      </c>
      <c r="U6672" s="4">
        <v>435000</v>
      </c>
      <c r="V6672" t="s">
        <v>23739</v>
      </c>
      <c r="W6672" t="s">
        <v>27390</v>
      </c>
      <c r="X6672" t="s">
        <v>3</v>
      </c>
      <c r="AA6672" s="5" t="str">
        <f>HYPERLINK("https://www.zillow.com/homes/420-S-WHEATON-AVE-WHEATON-IL-60187_rb/","check listing")</f>
        <v>check listing</v>
      </c>
      <c r="AB6672" s="5" t="str">
        <f>HYPERLINK("https://propertylookup.dupagecounty.gov/Datalets/Datalet.aspx?UseSearch=no&amp;mode=sales&amp;pin=0516327014","sales record")</f>
        <v>sales record</v>
      </c>
      <c r="AC6672" t="s">
        <v>27873</v>
      </c>
      <c r="AD6672">
        <v>41.861334</v>
      </c>
      <c r="AE6672">
        <v>-88.11032</v>
      </c>
      <c r="AF6672" s="5" t="str">
        <f>HYPERLINK("https://www.google.com/maps/search/?api=1&amp;query=41.861334,-88.11032","map")</f>
        <v>map</v>
      </c>
    </row>
    <row r="6673" spans="1:32">
      <c r="A6673" t="s">
        <v>6723</v>
      </c>
      <c r="B6673" t="s">
        <v>14185</v>
      </c>
      <c r="C6673" t="s">
        <v>16089</v>
      </c>
      <c r="D6673" t="s">
        <v>16212</v>
      </c>
      <c r="E6673" t="s">
        <v>16218</v>
      </c>
      <c r="F6673" t="s">
        <v>16221</v>
      </c>
      <c r="G6673" t="s">
        <v>16250</v>
      </c>
      <c r="H6673" t="s">
        <v>16250</v>
      </c>
      <c r="I6673" t="s">
        <v>16377</v>
      </c>
      <c r="J6673" t="s">
        <v>16385</v>
      </c>
      <c r="K6673">
        <v>0.206</v>
      </c>
      <c r="L6673">
        <v>8980</v>
      </c>
      <c r="M6673">
        <v>1995</v>
      </c>
      <c r="N6673" t="s">
        <v>16393</v>
      </c>
      <c r="O6673" s="4">
        <v>39674</v>
      </c>
      <c r="P6673" s="4">
        <v>129154</v>
      </c>
      <c r="Q6673" s="4">
        <v>168828</v>
      </c>
      <c r="R6673" s="4">
        <v>506484</v>
      </c>
      <c r="S6673" t="s">
        <v>22838</v>
      </c>
      <c r="T6673" s="6">
        <v>39114</v>
      </c>
      <c r="U6673" s="4">
        <v>500000</v>
      </c>
      <c r="V6673" t="s">
        <v>23740</v>
      </c>
      <c r="W6673" t="s">
        <v>27391</v>
      </c>
      <c r="X6673" t="s">
        <v>3</v>
      </c>
      <c r="AA6673" s="5" t="str">
        <f>HYPERLINK("https://www.zillow.com/homes/2141-BELLEAU-WOODS-CT-WHEATON-IL-601893366_rb/","check listing")</f>
        <v>check listing</v>
      </c>
      <c r="AB6673" s="5" t="str">
        <f>HYPERLINK("https://propertylookup.dupagecounty.gov/Datalets/Datalet.aspx?UseSearch=no&amp;mode=sales&amp;pin=0519101013","sales record")</f>
        <v>sales record</v>
      </c>
      <c r="AC6673" t="s">
        <v>3</v>
      </c>
      <c r="AD6673">
        <v>41.850968</v>
      </c>
      <c r="AE6673">
        <v>-88.14348200000001</v>
      </c>
      <c r="AF6673" s="5" t="str">
        <f>HYPERLINK("https://www.google.com/maps/search/?api=1&amp;query=41.850968,-88.143482","map")</f>
        <v>map</v>
      </c>
    </row>
    <row r="6674" spans="1:32">
      <c r="A6674" t="s">
        <v>6724</v>
      </c>
      <c r="B6674" t="s">
        <v>14186</v>
      </c>
      <c r="C6674" t="s">
        <v>16088</v>
      </c>
      <c r="D6674" t="s">
        <v>16212</v>
      </c>
      <c r="E6674" t="s">
        <v>16218</v>
      </c>
      <c r="F6674" t="s">
        <v>16221</v>
      </c>
      <c r="G6674" t="s">
        <v>16250</v>
      </c>
      <c r="H6674" t="s">
        <v>16250</v>
      </c>
      <c r="I6674" t="s">
        <v>16377</v>
      </c>
      <c r="J6674" t="s">
        <v>16385</v>
      </c>
      <c r="K6674">
        <v>0.205</v>
      </c>
      <c r="L6674">
        <v>8944</v>
      </c>
      <c r="M6674">
        <v>2766</v>
      </c>
      <c r="N6674" t="s">
        <v>16393</v>
      </c>
      <c r="O6674" s="4">
        <v>39674</v>
      </c>
      <c r="P6674" s="4">
        <v>152002</v>
      </c>
      <c r="Q6674" s="4">
        <v>191676</v>
      </c>
      <c r="R6674" s="4">
        <v>575028</v>
      </c>
      <c r="S6674" t="s">
        <v>22839</v>
      </c>
      <c r="T6674" s="6">
        <v>41913</v>
      </c>
      <c r="U6674" s="4">
        <v>450000</v>
      </c>
      <c r="V6674" t="s">
        <v>23739</v>
      </c>
      <c r="W6674" t="s">
        <v>27392</v>
      </c>
      <c r="X6674" t="s">
        <v>3</v>
      </c>
      <c r="AA6674" s="5" t="str">
        <f>HYPERLINK("https://www.zillow.com/homes/1440-BELLEAU-WOODS-CT-WHEATON-IL-601897172_rb/","check listing")</f>
        <v>check listing</v>
      </c>
      <c r="AB6674" s="5" t="str">
        <f>HYPERLINK("https://propertylookup.dupagecounty.gov/Datalets/Datalet.aspx?UseSearch=no&amp;mode=sales&amp;pin=0519305024","sales record")</f>
        <v>sales record</v>
      </c>
      <c r="AC6674" t="s">
        <v>3</v>
      </c>
      <c r="AD6674">
        <v>41.849643</v>
      </c>
      <c r="AE6674">
        <v>-88.143615</v>
      </c>
      <c r="AF6674" s="5" t="str">
        <f>HYPERLINK("https://www.google.com/maps/search/?api=1&amp;query=41.849643,-88.143615","map")</f>
        <v>map</v>
      </c>
    </row>
    <row r="6675" spans="1:32">
      <c r="A6675" t="s">
        <v>6725</v>
      </c>
      <c r="B6675" t="s">
        <v>14187</v>
      </c>
      <c r="C6675" t="s">
        <v>16090</v>
      </c>
      <c r="D6675" t="s">
        <v>16212</v>
      </c>
      <c r="E6675" t="s">
        <v>16218</v>
      </c>
      <c r="F6675" t="s">
        <v>16221</v>
      </c>
      <c r="G6675" t="s">
        <v>16250</v>
      </c>
      <c r="H6675" t="s">
        <v>16250</v>
      </c>
      <c r="I6675" t="s">
        <v>16377</v>
      </c>
      <c r="J6675" t="s">
        <v>16385</v>
      </c>
      <c r="K6675">
        <v>0.202</v>
      </c>
      <c r="L6675">
        <v>8791</v>
      </c>
      <c r="M6675">
        <v>1848</v>
      </c>
      <c r="N6675" t="s">
        <v>16393</v>
      </c>
      <c r="O6675" s="4">
        <v>35279</v>
      </c>
      <c r="P6675" s="4">
        <v>294660</v>
      </c>
      <c r="Q6675" s="4">
        <v>329939</v>
      </c>
      <c r="R6675" s="4">
        <v>989817</v>
      </c>
      <c r="S6675" t="s">
        <v>22840</v>
      </c>
      <c r="T6675" s="6">
        <v>42705</v>
      </c>
      <c r="U6675" s="4">
        <v>790000</v>
      </c>
      <c r="V6675" t="s">
        <v>23739</v>
      </c>
      <c r="W6675" t="s">
        <v>27393</v>
      </c>
      <c r="X6675" t="s">
        <v>3</v>
      </c>
      <c r="AA6675" s="5" t="str">
        <f>HYPERLINK("https://www.zillow.com/homes/419-S-WHEATON-AVE-WHEATON-IL-601875211_rb/","check listing")</f>
        <v>check listing</v>
      </c>
      <c r="AB6675" s="5" t="str">
        <f>HYPERLINK("https://propertylookup.dupagecounty.gov/Datalets/Datalet.aspx?UseSearch=no&amp;mode=sales&amp;pin=0516328010","sales record")</f>
        <v>sales record</v>
      </c>
      <c r="AC6675" t="s">
        <v>3</v>
      </c>
      <c r="AD6675">
        <v>41.861265</v>
      </c>
      <c r="AE6675">
        <v>-88.109453</v>
      </c>
      <c r="AF6675" s="5" t="str">
        <f>HYPERLINK("https://www.google.com/maps/search/?api=1&amp;query=41.861265,-88.109453","map")</f>
        <v>map</v>
      </c>
    </row>
    <row r="6676" spans="1:32">
      <c r="A6676" t="s">
        <v>6726</v>
      </c>
      <c r="B6676" t="s">
        <v>14188</v>
      </c>
      <c r="C6676" t="s">
        <v>15426</v>
      </c>
      <c r="D6676" t="s">
        <v>16212</v>
      </c>
      <c r="E6676" t="s">
        <v>16218</v>
      </c>
      <c r="F6676" t="s">
        <v>16221</v>
      </c>
      <c r="G6676" t="s">
        <v>16250</v>
      </c>
      <c r="H6676" t="s">
        <v>16250</v>
      </c>
      <c r="I6676" t="s">
        <v>16377</v>
      </c>
      <c r="J6676" t="s">
        <v>16385</v>
      </c>
      <c r="K6676">
        <v>0.2</v>
      </c>
      <c r="L6676">
        <v>8722</v>
      </c>
      <c r="N6676" t="s">
        <v>16393</v>
      </c>
      <c r="O6676" s="4">
        <v>34996</v>
      </c>
      <c r="P6676" s="4">
        <v>64701</v>
      </c>
      <c r="Q6676" s="4">
        <v>99697</v>
      </c>
      <c r="R6676" s="4">
        <v>299091</v>
      </c>
      <c r="S6676" t="s">
        <v>22841</v>
      </c>
      <c r="T6676" s="6">
        <v>33420</v>
      </c>
      <c r="U6676" s="4">
        <v>105000</v>
      </c>
      <c r="X6676" t="s">
        <v>3</v>
      </c>
      <c r="AA6676" s="5" t="str">
        <f>HYPERLINK("https://www.zillow.com/homes/1019-E-MICHIGAN-ST-WHEATON-IL-60187_rb/","check listing")</f>
        <v>check listing</v>
      </c>
      <c r="AB6676" s="5" t="str">
        <f>HYPERLINK("https://propertylookup.dupagecounty.gov/Datalets/Datalet.aspx?UseSearch=no&amp;mode=sales&amp;pin=0515300003","sales record")</f>
        <v>sales record</v>
      </c>
      <c r="AC6676" t="s">
        <v>3</v>
      </c>
      <c r="AD6676">
        <v>41.865821</v>
      </c>
      <c r="AE6676">
        <v>-88.091052</v>
      </c>
      <c r="AF6676" s="5" t="str">
        <f>HYPERLINK("https://www.google.com/maps/search/?api=1&amp;query=41.865821,-88.091052","map")</f>
        <v>map</v>
      </c>
    </row>
    <row r="6677" spans="1:32">
      <c r="A6677" t="s">
        <v>6727</v>
      </c>
      <c r="B6677" t="s">
        <v>14189</v>
      </c>
      <c r="C6677" t="s">
        <v>16075</v>
      </c>
      <c r="D6677" t="s">
        <v>16212</v>
      </c>
      <c r="E6677" t="s">
        <v>16218</v>
      </c>
      <c r="F6677" t="s">
        <v>16221</v>
      </c>
      <c r="G6677" t="s">
        <v>16250</v>
      </c>
      <c r="H6677" t="s">
        <v>16250</v>
      </c>
      <c r="I6677" t="s">
        <v>16377</v>
      </c>
      <c r="J6677" t="s">
        <v>16385</v>
      </c>
      <c r="K6677">
        <v>0.199</v>
      </c>
      <c r="L6677">
        <v>8683</v>
      </c>
      <c r="M6677">
        <v>2187</v>
      </c>
      <c r="N6677" t="s">
        <v>16393</v>
      </c>
      <c r="O6677" s="4">
        <v>39674</v>
      </c>
      <c r="P6677" s="4">
        <v>141397</v>
      </c>
      <c r="Q6677" s="4">
        <v>181071</v>
      </c>
      <c r="R6677" s="4">
        <v>543213</v>
      </c>
      <c r="S6677" t="s">
        <v>22842</v>
      </c>
      <c r="T6677" s="6">
        <v>45492</v>
      </c>
      <c r="U6677" s="4">
        <v>575000</v>
      </c>
      <c r="V6677" t="s">
        <v>23739</v>
      </c>
      <c r="W6677" t="s">
        <v>27394</v>
      </c>
      <c r="X6677" t="s">
        <v>3</v>
      </c>
      <c r="AA6677" s="5" t="str">
        <f>HYPERLINK("https://www.zillow.com/homes/1451-BELLEAU-WOODS-CT-WHEATON-IL-60189_rb/","check listing")</f>
        <v>check listing</v>
      </c>
      <c r="AB6677" s="5" t="str">
        <f>HYPERLINK("https://propertylookup.dupagecounty.gov/Datalets/Datalet.aspx?UseSearch=no&amp;mode=sales&amp;pin=0519305029","sales record")</f>
        <v>sales record</v>
      </c>
      <c r="AC6677" t="s">
        <v>3</v>
      </c>
      <c r="AD6677">
        <v>41.849449</v>
      </c>
      <c r="AE6677">
        <v>-88.142687</v>
      </c>
      <c r="AF6677" s="5" t="str">
        <f>HYPERLINK("https://www.google.com/maps/search/?api=1&amp;query=41.849449,-88.142687","map")</f>
        <v>map</v>
      </c>
    </row>
    <row r="6678" spans="1:32">
      <c r="A6678" t="s">
        <v>6728</v>
      </c>
      <c r="B6678" t="s">
        <v>14190</v>
      </c>
      <c r="C6678" t="s">
        <v>15426</v>
      </c>
      <c r="D6678" t="s">
        <v>16212</v>
      </c>
      <c r="E6678" t="s">
        <v>16218</v>
      </c>
      <c r="F6678" t="s">
        <v>16221</v>
      </c>
      <c r="G6678" t="s">
        <v>16250</v>
      </c>
      <c r="H6678" t="s">
        <v>16250</v>
      </c>
      <c r="I6678" t="s">
        <v>16377</v>
      </c>
      <c r="J6678" t="s">
        <v>16385</v>
      </c>
      <c r="K6678">
        <v>0.198</v>
      </c>
      <c r="L6678">
        <v>8637</v>
      </c>
      <c r="M6678">
        <v>2196</v>
      </c>
      <c r="N6678" t="s">
        <v>16393</v>
      </c>
      <c r="O6678" s="4">
        <v>34630</v>
      </c>
      <c r="P6678" s="4">
        <v>122214</v>
      </c>
      <c r="Q6678" s="4">
        <v>156844</v>
      </c>
      <c r="R6678" s="4">
        <v>470532</v>
      </c>
      <c r="S6678" t="s">
        <v>22843</v>
      </c>
      <c r="T6678" s="6">
        <v>32782</v>
      </c>
      <c r="U6678" s="4">
        <v>129000</v>
      </c>
      <c r="X6678" t="s">
        <v>3</v>
      </c>
      <c r="AA6678" s="5" t="str">
        <f>HYPERLINK("https://www.zillow.com/homes/205-W-EVERGREEN-ST-WHEATON-IL-60187_rb/","check listing")</f>
        <v>check listing</v>
      </c>
      <c r="AB6678" s="5" t="str">
        <f>HYPERLINK("https://propertylookup.dupagecounty.gov/Datalets/Datalet.aspx?UseSearch=no&amp;mode=sales&amp;pin=0516333011","sales record")</f>
        <v>sales record</v>
      </c>
      <c r="AC6678" t="s">
        <v>3</v>
      </c>
      <c r="AD6678">
        <v>41.860263</v>
      </c>
      <c r="AE6678">
        <v>-88.108597</v>
      </c>
      <c r="AF6678" s="5" t="str">
        <f>HYPERLINK("https://www.google.com/maps/search/?api=1&amp;query=41.860263,-88.108597","map")</f>
        <v>map</v>
      </c>
    </row>
    <row r="6679" spans="1:32">
      <c r="A6679" t="s">
        <v>6729</v>
      </c>
      <c r="B6679" t="s">
        <v>14191</v>
      </c>
      <c r="C6679" t="s">
        <v>15426</v>
      </c>
      <c r="D6679" t="s">
        <v>16212</v>
      </c>
      <c r="E6679" t="s">
        <v>16218</v>
      </c>
      <c r="F6679" t="s">
        <v>16221</v>
      </c>
      <c r="G6679" t="s">
        <v>16250</v>
      </c>
      <c r="H6679" t="s">
        <v>16250</v>
      </c>
      <c r="I6679" t="s">
        <v>16377</v>
      </c>
      <c r="J6679" t="s">
        <v>16385</v>
      </c>
      <c r="K6679">
        <v>0.198</v>
      </c>
      <c r="L6679">
        <v>8635</v>
      </c>
      <c r="M6679">
        <v>1023</v>
      </c>
      <c r="N6679" t="s">
        <v>16393</v>
      </c>
      <c r="O6679" s="4">
        <v>34630</v>
      </c>
      <c r="P6679" s="4">
        <v>71900</v>
      </c>
      <c r="Q6679" s="4">
        <v>106530</v>
      </c>
      <c r="R6679" s="4">
        <v>319590</v>
      </c>
      <c r="S6679" t="s">
        <v>22844</v>
      </c>
      <c r="T6679" s="6">
        <v>41000</v>
      </c>
      <c r="U6679" s="4">
        <v>135000</v>
      </c>
      <c r="V6679" t="s">
        <v>16232</v>
      </c>
      <c r="W6679" t="s">
        <v>27395</v>
      </c>
      <c r="X6679" t="s">
        <v>3</v>
      </c>
      <c r="AA6679" s="5" t="str">
        <f>HYPERLINK("https://www.zillow.com/homes/515-E-LIBERTY-DR-WHEATON-IL-60187_rb/","check listing")</f>
        <v>check listing</v>
      </c>
      <c r="AB6679" s="5" t="str">
        <f>HYPERLINK("https://propertylookup.dupagecounty.gov/Datalets/Datalet.aspx?UseSearch=no&amp;mode=sales&amp;pin=0516401033","sales record")</f>
        <v>sales record</v>
      </c>
      <c r="AC6679" t="s">
        <v>3</v>
      </c>
      <c r="AD6679">
        <v>41.864716</v>
      </c>
      <c r="AE6679">
        <v>-88.09808200000001</v>
      </c>
      <c r="AF6679" s="5" t="str">
        <f>HYPERLINK("https://www.google.com/maps/search/?api=1&amp;query=41.864716,-88.098082","map")</f>
        <v>map</v>
      </c>
    </row>
    <row r="6680" spans="1:32">
      <c r="A6680" t="s">
        <v>6730</v>
      </c>
      <c r="B6680" t="s">
        <v>14192</v>
      </c>
      <c r="C6680" t="s">
        <v>16091</v>
      </c>
      <c r="D6680" t="s">
        <v>16212</v>
      </c>
      <c r="E6680" t="s">
        <v>16218</v>
      </c>
      <c r="F6680" t="s">
        <v>16221</v>
      </c>
      <c r="G6680" t="s">
        <v>16250</v>
      </c>
      <c r="H6680" t="s">
        <v>16250</v>
      </c>
      <c r="I6680" t="s">
        <v>16377</v>
      </c>
      <c r="J6680" t="s">
        <v>16385</v>
      </c>
      <c r="K6680">
        <v>0.198</v>
      </c>
      <c r="L6680">
        <v>8616</v>
      </c>
      <c r="M6680">
        <v>1384</v>
      </c>
      <c r="N6680" t="s">
        <v>16393</v>
      </c>
      <c r="O6680" s="4">
        <v>34560</v>
      </c>
      <c r="P6680" s="4">
        <v>122167</v>
      </c>
      <c r="Q6680" s="4">
        <v>156727</v>
      </c>
      <c r="R6680" s="4">
        <v>470181</v>
      </c>
      <c r="S6680" t="s">
        <v>22845</v>
      </c>
      <c r="T6680" s="6">
        <v>44256</v>
      </c>
      <c r="U6680" s="4">
        <v>355000</v>
      </c>
      <c r="V6680" t="s">
        <v>23739</v>
      </c>
      <c r="W6680" t="s">
        <v>22845</v>
      </c>
      <c r="X6680" t="s">
        <v>3</v>
      </c>
      <c r="AA6680" s="5" t="str">
        <f>HYPERLINK("https://www.zillow.com/homes/109-S-SUMNER-ST-WHEATON-IL-601875516_rb/","check listing")</f>
        <v>check listing</v>
      </c>
      <c r="AB6680" s="5" t="str">
        <f>HYPERLINK("https://propertylookup.dupagecounty.gov/Datalets/Datalet.aspx?UseSearch=no&amp;mode=sales&amp;pin=0516402002","sales record")</f>
        <v>sales record</v>
      </c>
      <c r="AC6680" t="s">
        <v>3</v>
      </c>
      <c r="AD6680">
        <v>41.865502</v>
      </c>
      <c r="AE6680">
        <v>-88.097431</v>
      </c>
      <c r="AF6680" s="5" t="str">
        <f>HYPERLINK("https://www.google.com/maps/search/?api=1&amp;query=41.865502,-88.097431","map")</f>
        <v>map</v>
      </c>
    </row>
    <row r="6681" spans="1:32">
      <c r="A6681" t="s">
        <v>6731</v>
      </c>
      <c r="B6681" t="s">
        <v>14193</v>
      </c>
      <c r="C6681" t="s">
        <v>15426</v>
      </c>
      <c r="D6681" t="s">
        <v>16212</v>
      </c>
      <c r="E6681" t="s">
        <v>16218</v>
      </c>
      <c r="F6681" t="s">
        <v>16221</v>
      </c>
      <c r="G6681" t="s">
        <v>16250</v>
      </c>
      <c r="H6681" t="s">
        <v>16250</v>
      </c>
      <c r="I6681" t="s">
        <v>16377</v>
      </c>
      <c r="J6681" t="s">
        <v>16385</v>
      </c>
      <c r="K6681">
        <v>0.198</v>
      </c>
      <c r="L6681">
        <v>8609</v>
      </c>
      <c r="M6681">
        <v>732</v>
      </c>
      <c r="N6681" t="s">
        <v>16393</v>
      </c>
      <c r="O6681" s="4">
        <v>34548</v>
      </c>
      <c r="P6681" s="4">
        <v>44705</v>
      </c>
      <c r="Q6681" s="4">
        <v>79253</v>
      </c>
      <c r="R6681" s="4">
        <v>237759</v>
      </c>
      <c r="S6681" t="s">
        <v>22846</v>
      </c>
      <c r="T6681" s="6">
        <v>33359</v>
      </c>
      <c r="U6681" s="4">
        <v>69900</v>
      </c>
      <c r="X6681" t="s">
        <v>3</v>
      </c>
      <c r="AA6681" s="5" t="str">
        <f>HYPERLINK("https://www.zillow.com/homes/513-E-LIBERTY-DR-WHEATON-IL-60187_rb/","check listing")</f>
        <v>check listing</v>
      </c>
      <c r="AB6681" s="5" t="str">
        <f>HYPERLINK("https://propertylookup.dupagecounty.gov/Datalets/Datalet.aspx?UseSearch=no&amp;mode=sales&amp;pin=0516401032","sales record")</f>
        <v>sales record</v>
      </c>
      <c r="AC6681" t="s">
        <v>3</v>
      </c>
      <c r="AD6681">
        <v>41.864711</v>
      </c>
      <c r="AE6681">
        <v>-88.09832</v>
      </c>
      <c r="AF6681" s="5" t="str">
        <f>HYPERLINK("https://www.google.com/maps/search/?api=1&amp;query=41.864711,-88.09832","map")</f>
        <v>map</v>
      </c>
    </row>
    <row r="6682" spans="1:32">
      <c r="A6682" t="s">
        <v>6732</v>
      </c>
      <c r="B6682" t="s">
        <v>14194</v>
      </c>
      <c r="C6682" t="s">
        <v>15426</v>
      </c>
      <c r="D6682" t="s">
        <v>16212</v>
      </c>
      <c r="E6682" t="s">
        <v>16218</v>
      </c>
      <c r="F6682" t="s">
        <v>16221</v>
      </c>
      <c r="G6682" t="s">
        <v>16250</v>
      </c>
      <c r="H6682" t="s">
        <v>16250</v>
      </c>
      <c r="I6682" t="s">
        <v>16377</v>
      </c>
      <c r="J6682" t="s">
        <v>16385</v>
      </c>
      <c r="K6682">
        <v>0.195</v>
      </c>
      <c r="L6682">
        <v>8515</v>
      </c>
      <c r="M6682">
        <v>2077</v>
      </c>
      <c r="N6682" t="s">
        <v>16393</v>
      </c>
      <c r="O6682" s="4">
        <v>34159</v>
      </c>
      <c r="P6682" s="4">
        <v>155913</v>
      </c>
      <c r="Q6682" s="4">
        <v>190072</v>
      </c>
      <c r="R6682" s="4">
        <v>570216</v>
      </c>
      <c r="S6682" t="s">
        <v>22847</v>
      </c>
      <c r="T6682" s="6">
        <v>37073</v>
      </c>
      <c r="U6682" s="4">
        <v>351000</v>
      </c>
      <c r="V6682" t="s">
        <v>23740</v>
      </c>
      <c r="W6682" t="s">
        <v>27396</v>
      </c>
      <c r="X6682" t="s">
        <v>3</v>
      </c>
      <c r="AA6682" s="5" t="str">
        <f>HYPERLINK("https://www.zillow.com/homes/516-S-WHEATON-AVE-WHEATON-IL-60187_rb/","check listing")</f>
        <v>check listing</v>
      </c>
      <c r="AB6682" s="5" t="str">
        <f>HYPERLINK("https://propertylookup.dupagecounty.gov/Datalets/Datalet.aspx?UseSearch=no&amp;mode=sales&amp;pin=0516332009","sales record")</f>
        <v>sales record</v>
      </c>
      <c r="AC6682" t="s">
        <v>3</v>
      </c>
      <c r="AD6682">
        <v>41.860281</v>
      </c>
      <c r="AE6682">
        <v>-88.11031199999999</v>
      </c>
      <c r="AF6682" s="5" t="str">
        <f>HYPERLINK("https://www.google.com/maps/search/?api=1&amp;query=41.860281,-88.110312","map")</f>
        <v>map</v>
      </c>
    </row>
    <row r="6683" spans="1:32">
      <c r="A6683" t="s">
        <v>6733</v>
      </c>
      <c r="B6683" t="s">
        <v>14195</v>
      </c>
      <c r="C6683" t="s">
        <v>15426</v>
      </c>
      <c r="D6683" t="s">
        <v>16212</v>
      </c>
      <c r="E6683" t="s">
        <v>16218</v>
      </c>
      <c r="F6683" t="s">
        <v>16221</v>
      </c>
      <c r="G6683" t="s">
        <v>16250</v>
      </c>
      <c r="H6683" t="s">
        <v>16250</v>
      </c>
      <c r="I6683" t="s">
        <v>16377</v>
      </c>
      <c r="J6683" t="s">
        <v>16385</v>
      </c>
      <c r="K6683">
        <v>0.194</v>
      </c>
      <c r="L6683">
        <v>8469</v>
      </c>
      <c r="M6683">
        <v>1054</v>
      </c>
      <c r="N6683" t="s">
        <v>16393</v>
      </c>
      <c r="O6683" s="4">
        <v>26005</v>
      </c>
      <c r="P6683" s="4">
        <v>116288</v>
      </c>
      <c r="Q6683" s="4">
        <v>142293</v>
      </c>
      <c r="R6683" s="4">
        <v>426879</v>
      </c>
      <c r="S6683" t="s">
        <v>22848</v>
      </c>
      <c r="T6683" s="6">
        <v>30621</v>
      </c>
      <c r="U6683" s="4">
        <v>1750</v>
      </c>
      <c r="X6683" t="s">
        <v>3</v>
      </c>
      <c r="AA6683" s="5" t="str">
        <f>HYPERLINK("https://www.zillow.com/homes/421-S-WEST-ST-WHEATON-IL-60187_rb/","check listing")</f>
        <v>check listing</v>
      </c>
      <c r="AB6683" s="5" t="str">
        <f>HYPERLINK("https://propertylookup.dupagecounty.gov/Datalets/Datalet.aspx?UseSearch=no&amp;mode=sales&amp;pin=0516327005","sales record")</f>
        <v>sales record</v>
      </c>
      <c r="AC6683" t="s">
        <v>27873</v>
      </c>
      <c r="AD6683">
        <v>41.861473</v>
      </c>
      <c r="AE6683">
        <v>-88.111031</v>
      </c>
      <c r="AF6683" s="5" t="str">
        <f>HYPERLINK("https://www.google.com/maps/search/?api=1&amp;query=41.861473,-88.111031","map")</f>
        <v>map</v>
      </c>
    </row>
    <row r="6684" spans="1:32">
      <c r="A6684" t="s">
        <v>6734</v>
      </c>
      <c r="B6684" t="s">
        <v>14196</v>
      </c>
      <c r="C6684" t="s">
        <v>16087</v>
      </c>
      <c r="D6684" t="s">
        <v>16212</v>
      </c>
      <c r="E6684" t="s">
        <v>16218</v>
      </c>
      <c r="F6684" t="s">
        <v>16221</v>
      </c>
      <c r="G6684" t="s">
        <v>16250</v>
      </c>
      <c r="H6684" t="s">
        <v>16250</v>
      </c>
      <c r="I6684" t="s">
        <v>16377</v>
      </c>
      <c r="J6684" t="s">
        <v>16385</v>
      </c>
      <c r="K6684">
        <v>0.193</v>
      </c>
      <c r="L6684">
        <v>8393</v>
      </c>
      <c r="M6684">
        <v>1700</v>
      </c>
      <c r="N6684" t="s">
        <v>16393</v>
      </c>
      <c r="O6684" s="4">
        <v>33664</v>
      </c>
      <c r="P6684" s="4">
        <v>149798</v>
      </c>
      <c r="Q6684" s="4">
        <v>183462</v>
      </c>
      <c r="R6684" s="4">
        <v>550386</v>
      </c>
      <c r="S6684" t="s">
        <v>22849</v>
      </c>
      <c r="T6684" s="6">
        <v>44501</v>
      </c>
      <c r="U6684" s="4">
        <v>475000</v>
      </c>
      <c r="V6684" t="s">
        <v>23739</v>
      </c>
      <c r="W6684" t="s">
        <v>27397</v>
      </c>
      <c r="X6684" t="s">
        <v>3</v>
      </c>
      <c r="AA6684" s="5" t="str">
        <f>HYPERLINK("https://www.zillow.com/homes/506-S-WHEATON-AVE-WHEATON-IL-601875214_rb/","check listing")</f>
        <v>check listing</v>
      </c>
      <c r="AB6684" s="5" t="str">
        <f>HYPERLINK("https://propertylookup.dupagecounty.gov/Datalets/Datalet.aspx?UseSearch=no&amp;mode=sales&amp;pin=0516332007","sales record")</f>
        <v>sales record</v>
      </c>
      <c r="AC6684" t="s">
        <v>3</v>
      </c>
      <c r="AD6684">
        <v>41.860645</v>
      </c>
      <c r="AE6684">
        <v>-88.110315</v>
      </c>
      <c r="AF6684" s="5" t="str">
        <f>HYPERLINK("https://www.google.com/maps/search/?api=1&amp;query=41.860645,-88.110315","map")</f>
        <v>map</v>
      </c>
    </row>
    <row r="6685" spans="1:32">
      <c r="A6685" t="s">
        <v>6735</v>
      </c>
      <c r="B6685" t="s">
        <v>14197</v>
      </c>
      <c r="C6685" t="s">
        <v>15426</v>
      </c>
      <c r="D6685" t="s">
        <v>16212</v>
      </c>
      <c r="E6685" t="s">
        <v>16218</v>
      </c>
      <c r="F6685" t="s">
        <v>16221</v>
      </c>
      <c r="G6685" t="s">
        <v>16250</v>
      </c>
      <c r="H6685" t="s">
        <v>16250</v>
      </c>
      <c r="I6685" t="s">
        <v>16377</v>
      </c>
      <c r="J6685" t="s">
        <v>16385</v>
      </c>
      <c r="K6685">
        <v>0.193</v>
      </c>
      <c r="L6685">
        <v>8392</v>
      </c>
      <c r="M6685">
        <v>1514</v>
      </c>
      <c r="N6685" t="s">
        <v>16393</v>
      </c>
      <c r="O6685" s="4">
        <v>33664</v>
      </c>
      <c r="P6685" s="4">
        <v>109924</v>
      </c>
      <c r="Q6685" s="4">
        <v>143588</v>
      </c>
      <c r="R6685" s="4">
        <v>430764</v>
      </c>
      <c r="S6685" t="s">
        <v>22850</v>
      </c>
      <c r="T6685" s="6">
        <v>39600</v>
      </c>
      <c r="U6685" s="4">
        <v>361250</v>
      </c>
      <c r="V6685" t="s">
        <v>23739</v>
      </c>
      <c r="W6685" t="s">
        <v>27398</v>
      </c>
      <c r="X6685" t="s">
        <v>3</v>
      </c>
      <c r="AA6685" s="5" t="str">
        <f>HYPERLINK("https://www.zillow.com/homes/504-S-WHEATON-AVE-WHEATON-IL-60187_rb/","check listing")</f>
        <v>check listing</v>
      </c>
      <c r="AB6685" s="5" t="str">
        <f>HYPERLINK("https://propertylookup.dupagecounty.gov/Datalets/Datalet.aspx?UseSearch=no&amp;mode=sales&amp;pin=0516332006","sales record")</f>
        <v>sales record</v>
      </c>
      <c r="AC6685" t="s">
        <v>3</v>
      </c>
      <c r="AD6685">
        <v>41.860782</v>
      </c>
      <c r="AE6685">
        <v>-88.110316</v>
      </c>
      <c r="AF6685" s="5" t="str">
        <f>HYPERLINK("https://www.google.com/maps/search/?api=1&amp;query=41.860782,-88.110316","map")</f>
        <v>map</v>
      </c>
    </row>
    <row r="6686" spans="1:32">
      <c r="A6686" t="s">
        <v>6736</v>
      </c>
      <c r="B6686" t="s">
        <v>14198</v>
      </c>
      <c r="C6686" t="s">
        <v>16092</v>
      </c>
      <c r="D6686" t="s">
        <v>16212</v>
      </c>
      <c r="E6686" t="s">
        <v>16218</v>
      </c>
      <c r="F6686" t="s">
        <v>16221</v>
      </c>
      <c r="G6686" t="s">
        <v>16250</v>
      </c>
      <c r="H6686" t="s">
        <v>16250</v>
      </c>
      <c r="I6686" t="s">
        <v>16377</v>
      </c>
      <c r="J6686" t="s">
        <v>16385</v>
      </c>
      <c r="K6686">
        <v>0.192</v>
      </c>
      <c r="L6686">
        <v>8370</v>
      </c>
      <c r="N6686" t="s">
        <v>16393</v>
      </c>
      <c r="O6686" s="4">
        <v>26854</v>
      </c>
      <c r="P6686" s="4">
        <v>62840</v>
      </c>
      <c r="Q6686" s="4">
        <v>89694</v>
      </c>
      <c r="R6686" s="4">
        <v>269082</v>
      </c>
      <c r="S6686" t="s">
        <v>22851</v>
      </c>
      <c r="T6686" s="6">
        <v>44136</v>
      </c>
      <c r="U6686" s="4">
        <v>200000</v>
      </c>
      <c r="V6686" t="s">
        <v>23739</v>
      </c>
      <c r="W6686" t="s">
        <v>22851</v>
      </c>
      <c r="X6686" t="s">
        <v>3</v>
      </c>
      <c r="AA6686" s="5" t="str">
        <f>HYPERLINK("https://www.zillow.com/homes/118-N-PRESIDENT-ST-WHEATON-IL-601875708_rb/","check listing")</f>
        <v>check listing</v>
      </c>
      <c r="AB6686" s="5" t="str">
        <f>HYPERLINK("https://propertylookup.dupagecounty.gov/Datalets/Datalet.aspx?UseSearch=no&amp;mode=sales&amp;pin=0516403019","sales record")</f>
        <v>sales record</v>
      </c>
      <c r="AC6686" t="s">
        <v>3</v>
      </c>
      <c r="AD6686">
        <v>41.866508</v>
      </c>
      <c r="AE6686">
        <v>-88.092431</v>
      </c>
      <c r="AF6686" s="5" t="str">
        <f>HYPERLINK("https://www.google.com/maps/search/?api=1&amp;query=41.866508,-88.092431","map")</f>
        <v>map</v>
      </c>
    </row>
    <row r="6687" spans="1:32">
      <c r="A6687" t="s">
        <v>6737</v>
      </c>
      <c r="B6687" t="s">
        <v>14199</v>
      </c>
      <c r="C6687" t="s">
        <v>15426</v>
      </c>
      <c r="D6687" t="s">
        <v>16212</v>
      </c>
      <c r="E6687" t="s">
        <v>16218</v>
      </c>
      <c r="F6687" t="s">
        <v>16221</v>
      </c>
      <c r="G6687" t="s">
        <v>16250</v>
      </c>
      <c r="H6687" t="s">
        <v>16250</v>
      </c>
      <c r="I6687" t="s">
        <v>16377</v>
      </c>
      <c r="J6687" t="s">
        <v>16385</v>
      </c>
      <c r="K6687">
        <v>0.19</v>
      </c>
      <c r="L6687">
        <v>8285</v>
      </c>
      <c r="M6687">
        <v>1451</v>
      </c>
      <c r="N6687" t="s">
        <v>16393</v>
      </c>
      <c r="O6687" s="4">
        <v>33205</v>
      </c>
      <c r="P6687" s="4">
        <v>104010</v>
      </c>
      <c r="Q6687" s="4">
        <v>137215</v>
      </c>
      <c r="R6687" s="4">
        <v>411645</v>
      </c>
      <c r="S6687" t="s">
        <v>22852</v>
      </c>
      <c r="T6687" s="6">
        <v>38322</v>
      </c>
      <c r="U6687" s="4">
        <v>270000</v>
      </c>
      <c r="V6687" t="s">
        <v>23739</v>
      </c>
      <c r="W6687" t="s">
        <v>27399</v>
      </c>
      <c r="X6687" t="s">
        <v>3</v>
      </c>
      <c r="AA6687" s="5" t="str">
        <f>HYPERLINK("https://www.zillow.com/homes/807-MICHIGAN-ST-WHEATON-IL-60187_rb/","check listing")</f>
        <v>check listing</v>
      </c>
      <c r="AB6687" s="5" t="str">
        <f>HYPERLINK("https://propertylookup.dupagecounty.gov/Datalets/Datalet.aspx?UseSearch=no&amp;mode=sales&amp;pin=0516403022","sales record")</f>
        <v>sales record</v>
      </c>
      <c r="AC6687" t="s">
        <v>3</v>
      </c>
      <c r="AD6687">
        <v>41.865886</v>
      </c>
      <c r="AE6687">
        <v>-88.09450699999999</v>
      </c>
      <c r="AF6687" s="5" t="str">
        <f>HYPERLINK("https://www.google.com/maps/search/?api=1&amp;query=41.865886,-88.094507","map")</f>
        <v>map</v>
      </c>
    </row>
    <row r="6688" spans="1:32">
      <c r="A6688" t="s">
        <v>6738</v>
      </c>
      <c r="B6688" t="s">
        <v>14200</v>
      </c>
      <c r="C6688" t="s">
        <v>16093</v>
      </c>
      <c r="D6688" t="s">
        <v>16212</v>
      </c>
      <c r="E6688" t="s">
        <v>16218</v>
      </c>
      <c r="F6688" t="s">
        <v>16221</v>
      </c>
      <c r="G6688" t="s">
        <v>16250</v>
      </c>
      <c r="H6688" t="s">
        <v>16250</v>
      </c>
      <c r="I6688" t="s">
        <v>16377</v>
      </c>
      <c r="J6688" t="s">
        <v>16385</v>
      </c>
      <c r="K6688">
        <v>0.19</v>
      </c>
      <c r="L6688">
        <v>8281</v>
      </c>
      <c r="M6688">
        <v>1320</v>
      </c>
      <c r="N6688" t="s">
        <v>16393</v>
      </c>
      <c r="O6688" s="4">
        <v>33205</v>
      </c>
      <c r="P6688" s="4">
        <v>236204</v>
      </c>
      <c r="Q6688" s="4">
        <v>269409</v>
      </c>
      <c r="R6688" s="4">
        <v>808227</v>
      </c>
      <c r="S6688" t="s">
        <v>22853</v>
      </c>
      <c r="T6688" s="6">
        <v>44652</v>
      </c>
      <c r="U6688" s="4">
        <v>652500</v>
      </c>
      <c r="V6688" t="s">
        <v>23739</v>
      </c>
      <c r="W6688" t="s">
        <v>27400</v>
      </c>
      <c r="X6688" t="s">
        <v>3</v>
      </c>
      <c r="AA6688" s="5" t="str">
        <f>HYPERLINK("https://www.zillow.com/homes/811-MICHIGAN-ST-WHEATON-IL-601875616_rb/","check listing")</f>
        <v>check listing</v>
      </c>
      <c r="AB6688" s="5" t="str">
        <f>HYPERLINK("https://propertylookup.dupagecounty.gov/Datalets/Datalet.aspx?UseSearch=no&amp;mode=sales&amp;pin=0516403023","sales record")</f>
        <v>sales record</v>
      </c>
      <c r="AC6688" t="s">
        <v>3</v>
      </c>
      <c r="AD6688">
        <v>41.865889</v>
      </c>
      <c r="AE6688">
        <v>-88.094303</v>
      </c>
      <c r="AF6688" s="5" t="str">
        <f>HYPERLINK("https://www.google.com/maps/search/?api=1&amp;query=41.865889,-88.094303","map")</f>
        <v>map</v>
      </c>
    </row>
    <row r="6689" spans="1:32">
      <c r="A6689" t="s">
        <v>6739</v>
      </c>
      <c r="B6689" t="s">
        <v>14201</v>
      </c>
      <c r="C6689" t="s">
        <v>15426</v>
      </c>
      <c r="D6689" t="s">
        <v>16212</v>
      </c>
      <c r="E6689" t="s">
        <v>16218</v>
      </c>
      <c r="F6689" t="s">
        <v>16221</v>
      </c>
      <c r="G6689" t="s">
        <v>16250</v>
      </c>
      <c r="H6689" t="s">
        <v>16250</v>
      </c>
      <c r="I6689" t="s">
        <v>16377</v>
      </c>
      <c r="J6689" t="s">
        <v>16385</v>
      </c>
      <c r="K6689">
        <v>0.19</v>
      </c>
      <c r="L6689">
        <v>8277</v>
      </c>
      <c r="M6689">
        <v>792</v>
      </c>
      <c r="N6689" t="s">
        <v>16393</v>
      </c>
      <c r="O6689" s="4">
        <v>33181</v>
      </c>
      <c r="P6689" s="4">
        <v>68649</v>
      </c>
      <c r="Q6689" s="4">
        <v>101830</v>
      </c>
      <c r="R6689" s="4">
        <v>305490</v>
      </c>
      <c r="S6689" t="s">
        <v>22854</v>
      </c>
      <c r="T6689" s="6">
        <v>38899</v>
      </c>
      <c r="U6689" s="4">
        <v>302000</v>
      </c>
      <c r="V6689" t="s">
        <v>23739</v>
      </c>
      <c r="W6689" t="s">
        <v>22854</v>
      </c>
      <c r="X6689" t="s">
        <v>3</v>
      </c>
      <c r="AA6689" s="5" t="str">
        <f>HYPERLINK("https://www.zillow.com/homes/108-N-CHASE-ST-WHEATON-IL-60187_rb/","check listing")</f>
        <v>check listing</v>
      </c>
      <c r="AB6689" s="5" t="str">
        <f>HYPERLINK("https://propertylookup.dupagecounty.gov/Datalets/Datalet.aspx?UseSearch=no&amp;mode=sales&amp;pin=0516402010","sales record")</f>
        <v>sales record</v>
      </c>
      <c r="AC6689" t="s">
        <v>27873</v>
      </c>
      <c r="AD6689">
        <v>41.865855</v>
      </c>
      <c r="AE6689">
        <v>-88.096834</v>
      </c>
      <c r="AF6689" s="5" t="str">
        <f>HYPERLINK("https://www.google.com/maps/search/?api=1&amp;query=41.865855,-88.096834","map")</f>
        <v>map</v>
      </c>
    </row>
    <row r="6690" spans="1:32">
      <c r="A6690" t="s">
        <v>6740</v>
      </c>
      <c r="B6690" t="s">
        <v>14202</v>
      </c>
      <c r="C6690" t="s">
        <v>16094</v>
      </c>
      <c r="D6690" t="s">
        <v>16212</v>
      </c>
      <c r="E6690" t="s">
        <v>16218</v>
      </c>
      <c r="F6690" t="s">
        <v>16221</v>
      </c>
      <c r="G6690" t="s">
        <v>16250</v>
      </c>
      <c r="H6690" t="s">
        <v>16250</v>
      </c>
      <c r="I6690" t="s">
        <v>16377</v>
      </c>
      <c r="J6690" t="s">
        <v>16385</v>
      </c>
      <c r="K6690">
        <v>0.189</v>
      </c>
      <c r="L6690">
        <v>8251</v>
      </c>
      <c r="M6690">
        <v>1580</v>
      </c>
      <c r="N6690" t="s">
        <v>16393</v>
      </c>
      <c r="O6690" s="4">
        <v>33099</v>
      </c>
      <c r="P6690" s="4">
        <v>116688</v>
      </c>
      <c r="Q6690" s="4">
        <v>149787</v>
      </c>
      <c r="R6690" s="4">
        <v>449361</v>
      </c>
      <c r="S6690" t="s">
        <v>22855</v>
      </c>
      <c r="T6690" s="6">
        <v>44409</v>
      </c>
      <c r="U6690" s="4">
        <v>365000</v>
      </c>
      <c r="V6690" t="s">
        <v>23740</v>
      </c>
      <c r="W6690" t="s">
        <v>27401</v>
      </c>
      <c r="X6690" t="s">
        <v>3</v>
      </c>
      <c r="AA6690" s="5" t="str">
        <f>HYPERLINK("https://www.zillow.com/homes/419-S-HALE-ST-WHEATON-IL-601875221_rb/","check listing")</f>
        <v>check listing</v>
      </c>
      <c r="AB6690" s="5" t="str">
        <f>HYPERLINK("https://propertylookup.dupagecounty.gov/Datalets/Datalet.aspx?UseSearch=no&amp;mode=sales&amp;pin=0516329010","sales record")</f>
        <v>sales record</v>
      </c>
      <c r="AC6690" t="s">
        <v>3</v>
      </c>
      <c r="AD6690">
        <v>41.861343</v>
      </c>
      <c r="AE6690">
        <v>-88.10775099999999</v>
      </c>
      <c r="AF6690" s="5" t="str">
        <f>HYPERLINK("https://www.google.com/maps/search/?api=1&amp;query=41.861343,-88.107751","map")</f>
        <v>map</v>
      </c>
    </row>
    <row r="6691" spans="1:32">
      <c r="A6691" t="s">
        <v>6741</v>
      </c>
      <c r="B6691" t="s">
        <v>14203</v>
      </c>
      <c r="C6691" t="s">
        <v>16092</v>
      </c>
      <c r="D6691" t="s">
        <v>16212</v>
      </c>
      <c r="E6691" t="s">
        <v>16218</v>
      </c>
      <c r="F6691" t="s">
        <v>16221</v>
      </c>
      <c r="G6691" t="s">
        <v>16250</v>
      </c>
      <c r="H6691" t="s">
        <v>16250</v>
      </c>
      <c r="I6691" t="s">
        <v>16377</v>
      </c>
      <c r="J6691" t="s">
        <v>16385</v>
      </c>
      <c r="K6691">
        <v>0.188</v>
      </c>
      <c r="L6691">
        <v>8207</v>
      </c>
      <c r="M6691">
        <v>1318</v>
      </c>
      <c r="N6691" t="s">
        <v>16393</v>
      </c>
      <c r="O6691" s="4">
        <v>26335</v>
      </c>
      <c r="P6691" s="4">
        <v>82882</v>
      </c>
      <c r="Q6691" s="4">
        <v>109217</v>
      </c>
      <c r="R6691" s="4">
        <v>327651</v>
      </c>
      <c r="S6691" t="s">
        <v>22856</v>
      </c>
      <c r="T6691" s="6">
        <v>39479</v>
      </c>
      <c r="U6691" s="4">
        <v>205000</v>
      </c>
      <c r="V6691" t="s">
        <v>23739</v>
      </c>
      <c r="W6691" t="s">
        <v>27402</v>
      </c>
      <c r="X6691" t="s">
        <v>3</v>
      </c>
      <c r="AA6691" s="5" t="str">
        <f>HYPERLINK("https://www.zillow.com/homes/122-N-PRESIDENT-ST-WHEATON-IL-601875708_rb/","check listing")</f>
        <v>check listing</v>
      </c>
      <c r="AB6691" s="5" t="str">
        <f>HYPERLINK("https://propertylookup.dupagecounty.gov/Datalets/Datalet.aspx?UseSearch=no&amp;mode=sales&amp;pin=0516403018","sales record")</f>
        <v>sales record</v>
      </c>
      <c r="AC6691" t="s">
        <v>3</v>
      </c>
      <c r="AD6691">
        <v>41.866666</v>
      </c>
      <c r="AE6691">
        <v>-88.092432</v>
      </c>
      <c r="AF6691" s="5" t="str">
        <f>HYPERLINK("https://www.google.com/maps/search/?api=1&amp;query=41.866666,-88.092432","map")</f>
        <v>map</v>
      </c>
    </row>
    <row r="6692" spans="1:32">
      <c r="A6692" t="s">
        <v>6742</v>
      </c>
      <c r="B6692" t="s">
        <v>14204</v>
      </c>
      <c r="C6692" t="s">
        <v>15426</v>
      </c>
      <c r="D6692" t="s">
        <v>16212</v>
      </c>
      <c r="E6692" t="s">
        <v>16218</v>
      </c>
      <c r="F6692" t="s">
        <v>16221</v>
      </c>
      <c r="G6692" t="s">
        <v>16250</v>
      </c>
      <c r="H6692" t="s">
        <v>16250</v>
      </c>
      <c r="I6692" t="s">
        <v>16377</v>
      </c>
      <c r="J6692" t="s">
        <v>16385</v>
      </c>
      <c r="K6692">
        <v>0.186</v>
      </c>
      <c r="L6692">
        <v>8086</v>
      </c>
      <c r="M6692">
        <v>527</v>
      </c>
      <c r="N6692" t="s">
        <v>16393</v>
      </c>
      <c r="O6692" s="4">
        <v>32439</v>
      </c>
      <c r="P6692" s="4">
        <v>61449</v>
      </c>
      <c r="Q6692" s="4">
        <v>93888</v>
      </c>
      <c r="R6692" s="4">
        <v>281664</v>
      </c>
      <c r="S6692" t="s">
        <v>21139</v>
      </c>
      <c r="T6692" s="6">
        <v>46042</v>
      </c>
      <c r="U6692" s="4">
        <v>216000</v>
      </c>
      <c r="V6692" t="s">
        <v>16232</v>
      </c>
      <c r="W6692" t="s">
        <v>27403</v>
      </c>
      <c r="X6692" t="s">
        <v>3</v>
      </c>
      <c r="AA6692" s="5" t="str">
        <f>HYPERLINK("https://www.zillow.com/homes/431-E-LIBERTY-DR-WHEATON-IL-60187_rb/","check listing")</f>
        <v>check listing</v>
      </c>
      <c r="AB6692" s="5" t="str">
        <f>HYPERLINK("https://propertylookup.dupagecounty.gov/Datalets/Datalet.aspx?UseSearch=no&amp;mode=sales&amp;pin=0516401021","sales record")</f>
        <v>sales record</v>
      </c>
      <c r="AC6692" t="s">
        <v>3</v>
      </c>
      <c r="AD6692">
        <v>41.864731</v>
      </c>
      <c r="AE6692">
        <v>-88.09966799999999</v>
      </c>
      <c r="AF6692" s="5" t="str">
        <f>HYPERLINK("https://www.google.com/maps/search/?api=1&amp;query=41.864731,-88.099668","map")</f>
        <v>map</v>
      </c>
    </row>
    <row r="6693" spans="1:32">
      <c r="A6693" t="s">
        <v>6743</v>
      </c>
      <c r="B6693" t="s">
        <v>14205</v>
      </c>
      <c r="C6693" t="s">
        <v>15426</v>
      </c>
      <c r="D6693" t="s">
        <v>16212</v>
      </c>
      <c r="E6693" t="s">
        <v>16218</v>
      </c>
      <c r="F6693" t="s">
        <v>16221</v>
      </c>
      <c r="G6693" t="s">
        <v>16250</v>
      </c>
      <c r="H6693" t="s">
        <v>16250</v>
      </c>
      <c r="I6693" t="s">
        <v>16377</v>
      </c>
      <c r="J6693" t="s">
        <v>16385</v>
      </c>
      <c r="K6693">
        <v>0.181</v>
      </c>
      <c r="L6693">
        <v>7900</v>
      </c>
      <c r="M6693">
        <v>1055</v>
      </c>
      <c r="N6693" t="s">
        <v>16393</v>
      </c>
      <c r="O6693" s="4">
        <v>31672</v>
      </c>
      <c r="P6693" s="4">
        <v>110525</v>
      </c>
      <c r="Q6693" s="4">
        <v>142197</v>
      </c>
      <c r="R6693" s="4">
        <v>426591</v>
      </c>
      <c r="S6693" t="s">
        <v>22857</v>
      </c>
      <c r="T6693" s="6">
        <v>40299</v>
      </c>
      <c r="U6693" s="4">
        <v>270000</v>
      </c>
      <c r="V6693" t="s">
        <v>23739</v>
      </c>
      <c r="W6693" t="s">
        <v>22857</v>
      </c>
      <c r="X6693" t="s">
        <v>3</v>
      </c>
      <c r="AA6693" s="5" t="str">
        <f>HYPERLINK("https://www.zillow.com/homes/1001-MICHIGAN-ST-WHEATON-IL-60187_rb/","check listing")</f>
        <v>check listing</v>
      </c>
      <c r="AB6693" s="5" t="str">
        <f>HYPERLINK("https://propertylookup.dupagecounty.gov/Datalets/Datalet.aspx?UseSearch=no&amp;mode=sales&amp;pin=0515300002","sales record")</f>
        <v>sales record</v>
      </c>
      <c r="AC6693" t="s">
        <v>3</v>
      </c>
      <c r="AD6693">
        <v>41.865806</v>
      </c>
      <c r="AE6693">
        <v>-88.091611</v>
      </c>
      <c r="AF6693" s="5" t="str">
        <f>HYPERLINK("https://www.google.com/maps/search/?api=1&amp;query=41.865806,-88.091611","map")</f>
        <v>map</v>
      </c>
    </row>
    <row r="6694" spans="1:32">
      <c r="A6694" t="s">
        <v>6744</v>
      </c>
      <c r="B6694" t="s">
        <v>14206</v>
      </c>
      <c r="C6694" t="s">
        <v>16088</v>
      </c>
      <c r="D6694" t="s">
        <v>16212</v>
      </c>
      <c r="E6694" t="s">
        <v>16218</v>
      </c>
      <c r="F6694" t="s">
        <v>16221</v>
      </c>
      <c r="G6694" t="s">
        <v>16250</v>
      </c>
      <c r="H6694" t="s">
        <v>16250</v>
      </c>
      <c r="I6694" t="s">
        <v>16377</v>
      </c>
      <c r="J6694" t="s">
        <v>16385</v>
      </c>
      <c r="K6694">
        <v>0.181</v>
      </c>
      <c r="L6694">
        <v>7898</v>
      </c>
      <c r="M6694">
        <v>2539</v>
      </c>
      <c r="N6694" t="s">
        <v>16393</v>
      </c>
      <c r="O6694" s="4">
        <v>39674</v>
      </c>
      <c r="P6694" s="4">
        <v>150140</v>
      </c>
      <c r="Q6694" s="4">
        <v>189814</v>
      </c>
      <c r="R6694" s="4">
        <v>569442</v>
      </c>
      <c r="S6694" t="s">
        <v>22858</v>
      </c>
      <c r="T6694" s="6">
        <v>32660</v>
      </c>
      <c r="U6694" s="4">
        <v>266000</v>
      </c>
      <c r="X6694" t="s">
        <v>3</v>
      </c>
      <c r="AA6694" s="5" t="str">
        <f>HYPERLINK("https://www.zillow.com/homes/1481-BELLEAU-WOODS-CT-WHEATON-IL-601897172_rb/","check listing")</f>
        <v>check listing</v>
      </c>
      <c r="AB6694" s="5" t="str">
        <f>HYPERLINK("https://propertylookup.dupagecounty.gov/Datalets/Datalet.aspx?UseSearch=no&amp;mode=sales&amp;pin=0519305027","sales record")</f>
        <v>sales record</v>
      </c>
      <c r="AC6694" t="s">
        <v>3</v>
      </c>
      <c r="AD6694">
        <v>41.849319</v>
      </c>
      <c r="AE6694">
        <v>-88.143125</v>
      </c>
      <c r="AF6694" s="5" t="str">
        <f>HYPERLINK("https://www.google.com/maps/search/?api=1&amp;query=41.849319,-88.143125","map")</f>
        <v>map</v>
      </c>
    </row>
    <row r="6695" spans="1:32">
      <c r="A6695" t="s">
        <v>6745</v>
      </c>
      <c r="B6695" t="s">
        <v>14207</v>
      </c>
      <c r="C6695" t="s">
        <v>16095</v>
      </c>
      <c r="D6695" t="s">
        <v>16212</v>
      </c>
      <c r="E6695" t="s">
        <v>16218</v>
      </c>
      <c r="F6695" t="s">
        <v>16221</v>
      </c>
      <c r="G6695" t="s">
        <v>16250</v>
      </c>
      <c r="H6695" t="s">
        <v>16250</v>
      </c>
      <c r="I6695" t="s">
        <v>16377</v>
      </c>
      <c r="J6695" t="s">
        <v>16385</v>
      </c>
      <c r="K6695">
        <v>0.179</v>
      </c>
      <c r="L6695">
        <v>7816</v>
      </c>
      <c r="M6695">
        <v>2968</v>
      </c>
      <c r="N6695" t="s">
        <v>16393</v>
      </c>
      <c r="O6695" s="4">
        <v>39674</v>
      </c>
      <c r="P6695" s="4">
        <v>139665</v>
      </c>
      <c r="Q6695" s="4">
        <v>179339</v>
      </c>
      <c r="R6695" s="4">
        <v>538017</v>
      </c>
      <c r="S6695" t="s">
        <v>22859</v>
      </c>
      <c r="T6695" s="6">
        <v>43040</v>
      </c>
      <c r="U6695" s="4">
        <v>435000</v>
      </c>
      <c r="V6695" t="s">
        <v>23740</v>
      </c>
      <c r="W6695" t="s">
        <v>27404</v>
      </c>
      <c r="X6695" t="s">
        <v>3</v>
      </c>
      <c r="AA6695" s="5" t="str">
        <f>HYPERLINK("https://www.zillow.com/homes/2160-BELLEAU-WOODS-DR-WHEATON-IL-601896123_rb/","check listing")</f>
        <v>check listing</v>
      </c>
      <c r="AB6695" s="5" t="str">
        <f>HYPERLINK("https://propertylookup.dupagecounty.gov/Datalets/Datalet.aspx?UseSearch=no&amp;mode=sales&amp;pin=0519305018","sales record")</f>
        <v>sales record</v>
      </c>
      <c r="AC6695" t="s">
        <v>3</v>
      </c>
      <c r="AD6695">
        <v>41.850103</v>
      </c>
      <c r="AE6695">
        <v>-88.143822</v>
      </c>
      <c r="AF6695" s="5" t="str">
        <f>HYPERLINK("https://www.google.com/maps/search/?api=1&amp;query=41.850103,-88.143822","map")</f>
        <v>map</v>
      </c>
    </row>
    <row r="6696" spans="1:32">
      <c r="A6696" t="s">
        <v>6746</v>
      </c>
      <c r="B6696" t="s">
        <v>14208</v>
      </c>
      <c r="C6696" t="s">
        <v>16096</v>
      </c>
      <c r="D6696" t="s">
        <v>16212</v>
      </c>
      <c r="E6696" t="s">
        <v>16218</v>
      </c>
      <c r="F6696" t="s">
        <v>16221</v>
      </c>
      <c r="G6696" t="s">
        <v>16250</v>
      </c>
      <c r="H6696" t="s">
        <v>16250</v>
      </c>
      <c r="I6696" t="s">
        <v>16377</v>
      </c>
      <c r="J6696" t="s">
        <v>16385</v>
      </c>
      <c r="K6696">
        <v>0.179</v>
      </c>
      <c r="L6696">
        <v>7782</v>
      </c>
      <c r="M6696">
        <v>1039</v>
      </c>
      <c r="N6696" t="s">
        <v>16393</v>
      </c>
      <c r="O6696" s="4">
        <v>31190</v>
      </c>
      <c r="P6696" s="4">
        <v>74116</v>
      </c>
      <c r="Q6696" s="4">
        <v>105306</v>
      </c>
      <c r="R6696" s="4">
        <v>315918</v>
      </c>
      <c r="S6696" t="s">
        <v>22860</v>
      </c>
      <c r="T6696" s="6">
        <v>43344</v>
      </c>
      <c r="U6696" s="4">
        <v>267500</v>
      </c>
      <c r="V6696" t="s">
        <v>23739</v>
      </c>
      <c r="W6696" t="s">
        <v>27405</v>
      </c>
      <c r="X6696" t="s">
        <v>3</v>
      </c>
      <c r="AA6696" s="5" t="str">
        <f>HYPERLINK("https://www.zillow.com/homes/427-E-LIBERTY-DR-WHEATON-IL-601875510_rb/","check listing")</f>
        <v>check listing</v>
      </c>
      <c r="AB6696" s="5" t="str">
        <f>HYPERLINK("https://propertylookup.dupagecounty.gov/Datalets/Datalet.aspx?UseSearch=no&amp;mode=sales&amp;pin=0516401020","sales record")</f>
        <v>sales record</v>
      </c>
      <c r="AC6696" t="s">
        <v>3</v>
      </c>
      <c r="AD6696">
        <v>41.86472</v>
      </c>
      <c r="AE6696">
        <v>-88.099847</v>
      </c>
      <c r="AF6696" s="5" t="str">
        <f>HYPERLINK("https://www.google.com/maps/search/?api=1&amp;query=41.86472,-88.099847","map")</f>
        <v>map</v>
      </c>
    </row>
    <row r="6697" spans="1:32">
      <c r="A6697" t="s">
        <v>6747</v>
      </c>
      <c r="B6697" t="s">
        <v>14209</v>
      </c>
      <c r="C6697" t="s">
        <v>16089</v>
      </c>
      <c r="D6697" t="s">
        <v>16212</v>
      </c>
      <c r="E6697" t="s">
        <v>16218</v>
      </c>
      <c r="F6697" t="s">
        <v>16221</v>
      </c>
      <c r="G6697" t="s">
        <v>16250</v>
      </c>
      <c r="H6697" t="s">
        <v>16250</v>
      </c>
      <c r="I6697" t="s">
        <v>16377</v>
      </c>
      <c r="J6697" t="s">
        <v>16385</v>
      </c>
      <c r="K6697">
        <v>0.175</v>
      </c>
      <c r="L6697">
        <v>7627</v>
      </c>
      <c r="M6697">
        <v>2375</v>
      </c>
      <c r="N6697" t="s">
        <v>16393</v>
      </c>
      <c r="O6697" s="4">
        <v>39674</v>
      </c>
      <c r="P6697" s="4">
        <v>156785</v>
      </c>
      <c r="Q6697" s="4">
        <v>196459</v>
      </c>
      <c r="R6697" s="4">
        <v>589377</v>
      </c>
      <c r="S6697" t="s">
        <v>22861</v>
      </c>
      <c r="T6697" s="6">
        <v>45806</v>
      </c>
      <c r="U6697" s="4">
        <v>701000</v>
      </c>
      <c r="V6697" t="s">
        <v>23739</v>
      </c>
      <c r="W6697" t="s">
        <v>27406</v>
      </c>
      <c r="X6697" t="s">
        <v>3</v>
      </c>
      <c r="AA6697" s="5" t="str">
        <f>HYPERLINK("https://www.zillow.com/homes/2111-BELLEAU-WOODS-CT-WHEATON-IL-601893366_rb/","check listing")</f>
        <v>check listing</v>
      </c>
      <c r="AB6697" s="5" t="str">
        <f>HYPERLINK("https://propertylookup.dupagecounty.gov/Datalets/Datalet.aspx?UseSearch=no&amp;mode=sales&amp;pin=0519101020","sales record")</f>
        <v>sales record</v>
      </c>
      <c r="AC6697" t="s">
        <v>3</v>
      </c>
      <c r="AD6697">
        <v>41.850971</v>
      </c>
      <c r="AE6697">
        <v>-88.141953</v>
      </c>
      <c r="AF6697" s="5" t="str">
        <f>HYPERLINK("https://www.google.com/maps/search/?api=1&amp;query=41.850971,-88.141953","map")</f>
        <v>map</v>
      </c>
    </row>
    <row r="6698" spans="1:32">
      <c r="A6698" t="s">
        <v>6748</v>
      </c>
      <c r="B6698" t="s">
        <v>14210</v>
      </c>
      <c r="C6698" t="s">
        <v>15426</v>
      </c>
      <c r="D6698" t="s">
        <v>16212</v>
      </c>
      <c r="E6698" t="s">
        <v>16218</v>
      </c>
      <c r="F6698" t="s">
        <v>16221</v>
      </c>
      <c r="G6698" t="s">
        <v>16250</v>
      </c>
      <c r="H6698" t="s">
        <v>16250</v>
      </c>
      <c r="I6698" t="s">
        <v>16377</v>
      </c>
      <c r="J6698" t="s">
        <v>16385</v>
      </c>
      <c r="K6698">
        <v>0.172</v>
      </c>
      <c r="L6698">
        <v>7484</v>
      </c>
      <c r="M6698">
        <v>1319</v>
      </c>
      <c r="N6698" t="s">
        <v>16393</v>
      </c>
      <c r="O6698" s="4">
        <v>30012</v>
      </c>
      <c r="P6698" s="4">
        <v>95679</v>
      </c>
      <c r="Q6698" s="4">
        <v>125691</v>
      </c>
      <c r="R6698" s="4">
        <v>377073</v>
      </c>
      <c r="S6698" t="s">
        <v>22862</v>
      </c>
      <c r="T6698" s="6">
        <v>38292</v>
      </c>
      <c r="U6698" s="4">
        <v>368000</v>
      </c>
      <c r="V6698" t="s">
        <v>23739</v>
      </c>
      <c r="W6698" t="s">
        <v>27407</v>
      </c>
      <c r="X6698" t="s">
        <v>3</v>
      </c>
      <c r="AA6698" s="5" t="str">
        <f>HYPERLINK("https://www.zillow.com/homes/212-W-INDIANA-ST-WHEATON-IL-60187_rb/","check listing")</f>
        <v>check listing</v>
      </c>
      <c r="AB6698" s="5" t="str">
        <f>HYPERLINK("https://propertylookup.dupagecounty.gov/Datalets/Datalet.aspx?UseSearch=no&amp;mode=sales&amp;pin=0516333005","sales record")</f>
        <v>sales record</v>
      </c>
      <c r="AC6698" t="s">
        <v>3</v>
      </c>
      <c r="AD6698">
        <v>41.860734</v>
      </c>
      <c r="AE6698">
        <v>-88.108762</v>
      </c>
      <c r="AF6698" s="5" t="str">
        <f>HYPERLINK("https://www.google.com/maps/search/?api=1&amp;query=41.860734,-88.108762","map")</f>
        <v>map</v>
      </c>
    </row>
    <row r="6699" spans="1:32">
      <c r="A6699" t="s">
        <v>6749</v>
      </c>
      <c r="B6699" t="s">
        <v>14211</v>
      </c>
      <c r="C6699" t="s">
        <v>16097</v>
      </c>
      <c r="D6699" t="s">
        <v>16212</v>
      </c>
      <c r="E6699" t="s">
        <v>16218</v>
      </c>
      <c r="F6699" t="s">
        <v>16221</v>
      </c>
      <c r="G6699" t="s">
        <v>16250</v>
      </c>
      <c r="H6699" t="s">
        <v>16250</v>
      </c>
      <c r="I6699" t="s">
        <v>16377</v>
      </c>
      <c r="J6699" t="s">
        <v>16385</v>
      </c>
      <c r="K6699">
        <v>0.172</v>
      </c>
      <c r="L6699">
        <v>7474</v>
      </c>
      <c r="N6699" t="s">
        <v>16393</v>
      </c>
      <c r="O6699" s="4">
        <v>29976</v>
      </c>
      <c r="P6699" s="4">
        <v>99107</v>
      </c>
      <c r="Q6699" s="4">
        <v>129083</v>
      </c>
      <c r="R6699" s="4">
        <v>387249</v>
      </c>
      <c r="S6699" t="s">
        <v>22863</v>
      </c>
      <c r="T6699" s="6">
        <v>44531</v>
      </c>
      <c r="U6699" s="4">
        <v>315500</v>
      </c>
      <c r="V6699" t="s">
        <v>23739</v>
      </c>
      <c r="W6699" t="s">
        <v>27408</v>
      </c>
      <c r="X6699" t="s">
        <v>3</v>
      </c>
      <c r="AA6699" s="5" t="str">
        <f>HYPERLINK("https://www.zillow.com/homes/408-CRESCENT-ST-WHEATON-IL-601875507_rb/","check listing")</f>
        <v>check listing</v>
      </c>
      <c r="AB6699" s="5" t="str">
        <f>HYPERLINK("https://propertylookup.dupagecounty.gov/Datalets/Datalet.aspx?UseSearch=no&amp;mode=sales&amp;pin=0516401005","sales record")</f>
        <v>sales record</v>
      </c>
      <c r="AC6699" t="s">
        <v>3</v>
      </c>
      <c r="AD6699">
        <v>41.865101</v>
      </c>
      <c r="AE6699">
        <v>-88.10020299999999</v>
      </c>
      <c r="AF6699" s="5" t="str">
        <f>HYPERLINK("https://www.google.com/maps/search/?api=1&amp;query=41.865101,-88.100203","map")</f>
        <v>map</v>
      </c>
    </row>
    <row r="6700" spans="1:32">
      <c r="A6700" t="s">
        <v>6750</v>
      </c>
      <c r="B6700" t="s">
        <v>14212</v>
      </c>
      <c r="C6700" t="s">
        <v>15426</v>
      </c>
      <c r="D6700" t="s">
        <v>16212</v>
      </c>
      <c r="E6700" t="s">
        <v>16218</v>
      </c>
      <c r="F6700" t="s">
        <v>16221</v>
      </c>
      <c r="G6700" t="s">
        <v>16250</v>
      </c>
      <c r="H6700" t="s">
        <v>16250</v>
      </c>
      <c r="I6700" t="s">
        <v>16377</v>
      </c>
      <c r="J6700" t="s">
        <v>16385</v>
      </c>
      <c r="K6700">
        <v>0.172</v>
      </c>
      <c r="L6700">
        <v>7472</v>
      </c>
      <c r="M6700">
        <v>1904</v>
      </c>
      <c r="N6700" t="s">
        <v>16393</v>
      </c>
      <c r="O6700" s="4">
        <v>29964</v>
      </c>
      <c r="P6700" s="4">
        <v>81315</v>
      </c>
      <c r="Q6700" s="4">
        <v>111279</v>
      </c>
      <c r="R6700" s="4">
        <v>333837</v>
      </c>
      <c r="S6700" t="s">
        <v>22864</v>
      </c>
      <c r="T6700" s="6">
        <v>40603</v>
      </c>
      <c r="U6700" s="4">
        <v>237450</v>
      </c>
      <c r="V6700" t="s">
        <v>23739</v>
      </c>
      <c r="W6700" t="s">
        <v>27409</v>
      </c>
      <c r="X6700" t="s">
        <v>3</v>
      </c>
      <c r="AA6700" s="5" t="str">
        <f>HYPERLINK("https://www.zillow.com/homes/423-E-LIBERTY-DR-WHEATON-IL-60187_rb/","check listing")</f>
        <v>check listing</v>
      </c>
      <c r="AB6700" s="5" t="str">
        <f>HYPERLINK("https://propertylookup.dupagecounty.gov/Datalets/Datalet.aspx?UseSearch=no&amp;mode=sales&amp;pin=0516401019","sales record")</f>
        <v>sales record</v>
      </c>
      <c r="AC6700" t="s">
        <v>3</v>
      </c>
      <c r="AD6700">
        <v>41.864708</v>
      </c>
      <c r="AE6700">
        <v>-88.100025</v>
      </c>
      <c r="AF6700" s="5" t="str">
        <f>HYPERLINK("https://www.google.com/maps/search/?api=1&amp;query=41.864708,-88.100025","map")</f>
        <v>map</v>
      </c>
    </row>
    <row r="6701" spans="1:32">
      <c r="A6701" t="s">
        <v>6751</v>
      </c>
      <c r="B6701" t="s">
        <v>14213</v>
      </c>
      <c r="C6701" t="s">
        <v>16098</v>
      </c>
      <c r="D6701" t="s">
        <v>16212</v>
      </c>
      <c r="E6701" t="s">
        <v>16218</v>
      </c>
      <c r="F6701" t="s">
        <v>16221</v>
      </c>
      <c r="G6701" t="s">
        <v>16250</v>
      </c>
      <c r="H6701" t="s">
        <v>16250</v>
      </c>
      <c r="I6701" t="s">
        <v>16377</v>
      </c>
      <c r="J6701" t="s">
        <v>16385</v>
      </c>
      <c r="K6701">
        <v>0.171</v>
      </c>
      <c r="L6701">
        <v>7440</v>
      </c>
      <c r="N6701" t="s">
        <v>16393</v>
      </c>
      <c r="O6701" s="4">
        <v>31449</v>
      </c>
      <c r="P6701" s="4">
        <v>124771</v>
      </c>
      <c r="Q6701" s="4">
        <v>156220</v>
      </c>
      <c r="R6701" s="4">
        <v>468660</v>
      </c>
      <c r="S6701" t="s">
        <v>22865</v>
      </c>
      <c r="T6701" s="6">
        <v>42826</v>
      </c>
      <c r="U6701" s="4">
        <v>397000</v>
      </c>
      <c r="V6701" t="s">
        <v>23739</v>
      </c>
      <c r="W6701" t="s">
        <v>27410</v>
      </c>
      <c r="X6701" t="s">
        <v>3</v>
      </c>
      <c r="AA6701" s="5" t="str">
        <f>HYPERLINK("https://www.zillow.com/homes/2054-CREEKSIDE-DR-WHEATON-IL-601897103_rb/","check listing")</f>
        <v>check listing</v>
      </c>
      <c r="AB6701" s="5" t="str">
        <f>HYPERLINK("https://propertylookup.dupagecounty.gov/Datalets/Datalet.aspx?UseSearch=no&amp;mode=sales&amp;pin=0519415056","sales record")</f>
        <v>sales record</v>
      </c>
      <c r="AC6701" t="s">
        <v>27873</v>
      </c>
      <c r="AD6701">
        <v>41.846832</v>
      </c>
      <c r="AE6701">
        <v>-88.136213</v>
      </c>
      <c r="AF6701" s="5" t="str">
        <f>HYPERLINK("https://www.google.com/maps/search/?api=1&amp;query=41.846832,-88.136213","map")</f>
        <v>map</v>
      </c>
    </row>
    <row r="6702" spans="1:32">
      <c r="A6702" t="s">
        <v>6752</v>
      </c>
      <c r="B6702" t="s">
        <v>14214</v>
      </c>
      <c r="C6702" t="s">
        <v>16088</v>
      </c>
      <c r="D6702" t="s">
        <v>16212</v>
      </c>
      <c r="E6702" t="s">
        <v>16218</v>
      </c>
      <c r="F6702" t="s">
        <v>16221</v>
      </c>
      <c r="G6702" t="s">
        <v>16250</v>
      </c>
      <c r="H6702" t="s">
        <v>16250</v>
      </c>
      <c r="I6702" t="s">
        <v>16377</v>
      </c>
      <c r="J6702" t="s">
        <v>16385</v>
      </c>
      <c r="K6702">
        <v>0.17</v>
      </c>
      <c r="L6702">
        <v>7400</v>
      </c>
      <c r="M6702">
        <v>2054</v>
      </c>
      <c r="N6702" t="s">
        <v>16393</v>
      </c>
      <c r="O6702" s="4">
        <v>39674</v>
      </c>
      <c r="P6702" s="4">
        <v>140808</v>
      </c>
      <c r="Q6702" s="4">
        <v>180482</v>
      </c>
      <c r="R6702" s="4">
        <v>541446</v>
      </c>
      <c r="S6702" t="s">
        <v>22866</v>
      </c>
      <c r="T6702" s="6">
        <v>44075</v>
      </c>
      <c r="U6702" s="4">
        <v>448000</v>
      </c>
      <c r="V6702" t="s">
        <v>23739</v>
      </c>
      <c r="W6702" t="s">
        <v>22866</v>
      </c>
      <c r="X6702" t="s">
        <v>3</v>
      </c>
      <c r="AA6702" s="5" t="str">
        <f>HYPERLINK("https://www.zillow.com/homes/1441-BELLEAU-WOODS-CT-WHEATON-IL-601897172_rb/","check listing")</f>
        <v>check listing</v>
      </c>
      <c r="AB6702" s="5" t="str">
        <f>HYPERLINK("https://propertylookup.dupagecounty.gov/Datalets/Datalet.aspx?UseSearch=no&amp;mode=sales&amp;pin=0519305030","sales record")</f>
        <v>sales record</v>
      </c>
      <c r="AC6702" t="s">
        <v>3</v>
      </c>
      <c r="AD6702">
        <v>41.849728</v>
      </c>
      <c r="AE6702">
        <v>-88.142743</v>
      </c>
      <c r="AF6702" s="5" t="str">
        <f>HYPERLINK("https://www.google.com/maps/search/?api=1&amp;query=41.849728,-88.142743","map")</f>
        <v>map</v>
      </c>
    </row>
    <row r="6703" spans="1:32">
      <c r="A6703" t="s">
        <v>6753</v>
      </c>
      <c r="B6703" t="s">
        <v>14215</v>
      </c>
      <c r="C6703" t="s">
        <v>16098</v>
      </c>
      <c r="D6703" t="s">
        <v>16212</v>
      </c>
      <c r="E6703" t="s">
        <v>16218</v>
      </c>
      <c r="F6703" t="s">
        <v>16221</v>
      </c>
      <c r="G6703" t="s">
        <v>16250</v>
      </c>
      <c r="H6703" t="s">
        <v>16250</v>
      </c>
      <c r="I6703" t="s">
        <v>16377</v>
      </c>
      <c r="J6703" t="s">
        <v>16385</v>
      </c>
      <c r="K6703">
        <v>0.169</v>
      </c>
      <c r="L6703">
        <v>7370</v>
      </c>
      <c r="M6703">
        <v>2828</v>
      </c>
      <c r="N6703" t="s">
        <v>16393</v>
      </c>
      <c r="O6703" s="4">
        <v>31449</v>
      </c>
      <c r="P6703" s="4">
        <v>124571</v>
      </c>
      <c r="Q6703" s="4">
        <v>156020</v>
      </c>
      <c r="R6703" s="4">
        <v>468060</v>
      </c>
      <c r="S6703" t="s">
        <v>22867</v>
      </c>
      <c r="T6703" s="6">
        <v>43160</v>
      </c>
      <c r="U6703" s="4">
        <v>330000</v>
      </c>
      <c r="V6703" t="s">
        <v>23740</v>
      </c>
      <c r="W6703" t="s">
        <v>27411</v>
      </c>
      <c r="X6703" t="s">
        <v>3</v>
      </c>
      <c r="AA6703" s="5" t="str">
        <f>HYPERLINK("https://www.zillow.com/homes/2056-CREEKSIDE-DR-WHEATON-IL-601897103_rb/","check listing")</f>
        <v>check listing</v>
      </c>
      <c r="AB6703" s="5" t="str">
        <f>HYPERLINK("https://propertylookup.dupagecounty.gov/Datalets/Datalet.aspx?UseSearch=no&amp;mode=sales&amp;pin=0519415055","sales record")</f>
        <v>sales record</v>
      </c>
      <c r="AC6703" t="s">
        <v>27873</v>
      </c>
      <c r="AD6703">
        <v>41.846838</v>
      </c>
      <c r="AE6703">
        <v>-88.136405</v>
      </c>
      <c r="AF6703" s="5" t="str">
        <f>HYPERLINK("https://www.google.com/maps/search/?api=1&amp;query=41.846838,-88.136405","map")</f>
        <v>map</v>
      </c>
    </row>
    <row r="6704" spans="1:32">
      <c r="A6704" t="s">
        <v>6754</v>
      </c>
      <c r="B6704" t="s">
        <v>14216</v>
      </c>
      <c r="C6704" t="s">
        <v>16075</v>
      </c>
      <c r="D6704" t="s">
        <v>16212</v>
      </c>
      <c r="E6704" t="s">
        <v>16218</v>
      </c>
      <c r="F6704" t="s">
        <v>16221</v>
      </c>
      <c r="G6704" t="s">
        <v>16250</v>
      </c>
      <c r="H6704" t="s">
        <v>16250</v>
      </c>
      <c r="I6704" t="s">
        <v>16377</v>
      </c>
      <c r="J6704" t="s">
        <v>16385</v>
      </c>
      <c r="K6704">
        <v>0.168</v>
      </c>
      <c r="L6704">
        <v>7338</v>
      </c>
      <c r="M6704">
        <v>2164</v>
      </c>
      <c r="N6704" t="s">
        <v>16393</v>
      </c>
      <c r="O6704" s="4">
        <v>39674</v>
      </c>
      <c r="P6704" s="4">
        <v>136330</v>
      </c>
      <c r="Q6704" s="4">
        <v>176004</v>
      </c>
      <c r="R6704" s="4">
        <v>528012</v>
      </c>
      <c r="S6704" t="s">
        <v>22868</v>
      </c>
      <c r="T6704" s="6">
        <v>44914</v>
      </c>
      <c r="U6704" s="4">
        <v>525000</v>
      </c>
      <c r="V6704" t="s">
        <v>23739</v>
      </c>
      <c r="W6704" t="s">
        <v>27412</v>
      </c>
      <c r="X6704" t="s">
        <v>3</v>
      </c>
      <c r="AA6704" s="5" t="str">
        <f>HYPERLINK("https://www.zillow.com/homes/2108-BELLEAU-WOODS-CT-WHEATON-IL-60189_rb/","check listing")</f>
        <v>check listing</v>
      </c>
      <c r="AB6704" s="5" t="str">
        <f>HYPERLINK("https://propertylookup.dupagecounty.gov/Datalets/Datalet.aspx?UseSearch=no&amp;mode=sales&amp;pin=0519101021","sales record")</f>
        <v>sales record</v>
      </c>
      <c r="AC6704" t="s">
        <v>3</v>
      </c>
      <c r="AD6704">
        <v>41.850653</v>
      </c>
      <c r="AE6704">
        <v>-88.14197299999999</v>
      </c>
      <c r="AF6704" s="5" t="str">
        <f>HYPERLINK("https://www.google.com/maps/search/?api=1&amp;query=41.850653,-88.141973","map")</f>
        <v>map</v>
      </c>
    </row>
    <row r="6705" spans="1:32">
      <c r="A6705" t="s">
        <v>6755</v>
      </c>
      <c r="B6705" t="s">
        <v>14217</v>
      </c>
      <c r="C6705" t="s">
        <v>15426</v>
      </c>
      <c r="D6705" t="s">
        <v>16212</v>
      </c>
      <c r="E6705" t="s">
        <v>16218</v>
      </c>
      <c r="F6705" t="s">
        <v>16221</v>
      </c>
      <c r="G6705" t="s">
        <v>16250</v>
      </c>
      <c r="H6705" t="s">
        <v>16250</v>
      </c>
      <c r="I6705" t="s">
        <v>16377</v>
      </c>
      <c r="J6705" t="s">
        <v>16385</v>
      </c>
      <c r="K6705">
        <v>0.167</v>
      </c>
      <c r="L6705">
        <v>7258</v>
      </c>
      <c r="M6705">
        <v>792</v>
      </c>
      <c r="N6705" t="s">
        <v>16393</v>
      </c>
      <c r="O6705" s="4">
        <v>29104</v>
      </c>
      <c r="P6705" s="4">
        <v>58586</v>
      </c>
      <c r="Q6705" s="4">
        <v>87690</v>
      </c>
      <c r="R6705" s="4">
        <v>263070</v>
      </c>
      <c r="S6705" t="s">
        <v>22869</v>
      </c>
      <c r="T6705" s="6">
        <v>38899</v>
      </c>
      <c r="U6705" s="4">
        <v>241500</v>
      </c>
      <c r="V6705" t="s">
        <v>23739</v>
      </c>
      <c r="W6705" t="s">
        <v>27413</v>
      </c>
      <c r="X6705" t="s">
        <v>3</v>
      </c>
      <c r="AA6705" s="5" t="str">
        <f>HYPERLINK("https://www.zillow.com/homes/712-W-CHILDS-ST-WHEATON-IL-60187_rb/","check listing")</f>
        <v>check listing</v>
      </c>
      <c r="AB6705" s="5" t="str">
        <f>HYPERLINK("https://propertylookup.dupagecounty.gov/Datalets/Datalet.aspx?UseSearch=no&amp;mode=sales&amp;pin=0517412013","sales record")</f>
        <v>sales record</v>
      </c>
      <c r="AC6705" t="s">
        <v>3</v>
      </c>
      <c r="AD6705">
        <v>41.86198</v>
      </c>
      <c r="AE6705">
        <v>-88.117859</v>
      </c>
      <c r="AF6705" s="5" t="str">
        <f>HYPERLINK("https://www.google.com/maps/search/?api=1&amp;query=41.86198,-88.117859","map")</f>
        <v>map</v>
      </c>
    </row>
    <row r="6706" spans="1:32">
      <c r="A6706" t="s">
        <v>6756</v>
      </c>
      <c r="B6706" t="s">
        <v>14218</v>
      </c>
      <c r="C6706" t="s">
        <v>15426</v>
      </c>
      <c r="D6706" t="s">
        <v>16212</v>
      </c>
      <c r="E6706" t="s">
        <v>16218</v>
      </c>
      <c r="F6706" t="s">
        <v>16221</v>
      </c>
      <c r="G6706" t="s">
        <v>16250</v>
      </c>
      <c r="H6706" t="s">
        <v>16250</v>
      </c>
      <c r="I6706" t="s">
        <v>16377</v>
      </c>
      <c r="J6706" t="s">
        <v>16385</v>
      </c>
      <c r="K6706">
        <v>0.164</v>
      </c>
      <c r="L6706">
        <v>7164</v>
      </c>
      <c r="M6706">
        <v>1055</v>
      </c>
      <c r="N6706" t="s">
        <v>16393</v>
      </c>
      <c r="O6706" s="4">
        <v>28739</v>
      </c>
      <c r="P6706" s="4">
        <v>77285</v>
      </c>
      <c r="Q6706" s="4">
        <v>106024</v>
      </c>
      <c r="R6706" s="4">
        <v>318072</v>
      </c>
      <c r="S6706" t="s">
        <v>22870</v>
      </c>
      <c r="X6706" t="s">
        <v>3</v>
      </c>
      <c r="AA6706" s="5" t="str">
        <f>HYPERLINK("https://www.zillow.com/homes/419-E-LIBERTY-DR-WHEATON-IL-60187_rb/","check listing")</f>
        <v>check listing</v>
      </c>
      <c r="AB6706" s="5" t="str">
        <f>HYPERLINK("https://propertylookup.dupagecounty.gov/Datalets/Datalet.aspx?UseSearch=no&amp;mode=sales&amp;pin=0516401018","sales record")</f>
        <v>sales record</v>
      </c>
      <c r="AC6706" t="s">
        <v>3</v>
      </c>
      <c r="AD6706">
        <v>41.864697</v>
      </c>
      <c r="AE6706">
        <v>-88.10020400000001</v>
      </c>
      <c r="AF6706" s="5" t="str">
        <f>HYPERLINK("https://www.google.com/maps/search/?api=1&amp;query=41.864697,-88.100204","map")</f>
        <v>map</v>
      </c>
    </row>
    <row r="6707" spans="1:32">
      <c r="A6707" t="s">
        <v>6757</v>
      </c>
      <c r="B6707" t="s">
        <v>14219</v>
      </c>
      <c r="C6707" t="s">
        <v>16097</v>
      </c>
      <c r="D6707" t="s">
        <v>16212</v>
      </c>
      <c r="E6707" t="s">
        <v>16218</v>
      </c>
      <c r="F6707" t="s">
        <v>16221</v>
      </c>
      <c r="G6707" t="s">
        <v>16250</v>
      </c>
      <c r="H6707" t="s">
        <v>16250</v>
      </c>
      <c r="I6707" t="s">
        <v>16377</v>
      </c>
      <c r="J6707" t="s">
        <v>16385</v>
      </c>
      <c r="K6707">
        <v>0.163</v>
      </c>
      <c r="L6707">
        <v>7083</v>
      </c>
      <c r="M6707">
        <v>1780</v>
      </c>
      <c r="N6707" t="s">
        <v>16393</v>
      </c>
      <c r="O6707" s="4">
        <v>28409</v>
      </c>
      <c r="P6707" s="4">
        <v>113648</v>
      </c>
      <c r="Q6707" s="4">
        <v>142057</v>
      </c>
      <c r="R6707" s="4">
        <v>426171</v>
      </c>
      <c r="S6707" t="s">
        <v>22871</v>
      </c>
      <c r="T6707" s="6">
        <v>44197</v>
      </c>
      <c r="U6707" s="4">
        <v>315000</v>
      </c>
      <c r="V6707" t="s">
        <v>23739</v>
      </c>
      <c r="W6707" t="s">
        <v>27414</v>
      </c>
      <c r="X6707" t="s">
        <v>3</v>
      </c>
      <c r="AA6707" s="5" t="str">
        <f>HYPERLINK("https://www.zillow.com/homes/406-CRESCENT-ST-WHEATON-IL-601875507_rb/","check listing")</f>
        <v>check listing</v>
      </c>
      <c r="AB6707" s="5" t="str">
        <f>HYPERLINK("https://propertylookup.dupagecounty.gov/Datalets/Datalet.aspx?UseSearch=no&amp;mode=sales&amp;pin=0516401004","sales record")</f>
        <v>sales record</v>
      </c>
      <c r="AC6707" t="s">
        <v>3</v>
      </c>
      <c r="AD6707">
        <v>41.865071</v>
      </c>
      <c r="AE6707">
        <v>-88.10038900000001</v>
      </c>
      <c r="AF6707" s="5" t="str">
        <f>HYPERLINK("https://www.google.com/maps/search/?api=1&amp;query=41.865071,-88.100389","map")</f>
        <v>map</v>
      </c>
    </row>
    <row r="6708" spans="1:32">
      <c r="A6708" t="s">
        <v>6758</v>
      </c>
      <c r="B6708" t="s">
        <v>14220</v>
      </c>
      <c r="C6708" t="s">
        <v>15426</v>
      </c>
      <c r="D6708" t="s">
        <v>16212</v>
      </c>
      <c r="E6708" t="s">
        <v>16218</v>
      </c>
      <c r="F6708" t="s">
        <v>16221</v>
      </c>
      <c r="G6708" t="s">
        <v>16250</v>
      </c>
      <c r="H6708" t="s">
        <v>16250</v>
      </c>
      <c r="I6708" t="s">
        <v>16377</v>
      </c>
      <c r="J6708" t="s">
        <v>16385</v>
      </c>
      <c r="K6708">
        <v>0.162</v>
      </c>
      <c r="L6708">
        <v>7063</v>
      </c>
      <c r="M6708">
        <v>1187</v>
      </c>
      <c r="N6708" t="s">
        <v>16393</v>
      </c>
      <c r="O6708" s="4">
        <v>28326</v>
      </c>
      <c r="P6708" s="4">
        <v>120954</v>
      </c>
      <c r="Q6708" s="4">
        <v>149280</v>
      </c>
      <c r="R6708" s="4">
        <v>447840</v>
      </c>
      <c r="S6708" t="s">
        <v>22872</v>
      </c>
      <c r="T6708" s="6">
        <v>31352</v>
      </c>
      <c r="U6708" s="4">
        <v>54250</v>
      </c>
      <c r="X6708" t="s">
        <v>3</v>
      </c>
      <c r="AA6708" s="5" t="str">
        <f>HYPERLINK("https://www.zillow.com/homes/415-LIBERTY-DR-WHEATON-IL-60187_rb/","check listing")</f>
        <v>check listing</v>
      </c>
      <c r="AB6708" s="5" t="str">
        <f>HYPERLINK("https://propertylookup.dupagecounty.gov/Datalets/Datalet.aspx?UseSearch=no&amp;mode=sales&amp;pin=0516401017","sales record")</f>
        <v>sales record</v>
      </c>
      <c r="AC6708" t="s">
        <v>3</v>
      </c>
      <c r="AD6708">
        <v>41.864685</v>
      </c>
      <c r="AE6708">
        <v>-88.100385</v>
      </c>
      <c r="AF6708" s="5" t="str">
        <f>HYPERLINK("https://www.google.com/maps/search/?api=1&amp;query=41.864685,-88.100385","map")</f>
        <v>map</v>
      </c>
    </row>
    <row r="6709" spans="1:32">
      <c r="A6709" t="s">
        <v>6759</v>
      </c>
      <c r="B6709" t="s">
        <v>14221</v>
      </c>
      <c r="C6709" t="s">
        <v>15426</v>
      </c>
      <c r="D6709" t="s">
        <v>16212</v>
      </c>
      <c r="E6709" t="s">
        <v>16218</v>
      </c>
      <c r="F6709" t="s">
        <v>16221</v>
      </c>
      <c r="G6709" t="s">
        <v>16250</v>
      </c>
      <c r="H6709" t="s">
        <v>16250</v>
      </c>
      <c r="I6709" t="s">
        <v>16377</v>
      </c>
      <c r="J6709" t="s">
        <v>16385</v>
      </c>
      <c r="K6709">
        <v>0.162</v>
      </c>
      <c r="L6709">
        <v>7062</v>
      </c>
      <c r="N6709" t="s">
        <v>16393</v>
      </c>
      <c r="O6709" s="4">
        <v>28326</v>
      </c>
      <c r="P6709" s="4">
        <v>77697</v>
      </c>
      <c r="Q6709" s="4">
        <v>106023</v>
      </c>
      <c r="R6709" s="4">
        <v>318069</v>
      </c>
      <c r="S6709" t="s">
        <v>22873</v>
      </c>
      <c r="X6709" t="s">
        <v>3</v>
      </c>
      <c r="AA6709" s="5" t="str">
        <f>HYPERLINK("https://www.zillow.com/homes/114-W-ILLINOIS-ST-WHEATON-IL-60187_rb/","check listing")</f>
        <v>check listing</v>
      </c>
      <c r="AB6709" s="5" t="str">
        <f>HYPERLINK("https://propertylookup.dupagecounty.gov/Datalets/Datalet.aspx?UseSearch=no&amp;mode=sales&amp;pin=0516329003","sales record")</f>
        <v>sales record</v>
      </c>
      <c r="AC6709" t="s">
        <v>3</v>
      </c>
      <c r="AD6709">
        <v>41.861939</v>
      </c>
      <c r="AE6709">
        <v>-88.10770100000001</v>
      </c>
      <c r="AF6709" s="5" t="str">
        <f>HYPERLINK("https://www.google.com/maps/search/?api=1&amp;query=41.861939,-88.107701","map")</f>
        <v>map</v>
      </c>
    </row>
    <row r="6710" spans="1:32">
      <c r="A6710" t="s">
        <v>6760</v>
      </c>
      <c r="B6710" t="s">
        <v>14222</v>
      </c>
      <c r="C6710" t="s">
        <v>15426</v>
      </c>
      <c r="D6710" t="s">
        <v>16212</v>
      </c>
      <c r="E6710" t="s">
        <v>16218</v>
      </c>
      <c r="F6710" t="s">
        <v>16221</v>
      </c>
      <c r="G6710" t="s">
        <v>16250</v>
      </c>
      <c r="H6710" t="s">
        <v>16250</v>
      </c>
      <c r="I6710" t="s">
        <v>16377</v>
      </c>
      <c r="J6710" t="s">
        <v>16385</v>
      </c>
      <c r="K6710">
        <v>0.161</v>
      </c>
      <c r="L6710">
        <v>7004</v>
      </c>
      <c r="M6710">
        <v>660</v>
      </c>
      <c r="N6710" t="s">
        <v>16393</v>
      </c>
      <c r="O6710" s="4">
        <v>27949</v>
      </c>
      <c r="P6710" s="4">
        <v>74575</v>
      </c>
      <c r="Q6710" s="4">
        <v>102524</v>
      </c>
      <c r="R6710" s="4">
        <v>307572</v>
      </c>
      <c r="S6710" t="s">
        <v>22874</v>
      </c>
      <c r="X6710" t="s">
        <v>3</v>
      </c>
      <c r="AA6710" s="5" t="str">
        <f>HYPERLINK("https://www.zillow.com/homes/519-S-HALE-ST-WHEATON-IL-60187_rb/","check listing")</f>
        <v>check listing</v>
      </c>
      <c r="AB6710" s="5" t="str">
        <f>HYPERLINK("https://propertylookup.dupagecounty.gov/Datalets/Datalet.aspx?UseSearch=no&amp;mode=sales&amp;pin=0516334006","sales record")</f>
        <v>sales record</v>
      </c>
      <c r="AC6710" t="s">
        <v>3</v>
      </c>
      <c r="AD6710">
        <v>41.860142</v>
      </c>
      <c r="AE6710">
        <v>-88.107795</v>
      </c>
      <c r="AF6710" s="5" t="str">
        <f>HYPERLINK("https://www.google.com/maps/search/?api=1&amp;query=41.860142,-88.107795","map")</f>
        <v>map</v>
      </c>
    </row>
    <row r="6711" spans="1:32">
      <c r="A6711" t="s">
        <v>6761</v>
      </c>
      <c r="B6711" t="s">
        <v>14223</v>
      </c>
      <c r="C6711" t="s">
        <v>16075</v>
      </c>
      <c r="D6711" t="s">
        <v>16212</v>
      </c>
      <c r="E6711" t="s">
        <v>16218</v>
      </c>
      <c r="F6711" t="s">
        <v>16221</v>
      </c>
      <c r="G6711" t="s">
        <v>16250</v>
      </c>
      <c r="H6711" t="s">
        <v>16250</v>
      </c>
      <c r="I6711" t="s">
        <v>16377</v>
      </c>
      <c r="J6711" t="s">
        <v>16385</v>
      </c>
      <c r="K6711">
        <v>0.159</v>
      </c>
      <c r="L6711">
        <v>6907</v>
      </c>
      <c r="M6711">
        <v>2639</v>
      </c>
      <c r="N6711" t="s">
        <v>16393</v>
      </c>
      <c r="O6711" s="4">
        <v>39674</v>
      </c>
      <c r="P6711" s="4">
        <v>134481</v>
      </c>
      <c r="Q6711" s="4">
        <v>174155</v>
      </c>
      <c r="R6711" s="4">
        <v>522465</v>
      </c>
      <c r="S6711" t="s">
        <v>22875</v>
      </c>
      <c r="T6711" s="6">
        <v>44833</v>
      </c>
      <c r="U6711" s="4">
        <v>400000</v>
      </c>
      <c r="V6711" t="s">
        <v>23739</v>
      </c>
      <c r="W6711" t="s">
        <v>27415</v>
      </c>
      <c r="X6711" t="s">
        <v>3</v>
      </c>
      <c r="AA6711" s="5" t="str">
        <f>HYPERLINK("https://www.zillow.com/homes/1410-BELLEAU-WOODS-CT-WHEATON-IL-60189_rb/","check listing")</f>
        <v>check listing</v>
      </c>
      <c r="AB6711" s="5" t="str">
        <f>HYPERLINK("https://propertylookup.dupagecounty.gov/Datalets/Datalet.aspx?UseSearch=no&amp;mode=sales&amp;pin=0519305021","sales record")</f>
        <v>sales record</v>
      </c>
      <c r="AC6711" t="s">
        <v>3</v>
      </c>
      <c r="AD6711">
        <v>41.850177</v>
      </c>
      <c r="AE6711">
        <v>-88.14320600000001</v>
      </c>
      <c r="AF6711" s="5" t="str">
        <f>HYPERLINK("https://www.google.com/maps/search/?api=1&amp;query=41.850177,-88.143206","map")</f>
        <v>map</v>
      </c>
    </row>
    <row r="6712" spans="1:32">
      <c r="A6712" t="s">
        <v>6762</v>
      </c>
      <c r="B6712" t="s">
        <v>14224</v>
      </c>
      <c r="C6712" t="s">
        <v>15426</v>
      </c>
      <c r="D6712" t="s">
        <v>16212</v>
      </c>
      <c r="E6712" t="s">
        <v>16218</v>
      </c>
      <c r="F6712" t="s">
        <v>16221</v>
      </c>
      <c r="G6712" t="s">
        <v>16250</v>
      </c>
      <c r="H6712" t="s">
        <v>16250</v>
      </c>
      <c r="I6712" t="s">
        <v>16377</v>
      </c>
      <c r="J6712" t="s">
        <v>16385</v>
      </c>
      <c r="K6712">
        <v>0.158</v>
      </c>
      <c r="L6712">
        <v>6901</v>
      </c>
      <c r="M6712">
        <v>1090</v>
      </c>
      <c r="N6712" t="s">
        <v>16393</v>
      </c>
      <c r="O6712" s="4">
        <v>27679</v>
      </c>
      <c r="P6712" s="4">
        <v>62828</v>
      </c>
      <c r="Q6712" s="4">
        <v>90507</v>
      </c>
      <c r="R6712" s="4">
        <v>271521</v>
      </c>
      <c r="S6712" t="s">
        <v>22876</v>
      </c>
      <c r="T6712" s="6">
        <v>34090</v>
      </c>
      <c r="U6712" s="4">
        <v>102900</v>
      </c>
      <c r="X6712" t="s">
        <v>3</v>
      </c>
      <c r="AA6712" s="5" t="str">
        <f>HYPERLINK("https://www.zillow.com/homes/322-W-ILLINOIS-ST-WHEATON-IL-60187_rb/","check listing")</f>
        <v>check listing</v>
      </c>
      <c r="AB6712" s="5" t="str">
        <f>HYPERLINK("https://propertylookup.dupagecounty.gov/Datalets/Datalet.aspx?UseSearch=no&amp;mode=sales&amp;pin=0516327003","sales record")</f>
        <v>sales record</v>
      </c>
      <c r="AC6712" t="s">
        <v>27873</v>
      </c>
      <c r="AD6712">
        <v>41.861825</v>
      </c>
      <c r="AE6712">
        <v>-88.11096000000001</v>
      </c>
      <c r="AF6712" s="5" t="str">
        <f>HYPERLINK("https://www.google.com/maps/search/?api=1&amp;query=41.861825,-88.11096","map")</f>
        <v>map</v>
      </c>
    </row>
    <row r="6713" spans="1:32">
      <c r="A6713" t="s">
        <v>6763</v>
      </c>
      <c r="B6713" t="s">
        <v>14225</v>
      </c>
      <c r="C6713" t="s">
        <v>16075</v>
      </c>
      <c r="D6713" t="s">
        <v>16212</v>
      </c>
      <c r="E6713" t="s">
        <v>16218</v>
      </c>
      <c r="F6713" t="s">
        <v>16221</v>
      </c>
      <c r="G6713" t="s">
        <v>16250</v>
      </c>
      <c r="H6713" t="s">
        <v>16250</v>
      </c>
      <c r="I6713" t="s">
        <v>16377</v>
      </c>
      <c r="J6713" t="s">
        <v>16385</v>
      </c>
      <c r="K6713">
        <v>0.157</v>
      </c>
      <c r="L6713">
        <v>6858</v>
      </c>
      <c r="M6713">
        <v>1976</v>
      </c>
      <c r="N6713" t="s">
        <v>16393</v>
      </c>
      <c r="O6713" s="4">
        <v>39674</v>
      </c>
      <c r="P6713" s="4">
        <v>135282</v>
      </c>
      <c r="Q6713" s="4">
        <v>174956</v>
      </c>
      <c r="R6713" s="4">
        <v>524868</v>
      </c>
      <c r="S6713" t="s">
        <v>22877</v>
      </c>
      <c r="T6713" s="6">
        <v>38078</v>
      </c>
      <c r="U6713" s="4">
        <v>425500</v>
      </c>
      <c r="V6713" t="s">
        <v>23739</v>
      </c>
      <c r="W6713" t="s">
        <v>27416</v>
      </c>
      <c r="X6713" t="s">
        <v>3</v>
      </c>
      <c r="AA6713" s="5" t="str">
        <f>HYPERLINK("https://www.zillow.com/homes/2112-BELLEAU-WOODS-CT-WHEATON-IL-60189_rb/","check listing")</f>
        <v>check listing</v>
      </c>
      <c r="AB6713" s="5" t="str">
        <f>HYPERLINK("https://propertylookup.dupagecounty.gov/Datalets/Datalet.aspx?UseSearch=no&amp;mode=sales&amp;pin=0519305038","sales record")</f>
        <v>sales record</v>
      </c>
      <c r="AC6713" t="s">
        <v>3</v>
      </c>
      <c r="AD6713">
        <v>41.850508</v>
      </c>
      <c r="AE6713">
        <v>-88.142168</v>
      </c>
      <c r="AF6713" s="5" t="str">
        <f>HYPERLINK("https://www.google.com/maps/search/?api=1&amp;query=41.850508,-88.142168","map")</f>
        <v>map</v>
      </c>
    </row>
    <row r="6714" spans="1:32">
      <c r="A6714" t="s">
        <v>6764</v>
      </c>
      <c r="B6714" t="s">
        <v>14226</v>
      </c>
      <c r="C6714" t="s">
        <v>16075</v>
      </c>
      <c r="D6714" t="s">
        <v>16212</v>
      </c>
      <c r="E6714" t="s">
        <v>16218</v>
      </c>
      <c r="F6714" t="s">
        <v>16221</v>
      </c>
      <c r="G6714" t="s">
        <v>16250</v>
      </c>
      <c r="H6714" t="s">
        <v>16250</v>
      </c>
      <c r="I6714" t="s">
        <v>16377</v>
      </c>
      <c r="J6714" t="s">
        <v>16385</v>
      </c>
      <c r="K6714">
        <v>0.157</v>
      </c>
      <c r="L6714">
        <v>6844</v>
      </c>
      <c r="M6714">
        <v>2375</v>
      </c>
      <c r="N6714" t="s">
        <v>16393</v>
      </c>
      <c r="O6714" s="4">
        <v>32144</v>
      </c>
      <c r="P6714" s="4">
        <v>122002</v>
      </c>
      <c r="Q6714" s="4">
        <v>154146</v>
      </c>
      <c r="R6714" s="4">
        <v>462438</v>
      </c>
      <c r="S6714" t="s">
        <v>22878</v>
      </c>
      <c r="T6714" s="6">
        <v>41852</v>
      </c>
      <c r="U6714" s="4">
        <v>345000</v>
      </c>
      <c r="V6714" t="s">
        <v>23739</v>
      </c>
      <c r="W6714" t="s">
        <v>22878</v>
      </c>
      <c r="X6714" t="s">
        <v>3</v>
      </c>
      <c r="AA6714" s="5" t="str">
        <f>HYPERLINK("https://www.zillow.com/homes/1400-S-COUNTY-FARM-RD-WHEATON-IL-60189_rb/","check listing")</f>
        <v>check listing</v>
      </c>
      <c r="AB6714" s="5" t="str">
        <f>HYPERLINK("https://propertylookup.dupagecounty.gov/Datalets/Datalet.aspx?UseSearch=no&amp;mode=sales&amp;pin=0519305039","sales record")</f>
        <v>sales record</v>
      </c>
      <c r="AC6714" t="s">
        <v>3</v>
      </c>
      <c r="AD6714">
        <v>41.850235</v>
      </c>
      <c r="AE6714">
        <v>-88.142315</v>
      </c>
      <c r="AF6714" s="5" t="str">
        <f>HYPERLINK("https://www.google.com/maps/search/?api=1&amp;query=41.850235,-88.142315","map")</f>
        <v>map</v>
      </c>
    </row>
    <row r="6715" spans="1:32">
      <c r="A6715" t="s">
        <v>6765</v>
      </c>
      <c r="B6715" t="s">
        <v>14227</v>
      </c>
      <c r="C6715" t="s">
        <v>16099</v>
      </c>
      <c r="D6715" t="s">
        <v>16212</v>
      </c>
      <c r="E6715" t="s">
        <v>16218</v>
      </c>
      <c r="F6715" t="s">
        <v>16221</v>
      </c>
      <c r="G6715" t="s">
        <v>16250</v>
      </c>
      <c r="H6715" t="s">
        <v>16250</v>
      </c>
      <c r="I6715" t="s">
        <v>16377</v>
      </c>
      <c r="J6715" t="s">
        <v>16385</v>
      </c>
      <c r="K6715">
        <v>0.157</v>
      </c>
      <c r="L6715">
        <v>6838</v>
      </c>
      <c r="M6715">
        <v>2528</v>
      </c>
      <c r="N6715" t="s">
        <v>16393</v>
      </c>
      <c r="O6715" s="4">
        <v>32144</v>
      </c>
      <c r="P6715" s="4">
        <v>149752</v>
      </c>
      <c r="Q6715" s="4">
        <v>181896</v>
      </c>
      <c r="R6715" s="4">
        <v>545688</v>
      </c>
      <c r="S6715" t="s">
        <v>22879</v>
      </c>
      <c r="T6715" s="6">
        <v>43617</v>
      </c>
      <c r="U6715" s="4">
        <v>370000</v>
      </c>
      <c r="V6715" t="s">
        <v>23739</v>
      </c>
      <c r="W6715" t="s">
        <v>27417</v>
      </c>
      <c r="X6715" t="s">
        <v>3</v>
      </c>
      <c r="AA6715" s="5" t="str">
        <f>HYPERLINK("https://www.zillow.com/homes/1420-S-COUNTY-FARM-RD-WHEATON-IL-601897133_rb/","check listing")</f>
        <v>check listing</v>
      </c>
      <c r="AB6715" s="5" t="str">
        <f>HYPERLINK("https://propertylookup.dupagecounty.gov/Datalets/Datalet.aspx?UseSearch=no&amp;mode=sales&amp;pin=0519305040","sales record")</f>
        <v>sales record</v>
      </c>
      <c r="AC6715" t="s">
        <v>3</v>
      </c>
      <c r="AD6715">
        <v>41.85007</v>
      </c>
      <c r="AE6715">
        <v>-88.142314</v>
      </c>
      <c r="AF6715" s="5" t="str">
        <f>HYPERLINK("https://www.google.com/maps/search/?api=1&amp;query=41.85007,-88.142314","map")</f>
        <v>map</v>
      </c>
    </row>
    <row r="6716" spans="1:32">
      <c r="A6716" t="s">
        <v>6766</v>
      </c>
      <c r="B6716" t="s">
        <v>14228</v>
      </c>
      <c r="C6716" t="s">
        <v>16099</v>
      </c>
      <c r="D6716" t="s">
        <v>16212</v>
      </c>
      <c r="E6716" t="s">
        <v>16218</v>
      </c>
      <c r="F6716" t="s">
        <v>16221</v>
      </c>
      <c r="G6716" t="s">
        <v>16250</v>
      </c>
      <c r="H6716" t="s">
        <v>16250</v>
      </c>
      <c r="I6716" t="s">
        <v>16377</v>
      </c>
      <c r="J6716" t="s">
        <v>16385</v>
      </c>
      <c r="K6716">
        <v>0.157</v>
      </c>
      <c r="L6716">
        <v>6838</v>
      </c>
      <c r="M6716">
        <v>2224</v>
      </c>
      <c r="N6716" t="s">
        <v>16393</v>
      </c>
      <c r="O6716" s="4">
        <v>32144</v>
      </c>
      <c r="P6716" s="4">
        <v>116724</v>
      </c>
      <c r="Q6716" s="4">
        <v>148868</v>
      </c>
      <c r="R6716" s="4">
        <v>446604</v>
      </c>
      <c r="S6716" t="s">
        <v>22880</v>
      </c>
      <c r="T6716" s="6">
        <v>42491</v>
      </c>
      <c r="U6716" s="4">
        <v>348500</v>
      </c>
      <c r="V6716" t="s">
        <v>23739</v>
      </c>
      <c r="W6716" t="s">
        <v>27418</v>
      </c>
      <c r="X6716" t="s">
        <v>3</v>
      </c>
      <c r="AA6716" s="5" t="str">
        <f>HYPERLINK("https://www.zillow.com/homes/1440-S-COUNTY-FARM-RD-WHEATON-IL-601897133_rb/","check listing")</f>
        <v>check listing</v>
      </c>
      <c r="AB6716" s="5" t="str">
        <f>HYPERLINK("https://propertylookup.dupagecounty.gov/Datalets/Datalet.aspx?UseSearch=no&amp;mode=sales&amp;pin=0519305041","sales record")</f>
        <v>sales record</v>
      </c>
      <c r="AC6716" t="s">
        <v>3</v>
      </c>
      <c r="AD6716">
        <v>41.84991</v>
      </c>
      <c r="AE6716">
        <v>-88.142313</v>
      </c>
      <c r="AF6716" s="5" t="str">
        <f>HYPERLINK("https://www.google.com/maps/search/?api=1&amp;query=41.84991,-88.142313","map")</f>
        <v>map</v>
      </c>
    </row>
    <row r="6717" spans="1:32">
      <c r="A6717" t="s">
        <v>6767</v>
      </c>
      <c r="B6717" t="s">
        <v>14229</v>
      </c>
      <c r="C6717" t="s">
        <v>15426</v>
      </c>
      <c r="D6717" t="s">
        <v>16212</v>
      </c>
      <c r="E6717" t="s">
        <v>16218</v>
      </c>
      <c r="F6717" t="s">
        <v>16221</v>
      </c>
      <c r="G6717" t="s">
        <v>16250</v>
      </c>
      <c r="H6717" t="s">
        <v>16250</v>
      </c>
      <c r="I6717" t="s">
        <v>16377</v>
      </c>
      <c r="J6717" t="s">
        <v>16385</v>
      </c>
      <c r="K6717">
        <v>0.157</v>
      </c>
      <c r="L6717">
        <v>6833</v>
      </c>
      <c r="M6717">
        <v>1583</v>
      </c>
      <c r="N6717" t="s">
        <v>16393</v>
      </c>
      <c r="O6717" s="4">
        <v>27408</v>
      </c>
      <c r="P6717" s="4">
        <v>125195</v>
      </c>
      <c r="Q6717" s="4">
        <v>152603</v>
      </c>
      <c r="R6717" s="4">
        <v>457809</v>
      </c>
      <c r="S6717" t="s">
        <v>22881</v>
      </c>
      <c r="T6717" s="6">
        <v>38443</v>
      </c>
      <c r="U6717" s="4">
        <v>345900</v>
      </c>
      <c r="V6717" t="s">
        <v>23739</v>
      </c>
      <c r="W6717" t="s">
        <v>27419</v>
      </c>
      <c r="X6717" t="s">
        <v>3</v>
      </c>
      <c r="AA6717" s="5" t="str">
        <f>HYPERLINK("https://www.zillow.com/homes/314-W-ILLINOIS-ST-WHEATON-IL-60187_rb/","check listing")</f>
        <v>check listing</v>
      </c>
      <c r="AB6717" s="5" t="str">
        <f>HYPERLINK("https://propertylookup.dupagecounty.gov/Datalets/Datalet.aspx?UseSearch=no&amp;mode=sales&amp;pin=0516327011","sales record")</f>
        <v>sales record</v>
      </c>
      <c r="AC6717" t="s">
        <v>3</v>
      </c>
      <c r="AD6717">
        <v>41.861764</v>
      </c>
      <c r="AE6717">
        <v>-88.110388</v>
      </c>
      <c r="AF6717" s="5" t="str">
        <f>HYPERLINK("https://www.google.com/maps/search/?api=1&amp;query=41.861764,-88.110388","map")</f>
        <v>map</v>
      </c>
    </row>
    <row r="6718" spans="1:32">
      <c r="A6718" t="s">
        <v>6768</v>
      </c>
      <c r="B6718" t="s">
        <v>14230</v>
      </c>
      <c r="C6718" t="s">
        <v>16097</v>
      </c>
      <c r="D6718" t="s">
        <v>16212</v>
      </c>
      <c r="E6718" t="s">
        <v>16218</v>
      </c>
      <c r="F6718" t="s">
        <v>16221</v>
      </c>
      <c r="G6718" t="s">
        <v>16250</v>
      </c>
      <c r="H6718" t="s">
        <v>16250</v>
      </c>
      <c r="I6718" t="s">
        <v>16377</v>
      </c>
      <c r="J6718" t="s">
        <v>16385</v>
      </c>
      <c r="K6718">
        <v>0.155</v>
      </c>
      <c r="L6718">
        <v>6757</v>
      </c>
      <c r="M6718">
        <v>1188</v>
      </c>
      <c r="N6718" t="s">
        <v>16393</v>
      </c>
      <c r="O6718" s="4">
        <v>27101</v>
      </c>
      <c r="P6718" s="4">
        <v>100180</v>
      </c>
      <c r="Q6718" s="4">
        <v>127281</v>
      </c>
      <c r="R6718" s="4">
        <v>381843</v>
      </c>
      <c r="S6718" t="s">
        <v>22882</v>
      </c>
      <c r="T6718" s="6">
        <v>43132</v>
      </c>
      <c r="U6718" s="4">
        <v>310000</v>
      </c>
      <c r="V6718" t="s">
        <v>23739</v>
      </c>
      <c r="W6718" t="s">
        <v>27420</v>
      </c>
      <c r="X6718" t="s">
        <v>3</v>
      </c>
      <c r="AA6718" s="5" t="str">
        <f>HYPERLINK("https://www.zillow.com/homes/404-CRESCENT-ST-WHEATON-IL-601875507_rb/","check listing")</f>
        <v>check listing</v>
      </c>
      <c r="AB6718" s="5" t="str">
        <f>HYPERLINK("https://propertylookup.dupagecounty.gov/Datalets/Datalet.aspx?UseSearch=no&amp;mode=sales&amp;pin=0516401003","sales record")</f>
        <v>sales record</v>
      </c>
      <c r="AC6718" t="s">
        <v>3</v>
      </c>
      <c r="AD6718">
        <v>41.865041</v>
      </c>
      <c r="AE6718">
        <v>-88.100573</v>
      </c>
      <c r="AF6718" s="5" t="str">
        <f>HYPERLINK("https://www.google.com/maps/search/?api=1&amp;query=41.865041,-88.100573","map")</f>
        <v>map</v>
      </c>
    </row>
    <row r="6719" spans="1:32">
      <c r="A6719" t="s">
        <v>6769</v>
      </c>
      <c r="B6719" t="s">
        <v>14231</v>
      </c>
      <c r="C6719" t="s">
        <v>15426</v>
      </c>
      <c r="D6719" t="s">
        <v>16212</v>
      </c>
      <c r="E6719" t="s">
        <v>16218</v>
      </c>
      <c r="F6719" t="s">
        <v>16221</v>
      </c>
      <c r="G6719" t="s">
        <v>16250</v>
      </c>
      <c r="H6719" t="s">
        <v>16250</v>
      </c>
      <c r="I6719" t="s">
        <v>16377</v>
      </c>
      <c r="J6719" t="s">
        <v>16385</v>
      </c>
      <c r="K6719">
        <v>0.155</v>
      </c>
      <c r="L6719">
        <v>6734</v>
      </c>
      <c r="M6719">
        <v>1187</v>
      </c>
      <c r="N6719" t="s">
        <v>16393</v>
      </c>
      <c r="O6719" s="4">
        <v>27007</v>
      </c>
      <c r="P6719" s="4">
        <v>97588</v>
      </c>
      <c r="Q6719" s="4">
        <v>124595</v>
      </c>
      <c r="R6719" s="4">
        <v>373785</v>
      </c>
      <c r="S6719" t="s">
        <v>22883</v>
      </c>
      <c r="T6719" s="6">
        <v>35247</v>
      </c>
      <c r="U6719" s="4">
        <v>164000</v>
      </c>
      <c r="X6719" t="s">
        <v>3</v>
      </c>
      <c r="AA6719" s="5" t="str">
        <f>HYPERLINK("https://www.zillow.com/homes/411-E-LIBERTY-DR-WHEATON-IL-60187_rb/","check listing")</f>
        <v>check listing</v>
      </c>
      <c r="AB6719" s="5" t="str">
        <f>HYPERLINK("https://propertylookup.dupagecounty.gov/Datalets/Datalet.aspx?UseSearch=no&amp;mode=sales&amp;pin=0516401016","sales record")</f>
        <v>sales record</v>
      </c>
      <c r="AC6719" t="s">
        <v>3</v>
      </c>
      <c r="AD6719">
        <v>41.864673</v>
      </c>
      <c r="AE6719">
        <v>-88.10057</v>
      </c>
      <c r="AF6719" s="5" t="str">
        <f>HYPERLINK("https://www.google.com/maps/search/?api=1&amp;query=41.864673,-88.10057","map")</f>
        <v>map</v>
      </c>
    </row>
    <row r="6720" spans="1:32">
      <c r="A6720" t="s">
        <v>6770</v>
      </c>
      <c r="B6720" t="s">
        <v>14232</v>
      </c>
      <c r="C6720" t="s">
        <v>16075</v>
      </c>
      <c r="D6720" t="s">
        <v>16212</v>
      </c>
      <c r="E6720" t="s">
        <v>16218</v>
      </c>
      <c r="F6720" t="s">
        <v>16221</v>
      </c>
      <c r="G6720" t="s">
        <v>16250</v>
      </c>
      <c r="H6720" t="s">
        <v>16250</v>
      </c>
      <c r="I6720" t="s">
        <v>16377</v>
      </c>
      <c r="J6720" t="s">
        <v>16385</v>
      </c>
      <c r="K6720">
        <v>0.152</v>
      </c>
      <c r="L6720">
        <v>6604</v>
      </c>
      <c r="M6720">
        <v>2527</v>
      </c>
      <c r="N6720" t="s">
        <v>16393</v>
      </c>
      <c r="O6720" s="4">
        <v>39674</v>
      </c>
      <c r="P6720" s="4">
        <v>153805</v>
      </c>
      <c r="Q6720" s="4">
        <v>193479</v>
      </c>
      <c r="R6720" s="4">
        <v>580437</v>
      </c>
      <c r="S6720" t="s">
        <v>22884</v>
      </c>
      <c r="T6720" s="6">
        <v>45057</v>
      </c>
      <c r="U6720" s="4">
        <v>581029</v>
      </c>
      <c r="V6720" t="s">
        <v>23739</v>
      </c>
      <c r="W6720" t="s">
        <v>27421</v>
      </c>
      <c r="X6720" t="s">
        <v>3</v>
      </c>
      <c r="AA6720" s="5" t="str">
        <f>HYPERLINK("https://www.zillow.com/homes/2137-BELLEAU-WOODS-CT-WHEATON-IL-60189_rb/","check listing")</f>
        <v>check listing</v>
      </c>
      <c r="AB6720" s="5" t="str">
        <f>HYPERLINK("https://propertylookup.dupagecounty.gov/Datalets/Datalet.aspx?UseSearch=no&amp;mode=sales&amp;pin=0519101014","sales record")</f>
        <v>sales record</v>
      </c>
      <c r="AC6720" t="s">
        <v>3</v>
      </c>
      <c r="AD6720">
        <v>41.850974</v>
      </c>
      <c r="AE6720">
        <v>-88.143218</v>
      </c>
      <c r="AF6720" s="5" t="str">
        <f>HYPERLINK("https://www.google.com/maps/search/?api=1&amp;query=41.850974,-88.143218","map")</f>
        <v>map</v>
      </c>
    </row>
    <row r="6721" spans="1:32">
      <c r="A6721" t="s">
        <v>6771</v>
      </c>
      <c r="B6721" t="s">
        <v>14233</v>
      </c>
      <c r="C6721" t="s">
        <v>16099</v>
      </c>
      <c r="D6721" t="s">
        <v>16212</v>
      </c>
      <c r="E6721" t="s">
        <v>16218</v>
      </c>
      <c r="F6721" t="s">
        <v>16221</v>
      </c>
      <c r="G6721" t="s">
        <v>16250</v>
      </c>
      <c r="H6721" t="s">
        <v>16250</v>
      </c>
      <c r="I6721" t="s">
        <v>16377</v>
      </c>
      <c r="J6721" t="s">
        <v>16385</v>
      </c>
      <c r="K6721">
        <v>0.151</v>
      </c>
      <c r="L6721">
        <v>6593</v>
      </c>
      <c r="M6721">
        <v>2225</v>
      </c>
      <c r="N6721" t="s">
        <v>16393</v>
      </c>
      <c r="O6721" s="4">
        <v>32144</v>
      </c>
      <c r="P6721" s="4">
        <v>135116</v>
      </c>
      <c r="Q6721" s="4">
        <v>167260</v>
      </c>
      <c r="R6721" s="4">
        <v>501780</v>
      </c>
      <c r="S6721" t="s">
        <v>22885</v>
      </c>
      <c r="T6721" s="6">
        <v>43862</v>
      </c>
      <c r="U6721" s="4">
        <v>340000</v>
      </c>
      <c r="V6721" t="s">
        <v>16232</v>
      </c>
      <c r="W6721" t="s">
        <v>22885</v>
      </c>
      <c r="X6721" t="s">
        <v>3</v>
      </c>
      <c r="AA6721" s="5" t="str">
        <f>HYPERLINK("https://www.zillow.com/homes/1470-S-COUNTY-FARM-RD-WHEATON-IL-601897133_rb/","check listing")</f>
        <v>check listing</v>
      </c>
      <c r="AB6721" s="5" t="str">
        <f>HYPERLINK("https://propertylookup.dupagecounty.gov/Datalets/Datalet.aspx?UseSearch=no&amp;mode=sales&amp;pin=0519305043","sales record")</f>
        <v>sales record</v>
      </c>
      <c r="AC6721" t="s">
        <v>3</v>
      </c>
      <c r="AD6721">
        <v>41.849554</v>
      </c>
      <c r="AE6721">
        <v>-88.142346</v>
      </c>
      <c r="AF6721" s="5" t="str">
        <f>HYPERLINK("https://www.google.com/maps/search/?api=1&amp;query=41.849554,-88.142346","map")</f>
        <v>map</v>
      </c>
    </row>
    <row r="6722" spans="1:32">
      <c r="A6722" t="s">
        <v>6772</v>
      </c>
      <c r="B6722" t="s">
        <v>14234</v>
      </c>
      <c r="C6722" t="s">
        <v>16089</v>
      </c>
      <c r="D6722" t="s">
        <v>16212</v>
      </c>
      <c r="E6722" t="s">
        <v>16218</v>
      </c>
      <c r="F6722" t="s">
        <v>16221</v>
      </c>
      <c r="G6722" t="s">
        <v>16250</v>
      </c>
      <c r="H6722" t="s">
        <v>16250</v>
      </c>
      <c r="I6722" t="s">
        <v>16377</v>
      </c>
      <c r="J6722" t="s">
        <v>16385</v>
      </c>
      <c r="K6722">
        <v>0.151</v>
      </c>
      <c r="L6722">
        <v>6586</v>
      </c>
      <c r="M6722">
        <v>2473</v>
      </c>
      <c r="N6722" t="s">
        <v>16393</v>
      </c>
      <c r="O6722" s="4">
        <v>39674</v>
      </c>
      <c r="P6722" s="4">
        <v>139512</v>
      </c>
      <c r="Q6722" s="4">
        <v>179186</v>
      </c>
      <c r="R6722" s="4">
        <v>537558</v>
      </c>
      <c r="S6722" t="s">
        <v>22886</v>
      </c>
      <c r="T6722" s="6">
        <v>43952</v>
      </c>
      <c r="U6722" s="4">
        <v>435000</v>
      </c>
      <c r="V6722" t="s">
        <v>23739</v>
      </c>
      <c r="W6722" t="s">
        <v>27422</v>
      </c>
      <c r="X6722" t="s">
        <v>3</v>
      </c>
      <c r="AA6722" s="5" t="str">
        <f>HYPERLINK("https://www.zillow.com/homes/2120-BELLEAU-WOODS-CT-WHEATON-IL-601893366_rb/","check listing")</f>
        <v>check listing</v>
      </c>
      <c r="AB6722" s="5" t="str">
        <f>HYPERLINK("https://propertylookup.dupagecounty.gov/Datalets/Datalet.aspx?UseSearch=no&amp;mode=sales&amp;pin=0519305037","sales record")</f>
        <v>sales record</v>
      </c>
      <c r="AC6722" t="s">
        <v>3</v>
      </c>
      <c r="AD6722">
        <v>41.850525</v>
      </c>
      <c r="AE6722">
        <v>-88.142411</v>
      </c>
      <c r="AF6722" s="5" t="str">
        <f>HYPERLINK("https://www.google.com/maps/search/?api=1&amp;query=41.850525,-88.142411","map")</f>
        <v>map</v>
      </c>
    </row>
    <row r="6723" spans="1:32">
      <c r="A6723" t="s">
        <v>6773</v>
      </c>
      <c r="B6723" t="s">
        <v>14235</v>
      </c>
      <c r="C6723" t="s">
        <v>15426</v>
      </c>
      <c r="D6723" t="s">
        <v>16212</v>
      </c>
      <c r="E6723" t="s">
        <v>16218</v>
      </c>
      <c r="F6723" t="s">
        <v>16221</v>
      </c>
      <c r="G6723" t="s">
        <v>16250</v>
      </c>
      <c r="H6723" t="s">
        <v>16250</v>
      </c>
      <c r="I6723" t="s">
        <v>16377</v>
      </c>
      <c r="J6723" t="s">
        <v>16385</v>
      </c>
      <c r="K6723">
        <v>0.151</v>
      </c>
      <c r="L6723">
        <v>6571</v>
      </c>
      <c r="M6723">
        <v>809</v>
      </c>
      <c r="N6723" t="s">
        <v>16393</v>
      </c>
      <c r="O6723" s="4">
        <v>26253</v>
      </c>
      <c r="P6723" s="4">
        <v>89422</v>
      </c>
      <c r="Q6723" s="4">
        <v>115675</v>
      </c>
      <c r="R6723" s="4">
        <v>347025</v>
      </c>
      <c r="S6723" t="s">
        <v>22887</v>
      </c>
      <c r="T6723" s="6">
        <v>29768</v>
      </c>
      <c r="U6723" s="4">
        <v>60000</v>
      </c>
      <c r="X6723" t="s">
        <v>3</v>
      </c>
      <c r="AA6723" s="5" t="str">
        <f>HYPERLINK("https://www.zillow.com/homes/517-S-HALE-ST-WHEATON-IL-60187_rb/","check listing")</f>
        <v>check listing</v>
      </c>
      <c r="AB6723" s="5" t="str">
        <f>HYPERLINK("https://propertylookup.dupagecounty.gov/Datalets/Datalet.aspx?UseSearch=no&amp;mode=sales&amp;pin=0516334005","sales record")</f>
        <v>sales record</v>
      </c>
      <c r="AC6723" t="s">
        <v>3</v>
      </c>
      <c r="AD6723">
        <v>41.860284</v>
      </c>
      <c r="AE6723">
        <v>-88.10779700000001</v>
      </c>
      <c r="AF6723" s="5" t="str">
        <f>HYPERLINK("https://www.google.com/maps/search/?api=1&amp;query=41.860284,-88.107797","map")</f>
        <v>map</v>
      </c>
    </row>
    <row r="6724" spans="1:32">
      <c r="A6724" t="s">
        <v>6774</v>
      </c>
      <c r="B6724" t="s">
        <v>14236</v>
      </c>
      <c r="C6724" t="s">
        <v>16075</v>
      </c>
      <c r="D6724" t="s">
        <v>16212</v>
      </c>
      <c r="E6724" t="s">
        <v>16218</v>
      </c>
      <c r="F6724" t="s">
        <v>16221</v>
      </c>
      <c r="G6724" t="s">
        <v>16250</v>
      </c>
      <c r="H6724" t="s">
        <v>16250</v>
      </c>
      <c r="I6724" t="s">
        <v>16377</v>
      </c>
      <c r="J6724" t="s">
        <v>16385</v>
      </c>
      <c r="K6724">
        <v>0.151</v>
      </c>
      <c r="L6724">
        <v>6569</v>
      </c>
      <c r="M6724">
        <v>2804</v>
      </c>
      <c r="N6724" t="s">
        <v>16393</v>
      </c>
      <c r="O6724" s="4">
        <v>32144</v>
      </c>
      <c r="P6724" s="4">
        <v>141869</v>
      </c>
      <c r="Q6724" s="4">
        <v>174013</v>
      </c>
      <c r="R6724" s="4">
        <v>522039</v>
      </c>
      <c r="S6724" t="s">
        <v>22888</v>
      </c>
      <c r="T6724" s="6">
        <v>36708</v>
      </c>
      <c r="U6724" s="4">
        <v>285000</v>
      </c>
      <c r="V6724" t="s">
        <v>23739</v>
      </c>
      <c r="W6724" t="s">
        <v>27423</v>
      </c>
      <c r="X6724" t="s">
        <v>3</v>
      </c>
      <c r="AA6724" s="5" t="str">
        <f>HYPERLINK("https://www.zillow.com/homes/1480-S-COUNTY-FARM-RD-WHEATON-IL-60189_rb/","check listing")</f>
        <v>check listing</v>
      </c>
      <c r="AB6724" s="5" t="str">
        <f>HYPERLINK("https://propertylookup.dupagecounty.gov/Datalets/Datalet.aspx?UseSearch=no&amp;mode=sales&amp;pin=0519305044","sales record")</f>
        <v>sales record</v>
      </c>
      <c r="AC6724" t="s">
        <v>3</v>
      </c>
      <c r="AD6724">
        <v>41.849442</v>
      </c>
      <c r="AE6724">
        <v>-88.142371</v>
      </c>
      <c r="AF6724" s="5" t="str">
        <f>HYPERLINK("https://www.google.com/maps/search/?api=1&amp;query=41.849442,-88.142371","map")</f>
        <v>map</v>
      </c>
    </row>
    <row r="6725" spans="1:32">
      <c r="A6725" t="s">
        <v>6775</v>
      </c>
      <c r="B6725" t="s">
        <v>14237</v>
      </c>
      <c r="C6725" t="s">
        <v>15426</v>
      </c>
      <c r="D6725" t="s">
        <v>16212</v>
      </c>
      <c r="E6725" t="s">
        <v>16218</v>
      </c>
      <c r="F6725" t="s">
        <v>16221</v>
      </c>
      <c r="G6725" t="s">
        <v>16250</v>
      </c>
      <c r="H6725" t="s">
        <v>16250</v>
      </c>
      <c r="I6725" t="s">
        <v>16377</v>
      </c>
      <c r="J6725" t="s">
        <v>16385</v>
      </c>
      <c r="K6725">
        <v>0.151</v>
      </c>
      <c r="L6725">
        <v>6564</v>
      </c>
      <c r="M6725">
        <v>1385</v>
      </c>
      <c r="N6725" t="s">
        <v>16393</v>
      </c>
      <c r="O6725" s="4">
        <v>26241</v>
      </c>
      <c r="P6725" s="4">
        <v>90171</v>
      </c>
      <c r="Q6725" s="4">
        <v>116412</v>
      </c>
      <c r="R6725" s="4">
        <v>349236</v>
      </c>
      <c r="S6725" t="s">
        <v>22889</v>
      </c>
      <c r="T6725" s="6">
        <v>45443</v>
      </c>
      <c r="U6725" s="4">
        <v>365000</v>
      </c>
      <c r="V6725" t="s">
        <v>23739</v>
      </c>
      <c r="W6725" t="s">
        <v>27424</v>
      </c>
      <c r="X6725" t="s">
        <v>3</v>
      </c>
      <c r="AA6725" s="5" t="str">
        <f>HYPERLINK("https://www.zillow.com/homes/505-S-HALE-ST-WHEATON-IL-60187_rb/","check listing")</f>
        <v>check listing</v>
      </c>
      <c r="AB6725" s="5" t="str">
        <f>HYPERLINK("https://propertylookup.dupagecounty.gov/Datalets/Datalet.aspx?UseSearch=no&amp;mode=sales&amp;pin=0516334002","sales record")</f>
        <v>sales record</v>
      </c>
      <c r="AC6725" t="s">
        <v>3</v>
      </c>
      <c r="AD6725">
        <v>41.860694</v>
      </c>
      <c r="AE6725">
        <v>-88.107803</v>
      </c>
      <c r="AF6725" s="5" t="str">
        <f>HYPERLINK("https://www.google.com/maps/search/?api=1&amp;query=41.860694,-88.107803","map")</f>
        <v>map</v>
      </c>
    </row>
    <row r="6726" spans="1:32">
      <c r="A6726" t="s">
        <v>6776</v>
      </c>
      <c r="B6726" t="s">
        <v>14238</v>
      </c>
      <c r="C6726" t="s">
        <v>16097</v>
      </c>
      <c r="D6726" t="s">
        <v>16212</v>
      </c>
      <c r="E6726" t="s">
        <v>16218</v>
      </c>
      <c r="F6726" t="s">
        <v>16221</v>
      </c>
      <c r="G6726" t="s">
        <v>16250</v>
      </c>
      <c r="H6726" t="s">
        <v>16250</v>
      </c>
      <c r="I6726" t="s">
        <v>16377</v>
      </c>
      <c r="J6726" t="s">
        <v>16385</v>
      </c>
      <c r="K6726">
        <v>0.148</v>
      </c>
      <c r="L6726">
        <v>6427</v>
      </c>
      <c r="M6726">
        <v>1649</v>
      </c>
      <c r="N6726" t="s">
        <v>16393</v>
      </c>
      <c r="O6726" s="4">
        <v>25793</v>
      </c>
      <c r="P6726" s="4">
        <v>102972</v>
      </c>
      <c r="Q6726" s="4">
        <v>128765</v>
      </c>
      <c r="R6726" s="4">
        <v>386295</v>
      </c>
      <c r="S6726" t="s">
        <v>22890</v>
      </c>
      <c r="T6726" s="6">
        <v>42583</v>
      </c>
      <c r="U6726" s="4">
        <v>270000</v>
      </c>
      <c r="V6726" t="s">
        <v>23739</v>
      </c>
      <c r="W6726" t="s">
        <v>22890</v>
      </c>
      <c r="X6726" t="s">
        <v>3</v>
      </c>
      <c r="AA6726" s="5" t="str">
        <f>HYPERLINK("https://www.zillow.com/homes/402-CRESCENT-ST-WHEATON-IL-601875507_rb/","check listing")</f>
        <v>check listing</v>
      </c>
      <c r="AB6726" s="5" t="str">
        <f>HYPERLINK("https://propertylookup.dupagecounty.gov/Datalets/Datalet.aspx?UseSearch=no&amp;mode=sales&amp;pin=0516401002","sales record")</f>
        <v>sales record</v>
      </c>
      <c r="AC6726" t="s">
        <v>3</v>
      </c>
      <c r="AD6726">
        <v>41.865011</v>
      </c>
      <c r="AE6726">
        <v>-88.100758</v>
      </c>
      <c r="AF6726" s="5" t="str">
        <f>HYPERLINK("https://www.google.com/maps/search/?api=1&amp;query=41.865011,-88.100758","map")</f>
        <v>map</v>
      </c>
    </row>
    <row r="6727" spans="1:32">
      <c r="A6727" t="s">
        <v>6777</v>
      </c>
      <c r="B6727" t="s">
        <v>14239</v>
      </c>
      <c r="C6727" t="s">
        <v>16099</v>
      </c>
      <c r="D6727" t="s">
        <v>16212</v>
      </c>
      <c r="E6727" t="s">
        <v>16218</v>
      </c>
      <c r="F6727" t="s">
        <v>16221</v>
      </c>
      <c r="G6727" t="s">
        <v>16250</v>
      </c>
      <c r="H6727" t="s">
        <v>16250</v>
      </c>
      <c r="I6727" t="s">
        <v>16377</v>
      </c>
      <c r="J6727" t="s">
        <v>16385</v>
      </c>
      <c r="K6727">
        <v>0.144</v>
      </c>
      <c r="L6727">
        <v>6251</v>
      </c>
      <c r="M6727">
        <v>2640</v>
      </c>
      <c r="N6727" t="s">
        <v>16393</v>
      </c>
      <c r="O6727" s="4">
        <v>32144</v>
      </c>
      <c r="P6727" s="4">
        <v>145557</v>
      </c>
      <c r="Q6727" s="4">
        <v>177701</v>
      </c>
      <c r="R6727" s="4">
        <v>533103</v>
      </c>
      <c r="S6727" t="s">
        <v>22891</v>
      </c>
      <c r="T6727" s="6">
        <v>43525</v>
      </c>
      <c r="U6727" s="4">
        <v>420000</v>
      </c>
      <c r="V6727" t="s">
        <v>23739</v>
      </c>
      <c r="W6727" t="s">
        <v>27425</v>
      </c>
      <c r="X6727" t="s">
        <v>3</v>
      </c>
      <c r="AA6727" s="5" t="str">
        <f>HYPERLINK("https://www.zillow.com/homes/1460-S-COUNTY-FARM-RD-WHEATON-IL-601897133_rb/","check listing")</f>
        <v>check listing</v>
      </c>
      <c r="AB6727" s="5" t="str">
        <f>HYPERLINK("https://propertylookup.dupagecounty.gov/Datalets/Datalet.aspx?UseSearch=no&amp;mode=sales&amp;pin=0519305042","sales record")</f>
        <v>sales record</v>
      </c>
      <c r="AC6727" t="s">
        <v>3</v>
      </c>
      <c r="AD6727">
        <v>41.84976</v>
      </c>
      <c r="AE6727">
        <v>-88.14231700000001</v>
      </c>
      <c r="AF6727" s="5" t="str">
        <f>HYPERLINK("https://www.google.com/maps/search/?api=1&amp;query=41.84976,-88.142317","map")</f>
        <v>map</v>
      </c>
    </row>
    <row r="6728" spans="1:32">
      <c r="A6728" t="s">
        <v>6778</v>
      </c>
      <c r="B6728" t="s">
        <v>14240</v>
      </c>
      <c r="C6728" t="s">
        <v>16088</v>
      </c>
      <c r="D6728" t="s">
        <v>16212</v>
      </c>
      <c r="E6728" t="s">
        <v>16218</v>
      </c>
      <c r="F6728" t="s">
        <v>16221</v>
      </c>
      <c r="G6728" t="s">
        <v>16250</v>
      </c>
      <c r="H6728" t="s">
        <v>16250</v>
      </c>
      <c r="I6728" t="s">
        <v>16377</v>
      </c>
      <c r="J6728" t="s">
        <v>16385</v>
      </c>
      <c r="K6728">
        <v>0.142</v>
      </c>
      <c r="L6728">
        <v>6179</v>
      </c>
      <c r="M6728">
        <v>2200</v>
      </c>
      <c r="N6728" t="s">
        <v>16393</v>
      </c>
      <c r="O6728" s="4">
        <v>39674</v>
      </c>
      <c r="P6728" s="4">
        <v>151507</v>
      </c>
      <c r="Q6728" s="4">
        <v>191181</v>
      </c>
      <c r="R6728" s="4">
        <v>573543</v>
      </c>
      <c r="S6728" t="s">
        <v>22892</v>
      </c>
      <c r="T6728" s="6">
        <v>44013</v>
      </c>
      <c r="U6728" s="4">
        <v>432000</v>
      </c>
      <c r="V6728" t="s">
        <v>23739</v>
      </c>
      <c r="W6728" t="s">
        <v>27426</v>
      </c>
      <c r="X6728" t="s">
        <v>3</v>
      </c>
      <c r="AA6728" s="5" t="str">
        <f>HYPERLINK("https://www.zillow.com/homes/1421-BELLEAU-WOODS-CT-WHEATON-IL-601897172_rb/","check listing")</f>
        <v>check listing</v>
      </c>
      <c r="AB6728" s="5" t="str">
        <f>HYPERLINK("https://propertylookup.dupagecounty.gov/Datalets/Datalet.aspx?UseSearch=no&amp;mode=sales&amp;pin=0519305031","sales record")</f>
        <v>sales record</v>
      </c>
      <c r="AC6728" t="s">
        <v>3</v>
      </c>
      <c r="AD6728">
        <v>41.849868</v>
      </c>
      <c r="AE6728">
        <v>-88.14270500000001</v>
      </c>
      <c r="AF6728" s="5" t="str">
        <f>HYPERLINK("https://www.google.com/maps/search/?api=1&amp;query=41.849868,-88.142705","map")</f>
        <v>map</v>
      </c>
    </row>
    <row r="6729" spans="1:32">
      <c r="A6729" t="s">
        <v>6779</v>
      </c>
      <c r="B6729" t="s">
        <v>14241</v>
      </c>
      <c r="C6729" t="s">
        <v>15426</v>
      </c>
      <c r="D6729" t="s">
        <v>16212</v>
      </c>
      <c r="E6729" t="s">
        <v>16218</v>
      </c>
      <c r="F6729" t="s">
        <v>16221</v>
      </c>
      <c r="G6729" t="s">
        <v>16250</v>
      </c>
      <c r="H6729" t="s">
        <v>16250</v>
      </c>
      <c r="I6729" t="s">
        <v>16377</v>
      </c>
      <c r="J6729" t="s">
        <v>16385</v>
      </c>
      <c r="K6729">
        <v>0.14</v>
      </c>
      <c r="L6729">
        <v>6099</v>
      </c>
      <c r="M6729">
        <v>2011</v>
      </c>
      <c r="N6729" t="s">
        <v>16393</v>
      </c>
      <c r="O6729" s="4">
        <v>24474</v>
      </c>
      <c r="P6729" s="4">
        <v>70687</v>
      </c>
      <c r="Q6729" s="4">
        <v>95161</v>
      </c>
      <c r="R6729" s="4">
        <v>285483</v>
      </c>
      <c r="S6729" t="s">
        <v>22893</v>
      </c>
      <c r="X6729" t="s">
        <v>3</v>
      </c>
      <c r="AA6729" s="5" t="str">
        <f>HYPERLINK("https://www.zillow.com/homes/400-CRESCENT-ST-WHEATON-IL-60187_rb/","check listing")</f>
        <v>check listing</v>
      </c>
      <c r="AB6729" s="5" t="str">
        <f>HYPERLINK("https://propertylookup.dupagecounty.gov/Datalets/Datalet.aspx?UseSearch=no&amp;mode=sales&amp;pin=0516401001","sales record")</f>
        <v>sales record</v>
      </c>
      <c r="AC6729" t="s">
        <v>3</v>
      </c>
      <c r="AD6729">
        <v>41.864981</v>
      </c>
      <c r="AE6729">
        <v>-88.100942</v>
      </c>
      <c r="AF6729" s="5" t="str">
        <f>HYPERLINK("https://www.google.com/maps/search/?api=1&amp;query=41.864981,-88.100942","map")</f>
        <v>map</v>
      </c>
    </row>
    <row r="6730" spans="1:32">
      <c r="A6730" t="s">
        <v>6780</v>
      </c>
      <c r="B6730" t="s">
        <v>14242</v>
      </c>
      <c r="C6730" t="s">
        <v>15426</v>
      </c>
      <c r="D6730" t="s">
        <v>16212</v>
      </c>
      <c r="E6730" t="s">
        <v>16218</v>
      </c>
      <c r="F6730" t="s">
        <v>16221</v>
      </c>
      <c r="G6730" t="s">
        <v>16250</v>
      </c>
      <c r="H6730" t="s">
        <v>16250</v>
      </c>
      <c r="I6730" t="s">
        <v>16377</v>
      </c>
      <c r="J6730" t="s">
        <v>16385</v>
      </c>
      <c r="K6730">
        <v>0.129</v>
      </c>
      <c r="L6730">
        <v>5635</v>
      </c>
      <c r="M6730">
        <v>876</v>
      </c>
      <c r="N6730" t="s">
        <v>16393</v>
      </c>
      <c r="O6730" s="4">
        <v>22600</v>
      </c>
      <c r="P6730" s="4">
        <v>123758</v>
      </c>
      <c r="Q6730" s="4">
        <v>146358</v>
      </c>
      <c r="R6730" s="4">
        <v>439074</v>
      </c>
      <c r="S6730" t="s">
        <v>22894</v>
      </c>
      <c r="T6730" s="6">
        <v>40725</v>
      </c>
      <c r="U6730" s="4">
        <v>290000</v>
      </c>
      <c r="V6730" t="s">
        <v>23739</v>
      </c>
      <c r="W6730" t="s">
        <v>27427</v>
      </c>
      <c r="X6730" t="s">
        <v>3</v>
      </c>
      <c r="AA6730" s="5" t="str">
        <f>HYPERLINK("https://www.zillow.com/homes/205-W-INDIANA-ST-WHEATON-IL-60187_rb/","check listing")</f>
        <v>check listing</v>
      </c>
      <c r="AB6730" s="5" t="str">
        <f>HYPERLINK("https://propertylookup.dupagecounty.gov/Datalets/Datalet.aspx?UseSearch=no&amp;mode=sales&amp;pin=0516328015","sales record")</f>
        <v>sales record</v>
      </c>
      <c r="AC6730" t="s">
        <v>27873</v>
      </c>
      <c r="AD6730">
        <v>41.86114</v>
      </c>
      <c r="AE6730">
        <v>-88.108591</v>
      </c>
      <c r="AF6730" s="5" t="str">
        <f>HYPERLINK("https://www.google.com/maps/search/?api=1&amp;query=41.86114,-88.108591","map")</f>
        <v>map</v>
      </c>
    </row>
    <row r="6731" spans="1:32">
      <c r="A6731" t="s">
        <v>6781</v>
      </c>
      <c r="B6731" t="s">
        <v>14243</v>
      </c>
      <c r="C6731" t="s">
        <v>16075</v>
      </c>
      <c r="D6731" t="s">
        <v>16212</v>
      </c>
      <c r="E6731" t="s">
        <v>16218</v>
      </c>
      <c r="F6731" t="s">
        <v>16221</v>
      </c>
      <c r="G6731" t="s">
        <v>16250</v>
      </c>
      <c r="H6731" t="s">
        <v>16250</v>
      </c>
      <c r="I6731" t="s">
        <v>16377</v>
      </c>
      <c r="J6731" t="s">
        <v>16385</v>
      </c>
      <c r="K6731">
        <v>0.129</v>
      </c>
      <c r="L6731">
        <v>5605</v>
      </c>
      <c r="M6731">
        <v>2058</v>
      </c>
      <c r="N6731" t="s">
        <v>16393</v>
      </c>
      <c r="O6731" s="4">
        <v>39674</v>
      </c>
      <c r="P6731" s="4">
        <v>150470</v>
      </c>
      <c r="Q6731" s="4">
        <v>190144</v>
      </c>
      <c r="R6731" s="4">
        <v>570432</v>
      </c>
      <c r="S6731" t="s">
        <v>22895</v>
      </c>
      <c r="T6731" s="6">
        <v>41153</v>
      </c>
      <c r="U6731" s="4">
        <v>400000</v>
      </c>
      <c r="V6731" t="s">
        <v>23739</v>
      </c>
      <c r="W6731" t="s">
        <v>22895</v>
      </c>
      <c r="X6731" t="s">
        <v>3</v>
      </c>
      <c r="AA6731" s="5" t="str">
        <f>HYPERLINK("https://www.zillow.com/homes/2129-BELLEAU-WOODS-CT-WHEATON-IL-60189_rb/","check listing")</f>
        <v>check listing</v>
      </c>
      <c r="AB6731" s="5" t="str">
        <f>HYPERLINK("https://propertylookup.dupagecounty.gov/Datalets/Datalet.aspx?UseSearch=no&amp;mode=sales&amp;pin=0519101016","sales record")</f>
        <v>sales record</v>
      </c>
      <c r="AC6731" t="s">
        <v>3</v>
      </c>
      <c r="AD6731">
        <v>41.851017</v>
      </c>
      <c r="AE6731">
        <v>-88.14279999999999</v>
      </c>
      <c r="AF6731" s="5" t="str">
        <f>HYPERLINK("https://www.google.com/maps/search/?api=1&amp;query=41.851017,-88.1428","map")</f>
        <v>map</v>
      </c>
    </row>
    <row r="6732" spans="1:32">
      <c r="A6732" t="s">
        <v>6782</v>
      </c>
      <c r="B6732" t="s">
        <v>14244</v>
      </c>
      <c r="C6732" t="s">
        <v>16075</v>
      </c>
      <c r="D6732" t="s">
        <v>16212</v>
      </c>
      <c r="E6732" t="s">
        <v>16218</v>
      </c>
      <c r="F6732" t="s">
        <v>16221</v>
      </c>
      <c r="G6732" t="s">
        <v>16250</v>
      </c>
      <c r="H6732" t="s">
        <v>16250</v>
      </c>
      <c r="I6732" t="s">
        <v>16377</v>
      </c>
      <c r="J6732" t="s">
        <v>16385</v>
      </c>
      <c r="K6732">
        <v>0.129</v>
      </c>
      <c r="L6732">
        <v>5605</v>
      </c>
      <c r="M6732">
        <v>2631</v>
      </c>
      <c r="N6732" t="s">
        <v>16393</v>
      </c>
      <c r="O6732" s="4">
        <v>39674</v>
      </c>
      <c r="P6732" s="4">
        <v>151848</v>
      </c>
      <c r="Q6732" s="4">
        <v>191522</v>
      </c>
      <c r="R6732" s="4">
        <v>574566</v>
      </c>
      <c r="S6732" t="s">
        <v>22896</v>
      </c>
      <c r="T6732" s="6">
        <v>38292</v>
      </c>
      <c r="U6732" s="4">
        <v>402000</v>
      </c>
      <c r="V6732" t="s">
        <v>23739</v>
      </c>
      <c r="W6732" t="s">
        <v>22896</v>
      </c>
      <c r="X6732" t="s">
        <v>3</v>
      </c>
      <c r="AA6732" s="5" t="str">
        <f>HYPERLINK("https://www.zillow.com/homes/2133-BELLEAU-WOODS-CT-WHEATON-IL-60189_rb/","check listing")</f>
        <v>check listing</v>
      </c>
      <c r="AB6732" s="5" t="str">
        <f>HYPERLINK("https://propertylookup.dupagecounty.gov/Datalets/Datalet.aspx?UseSearch=no&amp;mode=sales&amp;pin=0519101015","sales record")</f>
        <v>sales record</v>
      </c>
      <c r="AC6732" t="s">
        <v>3</v>
      </c>
      <c r="AD6732">
        <v>41.850999</v>
      </c>
      <c r="AE6732">
        <v>-88.143</v>
      </c>
      <c r="AF6732" s="5" t="str">
        <f>HYPERLINK("https://www.google.com/maps/search/?api=1&amp;query=41.850999,-88.143","map")</f>
        <v>map</v>
      </c>
    </row>
    <row r="6733" spans="1:32">
      <c r="A6733" t="s">
        <v>6783</v>
      </c>
      <c r="B6733" t="s">
        <v>14245</v>
      </c>
      <c r="C6733" t="s">
        <v>16100</v>
      </c>
      <c r="D6733" t="s">
        <v>16212</v>
      </c>
      <c r="E6733" t="s">
        <v>16218</v>
      </c>
      <c r="F6733" t="s">
        <v>16221</v>
      </c>
      <c r="G6733" t="s">
        <v>16250</v>
      </c>
      <c r="H6733" t="s">
        <v>16250</v>
      </c>
      <c r="I6733" t="s">
        <v>16377</v>
      </c>
      <c r="J6733" t="s">
        <v>16385</v>
      </c>
      <c r="K6733">
        <v>0.121</v>
      </c>
      <c r="L6733">
        <v>5274</v>
      </c>
      <c r="M6733">
        <v>2996</v>
      </c>
      <c r="N6733" t="s">
        <v>16393</v>
      </c>
      <c r="O6733" s="4">
        <v>21139</v>
      </c>
      <c r="P6733" s="4">
        <v>124854</v>
      </c>
      <c r="Q6733" s="4">
        <v>145993</v>
      </c>
      <c r="R6733" s="4">
        <v>437979</v>
      </c>
      <c r="S6733" t="s">
        <v>22897</v>
      </c>
      <c r="T6733" s="6">
        <v>37681</v>
      </c>
      <c r="U6733" s="4">
        <v>225000</v>
      </c>
      <c r="V6733" t="s">
        <v>23739</v>
      </c>
      <c r="W6733" t="s">
        <v>22897</v>
      </c>
      <c r="X6733" t="s">
        <v>3</v>
      </c>
      <c r="AA6733" s="5" t="str">
        <f>HYPERLINK("https://www.zillow.com/homes/211-W-INDIANA-ST-WHEATON-IL-601875205_rb/","check listing")</f>
        <v>check listing</v>
      </c>
      <c r="AB6733" s="5" t="str">
        <f>HYPERLINK("https://propertylookup.dupagecounty.gov/Datalets/Datalet.aspx?UseSearch=no&amp;mode=sales&amp;pin=0516328014","sales record")</f>
        <v>sales record</v>
      </c>
      <c r="AC6733" t="s">
        <v>27873</v>
      </c>
      <c r="AD6733">
        <v>41.861205</v>
      </c>
      <c r="AE6733">
        <v>-88.108783</v>
      </c>
      <c r="AF6733" s="5" t="str">
        <f>HYPERLINK("https://www.google.com/maps/search/?api=1&amp;query=41.861205,-88.108783","map")</f>
        <v>map</v>
      </c>
    </row>
    <row r="6734" spans="1:32">
      <c r="A6734" t="s">
        <v>6784</v>
      </c>
      <c r="B6734" t="s">
        <v>14246</v>
      </c>
      <c r="C6734" t="s">
        <v>15426</v>
      </c>
      <c r="D6734" t="s">
        <v>16212</v>
      </c>
      <c r="E6734" t="s">
        <v>16218</v>
      </c>
      <c r="F6734" t="s">
        <v>16221</v>
      </c>
      <c r="G6734" t="s">
        <v>16250</v>
      </c>
      <c r="H6734" t="s">
        <v>16250</v>
      </c>
      <c r="I6734" t="s">
        <v>16377</v>
      </c>
      <c r="J6734" t="s">
        <v>16385</v>
      </c>
      <c r="K6734">
        <v>0.121</v>
      </c>
      <c r="L6734">
        <v>5262</v>
      </c>
      <c r="M6734">
        <v>2317</v>
      </c>
      <c r="N6734" t="s">
        <v>16393</v>
      </c>
      <c r="O6734" s="4">
        <v>20903</v>
      </c>
      <c r="P6734" s="4">
        <v>113471</v>
      </c>
      <c r="Q6734" s="4">
        <v>134374</v>
      </c>
      <c r="R6734" s="4">
        <v>403122</v>
      </c>
      <c r="S6734" t="s">
        <v>22898</v>
      </c>
      <c r="T6734" s="6">
        <v>41061</v>
      </c>
      <c r="U6734" s="4">
        <v>254000</v>
      </c>
      <c r="V6734" t="s">
        <v>23739</v>
      </c>
      <c r="W6734" t="s">
        <v>27428</v>
      </c>
      <c r="X6734" t="s">
        <v>3</v>
      </c>
      <c r="AA6734" s="5" t="str">
        <f>HYPERLINK("https://www.zillow.com/homes/917-WHEATON-OAKS-DR-WHEATON-IL-60187_rb/","check listing")</f>
        <v>check listing</v>
      </c>
      <c r="AB6734" s="5" t="str">
        <f>HYPERLINK("https://propertylookup.dupagecounty.gov/Datalets/Datalet.aspx?UseSearch=no&amp;mode=sales&amp;pin=0508421003","sales record")</f>
        <v>sales record</v>
      </c>
      <c r="AC6734" t="s">
        <v>27873</v>
      </c>
      <c r="AD6734">
        <v>41.877262</v>
      </c>
      <c r="AE6734">
        <v>-88.120334</v>
      </c>
      <c r="AF6734" s="5" t="str">
        <f>HYPERLINK("https://www.google.com/maps/search/?api=1&amp;query=41.877262,-88.120334","map")</f>
        <v>map</v>
      </c>
    </row>
    <row r="6735" spans="1:32">
      <c r="A6735" t="s">
        <v>6785</v>
      </c>
      <c r="B6735" t="s">
        <v>14247</v>
      </c>
      <c r="C6735" t="s">
        <v>16101</v>
      </c>
      <c r="D6735" t="s">
        <v>16212</v>
      </c>
      <c r="E6735" t="s">
        <v>16218</v>
      </c>
      <c r="F6735" t="s">
        <v>16221</v>
      </c>
      <c r="G6735" t="s">
        <v>16250</v>
      </c>
      <c r="H6735" t="s">
        <v>16250</v>
      </c>
      <c r="I6735" t="s">
        <v>16377</v>
      </c>
      <c r="J6735" t="s">
        <v>16385</v>
      </c>
      <c r="K6735">
        <v>0.12</v>
      </c>
      <c r="L6735">
        <v>5237</v>
      </c>
      <c r="M6735">
        <v>1716</v>
      </c>
      <c r="N6735" t="s">
        <v>16393</v>
      </c>
      <c r="O6735" s="4">
        <v>21010</v>
      </c>
      <c r="P6735" s="4">
        <v>109618</v>
      </c>
      <c r="Q6735" s="4">
        <v>130628</v>
      </c>
      <c r="R6735" s="4">
        <v>391884</v>
      </c>
      <c r="S6735" t="s">
        <v>22899</v>
      </c>
      <c r="T6735" s="6">
        <v>34943</v>
      </c>
      <c r="U6735" s="4">
        <v>165000</v>
      </c>
      <c r="X6735" t="s">
        <v>3</v>
      </c>
      <c r="AA6735" s="5" t="str">
        <f>HYPERLINK("https://www.zillow.com/homes/208-W-INDIANA-ST-WHEATON-IL-601875206_rb/","check listing")</f>
        <v>check listing</v>
      </c>
      <c r="AB6735" s="5" t="str">
        <f>HYPERLINK("https://propertylookup.dupagecounty.gov/Datalets/Datalet.aspx?UseSearch=no&amp;mode=sales&amp;pin=0516333006","sales record")</f>
        <v>sales record</v>
      </c>
      <c r="AC6735" t="s">
        <v>3</v>
      </c>
      <c r="AD6735">
        <v>41.860738</v>
      </c>
      <c r="AE6735">
        <v>-88.10858</v>
      </c>
      <c r="AF6735" s="5" t="str">
        <f>HYPERLINK("https://www.google.com/maps/search/?api=1&amp;query=41.860738,-88.10858","map")</f>
        <v>map</v>
      </c>
    </row>
    <row r="6736" spans="1:32">
      <c r="A6736" t="s">
        <v>6786</v>
      </c>
      <c r="B6736" t="s">
        <v>14248</v>
      </c>
      <c r="C6736" t="s">
        <v>15426</v>
      </c>
      <c r="D6736" t="s">
        <v>16212</v>
      </c>
      <c r="E6736" t="s">
        <v>16218</v>
      </c>
      <c r="F6736" t="s">
        <v>16221</v>
      </c>
      <c r="G6736" t="s">
        <v>16250</v>
      </c>
      <c r="H6736" t="s">
        <v>16250</v>
      </c>
      <c r="I6736" t="s">
        <v>16377</v>
      </c>
      <c r="J6736" t="s">
        <v>16385</v>
      </c>
      <c r="K6736">
        <v>0.114</v>
      </c>
      <c r="L6736">
        <v>4979</v>
      </c>
      <c r="M6736">
        <v>1625</v>
      </c>
      <c r="N6736" t="s">
        <v>16393</v>
      </c>
      <c r="O6736" s="4">
        <v>19831</v>
      </c>
      <c r="P6736" s="4">
        <v>84155</v>
      </c>
      <c r="Q6736" s="4">
        <v>103986</v>
      </c>
      <c r="R6736" s="4">
        <v>311958</v>
      </c>
      <c r="S6736" t="s">
        <v>22900</v>
      </c>
      <c r="T6736" s="6">
        <v>34639</v>
      </c>
      <c r="U6736" s="4">
        <v>110000</v>
      </c>
      <c r="X6736" t="s">
        <v>3</v>
      </c>
      <c r="AA6736" s="5" t="str">
        <f>HYPERLINK("https://www.zillow.com/homes/114-W-INDIANA-ST-WHEATON-IL-60187_rb/","check listing")</f>
        <v>check listing</v>
      </c>
      <c r="AB6736" s="5" t="str">
        <f>HYPERLINK("https://propertylookup.dupagecounty.gov/Datalets/Datalet.aspx?UseSearch=no&amp;mode=sales&amp;pin=0516334007","sales record")</f>
        <v>sales record</v>
      </c>
      <c r="AC6736" t="s">
        <v>3</v>
      </c>
      <c r="AD6736">
        <v>41.860834</v>
      </c>
      <c r="AE6736">
        <v>-88.107471</v>
      </c>
      <c r="AF6736" s="5" t="str">
        <f>HYPERLINK("https://www.google.com/maps/search/?api=1&amp;query=41.860834,-88.107471","map")</f>
        <v>map</v>
      </c>
    </row>
    <row r="6737" spans="1:32">
      <c r="A6737" t="s">
        <v>6787</v>
      </c>
      <c r="B6737" t="s">
        <v>14249</v>
      </c>
      <c r="C6737" t="s">
        <v>15426</v>
      </c>
      <c r="D6737" t="s">
        <v>16212</v>
      </c>
      <c r="E6737" t="s">
        <v>16218</v>
      </c>
      <c r="F6737" t="s">
        <v>16221</v>
      </c>
      <c r="G6737" t="s">
        <v>16250</v>
      </c>
      <c r="H6737" t="s">
        <v>16250</v>
      </c>
      <c r="I6737" t="s">
        <v>16377</v>
      </c>
      <c r="J6737" t="s">
        <v>16385</v>
      </c>
      <c r="K6737">
        <v>0.113</v>
      </c>
      <c r="L6737">
        <v>4940</v>
      </c>
      <c r="M6737">
        <v>792</v>
      </c>
      <c r="N6737" t="s">
        <v>16393</v>
      </c>
      <c r="O6737" s="4">
        <v>20903</v>
      </c>
      <c r="P6737" s="4">
        <v>119009</v>
      </c>
      <c r="Q6737" s="4">
        <v>139912</v>
      </c>
      <c r="R6737" s="4">
        <v>419736</v>
      </c>
      <c r="S6737" t="s">
        <v>22901</v>
      </c>
      <c r="T6737" s="6">
        <v>44833</v>
      </c>
      <c r="U6737" s="4">
        <v>350000</v>
      </c>
      <c r="V6737" t="s">
        <v>23741</v>
      </c>
      <c r="W6737" t="s">
        <v>27429</v>
      </c>
      <c r="X6737" t="s">
        <v>3</v>
      </c>
      <c r="AA6737" s="5" t="str">
        <f>HYPERLINK("https://www.zillow.com/homes/925-WHEATON-OAKS-DR-WHEATON-IL-60187_rb/","check listing")</f>
        <v>check listing</v>
      </c>
      <c r="AB6737" s="5" t="str">
        <f>HYPERLINK("https://propertylookup.dupagecounty.gov/Datalets/Datalet.aspx?UseSearch=no&amp;mode=sales&amp;pin=0508421001","sales record")</f>
        <v>sales record</v>
      </c>
      <c r="AC6737" t="s">
        <v>3</v>
      </c>
      <c r="AD6737">
        <v>41.877452</v>
      </c>
      <c r="AE6737">
        <v>-88.12034</v>
      </c>
      <c r="AF6737" s="5" t="str">
        <f>HYPERLINK("https://www.google.com/maps/search/?api=1&amp;query=41.877452,-88.12034","map")</f>
        <v>map</v>
      </c>
    </row>
    <row r="6738" spans="1:32">
      <c r="A6738" t="s">
        <v>6788</v>
      </c>
      <c r="B6738" t="s">
        <v>14250</v>
      </c>
      <c r="C6738" t="s">
        <v>15426</v>
      </c>
      <c r="D6738" t="s">
        <v>16212</v>
      </c>
      <c r="E6738" t="s">
        <v>16218</v>
      </c>
      <c r="F6738" t="s">
        <v>16221</v>
      </c>
      <c r="G6738" t="s">
        <v>16250</v>
      </c>
      <c r="H6738" t="s">
        <v>16250</v>
      </c>
      <c r="I6738" t="s">
        <v>16377</v>
      </c>
      <c r="J6738" t="s">
        <v>16385</v>
      </c>
      <c r="K6738">
        <v>0.113</v>
      </c>
      <c r="L6738">
        <v>4911</v>
      </c>
      <c r="N6738" t="s">
        <v>16393</v>
      </c>
      <c r="O6738" s="4">
        <v>33028</v>
      </c>
      <c r="P6738" s="4">
        <v>142057</v>
      </c>
      <c r="Q6738" s="4">
        <v>175085</v>
      </c>
      <c r="R6738" s="4">
        <v>525255</v>
      </c>
      <c r="S6738" t="s">
        <v>22902</v>
      </c>
      <c r="T6738" s="6">
        <v>42491</v>
      </c>
      <c r="U6738" s="4">
        <v>506865</v>
      </c>
      <c r="V6738" t="s">
        <v>23739</v>
      </c>
      <c r="W6738" t="s">
        <v>27430</v>
      </c>
      <c r="X6738" t="s">
        <v>3</v>
      </c>
      <c r="AA6738" s="5" t="str">
        <f>HYPERLINK("https://www.zillow.com/homes/1331-AVERY-AVE-WHEATON-IL-60187_rb/","check listing")</f>
        <v>check listing</v>
      </c>
      <c r="AB6738" s="5" t="str">
        <f>HYPERLINK("https://propertylookup.dupagecounty.gov/Datalets/Datalet.aspx?UseSearch=no&amp;mode=sales&amp;pin=0515119090","sales record")</f>
        <v>sales record</v>
      </c>
      <c r="AC6738" t="s">
        <v>3</v>
      </c>
      <c r="AD6738">
        <v>41.86779</v>
      </c>
      <c r="AE6738">
        <v>-88.08703199999999</v>
      </c>
      <c r="AF6738" s="5" t="str">
        <f>HYPERLINK("https://www.google.com/maps/search/?api=1&amp;query=41.86779,-88.087032","map")</f>
        <v>map</v>
      </c>
    </row>
    <row r="6739" spans="1:32">
      <c r="A6739" t="s">
        <v>6789</v>
      </c>
      <c r="B6739" t="s">
        <v>14251</v>
      </c>
      <c r="C6739" t="s">
        <v>15426</v>
      </c>
      <c r="D6739" t="s">
        <v>16212</v>
      </c>
      <c r="E6739" t="s">
        <v>16218</v>
      </c>
      <c r="F6739" t="s">
        <v>16221</v>
      </c>
      <c r="G6739" t="s">
        <v>16250</v>
      </c>
      <c r="H6739" t="s">
        <v>16250</v>
      </c>
      <c r="I6739" t="s">
        <v>16377</v>
      </c>
      <c r="J6739" t="s">
        <v>16385</v>
      </c>
      <c r="K6739">
        <v>0.112</v>
      </c>
      <c r="L6739">
        <v>4876</v>
      </c>
      <c r="M6739">
        <v>693</v>
      </c>
      <c r="N6739" t="s">
        <v>16393</v>
      </c>
      <c r="O6739" s="4">
        <v>19560</v>
      </c>
      <c r="P6739" s="4">
        <v>82081</v>
      </c>
      <c r="Q6739" s="4">
        <v>101641</v>
      </c>
      <c r="R6739" s="4">
        <v>304923</v>
      </c>
      <c r="S6739" t="s">
        <v>22903</v>
      </c>
      <c r="T6739" s="6">
        <v>42826</v>
      </c>
      <c r="U6739" s="4">
        <v>233000</v>
      </c>
      <c r="V6739" t="s">
        <v>23739</v>
      </c>
      <c r="W6739" t="s">
        <v>22903</v>
      </c>
      <c r="X6739" t="s">
        <v>3</v>
      </c>
      <c r="AA6739" s="5" t="str">
        <f>HYPERLINK("https://www.zillow.com/homes/319-W-INDIANA-ST-WHEATON-IL-60187_rb/","check listing")</f>
        <v>check listing</v>
      </c>
      <c r="AB6739" s="5" t="str">
        <f>HYPERLINK("https://propertylookup.dupagecounty.gov/Datalets/Datalet.aspx?UseSearch=no&amp;mode=sales&amp;pin=0516327009","sales record")</f>
        <v>sales record</v>
      </c>
      <c r="AC6739" t="s">
        <v>3</v>
      </c>
      <c r="AD6739">
        <v>41.861189</v>
      </c>
      <c r="AE6739">
        <v>-88.110827</v>
      </c>
      <c r="AF6739" s="5" t="str">
        <f>HYPERLINK("https://www.google.com/maps/search/?api=1&amp;query=41.861189,-88.110827","map")</f>
        <v>map</v>
      </c>
    </row>
    <row r="6740" spans="1:32">
      <c r="A6740" t="s">
        <v>6790</v>
      </c>
      <c r="B6740" t="s">
        <v>14252</v>
      </c>
      <c r="C6740" t="s">
        <v>16102</v>
      </c>
      <c r="D6740" t="s">
        <v>16212</v>
      </c>
      <c r="E6740" t="s">
        <v>16218</v>
      </c>
      <c r="F6740" t="s">
        <v>16221</v>
      </c>
      <c r="G6740" t="s">
        <v>16250</v>
      </c>
      <c r="H6740" t="s">
        <v>16250</v>
      </c>
      <c r="I6740" t="s">
        <v>16377</v>
      </c>
      <c r="J6740" t="s">
        <v>16385</v>
      </c>
      <c r="K6740">
        <v>0.105</v>
      </c>
      <c r="L6740">
        <v>4577</v>
      </c>
      <c r="M6740">
        <v>1386</v>
      </c>
      <c r="N6740" t="s">
        <v>16393</v>
      </c>
      <c r="O6740" s="4">
        <v>18123</v>
      </c>
      <c r="P6740" s="4">
        <v>114673</v>
      </c>
      <c r="Q6740" s="4">
        <v>132796</v>
      </c>
      <c r="R6740" s="4">
        <v>398388</v>
      </c>
      <c r="S6740" t="s">
        <v>22904</v>
      </c>
      <c r="T6740" s="6">
        <v>43922</v>
      </c>
      <c r="U6740" s="4">
        <v>322000</v>
      </c>
      <c r="V6740" t="s">
        <v>23739</v>
      </c>
      <c r="W6740" t="s">
        <v>27431</v>
      </c>
      <c r="X6740" t="s">
        <v>3</v>
      </c>
      <c r="AA6740" s="5" t="str">
        <f>HYPERLINK("https://www.zillow.com/homes/429-S-WEST-ST-WHEATON-IL-601875033_rb/","check listing")</f>
        <v>check listing</v>
      </c>
      <c r="AB6740" s="5" t="str">
        <f>HYPERLINK("https://propertylookup.dupagecounty.gov/Datalets/Datalet.aspx?UseSearch=no&amp;mode=sales&amp;pin=0516327007","sales record")</f>
        <v>sales record</v>
      </c>
      <c r="AC6740" t="s">
        <v>3</v>
      </c>
      <c r="AD6740">
        <v>41.861186</v>
      </c>
      <c r="AE6740">
        <v>-88.111137</v>
      </c>
      <c r="AF6740" s="5" t="str">
        <f>HYPERLINK("https://www.google.com/maps/search/?api=1&amp;query=41.861186,-88.111137","map")</f>
        <v>map</v>
      </c>
    </row>
    <row r="6741" spans="1:32">
      <c r="A6741" t="s">
        <v>6791</v>
      </c>
      <c r="B6741" t="s">
        <v>14253</v>
      </c>
      <c r="C6741" t="s">
        <v>15426</v>
      </c>
      <c r="D6741" t="s">
        <v>16212</v>
      </c>
      <c r="E6741" t="s">
        <v>16218</v>
      </c>
      <c r="F6741" t="s">
        <v>16221</v>
      </c>
      <c r="G6741" t="s">
        <v>16250</v>
      </c>
      <c r="H6741" t="s">
        <v>16250</v>
      </c>
      <c r="I6741" t="s">
        <v>16377</v>
      </c>
      <c r="J6741" t="s">
        <v>16385</v>
      </c>
      <c r="K6741">
        <v>0.104</v>
      </c>
      <c r="L6741">
        <v>4523</v>
      </c>
      <c r="M6741">
        <v>1256</v>
      </c>
      <c r="N6741" t="s">
        <v>16393</v>
      </c>
      <c r="O6741" s="4">
        <v>18157</v>
      </c>
      <c r="P6741" s="4">
        <v>131983</v>
      </c>
      <c r="Q6741" s="4">
        <v>150140</v>
      </c>
      <c r="R6741" s="4">
        <v>450420</v>
      </c>
      <c r="S6741" t="s">
        <v>22905</v>
      </c>
      <c r="T6741" s="6">
        <v>40238</v>
      </c>
      <c r="U6741" s="4">
        <v>313135</v>
      </c>
      <c r="V6741" t="s">
        <v>23739</v>
      </c>
      <c r="W6741" t="s">
        <v>27432</v>
      </c>
      <c r="X6741" t="s">
        <v>3</v>
      </c>
      <c r="AA6741" s="5" t="str">
        <f>HYPERLINK("https://www.zillow.com/homes/433-S-WEST-ST-WHEATON-IL-60187_rb/","check listing")</f>
        <v>check listing</v>
      </c>
      <c r="AB6741" s="5" t="str">
        <f>HYPERLINK("https://propertylookup.dupagecounty.gov/Datalets/Datalet.aspx?UseSearch=no&amp;mode=sales&amp;pin=0516327008","sales record")</f>
        <v>sales record</v>
      </c>
      <c r="AC6741" t="s">
        <v>3</v>
      </c>
      <c r="AD6741">
        <v>41.861072</v>
      </c>
      <c r="AE6741">
        <v>-88.111136</v>
      </c>
      <c r="AF6741" s="5" t="str">
        <f>HYPERLINK("https://www.google.com/maps/search/?api=1&amp;query=41.861072,-88.111136","map")</f>
        <v>map</v>
      </c>
    </row>
    <row r="6742" spans="1:32">
      <c r="A6742" t="s">
        <v>6792</v>
      </c>
      <c r="B6742" t="s">
        <v>14254</v>
      </c>
      <c r="C6742" t="s">
        <v>16103</v>
      </c>
      <c r="D6742" t="s">
        <v>16212</v>
      </c>
      <c r="E6742" t="s">
        <v>16218</v>
      </c>
      <c r="F6742" t="s">
        <v>16221</v>
      </c>
      <c r="G6742" t="s">
        <v>16250</v>
      </c>
      <c r="H6742" t="s">
        <v>16250</v>
      </c>
      <c r="I6742" t="s">
        <v>16377</v>
      </c>
      <c r="J6742" t="s">
        <v>16385</v>
      </c>
      <c r="K6742">
        <v>0.101</v>
      </c>
      <c r="L6742">
        <v>4391</v>
      </c>
      <c r="M6742">
        <v>1584</v>
      </c>
      <c r="N6742" t="s">
        <v>16393</v>
      </c>
      <c r="O6742" s="4">
        <v>24521</v>
      </c>
      <c r="P6742" s="4">
        <v>138385</v>
      </c>
      <c r="Q6742" s="4">
        <v>162906</v>
      </c>
      <c r="R6742" s="4">
        <v>488718</v>
      </c>
      <c r="S6742" t="s">
        <v>22906</v>
      </c>
      <c r="T6742" s="6">
        <v>44682</v>
      </c>
      <c r="U6742" s="4">
        <v>480000</v>
      </c>
      <c r="V6742" t="s">
        <v>23739</v>
      </c>
      <c r="W6742" t="s">
        <v>27433</v>
      </c>
      <c r="X6742" t="s">
        <v>3</v>
      </c>
      <c r="AA6742" s="5" t="str">
        <f>HYPERLINK("https://www.zillow.com/homes/2064-HALLMARK-CT-WHEATON-IL-601873137_rb/","check listing")</f>
        <v>check listing</v>
      </c>
      <c r="AB6742" s="5" t="str">
        <f>HYPERLINK("https://propertylookup.dupagecounty.gov/Datalets/Datalet.aspx?UseSearch=no&amp;mode=sales&amp;pin=0509102059","sales record")</f>
        <v>sales record</v>
      </c>
      <c r="AC6742" t="s">
        <v>3</v>
      </c>
      <c r="AD6742">
        <v>41.88659</v>
      </c>
      <c r="AE6742">
        <v>-88.102704</v>
      </c>
      <c r="AF6742" s="5" t="str">
        <f>HYPERLINK("https://www.google.com/maps/search/?api=1&amp;query=41.88659,-88.102704","map")</f>
        <v>map</v>
      </c>
    </row>
    <row r="6743" spans="1:32">
      <c r="A6743" t="s">
        <v>6793</v>
      </c>
      <c r="B6743" t="s">
        <v>14255</v>
      </c>
      <c r="C6743" t="s">
        <v>16102</v>
      </c>
      <c r="D6743" t="s">
        <v>16212</v>
      </c>
      <c r="E6743" t="s">
        <v>16218</v>
      </c>
      <c r="F6743" t="s">
        <v>16221</v>
      </c>
      <c r="G6743" t="s">
        <v>16250</v>
      </c>
      <c r="H6743" t="s">
        <v>16250</v>
      </c>
      <c r="I6743" t="s">
        <v>16377</v>
      </c>
      <c r="J6743" t="s">
        <v>16385</v>
      </c>
      <c r="K6743">
        <v>0.101</v>
      </c>
      <c r="L6743">
        <v>4384</v>
      </c>
      <c r="M6743">
        <v>640</v>
      </c>
      <c r="N6743" t="s">
        <v>16393</v>
      </c>
      <c r="O6743" s="4">
        <v>19654</v>
      </c>
      <c r="P6743" s="4">
        <v>96905</v>
      </c>
      <c r="Q6743" s="4">
        <v>116559</v>
      </c>
      <c r="R6743" s="4">
        <v>349677</v>
      </c>
      <c r="S6743" t="s">
        <v>22907</v>
      </c>
      <c r="T6743" s="6">
        <v>37043</v>
      </c>
      <c r="U6743" s="4">
        <v>213000</v>
      </c>
      <c r="V6743" t="s">
        <v>23739</v>
      </c>
      <c r="W6743" t="s">
        <v>27434</v>
      </c>
      <c r="X6743" t="s">
        <v>3</v>
      </c>
      <c r="AA6743" s="5" t="str">
        <f>HYPERLINK("https://www.zillow.com/homes/417-S-WEST-ST-WHEATON-IL-601875033_rb/","check listing")</f>
        <v>check listing</v>
      </c>
      <c r="AB6743" s="5" t="str">
        <f>HYPERLINK("https://propertylookup.dupagecounty.gov/Datalets/Datalet.aspx?UseSearch=no&amp;mode=sales&amp;pin=0516327002","sales record")</f>
        <v>sales record</v>
      </c>
      <c r="AC6743" t="s">
        <v>3</v>
      </c>
      <c r="AD6743">
        <v>41.861612</v>
      </c>
      <c r="AE6743">
        <v>-88.11119100000001</v>
      </c>
      <c r="AF6743" s="5" t="str">
        <f>HYPERLINK("https://www.google.com/maps/search/?api=1&amp;query=41.861612,-88.111191","map")</f>
        <v>map</v>
      </c>
    </row>
    <row r="6744" spans="1:32">
      <c r="A6744" t="s">
        <v>6794</v>
      </c>
      <c r="B6744" t="s">
        <v>14256</v>
      </c>
      <c r="C6744" t="s">
        <v>16104</v>
      </c>
      <c r="D6744" t="s">
        <v>16212</v>
      </c>
      <c r="E6744" t="s">
        <v>16218</v>
      </c>
      <c r="F6744" t="s">
        <v>16221</v>
      </c>
      <c r="G6744" t="s">
        <v>16250</v>
      </c>
      <c r="H6744" t="s">
        <v>16250</v>
      </c>
      <c r="I6744" t="s">
        <v>16377</v>
      </c>
      <c r="J6744" t="s">
        <v>16385</v>
      </c>
      <c r="K6744">
        <v>0.099</v>
      </c>
      <c r="L6744">
        <v>4308</v>
      </c>
      <c r="N6744" t="s">
        <v>16393</v>
      </c>
      <c r="O6744" s="4">
        <v>30943</v>
      </c>
      <c r="P6744" s="4">
        <v>156515</v>
      </c>
      <c r="Q6744" s="4">
        <v>187458</v>
      </c>
      <c r="R6744" s="4">
        <v>562374</v>
      </c>
      <c r="S6744" t="s">
        <v>22908</v>
      </c>
      <c r="T6744" s="6">
        <v>44562</v>
      </c>
      <c r="U6744" s="4">
        <v>480000</v>
      </c>
      <c r="V6744" t="s">
        <v>23739</v>
      </c>
      <c r="W6744" t="s">
        <v>22908</v>
      </c>
      <c r="X6744" t="s">
        <v>3</v>
      </c>
      <c r="AA6744" s="5" t="str">
        <f>HYPERLINK("https://www.zillow.com/homes/2037-N-PRESIDENT-ST-WHEATON-IL-601873330_rb/","check listing")</f>
        <v>check listing</v>
      </c>
      <c r="AB6744" s="5" t="str">
        <f>HYPERLINK("https://propertylookup.dupagecounty.gov/Datalets/Datalet.aspx?UseSearch=no&amp;mode=sales&amp;pin=0510112015","sales record")</f>
        <v>sales record</v>
      </c>
      <c r="AC6744" t="s">
        <v>3</v>
      </c>
      <c r="AD6744">
        <v>41.887187</v>
      </c>
      <c r="AE6744">
        <v>-88.091708</v>
      </c>
      <c r="AF6744" s="5" t="str">
        <f>HYPERLINK("https://www.google.com/maps/search/?api=1&amp;query=41.887187,-88.091708","map")</f>
        <v>map</v>
      </c>
    </row>
    <row r="6745" spans="1:32">
      <c r="A6745" t="s">
        <v>6795</v>
      </c>
      <c r="B6745" t="s">
        <v>14257</v>
      </c>
      <c r="C6745" t="s">
        <v>16104</v>
      </c>
      <c r="D6745" t="s">
        <v>16212</v>
      </c>
      <c r="E6745" t="s">
        <v>16218</v>
      </c>
      <c r="F6745" t="s">
        <v>16221</v>
      </c>
      <c r="G6745" t="s">
        <v>16250</v>
      </c>
      <c r="H6745" t="s">
        <v>16250</v>
      </c>
      <c r="I6745" t="s">
        <v>16377</v>
      </c>
      <c r="J6745" t="s">
        <v>16385</v>
      </c>
      <c r="K6745">
        <v>0.099</v>
      </c>
      <c r="L6745">
        <v>4306</v>
      </c>
      <c r="N6745" t="s">
        <v>16393</v>
      </c>
      <c r="O6745" s="4">
        <v>30943</v>
      </c>
      <c r="P6745" s="4">
        <v>150976</v>
      </c>
      <c r="Q6745" s="4">
        <v>181919</v>
      </c>
      <c r="R6745" s="4">
        <v>545757</v>
      </c>
      <c r="S6745" t="s">
        <v>22909</v>
      </c>
      <c r="T6745" s="6">
        <v>44409</v>
      </c>
      <c r="U6745" s="4">
        <v>462000</v>
      </c>
      <c r="V6745" t="s">
        <v>23739</v>
      </c>
      <c r="W6745" t="s">
        <v>22909</v>
      </c>
      <c r="X6745" t="s">
        <v>3</v>
      </c>
      <c r="AA6745" s="5" t="str">
        <f>HYPERLINK("https://www.zillow.com/homes/2041-N-PRESIDENT-ST-WHEATON-IL-601873330_rb/","check listing")</f>
        <v>check listing</v>
      </c>
      <c r="AB6745" s="5" t="str">
        <f>HYPERLINK("https://propertylookup.dupagecounty.gov/Datalets/Datalet.aspx?UseSearch=no&amp;mode=sales&amp;pin=0510112014","sales record")</f>
        <v>sales record</v>
      </c>
      <c r="AC6745" t="s">
        <v>3</v>
      </c>
      <c r="AD6745">
        <v>41.887287</v>
      </c>
      <c r="AE6745">
        <v>-88.09170899999999</v>
      </c>
      <c r="AF6745" s="5" t="str">
        <f>HYPERLINK("https://www.google.com/maps/search/?api=1&amp;query=41.887287,-88.091709","map")</f>
        <v>map</v>
      </c>
    </row>
    <row r="6746" spans="1:32">
      <c r="A6746" t="s">
        <v>6796</v>
      </c>
      <c r="B6746" t="s">
        <v>14258</v>
      </c>
      <c r="C6746" t="s">
        <v>15426</v>
      </c>
      <c r="D6746" t="s">
        <v>16212</v>
      </c>
      <c r="E6746" t="s">
        <v>16218</v>
      </c>
      <c r="F6746" t="s">
        <v>16221</v>
      </c>
      <c r="G6746" t="s">
        <v>16250</v>
      </c>
      <c r="H6746" t="s">
        <v>16250</v>
      </c>
      <c r="I6746" t="s">
        <v>16377</v>
      </c>
      <c r="J6746" t="s">
        <v>16385</v>
      </c>
      <c r="K6746">
        <v>0.098</v>
      </c>
      <c r="L6746">
        <v>4280</v>
      </c>
      <c r="M6746">
        <v>690</v>
      </c>
      <c r="N6746" t="s">
        <v>16393</v>
      </c>
      <c r="O6746" s="4">
        <v>17168</v>
      </c>
      <c r="P6746" s="4">
        <v>81515</v>
      </c>
      <c r="Q6746" s="4">
        <v>98683</v>
      </c>
      <c r="R6746" s="4">
        <v>296049</v>
      </c>
      <c r="S6746" t="s">
        <v>22910</v>
      </c>
      <c r="T6746" s="6">
        <v>41609</v>
      </c>
      <c r="U6746" s="4">
        <v>218000</v>
      </c>
      <c r="V6746" t="s">
        <v>23739</v>
      </c>
      <c r="W6746" t="s">
        <v>27435</v>
      </c>
      <c r="X6746" t="s">
        <v>3</v>
      </c>
      <c r="AA6746" s="5" t="str">
        <f>HYPERLINK("https://www.zillow.com/homes/425-S-HALE-ST-WHEATON-IL-60187_rb/","check listing")</f>
        <v>check listing</v>
      </c>
      <c r="AB6746" s="5" t="str">
        <f>HYPERLINK("https://propertylookup.dupagecounty.gov/Datalets/Datalet.aspx?UseSearch=no&amp;mode=sales&amp;pin=0516329012","sales record")</f>
        <v>sales record</v>
      </c>
      <c r="AC6746" t="s">
        <v>27873</v>
      </c>
      <c r="AD6746">
        <v>41.861127</v>
      </c>
      <c r="AE6746">
        <v>-88.107831</v>
      </c>
      <c r="AF6746" s="5" t="str">
        <f>HYPERLINK("https://www.google.com/maps/search/?api=1&amp;query=41.861127,-88.107831","map")</f>
        <v>map</v>
      </c>
    </row>
    <row r="6747" spans="1:32">
      <c r="A6747" t="s">
        <v>6797</v>
      </c>
      <c r="B6747" t="s">
        <v>14259</v>
      </c>
      <c r="C6747" t="s">
        <v>16094</v>
      </c>
      <c r="D6747" t="s">
        <v>16212</v>
      </c>
      <c r="E6747" t="s">
        <v>16218</v>
      </c>
      <c r="F6747" t="s">
        <v>16221</v>
      </c>
      <c r="G6747" t="s">
        <v>16250</v>
      </c>
      <c r="H6747" t="s">
        <v>16250</v>
      </c>
      <c r="I6747" t="s">
        <v>16377</v>
      </c>
      <c r="J6747" t="s">
        <v>16385</v>
      </c>
      <c r="K6747">
        <v>0.098</v>
      </c>
      <c r="L6747">
        <v>4264</v>
      </c>
      <c r="M6747">
        <v>2614</v>
      </c>
      <c r="N6747" t="s">
        <v>16393</v>
      </c>
      <c r="O6747" s="4">
        <v>17120</v>
      </c>
      <c r="P6747" s="4">
        <v>138369</v>
      </c>
      <c r="Q6747" s="4">
        <v>155489</v>
      </c>
      <c r="R6747" s="4">
        <v>466467</v>
      </c>
      <c r="S6747" t="s">
        <v>22911</v>
      </c>
      <c r="T6747" s="6">
        <v>44652</v>
      </c>
      <c r="U6747" s="4">
        <v>430000</v>
      </c>
      <c r="V6747" t="s">
        <v>23739</v>
      </c>
      <c r="W6747" t="s">
        <v>27436</v>
      </c>
      <c r="X6747" t="s">
        <v>3</v>
      </c>
      <c r="AA6747" s="5" t="str">
        <f>HYPERLINK("https://www.zillow.com/homes/423-S-HALE-ST-WHEATON-IL-601875221_rb/","check listing")</f>
        <v>check listing</v>
      </c>
      <c r="AB6747" s="5" t="str">
        <f>HYPERLINK("https://propertylookup.dupagecounty.gov/Datalets/Datalet.aspx?UseSearch=no&amp;mode=sales&amp;pin=0516329011","sales record")</f>
        <v>sales record</v>
      </c>
      <c r="AC6747" t="s">
        <v>27873</v>
      </c>
      <c r="AD6747">
        <v>41.861225</v>
      </c>
      <c r="AE6747">
        <v>-88.107832</v>
      </c>
      <c r="AF6747" s="5" t="str">
        <f>HYPERLINK("https://www.google.com/maps/search/?api=1&amp;query=41.861225,-88.107832","map")</f>
        <v>map</v>
      </c>
    </row>
    <row r="6748" spans="1:32">
      <c r="A6748" t="s">
        <v>6798</v>
      </c>
      <c r="B6748" t="s">
        <v>14260</v>
      </c>
      <c r="C6748" t="s">
        <v>15426</v>
      </c>
      <c r="D6748" t="s">
        <v>16212</v>
      </c>
      <c r="E6748" t="s">
        <v>16218</v>
      </c>
      <c r="F6748" t="s">
        <v>16221</v>
      </c>
      <c r="G6748" t="s">
        <v>16250</v>
      </c>
      <c r="H6748" t="s">
        <v>16250</v>
      </c>
      <c r="I6748" t="s">
        <v>16377</v>
      </c>
      <c r="J6748" t="s">
        <v>16385</v>
      </c>
      <c r="K6748">
        <v>0.083</v>
      </c>
      <c r="L6748">
        <v>3637</v>
      </c>
      <c r="M6748">
        <v>1423</v>
      </c>
      <c r="N6748" t="s">
        <v>16393</v>
      </c>
      <c r="O6748" s="4">
        <v>14599</v>
      </c>
      <c r="P6748" s="4">
        <v>47981</v>
      </c>
      <c r="Q6748" s="4">
        <v>62580</v>
      </c>
      <c r="R6748" s="4">
        <v>187740</v>
      </c>
      <c r="S6748" t="s">
        <v>22912</v>
      </c>
      <c r="T6748" s="6">
        <v>46031</v>
      </c>
      <c r="U6748" s="4">
        <v>275000</v>
      </c>
      <c r="V6748" t="s">
        <v>23741</v>
      </c>
      <c r="W6748" t="s">
        <v>27437</v>
      </c>
      <c r="X6748" t="s">
        <v>3</v>
      </c>
      <c r="AA6748" s="5" t="str">
        <f>HYPERLINK("https://www.zillow.com/homes/409-S-HALE-ST-WHEATON-IL-60187_rb/","check listing")</f>
        <v>check listing</v>
      </c>
      <c r="AB6748" s="5" t="str">
        <f>HYPERLINK("https://propertylookup.dupagecounty.gov/Datalets/Datalet.aspx?UseSearch=no&amp;mode=sales&amp;pin=0516329002","sales record")</f>
        <v>sales record</v>
      </c>
      <c r="AC6748" t="s">
        <v>3</v>
      </c>
      <c r="AD6748">
        <v>41.861802</v>
      </c>
      <c r="AE6748">
        <v>-88.107938</v>
      </c>
      <c r="AF6748" s="5" t="str">
        <f>HYPERLINK("https://www.google.com/maps/search/?api=1&amp;query=41.861802,-88.107938","map")</f>
        <v>map</v>
      </c>
    </row>
    <row r="6749" spans="1:32">
      <c r="A6749" t="s">
        <v>6799</v>
      </c>
      <c r="B6749" t="s">
        <v>14261</v>
      </c>
      <c r="C6749" t="s">
        <v>16094</v>
      </c>
      <c r="D6749" t="s">
        <v>16212</v>
      </c>
      <c r="E6749" t="s">
        <v>16218</v>
      </c>
      <c r="F6749" t="s">
        <v>16221</v>
      </c>
      <c r="G6749" t="s">
        <v>16250</v>
      </c>
      <c r="H6749" t="s">
        <v>16250</v>
      </c>
      <c r="I6749" t="s">
        <v>16377</v>
      </c>
      <c r="J6749" t="s">
        <v>16385</v>
      </c>
      <c r="K6749">
        <v>0.083</v>
      </c>
      <c r="L6749">
        <v>3637</v>
      </c>
      <c r="M6749">
        <v>1276</v>
      </c>
      <c r="N6749" t="s">
        <v>16393</v>
      </c>
      <c r="O6749" s="4">
        <v>14599</v>
      </c>
      <c r="P6749" s="4">
        <v>136707</v>
      </c>
      <c r="Q6749" s="4">
        <v>151306</v>
      </c>
      <c r="R6749" s="4">
        <v>453918</v>
      </c>
      <c r="S6749" t="s">
        <v>22913</v>
      </c>
      <c r="T6749" s="6">
        <v>42826</v>
      </c>
      <c r="U6749" s="4">
        <v>348000</v>
      </c>
      <c r="V6749" t="s">
        <v>23739</v>
      </c>
      <c r="W6749" t="s">
        <v>27438</v>
      </c>
      <c r="X6749" t="s">
        <v>3</v>
      </c>
      <c r="AA6749" s="5" t="str">
        <f>HYPERLINK("https://www.zillow.com/homes/403-S-HALE-ST-WHEATON-IL-601875221_rb/","check listing")</f>
        <v>check listing</v>
      </c>
      <c r="AB6749" s="5" t="str">
        <f>HYPERLINK("https://propertylookup.dupagecounty.gov/Datalets/Datalet.aspx?UseSearch=no&amp;mode=sales&amp;pin=0516329001","sales record")</f>
        <v>sales record</v>
      </c>
      <c r="AC6749" t="s">
        <v>3</v>
      </c>
      <c r="AD6749">
        <v>41.861938</v>
      </c>
      <c r="AE6749">
        <v>-88.10794</v>
      </c>
      <c r="AF6749" s="5" t="str">
        <f>HYPERLINK("https://www.google.com/maps/search/?api=1&amp;query=41.861938,-88.10794","map")</f>
        <v>map</v>
      </c>
    </row>
    <row r="6750" spans="1:32">
      <c r="A6750" t="s">
        <v>6800</v>
      </c>
      <c r="B6750" t="s">
        <v>14262</v>
      </c>
      <c r="C6750" t="s">
        <v>15426</v>
      </c>
      <c r="D6750" t="s">
        <v>16212</v>
      </c>
      <c r="E6750" t="s">
        <v>16218</v>
      </c>
      <c r="F6750" t="s">
        <v>16221</v>
      </c>
      <c r="G6750" t="s">
        <v>16250</v>
      </c>
      <c r="H6750" t="s">
        <v>16250</v>
      </c>
      <c r="I6750" t="s">
        <v>16377</v>
      </c>
      <c r="J6750" t="s">
        <v>16385</v>
      </c>
      <c r="K6750">
        <v>0.075</v>
      </c>
      <c r="L6750">
        <v>3254</v>
      </c>
      <c r="M6750">
        <v>1857</v>
      </c>
      <c r="N6750" t="s">
        <v>16393</v>
      </c>
      <c r="O6750" s="4">
        <v>44611</v>
      </c>
      <c r="P6750" s="4">
        <v>229276</v>
      </c>
      <c r="Q6750" s="4">
        <v>273887</v>
      </c>
      <c r="R6750" s="4">
        <v>821661</v>
      </c>
      <c r="S6750" t="s">
        <v>22914</v>
      </c>
      <c r="T6750" s="6">
        <v>41671</v>
      </c>
      <c r="U6750" s="4">
        <v>575000</v>
      </c>
      <c r="V6750" t="s">
        <v>23739</v>
      </c>
      <c r="W6750" t="s">
        <v>27439</v>
      </c>
      <c r="X6750" t="s">
        <v>3</v>
      </c>
      <c r="AA6750" s="5" t="str">
        <f>HYPERLINK("https://www.zillow.com/homes/508-CHILDS-ST-WHEATON-IL-60187_rb/","check listing")</f>
        <v>check listing</v>
      </c>
      <c r="AB6750" s="5" t="str">
        <f>HYPERLINK("https://propertylookup.dupagecounty.gov/Datalets/Datalet.aspx?UseSearch=no&amp;mode=sales&amp;pin=0517418067","sales record")</f>
        <v>sales record</v>
      </c>
      <c r="AC6750" t="s">
        <v>27873</v>
      </c>
      <c r="AD6750">
        <v>41.862088</v>
      </c>
      <c r="AE6750">
        <v>-88.113259</v>
      </c>
      <c r="AF6750" s="5" t="str">
        <f>HYPERLINK("https://www.google.com/maps/search/?api=1&amp;query=41.862088,-88.113259","map")</f>
        <v>map</v>
      </c>
    </row>
    <row r="6751" spans="1:32">
      <c r="A6751" t="s">
        <v>6801</v>
      </c>
      <c r="B6751" t="s">
        <v>14263</v>
      </c>
      <c r="C6751" t="s">
        <v>15426</v>
      </c>
      <c r="D6751" t="s">
        <v>16212</v>
      </c>
      <c r="E6751" t="s">
        <v>16217</v>
      </c>
      <c r="F6751" t="s">
        <v>16221</v>
      </c>
      <c r="G6751" t="s">
        <v>16250</v>
      </c>
      <c r="H6751" t="s">
        <v>16250</v>
      </c>
      <c r="I6751" t="s">
        <v>16377</v>
      </c>
      <c r="J6751" t="s">
        <v>16385</v>
      </c>
      <c r="K6751">
        <v>0.489</v>
      </c>
      <c r="L6751">
        <v>21322</v>
      </c>
      <c r="N6751" t="s">
        <v>16392</v>
      </c>
      <c r="O6751" s="4">
        <v>58620</v>
      </c>
      <c r="P6751" s="4">
        <v>0</v>
      </c>
      <c r="Q6751" s="4">
        <v>58620</v>
      </c>
      <c r="R6751" s="4">
        <v>175860</v>
      </c>
      <c r="S6751" t="s">
        <v>22915</v>
      </c>
      <c r="T6751" s="6">
        <v>45198</v>
      </c>
      <c r="U6751" s="4">
        <v>1407000</v>
      </c>
      <c r="V6751" t="s">
        <v>23739</v>
      </c>
      <c r="W6751" t="s">
        <v>27440</v>
      </c>
      <c r="X6751" t="s">
        <v>3</v>
      </c>
      <c r="AA6751" s="5" t="str">
        <f>HYPERLINK("https://www.zillow.com/homes/1123-WHEATON-OAKS-CT-WHEATON-IL-60187_rb/","check listing")</f>
        <v>check listing</v>
      </c>
      <c r="AB6751" s="5" t="str">
        <f>HYPERLINK("https://propertylookup.dupagecounty.gov/Datalets/Datalet.aspx?UseSearch=no&amp;mode=sales&amp;pin=0508418010","sales record")</f>
        <v>sales record</v>
      </c>
      <c r="AC6751" t="s">
        <v>27872</v>
      </c>
      <c r="AD6751">
        <v>41.875203</v>
      </c>
      <c r="AE6751">
        <v>-88.119981</v>
      </c>
      <c r="AF6751" s="5" t="str">
        <f>HYPERLINK("https://www.google.com/maps/search/?api=1&amp;query=41.875203,-88.119981","map")</f>
        <v>map</v>
      </c>
    </row>
    <row r="6752" spans="1:32">
      <c r="A6752" t="s">
        <v>6802</v>
      </c>
      <c r="B6752" t="s">
        <v>14169</v>
      </c>
      <c r="C6752" t="s">
        <v>16086</v>
      </c>
      <c r="D6752" t="s">
        <v>16212</v>
      </c>
      <c r="E6752" t="s">
        <v>16217</v>
      </c>
      <c r="F6752" t="s">
        <v>16221</v>
      </c>
      <c r="G6752" t="s">
        <v>16250</v>
      </c>
      <c r="H6752" t="s">
        <v>16250</v>
      </c>
      <c r="I6752" t="s">
        <v>16377</v>
      </c>
      <c r="J6752" t="s">
        <v>16385</v>
      </c>
      <c r="K6752">
        <v>0.257</v>
      </c>
      <c r="L6752">
        <v>11191</v>
      </c>
      <c r="N6752" t="s">
        <v>16393</v>
      </c>
      <c r="O6752" s="4">
        <v>7234</v>
      </c>
      <c r="P6752" s="4">
        <v>0</v>
      </c>
      <c r="Q6752" s="4">
        <v>7234</v>
      </c>
      <c r="R6752" s="4">
        <v>21702</v>
      </c>
      <c r="S6752" t="s">
        <v>22822</v>
      </c>
      <c r="T6752" s="6">
        <v>43132</v>
      </c>
      <c r="U6752" s="4">
        <v>153000</v>
      </c>
      <c r="V6752" t="s">
        <v>16232</v>
      </c>
      <c r="W6752" t="s">
        <v>27441</v>
      </c>
      <c r="X6752" t="s">
        <v>3</v>
      </c>
      <c r="AA6752" s="5" t="str">
        <f>HYPERLINK("https://www.zillow.com/homes/512-CRESCENT-ST-WHEATON-IL-601875508_rb/","check listing")</f>
        <v>check listing</v>
      </c>
      <c r="AB6752" s="5" t="str">
        <f>HYPERLINK("https://propertylookup.dupagecounty.gov/Datalets/Datalet.aspx?UseSearch=no&amp;mode=sales&amp;pin=0516401011","sales record")</f>
        <v>sales record</v>
      </c>
      <c r="AC6752" t="s">
        <v>27872</v>
      </c>
      <c r="AD6752">
        <v>41.865291</v>
      </c>
      <c r="AE6752">
        <v>-88.099099</v>
      </c>
      <c r="AF6752" s="5" t="str">
        <f>HYPERLINK("https://www.google.com/maps/search/?api=1&amp;query=41.865291,-88.099099","map")</f>
        <v>map</v>
      </c>
    </row>
    <row r="6753" spans="1:32">
      <c r="A6753" t="s">
        <v>6803</v>
      </c>
      <c r="B6753" t="s">
        <v>14264</v>
      </c>
      <c r="C6753" t="s">
        <v>15426</v>
      </c>
      <c r="D6753" t="s">
        <v>16212</v>
      </c>
      <c r="E6753" t="s">
        <v>16217</v>
      </c>
      <c r="F6753" t="s">
        <v>16221</v>
      </c>
      <c r="G6753" t="s">
        <v>16250</v>
      </c>
      <c r="H6753" t="s">
        <v>16250</v>
      </c>
      <c r="I6753" t="s">
        <v>16377</v>
      </c>
      <c r="J6753" t="s">
        <v>16385</v>
      </c>
      <c r="K6753">
        <v>0.224</v>
      </c>
      <c r="L6753">
        <v>9753</v>
      </c>
      <c r="N6753" t="s">
        <v>16393</v>
      </c>
      <c r="O6753" s="4">
        <v>17380</v>
      </c>
      <c r="P6753" s="4">
        <v>0</v>
      </c>
      <c r="Q6753" s="4">
        <v>17380</v>
      </c>
      <c r="R6753" s="4">
        <v>52140</v>
      </c>
      <c r="S6753" t="s">
        <v>22916</v>
      </c>
      <c r="T6753" s="6">
        <v>36008</v>
      </c>
      <c r="U6753" s="4">
        <v>50000</v>
      </c>
      <c r="X6753" t="s">
        <v>3</v>
      </c>
      <c r="AA6753" s="5" t="str">
        <f>HYPERLINK("https://www.zillow.com/homes/11022-SUMNER-ST-WHEATON-IL-60187_rb/","check listing")</f>
        <v>check listing</v>
      </c>
      <c r="AB6753" s="5" t="str">
        <f>HYPERLINK("https://propertylookup.dupagecounty.gov/Datalets/Datalet.aspx?UseSearch=no&amp;mode=sales&amp;pin=0516401029","sales record")</f>
        <v>sales record</v>
      </c>
      <c r="AC6753" t="s">
        <v>3</v>
      </c>
      <c r="AD6753">
        <v>41.865205</v>
      </c>
      <c r="AE6753">
        <v>-88.098208</v>
      </c>
      <c r="AF6753" s="5" t="str">
        <f>HYPERLINK("https://www.google.com/maps/search/?api=1&amp;query=41.865205,-88.098208","map")</f>
        <v>map</v>
      </c>
    </row>
    <row r="6754" spans="1:32">
      <c r="A6754" t="s">
        <v>6804</v>
      </c>
      <c r="B6754" t="s">
        <v>14264</v>
      </c>
      <c r="C6754" t="s">
        <v>15426</v>
      </c>
      <c r="D6754" t="s">
        <v>16212</v>
      </c>
      <c r="E6754" t="s">
        <v>16217</v>
      </c>
      <c r="F6754" t="s">
        <v>16221</v>
      </c>
      <c r="G6754" t="s">
        <v>16250</v>
      </c>
      <c r="H6754" t="s">
        <v>16250</v>
      </c>
      <c r="I6754" t="s">
        <v>16377</v>
      </c>
      <c r="J6754" t="s">
        <v>16385</v>
      </c>
      <c r="K6754">
        <v>0.223</v>
      </c>
      <c r="L6754">
        <v>9730</v>
      </c>
      <c r="N6754" t="s">
        <v>16393</v>
      </c>
      <c r="O6754" s="4">
        <v>17357</v>
      </c>
      <c r="P6754" s="4">
        <v>0</v>
      </c>
      <c r="Q6754" s="4">
        <v>17357</v>
      </c>
      <c r="R6754" s="4">
        <v>52071</v>
      </c>
      <c r="S6754" t="s">
        <v>22916</v>
      </c>
      <c r="T6754" s="6">
        <v>43344</v>
      </c>
      <c r="U6754" s="4">
        <v>105000</v>
      </c>
      <c r="V6754" t="s">
        <v>23740</v>
      </c>
      <c r="W6754" t="s">
        <v>27442</v>
      </c>
      <c r="X6754" t="s">
        <v>3</v>
      </c>
      <c r="AA6754" s="5" t="str">
        <f>HYPERLINK("https://www.zillow.com/homes/11022-SUMNER-ST-WHEATON-IL-60187_rb/","check listing")</f>
        <v>check listing</v>
      </c>
      <c r="AB6754" s="5" t="str">
        <f>HYPERLINK("https://propertylookup.dupagecounty.gov/Datalets/Datalet.aspx?UseSearch=no&amp;mode=sales&amp;pin=0516401028","sales record")</f>
        <v>sales record</v>
      </c>
      <c r="AC6754" t="s">
        <v>3</v>
      </c>
      <c r="AD6754">
        <v>41.865412</v>
      </c>
      <c r="AE6754">
        <v>-88.09821100000001</v>
      </c>
      <c r="AF6754" s="5" t="str">
        <f>HYPERLINK("https://www.google.com/maps/search/?api=1&amp;query=41.865412,-88.098211","map")</f>
        <v>map</v>
      </c>
    </row>
    <row r="6755" spans="1:32">
      <c r="A6755" t="s">
        <v>6805</v>
      </c>
      <c r="B6755" t="s">
        <v>14265</v>
      </c>
      <c r="C6755" t="s">
        <v>15426</v>
      </c>
      <c r="D6755" t="s">
        <v>16212</v>
      </c>
      <c r="E6755" t="s">
        <v>16217</v>
      </c>
      <c r="F6755" t="s">
        <v>16221</v>
      </c>
      <c r="G6755" t="s">
        <v>16250</v>
      </c>
      <c r="H6755" t="s">
        <v>16250</v>
      </c>
      <c r="I6755" t="s">
        <v>16377</v>
      </c>
      <c r="J6755" t="s">
        <v>16385</v>
      </c>
      <c r="K6755">
        <v>0.197</v>
      </c>
      <c r="L6755">
        <v>8593</v>
      </c>
      <c r="M6755">
        <v>8</v>
      </c>
      <c r="N6755" t="s">
        <v>16392</v>
      </c>
      <c r="O6755" s="4">
        <v>23625</v>
      </c>
      <c r="P6755" s="4">
        <v>0</v>
      </c>
      <c r="Q6755" s="4">
        <v>23625</v>
      </c>
      <c r="R6755" s="4">
        <v>70875</v>
      </c>
      <c r="S6755" t="s">
        <v>22915</v>
      </c>
      <c r="T6755" s="6">
        <v>45198</v>
      </c>
      <c r="U6755" s="4">
        <v>1407000</v>
      </c>
      <c r="V6755" t="s">
        <v>23739</v>
      </c>
      <c r="W6755" t="s">
        <v>27440</v>
      </c>
      <c r="X6755" t="s">
        <v>3</v>
      </c>
      <c r="AA6755" s="5" t="str">
        <f>HYPERLINK("https://www.zillow.com/homes/1123-WHEATON-OAKS-WHEATON-IL-60187_rb/","check listing")</f>
        <v>check listing</v>
      </c>
      <c r="AB6755" s="5" t="str">
        <f>HYPERLINK("https://propertylookup.dupagecounty.gov/Datalets/Datalet.aspx?UseSearch=no&amp;mode=sales&amp;pin=0508418009","sales record")</f>
        <v>sales record</v>
      </c>
      <c r="AC6755" t="s">
        <v>27871</v>
      </c>
      <c r="AD6755">
        <v>41.87543</v>
      </c>
      <c r="AE6755">
        <v>-88.11992499999999</v>
      </c>
      <c r="AF6755" s="5" t="str">
        <f>HYPERLINK("https://www.google.com/maps/search/?api=1&amp;query=41.87543,-88.119925","map")</f>
        <v>map</v>
      </c>
    </row>
    <row r="6756" spans="1:32">
      <c r="A6756" t="s">
        <v>6806</v>
      </c>
      <c r="B6756" t="s">
        <v>14264</v>
      </c>
      <c r="C6756" t="s">
        <v>15426</v>
      </c>
      <c r="D6756" t="s">
        <v>16212</v>
      </c>
      <c r="E6756" t="s">
        <v>16217</v>
      </c>
      <c r="F6756" t="s">
        <v>16221</v>
      </c>
      <c r="G6756" t="s">
        <v>16250</v>
      </c>
      <c r="H6756" t="s">
        <v>16250</v>
      </c>
      <c r="I6756" t="s">
        <v>16377</v>
      </c>
      <c r="J6756" t="s">
        <v>16385</v>
      </c>
      <c r="K6756">
        <v>0.112</v>
      </c>
      <c r="L6756">
        <v>4888</v>
      </c>
      <c r="N6756" t="s">
        <v>16393</v>
      </c>
      <c r="O6756" s="4">
        <v>8719</v>
      </c>
      <c r="P6756" s="4">
        <v>0</v>
      </c>
      <c r="Q6756" s="4">
        <v>8719</v>
      </c>
      <c r="R6756" s="4">
        <v>26157</v>
      </c>
      <c r="S6756" t="s">
        <v>22916</v>
      </c>
      <c r="T6756" s="6">
        <v>34973</v>
      </c>
      <c r="U6756" s="4">
        <v>25000</v>
      </c>
      <c r="X6756" t="s">
        <v>3</v>
      </c>
      <c r="AA6756" s="5" t="str">
        <f>HYPERLINK("https://www.zillow.com/homes/11022-SUMNER-ST-WHEATON-IL-60187_rb/","check listing")</f>
        <v>check listing</v>
      </c>
      <c r="AB6756" s="5" t="str">
        <f>HYPERLINK("https://propertylookup.dupagecounty.gov/Datalets/Datalet.aspx?UseSearch=no&amp;mode=sales&amp;pin=0516401031","sales record")</f>
        <v>sales record</v>
      </c>
      <c r="AC6756" t="s">
        <v>3</v>
      </c>
      <c r="AD6756">
        <v>41.864947</v>
      </c>
      <c r="AE6756">
        <v>-88.098204</v>
      </c>
      <c r="AF6756" s="5" t="str">
        <f>HYPERLINK("https://www.google.com/maps/search/?api=1&amp;query=41.864947,-88.098204","map")</f>
        <v>map</v>
      </c>
    </row>
    <row r="6757" spans="1:32">
      <c r="A6757" t="s">
        <v>6807</v>
      </c>
      <c r="B6757" t="s">
        <v>14264</v>
      </c>
      <c r="C6757" t="s">
        <v>15426</v>
      </c>
      <c r="D6757" t="s">
        <v>16212</v>
      </c>
      <c r="E6757" t="s">
        <v>16217</v>
      </c>
      <c r="F6757" t="s">
        <v>16221</v>
      </c>
      <c r="G6757" t="s">
        <v>16250</v>
      </c>
      <c r="H6757" t="s">
        <v>16250</v>
      </c>
      <c r="I6757" t="s">
        <v>16377</v>
      </c>
      <c r="J6757" t="s">
        <v>16385</v>
      </c>
      <c r="K6757">
        <v>0.112</v>
      </c>
      <c r="L6757">
        <v>4882</v>
      </c>
      <c r="N6757" t="s">
        <v>16393</v>
      </c>
      <c r="O6757" s="4">
        <v>8707</v>
      </c>
      <c r="P6757" s="4">
        <v>0</v>
      </c>
      <c r="Q6757" s="4">
        <v>8707</v>
      </c>
      <c r="R6757" s="4">
        <v>26121</v>
      </c>
      <c r="S6757" t="s">
        <v>22916</v>
      </c>
      <c r="T6757" s="6">
        <v>38808</v>
      </c>
      <c r="U6757" s="4">
        <v>125000</v>
      </c>
      <c r="V6757" t="s">
        <v>16232</v>
      </c>
      <c r="W6757" t="s">
        <v>27035</v>
      </c>
      <c r="X6757" t="s">
        <v>3</v>
      </c>
      <c r="AA6757" s="5" t="str">
        <f>HYPERLINK("https://www.zillow.com/homes/11022-SUMNER-ST-WHEATON-IL-60187_rb/","check listing")</f>
        <v>check listing</v>
      </c>
      <c r="AB6757" s="5" t="str">
        <f>HYPERLINK("https://propertylookup.dupagecounty.gov/Datalets/Datalet.aspx?UseSearch=no&amp;mode=sales&amp;pin=0516401030","sales record")</f>
        <v>sales record</v>
      </c>
      <c r="AC6757" t="s">
        <v>3</v>
      </c>
      <c r="AD6757">
        <v>41.865051</v>
      </c>
      <c r="AE6757">
        <v>-88.098206</v>
      </c>
      <c r="AF6757" s="5" t="str">
        <f>HYPERLINK("https://www.google.com/maps/search/?api=1&amp;query=41.865051,-88.098206","map")</f>
        <v>map</v>
      </c>
    </row>
    <row r="6758" spans="1:32">
      <c r="A6758" t="s">
        <v>6808</v>
      </c>
      <c r="B6758" t="s">
        <v>14259</v>
      </c>
      <c r="C6758" t="s">
        <v>16094</v>
      </c>
      <c r="D6758" t="s">
        <v>16212</v>
      </c>
      <c r="E6758" t="s">
        <v>16217</v>
      </c>
      <c r="F6758" t="s">
        <v>16221</v>
      </c>
      <c r="G6758" t="s">
        <v>16250</v>
      </c>
      <c r="H6758" t="s">
        <v>16250</v>
      </c>
      <c r="I6758" t="s">
        <v>16377</v>
      </c>
      <c r="J6758" t="s">
        <v>16385</v>
      </c>
      <c r="K6758">
        <v>0.073</v>
      </c>
      <c r="L6758">
        <v>3177</v>
      </c>
      <c r="N6758" t="s">
        <v>16393</v>
      </c>
      <c r="O6758" s="4">
        <v>12738</v>
      </c>
      <c r="P6758" s="4">
        <v>0</v>
      </c>
      <c r="Q6758" s="4">
        <v>12738</v>
      </c>
      <c r="R6758" s="4">
        <v>38214</v>
      </c>
      <c r="S6758" t="s">
        <v>22911</v>
      </c>
      <c r="T6758" s="6">
        <v>41214</v>
      </c>
      <c r="U6758" s="4">
        <v>2000</v>
      </c>
      <c r="V6758" t="s">
        <v>23739</v>
      </c>
      <c r="W6758" t="s">
        <v>27443</v>
      </c>
      <c r="X6758" t="s">
        <v>3</v>
      </c>
      <c r="AA6758" s="5" t="str">
        <f>HYPERLINK("https://www.zillow.com/homes/423-S-HALE-ST-WHEATON-IL-601875221_rb/","check listing")</f>
        <v>check listing</v>
      </c>
      <c r="AB6758" s="5" t="str">
        <f>HYPERLINK("https://propertylookup.dupagecounty.gov/Datalets/Datalet.aspx?UseSearch=no&amp;mode=sales&amp;pin=0516329013","sales record")</f>
        <v>sales record</v>
      </c>
      <c r="AC6758" t="s">
        <v>27872</v>
      </c>
      <c r="AD6758">
        <v>41.861228</v>
      </c>
      <c r="AE6758">
        <v>-88.10753</v>
      </c>
      <c r="AF6758" s="5" t="str">
        <f>HYPERLINK("https://www.google.com/maps/search/?api=1&amp;query=41.861228,-88.10753","map")</f>
        <v>map</v>
      </c>
    </row>
    <row r="6759" spans="1:32">
      <c r="A6759" t="s">
        <v>6809</v>
      </c>
      <c r="B6759" t="s">
        <v>14266</v>
      </c>
      <c r="C6759" t="s">
        <v>15199</v>
      </c>
      <c r="D6759" t="s">
        <v>16213</v>
      </c>
      <c r="E6759" t="s">
        <v>16217</v>
      </c>
      <c r="F6759" t="s">
        <v>16220</v>
      </c>
      <c r="G6759" t="s">
        <v>16250</v>
      </c>
      <c r="H6759" t="s">
        <v>16250</v>
      </c>
      <c r="I6759" t="s">
        <v>16378</v>
      </c>
      <c r="J6759" t="s">
        <v>16386</v>
      </c>
      <c r="K6759">
        <v>1.068</v>
      </c>
      <c r="L6759">
        <v>46537</v>
      </c>
      <c r="N6759" t="s">
        <v>16393</v>
      </c>
      <c r="O6759" s="4">
        <v>169135</v>
      </c>
      <c r="P6759" s="4">
        <v>0</v>
      </c>
      <c r="Q6759" s="4">
        <v>169135</v>
      </c>
      <c r="R6759" s="4">
        <v>507405</v>
      </c>
      <c r="S6759" t="s">
        <v>22917</v>
      </c>
      <c r="T6759" s="6">
        <v>40026</v>
      </c>
      <c r="U6759" s="4">
        <v>500000</v>
      </c>
      <c r="V6759" t="s">
        <v>23739</v>
      </c>
      <c r="W6759" t="s">
        <v>27444</v>
      </c>
      <c r="X6759" t="s">
        <v>3</v>
      </c>
      <c r="AA6759" s="5" t="str">
        <f>HYPERLINK("https://www.zillow.com/homes/6318-CLARENDON-HILLS-CLARENDON-HILLS-IL-60514_rb/","check listing")</f>
        <v>check listing</v>
      </c>
      <c r="AB6759" s="5" t="str">
        <f>HYPERLINK("https://propertylookup.dupagecounty.gov/Datalets/Datalet.aspx?UseSearch=no&amp;mode=sales&amp;pin=0922203015","sales record")</f>
        <v>sales record</v>
      </c>
      <c r="AC6759" t="s">
        <v>3</v>
      </c>
      <c r="AD6759">
        <v>41.773039</v>
      </c>
      <c r="AE6759">
        <v>-87.955814</v>
      </c>
      <c r="AF6759" s="5" t="str">
        <f>HYPERLINK("https://www.google.com/maps/search/?api=1&amp;query=41.773039,-87.955814","map")</f>
        <v>map</v>
      </c>
    </row>
    <row r="6760" spans="1:32">
      <c r="A6760" t="s">
        <v>6810</v>
      </c>
      <c r="B6760" t="s">
        <v>14267</v>
      </c>
      <c r="C6760" t="s">
        <v>16105</v>
      </c>
      <c r="D6760" t="s">
        <v>16213</v>
      </c>
      <c r="E6760" t="s">
        <v>16218</v>
      </c>
      <c r="F6760" t="s">
        <v>16221</v>
      </c>
      <c r="G6760" t="s">
        <v>16254</v>
      </c>
      <c r="H6760" t="s">
        <v>16254</v>
      </c>
      <c r="I6760" t="s">
        <v>16379</v>
      </c>
      <c r="J6760" t="s">
        <v>16386</v>
      </c>
      <c r="K6760">
        <v>0.184</v>
      </c>
      <c r="L6760">
        <v>8008</v>
      </c>
      <c r="M6760">
        <v>1777</v>
      </c>
      <c r="N6760" t="s">
        <v>16393</v>
      </c>
      <c r="O6760" s="4">
        <v>92784</v>
      </c>
      <c r="P6760" s="4">
        <v>124991</v>
      </c>
      <c r="Q6760" s="4">
        <v>217775</v>
      </c>
      <c r="R6760" s="4">
        <v>653325</v>
      </c>
      <c r="S6760" t="s">
        <v>22918</v>
      </c>
      <c r="T6760" s="6">
        <v>44440</v>
      </c>
      <c r="U6760" s="4">
        <v>570000</v>
      </c>
      <c r="V6760" t="s">
        <v>23739</v>
      </c>
      <c r="W6760" t="s">
        <v>27445</v>
      </c>
      <c r="X6760" t="s">
        <v>3</v>
      </c>
      <c r="AA6760" s="5" t="str">
        <f>HYPERLINK("https://www.zillow.com/homes/840-BRETON-LAKES-DR-WILLOWBROOK-IL-605275496_rb/","check listing")</f>
        <v>check listing</v>
      </c>
      <c r="AB6760" s="5" t="str">
        <f>HYPERLINK("https://propertylookup.dupagecounty.gov/Datalets/Datalet.aspx?UseSearch=no&amp;mode=sales&amp;pin=0923207006","sales record")</f>
        <v>sales record</v>
      </c>
      <c r="AC6760" t="s">
        <v>3</v>
      </c>
      <c r="AD6760">
        <v>41.772137</v>
      </c>
      <c r="AE6760">
        <v>-87.944543</v>
      </c>
      <c r="AF6760" s="5" t="str">
        <f>HYPERLINK("https://www.google.com/maps/search/?api=1&amp;query=41.772137,-87.944543","map")</f>
        <v>map</v>
      </c>
    </row>
    <row r="6761" spans="1:32">
      <c r="A6761" t="s">
        <v>6811</v>
      </c>
      <c r="B6761" t="s">
        <v>14268</v>
      </c>
      <c r="C6761" t="s">
        <v>16106</v>
      </c>
      <c r="D6761" t="s">
        <v>16213</v>
      </c>
      <c r="E6761" t="s">
        <v>16218</v>
      </c>
      <c r="F6761" t="s">
        <v>16221</v>
      </c>
      <c r="G6761" t="s">
        <v>16254</v>
      </c>
      <c r="H6761" t="s">
        <v>16254</v>
      </c>
      <c r="I6761" t="s">
        <v>16379</v>
      </c>
      <c r="J6761" t="s">
        <v>16386</v>
      </c>
      <c r="K6761">
        <v>0.168</v>
      </c>
      <c r="L6761">
        <v>7326</v>
      </c>
      <c r="M6761">
        <v>1985</v>
      </c>
      <c r="N6761" t="s">
        <v>16393</v>
      </c>
      <c r="O6761" s="4">
        <v>108288</v>
      </c>
      <c r="P6761" s="4">
        <v>134334</v>
      </c>
      <c r="Q6761" s="4">
        <v>242622</v>
      </c>
      <c r="R6761" s="4">
        <v>727866</v>
      </c>
      <c r="S6761" t="s">
        <v>22919</v>
      </c>
      <c r="T6761" s="6">
        <v>38899</v>
      </c>
      <c r="U6761" s="4">
        <v>635000</v>
      </c>
      <c r="V6761" t="s">
        <v>23739</v>
      </c>
      <c r="W6761" t="s">
        <v>22919</v>
      </c>
      <c r="X6761" t="s">
        <v>3</v>
      </c>
      <c r="AA6761" s="5" t="str">
        <f>HYPERLINK("https://www.zillow.com/homes/856-EMERALD-CT-WILLOWBROOK-IL-60521_rb/","check listing")</f>
        <v>check listing</v>
      </c>
      <c r="AB6761" s="5" t="str">
        <f>HYPERLINK("https://propertylookup.dupagecounty.gov/Datalets/Datalet.aspx?UseSearch=no&amp;mode=sales&amp;pin=0923206039","sales record")</f>
        <v>sales record</v>
      </c>
      <c r="AC6761" t="s">
        <v>3</v>
      </c>
      <c r="AD6761">
        <v>41.771352</v>
      </c>
      <c r="AE6761">
        <v>-87.944666</v>
      </c>
      <c r="AF6761" s="5" t="str">
        <f>HYPERLINK("https://www.google.com/maps/search/?api=1&amp;query=41.771352,-87.944666","map")</f>
        <v>map</v>
      </c>
    </row>
    <row r="6762" spans="1:32">
      <c r="A6762" t="s">
        <v>6812</v>
      </c>
      <c r="B6762" t="s">
        <v>14269</v>
      </c>
      <c r="C6762" t="s">
        <v>16107</v>
      </c>
      <c r="D6762" t="s">
        <v>16213</v>
      </c>
      <c r="E6762" t="s">
        <v>16218</v>
      </c>
      <c r="F6762" t="s">
        <v>16221</v>
      </c>
      <c r="G6762" t="s">
        <v>16254</v>
      </c>
      <c r="H6762" t="s">
        <v>16254</v>
      </c>
      <c r="I6762" t="s">
        <v>16379</v>
      </c>
      <c r="J6762" t="s">
        <v>16386</v>
      </c>
      <c r="K6762">
        <v>0.165</v>
      </c>
      <c r="L6762">
        <v>7202</v>
      </c>
      <c r="M6762">
        <v>2038</v>
      </c>
      <c r="N6762" t="s">
        <v>16393</v>
      </c>
      <c r="O6762" s="4">
        <v>95272</v>
      </c>
      <c r="P6762" s="4">
        <v>144581</v>
      </c>
      <c r="Q6762" s="4">
        <v>239853</v>
      </c>
      <c r="R6762" s="4">
        <v>719559</v>
      </c>
      <c r="S6762" t="s">
        <v>22920</v>
      </c>
      <c r="T6762" s="6">
        <v>36770</v>
      </c>
      <c r="U6762" s="4">
        <v>428710</v>
      </c>
      <c r="V6762" t="s">
        <v>23740</v>
      </c>
      <c r="W6762" t="s">
        <v>27446</v>
      </c>
      <c r="X6762" t="s">
        <v>3</v>
      </c>
      <c r="AA6762" s="5" t="str">
        <f>HYPERLINK("https://www.zillow.com/homes/6348-EMERALD-CT-WILLOWBROOK-IL-60527_rb/","check listing")</f>
        <v>check listing</v>
      </c>
      <c r="AB6762" s="5" t="str">
        <f>HYPERLINK("https://propertylookup.dupagecounty.gov/Datalets/Datalet.aspx?UseSearch=no&amp;mode=sales&amp;pin=0923206013","sales record")</f>
        <v>sales record</v>
      </c>
      <c r="AC6762" t="s">
        <v>3</v>
      </c>
      <c r="AD6762">
        <v>41.772917</v>
      </c>
      <c r="AE6762">
        <v>-87.945503</v>
      </c>
      <c r="AF6762" s="5" t="str">
        <f>HYPERLINK("https://www.google.com/maps/search/?api=1&amp;query=41.772917,-87.945503","map")</f>
        <v>map</v>
      </c>
    </row>
    <row r="6763" spans="1:32">
      <c r="A6763" t="s">
        <v>6813</v>
      </c>
      <c r="B6763" t="s">
        <v>14270</v>
      </c>
      <c r="C6763" t="s">
        <v>16108</v>
      </c>
      <c r="D6763" t="s">
        <v>16213</v>
      </c>
      <c r="E6763" t="s">
        <v>16218</v>
      </c>
      <c r="F6763" t="s">
        <v>16221</v>
      </c>
      <c r="G6763" t="s">
        <v>16254</v>
      </c>
      <c r="H6763" t="s">
        <v>16254</v>
      </c>
      <c r="I6763" t="s">
        <v>16379</v>
      </c>
      <c r="J6763" t="s">
        <v>16386</v>
      </c>
      <c r="K6763">
        <v>0.161</v>
      </c>
      <c r="L6763">
        <v>7011</v>
      </c>
      <c r="M6763">
        <v>2207</v>
      </c>
      <c r="N6763" t="s">
        <v>16393</v>
      </c>
      <c r="O6763" s="4">
        <v>96880</v>
      </c>
      <c r="P6763" s="4">
        <v>135860</v>
      </c>
      <c r="Q6763" s="4">
        <v>232740</v>
      </c>
      <c r="R6763" s="4">
        <v>698220</v>
      </c>
      <c r="S6763" t="s">
        <v>22921</v>
      </c>
      <c r="T6763" s="6">
        <v>43009</v>
      </c>
      <c r="U6763" s="4">
        <v>465000</v>
      </c>
      <c r="V6763" t="s">
        <v>23739</v>
      </c>
      <c r="W6763" t="s">
        <v>27447</v>
      </c>
      <c r="X6763" t="s">
        <v>3</v>
      </c>
      <c r="AA6763" s="5" t="str">
        <f>HYPERLINK("https://www.zillow.com/homes/6401-EMERALD-CT-WILLOWBROOK-IL-605275394_rb/","check listing")</f>
        <v>check listing</v>
      </c>
      <c r="AB6763" s="5" t="str">
        <f>HYPERLINK("https://propertylookup.dupagecounty.gov/Datalets/Datalet.aspx?UseSearch=no&amp;mode=sales&amp;pin=0923207001","sales record")</f>
        <v>sales record</v>
      </c>
      <c r="AC6763" t="s">
        <v>3</v>
      </c>
      <c r="AD6763">
        <v>41.772593</v>
      </c>
      <c r="AE6763">
        <v>-87.94501200000001</v>
      </c>
      <c r="AF6763" s="5" t="str">
        <f>HYPERLINK("https://www.google.com/maps/search/?api=1&amp;query=41.772593,-87.945012","map")</f>
        <v>map</v>
      </c>
    </row>
    <row r="6764" spans="1:32">
      <c r="A6764" t="s">
        <v>6814</v>
      </c>
      <c r="B6764" t="s">
        <v>14271</v>
      </c>
      <c r="C6764" t="s">
        <v>16109</v>
      </c>
      <c r="D6764" t="s">
        <v>16213</v>
      </c>
      <c r="E6764" t="s">
        <v>16218</v>
      </c>
      <c r="F6764" t="s">
        <v>16221</v>
      </c>
      <c r="G6764" t="s">
        <v>16254</v>
      </c>
      <c r="H6764" t="s">
        <v>16254</v>
      </c>
      <c r="I6764" t="s">
        <v>16379</v>
      </c>
      <c r="J6764" t="s">
        <v>16386</v>
      </c>
      <c r="K6764">
        <v>0.16</v>
      </c>
      <c r="L6764">
        <v>6979</v>
      </c>
      <c r="M6764">
        <v>2124</v>
      </c>
      <c r="N6764" t="s">
        <v>16393</v>
      </c>
      <c r="O6764" s="4">
        <v>96153</v>
      </c>
      <c r="P6764" s="4">
        <v>130731</v>
      </c>
      <c r="Q6764" s="4">
        <v>226884</v>
      </c>
      <c r="R6764" s="4">
        <v>680652</v>
      </c>
      <c r="S6764" t="s">
        <v>22922</v>
      </c>
      <c r="T6764" s="6">
        <v>37773</v>
      </c>
      <c r="U6764" s="4">
        <v>500000</v>
      </c>
      <c r="V6764" t="s">
        <v>23739</v>
      </c>
      <c r="W6764" t="s">
        <v>27448</v>
      </c>
      <c r="X6764" t="s">
        <v>3</v>
      </c>
      <c r="AA6764" s="5" t="str">
        <f>HYPERLINK("https://www.zillow.com/homes/827-EMERALD-CT-WILLOWBROOK-IL-605275395_rb/","check listing")</f>
        <v>check listing</v>
      </c>
      <c r="AB6764" s="5" t="str">
        <f>HYPERLINK("https://propertylookup.dupagecounty.gov/Datalets/Datalet.aspx?UseSearch=no&amp;mode=sales&amp;pin=0923206034","sales record")</f>
        <v>sales record</v>
      </c>
      <c r="AC6764" t="s">
        <v>3</v>
      </c>
      <c r="AD6764">
        <v>41.771022</v>
      </c>
      <c r="AE6764">
        <v>-87.94380099999999</v>
      </c>
      <c r="AF6764" s="5" t="str">
        <f>HYPERLINK("https://www.google.com/maps/search/?api=1&amp;query=41.771022,-87.943801","map")</f>
        <v>map</v>
      </c>
    </row>
    <row r="6765" spans="1:32">
      <c r="A6765" t="s">
        <v>6815</v>
      </c>
      <c r="B6765" t="s">
        <v>14272</v>
      </c>
      <c r="C6765" t="s">
        <v>16107</v>
      </c>
      <c r="D6765" t="s">
        <v>16213</v>
      </c>
      <c r="E6765" t="s">
        <v>16218</v>
      </c>
      <c r="F6765" t="s">
        <v>16221</v>
      </c>
      <c r="G6765" t="s">
        <v>16254</v>
      </c>
      <c r="H6765" t="s">
        <v>16254</v>
      </c>
      <c r="I6765" t="s">
        <v>16379</v>
      </c>
      <c r="J6765" t="s">
        <v>16386</v>
      </c>
      <c r="K6765">
        <v>0.156</v>
      </c>
      <c r="L6765">
        <v>6799</v>
      </c>
      <c r="M6765">
        <v>2004</v>
      </c>
      <c r="N6765" t="s">
        <v>16393</v>
      </c>
      <c r="O6765" s="4">
        <v>89979</v>
      </c>
      <c r="P6765" s="4">
        <v>133865</v>
      </c>
      <c r="Q6765" s="4">
        <v>223844</v>
      </c>
      <c r="R6765" s="4">
        <v>671532</v>
      </c>
      <c r="S6765" t="s">
        <v>22923</v>
      </c>
      <c r="T6765" s="6">
        <v>45846</v>
      </c>
      <c r="U6765" s="4">
        <v>560000</v>
      </c>
      <c r="V6765" t="s">
        <v>23741</v>
      </c>
      <c r="W6765" t="s">
        <v>27449</v>
      </c>
      <c r="X6765" t="s">
        <v>3</v>
      </c>
      <c r="AA6765" s="5" t="str">
        <f>HYPERLINK("https://www.zillow.com/homes/860-TURNBERRY-LN-WILLOWBROOK-IL-60527_rb/","check listing")</f>
        <v>check listing</v>
      </c>
      <c r="AB6765" s="5" t="str">
        <f>HYPERLINK("https://propertylookup.dupagecounty.gov/Datalets/Datalet.aspx?UseSearch=no&amp;mode=sales&amp;pin=0923206012","sales record")</f>
        <v>sales record</v>
      </c>
      <c r="AC6765" t="s">
        <v>3</v>
      </c>
      <c r="AD6765">
        <v>41.77303</v>
      </c>
      <c r="AE6765">
        <v>-87.94530399999999</v>
      </c>
      <c r="AF6765" s="5" t="str">
        <f>HYPERLINK("https://www.google.com/maps/search/?api=1&amp;query=41.77303,-87.945304","map")</f>
        <v>map</v>
      </c>
    </row>
    <row r="6766" spans="1:32">
      <c r="A6766" t="s">
        <v>6816</v>
      </c>
      <c r="B6766" t="s">
        <v>14273</v>
      </c>
      <c r="C6766" t="s">
        <v>16107</v>
      </c>
      <c r="D6766" t="s">
        <v>16213</v>
      </c>
      <c r="E6766" t="s">
        <v>16218</v>
      </c>
      <c r="F6766" t="s">
        <v>16221</v>
      </c>
      <c r="G6766" t="s">
        <v>16254</v>
      </c>
      <c r="H6766" t="s">
        <v>16254</v>
      </c>
      <c r="I6766" t="s">
        <v>16379</v>
      </c>
      <c r="J6766" t="s">
        <v>16386</v>
      </c>
      <c r="K6766">
        <v>0.152</v>
      </c>
      <c r="L6766">
        <v>6625</v>
      </c>
      <c r="M6766">
        <v>1710</v>
      </c>
      <c r="N6766" t="s">
        <v>16393</v>
      </c>
      <c r="O6766" s="4">
        <v>107561</v>
      </c>
      <c r="P6766" s="4">
        <v>125167</v>
      </c>
      <c r="Q6766" s="4">
        <v>232728</v>
      </c>
      <c r="R6766" s="4">
        <v>698184</v>
      </c>
      <c r="S6766" t="s">
        <v>22924</v>
      </c>
      <c r="T6766" s="6">
        <v>36923</v>
      </c>
      <c r="U6766" s="4">
        <v>391075</v>
      </c>
      <c r="V6766" t="s">
        <v>23740</v>
      </c>
      <c r="W6766" t="s">
        <v>27450</v>
      </c>
      <c r="X6766" t="s">
        <v>3</v>
      </c>
      <c r="AA6766" s="5" t="str">
        <f>HYPERLINK("https://www.zillow.com/homes/836-TURNBERRY-LN-WILLOWBROOK-IL-60527_rb/","check listing")</f>
        <v>check listing</v>
      </c>
      <c r="AB6766" s="5" t="str">
        <f>HYPERLINK("https://propertylookup.dupagecounty.gov/Datalets/Datalet.aspx?UseSearch=no&amp;mode=sales&amp;pin=0923206008","sales record")</f>
        <v>sales record</v>
      </c>
      <c r="AC6766" t="s">
        <v>3</v>
      </c>
      <c r="AD6766">
        <v>41.772799</v>
      </c>
      <c r="AE6766">
        <v>-87.944436</v>
      </c>
      <c r="AF6766" s="5" t="str">
        <f>HYPERLINK("https://www.google.com/maps/search/?api=1&amp;query=41.772799,-87.944436","map")</f>
        <v>map</v>
      </c>
    </row>
    <row r="6767" spans="1:32">
      <c r="A6767" t="s">
        <v>6817</v>
      </c>
      <c r="B6767" t="s">
        <v>14274</v>
      </c>
      <c r="C6767" t="s">
        <v>16106</v>
      </c>
      <c r="D6767" t="s">
        <v>16213</v>
      </c>
      <c r="E6767" t="s">
        <v>16218</v>
      </c>
      <c r="F6767" t="s">
        <v>16221</v>
      </c>
      <c r="G6767" t="s">
        <v>16254</v>
      </c>
      <c r="H6767" t="s">
        <v>16254</v>
      </c>
      <c r="I6767" t="s">
        <v>16379</v>
      </c>
      <c r="J6767" t="s">
        <v>16386</v>
      </c>
      <c r="K6767">
        <v>0.151</v>
      </c>
      <c r="L6767">
        <v>6573</v>
      </c>
      <c r="M6767">
        <v>2226</v>
      </c>
      <c r="N6767" t="s">
        <v>16393</v>
      </c>
      <c r="O6767" s="4">
        <v>87995</v>
      </c>
      <c r="P6767" s="4">
        <v>124956</v>
      </c>
      <c r="Q6767" s="4">
        <v>212951</v>
      </c>
      <c r="R6767" s="4">
        <v>638853</v>
      </c>
      <c r="S6767" t="s">
        <v>22925</v>
      </c>
      <c r="T6767" s="6">
        <v>42522</v>
      </c>
      <c r="U6767" s="4">
        <v>405000</v>
      </c>
      <c r="V6767" t="s">
        <v>23740</v>
      </c>
      <c r="W6767" t="s">
        <v>27451</v>
      </c>
      <c r="X6767" t="s">
        <v>3</v>
      </c>
      <c r="AA6767" s="5" t="str">
        <f>HYPERLINK("https://www.zillow.com/homes/6354-EMERALD-CT-WILLOWBROOK-IL-60521_rb/","check listing")</f>
        <v>check listing</v>
      </c>
      <c r="AB6767" s="5" t="str">
        <f>HYPERLINK("https://propertylookup.dupagecounty.gov/Datalets/Datalet.aspx?UseSearch=no&amp;mode=sales&amp;pin=0923206014","sales record")</f>
        <v>sales record</v>
      </c>
      <c r="AC6767" t="s">
        <v>3</v>
      </c>
      <c r="AD6767">
        <v>41.772711</v>
      </c>
      <c r="AE6767">
        <v>-87.94552899999999</v>
      </c>
      <c r="AF6767" s="5" t="str">
        <f>HYPERLINK("https://www.google.com/maps/search/?api=1&amp;query=41.772711,-87.945529","map")</f>
        <v>map</v>
      </c>
    </row>
    <row r="6768" spans="1:32">
      <c r="A6768" t="s">
        <v>6818</v>
      </c>
      <c r="B6768" t="s">
        <v>14275</v>
      </c>
      <c r="C6768" t="s">
        <v>16107</v>
      </c>
      <c r="D6768" t="s">
        <v>16213</v>
      </c>
      <c r="E6768" t="s">
        <v>16218</v>
      </c>
      <c r="F6768" t="s">
        <v>16221</v>
      </c>
      <c r="G6768" t="s">
        <v>16254</v>
      </c>
      <c r="H6768" t="s">
        <v>16254</v>
      </c>
      <c r="I6768" t="s">
        <v>16379</v>
      </c>
      <c r="J6768" t="s">
        <v>16386</v>
      </c>
      <c r="K6768">
        <v>0.149</v>
      </c>
      <c r="L6768">
        <v>6492</v>
      </c>
      <c r="M6768">
        <v>2042</v>
      </c>
      <c r="N6768" t="s">
        <v>16393</v>
      </c>
      <c r="O6768" s="4">
        <v>102409</v>
      </c>
      <c r="P6768" s="4">
        <v>127350</v>
      </c>
      <c r="Q6768" s="4">
        <v>229759</v>
      </c>
      <c r="R6768" s="4">
        <v>689277</v>
      </c>
      <c r="S6768" t="s">
        <v>22926</v>
      </c>
      <c r="T6768" s="6">
        <v>42005</v>
      </c>
      <c r="U6768" s="4">
        <v>440000</v>
      </c>
      <c r="V6768" t="s">
        <v>23740</v>
      </c>
      <c r="W6768" t="s">
        <v>27452</v>
      </c>
      <c r="X6768" t="s">
        <v>3</v>
      </c>
      <c r="AA6768" s="5" t="str">
        <f>HYPERLINK("https://www.zillow.com/homes/835-TURNBERRY-LN-WILLOWBROOK-IL-60527_rb/","check listing")</f>
        <v>check listing</v>
      </c>
      <c r="AB6768" s="5" t="str">
        <f>HYPERLINK("https://propertylookup.dupagecounty.gov/Datalets/Datalet.aspx?UseSearch=no&amp;mode=sales&amp;pin=0923207007","sales record")</f>
        <v>sales record</v>
      </c>
      <c r="AC6768" t="s">
        <v>3</v>
      </c>
      <c r="AD6768">
        <v>41.772385</v>
      </c>
      <c r="AE6768">
        <v>-87.94447700000001</v>
      </c>
      <c r="AF6768" s="5" t="str">
        <f>HYPERLINK("https://www.google.com/maps/search/?api=1&amp;query=41.772385,-87.944477","map")</f>
        <v>map</v>
      </c>
    </row>
    <row r="6769" spans="1:32">
      <c r="A6769" t="s">
        <v>6819</v>
      </c>
      <c r="B6769" t="s">
        <v>14276</v>
      </c>
      <c r="C6769" t="s">
        <v>16107</v>
      </c>
      <c r="D6769" t="s">
        <v>16213</v>
      </c>
      <c r="E6769" t="s">
        <v>16218</v>
      </c>
      <c r="F6769" t="s">
        <v>16221</v>
      </c>
      <c r="G6769" t="s">
        <v>16254</v>
      </c>
      <c r="H6769" t="s">
        <v>16254</v>
      </c>
      <c r="I6769" t="s">
        <v>16379</v>
      </c>
      <c r="J6769" t="s">
        <v>16386</v>
      </c>
      <c r="K6769">
        <v>0.148</v>
      </c>
      <c r="L6769">
        <v>6451</v>
      </c>
      <c r="M6769">
        <v>1914</v>
      </c>
      <c r="N6769" t="s">
        <v>16393</v>
      </c>
      <c r="O6769" s="4">
        <v>90201</v>
      </c>
      <c r="P6769" s="4">
        <v>131306</v>
      </c>
      <c r="Q6769" s="4">
        <v>221507</v>
      </c>
      <c r="R6769" s="4">
        <v>664521</v>
      </c>
      <c r="S6769" t="s">
        <v>22927</v>
      </c>
      <c r="T6769" s="6">
        <v>36526</v>
      </c>
      <c r="U6769" s="4">
        <v>370652</v>
      </c>
      <c r="V6769" t="s">
        <v>23740</v>
      </c>
      <c r="W6769" t="s">
        <v>27453</v>
      </c>
      <c r="X6769" t="s">
        <v>3</v>
      </c>
      <c r="AA6769" s="5" t="str">
        <f>HYPERLINK("https://www.zillow.com/homes/6466-EMERALD-CT-WILLOWBROOK-IL-60527_rb/","check listing")</f>
        <v>check listing</v>
      </c>
      <c r="AB6769" s="5" t="str">
        <f>HYPERLINK("https://propertylookup.dupagecounty.gov/Datalets/Datalet.aspx?UseSearch=no&amp;mode=sales&amp;pin=0923206026","sales record")</f>
        <v>sales record</v>
      </c>
      <c r="AC6769" t="s">
        <v>3</v>
      </c>
      <c r="AD6769">
        <v>41.771068</v>
      </c>
      <c r="AE6769">
        <v>-87.945047</v>
      </c>
      <c r="AF6769" s="5" t="str">
        <f>HYPERLINK("https://www.google.com/maps/search/?api=1&amp;query=41.771068,-87.945047","map")</f>
        <v>map</v>
      </c>
    </row>
    <row r="6770" spans="1:32">
      <c r="A6770" t="s">
        <v>6820</v>
      </c>
      <c r="B6770" t="s">
        <v>14277</v>
      </c>
      <c r="C6770" t="s">
        <v>16108</v>
      </c>
      <c r="D6770" t="s">
        <v>16213</v>
      </c>
      <c r="E6770" t="s">
        <v>16218</v>
      </c>
      <c r="F6770" t="s">
        <v>16221</v>
      </c>
      <c r="G6770" t="s">
        <v>16254</v>
      </c>
      <c r="H6770" t="s">
        <v>16254</v>
      </c>
      <c r="I6770" t="s">
        <v>16379</v>
      </c>
      <c r="J6770" t="s">
        <v>16386</v>
      </c>
      <c r="K6770">
        <v>0.143</v>
      </c>
      <c r="L6770">
        <v>6214</v>
      </c>
      <c r="M6770">
        <v>2134</v>
      </c>
      <c r="N6770" t="s">
        <v>16393</v>
      </c>
      <c r="O6770" s="4">
        <v>100953</v>
      </c>
      <c r="P6770" s="4">
        <v>124686</v>
      </c>
      <c r="Q6770" s="4">
        <v>225639</v>
      </c>
      <c r="R6770" s="4">
        <v>676917</v>
      </c>
      <c r="S6770" t="s">
        <v>22928</v>
      </c>
      <c r="T6770" s="6">
        <v>43617</v>
      </c>
      <c r="U6770" s="4">
        <v>590000</v>
      </c>
      <c r="V6770" t="s">
        <v>23739</v>
      </c>
      <c r="W6770" t="s">
        <v>27454</v>
      </c>
      <c r="X6770" t="s">
        <v>3</v>
      </c>
      <c r="AA6770" s="5" t="str">
        <f>HYPERLINK("https://www.zillow.com/homes/6425-EMERALD-CT-WILLOWBROOK-IL-605275394_rb/","check listing")</f>
        <v>check listing</v>
      </c>
      <c r="AB6770" s="5" t="str">
        <f>HYPERLINK("https://propertylookup.dupagecounty.gov/Datalets/Datalet.aspx?UseSearch=no&amp;mode=sales&amp;pin=0923207005","sales record")</f>
        <v>sales record</v>
      </c>
      <c r="AC6770" t="s">
        <v>3</v>
      </c>
      <c r="AD6770">
        <v>41.772032</v>
      </c>
      <c r="AE6770">
        <v>-87.94484300000001</v>
      </c>
      <c r="AF6770" s="5" t="str">
        <f>HYPERLINK("https://www.google.com/maps/search/?api=1&amp;query=41.772032,-87.944843","map")</f>
        <v>map</v>
      </c>
    </row>
    <row r="6771" spans="1:32">
      <c r="A6771" t="s">
        <v>6821</v>
      </c>
      <c r="B6771" t="s">
        <v>14278</v>
      </c>
      <c r="C6771" t="s">
        <v>16107</v>
      </c>
      <c r="D6771" t="s">
        <v>16213</v>
      </c>
      <c r="E6771" t="s">
        <v>16218</v>
      </c>
      <c r="F6771" t="s">
        <v>16221</v>
      </c>
      <c r="G6771" t="s">
        <v>16254</v>
      </c>
      <c r="H6771" t="s">
        <v>16254</v>
      </c>
      <c r="I6771" t="s">
        <v>16379</v>
      </c>
      <c r="J6771" t="s">
        <v>16386</v>
      </c>
      <c r="K6771">
        <v>0.143</v>
      </c>
      <c r="L6771">
        <v>6210</v>
      </c>
      <c r="M6771">
        <v>2157</v>
      </c>
      <c r="N6771" t="s">
        <v>16393</v>
      </c>
      <c r="O6771" s="4">
        <v>90284</v>
      </c>
      <c r="P6771" s="4">
        <v>126575</v>
      </c>
      <c r="Q6771" s="4">
        <v>216859</v>
      </c>
      <c r="R6771" s="4">
        <v>650577</v>
      </c>
      <c r="S6771" t="s">
        <v>22929</v>
      </c>
      <c r="T6771" s="6">
        <v>43862</v>
      </c>
      <c r="U6771" s="4">
        <v>460000</v>
      </c>
      <c r="V6771" t="s">
        <v>16232</v>
      </c>
      <c r="W6771" t="s">
        <v>27455</v>
      </c>
      <c r="X6771" t="s">
        <v>3</v>
      </c>
      <c r="AA6771" s="5" t="str">
        <f>HYPERLINK("https://www.zillow.com/homes/841-TURNBERRY-LN-WILLOWBROOK-IL-60527_rb/","check listing")</f>
        <v>check listing</v>
      </c>
      <c r="AB6771" s="5" t="str">
        <f>HYPERLINK("https://propertylookup.dupagecounty.gov/Datalets/Datalet.aspx?UseSearch=no&amp;mode=sales&amp;pin=0923207008","sales record")</f>
        <v>sales record</v>
      </c>
      <c r="AC6771" t="s">
        <v>3</v>
      </c>
      <c r="AD6771">
        <v>41.772477</v>
      </c>
      <c r="AE6771">
        <v>-87.944694</v>
      </c>
      <c r="AF6771" s="5" t="str">
        <f>HYPERLINK("https://www.google.com/maps/search/?api=1&amp;query=41.772477,-87.944694","map")</f>
        <v>map</v>
      </c>
    </row>
    <row r="6772" spans="1:32">
      <c r="A6772" t="s">
        <v>6822</v>
      </c>
      <c r="B6772" t="s">
        <v>14279</v>
      </c>
      <c r="C6772" t="s">
        <v>16106</v>
      </c>
      <c r="D6772" t="s">
        <v>16213</v>
      </c>
      <c r="E6772" t="s">
        <v>16218</v>
      </c>
      <c r="F6772" t="s">
        <v>16221</v>
      </c>
      <c r="G6772" t="s">
        <v>16254</v>
      </c>
      <c r="H6772" t="s">
        <v>16254</v>
      </c>
      <c r="I6772" t="s">
        <v>16379</v>
      </c>
      <c r="J6772" t="s">
        <v>16386</v>
      </c>
      <c r="K6772">
        <v>0.142</v>
      </c>
      <c r="L6772">
        <v>6177</v>
      </c>
      <c r="M6772">
        <v>2186</v>
      </c>
      <c r="N6772" t="s">
        <v>16393</v>
      </c>
      <c r="O6772" s="4">
        <v>103711</v>
      </c>
      <c r="P6772" s="4">
        <v>130836</v>
      </c>
      <c r="Q6772" s="4">
        <v>234547</v>
      </c>
      <c r="R6772" s="4">
        <v>703641</v>
      </c>
      <c r="S6772" t="s">
        <v>22930</v>
      </c>
      <c r="T6772" s="6">
        <v>36526</v>
      </c>
      <c r="U6772" s="4">
        <v>434217</v>
      </c>
      <c r="V6772" t="s">
        <v>23740</v>
      </c>
      <c r="W6772" t="s">
        <v>27456</v>
      </c>
      <c r="X6772" t="s">
        <v>3</v>
      </c>
      <c r="AA6772" s="5" t="str">
        <f>HYPERLINK("https://www.zillow.com/homes/855-BRETON-LAKES-DR-WILLOWBROOK-IL-60521_rb/","check listing")</f>
        <v>check listing</v>
      </c>
      <c r="AB6772" s="5" t="str">
        <f>HYPERLINK("https://propertylookup.dupagecounty.gov/Datalets/Datalet.aspx?UseSearch=no&amp;mode=sales&amp;pin=0923206040","sales record")</f>
        <v>sales record</v>
      </c>
      <c r="AC6772" t="s">
        <v>3</v>
      </c>
      <c r="AD6772">
        <v>41.771695</v>
      </c>
      <c r="AE6772">
        <v>-87.944795</v>
      </c>
      <c r="AF6772" s="5" t="str">
        <f>HYPERLINK("https://www.google.com/maps/search/?api=1&amp;query=41.771695,-87.944795","map")</f>
        <v>map</v>
      </c>
    </row>
    <row r="6773" spans="1:32">
      <c r="A6773" t="s">
        <v>6823</v>
      </c>
      <c r="B6773" t="s">
        <v>14280</v>
      </c>
      <c r="C6773" t="s">
        <v>16110</v>
      </c>
      <c r="D6773" t="s">
        <v>16213</v>
      </c>
      <c r="E6773" t="s">
        <v>16218</v>
      </c>
      <c r="F6773" t="s">
        <v>16221</v>
      </c>
      <c r="G6773" t="s">
        <v>16254</v>
      </c>
      <c r="H6773" t="s">
        <v>16254</v>
      </c>
      <c r="I6773" t="s">
        <v>16379</v>
      </c>
      <c r="J6773" t="s">
        <v>16386</v>
      </c>
      <c r="K6773">
        <v>0.137</v>
      </c>
      <c r="L6773">
        <v>5981</v>
      </c>
      <c r="M6773">
        <v>2102</v>
      </c>
      <c r="N6773" t="s">
        <v>16393</v>
      </c>
      <c r="O6773" s="4">
        <v>91329</v>
      </c>
      <c r="P6773" s="4">
        <v>125015</v>
      </c>
      <c r="Q6773" s="4">
        <v>216344</v>
      </c>
      <c r="R6773" s="4">
        <v>649032</v>
      </c>
      <c r="S6773" t="s">
        <v>22931</v>
      </c>
      <c r="T6773" s="6">
        <v>36526</v>
      </c>
      <c r="U6773" s="4">
        <v>371497</v>
      </c>
      <c r="V6773" t="s">
        <v>23740</v>
      </c>
      <c r="W6773" t="s">
        <v>27457</v>
      </c>
      <c r="X6773" t="s">
        <v>3</v>
      </c>
      <c r="AA6773" s="5" t="str">
        <f>HYPERLINK("https://www.zillow.com/homes/854-TURNBERRY-LN-WILLOWBROOK-IL-605275390_rb/","check listing")</f>
        <v>check listing</v>
      </c>
      <c r="AB6773" s="5" t="str">
        <f>HYPERLINK("https://propertylookup.dupagecounty.gov/Datalets/Datalet.aspx?UseSearch=no&amp;mode=sales&amp;pin=0923206011","sales record")</f>
        <v>sales record</v>
      </c>
      <c r="AC6773" t="s">
        <v>3</v>
      </c>
      <c r="AD6773">
        <v>41.772965</v>
      </c>
      <c r="AE6773">
        <v>-87.945033</v>
      </c>
      <c r="AF6773" s="5" t="str">
        <f>HYPERLINK("https://www.google.com/maps/search/?api=1&amp;query=41.772965,-87.945033","map")</f>
        <v>map</v>
      </c>
    </row>
    <row r="6774" spans="1:32">
      <c r="A6774" t="s">
        <v>6824</v>
      </c>
      <c r="B6774" t="s">
        <v>14281</v>
      </c>
      <c r="C6774" t="s">
        <v>16106</v>
      </c>
      <c r="D6774" t="s">
        <v>16213</v>
      </c>
      <c r="E6774" t="s">
        <v>16218</v>
      </c>
      <c r="F6774" t="s">
        <v>16221</v>
      </c>
      <c r="G6774" t="s">
        <v>16254</v>
      </c>
      <c r="H6774" t="s">
        <v>16254</v>
      </c>
      <c r="I6774" t="s">
        <v>16379</v>
      </c>
      <c r="J6774" t="s">
        <v>16386</v>
      </c>
      <c r="K6774">
        <v>0.137</v>
      </c>
      <c r="L6774">
        <v>5953</v>
      </c>
      <c r="M6774">
        <v>1934</v>
      </c>
      <c r="N6774" t="s">
        <v>16393</v>
      </c>
      <c r="O6774" s="4">
        <v>75554</v>
      </c>
      <c r="P6774" s="4">
        <v>125519</v>
      </c>
      <c r="Q6774" s="4">
        <v>201073</v>
      </c>
      <c r="R6774" s="4">
        <v>603219</v>
      </c>
      <c r="S6774" t="s">
        <v>22932</v>
      </c>
      <c r="T6774" s="6">
        <v>37073</v>
      </c>
      <c r="U6774" s="4">
        <v>422045</v>
      </c>
      <c r="V6774" t="s">
        <v>23740</v>
      </c>
      <c r="W6774" t="s">
        <v>27458</v>
      </c>
      <c r="X6774" t="s">
        <v>3</v>
      </c>
      <c r="AA6774" s="5" t="str">
        <f>HYPERLINK("https://www.zillow.com/homes/857-EMERALD-CT-WILLOWBROOK-IL-60521_rb/","check listing")</f>
        <v>check listing</v>
      </c>
      <c r="AB6774" s="5" t="str">
        <f>HYPERLINK("https://propertylookup.dupagecounty.gov/Datalets/Datalet.aspx?UseSearch=no&amp;mode=sales&amp;pin=0923206029","sales record")</f>
        <v>sales record</v>
      </c>
      <c r="AC6774" t="s">
        <v>3</v>
      </c>
      <c r="AD6774">
        <v>41.770999</v>
      </c>
      <c r="AE6774">
        <v>-87.944793</v>
      </c>
      <c r="AF6774" s="5" t="str">
        <f>HYPERLINK("https://www.google.com/maps/search/?api=1&amp;query=41.770999,-87.944793","map")</f>
        <v>map</v>
      </c>
    </row>
    <row r="6775" spans="1:32">
      <c r="A6775" t="s">
        <v>6825</v>
      </c>
      <c r="B6775" t="s">
        <v>14282</v>
      </c>
      <c r="C6775" t="s">
        <v>16109</v>
      </c>
      <c r="D6775" t="s">
        <v>16213</v>
      </c>
      <c r="E6775" t="s">
        <v>16218</v>
      </c>
      <c r="F6775" t="s">
        <v>16221</v>
      </c>
      <c r="G6775" t="s">
        <v>16254</v>
      </c>
      <c r="H6775" t="s">
        <v>16254</v>
      </c>
      <c r="I6775" t="s">
        <v>16379</v>
      </c>
      <c r="J6775" t="s">
        <v>16386</v>
      </c>
      <c r="K6775">
        <v>0.136</v>
      </c>
      <c r="L6775">
        <v>5903</v>
      </c>
      <c r="M6775">
        <v>1923</v>
      </c>
      <c r="N6775" t="s">
        <v>16393</v>
      </c>
      <c r="O6775" s="4">
        <v>85566</v>
      </c>
      <c r="P6775" s="4">
        <v>137831</v>
      </c>
      <c r="Q6775" s="4">
        <v>223397</v>
      </c>
      <c r="R6775" s="4">
        <v>670191</v>
      </c>
      <c r="S6775" t="s">
        <v>22933</v>
      </c>
      <c r="T6775" s="6">
        <v>43678</v>
      </c>
      <c r="U6775" s="4">
        <v>580000</v>
      </c>
      <c r="V6775" t="s">
        <v>23740</v>
      </c>
      <c r="W6775" t="s">
        <v>27459</v>
      </c>
      <c r="X6775" t="s">
        <v>3</v>
      </c>
      <c r="AA6775" s="5" t="str">
        <f>HYPERLINK("https://www.zillow.com/homes/833-EMERALD-CT-WILLOWBROOK-IL-605275395_rb/","check listing")</f>
        <v>check listing</v>
      </c>
      <c r="AB6775" s="5" t="str">
        <f>HYPERLINK("https://propertylookup.dupagecounty.gov/Datalets/Datalet.aspx?UseSearch=no&amp;mode=sales&amp;pin=0923206033","sales record")</f>
        <v>sales record</v>
      </c>
      <c r="AC6775" t="s">
        <v>3</v>
      </c>
      <c r="AD6775">
        <v>41.770992</v>
      </c>
      <c r="AE6775">
        <v>-87.944045</v>
      </c>
      <c r="AF6775" s="5" t="str">
        <f>HYPERLINK("https://www.google.com/maps/search/?api=1&amp;query=41.770992,-87.944045","map")</f>
        <v>map</v>
      </c>
    </row>
    <row r="6776" spans="1:32">
      <c r="A6776" t="s">
        <v>6826</v>
      </c>
      <c r="B6776" t="s">
        <v>14283</v>
      </c>
      <c r="C6776" t="s">
        <v>16111</v>
      </c>
      <c r="D6776" t="s">
        <v>16213</v>
      </c>
      <c r="E6776" t="s">
        <v>16218</v>
      </c>
      <c r="F6776" t="s">
        <v>16221</v>
      </c>
      <c r="G6776" t="s">
        <v>16254</v>
      </c>
      <c r="H6776" t="s">
        <v>16254</v>
      </c>
      <c r="I6776" t="s">
        <v>16379</v>
      </c>
      <c r="J6776" t="s">
        <v>16386</v>
      </c>
      <c r="K6776">
        <v>0.132</v>
      </c>
      <c r="L6776">
        <v>5752</v>
      </c>
      <c r="M6776">
        <v>2177</v>
      </c>
      <c r="N6776" t="s">
        <v>16393</v>
      </c>
      <c r="O6776" s="4">
        <v>86070</v>
      </c>
      <c r="P6776" s="4">
        <v>148560</v>
      </c>
      <c r="Q6776" s="4">
        <v>234630</v>
      </c>
      <c r="R6776" s="4">
        <v>703890</v>
      </c>
      <c r="S6776" t="s">
        <v>22934</v>
      </c>
      <c r="T6776" s="6">
        <v>43770</v>
      </c>
      <c r="U6776" s="4">
        <v>630000</v>
      </c>
      <c r="V6776" t="s">
        <v>23739</v>
      </c>
      <c r="W6776" t="s">
        <v>27460</v>
      </c>
      <c r="X6776" t="s">
        <v>3</v>
      </c>
      <c r="AA6776" s="5" t="str">
        <f>HYPERLINK("https://www.zillow.com/homes/6433-BRETON-LAKES-DR-WILLOWBROOK-IL-605275399_rb/","check listing")</f>
        <v>check listing</v>
      </c>
      <c r="AB6776" s="5" t="str">
        <f>HYPERLINK("https://propertylookup.dupagecounty.gov/Datalets/Datalet.aspx?UseSearch=no&amp;mode=sales&amp;pin=0923206043","sales record")</f>
        <v>sales record</v>
      </c>
      <c r="AC6776" t="s">
        <v>3</v>
      </c>
      <c r="AD6776">
        <v>41.771845</v>
      </c>
      <c r="AE6776">
        <v>-87.94419600000001</v>
      </c>
      <c r="AF6776" s="5" t="str">
        <f>HYPERLINK("https://www.google.com/maps/search/?api=1&amp;query=41.771845,-87.944196","map")</f>
        <v>map</v>
      </c>
    </row>
    <row r="6777" spans="1:32">
      <c r="A6777" t="s">
        <v>6827</v>
      </c>
      <c r="B6777" t="s">
        <v>14284</v>
      </c>
      <c r="C6777" t="s">
        <v>16106</v>
      </c>
      <c r="D6777" t="s">
        <v>16213</v>
      </c>
      <c r="E6777" t="s">
        <v>16218</v>
      </c>
      <c r="F6777" t="s">
        <v>16221</v>
      </c>
      <c r="G6777" t="s">
        <v>16254</v>
      </c>
      <c r="H6777" t="s">
        <v>16254</v>
      </c>
      <c r="I6777" t="s">
        <v>16379</v>
      </c>
      <c r="J6777" t="s">
        <v>16386</v>
      </c>
      <c r="K6777">
        <v>0.132</v>
      </c>
      <c r="L6777">
        <v>5731</v>
      </c>
      <c r="M6777">
        <v>2102</v>
      </c>
      <c r="N6777" t="s">
        <v>16393</v>
      </c>
      <c r="O6777" s="4">
        <v>83664</v>
      </c>
      <c r="P6777" s="4">
        <v>152915</v>
      </c>
      <c r="Q6777" s="4">
        <v>236579</v>
      </c>
      <c r="R6777" s="4">
        <v>709737</v>
      </c>
      <c r="S6777" t="s">
        <v>22935</v>
      </c>
      <c r="T6777" s="6">
        <v>39356</v>
      </c>
      <c r="U6777" s="4">
        <v>620000</v>
      </c>
      <c r="V6777" t="s">
        <v>23739</v>
      </c>
      <c r="W6777" t="s">
        <v>27461</v>
      </c>
      <c r="X6777" t="s">
        <v>3</v>
      </c>
      <c r="AA6777" s="5" t="str">
        <f>HYPERLINK("https://www.zillow.com/homes/6427-BRETON-LAKES-DR-WILLOWBROOK-IL-60521_rb/","check listing")</f>
        <v>check listing</v>
      </c>
      <c r="AB6777" s="5" t="str">
        <f>HYPERLINK("https://propertylookup.dupagecounty.gov/Datalets/Datalet.aspx?UseSearch=no&amp;mode=sales&amp;pin=0923206044","sales record")</f>
        <v>sales record</v>
      </c>
      <c r="AC6777" t="s">
        <v>3</v>
      </c>
      <c r="AD6777">
        <v>41.772003</v>
      </c>
      <c r="AE6777">
        <v>-87.944114</v>
      </c>
      <c r="AF6777" s="5" t="str">
        <f>HYPERLINK("https://www.google.com/maps/search/?api=1&amp;query=41.772003,-87.944114","map")</f>
        <v>map</v>
      </c>
    </row>
    <row r="6778" spans="1:32">
      <c r="A6778" t="s">
        <v>6828</v>
      </c>
      <c r="B6778" t="s">
        <v>14285</v>
      </c>
      <c r="C6778" t="s">
        <v>16107</v>
      </c>
      <c r="D6778" t="s">
        <v>16213</v>
      </c>
      <c r="E6778" t="s">
        <v>16218</v>
      </c>
      <c r="F6778" t="s">
        <v>16221</v>
      </c>
      <c r="G6778" t="s">
        <v>16254</v>
      </c>
      <c r="H6778" t="s">
        <v>16254</v>
      </c>
      <c r="I6778" t="s">
        <v>16379</v>
      </c>
      <c r="J6778" t="s">
        <v>16386</v>
      </c>
      <c r="K6778">
        <v>0.129</v>
      </c>
      <c r="L6778">
        <v>5622</v>
      </c>
      <c r="M6778">
        <v>1957</v>
      </c>
      <c r="N6778" t="s">
        <v>16393</v>
      </c>
      <c r="O6778" s="4">
        <v>82513</v>
      </c>
      <c r="P6778" s="4">
        <v>132621</v>
      </c>
      <c r="Q6778" s="4">
        <v>215134</v>
      </c>
      <c r="R6778" s="4">
        <v>645402</v>
      </c>
      <c r="S6778" t="s">
        <v>22936</v>
      </c>
      <c r="T6778" s="6">
        <v>43070</v>
      </c>
      <c r="U6778" s="4">
        <v>482500</v>
      </c>
      <c r="V6778" t="s">
        <v>23740</v>
      </c>
      <c r="W6778" t="s">
        <v>27462</v>
      </c>
      <c r="X6778" t="s">
        <v>3</v>
      </c>
      <c r="AA6778" s="5" t="str">
        <f>HYPERLINK("https://www.zillow.com/homes/843-BRETON-LAKES-DR-WILLOWBROOK-IL-60527_rb/","check listing")</f>
        <v>check listing</v>
      </c>
      <c r="AB6778" s="5" t="str">
        <f>HYPERLINK("https://propertylookup.dupagecounty.gov/Datalets/Datalet.aspx?UseSearch=no&amp;mode=sales&amp;pin=0923206042","sales record")</f>
        <v>sales record</v>
      </c>
      <c r="AC6778" t="s">
        <v>3</v>
      </c>
      <c r="AD6778">
        <v>41.771818</v>
      </c>
      <c r="AE6778">
        <v>-87.944413</v>
      </c>
      <c r="AF6778" s="5" t="str">
        <f>HYPERLINK("https://www.google.com/maps/search/?api=1&amp;query=41.771818,-87.944413","map")</f>
        <v>map</v>
      </c>
    </row>
    <row r="6779" spans="1:32">
      <c r="A6779" t="s">
        <v>6829</v>
      </c>
      <c r="B6779" t="s">
        <v>14286</v>
      </c>
      <c r="C6779" t="s">
        <v>16109</v>
      </c>
      <c r="D6779" t="s">
        <v>16213</v>
      </c>
      <c r="E6779" t="s">
        <v>16218</v>
      </c>
      <c r="F6779" t="s">
        <v>16221</v>
      </c>
      <c r="G6779" t="s">
        <v>16254</v>
      </c>
      <c r="H6779" t="s">
        <v>16254</v>
      </c>
      <c r="I6779" t="s">
        <v>16379</v>
      </c>
      <c r="J6779" t="s">
        <v>16386</v>
      </c>
      <c r="K6779">
        <v>0.129</v>
      </c>
      <c r="L6779">
        <v>5601</v>
      </c>
      <c r="M6779">
        <v>2174</v>
      </c>
      <c r="N6779" t="s">
        <v>16393</v>
      </c>
      <c r="O6779" s="4">
        <v>81774</v>
      </c>
      <c r="P6779" s="4">
        <v>136060</v>
      </c>
      <c r="Q6779" s="4">
        <v>217834</v>
      </c>
      <c r="R6779" s="4">
        <v>653502</v>
      </c>
      <c r="S6779" t="s">
        <v>22937</v>
      </c>
      <c r="T6779" s="6">
        <v>36647</v>
      </c>
      <c r="U6779" s="4">
        <v>412000</v>
      </c>
      <c r="V6779" t="s">
        <v>16232</v>
      </c>
      <c r="W6779" t="s">
        <v>27463</v>
      </c>
      <c r="X6779" t="s">
        <v>3</v>
      </c>
      <c r="AA6779" s="5" t="str">
        <f>HYPERLINK("https://www.zillow.com/homes/821-EMERALD-CT-WILLOWBROOK-IL-605275395_rb/","check listing")</f>
        <v>check listing</v>
      </c>
      <c r="AB6779" s="5" t="str">
        <f>HYPERLINK("https://propertylookup.dupagecounty.gov/Datalets/Datalet.aspx?UseSearch=no&amp;mode=sales&amp;pin=0923206035","sales record")</f>
        <v>sales record</v>
      </c>
      <c r="AC6779" t="s">
        <v>3</v>
      </c>
      <c r="AD6779">
        <v>41.771191</v>
      </c>
      <c r="AE6779">
        <v>-87.943763</v>
      </c>
      <c r="AF6779" s="5" t="str">
        <f>HYPERLINK("https://www.google.com/maps/search/?api=1&amp;query=41.771191,-87.943763","map")</f>
        <v>map</v>
      </c>
    </row>
    <row r="6780" spans="1:32">
      <c r="A6780" t="s">
        <v>6830</v>
      </c>
      <c r="B6780" t="s">
        <v>14287</v>
      </c>
      <c r="C6780" t="s">
        <v>16106</v>
      </c>
      <c r="D6780" t="s">
        <v>16213</v>
      </c>
      <c r="E6780" t="s">
        <v>16218</v>
      </c>
      <c r="F6780" t="s">
        <v>16221</v>
      </c>
      <c r="G6780" t="s">
        <v>16254</v>
      </c>
      <c r="H6780" t="s">
        <v>16254</v>
      </c>
      <c r="I6780" t="s">
        <v>16379</v>
      </c>
      <c r="J6780" t="s">
        <v>16386</v>
      </c>
      <c r="K6780">
        <v>0.123</v>
      </c>
      <c r="L6780">
        <v>5358</v>
      </c>
      <c r="M6780">
        <v>1898</v>
      </c>
      <c r="N6780" t="s">
        <v>16393</v>
      </c>
      <c r="O6780" s="4">
        <v>88911</v>
      </c>
      <c r="P6780" s="4">
        <v>130379</v>
      </c>
      <c r="Q6780" s="4">
        <v>219290</v>
      </c>
      <c r="R6780" s="4">
        <v>657870</v>
      </c>
      <c r="S6780" t="s">
        <v>22938</v>
      </c>
      <c r="T6780" s="6">
        <v>38899</v>
      </c>
      <c r="U6780" s="4">
        <v>565000</v>
      </c>
      <c r="V6780" t="s">
        <v>23739</v>
      </c>
      <c r="W6780" t="s">
        <v>27464</v>
      </c>
      <c r="X6780" t="s">
        <v>3</v>
      </c>
      <c r="AA6780" s="5" t="str">
        <f>HYPERLINK("https://www.zillow.com/homes/848-TURNBERRY-LN-WILLOWBROOK-IL-60521_rb/","check listing")</f>
        <v>check listing</v>
      </c>
      <c r="AB6780" s="5" t="str">
        <f>HYPERLINK("https://propertylookup.dupagecounty.gov/Datalets/Datalet.aspx?UseSearch=no&amp;mode=sales&amp;pin=0923206010","sales record")</f>
        <v>sales record</v>
      </c>
      <c r="AC6780" t="s">
        <v>3</v>
      </c>
      <c r="AD6780">
        <v>41.772911</v>
      </c>
      <c r="AE6780">
        <v>-87.94484300000001</v>
      </c>
      <c r="AF6780" s="5" t="str">
        <f>HYPERLINK("https://www.google.com/maps/search/?api=1&amp;query=41.772911,-87.944843","map")</f>
        <v>map</v>
      </c>
    </row>
    <row r="6781" spans="1:32">
      <c r="A6781" t="s">
        <v>6831</v>
      </c>
      <c r="B6781" t="s">
        <v>14288</v>
      </c>
      <c r="C6781" t="s">
        <v>16107</v>
      </c>
      <c r="D6781" t="s">
        <v>16213</v>
      </c>
      <c r="E6781" t="s">
        <v>16218</v>
      </c>
      <c r="F6781" t="s">
        <v>16221</v>
      </c>
      <c r="G6781" t="s">
        <v>16254</v>
      </c>
      <c r="H6781" t="s">
        <v>16254</v>
      </c>
      <c r="I6781" t="s">
        <v>16379</v>
      </c>
      <c r="J6781" t="s">
        <v>16386</v>
      </c>
      <c r="K6781">
        <v>0.121</v>
      </c>
      <c r="L6781">
        <v>5279</v>
      </c>
      <c r="M6781">
        <v>1764</v>
      </c>
      <c r="N6781" t="s">
        <v>16393</v>
      </c>
      <c r="O6781" s="4">
        <v>80201</v>
      </c>
      <c r="P6781" s="4">
        <v>126118</v>
      </c>
      <c r="Q6781" s="4">
        <v>206319</v>
      </c>
      <c r="R6781" s="4">
        <v>618957</v>
      </c>
      <c r="S6781" t="s">
        <v>22939</v>
      </c>
      <c r="T6781" s="6">
        <v>45854</v>
      </c>
      <c r="U6781" s="4">
        <v>715000</v>
      </c>
      <c r="V6781" t="s">
        <v>23739</v>
      </c>
      <c r="W6781" t="s">
        <v>27465</v>
      </c>
      <c r="X6781" t="s">
        <v>3</v>
      </c>
      <c r="AA6781" s="5" t="str">
        <f>HYPERLINK("https://www.zillow.com/homes/815-EMERALD-CT-WILLOWBROOK-IL-60527_rb/","check listing")</f>
        <v>check listing</v>
      </c>
      <c r="AB6781" s="5" t="str">
        <f>HYPERLINK("https://propertylookup.dupagecounty.gov/Datalets/Datalet.aspx?UseSearch=no&amp;mode=sales&amp;pin=0923206036","sales record")</f>
        <v>sales record</v>
      </c>
      <c r="AC6781" t="s">
        <v>3</v>
      </c>
      <c r="AD6781">
        <v>41.771382</v>
      </c>
      <c r="AE6781">
        <v>-87.94378399999999</v>
      </c>
      <c r="AF6781" s="5" t="str">
        <f>HYPERLINK("https://www.google.com/maps/search/?api=1&amp;query=41.771382,-87.943784","map")</f>
        <v>map</v>
      </c>
    </row>
    <row r="6782" spans="1:32">
      <c r="A6782" t="s">
        <v>6832</v>
      </c>
      <c r="B6782" t="s">
        <v>14289</v>
      </c>
      <c r="C6782" t="s">
        <v>16112</v>
      </c>
      <c r="D6782" t="s">
        <v>16213</v>
      </c>
      <c r="E6782" t="s">
        <v>16218</v>
      </c>
      <c r="F6782" t="s">
        <v>16221</v>
      </c>
      <c r="G6782" t="s">
        <v>16254</v>
      </c>
      <c r="H6782" t="s">
        <v>16254</v>
      </c>
      <c r="I6782" t="s">
        <v>16379</v>
      </c>
      <c r="J6782" t="s">
        <v>16386</v>
      </c>
      <c r="K6782">
        <v>0.12</v>
      </c>
      <c r="L6782">
        <v>5220</v>
      </c>
      <c r="M6782">
        <v>1875</v>
      </c>
      <c r="N6782" t="s">
        <v>16393</v>
      </c>
      <c r="O6782" s="4">
        <v>85378</v>
      </c>
      <c r="P6782" s="4">
        <v>131094</v>
      </c>
      <c r="Q6782" s="4">
        <v>216472</v>
      </c>
      <c r="R6782" s="4">
        <v>649416</v>
      </c>
      <c r="S6782" t="s">
        <v>22940</v>
      </c>
      <c r="T6782" s="6">
        <v>36770</v>
      </c>
      <c r="U6782" s="4">
        <v>390000</v>
      </c>
      <c r="V6782" t="s">
        <v>23740</v>
      </c>
      <c r="W6782" t="s">
        <v>27466</v>
      </c>
      <c r="X6782" t="s">
        <v>3</v>
      </c>
      <c r="AA6782" s="5" t="str">
        <f>HYPERLINK("https://www.zillow.com/homes/6310-BRETON-LAKES-DR-WILLOWBROOK-IL-605275387_rb/","check listing")</f>
        <v>check listing</v>
      </c>
      <c r="AB6782" s="5" t="str">
        <f>HYPERLINK("https://propertylookup.dupagecounty.gov/Datalets/Datalet.aspx?UseSearch=no&amp;mode=sales&amp;pin=0923206002","sales record")</f>
        <v>sales record</v>
      </c>
      <c r="AC6782" t="s">
        <v>3</v>
      </c>
      <c r="AD6782">
        <v>41.773894</v>
      </c>
      <c r="AE6782">
        <v>-87.944356</v>
      </c>
      <c r="AF6782" s="5" t="str">
        <f>HYPERLINK("https://www.google.com/maps/search/?api=1&amp;query=41.773894,-87.944356","map")</f>
        <v>map</v>
      </c>
    </row>
    <row r="6783" spans="1:32">
      <c r="A6783" t="s">
        <v>6833</v>
      </c>
      <c r="B6783" t="s">
        <v>14290</v>
      </c>
      <c r="C6783" t="s">
        <v>16110</v>
      </c>
      <c r="D6783" t="s">
        <v>16213</v>
      </c>
      <c r="E6783" t="s">
        <v>16218</v>
      </c>
      <c r="F6783" t="s">
        <v>16221</v>
      </c>
      <c r="G6783" t="s">
        <v>16254</v>
      </c>
      <c r="H6783" t="s">
        <v>16254</v>
      </c>
      <c r="I6783" t="s">
        <v>16379</v>
      </c>
      <c r="J6783" t="s">
        <v>16386</v>
      </c>
      <c r="K6783">
        <v>0.119</v>
      </c>
      <c r="L6783">
        <v>5197</v>
      </c>
      <c r="M6783">
        <v>2036</v>
      </c>
      <c r="N6783" t="s">
        <v>16393</v>
      </c>
      <c r="O6783" s="4">
        <v>90484</v>
      </c>
      <c r="P6783" s="4">
        <v>125437</v>
      </c>
      <c r="Q6783" s="4">
        <v>215921</v>
      </c>
      <c r="R6783" s="4">
        <v>647763</v>
      </c>
      <c r="S6783" t="s">
        <v>22941</v>
      </c>
      <c r="T6783" s="6">
        <v>37012</v>
      </c>
      <c r="U6783" s="4">
        <v>413311</v>
      </c>
      <c r="V6783" t="s">
        <v>23740</v>
      </c>
      <c r="W6783" t="s">
        <v>27467</v>
      </c>
      <c r="X6783" t="s">
        <v>3</v>
      </c>
      <c r="AA6783" s="5" t="str">
        <f>HYPERLINK("https://www.zillow.com/homes/842-TURNBERRY-LN-WILLOWBROOK-IL-605275390_rb/","check listing")</f>
        <v>check listing</v>
      </c>
      <c r="AB6783" s="5" t="str">
        <f>HYPERLINK("https://propertylookup.dupagecounty.gov/Datalets/Datalet.aspx?UseSearch=no&amp;mode=sales&amp;pin=0923206009","sales record")</f>
        <v>sales record</v>
      </c>
      <c r="AC6783" t="s">
        <v>3</v>
      </c>
      <c r="AD6783">
        <v>41.772846</v>
      </c>
      <c r="AE6783">
        <v>-87.94465700000001</v>
      </c>
      <c r="AF6783" s="5" t="str">
        <f>HYPERLINK("https://www.google.com/maps/search/?api=1&amp;query=41.772846,-87.944657","map")</f>
        <v>map</v>
      </c>
    </row>
    <row r="6784" spans="1:32">
      <c r="A6784" t="s">
        <v>6834</v>
      </c>
      <c r="B6784" t="s">
        <v>14291</v>
      </c>
      <c r="C6784" t="s">
        <v>16111</v>
      </c>
      <c r="D6784" t="s">
        <v>16213</v>
      </c>
      <c r="E6784" t="s">
        <v>16218</v>
      </c>
      <c r="F6784" t="s">
        <v>16221</v>
      </c>
      <c r="G6784" t="s">
        <v>16254</v>
      </c>
      <c r="H6784" t="s">
        <v>16254</v>
      </c>
      <c r="I6784" t="s">
        <v>16379</v>
      </c>
      <c r="J6784" t="s">
        <v>16386</v>
      </c>
      <c r="K6784">
        <v>0.119</v>
      </c>
      <c r="L6784">
        <v>5190</v>
      </c>
      <c r="M6784">
        <v>1956</v>
      </c>
      <c r="N6784" t="s">
        <v>16393</v>
      </c>
      <c r="O6784" s="4">
        <v>88112</v>
      </c>
      <c r="P6784" s="4">
        <v>131423</v>
      </c>
      <c r="Q6784" s="4">
        <v>219535</v>
      </c>
      <c r="R6784" s="4">
        <v>658605</v>
      </c>
      <c r="S6784" t="s">
        <v>22942</v>
      </c>
      <c r="T6784" s="6">
        <v>44287</v>
      </c>
      <c r="U6784" s="4">
        <v>550000</v>
      </c>
      <c r="V6784" t="s">
        <v>23740</v>
      </c>
      <c r="W6784" t="s">
        <v>22942</v>
      </c>
      <c r="X6784" t="s">
        <v>3</v>
      </c>
      <c r="AA6784" s="5" t="str">
        <f>HYPERLINK("https://www.zillow.com/homes/6403-BRETON-LAKES-DR-WILLOWBROOK-IL-605275399_rb/","check listing")</f>
        <v>check listing</v>
      </c>
      <c r="AB6784" s="5" t="str">
        <f>HYPERLINK("https://propertylookup.dupagecounty.gov/Datalets/Datalet.aspx?UseSearch=no&amp;mode=sales&amp;pin=0923206049","sales record")</f>
        <v>sales record</v>
      </c>
      <c r="AC6784" t="s">
        <v>3</v>
      </c>
      <c r="AD6784">
        <v>41.772628</v>
      </c>
      <c r="AE6784">
        <v>-87.944042</v>
      </c>
      <c r="AF6784" s="5" t="str">
        <f>HYPERLINK("https://www.google.com/maps/search/?api=1&amp;query=41.772628,-87.944042","map")</f>
        <v>map</v>
      </c>
    </row>
    <row r="6785" spans="1:32">
      <c r="A6785" t="s">
        <v>6835</v>
      </c>
      <c r="B6785" t="s">
        <v>14292</v>
      </c>
      <c r="C6785" t="s">
        <v>16112</v>
      </c>
      <c r="D6785" t="s">
        <v>16213</v>
      </c>
      <c r="E6785" t="s">
        <v>16218</v>
      </c>
      <c r="F6785" t="s">
        <v>16221</v>
      </c>
      <c r="G6785" t="s">
        <v>16254</v>
      </c>
      <c r="H6785" t="s">
        <v>16254</v>
      </c>
      <c r="I6785" t="s">
        <v>16379</v>
      </c>
      <c r="J6785" t="s">
        <v>16386</v>
      </c>
      <c r="K6785">
        <v>0.116</v>
      </c>
      <c r="L6785">
        <v>5060</v>
      </c>
      <c r="M6785">
        <v>2060</v>
      </c>
      <c r="N6785" t="s">
        <v>16393</v>
      </c>
      <c r="O6785" s="4">
        <v>82807</v>
      </c>
      <c r="P6785" s="4">
        <v>117913</v>
      </c>
      <c r="Q6785" s="4">
        <v>200720</v>
      </c>
      <c r="R6785" s="4">
        <v>602160</v>
      </c>
      <c r="S6785" t="s">
        <v>22943</v>
      </c>
      <c r="T6785" s="6">
        <v>36708</v>
      </c>
      <c r="U6785" s="4">
        <v>380000</v>
      </c>
      <c r="V6785" t="s">
        <v>23740</v>
      </c>
      <c r="W6785" t="s">
        <v>22943</v>
      </c>
      <c r="X6785" t="s">
        <v>3</v>
      </c>
      <c r="AA6785" s="5" t="str">
        <f>HYPERLINK("https://www.zillow.com/homes/6316-BRETON-LAKES-DR-WILLOWBROOK-IL-605275387_rb/","check listing")</f>
        <v>check listing</v>
      </c>
      <c r="AB6785" s="5" t="str">
        <f>HYPERLINK("https://propertylookup.dupagecounty.gov/Datalets/Datalet.aspx?UseSearch=no&amp;mode=sales&amp;pin=0923206003","sales record")</f>
        <v>sales record</v>
      </c>
      <c r="AC6785" t="s">
        <v>3</v>
      </c>
      <c r="AD6785">
        <v>41.773757</v>
      </c>
      <c r="AE6785">
        <v>-87.944333</v>
      </c>
      <c r="AF6785" s="5" t="str">
        <f>HYPERLINK("https://www.google.com/maps/search/?api=1&amp;query=41.773757,-87.944333","map")</f>
        <v>map</v>
      </c>
    </row>
    <row r="6786" spans="1:32">
      <c r="A6786" t="s">
        <v>6836</v>
      </c>
      <c r="B6786" t="s">
        <v>14293</v>
      </c>
      <c r="C6786" t="s">
        <v>16106</v>
      </c>
      <c r="D6786" t="s">
        <v>16213</v>
      </c>
      <c r="E6786" t="s">
        <v>16218</v>
      </c>
      <c r="F6786" t="s">
        <v>16221</v>
      </c>
      <c r="G6786" t="s">
        <v>16254</v>
      </c>
      <c r="H6786" t="s">
        <v>16254</v>
      </c>
      <c r="I6786" t="s">
        <v>16379</v>
      </c>
      <c r="J6786" t="s">
        <v>16386</v>
      </c>
      <c r="K6786">
        <v>0.113</v>
      </c>
      <c r="L6786">
        <v>4943</v>
      </c>
      <c r="M6786">
        <v>1964</v>
      </c>
      <c r="N6786" t="s">
        <v>16393</v>
      </c>
      <c r="O6786" s="4">
        <v>79885</v>
      </c>
      <c r="P6786" s="4">
        <v>132925</v>
      </c>
      <c r="Q6786" s="4">
        <v>212810</v>
      </c>
      <c r="R6786" s="4">
        <v>638430</v>
      </c>
      <c r="S6786" t="s">
        <v>22944</v>
      </c>
      <c r="T6786" s="6">
        <v>36557</v>
      </c>
      <c r="U6786" s="4">
        <v>396500</v>
      </c>
      <c r="V6786" t="s">
        <v>23740</v>
      </c>
      <c r="W6786" t="s">
        <v>27468</v>
      </c>
      <c r="X6786" t="s">
        <v>3</v>
      </c>
      <c r="AA6786" s="5" t="str">
        <f>HYPERLINK("https://www.zillow.com/homes/850-EMERALD-CT-WILLOWBROOK-IL-60521_rb/","check listing")</f>
        <v>check listing</v>
      </c>
      <c r="AB6786" s="5" t="str">
        <f>HYPERLINK("https://propertylookup.dupagecounty.gov/Datalets/Datalet.aspx?UseSearch=no&amp;mode=sales&amp;pin=0923206038","sales record")</f>
        <v>sales record</v>
      </c>
      <c r="AC6786" t="s">
        <v>3</v>
      </c>
      <c r="AD6786">
        <v>41.771318</v>
      </c>
      <c r="AE6786">
        <v>-87.94443099999999</v>
      </c>
      <c r="AF6786" s="5" t="str">
        <f>HYPERLINK("https://www.google.com/maps/search/?api=1&amp;query=41.771318,-87.944431","map")</f>
        <v>map</v>
      </c>
    </row>
    <row r="6787" spans="1:32">
      <c r="A6787" t="s">
        <v>6837</v>
      </c>
      <c r="B6787" t="s">
        <v>14294</v>
      </c>
      <c r="C6787" t="s">
        <v>16107</v>
      </c>
      <c r="D6787" t="s">
        <v>16213</v>
      </c>
      <c r="E6787" t="s">
        <v>16218</v>
      </c>
      <c r="F6787" t="s">
        <v>16221</v>
      </c>
      <c r="G6787" t="s">
        <v>16254</v>
      </c>
      <c r="H6787" t="s">
        <v>16254</v>
      </c>
      <c r="I6787" t="s">
        <v>16379</v>
      </c>
      <c r="J6787" t="s">
        <v>16386</v>
      </c>
      <c r="K6787">
        <v>0.113</v>
      </c>
      <c r="L6787">
        <v>4942</v>
      </c>
      <c r="M6787">
        <v>1827</v>
      </c>
      <c r="N6787" t="s">
        <v>16393</v>
      </c>
      <c r="O6787" s="4">
        <v>79520</v>
      </c>
      <c r="P6787" s="4">
        <v>139640</v>
      </c>
      <c r="Q6787" s="4">
        <v>219160</v>
      </c>
      <c r="R6787" s="4">
        <v>657480</v>
      </c>
      <c r="S6787" t="s">
        <v>22945</v>
      </c>
      <c r="T6787" s="6">
        <v>41214</v>
      </c>
      <c r="U6787" s="4">
        <v>464250</v>
      </c>
      <c r="V6787" t="s">
        <v>23739</v>
      </c>
      <c r="W6787" t="s">
        <v>27469</v>
      </c>
      <c r="X6787" t="s">
        <v>3</v>
      </c>
      <c r="AA6787" s="5" t="str">
        <f>HYPERLINK("https://www.zillow.com/homes/6460-EMERALD-CT-WILLOWBROOK-IL-60527_rb/","check listing")</f>
        <v>check listing</v>
      </c>
      <c r="AB6787" s="5" t="str">
        <f>HYPERLINK("https://propertylookup.dupagecounty.gov/Datalets/Datalet.aspx?UseSearch=no&amp;mode=sales&amp;pin=0923206025","sales record")</f>
        <v>sales record</v>
      </c>
      <c r="AC6787" t="s">
        <v>3</v>
      </c>
      <c r="AD6787">
        <v>41.771231</v>
      </c>
      <c r="AE6787">
        <v>-87.945066</v>
      </c>
      <c r="AF6787" s="5" t="str">
        <f>HYPERLINK("https://www.google.com/maps/search/?api=1&amp;query=41.771231,-87.945066","map")</f>
        <v>map</v>
      </c>
    </row>
    <row r="6788" spans="1:32">
      <c r="A6788" t="s">
        <v>6838</v>
      </c>
      <c r="B6788" t="s">
        <v>14295</v>
      </c>
      <c r="C6788" t="s">
        <v>16107</v>
      </c>
      <c r="D6788" t="s">
        <v>16213</v>
      </c>
      <c r="E6788" t="s">
        <v>16218</v>
      </c>
      <c r="F6788" t="s">
        <v>16221</v>
      </c>
      <c r="G6788" t="s">
        <v>16254</v>
      </c>
      <c r="H6788" t="s">
        <v>16254</v>
      </c>
      <c r="I6788" t="s">
        <v>16379</v>
      </c>
      <c r="J6788" t="s">
        <v>16386</v>
      </c>
      <c r="K6788">
        <v>0.113</v>
      </c>
      <c r="L6788">
        <v>4925</v>
      </c>
      <c r="M6788">
        <v>1859</v>
      </c>
      <c r="N6788" t="s">
        <v>16393</v>
      </c>
      <c r="O6788" s="4">
        <v>82525</v>
      </c>
      <c r="P6788" s="4">
        <v>133418</v>
      </c>
      <c r="Q6788" s="4">
        <v>215943</v>
      </c>
      <c r="R6788" s="4">
        <v>647829</v>
      </c>
      <c r="S6788" t="s">
        <v>22946</v>
      </c>
      <c r="T6788" s="6">
        <v>36342</v>
      </c>
      <c r="U6788" s="4">
        <v>388311</v>
      </c>
      <c r="X6788" t="s">
        <v>3</v>
      </c>
      <c r="AA6788" s="5" t="str">
        <f>HYPERLINK("https://www.zillow.com/homes/6345-BRETON-LAKES-DR-WILLOWBROOK-IL-60527_rb/","check listing")</f>
        <v>check listing</v>
      </c>
      <c r="AB6788" s="5" t="str">
        <f>HYPERLINK("https://propertylookup.dupagecounty.gov/Datalets/Datalet.aspx?UseSearch=no&amp;mode=sales&amp;pin=0923206052","sales record")</f>
        <v>sales record</v>
      </c>
      <c r="AC6788" t="s">
        <v>3</v>
      </c>
      <c r="AD6788">
        <v>41.773148</v>
      </c>
      <c r="AE6788">
        <v>-87.943825</v>
      </c>
      <c r="AF6788" s="5" t="str">
        <f>HYPERLINK("https://www.google.com/maps/search/?api=1&amp;query=41.773148,-87.943825","map")</f>
        <v>map</v>
      </c>
    </row>
    <row r="6789" spans="1:32">
      <c r="A6789" t="s">
        <v>6839</v>
      </c>
      <c r="B6789" t="s">
        <v>14296</v>
      </c>
      <c r="C6789" t="s">
        <v>16106</v>
      </c>
      <c r="D6789" t="s">
        <v>16213</v>
      </c>
      <c r="E6789" t="s">
        <v>16218</v>
      </c>
      <c r="F6789" t="s">
        <v>16221</v>
      </c>
      <c r="G6789" t="s">
        <v>16254</v>
      </c>
      <c r="H6789" t="s">
        <v>16254</v>
      </c>
      <c r="I6789" t="s">
        <v>16379</v>
      </c>
      <c r="J6789" t="s">
        <v>16386</v>
      </c>
      <c r="K6789">
        <v>0.113</v>
      </c>
      <c r="L6789">
        <v>4904</v>
      </c>
      <c r="M6789">
        <v>1932</v>
      </c>
      <c r="N6789" t="s">
        <v>16393</v>
      </c>
      <c r="O6789" s="4">
        <v>80788</v>
      </c>
      <c r="P6789" s="4">
        <v>134217</v>
      </c>
      <c r="Q6789" s="4">
        <v>215005</v>
      </c>
      <c r="R6789" s="4">
        <v>645015</v>
      </c>
      <c r="S6789" t="s">
        <v>22947</v>
      </c>
      <c r="T6789" s="6">
        <v>36861</v>
      </c>
      <c r="U6789" s="4">
        <v>386000</v>
      </c>
      <c r="V6789" t="s">
        <v>23740</v>
      </c>
      <c r="W6789" t="s">
        <v>27470</v>
      </c>
      <c r="X6789" t="s">
        <v>3</v>
      </c>
      <c r="AA6789" s="5" t="str">
        <f>HYPERLINK("https://www.zillow.com/homes/6400-EMERALD-CT-WILLOWBROOK-IL-60521_rb/","check listing")</f>
        <v>check listing</v>
      </c>
      <c r="AB6789" s="5" t="str">
        <f>HYPERLINK("https://propertylookup.dupagecounty.gov/Datalets/Datalet.aspx?UseSearch=no&amp;mode=sales&amp;pin=0923206015","sales record")</f>
        <v>sales record</v>
      </c>
      <c r="AC6789" t="s">
        <v>3</v>
      </c>
      <c r="AD6789">
        <v>41.772559</v>
      </c>
      <c r="AE6789">
        <v>-87.945487</v>
      </c>
      <c r="AF6789" s="5" t="str">
        <f>HYPERLINK("https://www.google.com/maps/search/?api=1&amp;query=41.772559,-87.945487","map")</f>
        <v>map</v>
      </c>
    </row>
    <row r="6790" spans="1:32">
      <c r="A6790" t="s">
        <v>6840</v>
      </c>
      <c r="B6790" t="s">
        <v>14297</v>
      </c>
      <c r="C6790" t="s">
        <v>16113</v>
      </c>
      <c r="D6790" t="s">
        <v>16213</v>
      </c>
      <c r="E6790" t="s">
        <v>16218</v>
      </c>
      <c r="F6790" t="s">
        <v>16221</v>
      </c>
      <c r="G6790" t="s">
        <v>16254</v>
      </c>
      <c r="H6790" t="s">
        <v>16254</v>
      </c>
      <c r="I6790" t="s">
        <v>16379</v>
      </c>
      <c r="J6790" t="s">
        <v>16386</v>
      </c>
      <c r="K6790">
        <v>0.112</v>
      </c>
      <c r="L6790">
        <v>4895</v>
      </c>
      <c r="M6790">
        <v>2033</v>
      </c>
      <c r="N6790" t="s">
        <v>16393</v>
      </c>
      <c r="O6790" s="4">
        <v>80788</v>
      </c>
      <c r="P6790" s="4">
        <v>124897</v>
      </c>
      <c r="Q6790" s="4">
        <v>205685</v>
      </c>
      <c r="R6790" s="4">
        <v>617055</v>
      </c>
      <c r="S6790" t="s">
        <v>22948</v>
      </c>
      <c r="T6790" s="6">
        <v>44470</v>
      </c>
      <c r="U6790" s="4">
        <v>465000</v>
      </c>
      <c r="V6790" t="s">
        <v>23739</v>
      </c>
      <c r="W6790" t="s">
        <v>27471</v>
      </c>
      <c r="X6790" t="s">
        <v>3</v>
      </c>
      <c r="AA6790" s="5" t="str">
        <f>HYPERLINK("https://www.zillow.com/homes/6406-EMERALD-CT-WILLOWBROOK-IL-605275393_rb/","check listing")</f>
        <v>check listing</v>
      </c>
      <c r="AB6790" s="5" t="str">
        <f>HYPERLINK("https://propertylookup.dupagecounty.gov/Datalets/Datalet.aspx?UseSearch=no&amp;mode=sales&amp;pin=0923206016","sales record")</f>
        <v>sales record</v>
      </c>
      <c r="AC6790" t="s">
        <v>3</v>
      </c>
      <c r="AD6790">
        <v>41.772425</v>
      </c>
      <c r="AE6790">
        <v>-87.94544500000001</v>
      </c>
      <c r="AF6790" s="5" t="str">
        <f>HYPERLINK("https://www.google.com/maps/search/?api=1&amp;query=41.772425,-87.945445","map")</f>
        <v>map</v>
      </c>
    </row>
    <row r="6791" spans="1:32">
      <c r="A6791" t="s">
        <v>6841</v>
      </c>
      <c r="B6791" t="s">
        <v>14298</v>
      </c>
      <c r="C6791" t="s">
        <v>16106</v>
      </c>
      <c r="D6791" t="s">
        <v>16213</v>
      </c>
      <c r="E6791" t="s">
        <v>16218</v>
      </c>
      <c r="F6791" t="s">
        <v>16221</v>
      </c>
      <c r="G6791" t="s">
        <v>16254</v>
      </c>
      <c r="H6791" t="s">
        <v>16254</v>
      </c>
      <c r="I6791" t="s">
        <v>16379</v>
      </c>
      <c r="J6791" t="s">
        <v>16386</v>
      </c>
      <c r="K6791">
        <v>0.112</v>
      </c>
      <c r="L6791">
        <v>4889</v>
      </c>
      <c r="M6791">
        <v>2010</v>
      </c>
      <c r="N6791" t="s">
        <v>16393</v>
      </c>
      <c r="O6791" s="4">
        <v>80788</v>
      </c>
      <c r="P6791" s="4">
        <v>141388</v>
      </c>
      <c r="Q6791" s="4">
        <v>222176</v>
      </c>
      <c r="R6791" s="4">
        <v>666528</v>
      </c>
      <c r="S6791" t="s">
        <v>22949</v>
      </c>
      <c r="T6791" s="6">
        <v>37196</v>
      </c>
      <c r="U6791" s="4">
        <v>422609</v>
      </c>
      <c r="V6791" t="s">
        <v>23740</v>
      </c>
      <c r="W6791" t="s">
        <v>22949</v>
      </c>
      <c r="X6791" t="s">
        <v>3</v>
      </c>
      <c r="AA6791" s="5" t="str">
        <f>HYPERLINK("https://www.zillow.com/homes/6412-EMERALD-CT-WILLOWBROOK-IL-60521_rb/","check listing")</f>
        <v>check listing</v>
      </c>
      <c r="AB6791" s="5" t="str">
        <f>HYPERLINK("https://propertylookup.dupagecounty.gov/Datalets/Datalet.aspx?UseSearch=no&amp;mode=sales&amp;pin=0923206017","sales record")</f>
        <v>sales record</v>
      </c>
      <c r="AC6791" t="s">
        <v>3</v>
      </c>
      <c r="AD6791">
        <v>41.772292</v>
      </c>
      <c r="AE6791">
        <v>-87.945403</v>
      </c>
      <c r="AF6791" s="5" t="str">
        <f>HYPERLINK("https://www.google.com/maps/search/?api=1&amp;query=41.772292,-87.945403","map")</f>
        <v>map</v>
      </c>
    </row>
    <row r="6792" spans="1:32">
      <c r="A6792" t="s">
        <v>6842</v>
      </c>
      <c r="B6792" t="s">
        <v>14299</v>
      </c>
      <c r="C6792" t="s">
        <v>16106</v>
      </c>
      <c r="D6792" t="s">
        <v>16213</v>
      </c>
      <c r="E6792" t="s">
        <v>16218</v>
      </c>
      <c r="F6792" t="s">
        <v>16221</v>
      </c>
      <c r="G6792" t="s">
        <v>16254</v>
      </c>
      <c r="H6792" t="s">
        <v>16254</v>
      </c>
      <c r="I6792" t="s">
        <v>16379</v>
      </c>
      <c r="J6792" t="s">
        <v>16386</v>
      </c>
      <c r="K6792">
        <v>0.111</v>
      </c>
      <c r="L6792">
        <v>4851</v>
      </c>
      <c r="M6792">
        <v>1952</v>
      </c>
      <c r="N6792" t="s">
        <v>16393</v>
      </c>
      <c r="O6792" s="4">
        <v>80788</v>
      </c>
      <c r="P6792" s="4">
        <v>136353</v>
      </c>
      <c r="Q6792" s="4">
        <v>217141</v>
      </c>
      <c r="R6792" s="4">
        <v>651423</v>
      </c>
      <c r="S6792" t="s">
        <v>22950</v>
      </c>
      <c r="T6792" s="6">
        <v>36617</v>
      </c>
      <c r="U6792" s="4">
        <v>504911</v>
      </c>
      <c r="V6792" t="s">
        <v>23740</v>
      </c>
      <c r="W6792" t="s">
        <v>27472</v>
      </c>
      <c r="X6792" t="s">
        <v>3</v>
      </c>
      <c r="AA6792" s="5" t="str">
        <f>HYPERLINK("https://www.zillow.com/homes/6421-BRETON-LAKES-DR-WILLOWBROOK-IL-60521_rb/","check listing")</f>
        <v>check listing</v>
      </c>
      <c r="AB6792" s="5" t="str">
        <f>HYPERLINK("https://propertylookup.dupagecounty.gov/Datalets/Datalet.aspx?UseSearch=no&amp;mode=sales&amp;pin=0923206045","sales record")</f>
        <v>sales record</v>
      </c>
      <c r="AC6792" t="s">
        <v>3</v>
      </c>
      <c r="AD6792">
        <v>41.772193</v>
      </c>
      <c r="AE6792">
        <v>-87.944095</v>
      </c>
      <c r="AF6792" s="5" t="str">
        <f>HYPERLINK("https://www.google.com/maps/search/?api=1&amp;query=41.772193,-87.944095","map")</f>
        <v>map</v>
      </c>
    </row>
    <row r="6793" spans="1:32">
      <c r="A6793" t="s">
        <v>6843</v>
      </c>
      <c r="B6793" t="s">
        <v>14300</v>
      </c>
      <c r="C6793" t="s">
        <v>16113</v>
      </c>
      <c r="D6793" t="s">
        <v>16213</v>
      </c>
      <c r="E6793" t="s">
        <v>16218</v>
      </c>
      <c r="F6793" t="s">
        <v>16221</v>
      </c>
      <c r="G6793" t="s">
        <v>16254</v>
      </c>
      <c r="H6793" t="s">
        <v>16254</v>
      </c>
      <c r="I6793" t="s">
        <v>16379</v>
      </c>
      <c r="J6793" t="s">
        <v>16386</v>
      </c>
      <c r="K6793">
        <v>0.111</v>
      </c>
      <c r="L6793">
        <v>4830</v>
      </c>
      <c r="M6793">
        <v>2162</v>
      </c>
      <c r="N6793" t="s">
        <v>16393</v>
      </c>
      <c r="O6793" s="4">
        <v>80788</v>
      </c>
      <c r="P6793" s="4">
        <v>130237</v>
      </c>
      <c r="Q6793" s="4">
        <v>211025</v>
      </c>
      <c r="R6793" s="4">
        <v>633075</v>
      </c>
      <c r="S6793" t="s">
        <v>22951</v>
      </c>
      <c r="T6793" s="6">
        <v>44317</v>
      </c>
      <c r="U6793" s="4">
        <v>439900</v>
      </c>
      <c r="V6793" t="s">
        <v>23739</v>
      </c>
      <c r="W6793" t="s">
        <v>27473</v>
      </c>
      <c r="X6793" t="s">
        <v>3</v>
      </c>
      <c r="AA6793" s="5" t="str">
        <f>HYPERLINK("https://www.zillow.com/homes/6418-EMERALD-CT-WILLOWBROOK-IL-605275393_rb/","check listing")</f>
        <v>check listing</v>
      </c>
      <c r="AB6793" s="5" t="str">
        <f>HYPERLINK("https://propertylookup.dupagecounty.gov/Datalets/Datalet.aspx?UseSearch=no&amp;mode=sales&amp;pin=0923206018","sales record")</f>
        <v>sales record</v>
      </c>
      <c r="AC6793" t="s">
        <v>3</v>
      </c>
      <c r="AD6793">
        <v>41.772159</v>
      </c>
      <c r="AE6793">
        <v>-87.94536100000001</v>
      </c>
      <c r="AF6793" s="5" t="str">
        <f>HYPERLINK("https://www.google.com/maps/search/?api=1&amp;query=41.772159,-87.945361","map")</f>
        <v>map</v>
      </c>
    </row>
    <row r="6794" spans="1:32">
      <c r="A6794" t="s">
        <v>6844</v>
      </c>
      <c r="B6794" t="s">
        <v>14301</v>
      </c>
      <c r="C6794" t="s">
        <v>16106</v>
      </c>
      <c r="D6794" t="s">
        <v>16213</v>
      </c>
      <c r="E6794" t="s">
        <v>16218</v>
      </c>
      <c r="F6794" t="s">
        <v>16221</v>
      </c>
      <c r="G6794" t="s">
        <v>16254</v>
      </c>
      <c r="H6794" t="s">
        <v>16254</v>
      </c>
      <c r="I6794" t="s">
        <v>16379</v>
      </c>
      <c r="J6794" t="s">
        <v>16386</v>
      </c>
      <c r="K6794">
        <v>0.111</v>
      </c>
      <c r="L6794">
        <v>4823</v>
      </c>
      <c r="M6794">
        <v>2038</v>
      </c>
      <c r="N6794" t="s">
        <v>16393</v>
      </c>
      <c r="O6794" s="4">
        <v>79979</v>
      </c>
      <c r="P6794" s="4">
        <v>131212</v>
      </c>
      <c r="Q6794" s="4">
        <v>211191</v>
      </c>
      <c r="R6794" s="4">
        <v>633573</v>
      </c>
      <c r="S6794" t="s">
        <v>22952</v>
      </c>
      <c r="T6794" s="6">
        <v>44991</v>
      </c>
      <c r="U6794" s="4">
        <v>541000</v>
      </c>
      <c r="V6794" t="s">
        <v>23741</v>
      </c>
      <c r="W6794" t="s">
        <v>27474</v>
      </c>
      <c r="X6794" t="s">
        <v>3</v>
      </c>
      <c r="AA6794" s="5" t="str">
        <f>HYPERLINK("https://www.zillow.com/homes/6424-EMERALD-CT-WILLOWBROOK-IL-60521_rb/","check listing")</f>
        <v>check listing</v>
      </c>
      <c r="AB6794" s="5" t="str">
        <f>HYPERLINK("https://propertylookup.dupagecounty.gov/Datalets/Datalet.aspx?UseSearch=no&amp;mode=sales&amp;pin=0923206019","sales record")</f>
        <v>sales record</v>
      </c>
      <c r="AC6794" t="s">
        <v>3</v>
      </c>
      <c r="AD6794">
        <v>41.772027</v>
      </c>
      <c r="AE6794">
        <v>-87.945319</v>
      </c>
      <c r="AF6794" s="5" t="str">
        <f>HYPERLINK("https://www.google.com/maps/search/?api=1&amp;query=41.772027,-87.945319","map")</f>
        <v>map</v>
      </c>
    </row>
    <row r="6795" spans="1:32">
      <c r="A6795" t="s">
        <v>6845</v>
      </c>
      <c r="B6795" t="s">
        <v>14302</v>
      </c>
      <c r="C6795" t="s">
        <v>16107</v>
      </c>
      <c r="D6795" t="s">
        <v>16213</v>
      </c>
      <c r="E6795" t="s">
        <v>16218</v>
      </c>
      <c r="F6795" t="s">
        <v>16221</v>
      </c>
      <c r="G6795" t="s">
        <v>16254</v>
      </c>
      <c r="H6795" t="s">
        <v>16254</v>
      </c>
      <c r="I6795" t="s">
        <v>16379</v>
      </c>
      <c r="J6795" t="s">
        <v>16386</v>
      </c>
      <c r="K6795">
        <v>0.109</v>
      </c>
      <c r="L6795">
        <v>4767</v>
      </c>
      <c r="M6795">
        <v>2012</v>
      </c>
      <c r="N6795" t="s">
        <v>16393</v>
      </c>
      <c r="O6795" s="4">
        <v>79180</v>
      </c>
      <c r="P6795" s="4">
        <v>127128</v>
      </c>
      <c r="Q6795" s="4">
        <v>206308</v>
      </c>
      <c r="R6795" s="4">
        <v>618924</v>
      </c>
      <c r="S6795" t="s">
        <v>22953</v>
      </c>
      <c r="T6795" s="6">
        <v>38231</v>
      </c>
      <c r="U6795" s="4">
        <v>525000</v>
      </c>
      <c r="V6795" t="s">
        <v>23739</v>
      </c>
      <c r="W6795" t="s">
        <v>22953</v>
      </c>
      <c r="X6795" t="s">
        <v>3</v>
      </c>
      <c r="AA6795" s="5" t="str">
        <f>HYPERLINK("https://www.zillow.com/homes/6430-EMERALD-CT-WILLOWBROOK-IL-60527_rb/","check listing")</f>
        <v>check listing</v>
      </c>
      <c r="AB6795" s="5" t="str">
        <f>HYPERLINK("https://propertylookup.dupagecounty.gov/Datalets/Datalet.aspx?UseSearch=no&amp;mode=sales&amp;pin=0923206020","sales record")</f>
        <v>sales record</v>
      </c>
      <c r="AC6795" t="s">
        <v>3</v>
      </c>
      <c r="AD6795">
        <v>41.771896</v>
      </c>
      <c r="AE6795">
        <v>-87.945277</v>
      </c>
      <c r="AF6795" s="5" t="str">
        <f>HYPERLINK("https://www.google.com/maps/search/?api=1&amp;query=41.771896,-87.945277","map")</f>
        <v>map</v>
      </c>
    </row>
    <row r="6796" spans="1:32">
      <c r="A6796" t="s">
        <v>6846</v>
      </c>
      <c r="B6796" t="s">
        <v>14303</v>
      </c>
      <c r="C6796" t="s">
        <v>16112</v>
      </c>
      <c r="D6796" t="s">
        <v>16213</v>
      </c>
      <c r="E6796" t="s">
        <v>16218</v>
      </c>
      <c r="F6796" t="s">
        <v>16221</v>
      </c>
      <c r="G6796" t="s">
        <v>16254</v>
      </c>
      <c r="H6796" t="s">
        <v>16254</v>
      </c>
      <c r="I6796" t="s">
        <v>16379</v>
      </c>
      <c r="J6796" t="s">
        <v>16386</v>
      </c>
      <c r="K6796">
        <v>0.109</v>
      </c>
      <c r="L6796">
        <v>4753</v>
      </c>
      <c r="M6796">
        <v>1473</v>
      </c>
      <c r="N6796" t="s">
        <v>16393</v>
      </c>
      <c r="O6796" s="4">
        <v>79979</v>
      </c>
      <c r="P6796" s="4">
        <v>95284</v>
      </c>
      <c r="Q6796" s="4">
        <v>175263</v>
      </c>
      <c r="R6796" s="4">
        <v>525789</v>
      </c>
      <c r="S6796" t="s">
        <v>22954</v>
      </c>
      <c r="T6796" s="6">
        <v>44805</v>
      </c>
      <c r="U6796" s="4">
        <v>448000</v>
      </c>
      <c r="V6796" t="s">
        <v>16232</v>
      </c>
      <c r="W6796" t="s">
        <v>27475</v>
      </c>
      <c r="X6796" t="s">
        <v>3</v>
      </c>
      <c r="AA6796" s="5" t="str">
        <f>HYPERLINK("https://www.zillow.com/homes/6322-BRETON-LAKES-DR-WILLOWBROOK-IL-605275387_rb/","check listing")</f>
        <v>check listing</v>
      </c>
      <c r="AB6796" s="5" t="str">
        <f>HYPERLINK("https://propertylookup.dupagecounty.gov/Datalets/Datalet.aspx?UseSearch=no&amp;mode=sales&amp;pin=0923206004","sales record")</f>
        <v>sales record</v>
      </c>
      <c r="AC6796" t="s">
        <v>3</v>
      </c>
      <c r="AD6796">
        <v>41.773621</v>
      </c>
      <c r="AE6796">
        <v>-87.944317</v>
      </c>
      <c r="AF6796" s="5" t="str">
        <f>HYPERLINK("https://www.google.com/maps/search/?api=1&amp;query=41.773621,-87.944317","map")</f>
        <v>map</v>
      </c>
    </row>
    <row r="6797" spans="1:32">
      <c r="A6797" t="s">
        <v>6847</v>
      </c>
      <c r="B6797" t="s">
        <v>14304</v>
      </c>
      <c r="C6797" t="s">
        <v>16107</v>
      </c>
      <c r="D6797" t="s">
        <v>16213</v>
      </c>
      <c r="E6797" t="s">
        <v>16218</v>
      </c>
      <c r="F6797" t="s">
        <v>16221</v>
      </c>
      <c r="G6797" t="s">
        <v>16254</v>
      </c>
      <c r="H6797" t="s">
        <v>16254</v>
      </c>
      <c r="I6797" t="s">
        <v>16379</v>
      </c>
      <c r="J6797" t="s">
        <v>16386</v>
      </c>
      <c r="K6797">
        <v>0.109</v>
      </c>
      <c r="L6797">
        <v>4751</v>
      </c>
      <c r="M6797">
        <v>1998</v>
      </c>
      <c r="N6797" t="s">
        <v>16393</v>
      </c>
      <c r="O6797" s="4">
        <v>79979</v>
      </c>
      <c r="P6797" s="4">
        <v>134522</v>
      </c>
      <c r="Q6797" s="4">
        <v>214501</v>
      </c>
      <c r="R6797" s="4">
        <v>643503</v>
      </c>
      <c r="S6797" t="s">
        <v>22955</v>
      </c>
      <c r="T6797" s="6">
        <v>45633</v>
      </c>
      <c r="U6797" s="4">
        <v>570000</v>
      </c>
      <c r="V6797" t="s">
        <v>23741</v>
      </c>
      <c r="W6797" t="s">
        <v>27476</v>
      </c>
      <c r="X6797" t="s">
        <v>3</v>
      </c>
      <c r="AA6797" s="5" t="str">
        <f>HYPERLINK("https://www.zillow.com/homes/6334-BRETON-LAKES-DR-WILLOWBROOK-IL-60527_rb/","check listing")</f>
        <v>check listing</v>
      </c>
      <c r="AB6797" s="5" t="str">
        <f>HYPERLINK("https://propertylookup.dupagecounty.gov/Datalets/Datalet.aspx?UseSearch=no&amp;mode=sales&amp;pin=0923206006","sales record")</f>
        <v>sales record</v>
      </c>
      <c r="AC6797" t="s">
        <v>3</v>
      </c>
      <c r="AD6797">
        <v>41.77335</v>
      </c>
      <c r="AE6797">
        <v>-87.944305</v>
      </c>
      <c r="AF6797" s="5" t="str">
        <f>HYPERLINK("https://www.google.com/maps/search/?api=1&amp;query=41.77335,-87.944305","map")</f>
        <v>map</v>
      </c>
    </row>
    <row r="6798" spans="1:32">
      <c r="A6798" t="s">
        <v>6848</v>
      </c>
      <c r="B6798" t="s">
        <v>14305</v>
      </c>
      <c r="C6798" t="s">
        <v>16112</v>
      </c>
      <c r="D6798" t="s">
        <v>16213</v>
      </c>
      <c r="E6798" t="s">
        <v>16218</v>
      </c>
      <c r="F6798" t="s">
        <v>16221</v>
      </c>
      <c r="G6798" t="s">
        <v>16254</v>
      </c>
      <c r="H6798" t="s">
        <v>16254</v>
      </c>
      <c r="I6798" t="s">
        <v>16379</v>
      </c>
      <c r="J6798" t="s">
        <v>16386</v>
      </c>
      <c r="K6798">
        <v>0.109</v>
      </c>
      <c r="L6798">
        <v>4750</v>
      </c>
      <c r="M6798">
        <v>2105</v>
      </c>
      <c r="N6798" t="s">
        <v>16393</v>
      </c>
      <c r="O6798" s="4">
        <v>79979</v>
      </c>
      <c r="P6798" s="4">
        <v>124827</v>
      </c>
      <c r="Q6798" s="4">
        <v>204806</v>
      </c>
      <c r="R6798" s="4">
        <v>614418</v>
      </c>
      <c r="S6798" t="s">
        <v>22956</v>
      </c>
      <c r="T6798" s="6">
        <v>44317</v>
      </c>
      <c r="U6798" s="4">
        <v>466000</v>
      </c>
      <c r="V6798" t="s">
        <v>23740</v>
      </c>
      <c r="W6798" t="s">
        <v>27477</v>
      </c>
      <c r="X6798" t="s">
        <v>3</v>
      </c>
      <c r="AA6798" s="5" t="str">
        <f>HYPERLINK("https://www.zillow.com/homes/6328-BRETON-LAKES-DR-WILLOWBROOK-IL-605275387_rb/","check listing")</f>
        <v>check listing</v>
      </c>
      <c r="AB6798" s="5" t="str">
        <f>HYPERLINK("https://propertylookup.dupagecounty.gov/Datalets/Datalet.aspx?UseSearch=no&amp;mode=sales&amp;pin=0923206005","sales record")</f>
        <v>sales record</v>
      </c>
      <c r="AC6798" t="s">
        <v>3</v>
      </c>
      <c r="AD6798">
        <v>41.773486</v>
      </c>
      <c r="AE6798">
        <v>-87.944311</v>
      </c>
      <c r="AF6798" s="5" t="str">
        <f>HYPERLINK("https://www.google.com/maps/search/?api=1&amp;query=41.773486,-87.944311","map")</f>
        <v>map</v>
      </c>
    </row>
    <row r="6799" spans="1:32">
      <c r="A6799" t="s">
        <v>6849</v>
      </c>
      <c r="B6799" t="s">
        <v>14306</v>
      </c>
      <c r="C6799" t="s">
        <v>16107</v>
      </c>
      <c r="D6799" t="s">
        <v>16213</v>
      </c>
      <c r="E6799" t="s">
        <v>16218</v>
      </c>
      <c r="F6799" t="s">
        <v>16221</v>
      </c>
      <c r="G6799" t="s">
        <v>16254</v>
      </c>
      <c r="H6799" t="s">
        <v>16254</v>
      </c>
      <c r="I6799" t="s">
        <v>16379</v>
      </c>
      <c r="J6799" t="s">
        <v>16386</v>
      </c>
      <c r="K6799">
        <v>0.109</v>
      </c>
      <c r="L6799">
        <v>4736</v>
      </c>
      <c r="M6799">
        <v>2123</v>
      </c>
      <c r="N6799" t="s">
        <v>16393</v>
      </c>
      <c r="O6799" s="4">
        <v>77983</v>
      </c>
      <c r="P6799" s="4">
        <v>132562</v>
      </c>
      <c r="Q6799" s="4">
        <v>210545</v>
      </c>
      <c r="R6799" s="4">
        <v>631635</v>
      </c>
      <c r="S6799" t="s">
        <v>22957</v>
      </c>
      <c r="T6799" s="6">
        <v>42583</v>
      </c>
      <c r="U6799" s="4">
        <v>470000</v>
      </c>
      <c r="V6799" t="s">
        <v>23739</v>
      </c>
      <c r="W6799" t="s">
        <v>22957</v>
      </c>
      <c r="X6799" t="s">
        <v>3</v>
      </c>
      <c r="AA6799" s="5" t="str">
        <f>HYPERLINK("https://www.zillow.com/homes/6340-BRETON-LAKES-DR-WILLOWBROOK-IL-60527_rb/","check listing")</f>
        <v>check listing</v>
      </c>
      <c r="AB6799" s="5" t="str">
        <f>HYPERLINK("https://propertylookup.dupagecounty.gov/Datalets/Datalet.aspx?UseSearch=no&amp;mode=sales&amp;pin=0923206007","sales record")</f>
        <v>sales record</v>
      </c>
      <c r="AC6799" t="s">
        <v>3</v>
      </c>
      <c r="AD6799">
        <v>41.773241</v>
      </c>
      <c r="AE6799">
        <v>-87.944301</v>
      </c>
      <c r="AF6799" s="5" t="str">
        <f>HYPERLINK("https://www.google.com/maps/search/?api=1&amp;query=41.773241,-87.944301","map")</f>
        <v>map</v>
      </c>
    </row>
    <row r="6800" spans="1:32">
      <c r="A6800" t="s">
        <v>6850</v>
      </c>
      <c r="B6800" t="s">
        <v>14307</v>
      </c>
      <c r="C6800" t="s">
        <v>16108</v>
      </c>
      <c r="D6800" t="s">
        <v>16213</v>
      </c>
      <c r="E6800" t="s">
        <v>16218</v>
      </c>
      <c r="F6800" t="s">
        <v>16221</v>
      </c>
      <c r="G6800" t="s">
        <v>16254</v>
      </c>
      <c r="H6800" t="s">
        <v>16254</v>
      </c>
      <c r="I6800" t="s">
        <v>16379</v>
      </c>
      <c r="J6800" t="s">
        <v>16386</v>
      </c>
      <c r="K6800">
        <v>0.108</v>
      </c>
      <c r="L6800">
        <v>4724</v>
      </c>
      <c r="M6800">
        <v>1953</v>
      </c>
      <c r="N6800" t="s">
        <v>16393</v>
      </c>
      <c r="O6800" s="4">
        <v>79180</v>
      </c>
      <c r="P6800" s="4">
        <v>144463</v>
      </c>
      <c r="Q6800" s="4">
        <v>223643</v>
      </c>
      <c r="R6800" s="4">
        <v>670929</v>
      </c>
      <c r="S6800" t="s">
        <v>22958</v>
      </c>
      <c r="T6800" s="6">
        <v>37895</v>
      </c>
      <c r="U6800" s="4">
        <v>500000</v>
      </c>
      <c r="V6800" t="s">
        <v>23739</v>
      </c>
      <c r="W6800" t="s">
        <v>27478</v>
      </c>
      <c r="X6800" t="s">
        <v>3</v>
      </c>
      <c r="AA6800" s="5" t="str">
        <f>HYPERLINK("https://www.zillow.com/homes/6407-EMERALD-CT-WILLOWBROOK-IL-605275394_rb/","check listing")</f>
        <v>check listing</v>
      </c>
      <c r="AB6800" s="5" t="str">
        <f>HYPERLINK("https://propertylookup.dupagecounty.gov/Datalets/Datalet.aspx?UseSearch=no&amp;mode=sales&amp;pin=0923207002","sales record")</f>
        <v>sales record</v>
      </c>
      <c r="AC6800" t="s">
        <v>3</v>
      </c>
      <c r="AD6800">
        <v>41.772446</v>
      </c>
      <c r="AE6800">
        <v>-87.944973</v>
      </c>
      <c r="AF6800" s="5" t="str">
        <f>HYPERLINK("https://www.google.com/maps/search/?api=1&amp;query=41.772446,-87.944973","map")</f>
        <v>map</v>
      </c>
    </row>
    <row r="6801" spans="1:32">
      <c r="A6801" t="s">
        <v>6851</v>
      </c>
      <c r="B6801" t="s">
        <v>14308</v>
      </c>
      <c r="C6801" t="s">
        <v>16108</v>
      </c>
      <c r="D6801" t="s">
        <v>16213</v>
      </c>
      <c r="E6801" t="s">
        <v>16218</v>
      </c>
      <c r="F6801" t="s">
        <v>16221</v>
      </c>
      <c r="G6801" t="s">
        <v>16254</v>
      </c>
      <c r="H6801" t="s">
        <v>16254</v>
      </c>
      <c r="I6801" t="s">
        <v>16379</v>
      </c>
      <c r="J6801" t="s">
        <v>16386</v>
      </c>
      <c r="K6801">
        <v>0.108</v>
      </c>
      <c r="L6801">
        <v>4722</v>
      </c>
      <c r="M6801">
        <v>2065</v>
      </c>
      <c r="N6801" t="s">
        <v>16393</v>
      </c>
      <c r="O6801" s="4">
        <v>79180</v>
      </c>
      <c r="P6801" s="4">
        <v>117409</v>
      </c>
      <c r="Q6801" s="4">
        <v>196589</v>
      </c>
      <c r="R6801" s="4">
        <v>589767</v>
      </c>
      <c r="S6801" t="s">
        <v>22959</v>
      </c>
      <c r="T6801" s="6">
        <v>44317</v>
      </c>
      <c r="U6801" s="4">
        <v>468000</v>
      </c>
      <c r="V6801" t="s">
        <v>23740</v>
      </c>
      <c r="W6801" t="s">
        <v>22959</v>
      </c>
      <c r="X6801" t="s">
        <v>3</v>
      </c>
      <c r="AA6801" s="5" t="str">
        <f>HYPERLINK("https://www.zillow.com/homes/6413-EMERALD-CT-WILLOWBROOK-IL-605275394_rb/","check listing")</f>
        <v>check listing</v>
      </c>
      <c r="AB6801" s="5" t="str">
        <f>HYPERLINK("https://propertylookup.dupagecounty.gov/Datalets/Datalet.aspx?UseSearch=no&amp;mode=sales&amp;pin=0923207003","sales record")</f>
        <v>sales record</v>
      </c>
      <c r="AC6801" t="s">
        <v>3</v>
      </c>
      <c r="AD6801">
        <v>41.772324</v>
      </c>
      <c r="AE6801">
        <v>-87.944935</v>
      </c>
      <c r="AF6801" s="5" t="str">
        <f>HYPERLINK("https://www.google.com/maps/search/?api=1&amp;query=41.772324,-87.944935","map")</f>
        <v>map</v>
      </c>
    </row>
    <row r="6802" spans="1:32">
      <c r="A6802" t="s">
        <v>6852</v>
      </c>
      <c r="B6802" t="s">
        <v>14309</v>
      </c>
      <c r="C6802" t="s">
        <v>16107</v>
      </c>
      <c r="D6802" t="s">
        <v>16213</v>
      </c>
      <c r="E6802" t="s">
        <v>16218</v>
      </c>
      <c r="F6802" t="s">
        <v>16221</v>
      </c>
      <c r="G6802" t="s">
        <v>16254</v>
      </c>
      <c r="H6802" t="s">
        <v>16254</v>
      </c>
      <c r="I6802" t="s">
        <v>16379</v>
      </c>
      <c r="J6802" t="s">
        <v>16386</v>
      </c>
      <c r="K6802">
        <v>0.108</v>
      </c>
      <c r="L6802">
        <v>4719</v>
      </c>
      <c r="M6802">
        <v>1683</v>
      </c>
      <c r="N6802" t="s">
        <v>16393</v>
      </c>
      <c r="O6802" s="4">
        <v>79180</v>
      </c>
      <c r="P6802" s="4">
        <v>124639</v>
      </c>
      <c r="Q6802" s="4">
        <v>203819</v>
      </c>
      <c r="R6802" s="4">
        <v>611457</v>
      </c>
      <c r="S6802" t="s">
        <v>22960</v>
      </c>
      <c r="T6802" s="6">
        <v>39234</v>
      </c>
      <c r="U6802" s="4">
        <v>470000</v>
      </c>
      <c r="V6802" t="s">
        <v>23739</v>
      </c>
      <c r="W6802" t="s">
        <v>27479</v>
      </c>
      <c r="X6802" t="s">
        <v>3</v>
      </c>
      <c r="AA6802" s="5" t="str">
        <f>HYPERLINK("https://www.zillow.com/homes/6419-EMERALD-CT-WILLOWBROOK-IL-60527_rb/","check listing")</f>
        <v>check listing</v>
      </c>
      <c r="AB6802" s="5" t="str">
        <f>HYPERLINK("https://propertylookup.dupagecounty.gov/Datalets/Datalet.aspx?UseSearch=no&amp;mode=sales&amp;pin=0923207004","sales record")</f>
        <v>sales record</v>
      </c>
      <c r="AC6802" t="s">
        <v>3</v>
      </c>
      <c r="AD6802">
        <v>41.772183</v>
      </c>
      <c r="AE6802">
        <v>-87.944891</v>
      </c>
      <c r="AF6802" s="5" t="str">
        <f>HYPERLINK("https://www.google.com/maps/search/?api=1&amp;query=41.772183,-87.944891","map")</f>
        <v>map</v>
      </c>
    </row>
    <row r="6803" spans="1:32">
      <c r="A6803" t="s">
        <v>6853</v>
      </c>
      <c r="B6803" t="s">
        <v>14310</v>
      </c>
      <c r="C6803" t="s">
        <v>16107</v>
      </c>
      <c r="D6803" t="s">
        <v>16213</v>
      </c>
      <c r="E6803" t="s">
        <v>16218</v>
      </c>
      <c r="F6803" t="s">
        <v>16221</v>
      </c>
      <c r="G6803" t="s">
        <v>16254</v>
      </c>
      <c r="H6803" t="s">
        <v>16254</v>
      </c>
      <c r="I6803" t="s">
        <v>16379</v>
      </c>
      <c r="J6803" t="s">
        <v>16386</v>
      </c>
      <c r="K6803">
        <v>0.108</v>
      </c>
      <c r="L6803">
        <v>4711</v>
      </c>
      <c r="M6803">
        <v>2233</v>
      </c>
      <c r="N6803" t="s">
        <v>16393</v>
      </c>
      <c r="O6803" s="4">
        <v>78370</v>
      </c>
      <c r="P6803" s="4">
        <v>127726</v>
      </c>
      <c r="Q6803" s="4">
        <v>206096</v>
      </c>
      <c r="R6803" s="4">
        <v>618288</v>
      </c>
      <c r="S6803" t="s">
        <v>22961</v>
      </c>
      <c r="T6803" s="6">
        <v>45453</v>
      </c>
      <c r="U6803" s="4">
        <v>460000</v>
      </c>
      <c r="V6803" t="s">
        <v>23741</v>
      </c>
      <c r="W6803" t="s">
        <v>22961</v>
      </c>
      <c r="X6803" t="s">
        <v>3</v>
      </c>
      <c r="AA6803" s="5" t="str">
        <f>HYPERLINK("https://www.zillow.com/homes/6436-EMERALD-CT-WILLOWBROOK-IL-60527_rb/","check listing")</f>
        <v>check listing</v>
      </c>
      <c r="AB6803" s="5" t="str">
        <f>HYPERLINK("https://propertylookup.dupagecounty.gov/Datalets/Datalet.aspx?UseSearch=no&amp;mode=sales&amp;pin=0923206021","sales record")</f>
        <v>sales record</v>
      </c>
      <c r="AC6803" t="s">
        <v>3</v>
      </c>
      <c r="AD6803">
        <v>41.771766</v>
      </c>
      <c r="AE6803">
        <v>-87.94523599999999</v>
      </c>
      <c r="AF6803" s="5" t="str">
        <f>HYPERLINK("https://www.google.com/maps/search/?api=1&amp;query=41.771766,-87.945236","map")</f>
        <v>map</v>
      </c>
    </row>
    <row r="6804" spans="1:32">
      <c r="A6804" t="s">
        <v>6854</v>
      </c>
      <c r="B6804" t="s">
        <v>14311</v>
      </c>
      <c r="C6804" t="s">
        <v>16106</v>
      </c>
      <c r="D6804" t="s">
        <v>16213</v>
      </c>
      <c r="E6804" t="s">
        <v>16218</v>
      </c>
      <c r="F6804" t="s">
        <v>16221</v>
      </c>
      <c r="G6804" t="s">
        <v>16254</v>
      </c>
      <c r="H6804" t="s">
        <v>16254</v>
      </c>
      <c r="I6804" t="s">
        <v>16379</v>
      </c>
      <c r="J6804" t="s">
        <v>16386</v>
      </c>
      <c r="K6804">
        <v>0.108</v>
      </c>
      <c r="L6804">
        <v>4704</v>
      </c>
      <c r="M6804">
        <v>1865</v>
      </c>
      <c r="N6804" t="s">
        <v>16393</v>
      </c>
      <c r="O6804" s="4">
        <v>78641</v>
      </c>
      <c r="P6804" s="4">
        <v>144029</v>
      </c>
      <c r="Q6804" s="4">
        <v>222670</v>
      </c>
      <c r="R6804" s="4">
        <v>668010</v>
      </c>
      <c r="S6804" t="s">
        <v>22962</v>
      </c>
      <c r="T6804" s="6">
        <v>44044</v>
      </c>
      <c r="U6804" s="4">
        <v>510000</v>
      </c>
      <c r="V6804" t="s">
        <v>23739</v>
      </c>
      <c r="W6804" t="s">
        <v>27480</v>
      </c>
      <c r="X6804" t="s">
        <v>3</v>
      </c>
      <c r="AA6804" s="5" t="str">
        <f>HYPERLINK("https://www.zillow.com/homes/849-BRETON-LAKES-DR-WILLOWBROOK-IL-60521_rb/","check listing")</f>
        <v>check listing</v>
      </c>
      <c r="AB6804" s="5" t="str">
        <f>HYPERLINK("https://propertylookup.dupagecounty.gov/Datalets/Datalet.aspx?UseSearch=no&amp;mode=sales&amp;pin=0923206041","sales record")</f>
        <v>sales record</v>
      </c>
      <c r="AC6804" t="s">
        <v>3</v>
      </c>
      <c r="AD6804">
        <v>41.77176</v>
      </c>
      <c r="AE6804">
        <v>-87.944599</v>
      </c>
      <c r="AF6804" s="5" t="str">
        <f>HYPERLINK("https://www.google.com/maps/search/?api=1&amp;query=41.77176,-87.944599","map")</f>
        <v>map</v>
      </c>
    </row>
    <row r="6805" spans="1:32">
      <c r="A6805" t="s">
        <v>6855</v>
      </c>
      <c r="B6805" t="s">
        <v>14312</v>
      </c>
      <c r="C6805" t="s">
        <v>16113</v>
      </c>
      <c r="D6805" t="s">
        <v>16213</v>
      </c>
      <c r="E6805" t="s">
        <v>16218</v>
      </c>
      <c r="F6805" t="s">
        <v>16221</v>
      </c>
      <c r="G6805" t="s">
        <v>16254</v>
      </c>
      <c r="H6805" t="s">
        <v>16254</v>
      </c>
      <c r="I6805" t="s">
        <v>16379</v>
      </c>
      <c r="J6805" t="s">
        <v>16386</v>
      </c>
      <c r="K6805">
        <v>0.108</v>
      </c>
      <c r="L6805">
        <v>4704</v>
      </c>
      <c r="M6805">
        <v>2038</v>
      </c>
      <c r="N6805" t="s">
        <v>16393</v>
      </c>
      <c r="O6805" s="4">
        <v>78370</v>
      </c>
      <c r="P6805" s="4">
        <v>133935</v>
      </c>
      <c r="Q6805" s="4">
        <v>212305</v>
      </c>
      <c r="R6805" s="4">
        <v>636915</v>
      </c>
      <c r="S6805" t="s">
        <v>22963</v>
      </c>
      <c r="T6805" s="6">
        <v>37165</v>
      </c>
      <c r="U6805" s="4">
        <v>399980</v>
      </c>
      <c r="V6805" t="s">
        <v>23740</v>
      </c>
      <c r="W6805" t="s">
        <v>22963</v>
      </c>
      <c r="X6805" t="s">
        <v>3</v>
      </c>
      <c r="AA6805" s="5" t="str">
        <f>HYPERLINK("https://www.zillow.com/homes/6442-EMERALD-CT-WILLOWBROOK-IL-605275393_rb/","check listing")</f>
        <v>check listing</v>
      </c>
      <c r="AB6805" s="5" t="str">
        <f>HYPERLINK("https://propertylookup.dupagecounty.gov/Datalets/Datalet.aspx?UseSearch=no&amp;mode=sales&amp;pin=0923206022","sales record")</f>
        <v>sales record</v>
      </c>
      <c r="AC6805" t="s">
        <v>3</v>
      </c>
      <c r="AD6805">
        <v>41.771643</v>
      </c>
      <c r="AE6805">
        <v>-87.94519699999999</v>
      </c>
      <c r="AF6805" s="5" t="str">
        <f>HYPERLINK("https://www.google.com/maps/search/?api=1&amp;query=41.771643,-87.945197","map")</f>
        <v>map</v>
      </c>
    </row>
    <row r="6806" spans="1:32">
      <c r="A6806" t="s">
        <v>6856</v>
      </c>
      <c r="B6806" t="s">
        <v>14313</v>
      </c>
      <c r="C6806" t="s">
        <v>16113</v>
      </c>
      <c r="D6806" t="s">
        <v>16213</v>
      </c>
      <c r="E6806" t="s">
        <v>16218</v>
      </c>
      <c r="F6806" t="s">
        <v>16221</v>
      </c>
      <c r="G6806" t="s">
        <v>16254</v>
      </c>
      <c r="H6806" t="s">
        <v>16254</v>
      </c>
      <c r="I6806" t="s">
        <v>16379</v>
      </c>
      <c r="J6806" t="s">
        <v>16386</v>
      </c>
      <c r="K6806">
        <v>0.108</v>
      </c>
      <c r="L6806">
        <v>4696</v>
      </c>
      <c r="M6806">
        <v>2164</v>
      </c>
      <c r="N6806" t="s">
        <v>16393</v>
      </c>
      <c r="O6806" s="4">
        <v>78370</v>
      </c>
      <c r="P6806" s="4">
        <v>119169</v>
      </c>
      <c r="Q6806" s="4">
        <v>197539</v>
      </c>
      <c r="R6806" s="4">
        <v>592617</v>
      </c>
      <c r="S6806" t="s">
        <v>22964</v>
      </c>
      <c r="T6806" s="6">
        <v>44531</v>
      </c>
      <c r="U6806" s="4">
        <v>450000</v>
      </c>
      <c r="V6806" t="s">
        <v>23739</v>
      </c>
      <c r="W6806" t="s">
        <v>27481</v>
      </c>
      <c r="X6806" t="s">
        <v>3</v>
      </c>
      <c r="AA6806" s="5" t="str">
        <f>HYPERLINK("https://www.zillow.com/homes/6448-EMERALD-CT-WILLOWBROOK-IL-605275393_rb/","check listing")</f>
        <v>check listing</v>
      </c>
      <c r="AB6806" s="5" t="str">
        <f>HYPERLINK("https://propertylookup.dupagecounty.gov/Datalets/Datalet.aspx?UseSearch=no&amp;mode=sales&amp;pin=0923206023","sales record")</f>
        <v>sales record</v>
      </c>
      <c r="AC6806" t="s">
        <v>3</v>
      </c>
      <c r="AD6806">
        <v>41.771507</v>
      </c>
      <c r="AE6806">
        <v>-87.945154</v>
      </c>
      <c r="AF6806" s="5" t="str">
        <f>HYPERLINK("https://www.google.com/maps/search/?api=1&amp;query=41.771507,-87.945154","map")</f>
        <v>map</v>
      </c>
    </row>
    <row r="6807" spans="1:32">
      <c r="A6807" t="s">
        <v>6857</v>
      </c>
      <c r="B6807" t="s">
        <v>14314</v>
      </c>
      <c r="C6807" t="s">
        <v>16113</v>
      </c>
      <c r="D6807" t="s">
        <v>16213</v>
      </c>
      <c r="E6807" t="s">
        <v>16218</v>
      </c>
      <c r="F6807" t="s">
        <v>16221</v>
      </c>
      <c r="G6807" t="s">
        <v>16254</v>
      </c>
      <c r="H6807" t="s">
        <v>16254</v>
      </c>
      <c r="I6807" t="s">
        <v>16379</v>
      </c>
      <c r="J6807" t="s">
        <v>16386</v>
      </c>
      <c r="K6807">
        <v>0.108</v>
      </c>
      <c r="L6807">
        <v>4692</v>
      </c>
      <c r="M6807">
        <v>2112</v>
      </c>
      <c r="N6807" t="s">
        <v>16393</v>
      </c>
      <c r="O6807" s="4">
        <v>78370</v>
      </c>
      <c r="P6807" s="4">
        <v>133454</v>
      </c>
      <c r="Q6807" s="4">
        <v>211824</v>
      </c>
      <c r="R6807" s="4">
        <v>635472</v>
      </c>
      <c r="S6807" t="s">
        <v>22965</v>
      </c>
      <c r="T6807" s="6">
        <v>43191</v>
      </c>
      <c r="U6807" s="4">
        <v>532500</v>
      </c>
      <c r="V6807" t="s">
        <v>23739</v>
      </c>
      <c r="W6807" t="s">
        <v>27482</v>
      </c>
      <c r="X6807" t="s">
        <v>3</v>
      </c>
      <c r="AA6807" s="5" t="str">
        <f>HYPERLINK("https://www.zillow.com/homes/6454-EMERALD-CT-WILLOWBROOK-IL-605275393_rb/","check listing")</f>
        <v>check listing</v>
      </c>
      <c r="AB6807" s="5" t="str">
        <f>HYPERLINK("https://propertylookup.dupagecounty.gov/Datalets/Datalet.aspx?UseSearch=no&amp;mode=sales&amp;pin=0923206024","sales record")</f>
        <v>sales record</v>
      </c>
      <c r="AC6807" t="s">
        <v>3</v>
      </c>
      <c r="AD6807">
        <v>41.771378</v>
      </c>
      <c r="AE6807">
        <v>-87.94511300000001</v>
      </c>
      <c r="AF6807" s="5" t="str">
        <f>HYPERLINK("https://www.google.com/maps/search/?api=1&amp;query=41.771378,-87.945113","map")</f>
        <v>map</v>
      </c>
    </row>
    <row r="6808" spans="1:32">
      <c r="A6808" t="s">
        <v>6858</v>
      </c>
      <c r="B6808" t="s">
        <v>14315</v>
      </c>
      <c r="C6808" t="s">
        <v>16114</v>
      </c>
      <c r="D6808" t="s">
        <v>16213</v>
      </c>
      <c r="E6808" t="s">
        <v>16218</v>
      </c>
      <c r="F6808" t="s">
        <v>16221</v>
      </c>
      <c r="G6808" t="s">
        <v>16254</v>
      </c>
      <c r="H6808" t="s">
        <v>16254</v>
      </c>
      <c r="I6808" t="s">
        <v>16379</v>
      </c>
      <c r="J6808" t="s">
        <v>16386</v>
      </c>
      <c r="K6808">
        <v>0.107</v>
      </c>
      <c r="L6808">
        <v>4679</v>
      </c>
      <c r="M6808">
        <v>1542</v>
      </c>
      <c r="N6808" t="s">
        <v>16393</v>
      </c>
      <c r="O6808" s="4">
        <v>76950</v>
      </c>
      <c r="P6808" s="4">
        <v>125237</v>
      </c>
      <c r="Q6808" s="4">
        <v>202187</v>
      </c>
      <c r="R6808" s="4">
        <v>606561</v>
      </c>
      <c r="S6808" t="s">
        <v>22966</v>
      </c>
      <c r="T6808" s="6">
        <v>42248</v>
      </c>
      <c r="U6808" s="4">
        <v>510000</v>
      </c>
      <c r="V6808" t="s">
        <v>16232</v>
      </c>
      <c r="W6808" t="s">
        <v>27483</v>
      </c>
      <c r="X6808" t="s">
        <v>3</v>
      </c>
      <c r="AA6808" s="5" t="str">
        <f>HYPERLINK("https://www.zillow.com/homes/6351-BRETON-LAKES-DR-WILLOWBROOK-IL-605275389_rb/","check listing")</f>
        <v>check listing</v>
      </c>
      <c r="AB6808" s="5" t="str">
        <f>HYPERLINK("https://propertylookup.dupagecounty.gov/Datalets/Datalet.aspx?UseSearch=no&amp;mode=sales&amp;pin=0923206051","sales record")</f>
        <v>sales record</v>
      </c>
      <c r="AC6808" t="s">
        <v>3</v>
      </c>
      <c r="AD6808">
        <v>41.773027</v>
      </c>
      <c r="AE6808">
        <v>-87.943881</v>
      </c>
      <c r="AF6808" s="5" t="str">
        <f>HYPERLINK("https://www.google.com/maps/search/?api=1&amp;query=41.773027,-87.943881","map")</f>
        <v>map</v>
      </c>
    </row>
    <row r="6809" spans="1:32">
      <c r="A6809" t="s">
        <v>6859</v>
      </c>
      <c r="B6809" t="s">
        <v>14316</v>
      </c>
      <c r="C6809" t="s">
        <v>16111</v>
      </c>
      <c r="D6809" t="s">
        <v>16213</v>
      </c>
      <c r="E6809" t="s">
        <v>16218</v>
      </c>
      <c r="F6809" t="s">
        <v>16221</v>
      </c>
      <c r="G6809" t="s">
        <v>16254</v>
      </c>
      <c r="H6809" t="s">
        <v>16254</v>
      </c>
      <c r="I6809" t="s">
        <v>16379</v>
      </c>
      <c r="J6809" t="s">
        <v>16386</v>
      </c>
      <c r="K6809">
        <v>0.107</v>
      </c>
      <c r="L6809">
        <v>4671</v>
      </c>
      <c r="M6809">
        <v>1893</v>
      </c>
      <c r="N6809" t="s">
        <v>16393</v>
      </c>
      <c r="O6809" s="4">
        <v>79180</v>
      </c>
      <c r="P6809" s="4">
        <v>145684</v>
      </c>
      <c r="Q6809" s="4">
        <v>224864</v>
      </c>
      <c r="R6809" s="4">
        <v>674592</v>
      </c>
      <c r="S6809" t="s">
        <v>22967</v>
      </c>
      <c r="T6809" s="6">
        <v>44105</v>
      </c>
      <c r="U6809" s="4">
        <v>517500</v>
      </c>
      <c r="V6809" t="s">
        <v>23740</v>
      </c>
      <c r="W6809" t="s">
        <v>27484</v>
      </c>
      <c r="X6809" t="s">
        <v>3</v>
      </c>
      <c r="AA6809" s="5" t="str">
        <f>HYPERLINK("https://www.zillow.com/homes/6415-BRETON-LAKES-DR-WILLOWBROOK-IL-605275399_rb/","check listing")</f>
        <v>check listing</v>
      </c>
      <c r="AB6809" s="5" t="str">
        <f>HYPERLINK("https://propertylookup.dupagecounty.gov/Datalets/Datalet.aspx?UseSearch=no&amp;mode=sales&amp;pin=0923206046","sales record")</f>
        <v>sales record</v>
      </c>
      <c r="AC6809" t="s">
        <v>3</v>
      </c>
      <c r="AD6809">
        <v>41.772303</v>
      </c>
      <c r="AE6809">
        <v>-87.94408199999999</v>
      </c>
      <c r="AF6809" s="5" t="str">
        <f>HYPERLINK("https://www.google.com/maps/search/?api=1&amp;query=41.772303,-87.944082","map")</f>
        <v>map</v>
      </c>
    </row>
    <row r="6810" spans="1:32">
      <c r="A6810" t="s">
        <v>6860</v>
      </c>
      <c r="B6810" t="s">
        <v>14317</v>
      </c>
      <c r="C6810" t="s">
        <v>16111</v>
      </c>
      <c r="D6810" t="s">
        <v>16213</v>
      </c>
      <c r="E6810" t="s">
        <v>16218</v>
      </c>
      <c r="F6810" t="s">
        <v>16221</v>
      </c>
      <c r="G6810" t="s">
        <v>16254</v>
      </c>
      <c r="H6810" t="s">
        <v>16254</v>
      </c>
      <c r="I6810" t="s">
        <v>16379</v>
      </c>
      <c r="J6810" t="s">
        <v>16386</v>
      </c>
      <c r="K6810">
        <v>0.107</v>
      </c>
      <c r="L6810">
        <v>4667</v>
      </c>
      <c r="M6810">
        <v>2252</v>
      </c>
      <c r="N6810" t="s">
        <v>16393</v>
      </c>
      <c r="O6810" s="4">
        <v>79180</v>
      </c>
      <c r="P6810" s="4">
        <v>136529</v>
      </c>
      <c r="Q6810" s="4">
        <v>215709</v>
      </c>
      <c r="R6810" s="4">
        <v>647127</v>
      </c>
      <c r="S6810" t="s">
        <v>22968</v>
      </c>
      <c r="T6810" s="6">
        <v>44075</v>
      </c>
      <c r="U6810" s="4">
        <v>530000</v>
      </c>
      <c r="V6810" t="s">
        <v>23740</v>
      </c>
      <c r="W6810" t="s">
        <v>27485</v>
      </c>
      <c r="X6810" t="s">
        <v>3</v>
      </c>
      <c r="AA6810" s="5" t="str">
        <f>HYPERLINK("https://www.zillow.com/homes/6409-BRETON-LAKES-DR-WILLOWBROOK-IL-605275399_rb/","check listing")</f>
        <v>check listing</v>
      </c>
      <c r="AB6810" s="5" t="str">
        <f>HYPERLINK("https://propertylookup.dupagecounty.gov/Datalets/Datalet.aspx?UseSearch=no&amp;mode=sales&amp;pin=0923206048","sales record")</f>
        <v>sales record</v>
      </c>
      <c r="AC6810" t="s">
        <v>3</v>
      </c>
      <c r="AD6810">
        <v>41.772489</v>
      </c>
      <c r="AE6810">
        <v>-87.944059</v>
      </c>
      <c r="AF6810" s="5" t="str">
        <f>HYPERLINK("https://www.google.com/maps/search/?api=1&amp;query=41.772489,-87.944059","map")</f>
        <v>map</v>
      </c>
    </row>
    <row r="6811" spans="1:32">
      <c r="A6811" t="s">
        <v>6861</v>
      </c>
      <c r="B6811" t="s">
        <v>14318</v>
      </c>
      <c r="C6811" t="s">
        <v>16109</v>
      </c>
      <c r="D6811" t="s">
        <v>16213</v>
      </c>
      <c r="E6811" t="s">
        <v>16218</v>
      </c>
      <c r="F6811" t="s">
        <v>16221</v>
      </c>
      <c r="G6811" t="s">
        <v>16254</v>
      </c>
      <c r="H6811" t="s">
        <v>16254</v>
      </c>
      <c r="I6811" t="s">
        <v>16379</v>
      </c>
      <c r="J6811" t="s">
        <v>16386</v>
      </c>
      <c r="K6811">
        <v>0.107</v>
      </c>
      <c r="L6811">
        <v>4666</v>
      </c>
      <c r="M6811">
        <v>2186</v>
      </c>
      <c r="N6811" t="s">
        <v>16393</v>
      </c>
      <c r="O6811" s="4">
        <v>77561</v>
      </c>
      <c r="P6811" s="4">
        <v>135649</v>
      </c>
      <c r="Q6811" s="4">
        <v>213210</v>
      </c>
      <c r="R6811" s="4">
        <v>639630</v>
      </c>
      <c r="S6811" t="s">
        <v>22969</v>
      </c>
      <c r="T6811" s="6">
        <v>44682</v>
      </c>
      <c r="U6811" s="4">
        <v>545000</v>
      </c>
      <c r="V6811" t="s">
        <v>23739</v>
      </c>
      <c r="W6811" t="s">
        <v>27486</v>
      </c>
      <c r="X6811" t="s">
        <v>3</v>
      </c>
      <c r="AA6811" s="5" t="str">
        <f>HYPERLINK("https://www.zillow.com/homes/851-EMERALD-CT-WILLOWBROOK-IL-605275395_rb/","check listing")</f>
        <v>check listing</v>
      </c>
      <c r="AB6811" s="5" t="str">
        <f>HYPERLINK("https://propertylookup.dupagecounty.gov/Datalets/Datalet.aspx?UseSearch=no&amp;mode=sales&amp;pin=0923206030","sales record")</f>
        <v>sales record</v>
      </c>
      <c r="AC6811" t="s">
        <v>3</v>
      </c>
      <c r="AD6811">
        <v>41.770962</v>
      </c>
      <c r="AE6811">
        <v>-87.94459999999999</v>
      </c>
      <c r="AF6811" s="5" t="str">
        <f>HYPERLINK("https://www.google.com/maps/search/?api=1&amp;query=41.770962,-87.9446","map")</f>
        <v>map</v>
      </c>
    </row>
    <row r="6812" spans="1:32">
      <c r="A6812" t="s">
        <v>6862</v>
      </c>
      <c r="B6812" t="s">
        <v>14319</v>
      </c>
      <c r="C6812" t="s">
        <v>16107</v>
      </c>
      <c r="D6812" t="s">
        <v>16213</v>
      </c>
      <c r="E6812" t="s">
        <v>16218</v>
      </c>
      <c r="F6812" t="s">
        <v>16221</v>
      </c>
      <c r="G6812" t="s">
        <v>16254</v>
      </c>
      <c r="H6812" t="s">
        <v>16254</v>
      </c>
      <c r="I6812" t="s">
        <v>16379</v>
      </c>
      <c r="J6812" t="s">
        <v>16386</v>
      </c>
      <c r="K6812">
        <v>0.107</v>
      </c>
      <c r="L6812">
        <v>4655</v>
      </c>
      <c r="M6812">
        <v>2079</v>
      </c>
      <c r="N6812" t="s">
        <v>16393</v>
      </c>
      <c r="O6812" s="4">
        <v>78370</v>
      </c>
      <c r="P6812" s="4">
        <v>150978</v>
      </c>
      <c r="Q6812" s="4">
        <v>229348</v>
      </c>
      <c r="R6812" s="4">
        <v>688044</v>
      </c>
      <c r="S6812" t="s">
        <v>22970</v>
      </c>
      <c r="T6812" s="6">
        <v>39387</v>
      </c>
      <c r="U6812" s="4">
        <v>630000</v>
      </c>
      <c r="V6812" t="s">
        <v>23740</v>
      </c>
      <c r="W6812" t="s">
        <v>22970</v>
      </c>
      <c r="X6812" t="s">
        <v>3</v>
      </c>
      <c r="AA6812" s="5" t="str">
        <f>HYPERLINK("https://www.zillow.com/homes/845-EMERALD-CT-WILLOWBROOK-IL-60527_rb/","check listing")</f>
        <v>check listing</v>
      </c>
      <c r="AB6812" s="5" t="str">
        <f>HYPERLINK("https://propertylookup.dupagecounty.gov/Datalets/Datalet.aspx?UseSearch=no&amp;mode=sales&amp;pin=0923206031","sales record")</f>
        <v>sales record</v>
      </c>
      <c r="AC6812" t="s">
        <v>3</v>
      </c>
      <c r="AD6812">
        <v>41.770964</v>
      </c>
      <c r="AE6812">
        <v>-87.944423</v>
      </c>
      <c r="AF6812" s="5" t="str">
        <f>HYPERLINK("https://www.google.com/maps/search/?api=1&amp;query=41.770964,-87.944423","map")</f>
        <v>map</v>
      </c>
    </row>
    <row r="6813" spans="1:32">
      <c r="A6813" t="s">
        <v>6863</v>
      </c>
      <c r="B6813" t="s">
        <v>14320</v>
      </c>
      <c r="C6813" t="s">
        <v>16109</v>
      </c>
      <c r="D6813" t="s">
        <v>16213</v>
      </c>
      <c r="E6813" t="s">
        <v>16218</v>
      </c>
      <c r="F6813" t="s">
        <v>16221</v>
      </c>
      <c r="G6813" t="s">
        <v>16254</v>
      </c>
      <c r="H6813" t="s">
        <v>16254</v>
      </c>
      <c r="I6813" t="s">
        <v>16379</v>
      </c>
      <c r="J6813" t="s">
        <v>16386</v>
      </c>
      <c r="K6813">
        <v>0.107</v>
      </c>
      <c r="L6813">
        <v>4654</v>
      </c>
      <c r="M6813">
        <v>2151</v>
      </c>
      <c r="N6813" t="s">
        <v>16393</v>
      </c>
      <c r="O6813" s="4">
        <v>78370</v>
      </c>
      <c r="P6813" s="4">
        <v>137738</v>
      </c>
      <c r="Q6813" s="4">
        <v>216108</v>
      </c>
      <c r="R6813" s="4">
        <v>648324</v>
      </c>
      <c r="S6813" t="s">
        <v>22971</v>
      </c>
      <c r="T6813" s="6">
        <v>42522</v>
      </c>
      <c r="U6813" s="4">
        <v>585000</v>
      </c>
      <c r="V6813" t="s">
        <v>23739</v>
      </c>
      <c r="W6813" t="s">
        <v>27487</v>
      </c>
      <c r="X6813" t="s">
        <v>3</v>
      </c>
      <c r="AA6813" s="5" t="str">
        <f>HYPERLINK("https://www.zillow.com/homes/839-EMERALD-CT-WILLOWBROOK-IL-605275395_rb/","check listing")</f>
        <v>check listing</v>
      </c>
      <c r="AB6813" s="5" t="str">
        <f>HYPERLINK("https://propertylookup.dupagecounty.gov/Datalets/Datalet.aspx?UseSearch=no&amp;mode=sales&amp;pin=0923206032","sales record")</f>
        <v>sales record</v>
      </c>
      <c r="AC6813" t="s">
        <v>3</v>
      </c>
      <c r="AD6813">
        <v>41.770967</v>
      </c>
      <c r="AE6813">
        <v>-87.944245</v>
      </c>
      <c r="AF6813" s="5" t="str">
        <f>HYPERLINK("https://www.google.com/maps/search/?api=1&amp;query=41.770967,-87.944245","map")</f>
        <v>map</v>
      </c>
    </row>
    <row r="6814" spans="1:32">
      <c r="A6814" t="s">
        <v>6864</v>
      </c>
      <c r="B6814" t="s">
        <v>14321</v>
      </c>
      <c r="C6814" t="s">
        <v>16107</v>
      </c>
      <c r="D6814" t="s">
        <v>16213</v>
      </c>
      <c r="E6814" t="s">
        <v>16217</v>
      </c>
      <c r="F6814" t="s">
        <v>16221</v>
      </c>
      <c r="G6814" t="s">
        <v>16254</v>
      </c>
      <c r="H6814" t="s">
        <v>16254</v>
      </c>
      <c r="I6814" t="s">
        <v>16379</v>
      </c>
      <c r="J6814" t="s">
        <v>16386</v>
      </c>
      <c r="K6814">
        <v>1.386</v>
      </c>
      <c r="L6814">
        <v>60356</v>
      </c>
      <c r="N6814" t="s">
        <v>16393</v>
      </c>
      <c r="O6814" s="4">
        <v>113805</v>
      </c>
      <c r="P6814" s="4">
        <v>0</v>
      </c>
      <c r="Q6814" s="4">
        <v>113805</v>
      </c>
      <c r="R6814" s="4">
        <v>341415</v>
      </c>
      <c r="S6814" t="s">
        <v>22972</v>
      </c>
      <c r="T6814" s="6">
        <v>38261</v>
      </c>
      <c r="U6814" s="4">
        <v>305000</v>
      </c>
      <c r="V6814" t="s">
        <v>23739</v>
      </c>
      <c r="W6814" t="s">
        <v>27488</v>
      </c>
      <c r="X6814" t="s">
        <v>3</v>
      </c>
      <c r="AA6814" s="5" t="str">
        <f>HYPERLINK("https://www.zillow.com/homes/6503-CLARENDON-HILLS-WILLOWBROOK-IL-60527_rb/","check listing")</f>
        <v>check listing</v>
      </c>
      <c r="AB6814" s="5" t="str">
        <f>HYPERLINK("https://propertylookup.dupagecounty.gov/Datalets/Datalet.aspx?UseSearch=no&amp;mode=sales&amp;pin=0923100031","sales record")</f>
        <v>sales record</v>
      </c>
      <c r="AC6814" t="s">
        <v>3</v>
      </c>
      <c r="AD6814">
        <v>41.770141</v>
      </c>
      <c r="AE6814">
        <v>-87.953723</v>
      </c>
      <c r="AF6814" s="5" t="str">
        <f>HYPERLINK("https://www.google.com/maps/search/?api=1&amp;query=41.770141,-87.953723","map")</f>
        <v>map</v>
      </c>
    </row>
    <row r="6815" spans="1:32">
      <c r="A6815" t="s">
        <v>6865</v>
      </c>
      <c r="B6815" t="s">
        <v>14322</v>
      </c>
      <c r="C6815" t="s">
        <v>16115</v>
      </c>
      <c r="D6815" t="s">
        <v>16214</v>
      </c>
      <c r="E6815" t="s">
        <v>16218</v>
      </c>
      <c r="F6815" t="s">
        <v>16222</v>
      </c>
      <c r="G6815" t="s">
        <v>16297</v>
      </c>
      <c r="H6815" t="s">
        <v>16297</v>
      </c>
      <c r="I6815" t="s">
        <v>16380</v>
      </c>
      <c r="J6815" t="s">
        <v>16385</v>
      </c>
      <c r="K6815">
        <v>0.292</v>
      </c>
      <c r="L6815">
        <v>12740</v>
      </c>
      <c r="M6815">
        <v>3000</v>
      </c>
      <c r="N6815" t="s">
        <v>16393</v>
      </c>
      <c r="O6815" s="4">
        <v>81081</v>
      </c>
      <c r="P6815" s="4">
        <v>43111</v>
      </c>
      <c r="Q6815" s="4">
        <v>124192</v>
      </c>
      <c r="R6815" s="4">
        <v>372576</v>
      </c>
      <c r="S6815" t="s">
        <v>22973</v>
      </c>
      <c r="T6815" s="6">
        <v>40299</v>
      </c>
      <c r="U6815" s="4">
        <v>240000</v>
      </c>
      <c r="V6815" t="s">
        <v>23740</v>
      </c>
      <c r="W6815" t="s">
        <v>27489</v>
      </c>
      <c r="X6815" t="s">
        <v>3</v>
      </c>
      <c r="AA6815" s="5" t="str">
        <f>HYPERLINK("https://www.zillow.com/homes/134-W-IRVING-PARK-RD-WOOD-DALE-IL-60191_rb/","check listing")</f>
        <v>check listing</v>
      </c>
      <c r="AB6815" s="5" t="str">
        <f>HYPERLINK("https://propertylookup.dupagecounty.gov/Datalets/Datalet.aspx?UseSearch=no&amp;mode=sales&amp;pin=0316207005","sales record")</f>
        <v>sales record</v>
      </c>
      <c r="AC6815" t="s">
        <v>3</v>
      </c>
      <c r="AD6815">
        <v>41.963285</v>
      </c>
      <c r="AE6815">
        <v>-87.98053400000001</v>
      </c>
      <c r="AF6815" s="5" t="str">
        <f>HYPERLINK("https://www.google.com/maps/search/?api=1&amp;query=41.963285,-87.980534","map")</f>
        <v>map</v>
      </c>
    </row>
    <row r="6816" spans="1:32">
      <c r="A6816" t="s">
        <v>6866</v>
      </c>
      <c r="B6816" t="s">
        <v>14323</v>
      </c>
      <c r="C6816" t="s">
        <v>16115</v>
      </c>
      <c r="D6816" t="s">
        <v>16214</v>
      </c>
      <c r="E6816" t="s">
        <v>16217</v>
      </c>
      <c r="F6816" t="s">
        <v>16222</v>
      </c>
      <c r="G6816" t="s">
        <v>16297</v>
      </c>
      <c r="H6816" t="s">
        <v>16297</v>
      </c>
      <c r="I6816" t="s">
        <v>16380</v>
      </c>
      <c r="J6816" t="s">
        <v>16385</v>
      </c>
      <c r="K6816">
        <v>0.642</v>
      </c>
      <c r="L6816">
        <v>27945</v>
      </c>
      <c r="N6816" t="s">
        <v>16392</v>
      </c>
      <c r="O6816" s="4">
        <v>103935</v>
      </c>
      <c r="P6816" s="4">
        <v>0</v>
      </c>
      <c r="Q6816" s="4">
        <v>103935</v>
      </c>
      <c r="R6816" s="4">
        <v>311805</v>
      </c>
      <c r="S6816" t="s">
        <v>22974</v>
      </c>
      <c r="T6816" s="6">
        <v>34790</v>
      </c>
      <c r="U6816" s="4">
        <v>619348</v>
      </c>
      <c r="X6816" t="s">
        <v>3</v>
      </c>
      <c r="AA6816" s="5" t="str">
        <f>HYPERLINK("https://www.zillow.com/homes/155-W-IRVING-PARK-RD-WOOD-DALE-IL-60191_rb/","check listing")</f>
        <v>check listing</v>
      </c>
      <c r="AB6816" s="5" t="str">
        <f>HYPERLINK("https://propertylookup.dupagecounty.gov/Datalets/Datalet.aspx?UseSearch=no&amp;mode=sales&amp;pin=0316206004","sales record")</f>
        <v>sales record</v>
      </c>
      <c r="AC6816" t="s">
        <v>27872</v>
      </c>
      <c r="AD6816">
        <v>41.964139</v>
      </c>
      <c r="AE6816">
        <v>-87.98105</v>
      </c>
      <c r="AF6816" s="5" t="str">
        <f>HYPERLINK("https://www.google.com/maps/search/?api=1&amp;query=41.964139,-87.98105","map")</f>
        <v>map</v>
      </c>
    </row>
    <row r="6817" spans="1:32">
      <c r="A6817" t="s">
        <v>6867</v>
      </c>
      <c r="B6817" t="s">
        <v>14324</v>
      </c>
      <c r="C6817" t="s">
        <v>16115</v>
      </c>
      <c r="D6817" t="s">
        <v>16214</v>
      </c>
      <c r="E6817" t="s">
        <v>16217</v>
      </c>
      <c r="F6817" t="s">
        <v>16222</v>
      </c>
      <c r="G6817" t="s">
        <v>16297</v>
      </c>
      <c r="H6817" t="s">
        <v>16297</v>
      </c>
      <c r="I6817" t="s">
        <v>16380</v>
      </c>
      <c r="J6817" t="s">
        <v>16385</v>
      </c>
      <c r="K6817">
        <v>0.308</v>
      </c>
      <c r="L6817">
        <v>13407</v>
      </c>
      <c r="N6817" t="s">
        <v>16392</v>
      </c>
      <c r="O6817" s="4">
        <v>56093</v>
      </c>
      <c r="P6817" s="4">
        <v>0</v>
      </c>
      <c r="Q6817" s="4">
        <v>56093</v>
      </c>
      <c r="R6817" s="4">
        <v>168279</v>
      </c>
      <c r="S6817" t="s">
        <v>22752</v>
      </c>
      <c r="T6817" s="6">
        <v>44904</v>
      </c>
      <c r="U6817" s="4">
        <v>1800000</v>
      </c>
      <c r="V6817" t="s">
        <v>23739</v>
      </c>
      <c r="W6817" t="s">
        <v>27345</v>
      </c>
      <c r="X6817" t="s">
        <v>3</v>
      </c>
      <c r="AA6817" s="5" t="str">
        <f>HYPERLINK("https://www.zillow.com/homes/180-E-IRVING-PARK-RD-WOOD-DALE-IL-60191_rb/","check listing")</f>
        <v>check listing</v>
      </c>
      <c r="AB6817" s="5" t="str">
        <f>HYPERLINK("https://propertylookup.dupagecounty.gov/Datalets/Datalet.aspx?UseSearch=no&amp;mode=sales&amp;pin=0315109001","sales record")</f>
        <v>sales record</v>
      </c>
      <c r="AC6817" t="s">
        <v>27872</v>
      </c>
      <c r="AD6817">
        <v>41.962794</v>
      </c>
      <c r="AE6817">
        <v>-87.97528</v>
      </c>
      <c r="AF6817" s="5" t="str">
        <f>HYPERLINK("https://www.google.com/maps/search/?api=1&amp;query=41.962794,-87.97528","map")</f>
        <v>map</v>
      </c>
    </row>
    <row r="6818" spans="1:32">
      <c r="A6818" t="s">
        <v>6868</v>
      </c>
      <c r="B6818" t="s">
        <v>14325</v>
      </c>
      <c r="C6818" t="s">
        <v>16115</v>
      </c>
      <c r="D6818" t="s">
        <v>16214</v>
      </c>
      <c r="E6818" t="s">
        <v>16217</v>
      </c>
      <c r="F6818" t="s">
        <v>16222</v>
      </c>
      <c r="G6818" t="s">
        <v>16297</v>
      </c>
      <c r="H6818" t="s">
        <v>16297</v>
      </c>
      <c r="I6818" t="s">
        <v>16380</v>
      </c>
      <c r="J6818" t="s">
        <v>16385</v>
      </c>
      <c r="K6818">
        <v>0.229</v>
      </c>
      <c r="L6818">
        <v>9997</v>
      </c>
      <c r="N6818" t="s">
        <v>16392</v>
      </c>
      <c r="O6818" s="4">
        <v>36985</v>
      </c>
      <c r="P6818" s="4">
        <v>0</v>
      </c>
      <c r="Q6818" s="4">
        <v>36985</v>
      </c>
      <c r="R6818" s="4">
        <v>110955</v>
      </c>
      <c r="S6818" t="s">
        <v>22975</v>
      </c>
      <c r="X6818" t="s">
        <v>3</v>
      </c>
      <c r="AA6818" s="5" t="str">
        <f>HYPERLINK("https://www.zillow.com/homes/16466-W-IRVING-PARK-RD-WOOD-DALE-IL-60191_rb/","check listing")</f>
        <v>check listing</v>
      </c>
      <c r="AB6818" s="5" t="str">
        <f>HYPERLINK("https://propertylookup.dupagecounty.gov/Datalets/Datalet.aspx?UseSearch=no&amp;mode=sales&amp;pin=0316204004","sales record")</f>
        <v>sales record</v>
      </c>
      <c r="AC6818" t="s">
        <v>27872</v>
      </c>
      <c r="AD6818">
        <v>41.963402</v>
      </c>
      <c r="AE6818">
        <v>-87.98199099999999</v>
      </c>
      <c r="AF6818" s="5" t="str">
        <f>HYPERLINK("https://www.google.com/maps/search/?api=1&amp;query=41.963402,-87.981991","map")</f>
        <v>map</v>
      </c>
    </row>
    <row r="6819" spans="1:32">
      <c r="A6819" t="s">
        <v>6869</v>
      </c>
      <c r="B6819" t="s">
        <v>14326</v>
      </c>
      <c r="C6819" t="s">
        <v>16115</v>
      </c>
      <c r="D6819" t="s">
        <v>16214</v>
      </c>
      <c r="E6819" t="s">
        <v>16217</v>
      </c>
      <c r="F6819" t="s">
        <v>16222</v>
      </c>
      <c r="G6819" t="s">
        <v>16297</v>
      </c>
      <c r="H6819" t="s">
        <v>16297</v>
      </c>
      <c r="I6819" t="s">
        <v>16380</v>
      </c>
      <c r="J6819" t="s">
        <v>16385</v>
      </c>
      <c r="K6819">
        <v>0.169</v>
      </c>
      <c r="L6819">
        <v>7341</v>
      </c>
      <c r="N6819" t="s">
        <v>16392</v>
      </c>
      <c r="O6819" s="4">
        <v>46586</v>
      </c>
      <c r="P6819" s="4">
        <v>0</v>
      </c>
      <c r="Q6819" s="4">
        <v>46586</v>
      </c>
      <c r="R6819" s="4">
        <v>139758</v>
      </c>
      <c r="S6819" t="s">
        <v>22976</v>
      </c>
      <c r="T6819" s="6">
        <v>31503</v>
      </c>
      <c r="U6819" s="4">
        <v>160000</v>
      </c>
      <c r="X6819" t="s">
        <v>3</v>
      </c>
      <c r="AA6819" s="5" t="str">
        <f>HYPERLINK("https://www.zillow.com/homes/120-W-IRVING-PARK-RD-WOOD-DALE-IL-60191_rb/","check listing")</f>
        <v>check listing</v>
      </c>
      <c r="AB6819" s="5" t="str">
        <f>HYPERLINK("https://propertylookup.dupagecounty.gov/Datalets/Datalet.aspx?UseSearch=no&amp;mode=sales&amp;pin=0316207008","sales record")</f>
        <v>sales record</v>
      </c>
      <c r="AC6819" t="s">
        <v>3</v>
      </c>
      <c r="AD6819">
        <v>41.963206</v>
      </c>
      <c r="AE6819">
        <v>-87.980014</v>
      </c>
      <c r="AF6819" s="5" t="str">
        <f>HYPERLINK("https://www.google.com/maps/search/?api=1&amp;query=41.963206,-87.980014","map")</f>
        <v>map</v>
      </c>
    </row>
    <row r="6820" spans="1:32">
      <c r="A6820" t="s">
        <v>6870</v>
      </c>
      <c r="B6820" t="s">
        <v>14327</v>
      </c>
      <c r="C6820" t="s">
        <v>16115</v>
      </c>
      <c r="D6820" t="s">
        <v>16214</v>
      </c>
      <c r="E6820" t="s">
        <v>16217</v>
      </c>
      <c r="F6820" t="s">
        <v>16222</v>
      </c>
      <c r="G6820" t="s">
        <v>16297</v>
      </c>
      <c r="H6820" t="s">
        <v>16297</v>
      </c>
      <c r="I6820" t="s">
        <v>16380</v>
      </c>
      <c r="J6820" t="s">
        <v>16385</v>
      </c>
      <c r="K6820">
        <v>0.161</v>
      </c>
      <c r="L6820">
        <v>7000</v>
      </c>
      <c r="N6820" t="s">
        <v>16392</v>
      </c>
      <c r="O6820" s="4">
        <v>32313</v>
      </c>
      <c r="P6820" s="4">
        <v>0</v>
      </c>
      <c r="Q6820" s="4">
        <v>32313</v>
      </c>
      <c r="R6820" s="4">
        <v>96939</v>
      </c>
      <c r="S6820" t="s">
        <v>22977</v>
      </c>
      <c r="X6820" t="s">
        <v>3</v>
      </c>
      <c r="AA6820" s="5" t="str">
        <f>HYPERLINK("https://www.zillow.com/homes/227-E-IRVING-PARK-RD-WOOD-DALE-IL-60191_rb/","check listing")</f>
        <v>check listing</v>
      </c>
      <c r="AB6820" s="5" t="str">
        <f>HYPERLINK("https://propertylookup.dupagecounty.gov/Datalets/Datalet.aspx?UseSearch=no&amp;mode=sales&amp;pin=0315104017","sales record")</f>
        <v>sales record</v>
      </c>
      <c r="AC6820" t="s">
        <v>27872</v>
      </c>
      <c r="AD6820">
        <v>41.962964</v>
      </c>
      <c r="AE6820">
        <v>-87.972927</v>
      </c>
      <c r="AF6820" s="5" t="str">
        <f>HYPERLINK("https://www.google.com/maps/search/?api=1&amp;query=41.962964,-87.972927","map")</f>
        <v>map</v>
      </c>
    </row>
    <row r="6821" spans="1:32">
      <c r="A6821" t="s">
        <v>6871</v>
      </c>
      <c r="B6821" t="s">
        <v>14327</v>
      </c>
      <c r="C6821" t="s">
        <v>16115</v>
      </c>
      <c r="D6821" t="s">
        <v>16214</v>
      </c>
      <c r="E6821" t="s">
        <v>16217</v>
      </c>
      <c r="F6821" t="s">
        <v>16222</v>
      </c>
      <c r="G6821" t="s">
        <v>16297</v>
      </c>
      <c r="H6821" t="s">
        <v>16297</v>
      </c>
      <c r="I6821" t="s">
        <v>16380</v>
      </c>
      <c r="J6821" t="s">
        <v>16385</v>
      </c>
      <c r="K6821">
        <v>0.161</v>
      </c>
      <c r="L6821">
        <v>6994</v>
      </c>
      <c r="M6821">
        <v>2310</v>
      </c>
      <c r="N6821" t="s">
        <v>16392</v>
      </c>
      <c r="O6821" s="4">
        <v>32313</v>
      </c>
      <c r="P6821" s="4">
        <v>0</v>
      </c>
      <c r="Q6821" s="4">
        <v>32313</v>
      </c>
      <c r="R6821" s="4">
        <v>96939</v>
      </c>
      <c r="S6821" t="s">
        <v>22977</v>
      </c>
      <c r="T6821" s="6">
        <v>39356</v>
      </c>
      <c r="U6821" s="4">
        <v>1800000</v>
      </c>
      <c r="V6821" t="s">
        <v>23740</v>
      </c>
      <c r="W6821" t="s">
        <v>27490</v>
      </c>
      <c r="X6821" t="s">
        <v>3</v>
      </c>
      <c r="AA6821" s="5" t="str">
        <f>HYPERLINK("https://www.zillow.com/homes/227-E-IRVING-PARK-RD-WOOD-DALE-IL-60191_rb/","check listing")</f>
        <v>check listing</v>
      </c>
      <c r="AB6821" s="5" t="str">
        <f>HYPERLINK("https://propertylookup.dupagecounty.gov/Datalets/Datalet.aspx?UseSearch=no&amp;mode=sales&amp;pin=0315104016","sales record")</f>
        <v>sales record</v>
      </c>
      <c r="AC6821" t="s">
        <v>11</v>
      </c>
      <c r="AD6821">
        <v>41.962988</v>
      </c>
      <c r="AE6821">
        <v>-87.973108</v>
      </c>
      <c r="AF6821" s="5" t="str">
        <f>HYPERLINK("https://www.google.com/maps/search/?api=1&amp;query=41.962988,-87.973108","map")</f>
        <v>map</v>
      </c>
    </row>
    <row r="6822" spans="1:32">
      <c r="A6822" t="s">
        <v>6872</v>
      </c>
      <c r="B6822" t="s">
        <v>7760</v>
      </c>
      <c r="C6822" t="s">
        <v>16115</v>
      </c>
      <c r="D6822" t="s">
        <v>16214</v>
      </c>
      <c r="E6822" t="s">
        <v>16217</v>
      </c>
      <c r="F6822" t="s">
        <v>16222</v>
      </c>
      <c r="G6822" t="s">
        <v>16297</v>
      </c>
      <c r="H6822" t="s">
        <v>16297</v>
      </c>
      <c r="I6822" t="s">
        <v>16380</v>
      </c>
      <c r="J6822" t="s">
        <v>16385</v>
      </c>
      <c r="K6822">
        <v>0.103</v>
      </c>
      <c r="L6822">
        <v>4497</v>
      </c>
      <c r="N6822" t="s">
        <v>16392</v>
      </c>
      <c r="O6822" s="4">
        <v>19191</v>
      </c>
      <c r="P6822" s="4">
        <v>0</v>
      </c>
      <c r="Q6822" s="4">
        <v>19191</v>
      </c>
      <c r="R6822" s="4">
        <v>57573</v>
      </c>
      <c r="S6822" t="s">
        <v>22978</v>
      </c>
      <c r="T6822" s="6">
        <v>45569</v>
      </c>
      <c r="U6822" s="4">
        <v>200000</v>
      </c>
      <c r="V6822" t="s">
        <v>23741</v>
      </c>
      <c r="W6822" t="s">
        <v>27491</v>
      </c>
      <c r="X6822" t="s">
        <v>3</v>
      </c>
      <c r="AA6822" s="5" t="str">
        <f>HYPERLINK("https://www.zillow.com/homes/IRVING-PARK-RD-WOOD-DALE-IL-60191_rb/","check listing")</f>
        <v>check listing</v>
      </c>
      <c r="AB6822" s="5" t="str">
        <f>HYPERLINK("https://propertylookup.dupagecounty.gov/Datalets/Datalet.aspx?UseSearch=no&amp;mode=sales&amp;pin=0315105017","sales record")</f>
        <v>sales record</v>
      </c>
      <c r="AC6822" t="s">
        <v>3</v>
      </c>
      <c r="AD6822">
        <v>41.962814</v>
      </c>
      <c r="AE6822">
        <v>-87.971799</v>
      </c>
      <c r="AF6822" s="5" t="str">
        <f>HYPERLINK("https://www.google.com/maps/search/?api=1&amp;query=41.962814,-87.971799","map")</f>
        <v>map</v>
      </c>
    </row>
    <row r="6823" spans="1:32">
      <c r="A6823" t="s">
        <v>6873</v>
      </c>
      <c r="B6823" t="s">
        <v>14328</v>
      </c>
      <c r="C6823" t="s">
        <v>16115</v>
      </c>
      <c r="D6823" t="s">
        <v>16214</v>
      </c>
      <c r="E6823" t="s">
        <v>16217</v>
      </c>
      <c r="F6823" t="s">
        <v>16222</v>
      </c>
      <c r="G6823" t="s">
        <v>16297</v>
      </c>
      <c r="H6823" t="s">
        <v>16297</v>
      </c>
      <c r="I6823" t="s">
        <v>16380</v>
      </c>
      <c r="J6823" t="s">
        <v>16385</v>
      </c>
      <c r="K6823">
        <v>0.097</v>
      </c>
      <c r="L6823">
        <v>4205</v>
      </c>
      <c r="N6823" t="s">
        <v>16392</v>
      </c>
      <c r="O6823" s="4">
        <v>19191</v>
      </c>
      <c r="P6823" s="4">
        <v>0</v>
      </c>
      <c r="Q6823" s="4">
        <v>19191</v>
      </c>
      <c r="R6823" s="4">
        <v>57573</v>
      </c>
      <c r="S6823" t="s">
        <v>22978</v>
      </c>
      <c r="T6823" s="6">
        <v>45569</v>
      </c>
      <c r="U6823" s="4">
        <v>200000</v>
      </c>
      <c r="V6823" t="s">
        <v>23741</v>
      </c>
      <c r="W6823" t="s">
        <v>27491</v>
      </c>
      <c r="X6823" t="s">
        <v>3</v>
      </c>
      <c r="AA6823" s="5" t="str">
        <f>HYPERLINK("https://www.zillow.com/homes/EMPTY-LOT-IRVING-PARK-RD-WOOD-DALE-IL-60191_rb/","check listing")</f>
        <v>check listing</v>
      </c>
      <c r="AB6823" s="5" t="str">
        <f>HYPERLINK("https://propertylookup.dupagecounty.gov/Datalets/Datalet.aspx?UseSearch=no&amp;mode=sales&amp;pin=0315105018","sales record")</f>
        <v>sales record</v>
      </c>
      <c r="AC6823" t="s">
        <v>27872</v>
      </c>
      <c r="AD6823">
        <v>41.962799</v>
      </c>
      <c r="AE6823">
        <v>-87.971687</v>
      </c>
      <c r="AF6823" s="5" t="str">
        <f>HYPERLINK("https://www.google.com/maps/search/?api=1&amp;query=41.962799,-87.971687","map")</f>
        <v>map</v>
      </c>
    </row>
    <row r="6824" spans="1:32">
      <c r="A6824" t="s">
        <v>6874</v>
      </c>
      <c r="B6824" t="s">
        <v>14329</v>
      </c>
      <c r="C6824" t="s">
        <v>16115</v>
      </c>
      <c r="D6824" t="s">
        <v>16214</v>
      </c>
      <c r="E6824" t="s">
        <v>16217</v>
      </c>
      <c r="F6824" t="s">
        <v>16222</v>
      </c>
      <c r="G6824" t="s">
        <v>16297</v>
      </c>
      <c r="H6824" t="s">
        <v>16297</v>
      </c>
      <c r="I6824" t="s">
        <v>16380</v>
      </c>
      <c r="J6824" t="s">
        <v>16385</v>
      </c>
      <c r="K6824">
        <v>0.093</v>
      </c>
      <c r="L6824">
        <v>4063</v>
      </c>
      <c r="N6824" t="s">
        <v>16392</v>
      </c>
      <c r="O6824" s="4">
        <v>19613</v>
      </c>
      <c r="P6824" s="4">
        <v>0</v>
      </c>
      <c r="Q6824" s="4">
        <v>19613</v>
      </c>
      <c r="R6824" s="4">
        <v>58839</v>
      </c>
      <c r="S6824" t="s">
        <v>22979</v>
      </c>
      <c r="X6824" t="s">
        <v>3</v>
      </c>
      <c r="AA6824" s="5" t="str">
        <f>HYPERLINK("https://www.zillow.com/homes/235-E-IRVING-PARK-RD-WOOD-DALE-IL-60191_rb/","check listing")</f>
        <v>check listing</v>
      </c>
      <c r="AB6824" s="5" t="str">
        <f>HYPERLINK("https://propertylookup.dupagecounty.gov/Datalets/Datalet.aspx?UseSearch=no&amp;mode=sales&amp;pin=0315104020","sales record")</f>
        <v>sales record</v>
      </c>
      <c r="AC6824" t="s">
        <v>3</v>
      </c>
      <c r="AD6824">
        <v>41.962903</v>
      </c>
      <c r="AE6824">
        <v>-87.97247</v>
      </c>
      <c r="AF6824" s="5" t="str">
        <f>HYPERLINK("https://www.google.com/maps/search/?api=1&amp;query=41.962903,-87.97247","map")</f>
        <v>map</v>
      </c>
    </row>
    <row r="6825" spans="1:32">
      <c r="A6825" t="s">
        <v>6875</v>
      </c>
      <c r="B6825" t="s">
        <v>14329</v>
      </c>
      <c r="C6825" t="s">
        <v>16115</v>
      </c>
      <c r="D6825" t="s">
        <v>16214</v>
      </c>
      <c r="E6825" t="s">
        <v>16217</v>
      </c>
      <c r="F6825" t="s">
        <v>16222</v>
      </c>
      <c r="G6825" t="s">
        <v>16297</v>
      </c>
      <c r="H6825" t="s">
        <v>16297</v>
      </c>
      <c r="I6825" t="s">
        <v>16380</v>
      </c>
      <c r="J6825" t="s">
        <v>16385</v>
      </c>
      <c r="K6825">
        <v>0.093</v>
      </c>
      <c r="L6825">
        <v>4062</v>
      </c>
      <c r="N6825" t="s">
        <v>16392</v>
      </c>
      <c r="O6825" s="4">
        <v>19613</v>
      </c>
      <c r="P6825" s="4">
        <v>0</v>
      </c>
      <c r="Q6825" s="4">
        <v>19613</v>
      </c>
      <c r="R6825" s="4">
        <v>58839</v>
      </c>
      <c r="S6825" t="s">
        <v>22977</v>
      </c>
      <c r="X6825" t="s">
        <v>3</v>
      </c>
      <c r="AA6825" s="5" t="str">
        <f>HYPERLINK("https://www.zillow.com/homes/235-E-IRVING-PARK-RD-WOOD-DALE-IL-60191_rb/","check listing")</f>
        <v>check listing</v>
      </c>
      <c r="AB6825" s="5" t="str">
        <f>HYPERLINK("https://propertylookup.dupagecounty.gov/Datalets/Datalet.aspx?UseSearch=no&amp;mode=sales&amp;pin=0315104021","sales record")</f>
        <v>sales record</v>
      </c>
      <c r="AC6825" t="s">
        <v>27872</v>
      </c>
      <c r="AD6825">
        <v>41.962889</v>
      </c>
      <c r="AE6825">
        <v>-87.972365</v>
      </c>
      <c r="AF6825" s="5" t="str">
        <f>HYPERLINK("https://www.google.com/maps/search/?api=1&amp;query=41.962889,-87.972365","map")</f>
        <v>map</v>
      </c>
    </row>
    <row r="6826" spans="1:32">
      <c r="A6826" t="s">
        <v>6876</v>
      </c>
      <c r="B6826" t="s">
        <v>14329</v>
      </c>
      <c r="C6826" t="s">
        <v>16115</v>
      </c>
      <c r="D6826" t="s">
        <v>16214</v>
      </c>
      <c r="E6826" t="s">
        <v>16217</v>
      </c>
      <c r="F6826" t="s">
        <v>16222</v>
      </c>
      <c r="G6826" t="s">
        <v>16297</v>
      </c>
      <c r="H6826" t="s">
        <v>16297</v>
      </c>
      <c r="I6826" t="s">
        <v>16380</v>
      </c>
      <c r="J6826" t="s">
        <v>16385</v>
      </c>
      <c r="K6826">
        <v>0.093</v>
      </c>
      <c r="L6826">
        <v>4060</v>
      </c>
      <c r="N6826" t="s">
        <v>16392</v>
      </c>
      <c r="O6826" s="4">
        <v>19613</v>
      </c>
      <c r="P6826" s="4">
        <v>0</v>
      </c>
      <c r="Q6826" s="4">
        <v>19613</v>
      </c>
      <c r="R6826" s="4">
        <v>58839</v>
      </c>
      <c r="S6826" t="s">
        <v>22977</v>
      </c>
      <c r="X6826" t="s">
        <v>3</v>
      </c>
      <c r="AA6826" s="5" t="str">
        <f>HYPERLINK("https://www.zillow.com/homes/235-E-IRVING-PARK-RD-WOOD-DALE-IL-60191_rb/","check listing")</f>
        <v>check listing</v>
      </c>
      <c r="AB6826" s="5" t="str">
        <f>HYPERLINK("https://propertylookup.dupagecounty.gov/Datalets/Datalet.aspx?UseSearch=no&amp;mode=sales&amp;pin=0315104019","sales record")</f>
        <v>sales record</v>
      </c>
      <c r="AC6826" t="s">
        <v>27872</v>
      </c>
      <c r="AD6826">
        <v>41.962917</v>
      </c>
      <c r="AE6826">
        <v>-87.97257500000001</v>
      </c>
      <c r="AF6826" s="5" t="str">
        <f>HYPERLINK("https://www.google.com/maps/search/?api=1&amp;query=41.962917,-87.972575","map")</f>
        <v>map</v>
      </c>
    </row>
    <row r="6827" spans="1:32">
      <c r="A6827" t="s">
        <v>6877</v>
      </c>
      <c r="B6827" t="s">
        <v>14326</v>
      </c>
      <c r="C6827" t="s">
        <v>16115</v>
      </c>
      <c r="D6827" t="s">
        <v>16214</v>
      </c>
      <c r="E6827" t="s">
        <v>16217</v>
      </c>
      <c r="F6827" t="s">
        <v>16222</v>
      </c>
      <c r="G6827" t="s">
        <v>16297</v>
      </c>
      <c r="H6827" t="s">
        <v>16297</v>
      </c>
      <c r="I6827" t="s">
        <v>16380</v>
      </c>
      <c r="J6827" t="s">
        <v>16385</v>
      </c>
      <c r="K6827">
        <v>0.08400000000000001</v>
      </c>
      <c r="L6827">
        <v>3669</v>
      </c>
      <c r="N6827" t="s">
        <v>16392</v>
      </c>
      <c r="O6827" s="4">
        <v>25917</v>
      </c>
      <c r="P6827" s="4">
        <v>0</v>
      </c>
      <c r="Q6827" s="4">
        <v>25917</v>
      </c>
      <c r="R6827" s="4">
        <v>77751</v>
      </c>
      <c r="S6827" t="s">
        <v>22976</v>
      </c>
      <c r="T6827" s="6">
        <v>33573</v>
      </c>
      <c r="U6827" s="4">
        <v>9450</v>
      </c>
      <c r="X6827" t="s">
        <v>3</v>
      </c>
      <c r="AA6827" s="5" t="str">
        <f>HYPERLINK("https://www.zillow.com/homes/120-W-IRVING-PARK-RD-WOOD-DALE-IL-60191_rb/","check listing")</f>
        <v>check listing</v>
      </c>
      <c r="AB6827" s="5" t="str">
        <f>HYPERLINK("https://propertylookup.dupagecounty.gov/Datalets/Datalet.aspx?UseSearch=no&amp;mode=sales&amp;pin=0316207007","sales record")</f>
        <v>sales record</v>
      </c>
      <c r="AC6827" t="s">
        <v>27872</v>
      </c>
      <c r="AD6827">
        <v>41.963235</v>
      </c>
      <c r="AE6827">
        <v>-87.98014999999999</v>
      </c>
      <c r="AF6827" s="5" t="str">
        <f>HYPERLINK("https://www.google.com/maps/search/?api=1&amp;query=41.963235,-87.98015","map")</f>
        <v>map</v>
      </c>
    </row>
    <row r="6828" spans="1:32">
      <c r="A6828" t="s">
        <v>6878</v>
      </c>
      <c r="B6828" t="s">
        <v>14330</v>
      </c>
      <c r="C6828" t="s">
        <v>16115</v>
      </c>
      <c r="D6828" t="s">
        <v>16214</v>
      </c>
      <c r="E6828" t="s">
        <v>16218</v>
      </c>
      <c r="F6828" t="s">
        <v>16220</v>
      </c>
      <c r="G6828" t="s">
        <v>16298</v>
      </c>
      <c r="H6828" t="s">
        <v>16298</v>
      </c>
      <c r="I6828" t="s">
        <v>16381</v>
      </c>
      <c r="J6828" t="s">
        <v>16385</v>
      </c>
      <c r="K6828">
        <v>0.462</v>
      </c>
      <c r="L6828">
        <v>20119</v>
      </c>
      <c r="M6828">
        <v>2064</v>
      </c>
      <c r="N6828" t="s">
        <v>16393</v>
      </c>
      <c r="O6828" s="4">
        <v>37466</v>
      </c>
      <c r="P6828" s="4">
        <v>135942</v>
      </c>
      <c r="Q6828" s="4">
        <v>173408</v>
      </c>
      <c r="R6828" s="4">
        <v>520224</v>
      </c>
      <c r="S6828" t="s">
        <v>22980</v>
      </c>
      <c r="T6828" s="6">
        <v>42401</v>
      </c>
      <c r="U6828" s="4">
        <v>420000</v>
      </c>
      <c r="V6828" t="s">
        <v>23739</v>
      </c>
      <c r="W6828" t="s">
        <v>27492</v>
      </c>
      <c r="X6828" t="s">
        <v>3</v>
      </c>
      <c r="AA6828" s="5" t="str">
        <f>HYPERLINK("https://www.zillow.com/homes/392-S-WOOD-DALE-RD-WOOD-DALE-IL-60191_rb/","check listing")</f>
        <v>check listing</v>
      </c>
      <c r="AB6828" s="5" t="str">
        <f>HYPERLINK("https://propertylookup.dupagecounty.gov/Datalets/Datalet.aspx?UseSearch=no&amp;mode=sales&amp;pin=0315307009","sales record")</f>
        <v>sales record</v>
      </c>
      <c r="AC6828" t="s">
        <v>3</v>
      </c>
      <c r="AD6828">
        <v>41.949601</v>
      </c>
      <c r="AE6828">
        <v>-87.97724700000001</v>
      </c>
      <c r="AF6828" s="5" t="str">
        <f>HYPERLINK("https://www.google.com/maps/search/?api=1&amp;query=41.949601,-87.977247","map")</f>
        <v>map</v>
      </c>
    </row>
    <row r="6829" spans="1:32">
      <c r="A6829" t="s">
        <v>6879</v>
      </c>
      <c r="B6829" t="s">
        <v>14331</v>
      </c>
      <c r="C6829" t="s">
        <v>16115</v>
      </c>
      <c r="D6829" t="s">
        <v>16214</v>
      </c>
      <c r="E6829" t="s">
        <v>16218</v>
      </c>
      <c r="F6829" t="s">
        <v>16220</v>
      </c>
      <c r="G6829" t="s">
        <v>16298</v>
      </c>
      <c r="H6829" t="s">
        <v>16298</v>
      </c>
      <c r="I6829" t="s">
        <v>16381</v>
      </c>
      <c r="J6829" t="s">
        <v>16385</v>
      </c>
      <c r="K6829">
        <v>0.462</v>
      </c>
      <c r="L6829">
        <v>20108</v>
      </c>
      <c r="N6829" t="s">
        <v>16393</v>
      </c>
      <c r="O6829" s="4">
        <v>37466</v>
      </c>
      <c r="P6829" s="4">
        <v>104339</v>
      </c>
      <c r="Q6829" s="4">
        <v>141805</v>
      </c>
      <c r="R6829" s="4">
        <v>425415</v>
      </c>
      <c r="S6829" t="s">
        <v>22981</v>
      </c>
      <c r="T6829" s="6">
        <v>42401</v>
      </c>
      <c r="U6829" s="4">
        <v>12000</v>
      </c>
      <c r="V6829" t="s">
        <v>23739</v>
      </c>
      <c r="W6829" t="s">
        <v>22981</v>
      </c>
      <c r="X6829" t="s">
        <v>3</v>
      </c>
      <c r="AA6829" s="5" t="str">
        <f>HYPERLINK("https://www.zillow.com/homes/386-S-WOOD-DALE-RD-WOOD-DALE-IL-60191_rb/","check listing")</f>
        <v>check listing</v>
      </c>
      <c r="AB6829" s="5" t="str">
        <f>HYPERLINK("https://propertylookup.dupagecounty.gov/Datalets/Datalet.aspx?UseSearch=no&amp;mode=sales&amp;pin=0315307008","sales record")</f>
        <v>sales record</v>
      </c>
      <c r="AC6829" t="s">
        <v>3</v>
      </c>
      <c r="AD6829">
        <v>41.949907</v>
      </c>
      <c r="AE6829">
        <v>-87.977254</v>
      </c>
      <c r="AF6829" s="5" t="str">
        <f>HYPERLINK("https://www.google.com/maps/search/?api=1&amp;query=41.949907,-87.977254","map")</f>
        <v>map</v>
      </c>
    </row>
    <row r="6830" spans="1:32">
      <c r="A6830" t="s">
        <v>6880</v>
      </c>
      <c r="B6830" t="s">
        <v>14332</v>
      </c>
      <c r="C6830" t="s">
        <v>16115</v>
      </c>
      <c r="D6830" t="s">
        <v>16214</v>
      </c>
      <c r="E6830" t="s">
        <v>16218</v>
      </c>
      <c r="F6830" t="s">
        <v>16220</v>
      </c>
      <c r="G6830" t="s">
        <v>16298</v>
      </c>
      <c r="H6830" t="s">
        <v>16298</v>
      </c>
      <c r="I6830" t="s">
        <v>16381</v>
      </c>
      <c r="J6830" t="s">
        <v>16385</v>
      </c>
      <c r="K6830">
        <v>0.214</v>
      </c>
      <c r="L6830">
        <v>9332</v>
      </c>
      <c r="M6830">
        <v>2027</v>
      </c>
      <c r="N6830" t="s">
        <v>16393</v>
      </c>
      <c r="O6830" s="4">
        <v>46844</v>
      </c>
      <c r="P6830" s="4">
        <v>60682</v>
      </c>
      <c r="Q6830" s="4">
        <v>107526</v>
      </c>
      <c r="R6830" s="4">
        <v>322578</v>
      </c>
      <c r="S6830" t="s">
        <v>22982</v>
      </c>
      <c r="T6830" s="6">
        <v>30834</v>
      </c>
      <c r="U6830" s="4">
        <v>92000</v>
      </c>
      <c r="X6830" t="s">
        <v>3</v>
      </c>
      <c r="AA6830" s="5" t="str">
        <f>HYPERLINK("https://www.zillow.com/homes/353-W-HERITAGE-DR-WOOD-DALE-IL-60191_rb/","check listing")</f>
        <v>check listing</v>
      </c>
      <c r="AB6830" s="5" t="str">
        <f>HYPERLINK("https://propertylookup.dupagecounty.gov/Datalets/Datalet.aspx?UseSearch=no&amp;mode=sales&amp;pin=0316120014","sales record")</f>
        <v>sales record</v>
      </c>
      <c r="AC6830" t="s">
        <v>3</v>
      </c>
      <c r="AD6830">
        <v>41.958737</v>
      </c>
      <c r="AE6830">
        <v>-87.990821</v>
      </c>
      <c r="AF6830" s="5" t="str">
        <f>HYPERLINK("https://www.google.com/maps/search/?api=1&amp;query=41.958737,-87.990821","map")</f>
        <v>map</v>
      </c>
    </row>
    <row r="6831" spans="1:32">
      <c r="A6831" t="s">
        <v>6881</v>
      </c>
      <c r="B6831" t="s">
        <v>14333</v>
      </c>
      <c r="C6831" t="s">
        <v>16115</v>
      </c>
      <c r="D6831" t="s">
        <v>16214</v>
      </c>
      <c r="E6831" t="s">
        <v>16218</v>
      </c>
      <c r="F6831" t="s">
        <v>16220</v>
      </c>
      <c r="G6831" t="s">
        <v>16298</v>
      </c>
      <c r="H6831" t="s">
        <v>16298</v>
      </c>
      <c r="I6831" t="s">
        <v>16381</v>
      </c>
      <c r="J6831" t="s">
        <v>16385</v>
      </c>
      <c r="K6831">
        <v>0.202</v>
      </c>
      <c r="L6831">
        <v>8793</v>
      </c>
      <c r="M6831">
        <v>2270</v>
      </c>
      <c r="N6831" t="s">
        <v>16393</v>
      </c>
      <c r="O6831" s="4">
        <v>46844</v>
      </c>
      <c r="P6831" s="4">
        <v>84861</v>
      </c>
      <c r="Q6831" s="4">
        <v>131705</v>
      </c>
      <c r="R6831" s="4">
        <v>395115</v>
      </c>
      <c r="S6831" t="s">
        <v>22983</v>
      </c>
      <c r="T6831" s="6">
        <v>31929</v>
      </c>
      <c r="U6831" s="4">
        <v>139000</v>
      </c>
      <c r="X6831" t="s">
        <v>3</v>
      </c>
      <c r="AA6831" s="5" t="str">
        <f>HYPERLINK("https://www.zillow.com/homes/108-PARAMOUNT-DR-WOOD-DALE-IL-60191_rb/","check listing")</f>
        <v>check listing</v>
      </c>
      <c r="AB6831" s="5" t="str">
        <f>HYPERLINK("https://propertylookup.dupagecounty.gov/Datalets/Datalet.aspx?UseSearch=no&amp;mode=sales&amp;pin=0316117025","sales record")</f>
        <v>sales record</v>
      </c>
      <c r="AC6831" t="s">
        <v>3</v>
      </c>
      <c r="AD6831">
        <v>41.956587</v>
      </c>
      <c r="AE6831">
        <v>-87.99285399999999</v>
      </c>
      <c r="AF6831" s="5" t="str">
        <f>HYPERLINK("https://www.google.com/maps/search/?api=1&amp;query=41.956587,-87.992854","map")</f>
        <v>map</v>
      </c>
    </row>
    <row r="6832" spans="1:32">
      <c r="A6832" t="s">
        <v>6882</v>
      </c>
      <c r="B6832" t="s">
        <v>14334</v>
      </c>
      <c r="C6832" t="s">
        <v>16115</v>
      </c>
      <c r="D6832" t="s">
        <v>16214</v>
      </c>
      <c r="E6832" t="s">
        <v>16218</v>
      </c>
      <c r="F6832" t="s">
        <v>16220</v>
      </c>
      <c r="G6832" t="s">
        <v>16298</v>
      </c>
      <c r="H6832" t="s">
        <v>16298</v>
      </c>
      <c r="I6832" t="s">
        <v>16381</v>
      </c>
      <c r="J6832" t="s">
        <v>16385</v>
      </c>
      <c r="K6832">
        <v>0.202</v>
      </c>
      <c r="L6832">
        <v>8792</v>
      </c>
      <c r="M6832">
        <v>2317</v>
      </c>
      <c r="N6832" t="s">
        <v>16393</v>
      </c>
      <c r="O6832" s="4">
        <v>46844</v>
      </c>
      <c r="P6832" s="4">
        <v>84826</v>
      </c>
      <c r="Q6832" s="4">
        <v>131670</v>
      </c>
      <c r="R6832" s="4">
        <v>395010</v>
      </c>
      <c r="S6832" t="s">
        <v>22984</v>
      </c>
      <c r="T6832" s="6">
        <v>31717</v>
      </c>
      <c r="U6832" s="4">
        <v>125000</v>
      </c>
      <c r="X6832" t="s">
        <v>3</v>
      </c>
      <c r="AA6832" s="5" t="str">
        <f>HYPERLINK("https://www.zillow.com/homes/124-PARAMOUNT-DR-WOOD-DALE-IL-60191_rb/","check listing")</f>
        <v>check listing</v>
      </c>
      <c r="AB6832" s="5" t="str">
        <f>HYPERLINK("https://propertylookup.dupagecounty.gov/Datalets/Datalet.aspx?UseSearch=no&amp;mode=sales&amp;pin=0316117022","sales record")</f>
        <v>sales record</v>
      </c>
      <c r="AC6832" t="s">
        <v>3</v>
      </c>
      <c r="AD6832">
        <v>41.957162</v>
      </c>
      <c r="AE6832">
        <v>-87.992886</v>
      </c>
      <c r="AF6832" s="5" t="str">
        <f>HYPERLINK("https://www.google.com/maps/search/?api=1&amp;query=41.957162,-87.992886","map")</f>
        <v>map</v>
      </c>
    </row>
    <row r="6833" spans="1:32">
      <c r="A6833" t="s">
        <v>6883</v>
      </c>
      <c r="B6833" t="s">
        <v>14335</v>
      </c>
      <c r="C6833" t="s">
        <v>16115</v>
      </c>
      <c r="D6833" t="s">
        <v>16214</v>
      </c>
      <c r="E6833" t="s">
        <v>16218</v>
      </c>
      <c r="F6833" t="s">
        <v>16220</v>
      </c>
      <c r="G6833" t="s">
        <v>16298</v>
      </c>
      <c r="H6833" t="s">
        <v>16298</v>
      </c>
      <c r="I6833" t="s">
        <v>16381</v>
      </c>
      <c r="J6833" t="s">
        <v>16385</v>
      </c>
      <c r="K6833">
        <v>0.202</v>
      </c>
      <c r="L6833">
        <v>8790</v>
      </c>
      <c r="M6833">
        <v>2288</v>
      </c>
      <c r="N6833" t="s">
        <v>16393</v>
      </c>
      <c r="O6833" s="4">
        <v>46844</v>
      </c>
      <c r="P6833" s="4">
        <v>85600</v>
      </c>
      <c r="Q6833" s="4">
        <v>132444</v>
      </c>
      <c r="R6833" s="4">
        <v>397332</v>
      </c>
      <c r="S6833" t="s">
        <v>22985</v>
      </c>
      <c r="T6833" s="6">
        <v>30529</v>
      </c>
      <c r="U6833" s="4">
        <v>69000</v>
      </c>
      <c r="X6833" t="s">
        <v>3</v>
      </c>
      <c r="AA6833" s="5" t="str">
        <f>HYPERLINK("https://www.zillow.com/homes/118-PARAMOUNT-DR-WOOD-DALE-IL-60191_rb/","check listing")</f>
        <v>check listing</v>
      </c>
      <c r="AB6833" s="5" t="str">
        <f>HYPERLINK("https://propertylookup.dupagecounty.gov/Datalets/Datalet.aspx?UseSearch=no&amp;mode=sales&amp;pin=0316117023","sales record")</f>
        <v>sales record</v>
      </c>
      <c r="AC6833" t="s">
        <v>3</v>
      </c>
      <c r="AD6833">
        <v>41.95697</v>
      </c>
      <c r="AE6833">
        <v>-87.992875</v>
      </c>
      <c r="AF6833" s="5" t="str">
        <f>HYPERLINK("https://www.google.com/maps/search/?api=1&amp;query=41.95697,-87.992875","map")</f>
        <v>map</v>
      </c>
    </row>
    <row r="6834" spans="1:32">
      <c r="A6834" t="s">
        <v>6884</v>
      </c>
      <c r="B6834" t="s">
        <v>14336</v>
      </c>
      <c r="C6834" t="s">
        <v>16115</v>
      </c>
      <c r="D6834" t="s">
        <v>16214</v>
      </c>
      <c r="E6834" t="s">
        <v>16218</v>
      </c>
      <c r="F6834" t="s">
        <v>16220</v>
      </c>
      <c r="G6834" t="s">
        <v>16298</v>
      </c>
      <c r="H6834" t="s">
        <v>16298</v>
      </c>
      <c r="I6834" t="s">
        <v>16381</v>
      </c>
      <c r="J6834" t="s">
        <v>16385</v>
      </c>
      <c r="K6834">
        <v>0.202</v>
      </c>
      <c r="L6834">
        <v>8790</v>
      </c>
      <c r="M6834">
        <v>2304</v>
      </c>
      <c r="N6834" t="s">
        <v>16393</v>
      </c>
      <c r="O6834" s="4">
        <v>46844</v>
      </c>
      <c r="P6834" s="4">
        <v>84310</v>
      </c>
      <c r="Q6834" s="4">
        <v>131154</v>
      </c>
      <c r="R6834" s="4">
        <v>393462</v>
      </c>
      <c r="S6834" t="s">
        <v>22986</v>
      </c>
      <c r="T6834" s="6">
        <v>40940</v>
      </c>
      <c r="U6834" s="4">
        <v>185000</v>
      </c>
      <c r="V6834" t="s">
        <v>23739</v>
      </c>
      <c r="W6834" t="s">
        <v>22986</v>
      </c>
      <c r="X6834" t="s">
        <v>3</v>
      </c>
      <c r="AA6834" s="5" t="str">
        <f>HYPERLINK("https://www.zillow.com/homes/114-PARAMOUNT-DR-WOOD-DALE-IL-60191_rb/","check listing")</f>
        <v>check listing</v>
      </c>
      <c r="AB6834" s="5" t="str">
        <f>HYPERLINK("https://propertylookup.dupagecounty.gov/Datalets/Datalet.aspx?UseSearch=no&amp;mode=sales&amp;pin=0316117024","sales record")</f>
        <v>sales record</v>
      </c>
      <c r="AC6834" t="s">
        <v>3</v>
      </c>
      <c r="AD6834">
        <v>41.956778</v>
      </c>
      <c r="AE6834">
        <v>-87.99286499999999</v>
      </c>
      <c r="AF6834" s="5" t="str">
        <f>HYPERLINK("https://www.google.com/maps/search/?api=1&amp;query=41.956778,-87.992865","map")</f>
        <v>map</v>
      </c>
    </row>
    <row r="6835" spans="1:32">
      <c r="A6835" t="s">
        <v>6885</v>
      </c>
      <c r="B6835" t="s">
        <v>14337</v>
      </c>
      <c r="C6835" t="s">
        <v>16115</v>
      </c>
      <c r="D6835" t="s">
        <v>16214</v>
      </c>
      <c r="E6835" t="s">
        <v>16218</v>
      </c>
      <c r="F6835" t="s">
        <v>16220</v>
      </c>
      <c r="G6835" t="s">
        <v>16298</v>
      </c>
      <c r="H6835" t="s">
        <v>16298</v>
      </c>
      <c r="I6835" t="s">
        <v>16381</v>
      </c>
      <c r="J6835" t="s">
        <v>16385</v>
      </c>
      <c r="K6835">
        <v>0.202</v>
      </c>
      <c r="L6835">
        <v>8789</v>
      </c>
      <c r="M6835">
        <v>2514</v>
      </c>
      <c r="N6835" t="s">
        <v>16393</v>
      </c>
      <c r="O6835" s="4">
        <v>46844</v>
      </c>
      <c r="P6835" s="4">
        <v>95859</v>
      </c>
      <c r="Q6835" s="4">
        <v>142703</v>
      </c>
      <c r="R6835" s="4">
        <v>428109</v>
      </c>
      <c r="S6835" t="s">
        <v>22987</v>
      </c>
      <c r="T6835" s="6">
        <v>29007</v>
      </c>
      <c r="U6835" s="4">
        <v>117500</v>
      </c>
      <c r="X6835" t="s">
        <v>3</v>
      </c>
      <c r="AA6835" s="5" t="str">
        <f>HYPERLINK("https://www.zillow.com/homes/128-PARAMOUNT-DR-WOOD-DALE-IL-60191_rb/","check listing")</f>
        <v>check listing</v>
      </c>
      <c r="AB6835" s="5" t="str">
        <f>HYPERLINK("https://propertylookup.dupagecounty.gov/Datalets/Datalet.aspx?UseSearch=no&amp;mode=sales&amp;pin=0316117021","sales record")</f>
        <v>sales record</v>
      </c>
      <c r="AC6835" t="s">
        <v>3</v>
      </c>
      <c r="AD6835">
        <v>41.957327</v>
      </c>
      <c r="AE6835">
        <v>-87.992895</v>
      </c>
      <c r="AF6835" s="5" t="str">
        <f>HYPERLINK("https://www.google.com/maps/search/?api=1&amp;query=41.957327,-87.992895","map")</f>
        <v>map</v>
      </c>
    </row>
    <row r="6836" spans="1:32">
      <c r="A6836" t="s">
        <v>6886</v>
      </c>
      <c r="B6836" t="s">
        <v>14338</v>
      </c>
      <c r="C6836" t="s">
        <v>16115</v>
      </c>
      <c r="D6836" t="s">
        <v>16214</v>
      </c>
      <c r="E6836" t="s">
        <v>16218</v>
      </c>
      <c r="F6836" t="s">
        <v>16220</v>
      </c>
      <c r="G6836" t="s">
        <v>16298</v>
      </c>
      <c r="H6836" t="s">
        <v>16298</v>
      </c>
      <c r="I6836" t="s">
        <v>16381</v>
      </c>
      <c r="J6836" t="s">
        <v>16385</v>
      </c>
      <c r="K6836">
        <v>0.202</v>
      </c>
      <c r="L6836">
        <v>8783</v>
      </c>
      <c r="M6836">
        <v>3145</v>
      </c>
      <c r="N6836" t="s">
        <v>16393</v>
      </c>
      <c r="O6836" s="4">
        <v>46844</v>
      </c>
      <c r="P6836" s="4">
        <v>121705</v>
      </c>
      <c r="Q6836" s="4">
        <v>168549</v>
      </c>
      <c r="R6836" s="4">
        <v>505647</v>
      </c>
      <c r="S6836" t="s">
        <v>22988</v>
      </c>
      <c r="T6836" s="6">
        <v>38292</v>
      </c>
      <c r="U6836" s="4">
        <v>345000</v>
      </c>
      <c r="V6836" t="s">
        <v>23739</v>
      </c>
      <c r="W6836" t="s">
        <v>27493</v>
      </c>
      <c r="X6836" t="s">
        <v>3</v>
      </c>
      <c r="AA6836" s="5" t="str">
        <f>HYPERLINK("https://www.zillow.com/homes/3524-MANNING-DR-WOOD-DALE-IL-60191_rb/","check listing")</f>
        <v>check listing</v>
      </c>
      <c r="AB6836" s="5" t="str">
        <f>HYPERLINK("https://propertylookup.dupagecounty.gov/Datalets/Datalet.aspx?UseSearch=no&amp;mode=sales&amp;pin=0316309010","sales record")</f>
        <v>sales record</v>
      </c>
      <c r="AC6836" t="s">
        <v>3</v>
      </c>
      <c r="AD6836">
        <v>41.956219</v>
      </c>
      <c r="AE6836">
        <v>-87.99063099999999</v>
      </c>
      <c r="AF6836" s="5" t="str">
        <f>HYPERLINK("https://www.google.com/maps/search/?api=1&amp;query=41.956219,-87.990631","map")</f>
        <v>map</v>
      </c>
    </row>
    <row r="6837" spans="1:32">
      <c r="A6837" t="s">
        <v>6887</v>
      </c>
      <c r="B6837" t="s">
        <v>14339</v>
      </c>
      <c r="C6837" t="s">
        <v>16115</v>
      </c>
      <c r="D6837" t="s">
        <v>16214</v>
      </c>
      <c r="E6837" t="s">
        <v>16218</v>
      </c>
      <c r="F6837" t="s">
        <v>16220</v>
      </c>
      <c r="G6837" t="s">
        <v>16298</v>
      </c>
      <c r="H6837" t="s">
        <v>16298</v>
      </c>
      <c r="I6837" t="s">
        <v>16381</v>
      </c>
      <c r="J6837" t="s">
        <v>16385</v>
      </c>
      <c r="K6837">
        <v>0.202</v>
      </c>
      <c r="L6837">
        <v>8783</v>
      </c>
      <c r="M6837">
        <v>1902</v>
      </c>
      <c r="N6837" t="s">
        <v>16393</v>
      </c>
      <c r="O6837" s="4">
        <v>46844</v>
      </c>
      <c r="P6837" s="4">
        <v>67091</v>
      </c>
      <c r="Q6837" s="4">
        <v>113935</v>
      </c>
      <c r="R6837" s="4">
        <v>341805</v>
      </c>
      <c r="S6837" t="s">
        <v>22989</v>
      </c>
      <c r="T6837" s="6">
        <v>37865</v>
      </c>
      <c r="U6837" s="4">
        <v>292000</v>
      </c>
      <c r="V6837" t="s">
        <v>23739</v>
      </c>
      <c r="W6837" t="s">
        <v>27494</v>
      </c>
      <c r="X6837" t="s">
        <v>3</v>
      </c>
      <c r="AA6837" s="5" t="str">
        <f>HYPERLINK("https://www.zillow.com/homes/365-HERITAGE-DR-WOOD-DALE-IL-60191_rb/","check listing")</f>
        <v>check listing</v>
      </c>
      <c r="AB6837" s="5" t="str">
        <f>HYPERLINK("https://propertylookup.dupagecounty.gov/Datalets/Datalet.aspx?UseSearch=no&amp;mode=sales&amp;pin=0316120012","sales record")</f>
        <v>sales record</v>
      </c>
      <c r="AC6837" t="s">
        <v>3</v>
      </c>
      <c r="AD6837">
        <v>41.958698</v>
      </c>
      <c r="AE6837">
        <v>-87.99135099999999</v>
      </c>
      <c r="AF6837" s="5" t="str">
        <f>HYPERLINK("https://www.google.com/maps/search/?api=1&amp;query=41.958698,-87.991351","map")</f>
        <v>map</v>
      </c>
    </row>
    <row r="6838" spans="1:32">
      <c r="A6838" t="s">
        <v>6888</v>
      </c>
      <c r="B6838" t="s">
        <v>14340</v>
      </c>
      <c r="C6838" t="s">
        <v>16116</v>
      </c>
      <c r="D6838" t="s">
        <v>16214</v>
      </c>
      <c r="E6838" t="s">
        <v>16218</v>
      </c>
      <c r="F6838" t="s">
        <v>16220</v>
      </c>
      <c r="G6838" t="s">
        <v>16298</v>
      </c>
      <c r="H6838" t="s">
        <v>16298</v>
      </c>
      <c r="I6838" t="s">
        <v>16381</v>
      </c>
      <c r="J6838" t="s">
        <v>16385</v>
      </c>
      <c r="K6838">
        <v>0.202</v>
      </c>
      <c r="L6838">
        <v>8782</v>
      </c>
      <c r="M6838">
        <v>2424</v>
      </c>
      <c r="N6838" t="s">
        <v>16393</v>
      </c>
      <c r="O6838" s="4">
        <v>46844</v>
      </c>
      <c r="P6838" s="4">
        <v>78288</v>
      </c>
      <c r="Q6838" s="4">
        <v>125132</v>
      </c>
      <c r="R6838" s="4">
        <v>375396</v>
      </c>
      <c r="S6838" t="s">
        <v>22990</v>
      </c>
      <c r="T6838" s="6">
        <v>44621</v>
      </c>
      <c r="U6838" s="4">
        <v>405000</v>
      </c>
      <c r="V6838" t="s">
        <v>23739</v>
      </c>
      <c r="W6838" t="s">
        <v>22990</v>
      </c>
      <c r="X6838" t="s">
        <v>3</v>
      </c>
      <c r="AA6838" s="5" t="str">
        <f>HYPERLINK("https://www.zillow.com/homes/371-HERITAGE-DR-WOOD-DALE-IL-601911925_rb/","check listing")</f>
        <v>check listing</v>
      </c>
      <c r="AB6838" s="5" t="str">
        <f>HYPERLINK("https://propertylookup.dupagecounty.gov/Datalets/Datalet.aspx?UseSearch=no&amp;mode=sales&amp;pin=0316120011","sales record")</f>
        <v>sales record</v>
      </c>
      <c r="AC6838" t="s">
        <v>3</v>
      </c>
      <c r="AD6838">
        <v>41.958687</v>
      </c>
      <c r="AE6838">
        <v>-87.991609</v>
      </c>
      <c r="AF6838" s="5" t="str">
        <f>HYPERLINK("https://www.google.com/maps/search/?api=1&amp;query=41.958687,-87.991609","map")</f>
        <v>map</v>
      </c>
    </row>
    <row r="6839" spans="1:32">
      <c r="A6839" t="s">
        <v>6889</v>
      </c>
      <c r="B6839" t="s">
        <v>14341</v>
      </c>
      <c r="C6839" t="s">
        <v>16115</v>
      </c>
      <c r="D6839" t="s">
        <v>16214</v>
      </c>
      <c r="E6839" t="s">
        <v>16218</v>
      </c>
      <c r="F6839" t="s">
        <v>16220</v>
      </c>
      <c r="G6839" t="s">
        <v>16298</v>
      </c>
      <c r="H6839" t="s">
        <v>16298</v>
      </c>
      <c r="I6839" t="s">
        <v>16381</v>
      </c>
      <c r="J6839" t="s">
        <v>16385</v>
      </c>
      <c r="K6839">
        <v>0.179</v>
      </c>
      <c r="L6839">
        <v>7813</v>
      </c>
      <c r="M6839">
        <v>1083</v>
      </c>
      <c r="N6839" t="s">
        <v>16393</v>
      </c>
      <c r="O6839" s="4">
        <v>49192</v>
      </c>
      <c r="P6839" s="4">
        <v>60342</v>
      </c>
      <c r="Q6839" s="4">
        <v>109534</v>
      </c>
      <c r="R6839" s="4">
        <v>328602</v>
      </c>
      <c r="S6839" t="s">
        <v>22991</v>
      </c>
      <c r="T6839" s="6">
        <v>40087</v>
      </c>
      <c r="U6839" s="4">
        <v>210000</v>
      </c>
      <c r="V6839" t="s">
        <v>23739</v>
      </c>
      <c r="W6839" t="s">
        <v>22991</v>
      </c>
      <c r="X6839" t="s">
        <v>3</v>
      </c>
      <c r="AA6839" s="5" t="str">
        <f>HYPERLINK("https://www.zillow.com/homes/394-MANNING-DR-WOOD-DALE-IL-60191_rb/","check listing")</f>
        <v>check listing</v>
      </c>
      <c r="AB6839" s="5" t="str">
        <f>HYPERLINK("https://propertylookup.dupagecounty.gov/Datalets/Datalet.aspx?UseSearch=no&amp;mode=sales&amp;pin=0316309003","sales record")</f>
        <v>sales record</v>
      </c>
      <c r="AC6839" t="s">
        <v>3</v>
      </c>
      <c r="AD6839">
        <v>41.956136</v>
      </c>
      <c r="AE6839">
        <v>-87.99245000000001</v>
      </c>
      <c r="AF6839" s="5" t="str">
        <f>HYPERLINK("https://www.google.com/maps/search/?api=1&amp;query=41.956136,-87.99245","map")</f>
        <v>map</v>
      </c>
    </row>
    <row r="6840" spans="1:32">
      <c r="A6840" t="s">
        <v>6890</v>
      </c>
      <c r="B6840" t="s">
        <v>14342</v>
      </c>
      <c r="C6840" t="s">
        <v>16115</v>
      </c>
      <c r="D6840" t="s">
        <v>16214</v>
      </c>
      <c r="E6840" t="s">
        <v>16217</v>
      </c>
      <c r="F6840" t="s">
        <v>16220</v>
      </c>
      <c r="G6840" t="s">
        <v>16298</v>
      </c>
      <c r="H6840" t="s">
        <v>16298</v>
      </c>
      <c r="I6840" t="s">
        <v>16381</v>
      </c>
      <c r="J6840" t="s">
        <v>16385</v>
      </c>
      <c r="K6840">
        <v>0.108</v>
      </c>
      <c r="L6840">
        <v>4719</v>
      </c>
      <c r="N6840" t="s">
        <v>16393</v>
      </c>
      <c r="O6840" s="4">
        <v>6550</v>
      </c>
      <c r="P6840" s="4">
        <v>0</v>
      </c>
      <c r="Q6840" s="4">
        <v>6550</v>
      </c>
      <c r="R6840" s="4">
        <v>19650</v>
      </c>
      <c r="S6840" t="s">
        <v>22992</v>
      </c>
      <c r="T6840" s="6">
        <v>44853</v>
      </c>
      <c r="U6840" s="4">
        <v>210000</v>
      </c>
      <c r="V6840" t="s">
        <v>23739</v>
      </c>
      <c r="W6840" t="s">
        <v>27495</v>
      </c>
      <c r="X6840" t="s">
        <v>3</v>
      </c>
      <c r="AA6840" s="5" t="str">
        <f>HYPERLINK("https://www.zillow.com/homes/4002-MANNING-DR-WOOD-DALE-IL-60191_rb/","check listing")</f>
        <v>check listing</v>
      </c>
      <c r="AB6840" s="5" t="str">
        <f>HYPERLINK("https://propertylookup.dupagecounty.gov/Datalets/Datalet.aspx?UseSearch=no&amp;mode=sales&amp;pin=0316309030","sales record")</f>
        <v>sales record</v>
      </c>
      <c r="AC6840" t="s">
        <v>3</v>
      </c>
      <c r="AD6840">
        <v>41.956128</v>
      </c>
      <c r="AE6840">
        <v>-87.992671</v>
      </c>
      <c r="AF6840" s="5" t="str">
        <f>HYPERLINK("https://www.google.com/maps/search/?api=1&amp;query=41.956128,-87.992671","map")</f>
        <v>map</v>
      </c>
    </row>
    <row r="6841" spans="1:32">
      <c r="A6841" t="s">
        <v>6891</v>
      </c>
      <c r="B6841" t="s">
        <v>14343</v>
      </c>
      <c r="C6841" t="s">
        <v>15323</v>
      </c>
      <c r="D6841" t="s">
        <v>16215</v>
      </c>
      <c r="E6841" t="s">
        <v>16218</v>
      </c>
      <c r="F6841" t="s">
        <v>16220</v>
      </c>
      <c r="G6841" t="s">
        <v>16299</v>
      </c>
      <c r="H6841" t="s">
        <v>16299</v>
      </c>
      <c r="I6841" t="s">
        <v>16382</v>
      </c>
      <c r="J6841" t="s">
        <v>16385</v>
      </c>
      <c r="K6841">
        <v>0.341</v>
      </c>
      <c r="L6841">
        <v>14847</v>
      </c>
      <c r="M6841">
        <v>1357</v>
      </c>
      <c r="N6841" t="s">
        <v>16393</v>
      </c>
      <c r="O6841" s="4">
        <v>54713</v>
      </c>
      <c r="P6841" s="4">
        <v>65000</v>
      </c>
      <c r="Q6841" s="4">
        <v>119713</v>
      </c>
      <c r="R6841" s="4">
        <v>359139</v>
      </c>
      <c r="S6841" t="s">
        <v>22993</v>
      </c>
      <c r="T6841" s="6">
        <v>30590</v>
      </c>
      <c r="U6841" s="4">
        <v>87000</v>
      </c>
      <c r="X6841" t="s">
        <v>3</v>
      </c>
      <c r="AA6841" s="5" t="str">
        <f>HYPERLINK("https://www.zillow.com/homes/7-YELLOW-STAR-CT-WOODRIDGE-IL-60517_rb/","check listing")</f>
        <v>check listing</v>
      </c>
      <c r="AB6841" s="5" t="str">
        <f>HYPERLINK("https://propertylookup.dupagecounty.gov/Datalets/Datalet.aspx?UseSearch=no&amp;mode=sales&amp;pin=0824306028","sales record")</f>
        <v>sales record</v>
      </c>
      <c r="AC6841" t="s">
        <v>3</v>
      </c>
      <c r="AD6841">
        <v>41.761467</v>
      </c>
      <c r="AE6841">
        <v>-88.046515</v>
      </c>
      <c r="AF6841" s="5" t="str">
        <f>HYPERLINK("https://www.google.com/maps/search/?api=1&amp;query=41.761467,-88.046515","map")</f>
        <v>map</v>
      </c>
    </row>
    <row r="6842" spans="1:32">
      <c r="A6842" t="s">
        <v>6892</v>
      </c>
      <c r="B6842" t="s">
        <v>14344</v>
      </c>
      <c r="C6842" t="s">
        <v>15323</v>
      </c>
      <c r="D6842" t="s">
        <v>16215</v>
      </c>
      <c r="E6842" t="s">
        <v>16218</v>
      </c>
      <c r="F6842" t="s">
        <v>16220</v>
      </c>
      <c r="G6842" t="s">
        <v>16299</v>
      </c>
      <c r="H6842" t="s">
        <v>16299</v>
      </c>
      <c r="I6842" t="s">
        <v>16382</v>
      </c>
      <c r="J6842" t="s">
        <v>16385</v>
      </c>
      <c r="K6842">
        <v>0.329</v>
      </c>
      <c r="L6842">
        <v>14313</v>
      </c>
      <c r="M6842">
        <v>1542</v>
      </c>
      <c r="N6842" t="s">
        <v>16393</v>
      </c>
      <c r="O6842" s="4">
        <v>54785</v>
      </c>
      <c r="P6842" s="4">
        <v>83479</v>
      </c>
      <c r="Q6842" s="4">
        <v>138264</v>
      </c>
      <c r="R6842" s="4">
        <v>414792</v>
      </c>
      <c r="S6842" t="s">
        <v>22994</v>
      </c>
      <c r="T6842" s="6">
        <v>44860</v>
      </c>
      <c r="U6842" s="4">
        <v>425000</v>
      </c>
      <c r="V6842" t="s">
        <v>23739</v>
      </c>
      <c r="W6842" t="s">
        <v>27496</v>
      </c>
      <c r="X6842" t="s">
        <v>3</v>
      </c>
      <c r="AA6842" s="5" t="str">
        <f>HYPERLINK("https://www.zillow.com/homes/4-BRAMBLE-BUSH-CT-WOODRIDGE-IL-60517_rb/","check listing")</f>
        <v>check listing</v>
      </c>
      <c r="AB6842" s="5" t="str">
        <f>HYPERLINK("https://propertylookup.dupagecounty.gov/Datalets/Datalet.aspx?UseSearch=no&amp;mode=sales&amp;pin=0824414018","sales record")</f>
        <v>sales record</v>
      </c>
      <c r="AC6842" t="s">
        <v>3</v>
      </c>
      <c r="AD6842">
        <v>41.761848</v>
      </c>
      <c r="AE6842">
        <v>-88.033967</v>
      </c>
      <c r="AF6842" s="5" t="str">
        <f>HYPERLINK("https://www.google.com/maps/search/?api=1&amp;query=41.761848,-88.033967","map")</f>
        <v>map</v>
      </c>
    </row>
    <row r="6843" spans="1:32">
      <c r="A6843" t="s">
        <v>6893</v>
      </c>
      <c r="B6843" t="s">
        <v>14345</v>
      </c>
      <c r="C6843" t="s">
        <v>15323</v>
      </c>
      <c r="D6843" t="s">
        <v>16215</v>
      </c>
      <c r="E6843" t="s">
        <v>16218</v>
      </c>
      <c r="F6843" t="s">
        <v>16220</v>
      </c>
      <c r="G6843" t="s">
        <v>16299</v>
      </c>
      <c r="H6843" t="s">
        <v>16299</v>
      </c>
      <c r="I6843" t="s">
        <v>16382</v>
      </c>
      <c r="J6843" t="s">
        <v>16385</v>
      </c>
      <c r="K6843">
        <v>0.322</v>
      </c>
      <c r="L6843">
        <v>14016</v>
      </c>
      <c r="M6843">
        <v>1525</v>
      </c>
      <c r="N6843" t="s">
        <v>16393</v>
      </c>
      <c r="O6843" s="4">
        <v>51241</v>
      </c>
      <c r="P6843" s="4">
        <v>88593</v>
      </c>
      <c r="Q6843" s="4">
        <v>139834</v>
      </c>
      <c r="R6843" s="4">
        <v>419502</v>
      </c>
      <c r="S6843" t="s">
        <v>22995</v>
      </c>
      <c r="T6843" s="6">
        <v>44652</v>
      </c>
      <c r="U6843" s="4">
        <v>450000</v>
      </c>
      <c r="V6843" t="s">
        <v>23739</v>
      </c>
      <c r="W6843" t="s">
        <v>27497</v>
      </c>
      <c r="X6843" t="s">
        <v>3</v>
      </c>
      <c r="AA6843" s="5" t="str">
        <f>HYPERLINK("https://www.zillow.com/homes/5-BROOK-CT-WOODRIDGE-IL-60517_rb/","check listing")</f>
        <v>check listing</v>
      </c>
      <c r="AB6843" s="5" t="str">
        <f>HYPERLINK("https://propertylookup.dupagecounty.gov/Datalets/Datalet.aspx?UseSearch=no&amp;mode=sales&amp;pin=0824414007","sales record")</f>
        <v>sales record</v>
      </c>
      <c r="AC6843" t="s">
        <v>3</v>
      </c>
      <c r="AD6843">
        <v>41.762201</v>
      </c>
      <c r="AE6843">
        <v>-88.03393800000001</v>
      </c>
      <c r="AF6843" s="5" t="str">
        <f>HYPERLINK("https://www.google.com/maps/search/?api=1&amp;query=41.762201,-88.033938","map")</f>
        <v>map</v>
      </c>
    </row>
    <row r="6844" spans="1:32">
      <c r="A6844" t="s">
        <v>6894</v>
      </c>
      <c r="B6844" t="s">
        <v>14346</v>
      </c>
      <c r="C6844" t="s">
        <v>15323</v>
      </c>
      <c r="D6844" t="s">
        <v>16215</v>
      </c>
      <c r="E6844" t="s">
        <v>16218</v>
      </c>
      <c r="F6844" t="s">
        <v>16220</v>
      </c>
      <c r="G6844" t="s">
        <v>16299</v>
      </c>
      <c r="H6844" t="s">
        <v>16299</v>
      </c>
      <c r="I6844" t="s">
        <v>16382</v>
      </c>
      <c r="J6844" t="s">
        <v>16385</v>
      </c>
      <c r="K6844">
        <v>0.311</v>
      </c>
      <c r="L6844">
        <v>13531</v>
      </c>
      <c r="M6844">
        <v>2363</v>
      </c>
      <c r="N6844" t="s">
        <v>16393</v>
      </c>
      <c r="O6844" s="4">
        <v>46080</v>
      </c>
      <c r="P6844" s="4">
        <v>108737</v>
      </c>
      <c r="Q6844" s="4">
        <v>154817</v>
      </c>
      <c r="R6844" s="4">
        <v>464451</v>
      </c>
      <c r="S6844" t="s">
        <v>22996</v>
      </c>
      <c r="T6844" s="6">
        <v>33543</v>
      </c>
      <c r="U6844" s="4">
        <v>184900</v>
      </c>
      <c r="X6844" t="s">
        <v>3</v>
      </c>
      <c r="AA6844" s="5" t="str">
        <f>HYPERLINK("https://www.zillow.com/homes/6800-PRAIRIEVIEW-AVE-WOODRIDGE-IL-60517_rb/","check listing")</f>
        <v>check listing</v>
      </c>
      <c r="AB6844" s="5" t="str">
        <f>HYPERLINK("https://propertylookup.dupagecounty.gov/Datalets/Datalet.aspx?UseSearch=no&amp;mode=sales&amp;pin=0824411012","sales record")</f>
        <v>sales record</v>
      </c>
      <c r="AC6844" t="s">
        <v>3</v>
      </c>
      <c r="AD6844">
        <v>41.762875</v>
      </c>
      <c r="AE6844">
        <v>-88.03599699999999</v>
      </c>
      <c r="AF6844" s="5" t="str">
        <f>HYPERLINK("https://www.google.com/maps/search/?api=1&amp;query=41.762875,-88.035997","map")</f>
        <v>map</v>
      </c>
    </row>
    <row r="6845" spans="1:32">
      <c r="A6845" t="s">
        <v>6895</v>
      </c>
      <c r="B6845" t="s">
        <v>14347</v>
      </c>
      <c r="C6845" t="s">
        <v>15323</v>
      </c>
      <c r="D6845" t="s">
        <v>16215</v>
      </c>
      <c r="E6845" t="s">
        <v>16218</v>
      </c>
      <c r="F6845" t="s">
        <v>16220</v>
      </c>
      <c r="G6845" t="s">
        <v>16299</v>
      </c>
      <c r="H6845" t="s">
        <v>16299</v>
      </c>
      <c r="I6845" t="s">
        <v>16382</v>
      </c>
      <c r="J6845" t="s">
        <v>16385</v>
      </c>
      <c r="K6845">
        <v>0.297</v>
      </c>
      <c r="L6845">
        <v>12918</v>
      </c>
      <c r="M6845">
        <v>2340</v>
      </c>
      <c r="N6845" t="s">
        <v>16393</v>
      </c>
      <c r="O6845" s="4">
        <v>46080</v>
      </c>
      <c r="P6845" s="4">
        <v>128786</v>
      </c>
      <c r="Q6845" s="4">
        <v>174866</v>
      </c>
      <c r="R6845" s="4">
        <v>524598</v>
      </c>
      <c r="S6845" t="s">
        <v>22997</v>
      </c>
      <c r="T6845" s="6">
        <v>29190</v>
      </c>
      <c r="U6845" s="4">
        <v>73600</v>
      </c>
      <c r="X6845" t="s">
        <v>3</v>
      </c>
      <c r="AA6845" s="5" t="str">
        <f>HYPERLINK("https://www.zillow.com/homes/6714-GREENLEAF-ST-WOODRIDGE-IL-60517_rb/","check listing")</f>
        <v>check listing</v>
      </c>
      <c r="AB6845" s="5" t="str">
        <f>HYPERLINK("https://propertylookup.dupagecounty.gov/Datalets/Datalet.aspx?UseSearch=no&amp;mode=sales&amp;pin=0824411004","sales record")</f>
        <v>sales record</v>
      </c>
      <c r="AC6845" t="s">
        <v>3</v>
      </c>
      <c r="AD6845">
        <v>41.764226</v>
      </c>
      <c r="AE6845">
        <v>-88.037094</v>
      </c>
      <c r="AF6845" s="5" t="str">
        <f>HYPERLINK("https://www.google.com/maps/search/?api=1&amp;query=41.764226,-88.037094","map")</f>
        <v>map</v>
      </c>
    </row>
    <row r="6846" spans="1:32">
      <c r="A6846" t="s">
        <v>6896</v>
      </c>
      <c r="B6846" t="s">
        <v>14348</v>
      </c>
      <c r="C6846" t="s">
        <v>15323</v>
      </c>
      <c r="D6846" t="s">
        <v>16215</v>
      </c>
      <c r="E6846" t="s">
        <v>16218</v>
      </c>
      <c r="F6846" t="s">
        <v>16220</v>
      </c>
      <c r="G6846" t="s">
        <v>16299</v>
      </c>
      <c r="H6846" t="s">
        <v>16299</v>
      </c>
      <c r="I6846" t="s">
        <v>16382</v>
      </c>
      <c r="J6846" t="s">
        <v>16385</v>
      </c>
      <c r="K6846">
        <v>0.291</v>
      </c>
      <c r="L6846">
        <v>12689</v>
      </c>
      <c r="M6846">
        <v>2011</v>
      </c>
      <c r="N6846" t="s">
        <v>16393</v>
      </c>
      <c r="O6846" s="4">
        <v>54797</v>
      </c>
      <c r="P6846" s="4">
        <v>85192</v>
      </c>
      <c r="Q6846" s="4">
        <v>139989</v>
      </c>
      <c r="R6846" s="4">
        <v>419967</v>
      </c>
      <c r="S6846" t="s">
        <v>22998</v>
      </c>
      <c r="T6846" s="6">
        <v>45656</v>
      </c>
      <c r="U6846" s="4">
        <v>439900</v>
      </c>
      <c r="V6846" t="s">
        <v>23739</v>
      </c>
      <c r="W6846" t="s">
        <v>27498</v>
      </c>
      <c r="X6846" t="s">
        <v>3</v>
      </c>
      <c r="AA6846" s="5" t="str">
        <f>HYPERLINK("https://www.zillow.com/homes/3-QUAIL-CT-WOODRIDGE-IL-60517_rb/","check listing")</f>
        <v>check listing</v>
      </c>
      <c r="AB6846" s="5" t="str">
        <f>HYPERLINK("https://propertylookup.dupagecounty.gov/Datalets/Datalet.aspx?UseSearch=no&amp;mode=sales&amp;pin=0824402005","sales record")</f>
        <v>sales record</v>
      </c>
      <c r="AC6846" t="s">
        <v>3</v>
      </c>
      <c r="AD6846">
        <v>41.764147</v>
      </c>
      <c r="AE6846">
        <v>-88.040843</v>
      </c>
      <c r="AF6846" s="5" t="str">
        <f>HYPERLINK("https://www.google.com/maps/search/?api=1&amp;query=41.764147,-88.040843","map")</f>
        <v>map</v>
      </c>
    </row>
    <row r="6847" spans="1:32">
      <c r="A6847" t="s">
        <v>6897</v>
      </c>
      <c r="B6847" t="s">
        <v>14349</v>
      </c>
      <c r="C6847" t="s">
        <v>15323</v>
      </c>
      <c r="D6847" t="s">
        <v>16215</v>
      </c>
      <c r="E6847" t="s">
        <v>16218</v>
      </c>
      <c r="F6847" t="s">
        <v>16220</v>
      </c>
      <c r="G6847" t="s">
        <v>16299</v>
      </c>
      <c r="H6847" t="s">
        <v>16299</v>
      </c>
      <c r="I6847" t="s">
        <v>16382</v>
      </c>
      <c r="J6847" t="s">
        <v>16385</v>
      </c>
      <c r="K6847">
        <v>0.29</v>
      </c>
      <c r="L6847">
        <v>12642</v>
      </c>
      <c r="M6847">
        <v>2038</v>
      </c>
      <c r="N6847" t="s">
        <v>16393</v>
      </c>
      <c r="O6847" s="4">
        <v>46080</v>
      </c>
      <c r="P6847" s="4">
        <v>108618</v>
      </c>
      <c r="Q6847" s="4">
        <v>154698</v>
      </c>
      <c r="R6847" s="4">
        <v>464094</v>
      </c>
      <c r="S6847" t="s">
        <v>22999</v>
      </c>
      <c r="T6847" s="6">
        <v>44013</v>
      </c>
      <c r="U6847" s="4">
        <v>370000</v>
      </c>
      <c r="V6847" t="s">
        <v>23739</v>
      </c>
      <c r="W6847" t="s">
        <v>22999</v>
      </c>
      <c r="X6847" t="s">
        <v>3</v>
      </c>
      <c r="AA6847" s="5" t="str">
        <f>HYPERLINK("https://www.zillow.com/homes/6756-GREENLEAF-ST-WOODRIDGE-IL-60517_rb/","check listing")</f>
        <v>check listing</v>
      </c>
      <c r="AB6847" s="5" t="str">
        <f>HYPERLINK("https://propertylookup.dupagecounty.gov/Datalets/Datalet.aspx?UseSearch=no&amp;mode=sales&amp;pin=0824411011","sales record")</f>
        <v>sales record</v>
      </c>
      <c r="AC6847" t="s">
        <v>3</v>
      </c>
      <c r="AD6847">
        <v>41.76307</v>
      </c>
      <c r="AE6847">
        <v>-88.036074</v>
      </c>
      <c r="AF6847" s="5" t="str">
        <f>HYPERLINK("https://www.google.com/maps/search/?api=1&amp;query=41.76307,-88.036074","map")</f>
        <v>map</v>
      </c>
    </row>
    <row r="6848" spans="1:32">
      <c r="A6848" t="s">
        <v>6898</v>
      </c>
      <c r="B6848" t="s">
        <v>14350</v>
      </c>
      <c r="C6848" t="s">
        <v>16117</v>
      </c>
      <c r="D6848" t="s">
        <v>16215</v>
      </c>
      <c r="E6848" t="s">
        <v>16218</v>
      </c>
      <c r="F6848" t="s">
        <v>16220</v>
      </c>
      <c r="G6848" t="s">
        <v>16299</v>
      </c>
      <c r="H6848" t="s">
        <v>16299</v>
      </c>
      <c r="I6848" t="s">
        <v>16382</v>
      </c>
      <c r="J6848" t="s">
        <v>16385</v>
      </c>
      <c r="K6848">
        <v>0.28</v>
      </c>
      <c r="L6848">
        <v>12214</v>
      </c>
      <c r="M6848">
        <v>2100</v>
      </c>
      <c r="N6848" t="s">
        <v>16393</v>
      </c>
      <c r="O6848" s="4">
        <v>50064</v>
      </c>
      <c r="P6848" s="4">
        <v>68306</v>
      </c>
      <c r="Q6848" s="4">
        <v>118370</v>
      </c>
      <c r="R6848" s="4">
        <v>355110</v>
      </c>
      <c r="S6848" t="s">
        <v>23000</v>
      </c>
      <c r="T6848" s="6">
        <v>43252</v>
      </c>
      <c r="U6848" s="4">
        <v>286000</v>
      </c>
      <c r="V6848" t="s">
        <v>23739</v>
      </c>
      <c r="W6848" t="s">
        <v>23000</v>
      </c>
      <c r="X6848" t="s">
        <v>3</v>
      </c>
      <c r="AA6848" s="5" t="str">
        <f>HYPERLINK("https://www.zillow.com/homes/2604-ZURICH-CT-WOODRIDGE-IL-605174506_rb/","check listing")</f>
        <v>check listing</v>
      </c>
      <c r="AB6848" s="5" t="str">
        <f>HYPERLINK("https://propertylookup.dupagecounty.gov/Datalets/Datalet.aspx?UseSearch=no&amp;mode=sales&amp;pin=0836102014","sales record")</f>
        <v>sales record</v>
      </c>
      <c r="AC6848" t="s">
        <v>3</v>
      </c>
      <c r="AD6848">
        <v>41.737559</v>
      </c>
      <c r="AE6848">
        <v>-88.04411</v>
      </c>
      <c r="AF6848" s="5" t="str">
        <f>HYPERLINK("https://www.google.com/maps/search/?api=1&amp;query=41.737559,-88.04411","map")</f>
        <v>map</v>
      </c>
    </row>
    <row r="6849" spans="1:32">
      <c r="A6849" t="s">
        <v>6899</v>
      </c>
      <c r="B6849" t="s">
        <v>14351</v>
      </c>
      <c r="C6849" t="s">
        <v>15323</v>
      </c>
      <c r="D6849" t="s">
        <v>16215</v>
      </c>
      <c r="E6849" t="s">
        <v>16218</v>
      </c>
      <c r="F6849" t="s">
        <v>16220</v>
      </c>
      <c r="G6849" t="s">
        <v>16299</v>
      </c>
      <c r="H6849" t="s">
        <v>16299</v>
      </c>
      <c r="I6849" t="s">
        <v>16382</v>
      </c>
      <c r="J6849" t="s">
        <v>16385</v>
      </c>
      <c r="K6849">
        <v>0.276</v>
      </c>
      <c r="L6849">
        <v>12034</v>
      </c>
      <c r="M6849">
        <v>1316</v>
      </c>
      <c r="N6849" t="s">
        <v>16393</v>
      </c>
      <c r="O6849" s="4">
        <v>51300</v>
      </c>
      <c r="P6849" s="4">
        <v>54654</v>
      </c>
      <c r="Q6849" s="4">
        <v>105954</v>
      </c>
      <c r="R6849" s="4">
        <v>317862</v>
      </c>
      <c r="S6849" t="s">
        <v>23001</v>
      </c>
      <c r="T6849" s="6">
        <v>42309</v>
      </c>
      <c r="U6849" s="4">
        <v>172000</v>
      </c>
      <c r="V6849" t="s">
        <v>16232</v>
      </c>
      <c r="W6849" t="s">
        <v>27499</v>
      </c>
      <c r="X6849" t="s">
        <v>3</v>
      </c>
      <c r="AA6849" s="5" t="str">
        <f>HYPERLINK("https://www.zillow.com/homes/3-REDWING-CT-WOODRIDGE-IL-60517_rb/","check listing")</f>
        <v>check listing</v>
      </c>
      <c r="AB6849" s="5" t="str">
        <f>HYPERLINK("https://propertylookup.dupagecounty.gov/Datalets/Datalet.aspx?UseSearch=no&amp;mode=sales&amp;pin=0824408017","sales record")</f>
        <v>sales record</v>
      </c>
      <c r="AC6849" t="s">
        <v>3</v>
      </c>
      <c r="AD6849">
        <v>41.76164</v>
      </c>
      <c r="AE6849">
        <v>-88.037064</v>
      </c>
      <c r="AF6849" s="5" t="str">
        <f>HYPERLINK("https://www.google.com/maps/search/?api=1&amp;query=41.76164,-88.037064","map")</f>
        <v>map</v>
      </c>
    </row>
    <row r="6850" spans="1:32">
      <c r="A6850" t="s">
        <v>6900</v>
      </c>
      <c r="B6850" t="s">
        <v>14352</v>
      </c>
      <c r="C6850" t="s">
        <v>15323</v>
      </c>
      <c r="D6850" t="s">
        <v>16215</v>
      </c>
      <c r="E6850" t="s">
        <v>16218</v>
      </c>
      <c r="F6850" t="s">
        <v>16220</v>
      </c>
      <c r="G6850" t="s">
        <v>16299</v>
      </c>
      <c r="H6850" t="s">
        <v>16299</v>
      </c>
      <c r="I6850" t="s">
        <v>16382</v>
      </c>
      <c r="J6850" t="s">
        <v>16385</v>
      </c>
      <c r="K6850">
        <v>0.276</v>
      </c>
      <c r="L6850">
        <v>12014</v>
      </c>
      <c r="M6850">
        <v>2483</v>
      </c>
      <c r="N6850" t="s">
        <v>16393</v>
      </c>
      <c r="O6850" s="4">
        <v>52739</v>
      </c>
      <c r="P6850" s="4">
        <v>90067</v>
      </c>
      <c r="Q6850" s="4">
        <v>142806</v>
      </c>
      <c r="R6850" s="4">
        <v>428418</v>
      </c>
      <c r="S6850" t="s">
        <v>23002</v>
      </c>
      <c r="T6850" s="6">
        <v>38504</v>
      </c>
      <c r="U6850" s="4">
        <v>255000</v>
      </c>
      <c r="V6850" t="s">
        <v>23739</v>
      </c>
      <c r="W6850" t="s">
        <v>23002</v>
      </c>
      <c r="X6850" t="s">
        <v>3</v>
      </c>
      <c r="AA6850" s="5" t="str">
        <f>HYPERLINK("https://www.zillow.com/homes/2620-BERN-CT-WOODRIDGE-IL-60517_rb/","check listing")</f>
        <v>check listing</v>
      </c>
      <c r="AB6850" s="5" t="str">
        <f>HYPERLINK("https://propertylookup.dupagecounty.gov/Datalets/Datalet.aspx?UseSearch=no&amp;mode=sales&amp;pin=0836103031","sales record")</f>
        <v>sales record</v>
      </c>
      <c r="AC6850" t="s">
        <v>3</v>
      </c>
      <c r="AD6850">
        <v>41.736677</v>
      </c>
      <c r="AE6850">
        <v>-88.045239</v>
      </c>
      <c r="AF6850" s="5" t="str">
        <f>HYPERLINK("https://www.google.com/maps/search/?api=1&amp;query=41.736677,-88.045239","map")</f>
        <v>map</v>
      </c>
    </row>
    <row r="6851" spans="1:32">
      <c r="A6851" t="s">
        <v>6901</v>
      </c>
      <c r="B6851" t="s">
        <v>14353</v>
      </c>
      <c r="C6851" t="s">
        <v>15323</v>
      </c>
      <c r="D6851" t="s">
        <v>16215</v>
      </c>
      <c r="E6851" t="s">
        <v>16218</v>
      </c>
      <c r="F6851" t="s">
        <v>16220</v>
      </c>
      <c r="G6851" t="s">
        <v>16299</v>
      </c>
      <c r="H6851" t="s">
        <v>16299</v>
      </c>
      <c r="I6851" t="s">
        <v>16382</v>
      </c>
      <c r="J6851" t="s">
        <v>16385</v>
      </c>
      <c r="K6851">
        <v>0.273</v>
      </c>
      <c r="L6851">
        <v>11881</v>
      </c>
      <c r="M6851">
        <v>2104</v>
      </c>
      <c r="N6851" t="s">
        <v>16393</v>
      </c>
      <c r="O6851" s="4">
        <v>54797</v>
      </c>
      <c r="P6851" s="4">
        <v>74204</v>
      </c>
      <c r="Q6851" s="4">
        <v>129001</v>
      </c>
      <c r="R6851" s="4">
        <v>387003</v>
      </c>
      <c r="S6851" t="s">
        <v>23003</v>
      </c>
      <c r="T6851" s="6">
        <v>35886</v>
      </c>
      <c r="U6851" s="4">
        <v>160500</v>
      </c>
      <c r="X6851" t="s">
        <v>3</v>
      </c>
      <c r="AA6851" s="5" t="str">
        <f>HYPERLINK("https://www.zillow.com/homes/3-CHERRY-TREE-CT-WOODRIDGE-IL-60517_rb/","check listing")</f>
        <v>check listing</v>
      </c>
      <c r="AB6851" s="5" t="str">
        <f>HYPERLINK("https://propertylookup.dupagecounty.gov/Datalets/Datalet.aspx?UseSearch=no&amp;mode=sales&amp;pin=0824316013","sales record")</f>
        <v>sales record</v>
      </c>
      <c r="AC6851" t="s">
        <v>3</v>
      </c>
      <c r="AD6851">
        <v>41.763522</v>
      </c>
      <c r="AE6851">
        <v>-88.04561099999999</v>
      </c>
      <c r="AF6851" s="5" t="str">
        <f>HYPERLINK("https://www.google.com/maps/search/?api=1&amp;query=41.763522,-88.045611","map")</f>
        <v>map</v>
      </c>
    </row>
    <row r="6852" spans="1:32">
      <c r="A6852" t="s">
        <v>6902</v>
      </c>
      <c r="B6852" t="s">
        <v>14354</v>
      </c>
      <c r="C6852" t="s">
        <v>15323</v>
      </c>
      <c r="D6852" t="s">
        <v>16215</v>
      </c>
      <c r="E6852" t="s">
        <v>16218</v>
      </c>
      <c r="F6852" t="s">
        <v>16220</v>
      </c>
      <c r="G6852" t="s">
        <v>16299</v>
      </c>
      <c r="H6852" t="s">
        <v>16299</v>
      </c>
      <c r="I6852" t="s">
        <v>16382</v>
      </c>
      <c r="J6852" t="s">
        <v>16385</v>
      </c>
      <c r="K6852">
        <v>0.267</v>
      </c>
      <c r="L6852">
        <v>11625</v>
      </c>
      <c r="M6852">
        <v>2258</v>
      </c>
      <c r="N6852" t="s">
        <v>16393</v>
      </c>
      <c r="O6852" s="4">
        <v>46080</v>
      </c>
      <c r="P6852" s="4">
        <v>106859</v>
      </c>
      <c r="Q6852" s="4">
        <v>152939</v>
      </c>
      <c r="R6852" s="4">
        <v>458817</v>
      </c>
      <c r="S6852" t="s">
        <v>23004</v>
      </c>
      <c r="T6852" s="6">
        <v>38961</v>
      </c>
      <c r="U6852" s="4">
        <v>343000</v>
      </c>
      <c r="V6852" t="s">
        <v>23739</v>
      </c>
      <c r="W6852" t="s">
        <v>27500</v>
      </c>
      <c r="X6852" t="s">
        <v>3</v>
      </c>
      <c r="AA6852" s="5" t="str">
        <f>HYPERLINK("https://www.zillow.com/homes/2218-WHEELER-ST-WOODRIDGE-IL-60517_rb/","check listing")</f>
        <v>check listing</v>
      </c>
      <c r="AB6852" s="5" t="str">
        <f>HYPERLINK("https://propertylookup.dupagecounty.gov/Datalets/Datalet.aspx?UseSearch=no&amp;mode=sales&amp;pin=0824410002","sales record")</f>
        <v>sales record</v>
      </c>
      <c r="AC6852" t="s">
        <v>3</v>
      </c>
      <c r="AD6852">
        <v>41.765014</v>
      </c>
      <c r="AE6852">
        <v>-88.03789</v>
      </c>
      <c r="AF6852" s="5" t="str">
        <f>HYPERLINK("https://www.google.com/maps/search/?api=1&amp;query=41.765014,-88.03789","map")</f>
        <v>map</v>
      </c>
    </row>
    <row r="6853" spans="1:32">
      <c r="A6853" t="s">
        <v>6903</v>
      </c>
      <c r="B6853" t="s">
        <v>14355</v>
      </c>
      <c r="C6853" t="s">
        <v>16118</v>
      </c>
      <c r="D6853" t="s">
        <v>16215</v>
      </c>
      <c r="E6853" t="s">
        <v>16218</v>
      </c>
      <c r="F6853" t="s">
        <v>16220</v>
      </c>
      <c r="G6853" t="s">
        <v>16299</v>
      </c>
      <c r="H6853" t="s">
        <v>16299</v>
      </c>
      <c r="I6853" t="s">
        <v>16382</v>
      </c>
      <c r="J6853" t="s">
        <v>16385</v>
      </c>
      <c r="K6853">
        <v>0.267</v>
      </c>
      <c r="L6853">
        <v>11617</v>
      </c>
      <c r="M6853">
        <v>2300</v>
      </c>
      <c r="N6853" t="s">
        <v>16393</v>
      </c>
      <c r="O6853" s="4">
        <v>54713</v>
      </c>
      <c r="P6853" s="4">
        <v>66533</v>
      </c>
      <c r="Q6853" s="4">
        <v>121246</v>
      </c>
      <c r="R6853" s="4">
        <v>363738</v>
      </c>
      <c r="S6853" t="s">
        <v>23005</v>
      </c>
      <c r="T6853" s="6">
        <v>44470</v>
      </c>
      <c r="U6853" s="4">
        <v>325000</v>
      </c>
      <c r="V6853" t="s">
        <v>23739</v>
      </c>
      <c r="W6853" t="s">
        <v>23005</v>
      </c>
      <c r="X6853" t="s">
        <v>3</v>
      </c>
      <c r="AA6853" s="5" t="str">
        <f>HYPERLINK("https://www.zillow.com/homes/2001-VANTAGE-ST-WOODRIDGE-IL-605171819_rb/","check listing")</f>
        <v>check listing</v>
      </c>
      <c r="AB6853" s="5" t="str">
        <f>HYPERLINK("https://propertylookup.dupagecounty.gov/Datalets/Datalet.aspx?UseSearch=no&amp;mode=sales&amp;pin=0824415029","sales record")</f>
        <v>sales record</v>
      </c>
      <c r="AC6853" t="s">
        <v>3</v>
      </c>
      <c r="AD6853">
        <v>41.761042</v>
      </c>
      <c r="AE6853">
        <v>-88.0317</v>
      </c>
      <c r="AF6853" s="5" t="str">
        <f>HYPERLINK("https://www.google.com/maps/search/?api=1&amp;query=41.761042,-88.0317","map")</f>
        <v>map</v>
      </c>
    </row>
    <row r="6854" spans="1:32">
      <c r="A6854" t="s">
        <v>6904</v>
      </c>
      <c r="B6854" t="s">
        <v>14356</v>
      </c>
      <c r="C6854" t="s">
        <v>15323</v>
      </c>
      <c r="D6854" t="s">
        <v>16215</v>
      </c>
      <c r="E6854" t="s">
        <v>16218</v>
      </c>
      <c r="F6854" t="s">
        <v>16220</v>
      </c>
      <c r="G6854" t="s">
        <v>16299</v>
      </c>
      <c r="H6854" t="s">
        <v>16299</v>
      </c>
      <c r="I6854" t="s">
        <v>16382</v>
      </c>
      <c r="J6854" t="s">
        <v>16385</v>
      </c>
      <c r="K6854">
        <v>0.258</v>
      </c>
      <c r="L6854">
        <v>11258</v>
      </c>
      <c r="M6854">
        <v>1640</v>
      </c>
      <c r="N6854" t="s">
        <v>16393</v>
      </c>
      <c r="O6854" s="4">
        <v>46080</v>
      </c>
      <c r="P6854" s="4">
        <v>67200</v>
      </c>
      <c r="Q6854" s="4">
        <v>113280</v>
      </c>
      <c r="R6854" s="4">
        <v>339840</v>
      </c>
      <c r="S6854" t="s">
        <v>23006</v>
      </c>
      <c r="T6854" s="6">
        <v>36039</v>
      </c>
      <c r="U6854" s="4">
        <v>174500</v>
      </c>
      <c r="X6854" t="s">
        <v>3</v>
      </c>
      <c r="AA6854" s="5" t="str">
        <f>HYPERLINK("https://www.zillow.com/homes/6806-PRAIRIEVIEW-AVE-WOODRIDGE-IL-60517_rb/","check listing")</f>
        <v>check listing</v>
      </c>
      <c r="AB6854" s="5" t="str">
        <f>HYPERLINK("https://propertylookup.dupagecounty.gov/Datalets/Datalet.aspx?UseSearch=no&amp;mode=sales&amp;pin=0824411013","sales record")</f>
        <v>sales record</v>
      </c>
      <c r="AC6854" t="s">
        <v>3</v>
      </c>
      <c r="AD6854">
        <v>41.76272</v>
      </c>
      <c r="AE6854">
        <v>-88.035853</v>
      </c>
      <c r="AF6854" s="5" t="str">
        <f>HYPERLINK("https://www.google.com/maps/search/?api=1&amp;query=41.76272,-88.035853","map")</f>
        <v>map</v>
      </c>
    </row>
    <row r="6855" spans="1:32">
      <c r="A6855" t="s">
        <v>6905</v>
      </c>
      <c r="B6855" t="s">
        <v>14357</v>
      </c>
      <c r="C6855" t="s">
        <v>15323</v>
      </c>
      <c r="D6855" t="s">
        <v>16215</v>
      </c>
      <c r="E6855" t="s">
        <v>16218</v>
      </c>
      <c r="F6855" t="s">
        <v>16220</v>
      </c>
      <c r="G6855" t="s">
        <v>16299</v>
      </c>
      <c r="H6855" t="s">
        <v>16299</v>
      </c>
      <c r="I6855" t="s">
        <v>16382</v>
      </c>
      <c r="J6855" t="s">
        <v>16385</v>
      </c>
      <c r="K6855">
        <v>0.257</v>
      </c>
      <c r="L6855">
        <v>11216</v>
      </c>
      <c r="M6855">
        <v>2078</v>
      </c>
      <c r="N6855" t="s">
        <v>16393</v>
      </c>
      <c r="O6855" s="4">
        <v>54713</v>
      </c>
      <c r="P6855" s="4">
        <v>61301</v>
      </c>
      <c r="Q6855" s="4">
        <v>116014</v>
      </c>
      <c r="R6855" s="4">
        <v>348042</v>
      </c>
      <c r="S6855" t="s">
        <v>23007</v>
      </c>
      <c r="T6855" s="6">
        <v>41974</v>
      </c>
      <c r="U6855" s="4">
        <v>210000</v>
      </c>
      <c r="V6855" t="s">
        <v>23740</v>
      </c>
      <c r="W6855" t="s">
        <v>23007</v>
      </c>
      <c r="X6855" t="s">
        <v>3</v>
      </c>
      <c r="AA6855" s="5" t="str">
        <f>HYPERLINK("https://www.zillow.com/homes/2000-CROWN-POINT-ST-WOODRIDGE-IL-60517_rb/","check listing")</f>
        <v>check listing</v>
      </c>
      <c r="AB6855" s="5" t="str">
        <f>HYPERLINK("https://propertylookup.dupagecounty.gov/Datalets/Datalet.aspx?UseSearch=no&amp;mode=sales&amp;pin=0824415019","sales record")</f>
        <v>sales record</v>
      </c>
      <c r="AC6855" t="s">
        <v>3</v>
      </c>
      <c r="AD6855">
        <v>41.762912</v>
      </c>
      <c r="AE6855">
        <v>-88.031933</v>
      </c>
      <c r="AF6855" s="5" t="str">
        <f>HYPERLINK("https://www.google.com/maps/search/?api=1&amp;query=41.762912,-88.031933","map")</f>
        <v>map</v>
      </c>
    </row>
    <row r="6856" spans="1:32">
      <c r="A6856" t="s">
        <v>6906</v>
      </c>
      <c r="B6856" t="s">
        <v>14358</v>
      </c>
      <c r="C6856" t="s">
        <v>15323</v>
      </c>
      <c r="D6856" t="s">
        <v>16215</v>
      </c>
      <c r="E6856" t="s">
        <v>16218</v>
      </c>
      <c r="F6856" t="s">
        <v>16220</v>
      </c>
      <c r="G6856" t="s">
        <v>16299</v>
      </c>
      <c r="H6856" t="s">
        <v>16299</v>
      </c>
      <c r="I6856" t="s">
        <v>16382</v>
      </c>
      <c r="J6856" t="s">
        <v>16385</v>
      </c>
      <c r="K6856">
        <v>0.254</v>
      </c>
      <c r="L6856">
        <v>11043</v>
      </c>
      <c r="M6856">
        <v>2165</v>
      </c>
      <c r="N6856" t="s">
        <v>16393</v>
      </c>
      <c r="O6856" s="4">
        <v>49124</v>
      </c>
      <c r="P6856" s="4">
        <v>56687</v>
      </c>
      <c r="Q6856" s="4">
        <v>105811</v>
      </c>
      <c r="R6856" s="4">
        <v>317433</v>
      </c>
      <c r="S6856" t="s">
        <v>23008</v>
      </c>
      <c r="T6856" s="6">
        <v>45184</v>
      </c>
      <c r="U6856" s="4">
        <v>348000</v>
      </c>
      <c r="V6856" t="s">
        <v>23739</v>
      </c>
      <c r="W6856" t="s">
        <v>27501</v>
      </c>
      <c r="X6856" t="s">
        <v>3</v>
      </c>
      <c r="AA6856" s="5" t="str">
        <f>HYPERLINK("https://www.zillow.com/homes/2124-SUNNYDALE-ST-WOODRIDGE-IL-60517_rb/","check listing")</f>
        <v>check listing</v>
      </c>
      <c r="AB6856" s="5" t="str">
        <f>HYPERLINK("https://propertylookup.dupagecounty.gov/Datalets/Datalet.aspx?UseSearch=no&amp;mode=sales&amp;pin=0824411025","sales record")</f>
        <v>sales record</v>
      </c>
      <c r="AC6856" t="s">
        <v>3</v>
      </c>
      <c r="AD6856">
        <v>41.760456</v>
      </c>
      <c r="AE6856">
        <v>-88.03512000000001</v>
      </c>
      <c r="AF6856" s="5" t="str">
        <f>HYPERLINK("https://www.google.com/maps/search/?api=1&amp;query=41.760456,-88.03512","map")</f>
        <v>map</v>
      </c>
    </row>
    <row r="6857" spans="1:32">
      <c r="A6857" t="s">
        <v>6907</v>
      </c>
      <c r="B6857" t="s">
        <v>14359</v>
      </c>
      <c r="C6857" t="s">
        <v>15323</v>
      </c>
      <c r="D6857" t="s">
        <v>16215</v>
      </c>
      <c r="E6857" t="s">
        <v>16218</v>
      </c>
      <c r="F6857" t="s">
        <v>16220</v>
      </c>
      <c r="G6857" t="s">
        <v>16299</v>
      </c>
      <c r="H6857" t="s">
        <v>16299</v>
      </c>
      <c r="I6857" t="s">
        <v>16382</v>
      </c>
      <c r="J6857" t="s">
        <v>16385</v>
      </c>
      <c r="K6857">
        <v>0.253</v>
      </c>
      <c r="L6857">
        <v>11033</v>
      </c>
      <c r="M6857">
        <v>1777</v>
      </c>
      <c r="N6857" t="s">
        <v>16393</v>
      </c>
      <c r="O6857" s="4">
        <v>54619</v>
      </c>
      <c r="P6857" s="4">
        <v>69637</v>
      </c>
      <c r="Q6857" s="4">
        <v>124256</v>
      </c>
      <c r="R6857" s="4">
        <v>372768</v>
      </c>
      <c r="S6857" t="s">
        <v>23009</v>
      </c>
      <c r="T6857" s="6">
        <v>45391</v>
      </c>
      <c r="U6857" s="4">
        <v>470000</v>
      </c>
      <c r="V6857" t="s">
        <v>23739</v>
      </c>
      <c r="W6857" t="s">
        <v>23009</v>
      </c>
      <c r="X6857" t="s">
        <v>3</v>
      </c>
      <c r="AA6857" s="5" t="str">
        <f>HYPERLINK("https://www.zillow.com/homes/3-BRAMBLE-BUSH-CT-WOODRIDGE-IL-60517_rb/","check listing")</f>
        <v>check listing</v>
      </c>
      <c r="AB6857" s="5" t="str">
        <f>HYPERLINK("https://propertylookup.dupagecounty.gov/Datalets/Datalet.aspx?UseSearch=no&amp;mode=sales&amp;pin=0824414019","sales record")</f>
        <v>sales record</v>
      </c>
      <c r="AC6857" t="s">
        <v>3</v>
      </c>
      <c r="AD6857">
        <v>41.761486</v>
      </c>
      <c r="AE6857">
        <v>-88.034074</v>
      </c>
      <c r="AF6857" s="5" t="str">
        <f>HYPERLINK("https://www.google.com/maps/search/?api=1&amp;query=41.761486,-88.034074","map")</f>
        <v>map</v>
      </c>
    </row>
    <row r="6858" spans="1:32">
      <c r="A6858" t="s">
        <v>6908</v>
      </c>
      <c r="B6858" t="s">
        <v>14360</v>
      </c>
      <c r="C6858" t="s">
        <v>15323</v>
      </c>
      <c r="D6858" t="s">
        <v>16215</v>
      </c>
      <c r="E6858" t="s">
        <v>16218</v>
      </c>
      <c r="F6858" t="s">
        <v>16220</v>
      </c>
      <c r="G6858" t="s">
        <v>16299</v>
      </c>
      <c r="H6858" t="s">
        <v>16299</v>
      </c>
      <c r="I6858" t="s">
        <v>16382</v>
      </c>
      <c r="J6858" t="s">
        <v>16385</v>
      </c>
      <c r="K6858">
        <v>0.253</v>
      </c>
      <c r="L6858">
        <v>11009</v>
      </c>
      <c r="M6858">
        <v>1743</v>
      </c>
      <c r="N6858" t="s">
        <v>16393</v>
      </c>
      <c r="O6858" s="4">
        <v>48625</v>
      </c>
      <c r="P6858" s="4">
        <v>77129</v>
      </c>
      <c r="Q6858" s="4">
        <v>125754</v>
      </c>
      <c r="R6858" s="4">
        <v>377262</v>
      </c>
      <c r="S6858" t="s">
        <v>23010</v>
      </c>
      <c r="T6858" s="6">
        <v>29921</v>
      </c>
      <c r="U6858" s="4">
        <v>81057</v>
      </c>
      <c r="X6858" t="s">
        <v>3</v>
      </c>
      <c r="AA6858" s="5" t="str">
        <f>HYPERLINK("https://www.zillow.com/homes/2201-WHEELER-ST-WOODRIDGE-IL-60517_rb/","check listing")</f>
        <v>check listing</v>
      </c>
      <c r="AB6858" s="5" t="str">
        <f>HYPERLINK("https://propertylookup.dupagecounty.gov/Datalets/Datalet.aspx?UseSearch=no&amp;mode=sales&amp;pin=0824411003","sales record")</f>
        <v>sales record</v>
      </c>
      <c r="AC6858" t="s">
        <v>3</v>
      </c>
      <c r="AD6858">
        <v>41.764552</v>
      </c>
      <c r="AE6858">
        <v>-88.037085</v>
      </c>
      <c r="AF6858" s="5" t="str">
        <f>HYPERLINK("https://www.google.com/maps/search/?api=1&amp;query=41.764552,-88.037085","map")</f>
        <v>map</v>
      </c>
    </row>
    <row r="6859" spans="1:32">
      <c r="A6859" t="s">
        <v>6909</v>
      </c>
      <c r="B6859" t="s">
        <v>14361</v>
      </c>
      <c r="C6859" t="s">
        <v>15323</v>
      </c>
      <c r="D6859" t="s">
        <v>16215</v>
      </c>
      <c r="E6859" t="s">
        <v>16218</v>
      </c>
      <c r="F6859" t="s">
        <v>16220</v>
      </c>
      <c r="G6859" t="s">
        <v>16299</v>
      </c>
      <c r="H6859" t="s">
        <v>16299</v>
      </c>
      <c r="I6859" t="s">
        <v>16382</v>
      </c>
      <c r="J6859" t="s">
        <v>16385</v>
      </c>
      <c r="K6859">
        <v>0.251</v>
      </c>
      <c r="L6859">
        <v>10918</v>
      </c>
      <c r="M6859">
        <v>1669</v>
      </c>
      <c r="N6859" t="s">
        <v>16393</v>
      </c>
      <c r="O6859" s="4">
        <v>51990</v>
      </c>
      <c r="P6859" s="4">
        <v>66962</v>
      </c>
      <c r="Q6859" s="4">
        <v>118952</v>
      </c>
      <c r="R6859" s="4">
        <v>356856</v>
      </c>
      <c r="S6859" t="s">
        <v>23011</v>
      </c>
      <c r="T6859" s="6">
        <v>36708</v>
      </c>
      <c r="U6859" s="4">
        <v>199000</v>
      </c>
      <c r="V6859" t="s">
        <v>23739</v>
      </c>
      <c r="W6859" t="s">
        <v>27502</v>
      </c>
      <c r="X6859" t="s">
        <v>3</v>
      </c>
      <c r="AA6859" s="5" t="str">
        <f>HYPERLINK("https://www.zillow.com/homes/2118-SUNNYDALE-DR-WOODRIDGE-IL-60517_rb/","check listing")</f>
        <v>check listing</v>
      </c>
      <c r="AB6859" s="5" t="str">
        <f>HYPERLINK("https://propertylookup.dupagecounty.gov/Datalets/Datalet.aspx?UseSearch=no&amp;mode=sales&amp;pin=0824411026","sales record")</f>
        <v>sales record</v>
      </c>
      <c r="AC6859" t="s">
        <v>3</v>
      </c>
      <c r="AD6859">
        <v>41.760553</v>
      </c>
      <c r="AE6859">
        <v>-88.034871</v>
      </c>
      <c r="AF6859" s="5" t="str">
        <f>HYPERLINK("https://www.google.com/maps/search/?api=1&amp;query=41.760553,-88.034871","map")</f>
        <v>map</v>
      </c>
    </row>
    <row r="6860" spans="1:32">
      <c r="A6860" t="s">
        <v>6910</v>
      </c>
      <c r="B6860" t="s">
        <v>14362</v>
      </c>
      <c r="C6860" t="s">
        <v>15323</v>
      </c>
      <c r="D6860" t="s">
        <v>16215</v>
      </c>
      <c r="E6860" t="s">
        <v>16218</v>
      </c>
      <c r="F6860" t="s">
        <v>16220</v>
      </c>
      <c r="G6860" t="s">
        <v>16299</v>
      </c>
      <c r="H6860" t="s">
        <v>16299</v>
      </c>
      <c r="I6860" t="s">
        <v>16382</v>
      </c>
      <c r="J6860" t="s">
        <v>16385</v>
      </c>
      <c r="K6860">
        <v>0.247</v>
      </c>
      <c r="L6860">
        <v>10743</v>
      </c>
      <c r="M6860">
        <v>1530</v>
      </c>
      <c r="N6860" t="s">
        <v>16393</v>
      </c>
      <c r="O6860" s="4">
        <v>51265</v>
      </c>
      <c r="P6860" s="4">
        <v>102732</v>
      </c>
      <c r="Q6860" s="4">
        <v>153997</v>
      </c>
      <c r="R6860" s="4">
        <v>461991</v>
      </c>
      <c r="S6860" t="s">
        <v>23012</v>
      </c>
      <c r="T6860" s="6">
        <v>38838</v>
      </c>
      <c r="U6860" s="4">
        <v>395000</v>
      </c>
      <c r="V6860" t="s">
        <v>23739</v>
      </c>
      <c r="W6860" t="s">
        <v>27503</v>
      </c>
      <c r="X6860" t="s">
        <v>3</v>
      </c>
      <c r="AA6860" s="5" t="str">
        <f>HYPERLINK("https://www.zillow.com/homes/2020-WHEELER-ST-WOODRIDGE-IL-60517_rb/","check listing")</f>
        <v>check listing</v>
      </c>
      <c r="AB6860" s="5" t="str">
        <f>HYPERLINK("https://propertylookup.dupagecounty.gov/Datalets/Datalet.aspx?UseSearch=no&amp;mode=sales&amp;pin=0824410021","sales record")</f>
        <v>sales record</v>
      </c>
      <c r="AC6860" t="s">
        <v>3</v>
      </c>
      <c r="AD6860">
        <v>41.765108</v>
      </c>
      <c r="AE6860">
        <v>-88.03265500000001</v>
      </c>
      <c r="AF6860" s="5" t="str">
        <f>HYPERLINK("https://www.google.com/maps/search/?api=1&amp;query=41.765108,-88.032655","map")</f>
        <v>map</v>
      </c>
    </row>
    <row r="6861" spans="1:32">
      <c r="A6861" t="s">
        <v>6911</v>
      </c>
      <c r="B6861" t="s">
        <v>14363</v>
      </c>
      <c r="C6861" t="s">
        <v>15323</v>
      </c>
      <c r="D6861" t="s">
        <v>16215</v>
      </c>
      <c r="E6861" t="s">
        <v>16218</v>
      </c>
      <c r="F6861" t="s">
        <v>16220</v>
      </c>
      <c r="G6861" t="s">
        <v>16299</v>
      </c>
      <c r="H6861" t="s">
        <v>16299</v>
      </c>
      <c r="I6861" t="s">
        <v>16382</v>
      </c>
      <c r="J6861" t="s">
        <v>16385</v>
      </c>
      <c r="K6861">
        <v>0.246</v>
      </c>
      <c r="L6861">
        <v>10711</v>
      </c>
      <c r="M6861">
        <v>2464</v>
      </c>
      <c r="N6861" t="s">
        <v>16393</v>
      </c>
      <c r="O6861" s="4">
        <v>47507</v>
      </c>
      <c r="P6861" s="4">
        <v>84264</v>
      </c>
      <c r="Q6861" s="4">
        <v>131771</v>
      </c>
      <c r="R6861" s="4">
        <v>395313</v>
      </c>
      <c r="S6861" t="s">
        <v>23013</v>
      </c>
      <c r="T6861" s="6">
        <v>28976</v>
      </c>
      <c r="U6861" s="4">
        <v>93000</v>
      </c>
      <c r="X6861" t="s">
        <v>3</v>
      </c>
      <c r="AA6861" s="5" t="str">
        <f>HYPERLINK("https://www.zillow.com/homes/2637-LUZERN-CT-WOODRIDGE-IL-60517_rb/","check listing")</f>
        <v>check listing</v>
      </c>
      <c r="AB6861" s="5" t="str">
        <f>HYPERLINK("https://propertylookup.dupagecounty.gov/Datalets/Datalet.aspx?UseSearch=no&amp;mode=sales&amp;pin=0836103027","sales record")</f>
        <v>sales record</v>
      </c>
      <c r="AC6861" t="s">
        <v>3</v>
      </c>
      <c r="AD6861">
        <v>41.736053</v>
      </c>
      <c r="AE6861">
        <v>-88.045575</v>
      </c>
      <c r="AF6861" s="5" t="str">
        <f>HYPERLINK("https://www.google.com/maps/search/?api=1&amp;query=41.736053,-88.045575","map")</f>
        <v>map</v>
      </c>
    </row>
    <row r="6862" spans="1:32">
      <c r="A6862" t="s">
        <v>6912</v>
      </c>
      <c r="B6862" t="s">
        <v>14364</v>
      </c>
      <c r="C6862" t="s">
        <v>15323</v>
      </c>
      <c r="D6862" t="s">
        <v>16215</v>
      </c>
      <c r="E6862" t="s">
        <v>16218</v>
      </c>
      <c r="F6862" t="s">
        <v>16220</v>
      </c>
      <c r="G6862" t="s">
        <v>16299</v>
      </c>
      <c r="H6862" t="s">
        <v>16299</v>
      </c>
      <c r="I6862" t="s">
        <v>16382</v>
      </c>
      <c r="J6862" t="s">
        <v>16385</v>
      </c>
      <c r="K6862">
        <v>0.245</v>
      </c>
      <c r="L6862">
        <v>10692</v>
      </c>
      <c r="M6862">
        <v>1451</v>
      </c>
      <c r="N6862" t="s">
        <v>16393</v>
      </c>
      <c r="O6862" s="4">
        <v>54797</v>
      </c>
      <c r="P6862" s="4">
        <v>91410</v>
      </c>
      <c r="Q6862" s="4">
        <v>146207</v>
      </c>
      <c r="R6862" s="4">
        <v>438621</v>
      </c>
      <c r="S6862" t="s">
        <v>23014</v>
      </c>
      <c r="T6862" s="6">
        <v>38504</v>
      </c>
      <c r="U6862" s="4">
        <v>356000</v>
      </c>
      <c r="V6862" t="s">
        <v>23740</v>
      </c>
      <c r="W6862" t="s">
        <v>27504</v>
      </c>
      <c r="X6862" t="s">
        <v>3</v>
      </c>
      <c r="AA6862" s="5" t="str">
        <f>HYPERLINK("https://www.zillow.com/homes/10-YELLOWSTAR-CT-WOODRIDGE-IL-60517_rb/","check listing")</f>
        <v>check listing</v>
      </c>
      <c r="AB6862" s="5" t="str">
        <f>HYPERLINK("https://propertylookup.dupagecounty.gov/Datalets/Datalet.aspx?UseSearch=no&amp;mode=sales&amp;pin=0824306024","sales record")</f>
        <v>sales record</v>
      </c>
      <c r="AC6862" t="s">
        <v>3</v>
      </c>
      <c r="AD6862">
        <v>41.762026</v>
      </c>
      <c r="AE6862">
        <v>-88.04709</v>
      </c>
      <c r="AF6862" s="5" t="str">
        <f>HYPERLINK("https://www.google.com/maps/search/?api=1&amp;query=41.762026,-88.04709","map")</f>
        <v>map</v>
      </c>
    </row>
    <row r="6863" spans="1:32">
      <c r="A6863" t="s">
        <v>6913</v>
      </c>
      <c r="B6863" t="s">
        <v>14365</v>
      </c>
      <c r="C6863" t="s">
        <v>15323</v>
      </c>
      <c r="D6863" t="s">
        <v>16215</v>
      </c>
      <c r="E6863" t="s">
        <v>16218</v>
      </c>
      <c r="F6863" t="s">
        <v>16220</v>
      </c>
      <c r="G6863" t="s">
        <v>16299</v>
      </c>
      <c r="H6863" t="s">
        <v>16299</v>
      </c>
      <c r="I6863" t="s">
        <v>16382</v>
      </c>
      <c r="J6863" t="s">
        <v>16385</v>
      </c>
      <c r="K6863">
        <v>0.245</v>
      </c>
      <c r="L6863">
        <v>10660</v>
      </c>
      <c r="M6863">
        <v>2486</v>
      </c>
      <c r="N6863" t="s">
        <v>16393</v>
      </c>
      <c r="O6863" s="4">
        <v>46080</v>
      </c>
      <c r="P6863" s="4">
        <v>94443</v>
      </c>
      <c r="Q6863" s="4">
        <v>140523</v>
      </c>
      <c r="R6863" s="4">
        <v>421569</v>
      </c>
      <c r="S6863" t="s">
        <v>23015</v>
      </c>
      <c r="T6863" s="6">
        <v>34608</v>
      </c>
      <c r="U6863" s="4">
        <v>150500</v>
      </c>
      <c r="X6863" t="s">
        <v>3</v>
      </c>
      <c r="AA6863" s="5" t="str">
        <f>HYPERLINK("https://www.zillow.com/homes/6750-GREENLEAF-ST-WOODRIDGE-IL-60517_rb/","check listing")</f>
        <v>check listing</v>
      </c>
      <c r="AB6863" s="5" t="str">
        <f>HYPERLINK("https://propertylookup.dupagecounty.gov/Datalets/Datalet.aspx?UseSearch=no&amp;mode=sales&amp;pin=0824411010","sales record")</f>
        <v>sales record</v>
      </c>
      <c r="AC6863" t="s">
        <v>3</v>
      </c>
      <c r="AD6863">
        <v>41.763225</v>
      </c>
      <c r="AE6863">
        <v>-88.036243</v>
      </c>
      <c r="AF6863" s="5" t="str">
        <f>HYPERLINK("https://www.google.com/maps/search/?api=1&amp;query=41.763225,-88.036243","map")</f>
        <v>map</v>
      </c>
    </row>
    <row r="6864" spans="1:32">
      <c r="A6864" t="s">
        <v>6914</v>
      </c>
      <c r="B6864" t="s">
        <v>14366</v>
      </c>
      <c r="C6864" t="s">
        <v>15323</v>
      </c>
      <c r="D6864" t="s">
        <v>16215</v>
      </c>
      <c r="E6864" t="s">
        <v>16218</v>
      </c>
      <c r="F6864" t="s">
        <v>16220</v>
      </c>
      <c r="G6864" t="s">
        <v>16299</v>
      </c>
      <c r="H6864" t="s">
        <v>16299</v>
      </c>
      <c r="I6864" t="s">
        <v>16382</v>
      </c>
      <c r="J6864" t="s">
        <v>16385</v>
      </c>
      <c r="K6864">
        <v>0.243</v>
      </c>
      <c r="L6864">
        <v>10599</v>
      </c>
      <c r="M6864">
        <v>2024</v>
      </c>
      <c r="N6864" t="s">
        <v>16393</v>
      </c>
      <c r="O6864" s="4">
        <v>51265</v>
      </c>
      <c r="P6864" s="4">
        <v>83575</v>
      </c>
      <c r="Q6864" s="4">
        <v>134840</v>
      </c>
      <c r="R6864" s="4">
        <v>404520</v>
      </c>
      <c r="S6864" t="s">
        <v>23016</v>
      </c>
      <c r="T6864" s="6">
        <v>42583</v>
      </c>
      <c r="U6864" s="4">
        <v>285000</v>
      </c>
      <c r="V6864" t="s">
        <v>23740</v>
      </c>
      <c r="W6864" t="s">
        <v>23016</v>
      </c>
      <c r="X6864" t="s">
        <v>3</v>
      </c>
      <c r="AA6864" s="5" t="str">
        <f>HYPERLINK("https://www.zillow.com/homes/4-BROOK-CT-WOODRIDGE-IL-60517_rb/","check listing")</f>
        <v>check listing</v>
      </c>
      <c r="AB6864" s="5" t="str">
        <f>HYPERLINK("https://propertylookup.dupagecounty.gov/Datalets/Datalet.aspx?UseSearch=no&amp;mode=sales&amp;pin=0824414006","sales record")</f>
        <v>sales record</v>
      </c>
      <c r="AC6864" t="s">
        <v>3</v>
      </c>
      <c r="AD6864">
        <v>41.762236</v>
      </c>
      <c r="AE6864">
        <v>-88.034289</v>
      </c>
      <c r="AF6864" s="5" t="str">
        <f>HYPERLINK("https://www.google.com/maps/search/?api=1&amp;query=41.762236,-88.034289","map")</f>
        <v>map</v>
      </c>
    </row>
    <row r="6865" spans="1:32">
      <c r="A6865" t="s">
        <v>6915</v>
      </c>
      <c r="B6865" t="s">
        <v>14367</v>
      </c>
      <c r="C6865" t="s">
        <v>16119</v>
      </c>
      <c r="D6865" t="s">
        <v>16215</v>
      </c>
      <c r="E6865" t="s">
        <v>16218</v>
      </c>
      <c r="F6865" t="s">
        <v>16220</v>
      </c>
      <c r="G6865" t="s">
        <v>16299</v>
      </c>
      <c r="H6865" t="s">
        <v>16299</v>
      </c>
      <c r="I6865" t="s">
        <v>16382</v>
      </c>
      <c r="J6865" t="s">
        <v>16385</v>
      </c>
      <c r="K6865">
        <v>0.243</v>
      </c>
      <c r="L6865">
        <v>10592</v>
      </c>
      <c r="M6865">
        <v>2355</v>
      </c>
      <c r="N6865" t="s">
        <v>16393</v>
      </c>
      <c r="O6865" s="4">
        <v>51265</v>
      </c>
      <c r="P6865" s="4">
        <v>118381</v>
      </c>
      <c r="Q6865" s="4">
        <v>169646</v>
      </c>
      <c r="R6865" s="4">
        <v>508938</v>
      </c>
      <c r="S6865" t="s">
        <v>23017</v>
      </c>
      <c r="T6865" s="6">
        <v>44409</v>
      </c>
      <c r="U6865" s="4">
        <v>429000</v>
      </c>
      <c r="V6865" t="s">
        <v>23739</v>
      </c>
      <c r="W6865" t="s">
        <v>27505</v>
      </c>
      <c r="X6865" t="s">
        <v>3</v>
      </c>
      <c r="AA6865" s="5" t="str">
        <f>HYPERLINK("https://www.zillow.com/homes/3-BROOK-CT-WOODRIDGE-IL-605171836_rb/","check listing")</f>
        <v>check listing</v>
      </c>
      <c r="AB6865" s="5" t="str">
        <f>HYPERLINK("https://propertylookup.dupagecounty.gov/Datalets/Datalet.aspx?UseSearch=no&amp;mode=sales&amp;pin=0824414005","sales record")</f>
        <v>sales record</v>
      </c>
      <c r="AC6865" t="s">
        <v>3</v>
      </c>
      <c r="AD6865">
        <v>41.762292</v>
      </c>
      <c r="AE6865">
        <v>-88.034623</v>
      </c>
      <c r="AF6865" s="5" t="str">
        <f>HYPERLINK("https://www.google.com/maps/search/?api=1&amp;query=41.762292,-88.034623","map")</f>
        <v>map</v>
      </c>
    </row>
    <row r="6866" spans="1:32">
      <c r="A6866" t="s">
        <v>6916</v>
      </c>
      <c r="B6866" t="s">
        <v>14368</v>
      </c>
      <c r="C6866" t="s">
        <v>15323</v>
      </c>
      <c r="D6866" t="s">
        <v>16215</v>
      </c>
      <c r="E6866" t="s">
        <v>16218</v>
      </c>
      <c r="F6866" t="s">
        <v>16220</v>
      </c>
      <c r="G6866" t="s">
        <v>16299</v>
      </c>
      <c r="H6866" t="s">
        <v>16299</v>
      </c>
      <c r="I6866" t="s">
        <v>16382</v>
      </c>
      <c r="J6866" t="s">
        <v>16385</v>
      </c>
      <c r="K6866">
        <v>0.242</v>
      </c>
      <c r="L6866">
        <v>10561</v>
      </c>
      <c r="M6866">
        <v>1221</v>
      </c>
      <c r="N6866" t="s">
        <v>16393</v>
      </c>
      <c r="O6866" s="4">
        <v>46080</v>
      </c>
      <c r="P6866" s="4">
        <v>70196</v>
      </c>
      <c r="Q6866" s="4">
        <v>116276</v>
      </c>
      <c r="R6866" s="4">
        <v>348828</v>
      </c>
      <c r="S6866" t="s">
        <v>23018</v>
      </c>
      <c r="T6866" s="6">
        <v>37834</v>
      </c>
      <c r="U6866" s="4">
        <v>240000</v>
      </c>
      <c r="V6866" t="s">
        <v>23739</v>
      </c>
      <c r="W6866" t="s">
        <v>27506</v>
      </c>
      <c r="X6866" t="s">
        <v>3</v>
      </c>
      <c r="AA6866" s="5" t="str">
        <f>HYPERLINK("https://www.zillow.com/homes/2207-WHEELER-ST-WOODRIDGE-IL-60517_rb/","check listing")</f>
        <v>check listing</v>
      </c>
      <c r="AB6866" s="5" t="str">
        <f>HYPERLINK("https://propertylookup.dupagecounty.gov/Datalets/Datalet.aspx?UseSearch=no&amp;mode=sales&amp;pin=0824411002","sales record")</f>
        <v>sales record</v>
      </c>
      <c r="AC6866" t="s">
        <v>3</v>
      </c>
      <c r="AD6866">
        <v>41.76455</v>
      </c>
      <c r="AE6866">
        <v>-88.037443</v>
      </c>
      <c r="AF6866" s="5" t="str">
        <f>HYPERLINK("https://www.google.com/maps/search/?api=1&amp;query=41.76455,-88.037443","map")</f>
        <v>map</v>
      </c>
    </row>
    <row r="6867" spans="1:32">
      <c r="A6867" t="s">
        <v>6917</v>
      </c>
      <c r="B6867" t="s">
        <v>14369</v>
      </c>
      <c r="C6867" t="s">
        <v>15323</v>
      </c>
      <c r="D6867" t="s">
        <v>16215</v>
      </c>
      <c r="E6867" t="s">
        <v>16218</v>
      </c>
      <c r="F6867" t="s">
        <v>16220</v>
      </c>
      <c r="G6867" t="s">
        <v>16299</v>
      </c>
      <c r="H6867" t="s">
        <v>16299</v>
      </c>
      <c r="I6867" t="s">
        <v>16382</v>
      </c>
      <c r="J6867" t="s">
        <v>16385</v>
      </c>
      <c r="K6867">
        <v>0.241</v>
      </c>
      <c r="L6867">
        <v>10519</v>
      </c>
      <c r="M6867">
        <v>1780</v>
      </c>
      <c r="N6867" t="s">
        <v>16393</v>
      </c>
      <c r="O6867" s="4">
        <v>48625</v>
      </c>
      <c r="P6867" s="4">
        <v>117168</v>
      </c>
      <c r="Q6867" s="4">
        <v>165793</v>
      </c>
      <c r="R6867" s="4">
        <v>497379</v>
      </c>
      <c r="S6867" t="s">
        <v>23019</v>
      </c>
      <c r="T6867" s="6">
        <v>41852</v>
      </c>
      <c r="U6867" s="4">
        <v>380000</v>
      </c>
      <c r="V6867" t="s">
        <v>23739</v>
      </c>
      <c r="W6867" t="s">
        <v>23019</v>
      </c>
      <c r="X6867" t="s">
        <v>3</v>
      </c>
      <c r="AA6867" s="5" t="str">
        <f>HYPERLINK("https://www.zillow.com/homes/2212-WHEELER-ST-WOODRIDGE-IL-60517_rb/","check listing")</f>
        <v>check listing</v>
      </c>
      <c r="AB6867" s="5" t="str">
        <f>HYPERLINK("https://propertylookup.dupagecounty.gov/Datalets/Datalet.aspx?UseSearch=no&amp;mode=sales&amp;pin=0824410003","sales record")</f>
        <v>sales record</v>
      </c>
      <c r="AC6867" t="s">
        <v>3</v>
      </c>
      <c r="AD6867">
        <v>41.765024</v>
      </c>
      <c r="AE6867">
        <v>-88.03752299999999</v>
      </c>
      <c r="AF6867" s="5" t="str">
        <f>HYPERLINK("https://www.google.com/maps/search/?api=1&amp;query=41.765024,-88.037523","map")</f>
        <v>map</v>
      </c>
    </row>
    <row r="6868" spans="1:32">
      <c r="A6868" t="s">
        <v>6918</v>
      </c>
      <c r="B6868" t="s">
        <v>14370</v>
      </c>
      <c r="C6868" t="s">
        <v>15323</v>
      </c>
      <c r="D6868" t="s">
        <v>16215</v>
      </c>
      <c r="E6868" t="s">
        <v>16218</v>
      </c>
      <c r="F6868" t="s">
        <v>16220</v>
      </c>
      <c r="G6868" t="s">
        <v>16299</v>
      </c>
      <c r="H6868" t="s">
        <v>16299</v>
      </c>
      <c r="I6868" t="s">
        <v>16382</v>
      </c>
      <c r="J6868" t="s">
        <v>16385</v>
      </c>
      <c r="K6868">
        <v>0.241</v>
      </c>
      <c r="L6868">
        <v>10496</v>
      </c>
      <c r="M6868">
        <v>2048</v>
      </c>
      <c r="N6868" t="s">
        <v>16393</v>
      </c>
      <c r="O6868" s="4">
        <v>47507</v>
      </c>
      <c r="P6868" s="4">
        <v>85311</v>
      </c>
      <c r="Q6868" s="4">
        <v>132818</v>
      </c>
      <c r="R6868" s="4">
        <v>398454</v>
      </c>
      <c r="S6868" t="s">
        <v>23020</v>
      </c>
      <c r="T6868" s="6">
        <v>30651</v>
      </c>
      <c r="U6868" s="4">
        <v>103500</v>
      </c>
      <c r="X6868" t="s">
        <v>3</v>
      </c>
      <c r="AA6868" s="5" t="str">
        <f>HYPERLINK("https://www.zillow.com/homes/2653-LUZERN-CT-WOODRIDGE-IL-60517_rb/","check listing")</f>
        <v>check listing</v>
      </c>
      <c r="AB6868" s="5" t="str">
        <f>HYPERLINK("https://propertylookup.dupagecounty.gov/Datalets/Datalet.aspx?UseSearch=no&amp;mode=sales&amp;pin=0836103023","sales record")</f>
        <v>sales record</v>
      </c>
      <c r="AC6868" t="s">
        <v>3</v>
      </c>
      <c r="AD6868">
        <v>41.73614</v>
      </c>
      <c r="AE6868">
        <v>-88.046645</v>
      </c>
      <c r="AF6868" s="5" t="str">
        <f>HYPERLINK("https://www.google.com/maps/search/?api=1&amp;query=41.73614,-88.046645","map")</f>
        <v>map</v>
      </c>
    </row>
    <row r="6869" spans="1:32">
      <c r="A6869" t="s">
        <v>6919</v>
      </c>
      <c r="B6869" t="s">
        <v>14371</v>
      </c>
      <c r="C6869" t="s">
        <v>16120</v>
      </c>
      <c r="D6869" t="s">
        <v>16215</v>
      </c>
      <c r="E6869" t="s">
        <v>16218</v>
      </c>
      <c r="F6869" t="s">
        <v>16220</v>
      </c>
      <c r="G6869" t="s">
        <v>16299</v>
      </c>
      <c r="H6869" t="s">
        <v>16299</v>
      </c>
      <c r="I6869" t="s">
        <v>16382</v>
      </c>
      <c r="J6869" t="s">
        <v>16385</v>
      </c>
      <c r="K6869">
        <v>0.238</v>
      </c>
      <c r="L6869">
        <v>10381</v>
      </c>
      <c r="M6869">
        <v>2067</v>
      </c>
      <c r="N6869" t="s">
        <v>16393</v>
      </c>
      <c r="O6869" s="4">
        <v>54797</v>
      </c>
      <c r="P6869" s="4">
        <v>62051</v>
      </c>
      <c r="Q6869" s="4">
        <v>116848</v>
      </c>
      <c r="R6869" s="4">
        <v>350544</v>
      </c>
      <c r="S6869" t="s">
        <v>23021</v>
      </c>
      <c r="T6869" s="6">
        <v>44348</v>
      </c>
      <c r="U6869" s="4">
        <v>311000</v>
      </c>
      <c r="V6869" t="s">
        <v>23739</v>
      </c>
      <c r="W6869" t="s">
        <v>23021</v>
      </c>
      <c r="X6869" t="s">
        <v>3</v>
      </c>
      <c r="AA6869" s="5" t="str">
        <f>HYPERLINK("https://www.zillow.com/homes/2545-YELLOW-STAR-ST-WOODRIDGE-IL-605171709_rb/","check listing")</f>
        <v>check listing</v>
      </c>
      <c r="AB6869" s="5" t="str">
        <f>HYPERLINK("https://propertylookup.dupagecounty.gov/Datalets/Datalet.aspx?UseSearch=no&amp;mode=sales&amp;pin=0824315001","sales record")</f>
        <v>sales record</v>
      </c>
      <c r="AC6869" t="s">
        <v>3</v>
      </c>
      <c r="AD6869">
        <v>41.764218</v>
      </c>
      <c r="AE6869">
        <v>-88.04788000000001</v>
      </c>
      <c r="AF6869" s="5" t="str">
        <f>HYPERLINK("https://www.google.com/maps/search/?api=1&amp;query=41.764218,-88.04788","map")</f>
        <v>map</v>
      </c>
    </row>
    <row r="6870" spans="1:32">
      <c r="A6870" t="s">
        <v>6920</v>
      </c>
      <c r="B6870" t="s">
        <v>14372</v>
      </c>
      <c r="C6870" t="s">
        <v>15323</v>
      </c>
      <c r="D6870" t="s">
        <v>16215</v>
      </c>
      <c r="E6870" t="s">
        <v>16218</v>
      </c>
      <c r="F6870" t="s">
        <v>16220</v>
      </c>
      <c r="G6870" t="s">
        <v>16299</v>
      </c>
      <c r="H6870" t="s">
        <v>16299</v>
      </c>
      <c r="I6870" t="s">
        <v>16382</v>
      </c>
      <c r="J6870" t="s">
        <v>16385</v>
      </c>
      <c r="K6870">
        <v>0.238</v>
      </c>
      <c r="L6870">
        <v>10346</v>
      </c>
      <c r="M6870">
        <v>1816</v>
      </c>
      <c r="N6870" t="s">
        <v>16393</v>
      </c>
      <c r="O6870" s="4">
        <v>51265</v>
      </c>
      <c r="P6870" s="4">
        <v>95181</v>
      </c>
      <c r="Q6870" s="4">
        <v>146446</v>
      </c>
      <c r="R6870" s="4">
        <v>439338</v>
      </c>
      <c r="S6870" t="s">
        <v>23022</v>
      </c>
      <c r="T6870" s="6">
        <v>38231</v>
      </c>
      <c r="U6870" s="4">
        <v>287000</v>
      </c>
      <c r="V6870" t="s">
        <v>23739</v>
      </c>
      <c r="W6870" t="s">
        <v>27507</v>
      </c>
      <c r="X6870" t="s">
        <v>3</v>
      </c>
      <c r="AA6870" s="5" t="str">
        <f>HYPERLINK("https://www.zillow.com/homes/2026-WHEELER-ST-WOODRIDGE-IL-60517_rb/","check listing")</f>
        <v>check listing</v>
      </c>
      <c r="AB6870" s="5" t="str">
        <f>HYPERLINK("https://propertylookup.dupagecounty.gov/Datalets/Datalet.aspx?UseSearch=no&amp;mode=sales&amp;pin=0824410020","sales record")</f>
        <v>sales record</v>
      </c>
      <c r="AC6870" t="s">
        <v>3</v>
      </c>
      <c r="AD6870">
        <v>41.765112</v>
      </c>
      <c r="AE6870">
        <v>-88.03291900000001</v>
      </c>
      <c r="AF6870" s="5" t="str">
        <f>HYPERLINK("https://www.google.com/maps/search/?api=1&amp;query=41.765112,-88.032919","map")</f>
        <v>map</v>
      </c>
    </row>
    <row r="6871" spans="1:32">
      <c r="A6871" t="s">
        <v>6921</v>
      </c>
      <c r="B6871" t="s">
        <v>14373</v>
      </c>
      <c r="C6871" t="s">
        <v>15323</v>
      </c>
      <c r="D6871" t="s">
        <v>16215</v>
      </c>
      <c r="E6871" t="s">
        <v>16218</v>
      </c>
      <c r="F6871" t="s">
        <v>16220</v>
      </c>
      <c r="G6871" t="s">
        <v>16299</v>
      </c>
      <c r="H6871" t="s">
        <v>16299</v>
      </c>
      <c r="I6871" t="s">
        <v>16382</v>
      </c>
      <c r="J6871" t="s">
        <v>16385</v>
      </c>
      <c r="K6871">
        <v>0.236</v>
      </c>
      <c r="L6871">
        <v>10281</v>
      </c>
      <c r="M6871">
        <v>2310</v>
      </c>
      <c r="N6871" t="s">
        <v>16393</v>
      </c>
      <c r="O6871" s="4">
        <v>51265</v>
      </c>
      <c r="P6871" s="4">
        <v>120867</v>
      </c>
      <c r="Q6871" s="4">
        <v>172132</v>
      </c>
      <c r="R6871" s="4">
        <v>516396</v>
      </c>
      <c r="S6871" t="s">
        <v>23023</v>
      </c>
      <c r="T6871" s="6">
        <v>35916</v>
      </c>
      <c r="U6871" s="4">
        <v>228000</v>
      </c>
      <c r="X6871" t="s">
        <v>3</v>
      </c>
      <c r="AA6871" s="5" t="str">
        <f>HYPERLINK("https://www.zillow.com/homes/6753-HARVEST-AVE-WOODRIDGE-IL-60517_rb/","check listing")</f>
        <v>check listing</v>
      </c>
      <c r="AB6871" s="5" t="str">
        <f>HYPERLINK("https://propertylookup.dupagecounty.gov/Datalets/Datalet.aspx?UseSearch=no&amp;mode=sales&amp;pin=0824415042","sales record")</f>
        <v>sales record</v>
      </c>
      <c r="AC6871" t="s">
        <v>3</v>
      </c>
      <c r="AD6871">
        <v>41.763365</v>
      </c>
      <c r="AE6871">
        <v>-88.033394</v>
      </c>
      <c r="AF6871" s="5" t="str">
        <f>HYPERLINK("https://www.google.com/maps/search/?api=1&amp;query=41.763365,-88.033394","map")</f>
        <v>map</v>
      </c>
    </row>
    <row r="6872" spans="1:32">
      <c r="A6872" t="s">
        <v>6922</v>
      </c>
      <c r="B6872" t="s">
        <v>14374</v>
      </c>
      <c r="C6872" t="s">
        <v>15323</v>
      </c>
      <c r="D6872" t="s">
        <v>16215</v>
      </c>
      <c r="E6872" t="s">
        <v>16218</v>
      </c>
      <c r="F6872" t="s">
        <v>16220</v>
      </c>
      <c r="G6872" t="s">
        <v>16299</v>
      </c>
      <c r="H6872" t="s">
        <v>16299</v>
      </c>
      <c r="I6872" t="s">
        <v>16382</v>
      </c>
      <c r="J6872" t="s">
        <v>16385</v>
      </c>
      <c r="K6872">
        <v>0.236</v>
      </c>
      <c r="L6872">
        <v>10270</v>
      </c>
      <c r="M6872">
        <v>1487</v>
      </c>
      <c r="N6872" t="s">
        <v>16393</v>
      </c>
      <c r="O6872" s="4">
        <v>54785</v>
      </c>
      <c r="P6872" s="4">
        <v>87058</v>
      </c>
      <c r="Q6872" s="4">
        <v>141843</v>
      </c>
      <c r="R6872" s="4">
        <v>425529</v>
      </c>
      <c r="S6872" t="s">
        <v>23024</v>
      </c>
      <c r="T6872" s="6">
        <v>35278</v>
      </c>
      <c r="U6872" s="4">
        <v>155610</v>
      </c>
      <c r="X6872" t="s">
        <v>3</v>
      </c>
      <c r="AA6872" s="5" t="str">
        <f>HYPERLINK("https://www.zillow.com/homes/2048-VANTAGE-ST-WOODRIDGE-IL-60517_rb/","check listing")</f>
        <v>check listing</v>
      </c>
      <c r="AB6872" s="5" t="str">
        <f>HYPERLINK("https://propertylookup.dupagecounty.gov/Datalets/Datalet.aspx?UseSearch=no&amp;mode=sales&amp;pin=0824414040","sales record")</f>
        <v>sales record</v>
      </c>
      <c r="AC6872" t="s">
        <v>3</v>
      </c>
      <c r="AD6872">
        <v>41.761399</v>
      </c>
      <c r="AE6872">
        <v>-88.03386399999999</v>
      </c>
      <c r="AF6872" s="5" t="str">
        <f>HYPERLINK("https://www.google.com/maps/search/?api=1&amp;query=41.761399,-88.033864","map")</f>
        <v>map</v>
      </c>
    </row>
    <row r="6873" spans="1:32">
      <c r="A6873" t="s">
        <v>6923</v>
      </c>
      <c r="B6873" t="s">
        <v>14375</v>
      </c>
      <c r="C6873" t="s">
        <v>16121</v>
      </c>
      <c r="D6873" t="s">
        <v>16215</v>
      </c>
      <c r="E6873" t="s">
        <v>16218</v>
      </c>
      <c r="F6873" t="s">
        <v>16220</v>
      </c>
      <c r="G6873" t="s">
        <v>16299</v>
      </c>
      <c r="H6873" t="s">
        <v>16299</v>
      </c>
      <c r="I6873" t="s">
        <v>16382</v>
      </c>
      <c r="J6873" t="s">
        <v>16385</v>
      </c>
      <c r="K6873">
        <v>0.235</v>
      </c>
      <c r="L6873">
        <v>10252</v>
      </c>
      <c r="M6873">
        <v>1312</v>
      </c>
      <c r="N6873" t="s">
        <v>16393</v>
      </c>
      <c r="O6873" s="4">
        <v>54797</v>
      </c>
      <c r="P6873" s="4">
        <v>81981</v>
      </c>
      <c r="Q6873" s="4">
        <v>136778</v>
      </c>
      <c r="R6873" s="4">
        <v>410334</v>
      </c>
      <c r="S6873" t="s">
        <v>23025</v>
      </c>
      <c r="T6873" s="6">
        <v>44682</v>
      </c>
      <c r="U6873" s="4">
        <v>410000</v>
      </c>
      <c r="V6873" t="s">
        <v>23739</v>
      </c>
      <c r="W6873" t="s">
        <v>27508</v>
      </c>
      <c r="X6873" t="s">
        <v>3</v>
      </c>
      <c r="AA6873" s="5" t="str">
        <f>HYPERLINK("https://www.zillow.com/homes/2024-SUNNYDALE-ST-WOODRIDGE-IL-605171822_rb/","check listing")</f>
        <v>check listing</v>
      </c>
      <c r="AB6873" s="5" t="str">
        <f>HYPERLINK("https://propertylookup.dupagecounty.gov/Datalets/Datalet.aspx?UseSearch=no&amp;mode=sales&amp;pin=0824415034","sales record")</f>
        <v>sales record</v>
      </c>
      <c r="AC6873" t="s">
        <v>3</v>
      </c>
      <c r="AD6873">
        <v>41.760707</v>
      </c>
      <c r="AE6873">
        <v>-88.03263699999999</v>
      </c>
      <c r="AF6873" s="5" t="str">
        <f>HYPERLINK("https://www.google.com/maps/search/?api=1&amp;query=41.760707,-88.032637","map")</f>
        <v>map</v>
      </c>
    </row>
    <row r="6874" spans="1:32">
      <c r="A6874" t="s">
        <v>6924</v>
      </c>
      <c r="B6874" t="s">
        <v>14376</v>
      </c>
      <c r="C6874" t="s">
        <v>16122</v>
      </c>
      <c r="D6874" t="s">
        <v>16215</v>
      </c>
      <c r="E6874" t="s">
        <v>16218</v>
      </c>
      <c r="F6874" t="s">
        <v>16220</v>
      </c>
      <c r="G6874" t="s">
        <v>16299</v>
      </c>
      <c r="H6874" t="s">
        <v>16299</v>
      </c>
      <c r="I6874" t="s">
        <v>16382</v>
      </c>
      <c r="J6874" t="s">
        <v>16385</v>
      </c>
      <c r="K6874">
        <v>0.235</v>
      </c>
      <c r="L6874">
        <v>10241</v>
      </c>
      <c r="M6874">
        <v>1661</v>
      </c>
      <c r="N6874" t="s">
        <v>16393</v>
      </c>
      <c r="O6874" s="4">
        <v>49124</v>
      </c>
      <c r="P6874" s="4">
        <v>60077</v>
      </c>
      <c r="Q6874" s="4">
        <v>109201</v>
      </c>
      <c r="R6874" s="4">
        <v>327603</v>
      </c>
      <c r="S6874" t="s">
        <v>23026</v>
      </c>
      <c r="T6874" s="6">
        <v>44682</v>
      </c>
      <c r="U6874" s="4">
        <v>350000</v>
      </c>
      <c r="V6874" t="s">
        <v>23739</v>
      </c>
      <c r="W6874" t="s">
        <v>27509</v>
      </c>
      <c r="X6874" t="s">
        <v>3</v>
      </c>
      <c r="AA6874" s="5" t="str">
        <f>HYPERLINK("https://www.zillow.com/homes/2131-SUNNYDALE-ST-WOODRIDGE-IL-605171821_rb/","check listing")</f>
        <v>check listing</v>
      </c>
      <c r="AB6874" s="5" t="str">
        <f>HYPERLINK("https://propertylookup.dupagecounty.gov/Datalets/Datalet.aspx?UseSearch=no&amp;mode=sales&amp;pin=0824417001","sales record")</f>
        <v>sales record</v>
      </c>
      <c r="AC6874" t="s">
        <v>3</v>
      </c>
      <c r="AD6874">
        <v>41.76</v>
      </c>
      <c r="AE6874">
        <v>-88.03501199999999</v>
      </c>
      <c r="AF6874" s="5" t="str">
        <f>HYPERLINK("https://www.google.com/maps/search/?api=1&amp;query=41.76,-88.035012","map")</f>
        <v>map</v>
      </c>
    </row>
    <row r="6875" spans="1:32">
      <c r="A6875" t="s">
        <v>6925</v>
      </c>
      <c r="B6875" t="s">
        <v>14377</v>
      </c>
      <c r="C6875" t="s">
        <v>15323</v>
      </c>
      <c r="D6875" t="s">
        <v>16215</v>
      </c>
      <c r="E6875" t="s">
        <v>16218</v>
      </c>
      <c r="F6875" t="s">
        <v>16220</v>
      </c>
      <c r="G6875" t="s">
        <v>16299</v>
      </c>
      <c r="H6875" t="s">
        <v>16299</v>
      </c>
      <c r="I6875" t="s">
        <v>16382</v>
      </c>
      <c r="J6875" t="s">
        <v>16385</v>
      </c>
      <c r="K6875">
        <v>0.235</v>
      </c>
      <c r="L6875">
        <v>10217</v>
      </c>
      <c r="M6875">
        <v>1702</v>
      </c>
      <c r="N6875" t="s">
        <v>16393</v>
      </c>
      <c r="O6875" s="4">
        <v>49243</v>
      </c>
      <c r="P6875" s="4">
        <v>115183</v>
      </c>
      <c r="Q6875" s="4">
        <v>164426</v>
      </c>
      <c r="R6875" s="4">
        <v>493278</v>
      </c>
      <c r="S6875" t="s">
        <v>23027</v>
      </c>
      <c r="T6875" s="6">
        <v>40544</v>
      </c>
      <c r="U6875" s="4">
        <v>267500</v>
      </c>
      <c r="V6875" t="s">
        <v>23739</v>
      </c>
      <c r="W6875" t="s">
        <v>27510</v>
      </c>
      <c r="X6875" t="s">
        <v>3</v>
      </c>
      <c r="AA6875" s="5" t="str">
        <f>HYPERLINK("https://www.zillow.com/homes/6-YELLOW-STAR-CT-WOODRIDGE-IL-60517_rb/","check listing")</f>
        <v>check listing</v>
      </c>
      <c r="AB6875" s="5" t="str">
        <f>HYPERLINK("https://propertylookup.dupagecounty.gov/Datalets/Datalet.aspx?UseSearch=no&amp;mode=sales&amp;pin=0824307092","sales record")</f>
        <v>sales record</v>
      </c>
      <c r="AC6875" t="s">
        <v>3</v>
      </c>
      <c r="AD6875">
        <v>41.761479</v>
      </c>
      <c r="AE6875">
        <v>-88.04626399999999</v>
      </c>
      <c r="AF6875" s="5" t="str">
        <f>HYPERLINK("https://www.google.com/maps/search/?api=1&amp;query=41.761479,-88.046264","map")</f>
        <v>map</v>
      </c>
    </row>
    <row r="6876" spans="1:32">
      <c r="A6876" t="s">
        <v>6926</v>
      </c>
      <c r="B6876" t="s">
        <v>14378</v>
      </c>
      <c r="C6876" t="s">
        <v>15323</v>
      </c>
      <c r="D6876" t="s">
        <v>16215</v>
      </c>
      <c r="E6876" t="s">
        <v>16218</v>
      </c>
      <c r="F6876" t="s">
        <v>16220</v>
      </c>
      <c r="G6876" t="s">
        <v>16299</v>
      </c>
      <c r="H6876" t="s">
        <v>16299</v>
      </c>
      <c r="I6876" t="s">
        <v>16382</v>
      </c>
      <c r="J6876" t="s">
        <v>16385</v>
      </c>
      <c r="K6876">
        <v>0.234</v>
      </c>
      <c r="L6876">
        <v>10203</v>
      </c>
      <c r="M6876">
        <v>1678</v>
      </c>
      <c r="N6876" t="s">
        <v>16393</v>
      </c>
      <c r="O6876" s="4">
        <v>54797</v>
      </c>
      <c r="P6876" s="4">
        <v>82706</v>
      </c>
      <c r="Q6876" s="4">
        <v>137503</v>
      </c>
      <c r="R6876" s="4">
        <v>412509</v>
      </c>
      <c r="S6876" t="s">
        <v>23028</v>
      </c>
      <c r="T6876" s="6">
        <v>31444</v>
      </c>
      <c r="U6876" s="4">
        <v>98000</v>
      </c>
      <c r="X6876" t="s">
        <v>3</v>
      </c>
      <c r="AA6876" s="5" t="str">
        <f>HYPERLINK("https://www.zillow.com/homes/4-QUAIL-CT-WOODRIDGE-IL-60517_rb/","check listing")</f>
        <v>check listing</v>
      </c>
      <c r="AB6876" s="5" t="str">
        <f>HYPERLINK("https://propertylookup.dupagecounty.gov/Datalets/Datalet.aspx?UseSearch=no&amp;mode=sales&amp;pin=0824402004","sales record")</f>
        <v>sales record</v>
      </c>
      <c r="AC6876" t="s">
        <v>3</v>
      </c>
      <c r="AD6876">
        <v>41.764088</v>
      </c>
      <c r="AE6876">
        <v>-88.04126100000001</v>
      </c>
      <c r="AF6876" s="5" t="str">
        <f>HYPERLINK("https://www.google.com/maps/search/?api=1&amp;query=41.764088,-88.041261","map")</f>
        <v>map</v>
      </c>
    </row>
    <row r="6877" spans="1:32">
      <c r="A6877" t="s">
        <v>6927</v>
      </c>
      <c r="B6877" t="s">
        <v>14379</v>
      </c>
      <c r="C6877" t="s">
        <v>15323</v>
      </c>
      <c r="D6877" t="s">
        <v>16215</v>
      </c>
      <c r="E6877" t="s">
        <v>16218</v>
      </c>
      <c r="F6877" t="s">
        <v>16220</v>
      </c>
      <c r="G6877" t="s">
        <v>16299</v>
      </c>
      <c r="H6877" t="s">
        <v>16299</v>
      </c>
      <c r="I6877" t="s">
        <v>16382</v>
      </c>
      <c r="J6877" t="s">
        <v>16385</v>
      </c>
      <c r="K6877">
        <v>0.234</v>
      </c>
      <c r="L6877">
        <v>10199</v>
      </c>
      <c r="M6877">
        <v>1447</v>
      </c>
      <c r="N6877" t="s">
        <v>16393</v>
      </c>
      <c r="O6877" s="4">
        <v>54797</v>
      </c>
      <c r="P6877" s="4">
        <v>69400</v>
      </c>
      <c r="Q6877" s="4">
        <v>124197</v>
      </c>
      <c r="R6877" s="4">
        <v>372591</v>
      </c>
      <c r="S6877" t="s">
        <v>23029</v>
      </c>
      <c r="T6877" s="6">
        <v>37257</v>
      </c>
      <c r="U6877" s="4">
        <v>186500</v>
      </c>
      <c r="V6877" t="s">
        <v>23739</v>
      </c>
      <c r="W6877" t="s">
        <v>27511</v>
      </c>
      <c r="X6877" t="s">
        <v>3</v>
      </c>
      <c r="AA6877" s="5" t="str">
        <f>HYPERLINK("https://www.zillow.com/homes/2055-VANTAGE-ST-WOODRIDGE-IL-60517_rb/","check listing")</f>
        <v>check listing</v>
      </c>
      <c r="AB6877" s="5" t="str">
        <f>HYPERLINK("https://propertylookup.dupagecounty.gov/Datalets/Datalet.aspx?UseSearch=no&amp;mode=sales&amp;pin=0824414043","sales record")</f>
        <v>sales record</v>
      </c>
      <c r="AC6877" t="s">
        <v>3</v>
      </c>
      <c r="AD6877">
        <v>41.760735</v>
      </c>
      <c r="AE6877">
        <v>-88.033985</v>
      </c>
      <c r="AF6877" s="5" t="str">
        <f>HYPERLINK("https://www.google.com/maps/search/?api=1&amp;query=41.760735,-88.033985","map")</f>
        <v>map</v>
      </c>
    </row>
    <row r="6878" spans="1:32">
      <c r="A6878" t="s">
        <v>6928</v>
      </c>
      <c r="B6878" t="s">
        <v>14380</v>
      </c>
      <c r="C6878" t="s">
        <v>15323</v>
      </c>
      <c r="D6878" t="s">
        <v>16215</v>
      </c>
      <c r="E6878" t="s">
        <v>16218</v>
      </c>
      <c r="F6878" t="s">
        <v>16220</v>
      </c>
      <c r="G6878" t="s">
        <v>16299</v>
      </c>
      <c r="H6878" t="s">
        <v>16299</v>
      </c>
      <c r="I6878" t="s">
        <v>16382</v>
      </c>
      <c r="J6878" t="s">
        <v>16385</v>
      </c>
      <c r="K6878">
        <v>0.233</v>
      </c>
      <c r="L6878">
        <v>10163</v>
      </c>
      <c r="M6878">
        <v>1597</v>
      </c>
      <c r="N6878" t="s">
        <v>16393</v>
      </c>
      <c r="O6878" s="4">
        <v>52739</v>
      </c>
      <c r="P6878" s="4">
        <v>66569</v>
      </c>
      <c r="Q6878" s="4">
        <v>119308</v>
      </c>
      <c r="R6878" s="4">
        <v>357924</v>
      </c>
      <c r="S6878" t="s">
        <v>23030</v>
      </c>
      <c r="T6878" s="6">
        <v>31717</v>
      </c>
      <c r="U6878" s="4">
        <v>103000</v>
      </c>
      <c r="X6878" t="s">
        <v>3</v>
      </c>
      <c r="AA6878" s="5" t="str">
        <f>HYPERLINK("https://www.zillow.com/homes/2636-LUZERN-CT-WOODRIDGE-IL-60517_rb/","check listing")</f>
        <v>check listing</v>
      </c>
      <c r="AB6878" s="5" t="str">
        <f>HYPERLINK("https://propertylookup.dupagecounty.gov/Datalets/Datalet.aspx?UseSearch=no&amp;mode=sales&amp;pin=0836103021","sales record")</f>
        <v>sales record</v>
      </c>
      <c r="AC6878" t="s">
        <v>3</v>
      </c>
      <c r="AD6878">
        <v>41.736678</v>
      </c>
      <c r="AE6878">
        <v>-88.04555000000001</v>
      </c>
      <c r="AF6878" s="5" t="str">
        <f>HYPERLINK("https://www.google.com/maps/search/?api=1&amp;query=41.736678,-88.04555","map")</f>
        <v>map</v>
      </c>
    </row>
    <row r="6879" spans="1:32">
      <c r="A6879" t="s">
        <v>6929</v>
      </c>
      <c r="B6879" t="s">
        <v>14381</v>
      </c>
      <c r="C6879" t="s">
        <v>16123</v>
      </c>
      <c r="D6879" t="s">
        <v>16215</v>
      </c>
      <c r="E6879" t="s">
        <v>16218</v>
      </c>
      <c r="F6879" t="s">
        <v>16220</v>
      </c>
      <c r="G6879" t="s">
        <v>16299</v>
      </c>
      <c r="H6879" t="s">
        <v>16299</v>
      </c>
      <c r="I6879" t="s">
        <v>16382</v>
      </c>
      <c r="J6879" t="s">
        <v>16385</v>
      </c>
      <c r="K6879">
        <v>0.233</v>
      </c>
      <c r="L6879">
        <v>10149</v>
      </c>
      <c r="M6879">
        <v>1873</v>
      </c>
      <c r="N6879" t="s">
        <v>16393</v>
      </c>
      <c r="O6879" s="4">
        <v>54797</v>
      </c>
      <c r="P6879" s="4">
        <v>81006</v>
      </c>
      <c r="Q6879" s="4">
        <v>135803</v>
      </c>
      <c r="R6879" s="4">
        <v>407409</v>
      </c>
      <c r="S6879" t="s">
        <v>23031</v>
      </c>
      <c r="T6879" s="6">
        <v>43647</v>
      </c>
      <c r="U6879" s="4">
        <v>252500</v>
      </c>
      <c r="V6879" t="s">
        <v>16232</v>
      </c>
      <c r="W6879" t="s">
        <v>27512</v>
      </c>
      <c r="X6879" t="s">
        <v>3</v>
      </c>
      <c r="AA6879" s="5" t="str">
        <f>HYPERLINK("https://www.zillow.com/homes/2-CHERRY-TREE-CT-WOODRIDGE-IL-605171731_rb/","check listing")</f>
        <v>check listing</v>
      </c>
      <c r="AB6879" s="5" t="str">
        <f>HYPERLINK("https://propertylookup.dupagecounty.gov/Datalets/Datalet.aspx?UseSearch=no&amp;mode=sales&amp;pin=0824316014","sales record")</f>
        <v>sales record</v>
      </c>
      <c r="AC6879" t="s">
        <v>3</v>
      </c>
      <c r="AD6879">
        <v>41.763523</v>
      </c>
      <c r="AE6879">
        <v>-88.04591600000001</v>
      </c>
      <c r="AF6879" s="5" t="str">
        <f>HYPERLINK("https://www.google.com/maps/search/?api=1&amp;query=41.763523,-88.045916","map")</f>
        <v>map</v>
      </c>
    </row>
    <row r="6880" spans="1:32">
      <c r="A6880" t="s">
        <v>6930</v>
      </c>
      <c r="B6880" t="s">
        <v>14382</v>
      </c>
      <c r="C6880" t="s">
        <v>15323</v>
      </c>
      <c r="D6880" t="s">
        <v>16215</v>
      </c>
      <c r="E6880" t="s">
        <v>16218</v>
      </c>
      <c r="F6880" t="s">
        <v>16220</v>
      </c>
      <c r="G6880" t="s">
        <v>16299</v>
      </c>
      <c r="H6880" t="s">
        <v>16299</v>
      </c>
      <c r="I6880" t="s">
        <v>16382</v>
      </c>
      <c r="J6880" t="s">
        <v>16385</v>
      </c>
      <c r="K6880">
        <v>0.23</v>
      </c>
      <c r="L6880">
        <v>10040</v>
      </c>
      <c r="M6880">
        <v>2440</v>
      </c>
      <c r="N6880" t="s">
        <v>16393</v>
      </c>
      <c r="O6880" s="4">
        <v>47507</v>
      </c>
      <c r="P6880" s="4">
        <v>67675</v>
      </c>
      <c r="Q6880" s="4">
        <v>115182</v>
      </c>
      <c r="R6880" s="4">
        <v>345546</v>
      </c>
      <c r="S6880" t="s">
        <v>23032</v>
      </c>
      <c r="X6880" t="s">
        <v>3</v>
      </c>
      <c r="AA6880" s="5" t="str">
        <f>HYPERLINK("https://www.zillow.com/homes/2649-LUZERN-CT-WOODRIDGE-IL-60517_rb/","check listing")</f>
        <v>check listing</v>
      </c>
      <c r="AB6880" s="5" t="str">
        <f>HYPERLINK("https://propertylookup.dupagecounty.gov/Datalets/Datalet.aspx?UseSearch=no&amp;mode=sales&amp;pin=0836103024","sales record")</f>
        <v>sales record</v>
      </c>
      <c r="AC6880" t="s">
        <v>3</v>
      </c>
      <c r="AD6880">
        <v>41.736146</v>
      </c>
      <c r="AE6880">
        <v>-88.04639899999999</v>
      </c>
      <c r="AF6880" s="5" t="str">
        <f>HYPERLINK("https://www.google.com/maps/search/?api=1&amp;query=41.736146,-88.046399","map")</f>
        <v>map</v>
      </c>
    </row>
    <row r="6881" spans="1:32">
      <c r="A6881" t="s">
        <v>6931</v>
      </c>
      <c r="B6881" t="s">
        <v>14383</v>
      </c>
      <c r="C6881" t="s">
        <v>15323</v>
      </c>
      <c r="D6881" t="s">
        <v>16215</v>
      </c>
      <c r="E6881" t="s">
        <v>16218</v>
      </c>
      <c r="F6881" t="s">
        <v>16220</v>
      </c>
      <c r="G6881" t="s">
        <v>16299</v>
      </c>
      <c r="H6881" t="s">
        <v>16299</v>
      </c>
      <c r="I6881" t="s">
        <v>16382</v>
      </c>
      <c r="J6881" t="s">
        <v>16385</v>
      </c>
      <c r="K6881">
        <v>0.23</v>
      </c>
      <c r="L6881">
        <v>10028</v>
      </c>
      <c r="M6881">
        <v>2088</v>
      </c>
      <c r="N6881" t="s">
        <v>16393</v>
      </c>
      <c r="O6881" s="4">
        <v>52739</v>
      </c>
      <c r="P6881" s="4">
        <v>72705</v>
      </c>
      <c r="Q6881" s="4">
        <v>125444</v>
      </c>
      <c r="R6881" s="4">
        <v>376332</v>
      </c>
      <c r="S6881" t="s">
        <v>23033</v>
      </c>
      <c r="T6881" s="6">
        <v>39417</v>
      </c>
      <c r="U6881" s="4">
        <v>300000</v>
      </c>
      <c r="V6881" t="s">
        <v>23739</v>
      </c>
      <c r="W6881" t="s">
        <v>27513</v>
      </c>
      <c r="X6881" t="s">
        <v>3</v>
      </c>
      <c r="AA6881" s="5" t="str">
        <f>HYPERLINK("https://www.zillow.com/homes/2608-ZURICH-CT-WOODRIDGE-IL-60517_rb/","check listing")</f>
        <v>check listing</v>
      </c>
      <c r="AB6881" s="5" t="str">
        <f>HYPERLINK("https://propertylookup.dupagecounty.gov/Datalets/Datalet.aspx?UseSearch=no&amp;mode=sales&amp;pin=0836102013","sales record")</f>
        <v>sales record</v>
      </c>
      <c r="AC6881" t="s">
        <v>3</v>
      </c>
      <c r="AD6881">
        <v>41.737555</v>
      </c>
      <c r="AE6881">
        <v>-88.044414</v>
      </c>
      <c r="AF6881" s="5" t="str">
        <f>HYPERLINK("https://www.google.com/maps/search/?api=1&amp;query=41.737555,-88.044414","map")</f>
        <v>map</v>
      </c>
    </row>
    <row r="6882" spans="1:32">
      <c r="A6882" t="s">
        <v>6932</v>
      </c>
      <c r="B6882" t="s">
        <v>14384</v>
      </c>
      <c r="C6882" t="s">
        <v>15323</v>
      </c>
      <c r="D6882" t="s">
        <v>16215</v>
      </c>
      <c r="E6882" t="s">
        <v>16218</v>
      </c>
      <c r="F6882" t="s">
        <v>16220</v>
      </c>
      <c r="G6882" t="s">
        <v>16299</v>
      </c>
      <c r="H6882" t="s">
        <v>16299</v>
      </c>
      <c r="I6882" t="s">
        <v>16382</v>
      </c>
      <c r="J6882" t="s">
        <v>16385</v>
      </c>
      <c r="K6882">
        <v>0.23</v>
      </c>
      <c r="L6882">
        <v>10001</v>
      </c>
      <c r="M6882">
        <v>2153</v>
      </c>
      <c r="N6882" t="s">
        <v>16393</v>
      </c>
      <c r="O6882" s="4">
        <v>51265</v>
      </c>
      <c r="P6882" s="4">
        <v>129666</v>
      </c>
      <c r="Q6882" s="4">
        <v>180931</v>
      </c>
      <c r="R6882" s="4">
        <v>542793</v>
      </c>
      <c r="S6882" t="s">
        <v>23034</v>
      </c>
      <c r="T6882" s="6">
        <v>42278</v>
      </c>
      <c r="U6882" s="4">
        <v>341000</v>
      </c>
      <c r="V6882" t="s">
        <v>23739</v>
      </c>
      <c r="W6882" t="s">
        <v>27514</v>
      </c>
      <c r="X6882" t="s">
        <v>3</v>
      </c>
      <c r="AA6882" s="5" t="str">
        <f>HYPERLINK("https://www.zillow.com/homes/6781-GREENLEAF-ST-WOODRIDGE-IL-60517_rb/","check listing")</f>
        <v>check listing</v>
      </c>
      <c r="AB6882" s="5" t="str">
        <f>HYPERLINK("https://propertylookup.dupagecounty.gov/Datalets/Datalet.aspx?UseSearch=no&amp;mode=sales&amp;pin=0824413019","sales record")</f>
        <v>sales record</v>
      </c>
      <c r="AC6882" t="s">
        <v>3</v>
      </c>
      <c r="AD6882">
        <v>41.763313</v>
      </c>
      <c r="AE6882">
        <v>-88.03420699999999</v>
      </c>
      <c r="AF6882" s="5" t="str">
        <f>HYPERLINK("https://www.google.com/maps/search/?api=1&amp;query=41.763313,-88.034207","map")</f>
        <v>map</v>
      </c>
    </row>
    <row r="6883" spans="1:32">
      <c r="A6883" t="s">
        <v>6933</v>
      </c>
      <c r="B6883" t="s">
        <v>14385</v>
      </c>
      <c r="C6883" t="s">
        <v>16124</v>
      </c>
      <c r="D6883" t="s">
        <v>16215</v>
      </c>
      <c r="E6883" t="s">
        <v>16218</v>
      </c>
      <c r="F6883" t="s">
        <v>16220</v>
      </c>
      <c r="G6883" t="s">
        <v>16299</v>
      </c>
      <c r="H6883" t="s">
        <v>16299</v>
      </c>
      <c r="I6883" t="s">
        <v>16382</v>
      </c>
      <c r="J6883" t="s">
        <v>16385</v>
      </c>
      <c r="K6883">
        <v>0.229</v>
      </c>
      <c r="L6883">
        <v>9974</v>
      </c>
      <c r="M6883">
        <v>1572</v>
      </c>
      <c r="N6883" t="s">
        <v>16393</v>
      </c>
      <c r="O6883" s="4">
        <v>46080</v>
      </c>
      <c r="P6883" s="4">
        <v>102625</v>
      </c>
      <c r="Q6883" s="4">
        <v>148705</v>
      </c>
      <c r="R6883" s="4">
        <v>446115</v>
      </c>
      <c r="S6883" t="s">
        <v>23035</v>
      </c>
      <c r="T6883" s="6">
        <v>45090</v>
      </c>
      <c r="U6883" s="4">
        <v>453500</v>
      </c>
      <c r="V6883" t="s">
        <v>23739</v>
      </c>
      <c r="W6883" t="s">
        <v>27515</v>
      </c>
      <c r="X6883" t="s">
        <v>3</v>
      </c>
      <c r="AA6883" s="5" t="str">
        <f>HYPERLINK("https://www.zillow.com/homes/6720-GREENLEAF-ST-WOODRIDGE-IL-605171830_rb/","check listing")</f>
        <v>check listing</v>
      </c>
      <c r="AB6883" s="5" t="str">
        <f>HYPERLINK("https://propertylookup.dupagecounty.gov/Datalets/Datalet.aspx?UseSearch=no&amp;mode=sales&amp;pin=0824411005","sales record")</f>
        <v>sales record</v>
      </c>
      <c r="AC6883" t="s">
        <v>3</v>
      </c>
      <c r="AD6883">
        <v>41.764074</v>
      </c>
      <c r="AE6883">
        <v>-88.03692100000001</v>
      </c>
      <c r="AF6883" s="5" t="str">
        <f>HYPERLINK("https://www.google.com/maps/search/?api=1&amp;query=41.764074,-88.036921","map")</f>
        <v>map</v>
      </c>
    </row>
    <row r="6884" spans="1:32">
      <c r="A6884" t="s">
        <v>6934</v>
      </c>
      <c r="B6884" t="s">
        <v>14386</v>
      </c>
      <c r="C6884" t="s">
        <v>15323</v>
      </c>
      <c r="D6884" t="s">
        <v>16215</v>
      </c>
      <c r="E6884" t="s">
        <v>16218</v>
      </c>
      <c r="F6884" t="s">
        <v>16220</v>
      </c>
      <c r="G6884" t="s">
        <v>16299</v>
      </c>
      <c r="H6884" t="s">
        <v>16299</v>
      </c>
      <c r="I6884" t="s">
        <v>16382</v>
      </c>
      <c r="J6884" t="s">
        <v>16385</v>
      </c>
      <c r="K6884">
        <v>0.228</v>
      </c>
      <c r="L6884">
        <v>9950</v>
      </c>
      <c r="M6884">
        <v>2310</v>
      </c>
      <c r="N6884" t="s">
        <v>16393</v>
      </c>
      <c r="O6884" s="4">
        <v>51265</v>
      </c>
      <c r="P6884" s="4">
        <v>120188</v>
      </c>
      <c r="Q6884" s="4">
        <v>171453</v>
      </c>
      <c r="R6884" s="4">
        <v>514359</v>
      </c>
      <c r="S6884" t="s">
        <v>23036</v>
      </c>
      <c r="T6884" s="6">
        <v>29495</v>
      </c>
      <c r="U6884" s="4">
        <v>125000</v>
      </c>
      <c r="X6884" t="s">
        <v>3</v>
      </c>
      <c r="AA6884" s="5" t="str">
        <f>HYPERLINK("https://www.zillow.com/homes/6768-GREENLEAF-ST-WOODRIDGE-IL-60517_rb/","check listing")</f>
        <v>check listing</v>
      </c>
      <c r="AB6884" s="5" t="str">
        <f>HYPERLINK("https://propertylookup.dupagecounty.gov/Datalets/Datalet.aspx?UseSearch=no&amp;mode=sales&amp;pin=0824414002","sales record")</f>
        <v>sales record</v>
      </c>
      <c r="AC6884" t="s">
        <v>3</v>
      </c>
      <c r="AD6884">
        <v>41.762769</v>
      </c>
      <c r="AE6884">
        <v>-88.035008</v>
      </c>
      <c r="AF6884" s="5" t="str">
        <f>HYPERLINK("https://www.google.com/maps/search/?api=1&amp;query=41.762769,-88.035008","map")</f>
        <v>map</v>
      </c>
    </row>
    <row r="6885" spans="1:32">
      <c r="A6885" t="s">
        <v>6935</v>
      </c>
      <c r="B6885" t="s">
        <v>14387</v>
      </c>
      <c r="C6885" t="s">
        <v>15323</v>
      </c>
      <c r="D6885" t="s">
        <v>16215</v>
      </c>
      <c r="E6885" t="s">
        <v>16218</v>
      </c>
      <c r="F6885" t="s">
        <v>16220</v>
      </c>
      <c r="G6885" t="s">
        <v>16299</v>
      </c>
      <c r="H6885" t="s">
        <v>16299</v>
      </c>
      <c r="I6885" t="s">
        <v>16382</v>
      </c>
      <c r="J6885" t="s">
        <v>16385</v>
      </c>
      <c r="K6885">
        <v>0.228</v>
      </c>
      <c r="L6885">
        <v>9937</v>
      </c>
      <c r="M6885">
        <v>1755</v>
      </c>
      <c r="N6885" t="s">
        <v>16393</v>
      </c>
      <c r="O6885" s="4">
        <v>54797</v>
      </c>
      <c r="P6885" s="4">
        <v>74240</v>
      </c>
      <c r="Q6885" s="4">
        <v>129037</v>
      </c>
      <c r="R6885" s="4">
        <v>387111</v>
      </c>
      <c r="S6885" t="s">
        <v>23037</v>
      </c>
      <c r="T6885" s="6">
        <v>40940</v>
      </c>
      <c r="U6885" s="4">
        <v>232500</v>
      </c>
      <c r="V6885" t="s">
        <v>23739</v>
      </c>
      <c r="W6885" t="s">
        <v>27516</v>
      </c>
      <c r="X6885" t="s">
        <v>3</v>
      </c>
      <c r="AA6885" s="5" t="str">
        <f>HYPERLINK("https://www.zillow.com/homes/6733-CHERRY-TREE-AVE-WOODRIDGE-IL-60517_rb/","check listing")</f>
        <v>check listing</v>
      </c>
      <c r="AB6885" s="5" t="str">
        <f>HYPERLINK("https://propertylookup.dupagecounty.gov/Datalets/Datalet.aspx?UseSearch=no&amp;mode=sales&amp;pin=0824316017","sales record")</f>
        <v>sales record</v>
      </c>
      <c r="AC6885" t="s">
        <v>3</v>
      </c>
      <c r="AD6885">
        <v>41.763298</v>
      </c>
      <c r="AE6885">
        <v>-88.046171</v>
      </c>
      <c r="AF6885" s="5" t="str">
        <f>HYPERLINK("https://www.google.com/maps/search/?api=1&amp;query=41.763298,-88.046171","map")</f>
        <v>map</v>
      </c>
    </row>
    <row r="6886" spans="1:32">
      <c r="A6886" t="s">
        <v>6936</v>
      </c>
      <c r="B6886" t="s">
        <v>14388</v>
      </c>
      <c r="C6886" t="s">
        <v>15323</v>
      </c>
      <c r="D6886" t="s">
        <v>16215</v>
      </c>
      <c r="E6886" t="s">
        <v>16218</v>
      </c>
      <c r="F6886" t="s">
        <v>16220</v>
      </c>
      <c r="G6886" t="s">
        <v>16299</v>
      </c>
      <c r="H6886" t="s">
        <v>16299</v>
      </c>
      <c r="I6886" t="s">
        <v>16382</v>
      </c>
      <c r="J6886" t="s">
        <v>16385</v>
      </c>
      <c r="K6886">
        <v>0.228</v>
      </c>
      <c r="L6886">
        <v>9934</v>
      </c>
      <c r="M6886">
        <v>1558</v>
      </c>
      <c r="N6886" t="s">
        <v>16393</v>
      </c>
      <c r="O6886" s="4">
        <v>54797</v>
      </c>
      <c r="P6886" s="4">
        <v>80530</v>
      </c>
      <c r="Q6886" s="4">
        <v>135327</v>
      </c>
      <c r="R6886" s="4">
        <v>405981</v>
      </c>
      <c r="S6886" t="s">
        <v>23038</v>
      </c>
      <c r="T6886" s="6">
        <v>36039</v>
      </c>
      <c r="U6886" s="4">
        <v>164500</v>
      </c>
      <c r="X6886" t="s">
        <v>3</v>
      </c>
      <c r="AA6886" s="5" t="str">
        <f>HYPERLINK("https://www.zillow.com/homes/6672-WHEATFIELD-ST-WOODRIDGE-IL-60517_rb/","check listing")</f>
        <v>check listing</v>
      </c>
      <c r="AB6886" s="5" t="str">
        <f>HYPERLINK("https://propertylookup.dupagecounty.gov/Datalets/Datalet.aspx?UseSearch=no&amp;mode=sales&amp;pin=0824110012","sales record")</f>
        <v>sales record</v>
      </c>
      <c r="AC6886" t="s">
        <v>3</v>
      </c>
      <c r="AD6886">
        <v>41.765846</v>
      </c>
      <c r="AE6886">
        <v>-88.04367499999999</v>
      </c>
      <c r="AF6886" s="5" t="str">
        <f>HYPERLINK("https://www.google.com/maps/search/?api=1&amp;query=41.765846,-88.043675","map")</f>
        <v>map</v>
      </c>
    </row>
    <row r="6887" spans="1:32">
      <c r="A6887" t="s">
        <v>6937</v>
      </c>
      <c r="B6887" t="s">
        <v>14389</v>
      </c>
      <c r="C6887" t="s">
        <v>15323</v>
      </c>
      <c r="D6887" t="s">
        <v>16215</v>
      </c>
      <c r="E6887" t="s">
        <v>16218</v>
      </c>
      <c r="F6887" t="s">
        <v>16220</v>
      </c>
      <c r="G6887" t="s">
        <v>16299</v>
      </c>
      <c r="H6887" t="s">
        <v>16299</v>
      </c>
      <c r="I6887" t="s">
        <v>16382</v>
      </c>
      <c r="J6887" t="s">
        <v>16385</v>
      </c>
      <c r="K6887">
        <v>0.228</v>
      </c>
      <c r="L6887">
        <v>9931</v>
      </c>
      <c r="M6887">
        <v>1495</v>
      </c>
      <c r="N6887" t="s">
        <v>16393</v>
      </c>
      <c r="O6887" s="4">
        <v>49124</v>
      </c>
      <c r="P6887" s="4">
        <v>72551</v>
      </c>
      <c r="Q6887" s="4">
        <v>121675</v>
      </c>
      <c r="R6887" s="4">
        <v>365025</v>
      </c>
      <c r="S6887" t="s">
        <v>23039</v>
      </c>
      <c r="T6887" s="6">
        <v>34060</v>
      </c>
      <c r="U6887" s="4">
        <v>142000</v>
      </c>
      <c r="X6887" t="s">
        <v>3</v>
      </c>
      <c r="AA6887" s="5" t="str">
        <f>HYPERLINK("https://www.zillow.com/homes/6812-PRAIRIEVIEW-AVE-WOODRIDGE-IL-60517_rb/","check listing")</f>
        <v>check listing</v>
      </c>
      <c r="AB6887" s="5" t="str">
        <f>HYPERLINK("https://propertylookup.dupagecounty.gov/Datalets/Datalet.aspx?UseSearch=no&amp;mode=sales&amp;pin=0824411014","sales record")</f>
        <v>sales record</v>
      </c>
      <c r="AC6887" t="s">
        <v>3</v>
      </c>
      <c r="AD6887">
        <v>41.762516</v>
      </c>
      <c r="AE6887">
        <v>-88.035831</v>
      </c>
      <c r="AF6887" s="5" t="str">
        <f>HYPERLINK("https://www.google.com/maps/search/?api=1&amp;query=41.762516,-88.035831","map")</f>
        <v>map</v>
      </c>
    </row>
    <row r="6888" spans="1:32">
      <c r="A6888" t="s">
        <v>6938</v>
      </c>
      <c r="B6888" t="s">
        <v>14390</v>
      </c>
      <c r="C6888" t="s">
        <v>15323</v>
      </c>
      <c r="D6888" t="s">
        <v>16215</v>
      </c>
      <c r="E6888" t="s">
        <v>16218</v>
      </c>
      <c r="F6888" t="s">
        <v>16220</v>
      </c>
      <c r="G6888" t="s">
        <v>16299</v>
      </c>
      <c r="H6888" t="s">
        <v>16299</v>
      </c>
      <c r="I6888" t="s">
        <v>16382</v>
      </c>
      <c r="J6888" t="s">
        <v>16385</v>
      </c>
      <c r="K6888">
        <v>0.228</v>
      </c>
      <c r="L6888">
        <v>9923</v>
      </c>
      <c r="M6888">
        <v>1756</v>
      </c>
      <c r="N6888" t="s">
        <v>16393</v>
      </c>
      <c r="O6888" s="4">
        <v>54797</v>
      </c>
      <c r="P6888" s="4">
        <v>73228</v>
      </c>
      <c r="Q6888" s="4">
        <v>128025</v>
      </c>
      <c r="R6888" s="4">
        <v>384075</v>
      </c>
      <c r="S6888" t="s">
        <v>23040</v>
      </c>
      <c r="T6888" s="6">
        <v>37135</v>
      </c>
      <c r="U6888" s="4">
        <v>200000</v>
      </c>
      <c r="V6888" t="s">
        <v>23739</v>
      </c>
      <c r="W6888" t="s">
        <v>27517</v>
      </c>
      <c r="X6888" t="s">
        <v>3</v>
      </c>
      <c r="AA6888" s="5" t="str">
        <f>HYPERLINK("https://www.zillow.com/homes/6807-PRAIRIEVIEW-AVE-WOODRIDGE-IL-60517_rb/","check listing")</f>
        <v>check listing</v>
      </c>
      <c r="AB6888" s="5" t="str">
        <f>HYPERLINK("https://propertylookup.dupagecounty.gov/Datalets/Datalet.aspx?UseSearch=no&amp;mode=sales&amp;pin=0824414011","sales record")</f>
        <v>sales record</v>
      </c>
      <c r="AC6888" t="s">
        <v>3</v>
      </c>
      <c r="AD6888">
        <v>41.762514</v>
      </c>
      <c r="AE6888">
        <v>-88.035112</v>
      </c>
      <c r="AF6888" s="5" t="str">
        <f>HYPERLINK("https://www.google.com/maps/search/?api=1&amp;query=41.762514,-88.035112","map")</f>
        <v>map</v>
      </c>
    </row>
    <row r="6889" spans="1:32">
      <c r="A6889" t="s">
        <v>6939</v>
      </c>
      <c r="B6889" t="s">
        <v>14391</v>
      </c>
      <c r="C6889" t="s">
        <v>15323</v>
      </c>
      <c r="D6889" t="s">
        <v>16215</v>
      </c>
      <c r="E6889" t="s">
        <v>16218</v>
      </c>
      <c r="F6889" t="s">
        <v>16220</v>
      </c>
      <c r="G6889" t="s">
        <v>16299</v>
      </c>
      <c r="H6889" t="s">
        <v>16299</v>
      </c>
      <c r="I6889" t="s">
        <v>16382</v>
      </c>
      <c r="J6889" t="s">
        <v>16385</v>
      </c>
      <c r="K6889">
        <v>0.228</v>
      </c>
      <c r="L6889">
        <v>9915</v>
      </c>
      <c r="M6889">
        <v>2103</v>
      </c>
      <c r="N6889" t="s">
        <v>16393</v>
      </c>
      <c r="O6889" s="4">
        <v>49766</v>
      </c>
      <c r="P6889" s="4">
        <v>76510</v>
      </c>
      <c r="Q6889" s="4">
        <v>126276</v>
      </c>
      <c r="R6889" s="4">
        <v>378828</v>
      </c>
      <c r="S6889" t="s">
        <v>23041</v>
      </c>
      <c r="T6889" s="6">
        <v>38169</v>
      </c>
      <c r="U6889" s="4">
        <v>240000</v>
      </c>
      <c r="V6889" t="s">
        <v>23739</v>
      </c>
      <c r="W6889" t="s">
        <v>23041</v>
      </c>
      <c r="X6889" t="s">
        <v>3</v>
      </c>
      <c r="AA6889" s="5" t="str">
        <f>HYPERLINK("https://www.zillow.com/homes/2600-BERN-CT-WOODRIDGE-IL-60517_rb/","check listing")</f>
        <v>check listing</v>
      </c>
      <c r="AB6889" s="5" t="str">
        <f>HYPERLINK("https://propertylookup.dupagecounty.gov/Datalets/Datalet.aspx?UseSearch=no&amp;mode=sales&amp;pin=0836103036","sales record")</f>
        <v>sales record</v>
      </c>
      <c r="AC6889" t="s">
        <v>3</v>
      </c>
      <c r="AD6889">
        <v>41.73608</v>
      </c>
      <c r="AE6889">
        <v>-88.04450900000001</v>
      </c>
      <c r="AF6889" s="5" t="str">
        <f>HYPERLINK("https://www.google.com/maps/search/?api=1&amp;query=41.73608,-88.044509","map")</f>
        <v>map</v>
      </c>
    </row>
    <row r="6890" spans="1:32">
      <c r="A6890" t="s">
        <v>6940</v>
      </c>
      <c r="B6890" t="s">
        <v>14392</v>
      </c>
      <c r="C6890" t="s">
        <v>16124</v>
      </c>
      <c r="D6890" t="s">
        <v>16215</v>
      </c>
      <c r="E6890" t="s">
        <v>16218</v>
      </c>
      <c r="F6890" t="s">
        <v>16220</v>
      </c>
      <c r="G6890" t="s">
        <v>16299</v>
      </c>
      <c r="H6890" t="s">
        <v>16299</v>
      </c>
      <c r="I6890" t="s">
        <v>16382</v>
      </c>
      <c r="J6890" t="s">
        <v>16385</v>
      </c>
      <c r="K6890">
        <v>0.227</v>
      </c>
      <c r="L6890">
        <v>9890</v>
      </c>
      <c r="M6890">
        <v>1610</v>
      </c>
      <c r="N6890" t="s">
        <v>16393</v>
      </c>
      <c r="O6890" s="4">
        <v>46080</v>
      </c>
      <c r="P6890" s="4">
        <v>74228</v>
      </c>
      <c r="Q6890" s="4">
        <v>120308</v>
      </c>
      <c r="R6890" s="4">
        <v>360924</v>
      </c>
      <c r="S6890" t="s">
        <v>23042</v>
      </c>
      <c r="T6890" s="6">
        <v>43525</v>
      </c>
      <c r="U6890" s="4">
        <v>337500</v>
      </c>
      <c r="V6890" t="s">
        <v>23739</v>
      </c>
      <c r="W6890" t="s">
        <v>27518</v>
      </c>
      <c r="X6890" t="s">
        <v>3</v>
      </c>
      <c r="AA6890" s="5" t="str">
        <f>HYPERLINK("https://www.zillow.com/homes/6738-GREENLEAF-ST-WOODRIDGE-IL-605171830_rb/","check listing")</f>
        <v>check listing</v>
      </c>
      <c r="AB6890" s="5" t="str">
        <f>HYPERLINK("https://propertylookup.dupagecounty.gov/Datalets/Datalet.aspx?UseSearch=no&amp;mode=sales&amp;pin=0824411008","sales record")</f>
        <v>sales record</v>
      </c>
      <c r="AC6890" t="s">
        <v>3</v>
      </c>
      <c r="AD6890">
        <v>41.763472</v>
      </c>
      <c r="AE6890">
        <v>-88.036603</v>
      </c>
      <c r="AF6890" s="5" t="str">
        <f>HYPERLINK("https://www.google.com/maps/search/?api=1&amp;query=41.763472,-88.036603","map")</f>
        <v>map</v>
      </c>
    </row>
    <row r="6891" spans="1:32">
      <c r="A6891" t="s">
        <v>6941</v>
      </c>
      <c r="B6891" t="s">
        <v>14393</v>
      </c>
      <c r="C6891" t="s">
        <v>15323</v>
      </c>
      <c r="D6891" t="s">
        <v>16215</v>
      </c>
      <c r="E6891" t="s">
        <v>16218</v>
      </c>
      <c r="F6891" t="s">
        <v>16220</v>
      </c>
      <c r="G6891" t="s">
        <v>16299</v>
      </c>
      <c r="H6891" t="s">
        <v>16299</v>
      </c>
      <c r="I6891" t="s">
        <v>16382</v>
      </c>
      <c r="J6891" t="s">
        <v>16385</v>
      </c>
      <c r="K6891">
        <v>0.227</v>
      </c>
      <c r="L6891">
        <v>9886</v>
      </c>
      <c r="M6891">
        <v>1587</v>
      </c>
      <c r="N6891" t="s">
        <v>16393</v>
      </c>
      <c r="O6891" s="4">
        <v>46080</v>
      </c>
      <c r="P6891" s="4">
        <v>88343</v>
      </c>
      <c r="Q6891" s="4">
        <v>134423</v>
      </c>
      <c r="R6891" s="4">
        <v>403269</v>
      </c>
      <c r="S6891" t="s">
        <v>23043</v>
      </c>
      <c r="T6891" s="6">
        <v>38078</v>
      </c>
      <c r="U6891" s="4">
        <v>257500</v>
      </c>
      <c r="V6891" t="s">
        <v>23739</v>
      </c>
      <c r="W6891" t="s">
        <v>23043</v>
      </c>
      <c r="X6891" t="s">
        <v>3</v>
      </c>
      <c r="AA6891" s="5" t="str">
        <f>HYPERLINK("https://www.zillow.com/homes/6744-GREENLEAF-ST-WOODRIDGE-IL-60517_rb/","check listing")</f>
        <v>check listing</v>
      </c>
      <c r="AB6891" s="5" t="str">
        <f>HYPERLINK("https://propertylookup.dupagecounty.gov/Datalets/Datalet.aspx?UseSearch=no&amp;mode=sales&amp;pin=0824411009","sales record")</f>
        <v>sales record</v>
      </c>
      <c r="AC6891" t="s">
        <v>3</v>
      </c>
      <c r="AD6891">
        <v>41.763388</v>
      </c>
      <c r="AE6891">
        <v>-88.03639200000001</v>
      </c>
      <c r="AF6891" s="5" t="str">
        <f>HYPERLINK("https://www.google.com/maps/search/?api=1&amp;query=41.763388,-88.036392","map")</f>
        <v>map</v>
      </c>
    </row>
    <row r="6892" spans="1:32">
      <c r="A6892" t="s">
        <v>6942</v>
      </c>
      <c r="B6892" t="s">
        <v>14394</v>
      </c>
      <c r="C6892" t="s">
        <v>15323</v>
      </c>
      <c r="D6892" t="s">
        <v>16215</v>
      </c>
      <c r="E6892" t="s">
        <v>16218</v>
      </c>
      <c r="F6892" t="s">
        <v>16220</v>
      </c>
      <c r="G6892" t="s">
        <v>16299</v>
      </c>
      <c r="H6892" t="s">
        <v>16299</v>
      </c>
      <c r="I6892" t="s">
        <v>16382</v>
      </c>
      <c r="J6892" t="s">
        <v>16385</v>
      </c>
      <c r="K6892">
        <v>0.226</v>
      </c>
      <c r="L6892">
        <v>9834</v>
      </c>
      <c r="M6892">
        <v>1593</v>
      </c>
      <c r="N6892" t="s">
        <v>16393</v>
      </c>
      <c r="O6892" s="4">
        <v>54713</v>
      </c>
      <c r="P6892" s="4">
        <v>85573</v>
      </c>
      <c r="Q6892" s="4">
        <v>140286</v>
      </c>
      <c r="R6892" s="4">
        <v>420858</v>
      </c>
      <c r="S6892" t="s">
        <v>23044</v>
      </c>
      <c r="T6892" s="6">
        <v>42736</v>
      </c>
      <c r="U6892" s="4">
        <v>290000</v>
      </c>
      <c r="V6892" t="s">
        <v>23739</v>
      </c>
      <c r="W6892" t="s">
        <v>27519</v>
      </c>
      <c r="X6892" t="s">
        <v>3</v>
      </c>
      <c r="AA6892" s="5" t="str">
        <f>HYPERLINK("https://www.zillow.com/homes/9-YELLOW-STAR-CT-WOODRIDGE-IL-60517_rb/","check listing")</f>
        <v>check listing</v>
      </c>
      <c r="AB6892" s="5" t="str">
        <f>HYPERLINK("https://propertylookup.dupagecounty.gov/Datalets/Datalet.aspx?UseSearch=no&amp;mode=sales&amp;pin=0824306026","sales record")</f>
        <v>sales record</v>
      </c>
      <c r="AC6892" t="s">
        <v>3</v>
      </c>
      <c r="AD6892">
        <v>41.761726</v>
      </c>
      <c r="AE6892">
        <v>-88.047101</v>
      </c>
      <c r="AF6892" s="5" t="str">
        <f>HYPERLINK("https://www.google.com/maps/search/?api=1&amp;query=41.761726,-88.047101","map")</f>
        <v>map</v>
      </c>
    </row>
    <row r="6893" spans="1:32">
      <c r="A6893" t="s">
        <v>6943</v>
      </c>
      <c r="B6893" t="s">
        <v>14395</v>
      </c>
      <c r="C6893" t="s">
        <v>16125</v>
      </c>
      <c r="D6893" t="s">
        <v>16215</v>
      </c>
      <c r="E6893" t="s">
        <v>16218</v>
      </c>
      <c r="F6893" t="s">
        <v>16220</v>
      </c>
      <c r="G6893" t="s">
        <v>16299</v>
      </c>
      <c r="H6893" t="s">
        <v>16299</v>
      </c>
      <c r="I6893" t="s">
        <v>16382</v>
      </c>
      <c r="J6893" t="s">
        <v>16385</v>
      </c>
      <c r="K6893">
        <v>0.225</v>
      </c>
      <c r="L6893">
        <v>9804</v>
      </c>
      <c r="M6893">
        <v>2566</v>
      </c>
      <c r="N6893" t="s">
        <v>16393</v>
      </c>
      <c r="O6893" s="4">
        <v>51265</v>
      </c>
      <c r="P6893" s="4">
        <v>111199</v>
      </c>
      <c r="Q6893" s="4">
        <v>162464</v>
      </c>
      <c r="R6893" s="4">
        <v>487392</v>
      </c>
      <c r="S6893" t="s">
        <v>23045</v>
      </c>
      <c r="T6893" s="6">
        <v>41699</v>
      </c>
      <c r="U6893" s="4">
        <v>210000</v>
      </c>
      <c r="V6893" t="s">
        <v>23739</v>
      </c>
      <c r="W6893" t="s">
        <v>27520</v>
      </c>
      <c r="X6893" t="s">
        <v>3</v>
      </c>
      <c r="AA6893" s="5" t="str">
        <f>HYPERLINK("https://www.zillow.com/homes/6774-GREENLEAF-ST-WOODRIDGE-IL-605171865_rb/","check listing")</f>
        <v>check listing</v>
      </c>
      <c r="AB6893" s="5" t="str">
        <f>HYPERLINK("https://propertylookup.dupagecounty.gov/Datalets/Datalet.aspx?UseSearch=no&amp;mode=sales&amp;pin=0824414003","sales record")</f>
        <v>sales record</v>
      </c>
      <c r="AC6893" t="s">
        <v>3</v>
      </c>
      <c r="AD6893">
        <v>41.762766</v>
      </c>
      <c r="AE6893">
        <v>-88.03468700000001</v>
      </c>
      <c r="AF6893" s="5" t="str">
        <f>HYPERLINK("https://www.google.com/maps/search/?api=1&amp;query=41.762766,-88.034687","map")</f>
        <v>map</v>
      </c>
    </row>
    <row r="6894" spans="1:32">
      <c r="A6894" t="s">
        <v>6944</v>
      </c>
      <c r="B6894" t="s">
        <v>14396</v>
      </c>
      <c r="C6894" t="s">
        <v>15323</v>
      </c>
      <c r="D6894" t="s">
        <v>16215</v>
      </c>
      <c r="E6894" t="s">
        <v>16218</v>
      </c>
      <c r="F6894" t="s">
        <v>16220</v>
      </c>
      <c r="G6894" t="s">
        <v>16299</v>
      </c>
      <c r="H6894" t="s">
        <v>16299</v>
      </c>
      <c r="I6894" t="s">
        <v>16382</v>
      </c>
      <c r="J6894" t="s">
        <v>16385</v>
      </c>
      <c r="K6894">
        <v>0.225</v>
      </c>
      <c r="L6894">
        <v>9794</v>
      </c>
      <c r="M6894">
        <v>2146</v>
      </c>
      <c r="N6894" t="s">
        <v>16393</v>
      </c>
      <c r="O6894" s="4">
        <v>49124</v>
      </c>
      <c r="P6894" s="4">
        <v>54595</v>
      </c>
      <c r="Q6894" s="4">
        <v>103719</v>
      </c>
      <c r="R6894" s="4">
        <v>311157</v>
      </c>
      <c r="S6894" t="s">
        <v>23046</v>
      </c>
      <c r="T6894" s="6">
        <v>34151</v>
      </c>
      <c r="U6894" s="4">
        <v>118500</v>
      </c>
      <c r="X6894" t="s">
        <v>3</v>
      </c>
      <c r="AA6894" s="5" t="str">
        <f>HYPERLINK("https://www.zillow.com/homes/6818-PRAIRIEVIEW-AVE-WOODRIDGE-IL-60517_rb/","check listing")</f>
        <v>check listing</v>
      </c>
      <c r="AB6894" s="5" t="str">
        <f>HYPERLINK("https://propertylookup.dupagecounty.gov/Datalets/Datalet.aspx?UseSearch=no&amp;mode=sales&amp;pin=0824411015","sales record")</f>
        <v>sales record</v>
      </c>
      <c r="AC6894" t="s">
        <v>3</v>
      </c>
      <c r="AD6894">
        <v>41.762357</v>
      </c>
      <c r="AE6894">
        <v>-88.03575600000001</v>
      </c>
      <c r="AF6894" s="5" t="str">
        <f>HYPERLINK("https://www.google.com/maps/search/?api=1&amp;query=41.762357,-88.035756","map")</f>
        <v>map</v>
      </c>
    </row>
    <row r="6895" spans="1:32">
      <c r="A6895" t="s">
        <v>6945</v>
      </c>
      <c r="B6895" t="s">
        <v>14397</v>
      </c>
      <c r="C6895" t="s">
        <v>15323</v>
      </c>
      <c r="D6895" t="s">
        <v>16215</v>
      </c>
      <c r="E6895" t="s">
        <v>16218</v>
      </c>
      <c r="F6895" t="s">
        <v>16220</v>
      </c>
      <c r="G6895" t="s">
        <v>16299</v>
      </c>
      <c r="H6895" t="s">
        <v>16299</v>
      </c>
      <c r="I6895" t="s">
        <v>16382</v>
      </c>
      <c r="J6895" t="s">
        <v>16385</v>
      </c>
      <c r="K6895">
        <v>0.223</v>
      </c>
      <c r="L6895">
        <v>9735</v>
      </c>
      <c r="M6895">
        <v>1475</v>
      </c>
      <c r="N6895" t="s">
        <v>16393</v>
      </c>
      <c r="O6895" s="4">
        <v>46080</v>
      </c>
      <c r="P6895" s="4">
        <v>67794</v>
      </c>
      <c r="Q6895" s="4">
        <v>113874</v>
      </c>
      <c r="R6895" s="4">
        <v>341622</v>
      </c>
      <c r="S6895" t="s">
        <v>23047</v>
      </c>
      <c r="T6895" s="6">
        <v>35827</v>
      </c>
      <c r="U6895" s="4">
        <v>168000</v>
      </c>
      <c r="X6895" t="s">
        <v>3</v>
      </c>
      <c r="AA6895" s="5" t="str">
        <f>HYPERLINK("https://www.zillow.com/homes/6732-GREENLEAF-ST-WOODRIDGE-IL-60517_rb/","check listing")</f>
        <v>check listing</v>
      </c>
      <c r="AB6895" s="5" t="str">
        <f>HYPERLINK("https://propertylookup.dupagecounty.gov/Datalets/Datalet.aspx?UseSearch=no&amp;mode=sales&amp;pin=0824411007","sales record")</f>
        <v>sales record</v>
      </c>
      <c r="AC6895" t="s">
        <v>3</v>
      </c>
      <c r="AD6895">
        <v>41.763733</v>
      </c>
      <c r="AE6895">
        <v>-88.03665599999999</v>
      </c>
      <c r="AF6895" s="5" t="str">
        <f>HYPERLINK("https://www.google.com/maps/search/?api=1&amp;query=41.763733,-88.036656","map")</f>
        <v>map</v>
      </c>
    </row>
    <row r="6896" spans="1:32">
      <c r="A6896" t="s">
        <v>6946</v>
      </c>
      <c r="B6896" t="s">
        <v>14398</v>
      </c>
      <c r="C6896" t="s">
        <v>15323</v>
      </c>
      <c r="D6896" t="s">
        <v>16215</v>
      </c>
      <c r="E6896" t="s">
        <v>16218</v>
      </c>
      <c r="F6896" t="s">
        <v>16220</v>
      </c>
      <c r="G6896" t="s">
        <v>16299</v>
      </c>
      <c r="H6896" t="s">
        <v>16299</v>
      </c>
      <c r="I6896" t="s">
        <v>16382</v>
      </c>
      <c r="J6896" t="s">
        <v>16385</v>
      </c>
      <c r="K6896">
        <v>0.223</v>
      </c>
      <c r="L6896">
        <v>9732</v>
      </c>
      <c r="M6896">
        <v>1419</v>
      </c>
      <c r="N6896" t="s">
        <v>16393</v>
      </c>
      <c r="O6896" s="4">
        <v>46080</v>
      </c>
      <c r="P6896" s="4">
        <v>65856</v>
      </c>
      <c r="Q6896" s="4">
        <v>111936</v>
      </c>
      <c r="R6896" s="4">
        <v>335808</v>
      </c>
      <c r="S6896" t="s">
        <v>23048</v>
      </c>
      <c r="T6896" s="6">
        <v>30407</v>
      </c>
      <c r="U6896" s="4">
        <v>92000</v>
      </c>
      <c r="X6896" t="s">
        <v>3</v>
      </c>
      <c r="AA6896" s="5" t="str">
        <f>HYPERLINK("https://www.zillow.com/homes/6726-GREENLEAF-ST-WOODRIDGE-IL-60517_rb/","check listing")</f>
        <v>check listing</v>
      </c>
      <c r="AB6896" s="5" t="str">
        <f>HYPERLINK("https://propertylookup.dupagecounty.gov/Datalets/Datalet.aspx?UseSearch=no&amp;mode=sales&amp;pin=0824411006","sales record")</f>
        <v>sales record</v>
      </c>
      <c r="AC6896" t="s">
        <v>3</v>
      </c>
      <c r="AD6896">
        <v>41.763904</v>
      </c>
      <c r="AE6896">
        <v>-88.036787</v>
      </c>
      <c r="AF6896" s="5" t="str">
        <f>HYPERLINK("https://www.google.com/maps/search/?api=1&amp;query=41.763904,-88.036787","map")</f>
        <v>map</v>
      </c>
    </row>
    <row r="6897" spans="1:32">
      <c r="A6897" t="s">
        <v>6947</v>
      </c>
      <c r="B6897" t="s">
        <v>14399</v>
      </c>
      <c r="C6897" t="s">
        <v>15323</v>
      </c>
      <c r="D6897" t="s">
        <v>16215</v>
      </c>
      <c r="E6897" t="s">
        <v>16218</v>
      </c>
      <c r="F6897" t="s">
        <v>16220</v>
      </c>
      <c r="G6897" t="s">
        <v>16299</v>
      </c>
      <c r="H6897" t="s">
        <v>16299</v>
      </c>
      <c r="I6897" t="s">
        <v>16382</v>
      </c>
      <c r="J6897" t="s">
        <v>16385</v>
      </c>
      <c r="K6897">
        <v>0.223</v>
      </c>
      <c r="L6897">
        <v>9725</v>
      </c>
      <c r="M6897">
        <v>1049</v>
      </c>
      <c r="N6897" t="s">
        <v>16393</v>
      </c>
      <c r="O6897" s="4">
        <v>54713</v>
      </c>
      <c r="P6897" s="4">
        <v>82944</v>
      </c>
      <c r="Q6897" s="4">
        <v>137657</v>
      </c>
      <c r="R6897" s="4">
        <v>412971</v>
      </c>
      <c r="S6897" t="s">
        <v>23049</v>
      </c>
      <c r="T6897" s="6">
        <v>31048</v>
      </c>
      <c r="U6897" s="4">
        <v>100800</v>
      </c>
      <c r="X6897" t="s">
        <v>3</v>
      </c>
      <c r="AA6897" s="5" t="str">
        <f>HYPERLINK("https://www.zillow.com/homes/8-YELLOW-STAR-CT-WOODRIDGE-IL-60517_rb/","check listing")</f>
        <v>check listing</v>
      </c>
      <c r="AB6897" s="5" t="str">
        <f>HYPERLINK("https://propertylookup.dupagecounty.gov/Datalets/Datalet.aspx?UseSearch=no&amp;mode=sales&amp;pin=0824306027","sales record")</f>
        <v>sales record</v>
      </c>
      <c r="AC6897" t="s">
        <v>3</v>
      </c>
      <c r="AD6897">
        <v>41.761402</v>
      </c>
      <c r="AE6897">
        <v>-88.046815</v>
      </c>
      <c r="AF6897" s="5" t="str">
        <f>HYPERLINK("https://www.google.com/maps/search/?api=1&amp;query=41.761402,-88.046815","map")</f>
        <v>map</v>
      </c>
    </row>
    <row r="6898" spans="1:32">
      <c r="A6898" t="s">
        <v>6948</v>
      </c>
      <c r="B6898" t="s">
        <v>14400</v>
      </c>
      <c r="C6898" t="s">
        <v>15323</v>
      </c>
      <c r="D6898" t="s">
        <v>16215</v>
      </c>
      <c r="E6898" t="s">
        <v>16218</v>
      </c>
      <c r="F6898" t="s">
        <v>16220</v>
      </c>
      <c r="G6898" t="s">
        <v>16299</v>
      </c>
      <c r="H6898" t="s">
        <v>16299</v>
      </c>
      <c r="I6898" t="s">
        <v>16382</v>
      </c>
      <c r="J6898" t="s">
        <v>16385</v>
      </c>
      <c r="K6898">
        <v>0.222</v>
      </c>
      <c r="L6898">
        <v>9664</v>
      </c>
      <c r="M6898">
        <v>1614</v>
      </c>
      <c r="N6898" t="s">
        <v>16393</v>
      </c>
      <c r="O6898" s="4">
        <v>54713</v>
      </c>
      <c r="P6898" s="4">
        <v>66854</v>
      </c>
      <c r="Q6898" s="4">
        <v>121567</v>
      </c>
      <c r="R6898" s="4">
        <v>364701</v>
      </c>
      <c r="S6898" t="s">
        <v>23050</v>
      </c>
      <c r="T6898" s="6">
        <v>29007</v>
      </c>
      <c r="U6898" s="4">
        <v>79864</v>
      </c>
      <c r="X6898" t="s">
        <v>3</v>
      </c>
      <c r="AA6898" s="5" t="str">
        <f>HYPERLINK("https://www.zillow.com/homes/6925-PRAIRIEVIEW-AVE-WOODRIDGE-IL-60517_rb/","check listing")</f>
        <v>check listing</v>
      </c>
      <c r="AB6898" s="5" t="str">
        <f>HYPERLINK("https://propertylookup.dupagecounty.gov/Datalets/Datalet.aspx?UseSearch=no&amp;mode=sales&amp;pin=0824414025","sales record")</f>
        <v>sales record</v>
      </c>
      <c r="AC6898" t="s">
        <v>3</v>
      </c>
      <c r="AD6898">
        <v>41.760702</v>
      </c>
      <c r="AE6898">
        <v>-88.03435</v>
      </c>
      <c r="AF6898" s="5" t="str">
        <f>HYPERLINK("https://www.google.com/maps/search/?api=1&amp;query=41.760702,-88.03435","map")</f>
        <v>map</v>
      </c>
    </row>
    <row r="6899" spans="1:32">
      <c r="A6899" t="s">
        <v>6949</v>
      </c>
      <c r="B6899" t="s">
        <v>14401</v>
      </c>
      <c r="C6899" t="s">
        <v>15323</v>
      </c>
      <c r="D6899" t="s">
        <v>16215</v>
      </c>
      <c r="E6899" t="s">
        <v>16218</v>
      </c>
      <c r="F6899" t="s">
        <v>16220</v>
      </c>
      <c r="G6899" t="s">
        <v>16299</v>
      </c>
      <c r="H6899" t="s">
        <v>16299</v>
      </c>
      <c r="I6899" t="s">
        <v>16382</v>
      </c>
      <c r="J6899" t="s">
        <v>16385</v>
      </c>
      <c r="K6899">
        <v>0.222</v>
      </c>
      <c r="L6899">
        <v>9650</v>
      </c>
      <c r="M6899">
        <v>1575</v>
      </c>
      <c r="N6899" t="s">
        <v>16393</v>
      </c>
      <c r="O6899" s="4">
        <v>51265</v>
      </c>
      <c r="P6899" s="4">
        <v>86655</v>
      </c>
      <c r="Q6899" s="4">
        <v>137920</v>
      </c>
      <c r="R6899" s="4">
        <v>413760</v>
      </c>
      <c r="S6899" t="s">
        <v>23051</v>
      </c>
      <c r="T6899" s="6">
        <v>39569</v>
      </c>
      <c r="U6899" s="4">
        <v>330000</v>
      </c>
      <c r="V6899" t="s">
        <v>23739</v>
      </c>
      <c r="W6899" t="s">
        <v>27521</v>
      </c>
      <c r="X6899" t="s">
        <v>3</v>
      </c>
      <c r="AA6899" s="5" t="str">
        <f>HYPERLINK("https://www.zillow.com/homes/6719-GREENLEAF-ST-WOODRIDGE-IL-60517_rb/","check listing")</f>
        <v>check listing</v>
      </c>
      <c r="AB6899" s="5" t="str">
        <f>HYPERLINK("https://propertylookup.dupagecounty.gov/Datalets/Datalet.aspx?UseSearch=no&amp;mode=sales&amp;pin=0824413008","sales record")</f>
        <v>sales record</v>
      </c>
      <c r="AC6899" t="s">
        <v>3</v>
      </c>
      <c r="AD6899">
        <v>41.764236</v>
      </c>
      <c r="AE6899">
        <v>-88.03639</v>
      </c>
      <c r="AF6899" s="5" t="str">
        <f>HYPERLINK("https://www.google.com/maps/search/?api=1&amp;query=41.764236,-88.03639","map")</f>
        <v>map</v>
      </c>
    </row>
    <row r="6900" spans="1:32">
      <c r="A6900" t="s">
        <v>6950</v>
      </c>
      <c r="B6900" t="s">
        <v>14402</v>
      </c>
      <c r="C6900" t="s">
        <v>15323</v>
      </c>
      <c r="D6900" t="s">
        <v>16215</v>
      </c>
      <c r="E6900" t="s">
        <v>16218</v>
      </c>
      <c r="F6900" t="s">
        <v>16220</v>
      </c>
      <c r="G6900" t="s">
        <v>16299</v>
      </c>
      <c r="H6900" t="s">
        <v>16299</v>
      </c>
      <c r="I6900" t="s">
        <v>16382</v>
      </c>
      <c r="J6900" t="s">
        <v>16385</v>
      </c>
      <c r="K6900">
        <v>0.22</v>
      </c>
      <c r="L6900">
        <v>9599</v>
      </c>
      <c r="M6900">
        <v>1429</v>
      </c>
      <c r="N6900" t="s">
        <v>16393</v>
      </c>
      <c r="O6900" s="4">
        <v>51241</v>
      </c>
      <c r="P6900" s="4">
        <v>78496</v>
      </c>
      <c r="Q6900" s="4">
        <v>129737</v>
      </c>
      <c r="R6900" s="4">
        <v>389211</v>
      </c>
      <c r="S6900" t="s">
        <v>23052</v>
      </c>
      <c r="T6900" s="6">
        <v>45952</v>
      </c>
      <c r="U6900" s="4">
        <v>541000</v>
      </c>
      <c r="V6900" t="s">
        <v>23741</v>
      </c>
      <c r="W6900" t="s">
        <v>27522</v>
      </c>
      <c r="X6900" t="s">
        <v>3</v>
      </c>
      <c r="AA6900" s="5" t="str">
        <f>HYPERLINK("https://www.zillow.com/homes/2032-WHEELER-ST-WOODRIDGE-IL-60517_rb/","check listing")</f>
        <v>check listing</v>
      </c>
      <c r="AB6900" s="5" t="str">
        <f>HYPERLINK("https://propertylookup.dupagecounty.gov/Datalets/Datalet.aspx?UseSearch=no&amp;mode=sales&amp;pin=0824410019","sales record")</f>
        <v>sales record</v>
      </c>
      <c r="AC6900" t="s">
        <v>3</v>
      </c>
      <c r="AD6900">
        <v>41.76512</v>
      </c>
      <c r="AE6900">
        <v>-88.03318400000001</v>
      </c>
      <c r="AF6900" s="5" t="str">
        <f>HYPERLINK("https://www.google.com/maps/search/?api=1&amp;query=41.76512,-88.033184","map")</f>
        <v>map</v>
      </c>
    </row>
    <row r="6901" spans="1:32">
      <c r="A6901" t="s">
        <v>6951</v>
      </c>
      <c r="B6901" t="s">
        <v>14403</v>
      </c>
      <c r="C6901" t="s">
        <v>15323</v>
      </c>
      <c r="D6901" t="s">
        <v>16215</v>
      </c>
      <c r="E6901" t="s">
        <v>16218</v>
      </c>
      <c r="F6901" t="s">
        <v>16220</v>
      </c>
      <c r="G6901" t="s">
        <v>16299</v>
      </c>
      <c r="H6901" t="s">
        <v>16299</v>
      </c>
      <c r="I6901" t="s">
        <v>16382</v>
      </c>
      <c r="J6901" t="s">
        <v>16385</v>
      </c>
      <c r="K6901">
        <v>0.218</v>
      </c>
      <c r="L6901">
        <v>9506</v>
      </c>
      <c r="M6901">
        <v>1459</v>
      </c>
      <c r="N6901" t="s">
        <v>16393</v>
      </c>
      <c r="O6901" s="4">
        <v>54797</v>
      </c>
      <c r="P6901" s="4">
        <v>71755</v>
      </c>
      <c r="Q6901" s="4">
        <v>126552</v>
      </c>
      <c r="R6901" s="4">
        <v>379656</v>
      </c>
      <c r="S6901" t="s">
        <v>23053</v>
      </c>
      <c r="T6901" s="6">
        <v>45791</v>
      </c>
      <c r="U6901" s="4">
        <v>457000</v>
      </c>
      <c r="V6901" t="s">
        <v>23739</v>
      </c>
      <c r="W6901" t="s">
        <v>27523</v>
      </c>
      <c r="X6901" t="s">
        <v>3</v>
      </c>
      <c r="AA6901" s="5" t="str">
        <f>HYPERLINK("https://www.zillow.com/homes/2054-VANTAGE-ST-WOODRIDGE-IL-60517_rb/","check listing")</f>
        <v>check listing</v>
      </c>
      <c r="AB6901" s="5" t="str">
        <f>HYPERLINK("https://propertylookup.dupagecounty.gov/Datalets/Datalet.aspx?UseSearch=no&amp;mode=sales&amp;pin=0824414041","sales record")</f>
        <v>sales record</v>
      </c>
      <c r="AC6901" t="s">
        <v>3</v>
      </c>
      <c r="AD6901">
        <v>41.761291</v>
      </c>
      <c r="AE6901">
        <v>-88.034099</v>
      </c>
      <c r="AF6901" s="5" t="str">
        <f>HYPERLINK("https://www.google.com/maps/search/?api=1&amp;query=41.761291,-88.034099","map")</f>
        <v>map</v>
      </c>
    </row>
    <row r="6902" spans="1:32">
      <c r="A6902" t="s">
        <v>6952</v>
      </c>
      <c r="B6902" t="s">
        <v>14404</v>
      </c>
      <c r="C6902" t="s">
        <v>15323</v>
      </c>
      <c r="D6902" t="s">
        <v>16215</v>
      </c>
      <c r="E6902" t="s">
        <v>16218</v>
      </c>
      <c r="F6902" t="s">
        <v>16220</v>
      </c>
      <c r="G6902" t="s">
        <v>16299</v>
      </c>
      <c r="H6902" t="s">
        <v>16299</v>
      </c>
      <c r="I6902" t="s">
        <v>16382</v>
      </c>
      <c r="J6902" t="s">
        <v>16385</v>
      </c>
      <c r="K6902">
        <v>0.216</v>
      </c>
      <c r="L6902">
        <v>9421</v>
      </c>
      <c r="M6902">
        <v>1503</v>
      </c>
      <c r="N6902" t="s">
        <v>16393</v>
      </c>
      <c r="O6902" s="4">
        <v>54797</v>
      </c>
      <c r="P6902" s="4">
        <v>68591</v>
      </c>
      <c r="Q6902" s="4">
        <v>123388</v>
      </c>
      <c r="R6902" s="4">
        <v>370164</v>
      </c>
      <c r="S6902" t="s">
        <v>23054</v>
      </c>
      <c r="T6902" s="6">
        <v>45041</v>
      </c>
      <c r="U6902" s="4">
        <v>330000</v>
      </c>
      <c r="V6902" t="s">
        <v>23739</v>
      </c>
      <c r="W6902" t="s">
        <v>27524</v>
      </c>
      <c r="X6902" t="s">
        <v>3</v>
      </c>
      <c r="AA6902" s="5" t="str">
        <f>HYPERLINK("https://www.zillow.com/homes/5-PHEASANT-CT-WOODRIDGE-IL-60517_rb/","check listing")</f>
        <v>check listing</v>
      </c>
      <c r="AB6902" s="5" t="str">
        <f>HYPERLINK("https://propertylookup.dupagecounty.gov/Datalets/Datalet.aspx?UseSearch=no&amp;mode=sales&amp;pin=0824317030","sales record")</f>
        <v>sales record</v>
      </c>
      <c r="AC6902" t="s">
        <v>3</v>
      </c>
      <c r="AD6902">
        <v>41.764762</v>
      </c>
      <c r="AE6902">
        <v>-88.04359700000001</v>
      </c>
      <c r="AF6902" s="5" t="str">
        <f>HYPERLINK("https://www.google.com/maps/search/?api=1&amp;query=41.764762,-88.043597","map")</f>
        <v>map</v>
      </c>
    </row>
    <row r="6903" spans="1:32">
      <c r="A6903" t="s">
        <v>6953</v>
      </c>
      <c r="B6903" t="s">
        <v>14405</v>
      </c>
      <c r="C6903" t="s">
        <v>16126</v>
      </c>
      <c r="D6903" t="s">
        <v>16215</v>
      </c>
      <c r="E6903" t="s">
        <v>16218</v>
      </c>
      <c r="F6903" t="s">
        <v>16220</v>
      </c>
      <c r="G6903" t="s">
        <v>16299</v>
      </c>
      <c r="H6903" t="s">
        <v>16299</v>
      </c>
      <c r="I6903" t="s">
        <v>16382</v>
      </c>
      <c r="J6903" t="s">
        <v>16385</v>
      </c>
      <c r="K6903">
        <v>0.215</v>
      </c>
      <c r="L6903">
        <v>9381</v>
      </c>
      <c r="M6903">
        <v>1559</v>
      </c>
      <c r="N6903" t="s">
        <v>16393</v>
      </c>
      <c r="O6903" s="4">
        <v>49124</v>
      </c>
      <c r="P6903" s="4">
        <v>58316</v>
      </c>
      <c r="Q6903" s="4">
        <v>107440</v>
      </c>
      <c r="R6903" s="4">
        <v>322320</v>
      </c>
      <c r="S6903" t="s">
        <v>23055</v>
      </c>
      <c r="T6903" s="6">
        <v>42522</v>
      </c>
      <c r="U6903" s="4">
        <v>265000</v>
      </c>
      <c r="V6903" t="s">
        <v>23739</v>
      </c>
      <c r="W6903" t="s">
        <v>23055</v>
      </c>
      <c r="X6903" t="s">
        <v>3</v>
      </c>
      <c r="AA6903" s="5" t="str">
        <f>HYPERLINK("https://www.zillow.com/homes/6824-PRAIRIEVIEW-AVE-WOODRIDGE-IL-605171826_rb/","check listing")</f>
        <v>check listing</v>
      </c>
      <c r="AB6903" s="5" t="str">
        <f>HYPERLINK("https://propertylookup.dupagecounty.gov/Datalets/Datalet.aspx?UseSearch=no&amp;mode=sales&amp;pin=0824411016","sales record")</f>
        <v>sales record</v>
      </c>
      <c r="AC6903" t="s">
        <v>3</v>
      </c>
      <c r="AD6903">
        <v>41.762167</v>
      </c>
      <c r="AE6903">
        <v>-88.035669</v>
      </c>
      <c r="AF6903" s="5" t="str">
        <f>HYPERLINK("https://www.google.com/maps/search/?api=1&amp;query=41.762167,-88.035669","map")</f>
        <v>map</v>
      </c>
    </row>
    <row r="6904" spans="1:32">
      <c r="A6904" t="s">
        <v>6954</v>
      </c>
      <c r="B6904" t="s">
        <v>14406</v>
      </c>
      <c r="C6904" t="s">
        <v>15323</v>
      </c>
      <c r="D6904" t="s">
        <v>16215</v>
      </c>
      <c r="E6904" t="s">
        <v>16218</v>
      </c>
      <c r="F6904" t="s">
        <v>16220</v>
      </c>
      <c r="G6904" t="s">
        <v>16299</v>
      </c>
      <c r="H6904" t="s">
        <v>16299</v>
      </c>
      <c r="I6904" t="s">
        <v>16382</v>
      </c>
      <c r="J6904" t="s">
        <v>16385</v>
      </c>
      <c r="K6904">
        <v>0.215</v>
      </c>
      <c r="L6904">
        <v>9367</v>
      </c>
      <c r="M6904">
        <v>1729</v>
      </c>
      <c r="N6904" t="s">
        <v>16393</v>
      </c>
      <c r="O6904" s="4">
        <v>51265</v>
      </c>
      <c r="P6904" s="4">
        <v>78568</v>
      </c>
      <c r="Q6904" s="4">
        <v>129833</v>
      </c>
      <c r="R6904" s="4">
        <v>389499</v>
      </c>
      <c r="S6904" t="s">
        <v>23056</v>
      </c>
      <c r="T6904" s="6">
        <v>36861</v>
      </c>
      <c r="U6904" s="4">
        <v>209600</v>
      </c>
      <c r="V6904" t="s">
        <v>23739</v>
      </c>
      <c r="W6904" t="s">
        <v>27525</v>
      </c>
      <c r="X6904" t="s">
        <v>3</v>
      </c>
      <c r="AA6904" s="5" t="str">
        <f>HYPERLINK("https://www.zillow.com/homes/7-BROOK-CT-WOODRIDGE-IL-60517_rb/","check listing")</f>
        <v>check listing</v>
      </c>
      <c r="AB6904" s="5" t="str">
        <f>HYPERLINK("https://propertylookup.dupagecounty.gov/Datalets/Datalet.aspx?UseSearch=no&amp;mode=sales&amp;pin=0824414009","sales record")</f>
        <v>sales record</v>
      </c>
      <c r="AC6904" t="s">
        <v>3</v>
      </c>
      <c r="AD6904">
        <v>41.762797</v>
      </c>
      <c r="AE6904">
        <v>-88.03415200000001</v>
      </c>
      <c r="AF6904" s="5" t="str">
        <f>HYPERLINK("https://www.google.com/maps/search/?api=1&amp;query=41.762797,-88.034152","map")</f>
        <v>map</v>
      </c>
    </row>
    <row r="6905" spans="1:32">
      <c r="A6905" t="s">
        <v>6955</v>
      </c>
      <c r="B6905" t="s">
        <v>14407</v>
      </c>
      <c r="C6905" t="s">
        <v>15323</v>
      </c>
      <c r="D6905" t="s">
        <v>16215</v>
      </c>
      <c r="E6905" t="s">
        <v>16218</v>
      </c>
      <c r="F6905" t="s">
        <v>16220</v>
      </c>
      <c r="G6905" t="s">
        <v>16299</v>
      </c>
      <c r="H6905" t="s">
        <v>16299</v>
      </c>
      <c r="I6905" t="s">
        <v>16382</v>
      </c>
      <c r="J6905" t="s">
        <v>16385</v>
      </c>
      <c r="K6905">
        <v>0.214</v>
      </c>
      <c r="L6905">
        <v>9329</v>
      </c>
      <c r="M6905">
        <v>1592</v>
      </c>
      <c r="N6905" t="s">
        <v>16393</v>
      </c>
      <c r="O6905" s="4">
        <v>49124</v>
      </c>
      <c r="P6905" s="4">
        <v>71968</v>
      </c>
      <c r="Q6905" s="4">
        <v>121092</v>
      </c>
      <c r="R6905" s="4">
        <v>363276</v>
      </c>
      <c r="S6905" t="s">
        <v>23057</v>
      </c>
      <c r="T6905" s="6">
        <v>38657</v>
      </c>
      <c r="U6905" s="4">
        <v>268000</v>
      </c>
      <c r="V6905" t="s">
        <v>23739</v>
      </c>
      <c r="W6905" t="s">
        <v>27526</v>
      </c>
      <c r="X6905" t="s">
        <v>3</v>
      </c>
      <c r="AA6905" s="5" t="str">
        <f>HYPERLINK("https://www.zillow.com/homes/6608-FOXTREE-AVE-WOODRIDGE-IL-60517_rb/","check listing")</f>
        <v>check listing</v>
      </c>
      <c r="AB6905" s="5" t="str">
        <f>HYPERLINK("https://propertylookup.dupagecounty.gov/Datalets/Datalet.aspx?UseSearch=no&amp;mode=sales&amp;pin=0824204008","sales record")</f>
        <v>sales record</v>
      </c>
      <c r="AC6905" t="s">
        <v>3</v>
      </c>
      <c r="AD6905">
        <v>41.765871</v>
      </c>
      <c r="AE6905">
        <v>-88.040677</v>
      </c>
      <c r="AF6905" s="5" t="str">
        <f>HYPERLINK("https://www.google.com/maps/search/?api=1&amp;query=41.765871,-88.040677","map")</f>
        <v>map</v>
      </c>
    </row>
    <row r="6906" spans="1:32">
      <c r="A6906" t="s">
        <v>6956</v>
      </c>
      <c r="B6906" t="s">
        <v>14408</v>
      </c>
      <c r="C6906" t="s">
        <v>15323</v>
      </c>
      <c r="D6906" t="s">
        <v>16215</v>
      </c>
      <c r="E6906" t="s">
        <v>16218</v>
      </c>
      <c r="F6906" t="s">
        <v>16220</v>
      </c>
      <c r="G6906" t="s">
        <v>16299</v>
      </c>
      <c r="H6906" t="s">
        <v>16299</v>
      </c>
      <c r="I6906" t="s">
        <v>16382</v>
      </c>
      <c r="J6906" t="s">
        <v>16385</v>
      </c>
      <c r="K6906">
        <v>0.214</v>
      </c>
      <c r="L6906">
        <v>9321</v>
      </c>
      <c r="M6906">
        <v>1471</v>
      </c>
      <c r="N6906" t="s">
        <v>16393</v>
      </c>
      <c r="O6906" s="4">
        <v>54797</v>
      </c>
      <c r="P6906" s="4">
        <v>69280</v>
      </c>
      <c r="Q6906" s="4">
        <v>124077</v>
      </c>
      <c r="R6906" s="4">
        <v>372231</v>
      </c>
      <c r="S6906" t="s">
        <v>23058</v>
      </c>
      <c r="T6906" s="6">
        <v>37653</v>
      </c>
      <c r="U6906" s="4">
        <v>190000</v>
      </c>
      <c r="V6906" t="s">
        <v>23739</v>
      </c>
      <c r="W6906" t="s">
        <v>23058</v>
      </c>
      <c r="X6906" t="s">
        <v>3</v>
      </c>
      <c r="AA6906" s="5" t="str">
        <f>HYPERLINK("https://www.zillow.com/homes/5-QUAIL-CT-WOODRIDGE-IL-60517_rb/","check listing")</f>
        <v>check listing</v>
      </c>
      <c r="AB6906" s="5" t="str">
        <f>HYPERLINK("https://propertylookup.dupagecounty.gov/Datalets/Datalet.aspx?UseSearch=no&amp;mode=sales&amp;pin=0824318010","sales record")</f>
        <v>sales record</v>
      </c>
      <c r="AC6906" t="s">
        <v>3</v>
      </c>
      <c r="AD6906">
        <v>41.764162</v>
      </c>
      <c r="AE6906">
        <v>-88.041614</v>
      </c>
      <c r="AF6906" s="5" t="str">
        <f>HYPERLINK("https://www.google.com/maps/search/?api=1&amp;query=41.764162,-88.041614","map")</f>
        <v>map</v>
      </c>
    </row>
    <row r="6907" spans="1:32">
      <c r="A6907" t="s">
        <v>6957</v>
      </c>
      <c r="B6907" t="s">
        <v>14409</v>
      </c>
      <c r="C6907" t="s">
        <v>15323</v>
      </c>
      <c r="D6907" t="s">
        <v>16215</v>
      </c>
      <c r="E6907" t="s">
        <v>16218</v>
      </c>
      <c r="F6907" t="s">
        <v>16220</v>
      </c>
      <c r="G6907" t="s">
        <v>16299</v>
      </c>
      <c r="H6907" t="s">
        <v>16299</v>
      </c>
      <c r="I6907" t="s">
        <v>16382</v>
      </c>
      <c r="J6907" t="s">
        <v>16385</v>
      </c>
      <c r="K6907">
        <v>0.213</v>
      </c>
      <c r="L6907">
        <v>9293</v>
      </c>
      <c r="M6907">
        <v>1777</v>
      </c>
      <c r="N6907" t="s">
        <v>16393</v>
      </c>
      <c r="O6907" s="4">
        <v>54713</v>
      </c>
      <c r="P6907" s="4">
        <v>80126</v>
      </c>
      <c r="Q6907" s="4">
        <v>134839</v>
      </c>
      <c r="R6907" s="4">
        <v>404517</v>
      </c>
      <c r="S6907" t="s">
        <v>23059</v>
      </c>
      <c r="T6907" s="6">
        <v>37681</v>
      </c>
      <c r="U6907" s="4">
        <v>201000</v>
      </c>
      <c r="V6907" t="s">
        <v>23739</v>
      </c>
      <c r="W6907" t="s">
        <v>23059</v>
      </c>
      <c r="X6907" t="s">
        <v>3</v>
      </c>
      <c r="AA6907" s="5" t="str">
        <f>HYPERLINK("https://www.zillow.com/homes/2590-SUMAC-ST-WOODRIDGE-IL-60517_rb/","check listing")</f>
        <v>check listing</v>
      </c>
      <c r="AB6907" s="5" t="str">
        <f>HYPERLINK("https://propertylookup.dupagecounty.gov/Datalets/Datalet.aspx?UseSearch=no&amp;mode=sales&amp;pin=0824306025","sales record")</f>
        <v>sales record</v>
      </c>
      <c r="AC6907" t="s">
        <v>3</v>
      </c>
      <c r="AD6907">
        <v>41.761981</v>
      </c>
      <c r="AE6907">
        <v>-88.047472</v>
      </c>
      <c r="AF6907" s="5" t="str">
        <f>HYPERLINK("https://www.google.com/maps/search/?api=1&amp;query=41.761981,-88.047472","map")</f>
        <v>map</v>
      </c>
    </row>
    <row r="6908" spans="1:32">
      <c r="A6908" t="s">
        <v>6958</v>
      </c>
      <c r="B6908" t="s">
        <v>14410</v>
      </c>
      <c r="C6908" t="s">
        <v>16127</v>
      </c>
      <c r="D6908" t="s">
        <v>16215</v>
      </c>
      <c r="E6908" t="s">
        <v>16218</v>
      </c>
      <c r="F6908" t="s">
        <v>16220</v>
      </c>
      <c r="G6908" t="s">
        <v>16299</v>
      </c>
      <c r="H6908" t="s">
        <v>16299</v>
      </c>
      <c r="I6908" t="s">
        <v>16382</v>
      </c>
      <c r="J6908" t="s">
        <v>16385</v>
      </c>
      <c r="K6908">
        <v>0.213</v>
      </c>
      <c r="L6908">
        <v>9265</v>
      </c>
      <c r="M6908">
        <v>2216</v>
      </c>
      <c r="N6908" t="s">
        <v>16393</v>
      </c>
      <c r="O6908" s="4">
        <v>51241</v>
      </c>
      <c r="P6908" s="4">
        <v>121378</v>
      </c>
      <c r="Q6908" s="4">
        <v>172619</v>
      </c>
      <c r="R6908" s="4">
        <v>517857</v>
      </c>
      <c r="S6908" t="s">
        <v>23060</v>
      </c>
      <c r="T6908" s="6">
        <v>42248</v>
      </c>
      <c r="U6908" s="4">
        <v>345000</v>
      </c>
      <c r="V6908" t="s">
        <v>23740</v>
      </c>
      <c r="W6908" t="s">
        <v>27527</v>
      </c>
      <c r="X6908" t="s">
        <v>3</v>
      </c>
      <c r="AA6908" s="5" t="str">
        <f>HYPERLINK("https://www.zillow.com/homes/6761-GREENLEAF-ST-WOODRIDGE-IL-605171831_rb/","check listing")</f>
        <v>check listing</v>
      </c>
      <c r="AB6908" s="5" t="str">
        <f>HYPERLINK("https://propertylookup.dupagecounty.gov/Datalets/Datalet.aspx?UseSearch=no&amp;mode=sales&amp;pin=0824413016","sales record")</f>
        <v>sales record</v>
      </c>
      <c r="AC6908" t="s">
        <v>3</v>
      </c>
      <c r="AD6908">
        <v>41.763246</v>
      </c>
      <c r="AE6908">
        <v>-88.035066</v>
      </c>
      <c r="AF6908" s="5" t="str">
        <f>HYPERLINK("https://www.google.com/maps/search/?api=1&amp;query=41.763246,-88.035066","map")</f>
        <v>map</v>
      </c>
    </row>
    <row r="6909" spans="1:32">
      <c r="A6909" t="s">
        <v>6959</v>
      </c>
      <c r="B6909" t="s">
        <v>14411</v>
      </c>
      <c r="C6909" t="s">
        <v>16127</v>
      </c>
      <c r="D6909" t="s">
        <v>16215</v>
      </c>
      <c r="E6909" t="s">
        <v>16218</v>
      </c>
      <c r="F6909" t="s">
        <v>16220</v>
      </c>
      <c r="G6909" t="s">
        <v>16299</v>
      </c>
      <c r="H6909" t="s">
        <v>16299</v>
      </c>
      <c r="I6909" t="s">
        <v>16382</v>
      </c>
      <c r="J6909" t="s">
        <v>16385</v>
      </c>
      <c r="K6909">
        <v>0.213</v>
      </c>
      <c r="L6909">
        <v>9262</v>
      </c>
      <c r="M6909">
        <v>1504</v>
      </c>
      <c r="N6909" t="s">
        <v>16393</v>
      </c>
      <c r="O6909" s="4">
        <v>51265</v>
      </c>
      <c r="P6909" s="4">
        <v>78806</v>
      </c>
      <c r="Q6909" s="4">
        <v>130071</v>
      </c>
      <c r="R6909" s="4">
        <v>390213</v>
      </c>
      <c r="S6909" t="s">
        <v>23061</v>
      </c>
      <c r="T6909" s="6">
        <v>42401</v>
      </c>
      <c r="U6909" s="4">
        <v>263000</v>
      </c>
      <c r="V6909" t="s">
        <v>23739</v>
      </c>
      <c r="W6909" t="s">
        <v>27528</v>
      </c>
      <c r="X6909" t="s">
        <v>3</v>
      </c>
      <c r="AA6909" s="5" t="str">
        <f>HYPERLINK("https://www.zillow.com/homes/6767-GREENLEAF-ST-WOODRIDGE-IL-605171831_rb/","check listing")</f>
        <v>check listing</v>
      </c>
      <c r="AB6909" s="5" t="str">
        <f>HYPERLINK("https://propertylookup.dupagecounty.gov/Datalets/Datalet.aspx?UseSearch=no&amp;mode=sales&amp;pin=0824413017","sales record")</f>
        <v>sales record</v>
      </c>
      <c r="AC6909" t="s">
        <v>3</v>
      </c>
      <c r="AD6909">
        <v>41.763224</v>
      </c>
      <c r="AE6909">
        <v>-88.034785</v>
      </c>
      <c r="AF6909" s="5" t="str">
        <f>HYPERLINK("https://www.google.com/maps/search/?api=1&amp;query=41.763224,-88.034785","map")</f>
        <v>map</v>
      </c>
    </row>
    <row r="6910" spans="1:32">
      <c r="A6910" t="s">
        <v>6960</v>
      </c>
      <c r="B6910" t="s">
        <v>14412</v>
      </c>
      <c r="C6910" t="s">
        <v>15323</v>
      </c>
      <c r="D6910" t="s">
        <v>16215</v>
      </c>
      <c r="E6910" t="s">
        <v>16218</v>
      </c>
      <c r="F6910" t="s">
        <v>16220</v>
      </c>
      <c r="G6910" t="s">
        <v>16299</v>
      </c>
      <c r="H6910" t="s">
        <v>16299</v>
      </c>
      <c r="I6910" t="s">
        <v>16382</v>
      </c>
      <c r="J6910" t="s">
        <v>16385</v>
      </c>
      <c r="K6910">
        <v>0.212</v>
      </c>
      <c r="L6910">
        <v>9247</v>
      </c>
      <c r="M6910">
        <v>1838</v>
      </c>
      <c r="N6910" t="s">
        <v>16393</v>
      </c>
      <c r="O6910" s="4">
        <v>51241</v>
      </c>
      <c r="P6910" s="4">
        <v>100163</v>
      </c>
      <c r="Q6910" s="4">
        <v>151404</v>
      </c>
      <c r="R6910" s="4">
        <v>454212</v>
      </c>
      <c r="S6910" t="s">
        <v>23062</v>
      </c>
      <c r="T6910" s="6">
        <v>34425</v>
      </c>
      <c r="U6910" s="4">
        <v>181000</v>
      </c>
      <c r="X6910" t="s">
        <v>3</v>
      </c>
      <c r="AA6910" s="5" t="str">
        <f>HYPERLINK("https://www.zillow.com/homes/6-BROOK-CT-WOODRIDGE-IL-60517_rb/","check listing")</f>
        <v>check listing</v>
      </c>
      <c r="AB6910" s="5" t="str">
        <f>HYPERLINK("https://propertylookup.dupagecounty.gov/Datalets/Datalet.aspx?UseSearch=no&amp;mode=sales&amp;pin=0824414008","sales record")</f>
        <v>sales record</v>
      </c>
      <c r="AC6910" t="s">
        <v>3</v>
      </c>
      <c r="AD6910">
        <v>41.762571</v>
      </c>
      <c r="AE6910">
        <v>-88.033997</v>
      </c>
      <c r="AF6910" s="5" t="str">
        <f>HYPERLINK("https://www.google.com/maps/search/?api=1&amp;query=41.762571,-88.033997","map")</f>
        <v>map</v>
      </c>
    </row>
    <row r="6911" spans="1:32">
      <c r="A6911" t="s">
        <v>6961</v>
      </c>
      <c r="B6911" t="s">
        <v>14413</v>
      </c>
      <c r="C6911" t="s">
        <v>15323</v>
      </c>
      <c r="D6911" t="s">
        <v>16215</v>
      </c>
      <c r="E6911" t="s">
        <v>16218</v>
      </c>
      <c r="F6911" t="s">
        <v>16220</v>
      </c>
      <c r="G6911" t="s">
        <v>16299</v>
      </c>
      <c r="H6911" t="s">
        <v>16299</v>
      </c>
      <c r="I6911" t="s">
        <v>16382</v>
      </c>
      <c r="J6911" t="s">
        <v>16385</v>
      </c>
      <c r="K6911">
        <v>0.212</v>
      </c>
      <c r="L6911">
        <v>9231</v>
      </c>
      <c r="M6911">
        <v>1479</v>
      </c>
      <c r="N6911" t="s">
        <v>16393</v>
      </c>
      <c r="O6911" s="4">
        <v>51241</v>
      </c>
      <c r="P6911" s="4">
        <v>86238</v>
      </c>
      <c r="Q6911" s="4">
        <v>137479</v>
      </c>
      <c r="R6911" s="4">
        <v>412437</v>
      </c>
      <c r="S6911" t="s">
        <v>23063</v>
      </c>
      <c r="T6911" s="6">
        <v>29738</v>
      </c>
      <c r="U6911" s="4">
        <v>107000</v>
      </c>
      <c r="X6911" t="s">
        <v>3</v>
      </c>
      <c r="AA6911" s="5" t="str">
        <f>HYPERLINK("https://www.zillow.com/homes/2001-WHEELER-ST-WOODRIDGE-IL-60517_rb/","check listing")</f>
        <v>check listing</v>
      </c>
      <c r="AB6911" s="5" t="str">
        <f>HYPERLINK("https://propertylookup.dupagecounty.gov/Datalets/Datalet.aspx?UseSearch=no&amp;mode=sales&amp;pin=0824415011","sales record")</f>
        <v>sales record</v>
      </c>
      <c r="AC6911" t="s">
        <v>3</v>
      </c>
      <c r="AD6911">
        <v>41.764617</v>
      </c>
      <c r="AE6911">
        <v>-88.031834</v>
      </c>
      <c r="AF6911" s="5" t="str">
        <f>HYPERLINK("https://www.google.com/maps/search/?api=1&amp;query=41.764617,-88.031834","map")</f>
        <v>map</v>
      </c>
    </row>
    <row r="6912" spans="1:32">
      <c r="A6912" t="s">
        <v>6962</v>
      </c>
      <c r="B6912" t="s">
        <v>14414</v>
      </c>
      <c r="C6912" t="s">
        <v>16128</v>
      </c>
      <c r="D6912" t="s">
        <v>16215</v>
      </c>
      <c r="E6912" t="s">
        <v>16218</v>
      </c>
      <c r="F6912" t="s">
        <v>16220</v>
      </c>
      <c r="G6912" t="s">
        <v>16299</v>
      </c>
      <c r="H6912" t="s">
        <v>16299</v>
      </c>
      <c r="I6912" t="s">
        <v>16382</v>
      </c>
      <c r="J6912" t="s">
        <v>16385</v>
      </c>
      <c r="K6912">
        <v>0.212</v>
      </c>
      <c r="L6912">
        <v>9229</v>
      </c>
      <c r="M6912">
        <v>1594</v>
      </c>
      <c r="N6912" t="s">
        <v>16393</v>
      </c>
      <c r="O6912" s="4">
        <v>49160</v>
      </c>
      <c r="P6912" s="4">
        <v>74799</v>
      </c>
      <c r="Q6912" s="4">
        <v>123959</v>
      </c>
      <c r="R6912" s="4">
        <v>371877</v>
      </c>
      <c r="S6912" t="s">
        <v>21883</v>
      </c>
      <c r="T6912" s="6">
        <v>42095</v>
      </c>
      <c r="U6912" s="4">
        <v>285000</v>
      </c>
      <c r="V6912" t="s">
        <v>16232</v>
      </c>
      <c r="W6912" t="s">
        <v>27529</v>
      </c>
      <c r="X6912" t="s">
        <v>3</v>
      </c>
      <c r="AA6912" s="5" t="str">
        <f>HYPERLINK("https://www.zillow.com/homes/6918-PRAIRIEVIEW-AVE-WOODRIDGE-IL-605171824_rb/","check listing")</f>
        <v>check listing</v>
      </c>
      <c r="AB6912" s="5" t="str">
        <f>HYPERLINK("https://propertylookup.dupagecounty.gov/Datalets/Datalet.aspx?UseSearch=no&amp;mode=sales&amp;pin=0824411024","sales record")</f>
        <v>sales record</v>
      </c>
      <c r="AC6912" t="s">
        <v>3</v>
      </c>
      <c r="AD6912">
        <v>41.760795</v>
      </c>
      <c r="AE6912">
        <v>-88.035112</v>
      </c>
      <c r="AF6912" s="5" t="str">
        <f>HYPERLINK("https://www.google.com/maps/search/?api=1&amp;query=41.760795,-88.035112","map")</f>
        <v>map</v>
      </c>
    </row>
    <row r="6913" spans="1:32">
      <c r="A6913" t="s">
        <v>6963</v>
      </c>
      <c r="B6913" t="s">
        <v>14415</v>
      </c>
      <c r="C6913" t="s">
        <v>15323</v>
      </c>
      <c r="D6913" t="s">
        <v>16215</v>
      </c>
      <c r="E6913" t="s">
        <v>16218</v>
      </c>
      <c r="F6913" t="s">
        <v>16220</v>
      </c>
      <c r="G6913" t="s">
        <v>16299</v>
      </c>
      <c r="H6913" t="s">
        <v>16299</v>
      </c>
      <c r="I6913" t="s">
        <v>16382</v>
      </c>
      <c r="J6913" t="s">
        <v>16385</v>
      </c>
      <c r="K6913">
        <v>0.211</v>
      </c>
      <c r="L6913">
        <v>9211</v>
      </c>
      <c r="M6913">
        <v>2778</v>
      </c>
      <c r="N6913" t="s">
        <v>16393</v>
      </c>
      <c r="O6913" s="4">
        <v>52739</v>
      </c>
      <c r="P6913" s="4">
        <v>59851</v>
      </c>
      <c r="Q6913" s="4">
        <v>112590</v>
      </c>
      <c r="R6913" s="4">
        <v>337770</v>
      </c>
      <c r="S6913" t="s">
        <v>23064</v>
      </c>
      <c r="T6913" s="6">
        <v>35674</v>
      </c>
      <c r="U6913" s="4">
        <v>140000</v>
      </c>
      <c r="X6913" t="s">
        <v>3</v>
      </c>
      <c r="AA6913" s="5" t="str">
        <f>HYPERLINK("https://www.zillow.com/homes/2640-LUZERN-CT-WOODRIDGE-IL-60517_rb/","check listing")</f>
        <v>check listing</v>
      </c>
      <c r="AB6913" s="5" t="str">
        <f>HYPERLINK("https://propertylookup.dupagecounty.gov/Datalets/Datalet.aspx?UseSearch=no&amp;mode=sales&amp;pin=0836103020","sales record")</f>
        <v>sales record</v>
      </c>
      <c r="AC6913" t="s">
        <v>3</v>
      </c>
      <c r="AD6913">
        <v>41.736679</v>
      </c>
      <c r="AE6913">
        <v>-88.04581899999999</v>
      </c>
      <c r="AF6913" s="5" t="str">
        <f>HYPERLINK("https://www.google.com/maps/search/?api=1&amp;query=41.736679,-88.045819","map")</f>
        <v>map</v>
      </c>
    </row>
    <row r="6914" spans="1:32">
      <c r="A6914" t="s">
        <v>6964</v>
      </c>
      <c r="B6914" t="s">
        <v>14416</v>
      </c>
      <c r="C6914" t="s">
        <v>15323</v>
      </c>
      <c r="D6914" t="s">
        <v>16215</v>
      </c>
      <c r="E6914" t="s">
        <v>16218</v>
      </c>
      <c r="F6914" t="s">
        <v>16220</v>
      </c>
      <c r="G6914" t="s">
        <v>16299</v>
      </c>
      <c r="H6914" t="s">
        <v>16299</v>
      </c>
      <c r="I6914" t="s">
        <v>16382</v>
      </c>
      <c r="J6914" t="s">
        <v>16385</v>
      </c>
      <c r="K6914">
        <v>0.211</v>
      </c>
      <c r="L6914">
        <v>9207</v>
      </c>
      <c r="M6914">
        <v>2110</v>
      </c>
      <c r="N6914" t="s">
        <v>16393</v>
      </c>
      <c r="O6914" s="4">
        <v>54797</v>
      </c>
      <c r="P6914" s="4">
        <v>59969</v>
      </c>
      <c r="Q6914" s="4">
        <v>114766</v>
      </c>
      <c r="R6914" s="4">
        <v>344298</v>
      </c>
      <c r="S6914" t="s">
        <v>23065</v>
      </c>
      <c r="T6914" s="6">
        <v>37895</v>
      </c>
      <c r="U6914" s="4">
        <v>215000</v>
      </c>
      <c r="V6914" t="s">
        <v>23739</v>
      </c>
      <c r="W6914" t="s">
        <v>23065</v>
      </c>
      <c r="X6914" t="s">
        <v>3</v>
      </c>
      <c r="AA6914" s="5" t="str">
        <f>HYPERLINK("https://www.zillow.com/homes/2007-VANTAGE-ST-WOODRIDGE-IL-60517_rb/","check listing")</f>
        <v>check listing</v>
      </c>
      <c r="AB6914" s="5" t="str">
        <f>HYPERLINK("https://propertylookup.dupagecounty.gov/Datalets/Datalet.aspx?UseSearch=no&amp;mode=sales&amp;pin=0824415030","sales record")</f>
        <v>sales record</v>
      </c>
      <c r="AC6914" t="s">
        <v>3</v>
      </c>
      <c r="AD6914">
        <v>41.761031</v>
      </c>
      <c r="AE6914">
        <v>-88.03199600000001</v>
      </c>
      <c r="AF6914" s="5" t="str">
        <f>HYPERLINK("https://www.google.com/maps/search/?api=1&amp;query=41.761031,-88.031996","map")</f>
        <v>map</v>
      </c>
    </row>
    <row r="6915" spans="1:32">
      <c r="A6915" t="s">
        <v>6965</v>
      </c>
      <c r="B6915" t="s">
        <v>14417</v>
      </c>
      <c r="C6915" t="s">
        <v>15323</v>
      </c>
      <c r="D6915" t="s">
        <v>16215</v>
      </c>
      <c r="E6915" t="s">
        <v>16218</v>
      </c>
      <c r="F6915" t="s">
        <v>16220</v>
      </c>
      <c r="G6915" t="s">
        <v>16299</v>
      </c>
      <c r="H6915" t="s">
        <v>16299</v>
      </c>
      <c r="I6915" t="s">
        <v>16382</v>
      </c>
      <c r="J6915" t="s">
        <v>16385</v>
      </c>
      <c r="K6915">
        <v>0.211</v>
      </c>
      <c r="L6915">
        <v>9200</v>
      </c>
      <c r="M6915">
        <v>1197</v>
      </c>
      <c r="N6915" t="s">
        <v>16393</v>
      </c>
      <c r="O6915" s="4">
        <v>54797</v>
      </c>
      <c r="P6915" s="4">
        <v>58233</v>
      </c>
      <c r="Q6915" s="4">
        <v>113030</v>
      </c>
      <c r="R6915" s="4">
        <v>339090</v>
      </c>
      <c r="S6915" t="s">
        <v>23066</v>
      </c>
      <c r="X6915" t="s">
        <v>3</v>
      </c>
      <c r="AA6915" s="5" t="str">
        <f>HYPERLINK("https://www.zillow.com/homes/2578-YELLOW-STAR-ST-WOODRIDGE-IL-60517_rb/","check listing")</f>
        <v>check listing</v>
      </c>
      <c r="AB6915" s="5" t="str">
        <f>HYPERLINK("https://propertylookup.dupagecounty.gov/Datalets/Datalet.aspx?UseSearch=no&amp;mode=sales&amp;pin=0824303034","sales record")</f>
        <v>sales record</v>
      </c>
      <c r="AC6915" t="s">
        <v>3</v>
      </c>
      <c r="AD6915">
        <v>41.762896</v>
      </c>
      <c r="AE6915">
        <v>-88.048987</v>
      </c>
      <c r="AF6915" s="5" t="str">
        <f>HYPERLINK("https://www.google.com/maps/search/?api=1&amp;query=41.762896,-88.048987","map")</f>
        <v>map</v>
      </c>
    </row>
    <row r="6916" spans="1:32">
      <c r="A6916" t="s">
        <v>6966</v>
      </c>
      <c r="B6916" t="s">
        <v>14418</v>
      </c>
      <c r="C6916" t="s">
        <v>15323</v>
      </c>
      <c r="D6916" t="s">
        <v>16215</v>
      </c>
      <c r="E6916" t="s">
        <v>16218</v>
      </c>
      <c r="F6916" t="s">
        <v>16220</v>
      </c>
      <c r="G6916" t="s">
        <v>16299</v>
      </c>
      <c r="H6916" t="s">
        <v>16299</v>
      </c>
      <c r="I6916" t="s">
        <v>16382</v>
      </c>
      <c r="J6916" t="s">
        <v>16385</v>
      </c>
      <c r="K6916">
        <v>0.21</v>
      </c>
      <c r="L6916">
        <v>9167</v>
      </c>
      <c r="M6916">
        <v>1614</v>
      </c>
      <c r="N6916" t="s">
        <v>16393</v>
      </c>
      <c r="O6916" s="4">
        <v>54797</v>
      </c>
      <c r="P6916" s="4">
        <v>79067</v>
      </c>
      <c r="Q6916" s="4">
        <v>133864</v>
      </c>
      <c r="R6916" s="4">
        <v>401592</v>
      </c>
      <c r="S6916" t="s">
        <v>23067</v>
      </c>
      <c r="T6916" s="6">
        <v>46072</v>
      </c>
      <c r="U6916" s="4">
        <v>580001</v>
      </c>
      <c r="V6916" t="s">
        <v>23739</v>
      </c>
      <c r="W6916" t="s">
        <v>27530</v>
      </c>
      <c r="X6916" t="s">
        <v>3</v>
      </c>
      <c r="AA6916" s="5" t="str">
        <f>HYPERLINK("https://www.zillow.com/homes/2551-YELLOW-STAR-ST-WOODRIDGE-IL-60517_rb/","check listing")</f>
        <v>check listing</v>
      </c>
      <c r="AB6916" s="5" t="str">
        <f>HYPERLINK("https://propertylookup.dupagecounty.gov/Datalets/Datalet.aspx?UseSearch=no&amp;mode=sales&amp;pin=0824315002","sales record")</f>
        <v>sales record</v>
      </c>
      <c r="AC6916" t="s">
        <v>3</v>
      </c>
      <c r="AD6916">
        <v>41.763996</v>
      </c>
      <c r="AE6916">
        <v>-88.047943</v>
      </c>
      <c r="AF6916" s="5" t="str">
        <f>HYPERLINK("https://www.google.com/maps/search/?api=1&amp;query=41.763996,-88.047943","map")</f>
        <v>map</v>
      </c>
    </row>
    <row r="6917" spans="1:32">
      <c r="A6917" t="s">
        <v>6967</v>
      </c>
      <c r="B6917" t="s">
        <v>14419</v>
      </c>
      <c r="C6917" t="s">
        <v>15323</v>
      </c>
      <c r="D6917" t="s">
        <v>16215</v>
      </c>
      <c r="E6917" t="s">
        <v>16218</v>
      </c>
      <c r="F6917" t="s">
        <v>16220</v>
      </c>
      <c r="G6917" t="s">
        <v>16299</v>
      </c>
      <c r="H6917" t="s">
        <v>16299</v>
      </c>
      <c r="I6917" t="s">
        <v>16382</v>
      </c>
      <c r="J6917" t="s">
        <v>16385</v>
      </c>
      <c r="K6917">
        <v>0.21</v>
      </c>
      <c r="L6917">
        <v>9150</v>
      </c>
      <c r="M6917">
        <v>2390</v>
      </c>
      <c r="N6917" t="s">
        <v>16393</v>
      </c>
      <c r="O6917" s="4">
        <v>51265</v>
      </c>
      <c r="P6917" s="4">
        <v>129821</v>
      </c>
      <c r="Q6917" s="4">
        <v>181086</v>
      </c>
      <c r="R6917" s="4">
        <v>543258</v>
      </c>
      <c r="S6917" t="s">
        <v>23068</v>
      </c>
      <c r="T6917" s="6">
        <v>42856</v>
      </c>
      <c r="U6917" s="4">
        <v>415000</v>
      </c>
      <c r="V6917" t="s">
        <v>23739</v>
      </c>
      <c r="W6917" t="s">
        <v>23068</v>
      </c>
      <c r="X6917" t="s">
        <v>3</v>
      </c>
      <c r="AA6917" s="5" t="str">
        <f>HYPERLINK("https://www.zillow.com/homes/6773-GREENLEAF-ST-WOODRIDGE-IL-60517_rb/","check listing")</f>
        <v>check listing</v>
      </c>
      <c r="AB6917" s="5" t="str">
        <f>HYPERLINK("https://propertylookup.dupagecounty.gov/Datalets/Datalet.aspx?UseSearch=no&amp;mode=sales&amp;pin=0824413018","sales record")</f>
        <v>sales record</v>
      </c>
      <c r="AC6917" t="s">
        <v>3</v>
      </c>
      <c r="AD6917">
        <v>41.76326</v>
      </c>
      <c r="AE6917">
        <v>-88.034508</v>
      </c>
      <c r="AF6917" s="5" t="str">
        <f>HYPERLINK("https://www.google.com/maps/search/?api=1&amp;query=41.76326,-88.034508","map")</f>
        <v>map</v>
      </c>
    </row>
    <row r="6918" spans="1:32">
      <c r="A6918" t="s">
        <v>6968</v>
      </c>
      <c r="B6918" t="s">
        <v>14420</v>
      </c>
      <c r="C6918" t="s">
        <v>16125</v>
      </c>
      <c r="D6918" t="s">
        <v>16215</v>
      </c>
      <c r="E6918" t="s">
        <v>16218</v>
      </c>
      <c r="F6918" t="s">
        <v>16220</v>
      </c>
      <c r="G6918" t="s">
        <v>16299</v>
      </c>
      <c r="H6918" t="s">
        <v>16299</v>
      </c>
      <c r="I6918" t="s">
        <v>16382</v>
      </c>
      <c r="J6918" t="s">
        <v>16385</v>
      </c>
      <c r="K6918">
        <v>0.21</v>
      </c>
      <c r="L6918">
        <v>9129</v>
      </c>
      <c r="M6918">
        <v>1502</v>
      </c>
      <c r="N6918" t="s">
        <v>16393</v>
      </c>
      <c r="O6918" s="4">
        <v>51265</v>
      </c>
      <c r="P6918" s="4">
        <v>92017</v>
      </c>
      <c r="Q6918" s="4">
        <v>143282</v>
      </c>
      <c r="R6918" s="4">
        <v>429846</v>
      </c>
      <c r="S6918" t="s">
        <v>23069</v>
      </c>
      <c r="T6918" s="6">
        <v>31747</v>
      </c>
      <c r="U6918" s="4">
        <v>110000</v>
      </c>
      <c r="X6918" t="s">
        <v>3</v>
      </c>
      <c r="AA6918" s="5" t="str">
        <f>HYPERLINK("https://www.zillow.com/homes/6762-GREENLEAF-ST-WOODRIDGE-IL-605171865_rb/","check listing")</f>
        <v>check listing</v>
      </c>
      <c r="AB6918" s="5" t="str">
        <f>HYPERLINK("https://propertylookup.dupagecounty.gov/Datalets/Datalet.aspx?UseSearch=no&amp;mode=sales&amp;pin=0824414001","sales record")</f>
        <v>sales record</v>
      </c>
      <c r="AC6918" t="s">
        <v>3</v>
      </c>
      <c r="AD6918">
        <v>41.762819</v>
      </c>
      <c r="AE6918">
        <v>-88.035302</v>
      </c>
      <c r="AF6918" s="5" t="str">
        <f>HYPERLINK("https://www.google.com/maps/search/?api=1&amp;query=41.762819,-88.035302","map")</f>
        <v>map</v>
      </c>
    </row>
    <row r="6919" spans="1:32">
      <c r="A6919" t="s">
        <v>6969</v>
      </c>
      <c r="B6919" t="s">
        <v>14421</v>
      </c>
      <c r="C6919" t="s">
        <v>16127</v>
      </c>
      <c r="D6919" t="s">
        <v>16215</v>
      </c>
      <c r="E6919" t="s">
        <v>16218</v>
      </c>
      <c r="F6919" t="s">
        <v>16220</v>
      </c>
      <c r="G6919" t="s">
        <v>16299</v>
      </c>
      <c r="H6919" t="s">
        <v>16299</v>
      </c>
      <c r="I6919" t="s">
        <v>16382</v>
      </c>
      <c r="J6919" t="s">
        <v>16385</v>
      </c>
      <c r="K6919">
        <v>0.21</v>
      </c>
      <c r="L6919">
        <v>9127</v>
      </c>
      <c r="M6919">
        <v>2155</v>
      </c>
      <c r="N6919" t="s">
        <v>16393</v>
      </c>
      <c r="O6919" s="4">
        <v>51265</v>
      </c>
      <c r="P6919" s="4">
        <v>107691</v>
      </c>
      <c r="Q6919" s="4">
        <v>158956</v>
      </c>
      <c r="R6919" s="4">
        <v>476868</v>
      </c>
      <c r="S6919" t="s">
        <v>23070</v>
      </c>
      <c r="T6919" s="6">
        <v>44166</v>
      </c>
      <c r="U6919" s="4">
        <v>360000</v>
      </c>
      <c r="V6919" t="s">
        <v>23739</v>
      </c>
      <c r="W6919" t="s">
        <v>23070</v>
      </c>
      <c r="X6919" t="s">
        <v>3</v>
      </c>
      <c r="AA6919" s="5" t="str">
        <f>HYPERLINK("https://www.zillow.com/homes/6755-GREENLEAF-ST-WOODRIDGE-IL-605171831_rb/","check listing")</f>
        <v>check listing</v>
      </c>
      <c r="AB6919" s="5" t="str">
        <f>HYPERLINK("https://propertylookup.dupagecounty.gov/Datalets/Datalet.aspx?UseSearch=no&amp;mode=sales&amp;pin=0824413015","sales record")</f>
        <v>sales record</v>
      </c>
      <c r="AC6919" t="s">
        <v>3</v>
      </c>
      <c r="AD6919">
        <v>41.763316</v>
      </c>
      <c r="AE6919">
        <v>-88.035332</v>
      </c>
      <c r="AF6919" s="5" t="str">
        <f>HYPERLINK("https://www.google.com/maps/search/?api=1&amp;query=41.763316,-88.035332","map")</f>
        <v>map</v>
      </c>
    </row>
    <row r="6920" spans="1:32">
      <c r="A6920" t="s">
        <v>6970</v>
      </c>
      <c r="B6920" t="s">
        <v>14422</v>
      </c>
      <c r="C6920" t="s">
        <v>15323</v>
      </c>
      <c r="D6920" t="s">
        <v>16215</v>
      </c>
      <c r="E6920" t="s">
        <v>16218</v>
      </c>
      <c r="F6920" t="s">
        <v>16220</v>
      </c>
      <c r="G6920" t="s">
        <v>16299</v>
      </c>
      <c r="H6920" t="s">
        <v>16299</v>
      </c>
      <c r="I6920" t="s">
        <v>16382</v>
      </c>
      <c r="J6920" t="s">
        <v>16385</v>
      </c>
      <c r="K6920">
        <v>0.209</v>
      </c>
      <c r="L6920">
        <v>9122</v>
      </c>
      <c r="M6920">
        <v>2075</v>
      </c>
      <c r="N6920" t="s">
        <v>16393</v>
      </c>
      <c r="O6920" s="4">
        <v>54797</v>
      </c>
      <c r="P6920" s="4">
        <v>81993</v>
      </c>
      <c r="Q6920" s="4">
        <v>136790</v>
      </c>
      <c r="R6920" s="4">
        <v>410370</v>
      </c>
      <c r="S6920" t="s">
        <v>23071</v>
      </c>
      <c r="T6920" s="6">
        <v>37165</v>
      </c>
      <c r="U6920" s="4">
        <v>204500</v>
      </c>
      <c r="V6920" t="s">
        <v>23739</v>
      </c>
      <c r="W6920" t="s">
        <v>27531</v>
      </c>
      <c r="X6920" t="s">
        <v>3</v>
      </c>
      <c r="AA6920" s="5" t="str">
        <f>HYPERLINK("https://www.zillow.com/homes/5-CHERRY-TREE-CT-WOODRIDGE-IL-60517_rb/","check listing")</f>
        <v>check listing</v>
      </c>
      <c r="AB6920" s="5" t="str">
        <f>HYPERLINK("https://propertylookup.dupagecounty.gov/Datalets/Datalet.aspx?UseSearch=no&amp;mode=sales&amp;pin=0824316011","sales record")</f>
        <v>sales record</v>
      </c>
      <c r="AC6920" t="s">
        <v>3</v>
      </c>
      <c r="AD6920">
        <v>41.763985</v>
      </c>
      <c r="AE6920">
        <v>-88.04594899999999</v>
      </c>
      <c r="AF6920" s="5" t="str">
        <f>HYPERLINK("https://www.google.com/maps/search/?api=1&amp;query=41.763985,-88.045949","map")</f>
        <v>map</v>
      </c>
    </row>
    <row r="6921" spans="1:32">
      <c r="A6921" t="s">
        <v>6971</v>
      </c>
      <c r="B6921" t="s">
        <v>14423</v>
      </c>
      <c r="C6921" t="s">
        <v>15323</v>
      </c>
      <c r="D6921" t="s">
        <v>16215</v>
      </c>
      <c r="E6921" t="s">
        <v>16218</v>
      </c>
      <c r="F6921" t="s">
        <v>16220</v>
      </c>
      <c r="G6921" t="s">
        <v>16299</v>
      </c>
      <c r="H6921" t="s">
        <v>16299</v>
      </c>
      <c r="I6921" t="s">
        <v>16382</v>
      </c>
      <c r="J6921" t="s">
        <v>16385</v>
      </c>
      <c r="K6921">
        <v>0.209</v>
      </c>
      <c r="L6921">
        <v>9115</v>
      </c>
      <c r="M6921">
        <v>2387</v>
      </c>
      <c r="N6921" t="s">
        <v>16393</v>
      </c>
      <c r="O6921" s="4">
        <v>54797</v>
      </c>
      <c r="P6921" s="4">
        <v>66890</v>
      </c>
      <c r="Q6921" s="4">
        <v>121687</v>
      </c>
      <c r="R6921" s="4">
        <v>365061</v>
      </c>
      <c r="S6921" t="s">
        <v>23072</v>
      </c>
      <c r="T6921" s="6">
        <v>40603</v>
      </c>
      <c r="U6921" s="4">
        <v>203000</v>
      </c>
      <c r="V6921" t="s">
        <v>23739</v>
      </c>
      <c r="W6921" t="s">
        <v>27532</v>
      </c>
      <c r="X6921" t="s">
        <v>3</v>
      </c>
      <c r="AA6921" s="5" t="str">
        <f>HYPERLINK("https://www.zillow.com/homes/2042-SUNNYDALE-ST-WOODRIDGE-IL-60517_rb/","check listing")</f>
        <v>check listing</v>
      </c>
      <c r="AB6921" s="5" t="str">
        <f>HYPERLINK("https://propertylookup.dupagecounty.gov/Datalets/Datalet.aspx?UseSearch=no&amp;mode=sales&amp;pin=0824414029","sales record")</f>
        <v>sales record</v>
      </c>
      <c r="AC6921" t="s">
        <v>3</v>
      </c>
      <c r="AD6921">
        <v>41.76047</v>
      </c>
      <c r="AE6921">
        <v>-88.033474</v>
      </c>
      <c r="AF6921" s="5" t="str">
        <f>HYPERLINK("https://www.google.com/maps/search/?api=1&amp;query=41.76047,-88.033474","map")</f>
        <v>map</v>
      </c>
    </row>
    <row r="6922" spans="1:32">
      <c r="A6922" t="s">
        <v>6972</v>
      </c>
      <c r="B6922" t="s">
        <v>14424</v>
      </c>
      <c r="C6922" t="s">
        <v>16129</v>
      </c>
      <c r="D6922" t="s">
        <v>16215</v>
      </c>
      <c r="E6922" t="s">
        <v>16218</v>
      </c>
      <c r="F6922" t="s">
        <v>16220</v>
      </c>
      <c r="G6922" t="s">
        <v>16299</v>
      </c>
      <c r="H6922" t="s">
        <v>16299</v>
      </c>
      <c r="I6922" t="s">
        <v>16382</v>
      </c>
      <c r="J6922" t="s">
        <v>16385</v>
      </c>
      <c r="K6922">
        <v>0.209</v>
      </c>
      <c r="L6922">
        <v>9113</v>
      </c>
      <c r="M6922">
        <v>1637</v>
      </c>
      <c r="N6922" t="s">
        <v>16393</v>
      </c>
      <c r="O6922" s="4">
        <v>54797</v>
      </c>
      <c r="P6922" s="4">
        <v>70577</v>
      </c>
      <c r="Q6922" s="4">
        <v>125374</v>
      </c>
      <c r="R6922" s="4">
        <v>376122</v>
      </c>
      <c r="S6922" t="s">
        <v>23073</v>
      </c>
      <c r="T6922" s="6">
        <v>44348</v>
      </c>
      <c r="U6922" s="4">
        <v>315000</v>
      </c>
      <c r="V6922" t="s">
        <v>23739</v>
      </c>
      <c r="W6922" t="s">
        <v>23073</v>
      </c>
      <c r="X6922" t="s">
        <v>3</v>
      </c>
      <c r="AA6922" s="5" t="str">
        <f>HYPERLINK("https://www.zillow.com/homes/6678-WHEATFIELD-ST-WOODRIDGE-IL-605171714_rb/","check listing")</f>
        <v>check listing</v>
      </c>
      <c r="AB6922" s="5" t="str">
        <f>HYPERLINK("https://propertylookup.dupagecounty.gov/Datalets/Datalet.aspx?UseSearch=no&amp;mode=sales&amp;pin=0824110009","sales record")</f>
        <v>sales record</v>
      </c>
      <c r="AC6922" t="s">
        <v>3</v>
      </c>
      <c r="AD6922">
        <v>41.765829</v>
      </c>
      <c r="AE6922">
        <v>-88.044505</v>
      </c>
      <c r="AF6922" s="5" t="str">
        <f>HYPERLINK("https://www.google.com/maps/search/?api=1&amp;query=41.765829,-88.044505","map")</f>
        <v>map</v>
      </c>
    </row>
    <row r="6923" spans="1:32">
      <c r="A6923" t="s">
        <v>6973</v>
      </c>
      <c r="B6923" t="s">
        <v>14425</v>
      </c>
      <c r="C6923" t="s">
        <v>15323</v>
      </c>
      <c r="D6923" t="s">
        <v>16215</v>
      </c>
      <c r="E6923" t="s">
        <v>16218</v>
      </c>
      <c r="F6923" t="s">
        <v>16220</v>
      </c>
      <c r="G6923" t="s">
        <v>16299</v>
      </c>
      <c r="H6923" t="s">
        <v>16299</v>
      </c>
      <c r="I6923" t="s">
        <v>16382</v>
      </c>
      <c r="J6923" t="s">
        <v>16385</v>
      </c>
      <c r="K6923">
        <v>0.209</v>
      </c>
      <c r="L6923">
        <v>9093</v>
      </c>
      <c r="M6923">
        <v>808</v>
      </c>
      <c r="N6923" t="s">
        <v>16393</v>
      </c>
      <c r="O6923" s="4">
        <v>54797</v>
      </c>
      <c r="P6923" s="4">
        <v>59232</v>
      </c>
      <c r="Q6923" s="4">
        <v>114029</v>
      </c>
      <c r="R6923" s="4">
        <v>342087</v>
      </c>
      <c r="S6923" t="s">
        <v>23074</v>
      </c>
      <c r="T6923" s="6">
        <v>38261</v>
      </c>
      <c r="U6923" s="4">
        <v>233000</v>
      </c>
      <c r="V6923" t="s">
        <v>23739</v>
      </c>
      <c r="W6923" t="s">
        <v>27533</v>
      </c>
      <c r="X6923" t="s">
        <v>3</v>
      </c>
      <c r="AA6923" s="5" t="str">
        <f>HYPERLINK("https://www.zillow.com/homes/2367-SUNNYDALE-DR-WOODRIDGE-IL-60517_rb/","check listing")</f>
        <v>check listing</v>
      </c>
      <c r="AB6923" s="5" t="str">
        <f>HYPERLINK("https://propertylookup.dupagecounty.gov/Datalets/Datalet.aspx?UseSearch=no&amp;mode=sales&amp;pin=0824420006","sales record")</f>
        <v>sales record</v>
      </c>
      <c r="AC6923" t="s">
        <v>3</v>
      </c>
      <c r="AD6923">
        <v>41.760205</v>
      </c>
      <c r="AE6923">
        <v>-88.039518</v>
      </c>
      <c r="AF6923" s="5" t="str">
        <f>HYPERLINK("https://www.google.com/maps/search/?api=1&amp;query=41.760205,-88.039518","map")</f>
        <v>map</v>
      </c>
    </row>
    <row r="6924" spans="1:32">
      <c r="A6924" t="s">
        <v>6974</v>
      </c>
      <c r="B6924" t="s">
        <v>14426</v>
      </c>
      <c r="C6924" t="s">
        <v>15323</v>
      </c>
      <c r="D6924" t="s">
        <v>16215</v>
      </c>
      <c r="E6924" t="s">
        <v>16218</v>
      </c>
      <c r="F6924" t="s">
        <v>16220</v>
      </c>
      <c r="G6924" t="s">
        <v>16299</v>
      </c>
      <c r="H6924" t="s">
        <v>16299</v>
      </c>
      <c r="I6924" t="s">
        <v>16382</v>
      </c>
      <c r="J6924" t="s">
        <v>16385</v>
      </c>
      <c r="K6924">
        <v>0.208</v>
      </c>
      <c r="L6924">
        <v>9081</v>
      </c>
      <c r="N6924" t="s">
        <v>16393</v>
      </c>
      <c r="O6924" s="4">
        <v>54797</v>
      </c>
      <c r="P6924" s="4">
        <v>81220</v>
      </c>
      <c r="Q6924" s="4">
        <v>136017</v>
      </c>
      <c r="R6924" s="4">
        <v>408051</v>
      </c>
      <c r="S6924" t="s">
        <v>23075</v>
      </c>
      <c r="X6924" t="s">
        <v>3</v>
      </c>
      <c r="AA6924" s="5" t="str">
        <f>HYPERLINK("https://www.zillow.com/homes/2574-YELLOW-STAR-ST-WOODRIDGE-IL-60517_rb/","check listing")</f>
        <v>check listing</v>
      </c>
      <c r="AB6924" s="5" t="str">
        <f>HYPERLINK("https://propertylookup.dupagecounty.gov/Datalets/Datalet.aspx?UseSearch=no&amp;mode=sales&amp;pin=0824302012","sales record")</f>
        <v>sales record</v>
      </c>
      <c r="AC6924" t="s">
        <v>3</v>
      </c>
      <c r="AD6924">
        <v>41.763174</v>
      </c>
      <c r="AE6924">
        <v>-88.04911300000001</v>
      </c>
      <c r="AF6924" s="5" t="str">
        <f>HYPERLINK("https://www.google.com/maps/search/?api=1&amp;query=41.763174,-88.049113","map")</f>
        <v>map</v>
      </c>
    </row>
    <row r="6925" spans="1:32">
      <c r="A6925" t="s">
        <v>6975</v>
      </c>
      <c r="B6925" t="s">
        <v>14427</v>
      </c>
      <c r="C6925" t="s">
        <v>15323</v>
      </c>
      <c r="D6925" t="s">
        <v>16215</v>
      </c>
      <c r="E6925" t="s">
        <v>16218</v>
      </c>
      <c r="F6925" t="s">
        <v>16220</v>
      </c>
      <c r="G6925" t="s">
        <v>16299</v>
      </c>
      <c r="H6925" t="s">
        <v>16299</v>
      </c>
      <c r="I6925" t="s">
        <v>16382</v>
      </c>
      <c r="J6925" t="s">
        <v>16385</v>
      </c>
      <c r="K6925">
        <v>0.208</v>
      </c>
      <c r="L6925">
        <v>9076</v>
      </c>
      <c r="M6925">
        <v>1748</v>
      </c>
      <c r="N6925" t="s">
        <v>16393</v>
      </c>
      <c r="O6925" s="4">
        <v>54797</v>
      </c>
      <c r="P6925" s="4">
        <v>90484</v>
      </c>
      <c r="Q6925" s="4">
        <v>145281</v>
      </c>
      <c r="R6925" s="4">
        <v>435843</v>
      </c>
      <c r="S6925" t="s">
        <v>23076</v>
      </c>
      <c r="T6925" s="6">
        <v>33756</v>
      </c>
      <c r="U6925" s="4">
        <v>136500</v>
      </c>
      <c r="X6925" t="s">
        <v>3</v>
      </c>
      <c r="AA6925" s="5" t="str">
        <f>HYPERLINK("https://www.zillow.com/homes/4-CHERRY-TREE-CT-WOODRIDGE-IL-60517_rb/","check listing")</f>
        <v>check listing</v>
      </c>
      <c r="AB6925" s="5" t="str">
        <f>HYPERLINK("https://propertylookup.dupagecounty.gov/Datalets/Datalet.aspx?UseSearch=no&amp;mode=sales&amp;pin=0824316012","sales record")</f>
        <v>sales record</v>
      </c>
      <c r="AC6925" t="s">
        <v>3</v>
      </c>
      <c r="AD6925">
        <v>41.763919</v>
      </c>
      <c r="AE6925">
        <v>-88.045722</v>
      </c>
      <c r="AF6925" s="5" t="str">
        <f>HYPERLINK("https://www.google.com/maps/search/?api=1&amp;query=41.763919,-88.045722","map")</f>
        <v>map</v>
      </c>
    </row>
    <row r="6926" spans="1:32">
      <c r="A6926" t="s">
        <v>6976</v>
      </c>
      <c r="B6926" t="s">
        <v>14428</v>
      </c>
      <c r="C6926" t="s">
        <v>16130</v>
      </c>
      <c r="D6926" t="s">
        <v>16215</v>
      </c>
      <c r="E6926" t="s">
        <v>16218</v>
      </c>
      <c r="F6926" t="s">
        <v>16220</v>
      </c>
      <c r="G6926" t="s">
        <v>16299</v>
      </c>
      <c r="H6926" t="s">
        <v>16299</v>
      </c>
      <c r="I6926" t="s">
        <v>16382</v>
      </c>
      <c r="J6926" t="s">
        <v>16385</v>
      </c>
      <c r="K6926">
        <v>0.208</v>
      </c>
      <c r="L6926">
        <v>9045</v>
      </c>
      <c r="M6926">
        <v>2356</v>
      </c>
      <c r="N6926" t="s">
        <v>16393</v>
      </c>
      <c r="O6926" s="4">
        <v>51265</v>
      </c>
      <c r="P6926" s="4">
        <v>117525</v>
      </c>
      <c r="Q6926" s="4">
        <v>168790</v>
      </c>
      <c r="R6926" s="4">
        <v>506370</v>
      </c>
      <c r="S6926" t="s">
        <v>23077</v>
      </c>
      <c r="T6926" s="6">
        <v>43739</v>
      </c>
      <c r="U6926" s="4">
        <v>379900</v>
      </c>
      <c r="V6926" t="s">
        <v>23739</v>
      </c>
      <c r="W6926" t="s">
        <v>27534</v>
      </c>
      <c r="X6926" t="s">
        <v>3</v>
      </c>
      <c r="AA6926" s="5" t="str">
        <f>HYPERLINK("https://www.zillow.com/homes/2101-WHEELER-ST-WOODRIDGE-IL-605171815_rb/","check listing")</f>
        <v>check listing</v>
      </c>
      <c r="AB6926" s="5" t="str">
        <f>HYPERLINK("https://propertylookup.dupagecounty.gov/Datalets/Datalet.aspx?UseSearch=no&amp;mode=sales&amp;pin=0824413007","sales record")</f>
        <v>sales record</v>
      </c>
      <c r="AC6926" t="s">
        <v>3</v>
      </c>
      <c r="AD6926">
        <v>41.764598</v>
      </c>
      <c r="AE6926">
        <v>-88.034953</v>
      </c>
      <c r="AF6926" s="5" t="str">
        <f>HYPERLINK("https://www.google.com/maps/search/?api=1&amp;query=41.764598,-88.034953","map")</f>
        <v>map</v>
      </c>
    </row>
    <row r="6927" spans="1:32">
      <c r="A6927" t="s">
        <v>6977</v>
      </c>
      <c r="B6927" t="s">
        <v>14429</v>
      </c>
      <c r="C6927" t="s">
        <v>15323</v>
      </c>
      <c r="D6927" t="s">
        <v>16215</v>
      </c>
      <c r="E6927" t="s">
        <v>16218</v>
      </c>
      <c r="F6927" t="s">
        <v>16220</v>
      </c>
      <c r="G6927" t="s">
        <v>16299</v>
      </c>
      <c r="H6927" t="s">
        <v>16299</v>
      </c>
      <c r="I6927" t="s">
        <v>16382</v>
      </c>
      <c r="J6927" t="s">
        <v>16385</v>
      </c>
      <c r="K6927">
        <v>0.207</v>
      </c>
      <c r="L6927">
        <v>9032</v>
      </c>
      <c r="M6927">
        <v>1257</v>
      </c>
      <c r="N6927" t="s">
        <v>16393</v>
      </c>
      <c r="O6927" s="4">
        <v>54797</v>
      </c>
      <c r="P6927" s="4">
        <v>80970</v>
      </c>
      <c r="Q6927" s="4">
        <v>135767</v>
      </c>
      <c r="R6927" s="4">
        <v>407301</v>
      </c>
      <c r="S6927" t="s">
        <v>23078</v>
      </c>
      <c r="T6927" s="6">
        <v>42705</v>
      </c>
      <c r="U6927" s="4">
        <v>295000</v>
      </c>
      <c r="V6927" t="s">
        <v>23739</v>
      </c>
      <c r="W6927" t="s">
        <v>27535</v>
      </c>
      <c r="X6927" t="s">
        <v>3</v>
      </c>
      <c r="AA6927" s="5" t="str">
        <f>HYPERLINK("https://www.zillow.com/homes/2548-YELLOW-STAR-ST-WOODRIDGE-IL-60517_rb/","check listing")</f>
        <v>check listing</v>
      </c>
      <c r="AB6927" s="5" t="str">
        <f>HYPERLINK("https://propertylookup.dupagecounty.gov/Datalets/Datalet.aspx?UseSearch=no&amp;mode=sales&amp;pin=0824302005","sales record")</f>
        <v>sales record</v>
      </c>
      <c r="AC6927" t="s">
        <v>3</v>
      </c>
      <c r="AD6927">
        <v>41.764612</v>
      </c>
      <c r="AE6927">
        <v>-88.048294</v>
      </c>
      <c r="AF6927" s="5" t="str">
        <f>HYPERLINK("https://www.google.com/maps/search/?api=1&amp;query=41.764612,-88.048294","map")</f>
        <v>map</v>
      </c>
    </row>
    <row r="6928" spans="1:32">
      <c r="A6928" t="s">
        <v>6978</v>
      </c>
      <c r="B6928" t="s">
        <v>14430</v>
      </c>
      <c r="C6928" t="s">
        <v>15323</v>
      </c>
      <c r="D6928" t="s">
        <v>16215</v>
      </c>
      <c r="E6928" t="s">
        <v>16218</v>
      </c>
      <c r="F6928" t="s">
        <v>16220</v>
      </c>
      <c r="G6928" t="s">
        <v>16299</v>
      </c>
      <c r="H6928" t="s">
        <v>16299</v>
      </c>
      <c r="I6928" t="s">
        <v>16382</v>
      </c>
      <c r="J6928" t="s">
        <v>16385</v>
      </c>
      <c r="K6928">
        <v>0.207</v>
      </c>
      <c r="L6928">
        <v>9001</v>
      </c>
      <c r="M6928">
        <v>2242</v>
      </c>
      <c r="N6928" t="s">
        <v>16393</v>
      </c>
      <c r="O6928" s="4">
        <v>51241</v>
      </c>
      <c r="P6928" s="4">
        <v>117525</v>
      </c>
      <c r="Q6928" s="4">
        <v>168766</v>
      </c>
      <c r="R6928" s="4">
        <v>506298</v>
      </c>
      <c r="S6928" t="s">
        <v>23079</v>
      </c>
      <c r="T6928" s="6">
        <v>29129</v>
      </c>
      <c r="U6928" s="4">
        <v>110887</v>
      </c>
      <c r="X6928" t="s">
        <v>3</v>
      </c>
      <c r="AA6928" s="5" t="str">
        <f>HYPERLINK("https://www.zillow.com/homes/6749-GREENLEAF-ST-WOODRIDGE-IL-60517_rb/","check listing")</f>
        <v>check listing</v>
      </c>
      <c r="AB6928" s="5" t="str">
        <f>HYPERLINK("https://propertylookup.dupagecounty.gov/Datalets/Datalet.aspx?UseSearch=no&amp;mode=sales&amp;pin=0824413013","sales record")</f>
        <v>sales record</v>
      </c>
      <c r="AC6928" t="s">
        <v>3</v>
      </c>
      <c r="AD6928">
        <v>41.76348</v>
      </c>
      <c r="AE6928">
        <v>-88.035631</v>
      </c>
      <c r="AF6928" s="5" t="str">
        <f>HYPERLINK("https://www.google.com/maps/search/?api=1&amp;query=41.76348,-88.035631","map")</f>
        <v>map</v>
      </c>
    </row>
    <row r="6929" spans="1:32">
      <c r="A6929" t="s">
        <v>6979</v>
      </c>
      <c r="B6929" t="s">
        <v>14431</v>
      </c>
      <c r="C6929" t="s">
        <v>15323</v>
      </c>
      <c r="D6929" t="s">
        <v>16215</v>
      </c>
      <c r="E6929" t="s">
        <v>16218</v>
      </c>
      <c r="F6929" t="s">
        <v>16220</v>
      </c>
      <c r="G6929" t="s">
        <v>16299</v>
      </c>
      <c r="H6929" t="s">
        <v>16299</v>
      </c>
      <c r="I6929" t="s">
        <v>16382</v>
      </c>
      <c r="J6929" t="s">
        <v>16385</v>
      </c>
      <c r="K6929">
        <v>0.206</v>
      </c>
      <c r="L6929">
        <v>8953</v>
      </c>
      <c r="M6929">
        <v>1316</v>
      </c>
      <c r="N6929" t="s">
        <v>16393</v>
      </c>
      <c r="O6929" s="4">
        <v>49124</v>
      </c>
      <c r="P6929" s="4">
        <v>56533</v>
      </c>
      <c r="Q6929" s="4">
        <v>105657</v>
      </c>
      <c r="R6929" s="4">
        <v>316971</v>
      </c>
      <c r="S6929" t="s">
        <v>23080</v>
      </c>
      <c r="T6929" s="6">
        <v>41061</v>
      </c>
      <c r="U6929" s="4">
        <v>170000</v>
      </c>
      <c r="V6929" t="s">
        <v>23739</v>
      </c>
      <c r="W6929" t="s">
        <v>27536</v>
      </c>
      <c r="X6929" t="s">
        <v>3</v>
      </c>
      <c r="AA6929" s="5" t="str">
        <f>HYPERLINK("https://www.zillow.com/homes/2334-VISTA-DR-WOODRIDGE-IL-60517_rb/","check listing")</f>
        <v>check listing</v>
      </c>
      <c r="AB6929" s="5" t="str">
        <f>HYPERLINK("https://propertylookup.dupagecounty.gov/Datalets/Datalet.aspx?UseSearch=no&amp;mode=sales&amp;pin=0824408035","sales record")</f>
        <v>sales record</v>
      </c>
      <c r="AC6929" t="s">
        <v>3</v>
      </c>
      <c r="AD6929">
        <v>41.761333</v>
      </c>
      <c r="AE6929">
        <v>-88.037004</v>
      </c>
      <c r="AF6929" s="5" t="str">
        <f>HYPERLINK("https://www.google.com/maps/search/?api=1&amp;query=41.761333,-88.037004","map")</f>
        <v>map</v>
      </c>
    </row>
    <row r="6930" spans="1:32">
      <c r="A6930" t="s">
        <v>6980</v>
      </c>
      <c r="B6930" t="s">
        <v>14432</v>
      </c>
      <c r="C6930" t="s">
        <v>15323</v>
      </c>
      <c r="D6930" t="s">
        <v>16215</v>
      </c>
      <c r="E6930" t="s">
        <v>16218</v>
      </c>
      <c r="F6930" t="s">
        <v>16220</v>
      </c>
      <c r="G6930" t="s">
        <v>16299</v>
      </c>
      <c r="H6930" t="s">
        <v>16299</v>
      </c>
      <c r="I6930" t="s">
        <v>16382</v>
      </c>
      <c r="J6930" t="s">
        <v>16385</v>
      </c>
      <c r="K6930">
        <v>0.205</v>
      </c>
      <c r="L6930">
        <v>8945</v>
      </c>
      <c r="M6930">
        <v>1342</v>
      </c>
      <c r="N6930" t="s">
        <v>16393</v>
      </c>
      <c r="O6930" s="4">
        <v>54797</v>
      </c>
      <c r="P6930" s="4">
        <v>66700</v>
      </c>
      <c r="Q6930" s="4">
        <v>121497</v>
      </c>
      <c r="R6930" s="4">
        <v>364491</v>
      </c>
      <c r="S6930" t="s">
        <v>23081</v>
      </c>
      <c r="T6930" s="6">
        <v>33390</v>
      </c>
      <c r="U6930" s="4">
        <v>126500</v>
      </c>
      <c r="X6930" t="s">
        <v>3</v>
      </c>
      <c r="AA6930" s="5" t="str">
        <f>HYPERLINK("https://www.zillow.com/homes/2401-PHEASANT-ST-WOODRIDGE-IL-60517_rb/","check listing")</f>
        <v>check listing</v>
      </c>
      <c r="AB6930" s="5" t="str">
        <f>HYPERLINK("https://propertylookup.dupagecounty.gov/Datalets/Datalet.aspx?UseSearch=no&amp;mode=sales&amp;pin=0824402003","sales record")</f>
        <v>sales record</v>
      </c>
      <c r="AC6930" t="s">
        <v>3</v>
      </c>
      <c r="AD6930">
        <v>41.764484</v>
      </c>
      <c r="AE6930">
        <v>-88.04059100000001</v>
      </c>
      <c r="AF6930" s="5" t="str">
        <f>HYPERLINK("https://www.google.com/maps/search/?api=1&amp;query=41.764484,-88.040591","map")</f>
        <v>map</v>
      </c>
    </row>
    <row r="6931" spans="1:32">
      <c r="A6931" t="s">
        <v>6981</v>
      </c>
      <c r="B6931" t="s">
        <v>14433</v>
      </c>
      <c r="C6931" t="s">
        <v>16131</v>
      </c>
      <c r="D6931" t="s">
        <v>16215</v>
      </c>
      <c r="E6931" t="s">
        <v>16218</v>
      </c>
      <c r="F6931" t="s">
        <v>16220</v>
      </c>
      <c r="G6931" t="s">
        <v>16299</v>
      </c>
      <c r="H6931" t="s">
        <v>16299</v>
      </c>
      <c r="I6931" t="s">
        <v>16382</v>
      </c>
      <c r="J6931" t="s">
        <v>16385</v>
      </c>
      <c r="K6931">
        <v>0.204</v>
      </c>
      <c r="L6931">
        <v>8906</v>
      </c>
      <c r="M6931">
        <v>1865</v>
      </c>
      <c r="N6931" t="s">
        <v>16393</v>
      </c>
      <c r="O6931" s="4">
        <v>54797</v>
      </c>
      <c r="P6931" s="4">
        <v>71398</v>
      </c>
      <c r="Q6931" s="4">
        <v>126195</v>
      </c>
      <c r="R6931" s="4">
        <v>378585</v>
      </c>
      <c r="S6931" t="s">
        <v>23082</v>
      </c>
      <c r="T6931" s="6">
        <v>44682</v>
      </c>
      <c r="U6931" s="4">
        <v>330000</v>
      </c>
      <c r="V6931" t="s">
        <v>23739</v>
      </c>
      <c r="W6931" t="s">
        <v>27537</v>
      </c>
      <c r="X6931" t="s">
        <v>3</v>
      </c>
      <c r="AA6931" s="5" t="str">
        <f>HYPERLINK("https://www.zillow.com/homes/5-BRAMBLE-BUSH-CT-WOODRIDGE-IL-605171837_rb/","check listing")</f>
        <v>check listing</v>
      </c>
      <c r="AB6931" s="5" t="str">
        <f>HYPERLINK("https://propertylookup.dupagecounty.gov/Datalets/Datalet.aspx?UseSearch=no&amp;mode=sales&amp;pin=0824414017","sales record")</f>
        <v>sales record</v>
      </c>
      <c r="AC6931" t="s">
        <v>3</v>
      </c>
      <c r="AD6931">
        <v>41.761932</v>
      </c>
      <c r="AE6931">
        <v>-88.034226</v>
      </c>
      <c r="AF6931" s="5" t="str">
        <f>HYPERLINK("https://www.google.com/maps/search/?api=1&amp;query=41.761932,-88.034226","map")</f>
        <v>map</v>
      </c>
    </row>
    <row r="6932" spans="1:32">
      <c r="A6932" t="s">
        <v>6982</v>
      </c>
      <c r="B6932" t="s">
        <v>14434</v>
      </c>
      <c r="C6932" t="s">
        <v>15323</v>
      </c>
      <c r="D6932" t="s">
        <v>16215</v>
      </c>
      <c r="E6932" t="s">
        <v>16218</v>
      </c>
      <c r="F6932" t="s">
        <v>16220</v>
      </c>
      <c r="G6932" t="s">
        <v>16299</v>
      </c>
      <c r="H6932" t="s">
        <v>16299</v>
      </c>
      <c r="I6932" t="s">
        <v>16382</v>
      </c>
      <c r="J6932" t="s">
        <v>16385</v>
      </c>
      <c r="K6932">
        <v>0.204</v>
      </c>
      <c r="L6932">
        <v>8888</v>
      </c>
      <c r="M6932">
        <v>2246</v>
      </c>
      <c r="N6932" t="s">
        <v>16393</v>
      </c>
      <c r="O6932" s="4">
        <v>52739</v>
      </c>
      <c r="P6932" s="4">
        <v>93837</v>
      </c>
      <c r="Q6932" s="4">
        <v>146576</v>
      </c>
      <c r="R6932" s="4">
        <v>439728</v>
      </c>
      <c r="S6932" t="s">
        <v>23083</v>
      </c>
      <c r="T6932" s="6">
        <v>45035</v>
      </c>
      <c r="U6932" s="4">
        <v>476000</v>
      </c>
      <c r="V6932" t="s">
        <v>23739</v>
      </c>
      <c r="W6932" t="s">
        <v>27538</v>
      </c>
      <c r="X6932" t="s">
        <v>3</v>
      </c>
      <c r="AA6932" s="5" t="str">
        <f>HYPERLINK("https://www.zillow.com/homes/2616-BERN-CT-WOODRIDGE-IL-60517_rb/","check listing")</f>
        <v>check listing</v>
      </c>
      <c r="AB6932" s="5" t="str">
        <f>HYPERLINK("https://propertylookup.dupagecounty.gov/Datalets/Datalet.aspx?UseSearch=no&amp;mode=sales&amp;pin=0836103032","sales record")</f>
        <v>sales record</v>
      </c>
      <c r="AC6932" t="s">
        <v>3</v>
      </c>
      <c r="AD6932">
        <v>41.736642</v>
      </c>
      <c r="AE6932">
        <v>-88.044884</v>
      </c>
      <c r="AF6932" s="5" t="str">
        <f>HYPERLINK("https://www.google.com/maps/search/?api=1&amp;query=41.736642,-88.044884","map")</f>
        <v>map</v>
      </c>
    </row>
    <row r="6933" spans="1:32">
      <c r="A6933" t="s">
        <v>6983</v>
      </c>
      <c r="B6933" t="s">
        <v>14435</v>
      </c>
      <c r="C6933" t="s">
        <v>15323</v>
      </c>
      <c r="D6933" t="s">
        <v>16215</v>
      </c>
      <c r="E6933" t="s">
        <v>16218</v>
      </c>
      <c r="F6933" t="s">
        <v>16220</v>
      </c>
      <c r="G6933" t="s">
        <v>16299</v>
      </c>
      <c r="H6933" t="s">
        <v>16299</v>
      </c>
      <c r="I6933" t="s">
        <v>16382</v>
      </c>
      <c r="J6933" t="s">
        <v>16385</v>
      </c>
      <c r="K6933">
        <v>0.203</v>
      </c>
      <c r="L6933">
        <v>8848</v>
      </c>
      <c r="M6933">
        <v>1652</v>
      </c>
      <c r="N6933" t="s">
        <v>16393</v>
      </c>
      <c r="O6933" s="4">
        <v>49124</v>
      </c>
      <c r="P6933" s="4">
        <v>61682</v>
      </c>
      <c r="Q6933" s="4">
        <v>110806</v>
      </c>
      <c r="R6933" s="4">
        <v>332418</v>
      </c>
      <c r="S6933" t="s">
        <v>23084</v>
      </c>
      <c r="T6933" s="6">
        <v>37834</v>
      </c>
      <c r="U6933" s="4">
        <v>207000</v>
      </c>
      <c r="V6933" t="s">
        <v>23739</v>
      </c>
      <c r="W6933" t="s">
        <v>27539</v>
      </c>
      <c r="X6933" t="s">
        <v>3</v>
      </c>
      <c r="AA6933" s="5" t="str">
        <f>HYPERLINK("https://www.zillow.com/homes/6836-PRAIRIEVIEW-AVE-WOODRIDGE-IL-60517_rb/","check listing")</f>
        <v>check listing</v>
      </c>
      <c r="AB6933" s="5" t="str">
        <f>HYPERLINK("https://propertylookup.dupagecounty.gov/Datalets/Datalet.aspx?UseSearch=no&amp;mode=sales&amp;pin=0824411018","sales record")</f>
        <v>sales record</v>
      </c>
      <c r="AC6933" t="s">
        <v>3</v>
      </c>
      <c r="AD6933">
        <v>41.761827</v>
      </c>
      <c r="AE6933">
        <v>-88.03551899999999</v>
      </c>
      <c r="AF6933" s="5" t="str">
        <f>HYPERLINK("https://www.google.com/maps/search/?api=1&amp;query=41.761827,-88.035519","map")</f>
        <v>map</v>
      </c>
    </row>
    <row r="6934" spans="1:32">
      <c r="A6934" t="s">
        <v>6984</v>
      </c>
      <c r="B6934" t="s">
        <v>14436</v>
      </c>
      <c r="C6934" t="s">
        <v>15323</v>
      </c>
      <c r="D6934" t="s">
        <v>16215</v>
      </c>
      <c r="E6934" t="s">
        <v>16218</v>
      </c>
      <c r="F6934" t="s">
        <v>16220</v>
      </c>
      <c r="G6934" t="s">
        <v>16299</v>
      </c>
      <c r="H6934" t="s">
        <v>16299</v>
      </c>
      <c r="I6934" t="s">
        <v>16382</v>
      </c>
      <c r="J6934" t="s">
        <v>16385</v>
      </c>
      <c r="K6934">
        <v>0.203</v>
      </c>
      <c r="L6934">
        <v>8843</v>
      </c>
      <c r="M6934">
        <v>2377</v>
      </c>
      <c r="N6934" t="s">
        <v>16393</v>
      </c>
      <c r="O6934" s="4">
        <v>55308</v>
      </c>
      <c r="P6934" s="4">
        <v>73977</v>
      </c>
      <c r="Q6934" s="4">
        <v>129285</v>
      </c>
      <c r="R6934" s="4">
        <v>387855</v>
      </c>
      <c r="S6934" t="s">
        <v>23085</v>
      </c>
      <c r="T6934" s="6">
        <v>36404</v>
      </c>
      <c r="U6934" s="4">
        <v>190000</v>
      </c>
      <c r="X6934" t="s">
        <v>3</v>
      </c>
      <c r="AA6934" s="5" t="str">
        <f>HYPERLINK("https://www.zillow.com/homes/2612-BERN-CT-WOODRIDGE-IL-60517_rb/","check listing")</f>
        <v>check listing</v>
      </c>
      <c r="AB6934" s="5" t="str">
        <f>HYPERLINK("https://propertylookup.dupagecounty.gov/Datalets/Datalet.aspx?UseSearch=no&amp;mode=sales&amp;pin=0836103033","sales record")</f>
        <v>sales record</v>
      </c>
      <c r="AC6934" t="s">
        <v>3</v>
      </c>
      <c r="AD6934">
        <v>41.736579</v>
      </c>
      <c r="AE6934">
        <v>-88.044606</v>
      </c>
      <c r="AF6934" s="5" t="str">
        <f>HYPERLINK("https://www.google.com/maps/search/?api=1&amp;query=41.736579,-88.044606","map")</f>
        <v>map</v>
      </c>
    </row>
    <row r="6935" spans="1:32">
      <c r="A6935" t="s">
        <v>6985</v>
      </c>
      <c r="B6935" t="s">
        <v>14437</v>
      </c>
      <c r="C6935" t="s">
        <v>15323</v>
      </c>
      <c r="D6935" t="s">
        <v>16215</v>
      </c>
      <c r="E6935" t="s">
        <v>16218</v>
      </c>
      <c r="F6935" t="s">
        <v>16220</v>
      </c>
      <c r="G6935" t="s">
        <v>16299</v>
      </c>
      <c r="H6935" t="s">
        <v>16299</v>
      </c>
      <c r="I6935" t="s">
        <v>16382</v>
      </c>
      <c r="J6935" t="s">
        <v>16385</v>
      </c>
      <c r="K6935">
        <v>0.203</v>
      </c>
      <c r="L6935">
        <v>8836</v>
      </c>
      <c r="M6935">
        <v>1501</v>
      </c>
      <c r="N6935" t="s">
        <v>16393</v>
      </c>
      <c r="O6935" s="4">
        <v>54797</v>
      </c>
      <c r="P6935" s="4">
        <v>81981</v>
      </c>
      <c r="Q6935" s="4">
        <v>136778</v>
      </c>
      <c r="R6935" s="4">
        <v>410334</v>
      </c>
      <c r="S6935" t="s">
        <v>23086</v>
      </c>
      <c r="T6935" s="6">
        <v>45475</v>
      </c>
      <c r="U6935" s="4">
        <v>400000</v>
      </c>
      <c r="V6935" t="s">
        <v>23739</v>
      </c>
      <c r="W6935" t="s">
        <v>27540</v>
      </c>
      <c r="X6935" t="s">
        <v>3</v>
      </c>
      <c r="AA6935" s="5" t="str">
        <f>HYPERLINK("https://www.zillow.com/homes/6725-FOXTREE-AVE-WOODRIDGE-IL-60517_rb/","check listing")</f>
        <v>check listing</v>
      </c>
      <c r="AB6935" s="5" t="str">
        <f>HYPERLINK("https://propertylookup.dupagecounty.gov/Datalets/Datalet.aspx?UseSearch=no&amp;mode=sales&amp;pin=0824317007","sales record")</f>
        <v>sales record</v>
      </c>
      <c r="AC6935" t="s">
        <v>3</v>
      </c>
      <c r="AD6935">
        <v>41.763681</v>
      </c>
      <c r="AE6935">
        <v>-88.044724</v>
      </c>
      <c r="AF6935" s="5" t="str">
        <f>HYPERLINK("https://www.google.com/maps/search/?api=1&amp;query=41.763681,-88.044724","map")</f>
        <v>map</v>
      </c>
    </row>
    <row r="6936" spans="1:32">
      <c r="A6936" t="s">
        <v>6986</v>
      </c>
      <c r="B6936" t="s">
        <v>14438</v>
      </c>
      <c r="C6936" t="s">
        <v>15323</v>
      </c>
      <c r="D6936" t="s">
        <v>16215</v>
      </c>
      <c r="E6936" t="s">
        <v>16218</v>
      </c>
      <c r="F6936" t="s">
        <v>16220</v>
      </c>
      <c r="G6936" t="s">
        <v>16299</v>
      </c>
      <c r="H6936" t="s">
        <v>16299</v>
      </c>
      <c r="I6936" t="s">
        <v>16382</v>
      </c>
      <c r="J6936" t="s">
        <v>16385</v>
      </c>
      <c r="K6936">
        <v>0.203</v>
      </c>
      <c r="L6936">
        <v>8824</v>
      </c>
      <c r="M6936">
        <v>1607</v>
      </c>
      <c r="N6936" t="s">
        <v>16393</v>
      </c>
      <c r="O6936" s="4">
        <v>54797</v>
      </c>
      <c r="P6936" s="4">
        <v>80530</v>
      </c>
      <c r="Q6936" s="4">
        <v>135327</v>
      </c>
      <c r="R6936" s="4">
        <v>405981</v>
      </c>
      <c r="S6936" t="s">
        <v>23087</v>
      </c>
      <c r="T6936" s="6">
        <v>33482</v>
      </c>
      <c r="U6936" s="4">
        <v>126000</v>
      </c>
      <c r="X6936" t="s">
        <v>3</v>
      </c>
      <c r="AA6936" s="5" t="str">
        <f>HYPERLINK("https://www.zillow.com/homes/6813-HARVEST-AVE-WOODRIDGE-IL-60517_rb/","check listing")</f>
        <v>check listing</v>
      </c>
      <c r="AB6936" s="5" t="str">
        <f>HYPERLINK("https://propertylookup.dupagecounty.gov/Datalets/Datalet.aspx?UseSearch=no&amp;mode=sales&amp;pin=0824416001","sales record")</f>
        <v>sales record</v>
      </c>
      <c r="AC6936" t="s">
        <v>3</v>
      </c>
      <c r="AD6936">
        <v>41.762566</v>
      </c>
      <c r="AE6936">
        <v>-88.032956</v>
      </c>
      <c r="AF6936" s="5" t="str">
        <f>HYPERLINK("https://www.google.com/maps/search/?api=1&amp;query=41.762566,-88.032956","map")</f>
        <v>map</v>
      </c>
    </row>
    <row r="6937" spans="1:32">
      <c r="A6937" t="s">
        <v>6987</v>
      </c>
      <c r="B6937" t="s">
        <v>14439</v>
      </c>
      <c r="C6937" t="s">
        <v>16132</v>
      </c>
      <c r="D6937" t="s">
        <v>16215</v>
      </c>
      <c r="E6937" t="s">
        <v>16218</v>
      </c>
      <c r="F6937" t="s">
        <v>16220</v>
      </c>
      <c r="G6937" t="s">
        <v>16299</v>
      </c>
      <c r="H6937" t="s">
        <v>16299</v>
      </c>
      <c r="I6937" t="s">
        <v>16382</v>
      </c>
      <c r="J6937" t="s">
        <v>16385</v>
      </c>
      <c r="K6937">
        <v>0.203</v>
      </c>
      <c r="L6937">
        <v>8824</v>
      </c>
      <c r="M6937">
        <v>2953</v>
      </c>
      <c r="N6937" t="s">
        <v>16393</v>
      </c>
      <c r="O6937" s="4">
        <v>54713</v>
      </c>
      <c r="P6937" s="4">
        <v>78901</v>
      </c>
      <c r="Q6937" s="4">
        <v>133614</v>
      </c>
      <c r="R6937" s="4">
        <v>400842</v>
      </c>
      <c r="S6937" t="s">
        <v>23088</v>
      </c>
      <c r="T6937" s="6">
        <v>43191</v>
      </c>
      <c r="U6937" s="4">
        <v>187500</v>
      </c>
      <c r="V6937" t="s">
        <v>16232</v>
      </c>
      <c r="W6937" t="s">
        <v>27541</v>
      </c>
      <c r="X6937" t="s">
        <v>3</v>
      </c>
      <c r="AA6937" s="5" t="str">
        <f>HYPERLINK("https://www.zillow.com/homes/2112-SUNNYDALE-ST-WOODRIDGE-IL-605171820_rb/","check listing")</f>
        <v>check listing</v>
      </c>
      <c r="AB6937" s="5" t="str">
        <f>HYPERLINK("https://propertylookup.dupagecounty.gov/Datalets/Datalet.aspx?UseSearch=no&amp;mode=sales&amp;pin=0824414026","sales record")</f>
        <v>sales record</v>
      </c>
      <c r="AC6937" t="s">
        <v>3</v>
      </c>
      <c r="AD6937">
        <v>41.760453</v>
      </c>
      <c r="AE6937">
        <v>-88.03431399999999</v>
      </c>
      <c r="AF6937" s="5" t="str">
        <f>HYPERLINK("https://www.google.com/maps/search/?api=1&amp;query=41.760453,-88.034314","map")</f>
        <v>map</v>
      </c>
    </row>
    <row r="6938" spans="1:32">
      <c r="A6938" t="s">
        <v>6988</v>
      </c>
      <c r="B6938" t="s">
        <v>14440</v>
      </c>
      <c r="C6938" t="s">
        <v>15323</v>
      </c>
      <c r="D6938" t="s">
        <v>16215</v>
      </c>
      <c r="E6938" t="s">
        <v>16218</v>
      </c>
      <c r="F6938" t="s">
        <v>16220</v>
      </c>
      <c r="G6938" t="s">
        <v>16299</v>
      </c>
      <c r="H6938" t="s">
        <v>16299</v>
      </c>
      <c r="I6938" t="s">
        <v>16382</v>
      </c>
      <c r="J6938" t="s">
        <v>16385</v>
      </c>
      <c r="K6938">
        <v>0.202</v>
      </c>
      <c r="L6938">
        <v>8819</v>
      </c>
      <c r="M6938">
        <v>1257</v>
      </c>
      <c r="N6938" t="s">
        <v>16393</v>
      </c>
      <c r="O6938" s="4">
        <v>51241</v>
      </c>
      <c r="P6938" s="4">
        <v>74168</v>
      </c>
      <c r="Q6938" s="4">
        <v>125409</v>
      </c>
      <c r="R6938" s="4">
        <v>376227</v>
      </c>
      <c r="S6938" t="s">
        <v>23089</v>
      </c>
      <c r="T6938" s="6">
        <v>29921</v>
      </c>
      <c r="U6938" s="4">
        <v>82450</v>
      </c>
      <c r="X6938" t="s">
        <v>3</v>
      </c>
      <c r="AA6938" s="5" t="str">
        <f>HYPERLINK("https://www.zillow.com/homes/2038-WHEELER-ST-WOODRIDGE-IL-60517_rb/","check listing")</f>
        <v>check listing</v>
      </c>
      <c r="AB6938" s="5" t="str">
        <f>HYPERLINK("https://propertylookup.dupagecounty.gov/Datalets/Datalet.aspx?UseSearch=no&amp;mode=sales&amp;pin=0824410018","sales record")</f>
        <v>sales record</v>
      </c>
      <c r="AC6938" t="s">
        <v>3</v>
      </c>
      <c r="AD6938">
        <v>41.765126</v>
      </c>
      <c r="AE6938">
        <v>-88.03344800000001</v>
      </c>
      <c r="AF6938" s="5" t="str">
        <f>HYPERLINK("https://www.google.com/maps/search/?api=1&amp;query=41.765126,-88.033448","map")</f>
        <v>map</v>
      </c>
    </row>
    <row r="6939" spans="1:32">
      <c r="A6939" t="s">
        <v>6989</v>
      </c>
      <c r="B6939" t="s">
        <v>14441</v>
      </c>
      <c r="C6939" t="s">
        <v>15323</v>
      </c>
      <c r="D6939" t="s">
        <v>16215</v>
      </c>
      <c r="E6939" t="s">
        <v>16218</v>
      </c>
      <c r="F6939" t="s">
        <v>16220</v>
      </c>
      <c r="G6939" t="s">
        <v>16299</v>
      </c>
      <c r="H6939" t="s">
        <v>16299</v>
      </c>
      <c r="I6939" t="s">
        <v>16382</v>
      </c>
      <c r="J6939" t="s">
        <v>16385</v>
      </c>
      <c r="K6939">
        <v>0.202</v>
      </c>
      <c r="L6939">
        <v>8808</v>
      </c>
      <c r="M6939">
        <v>1346</v>
      </c>
      <c r="N6939" t="s">
        <v>16393</v>
      </c>
      <c r="O6939" s="4">
        <v>54797</v>
      </c>
      <c r="P6939" s="4">
        <v>84573</v>
      </c>
      <c r="Q6939" s="4">
        <v>139370</v>
      </c>
      <c r="R6939" s="4">
        <v>418110</v>
      </c>
      <c r="S6939" t="s">
        <v>23090</v>
      </c>
      <c r="T6939" s="6">
        <v>32782</v>
      </c>
      <c r="U6939" s="4">
        <v>137000</v>
      </c>
      <c r="X6939" t="s">
        <v>3</v>
      </c>
      <c r="AA6939" s="5" t="str">
        <f>HYPERLINK("https://www.zillow.com/homes/2517-YELLOW-STAR-ST-WOODRIDGE-IL-60517_rb/","check listing")</f>
        <v>check listing</v>
      </c>
      <c r="AB6939" s="5" t="str">
        <f>HYPERLINK("https://propertylookup.dupagecounty.gov/Datalets/Datalet.aspx?UseSearch=no&amp;mode=sales&amp;pin=0824316005","sales record")</f>
        <v>sales record</v>
      </c>
      <c r="AC6939" t="s">
        <v>3</v>
      </c>
      <c r="AD6939">
        <v>41.764307</v>
      </c>
      <c r="AE6939">
        <v>-88.046651</v>
      </c>
      <c r="AF6939" s="5" t="str">
        <f>HYPERLINK("https://www.google.com/maps/search/?api=1&amp;query=41.764307,-88.046651","map")</f>
        <v>map</v>
      </c>
    </row>
    <row r="6940" spans="1:32">
      <c r="A6940" t="s">
        <v>6990</v>
      </c>
      <c r="B6940" t="s">
        <v>14442</v>
      </c>
      <c r="C6940" t="s">
        <v>15323</v>
      </c>
      <c r="D6940" t="s">
        <v>16215</v>
      </c>
      <c r="E6940" t="s">
        <v>16218</v>
      </c>
      <c r="F6940" t="s">
        <v>16220</v>
      </c>
      <c r="G6940" t="s">
        <v>16299</v>
      </c>
      <c r="H6940" t="s">
        <v>16299</v>
      </c>
      <c r="I6940" t="s">
        <v>16382</v>
      </c>
      <c r="J6940" t="s">
        <v>16385</v>
      </c>
      <c r="K6940">
        <v>0.202</v>
      </c>
      <c r="L6940">
        <v>8796</v>
      </c>
      <c r="M6940">
        <v>2230</v>
      </c>
      <c r="N6940" t="s">
        <v>16393</v>
      </c>
      <c r="O6940" s="4">
        <v>47507</v>
      </c>
      <c r="P6940" s="4">
        <v>69613</v>
      </c>
      <c r="Q6940" s="4">
        <v>117120</v>
      </c>
      <c r="R6940" s="4">
        <v>351360</v>
      </c>
      <c r="S6940" t="s">
        <v>23091</v>
      </c>
      <c r="T6940" s="6">
        <v>39934</v>
      </c>
      <c r="U6940" s="4">
        <v>294900</v>
      </c>
      <c r="V6940" t="s">
        <v>23740</v>
      </c>
      <c r="W6940" t="s">
        <v>27542</v>
      </c>
      <c r="X6940" t="s">
        <v>3</v>
      </c>
      <c r="AA6940" s="5" t="str">
        <f>HYPERLINK("https://www.zillow.com/homes/2632-BERN-CT-WOODRIDGE-IL-60517_rb/","check listing")</f>
        <v>check listing</v>
      </c>
      <c r="AB6940" s="5" t="str">
        <f>HYPERLINK("https://propertylookup.dupagecounty.gov/Datalets/Datalet.aspx?UseSearch=no&amp;mode=sales&amp;pin=0836103028","sales record")</f>
        <v>sales record</v>
      </c>
      <c r="AC6940" t="s">
        <v>3</v>
      </c>
      <c r="AD6940">
        <v>41.736058</v>
      </c>
      <c r="AE6940">
        <v>-88.045198</v>
      </c>
      <c r="AF6940" s="5" t="str">
        <f>HYPERLINK("https://www.google.com/maps/search/?api=1&amp;query=41.736058,-88.045198","map")</f>
        <v>map</v>
      </c>
    </row>
    <row r="6941" spans="1:32">
      <c r="A6941" t="s">
        <v>6991</v>
      </c>
      <c r="B6941" t="s">
        <v>14443</v>
      </c>
      <c r="C6941" t="s">
        <v>15323</v>
      </c>
      <c r="D6941" t="s">
        <v>16215</v>
      </c>
      <c r="E6941" t="s">
        <v>16218</v>
      </c>
      <c r="F6941" t="s">
        <v>16220</v>
      </c>
      <c r="G6941" t="s">
        <v>16299</v>
      </c>
      <c r="H6941" t="s">
        <v>16299</v>
      </c>
      <c r="I6941" t="s">
        <v>16382</v>
      </c>
      <c r="J6941" t="s">
        <v>16385</v>
      </c>
      <c r="K6941">
        <v>0.202</v>
      </c>
      <c r="L6941">
        <v>8790</v>
      </c>
      <c r="M6941">
        <v>1968</v>
      </c>
      <c r="N6941" t="s">
        <v>16393</v>
      </c>
      <c r="O6941" s="4">
        <v>54797</v>
      </c>
      <c r="P6941" s="4">
        <v>63786</v>
      </c>
      <c r="Q6941" s="4">
        <v>118583</v>
      </c>
      <c r="R6941" s="4">
        <v>355749</v>
      </c>
      <c r="S6941" t="s">
        <v>23092</v>
      </c>
      <c r="X6941" t="s">
        <v>3</v>
      </c>
      <c r="AA6941" s="5" t="str">
        <f>HYPERLINK("https://www.zillow.com/homes/1-CHERRY-TREE-CT-WOODRIDGE-IL-60517_rb/","check listing")</f>
        <v>check listing</v>
      </c>
      <c r="AB6941" s="5" t="str">
        <f>HYPERLINK("https://propertylookup.dupagecounty.gov/Datalets/Datalet.aspx?UseSearch=no&amp;mode=sales&amp;pin=0824316015","sales record")</f>
        <v>sales record</v>
      </c>
      <c r="AC6941" t="s">
        <v>3</v>
      </c>
      <c r="AD6941">
        <v>41.763506</v>
      </c>
      <c r="AE6941">
        <v>-88.046233</v>
      </c>
      <c r="AF6941" s="5" t="str">
        <f>HYPERLINK("https://www.google.com/maps/search/?api=1&amp;query=41.763506,-88.046233","map")</f>
        <v>map</v>
      </c>
    </row>
    <row r="6942" spans="1:32">
      <c r="A6942" t="s">
        <v>6992</v>
      </c>
      <c r="B6942" t="s">
        <v>14444</v>
      </c>
      <c r="C6942" t="s">
        <v>15323</v>
      </c>
      <c r="D6942" t="s">
        <v>16215</v>
      </c>
      <c r="E6942" t="s">
        <v>16218</v>
      </c>
      <c r="F6942" t="s">
        <v>16220</v>
      </c>
      <c r="G6942" t="s">
        <v>16299</v>
      </c>
      <c r="H6942" t="s">
        <v>16299</v>
      </c>
      <c r="I6942" t="s">
        <v>16382</v>
      </c>
      <c r="J6942" t="s">
        <v>16385</v>
      </c>
      <c r="K6942">
        <v>0.202</v>
      </c>
      <c r="L6942">
        <v>8789</v>
      </c>
      <c r="M6942">
        <v>1726</v>
      </c>
      <c r="N6942" t="s">
        <v>16393</v>
      </c>
      <c r="O6942" s="4">
        <v>51241</v>
      </c>
      <c r="P6942" s="4">
        <v>73478</v>
      </c>
      <c r="Q6942" s="4">
        <v>124719</v>
      </c>
      <c r="R6942" s="4">
        <v>374157</v>
      </c>
      <c r="S6942" t="s">
        <v>23093</v>
      </c>
      <c r="T6942" s="6">
        <v>39022</v>
      </c>
      <c r="U6942" s="4">
        <v>291500</v>
      </c>
      <c r="V6942" t="s">
        <v>23739</v>
      </c>
      <c r="W6942" t="s">
        <v>27543</v>
      </c>
      <c r="X6942" t="s">
        <v>3</v>
      </c>
      <c r="AA6942" s="5" t="str">
        <f>HYPERLINK("https://www.zillow.com/homes/2025-WHEELER-ST-WOODRIDGE-IL-60517_rb/","check listing")</f>
        <v>check listing</v>
      </c>
      <c r="AB6942" s="5" t="str">
        <f>HYPERLINK("https://propertylookup.dupagecounty.gov/Datalets/Datalet.aspx?UseSearch=no&amp;mode=sales&amp;pin=0824415007","sales record")</f>
        <v>sales record</v>
      </c>
      <c r="AC6942" t="s">
        <v>3</v>
      </c>
      <c r="AD6942">
        <v>41.764594</v>
      </c>
      <c r="AE6942">
        <v>-88.03292500000001</v>
      </c>
      <c r="AF6942" s="5" t="str">
        <f>HYPERLINK("https://www.google.com/maps/search/?api=1&amp;query=41.764594,-88.032925","map")</f>
        <v>map</v>
      </c>
    </row>
    <row r="6943" spans="1:32">
      <c r="A6943" t="s">
        <v>6993</v>
      </c>
      <c r="B6943" t="s">
        <v>14445</v>
      </c>
      <c r="C6943" t="s">
        <v>15323</v>
      </c>
      <c r="D6943" t="s">
        <v>16215</v>
      </c>
      <c r="E6943" t="s">
        <v>16218</v>
      </c>
      <c r="F6943" t="s">
        <v>16220</v>
      </c>
      <c r="G6943" t="s">
        <v>16299</v>
      </c>
      <c r="H6943" t="s">
        <v>16299</v>
      </c>
      <c r="I6943" t="s">
        <v>16382</v>
      </c>
      <c r="J6943" t="s">
        <v>16385</v>
      </c>
      <c r="K6943">
        <v>0.202</v>
      </c>
      <c r="L6943">
        <v>8786</v>
      </c>
      <c r="M6943">
        <v>2004</v>
      </c>
      <c r="N6943" t="s">
        <v>16393</v>
      </c>
      <c r="O6943" s="4">
        <v>51265</v>
      </c>
      <c r="P6943" s="4">
        <v>114742</v>
      </c>
      <c r="Q6943" s="4">
        <v>166007</v>
      </c>
      <c r="R6943" s="4">
        <v>498021</v>
      </c>
      <c r="S6943" t="s">
        <v>23094</v>
      </c>
      <c r="T6943" s="6">
        <v>29160</v>
      </c>
      <c r="U6943" s="4">
        <v>110721</v>
      </c>
      <c r="X6943" t="s">
        <v>3</v>
      </c>
      <c r="AA6943" s="5" t="str">
        <f>HYPERLINK("https://www.zillow.com/homes/2031-WHEELER-ST-WOODRIDGE-IL-60517_rb/","check listing")</f>
        <v>check listing</v>
      </c>
      <c r="AB6943" s="5" t="str">
        <f>HYPERLINK("https://propertylookup.dupagecounty.gov/Datalets/Datalet.aspx?UseSearch=no&amp;mode=sales&amp;pin=0824415006","sales record")</f>
        <v>sales record</v>
      </c>
      <c r="AC6943" t="s">
        <v>3</v>
      </c>
      <c r="AD6943">
        <v>41.764613</v>
      </c>
      <c r="AE6943">
        <v>-88.033187</v>
      </c>
      <c r="AF6943" s="5" t="str">
        <f>HYPERLINK("https://www.google.com/maps/search/?api=1&amp;query=41.764613,-88.033187","map")</f>
        <v>map</v>
      </c>
    </row>
    <row r="6944" spans="1:32">
      <c r="A6944" t="s">
        <v>6994</v>
      </c>
      <c r="B6944" t="s">
        <v>14446</v>
      </c>
      <c r="C6944" t="s">
        <v>15323</v>
      </c>
      <c r="D6944" t="s">
        <v>16215</v>
      </c>
      <c r="E6944" t="s">
        <v>16218</v>
      </c>
      <c r="F6944" t="s">
        <v>16220</v>
      </c>
      <c r="G6944" t="s">
        <v>16299</v>
      </c>
      <c r="H6944" t="s">
        <v>16299</v>
      </c>
      <c r="I6944" t="s">
        <v>16382</v>
      </c>
      <c r="J6944" t="s">
        <v>16385</v>
      </c>
      <c r="K6944">
        <v>0.202</v>
      </c>
      <c r="L6944">
        <v>8784</v>
      </c>
      <c r="M6944">
        <v>1198</v>
      </c>
      <c r="N6944" t="s">
        <v>16393</v>
      </c>
      <c r="O6944" s="4">
        <v>54761</v>
      </c>
      <c r="P6944" s="4">
        <v>84681</v>
      </c>
      <c r="Q6944" s="4">
        <v>139442</v>
      </c>
      <c r="R6944" s="4">
        <v>418326</v>
      </c>
      <c r="S6944" t="s">
        <v>23095</v>
      </c>
      <c r="T6944" s="6">
        <v>39661</v>
      </c>
      <c r="U6944" s="4">
        <v>306500</v>
      </c>
      <c r="V6944" t="s">
        <v>23739</v>
      </c>
      <c r="W6944" t="s">
        <v>27544</v>
      </c>
      <c r="X6944" t="s">
        <v>3</v>
      </c>
      <c r="AA6944" s="5" t="str">
        <f>HYPERLINK("https://www.zillow.com/homes/2544-YELLOW-STAR-ST-WOODRIDGE-IL-60517_rb/","check listing")</f>
        <v>check listing</v>
      </c>
      <c r="AB6944" s="5" t="str">
        <f>HYPERLINK("https://propertylookup.dupagecounty.gov/Datalets/Datalet.aspx?UseSearch=no&amp;mode=sales&amp;pin=0824302013","sales record")</f>
        <v>sales record</v>
      </c>
      <c r="AC6944" t="s">
        <v>3</v>
      </c>
      <c r="AD6944">
        <v>41.764637</v>
      </c>
      <c r="AE6944">
        <v>-88.048042</v>
      </c>
      <c r="AF6944" s="5" t="str">
        <f>HYPERLINK("https://www.google.com/maps/search/?api=1&amp;query=41.764637,-88.048042","map")</f>
        <v>map</v>
      </c>
    </row>
    <row r="6945" spans="1:32">
      <c r="A6945" t="s">
        <v>6995</v>
      </c>
      <c r="B6945" t="s">
        <v>14447</v>
      </c>
      <c r="C6945" t="s">
        <v>15323</v>
      </c>
      <c r="D6945" t="s">
        <v>16215</v>
      </c>
      <c r="E6945" t="s">
        <v>16218</v>
      </c>
      <c r="F6945" t="s">
        <v>16220</v>
      </c>
      <c r="G6945" t="s">
        <v>16299</v>
      </c>
      <c r="H6945" t="s">
        <v>16299</v>
      </c>
      <c r="I6945" t="s">
        <v>16382</v>
      </c>
      <c r="J6945" t="s">
        <v>16385</v>
      </c>
      <c r="K6945">
        <v>0.202</v>
      </c>
      <c r="L6945">
        <v>8779</v>
      </c>
      <c r="M6945">
        <v>2340</v>
      </c>
      <c r="N6945" t="s">
        <v>16393</v>
      </c>
      <c r="O6945" s="4">
        <v>49124</v>
      </c>
      <c r="P6945" s="4">
        <v>64976</v>
      </c>
      <c r="Q6945" s="4">
        <v>114100</v>
      </c>
      <c r="R6945" s="4">
        <v>342300</v>
      </c>
      <c r="S6945" t="s">
        <v>23096</v>
      </c>
      <c r="T6945" s="6">
        <v>40179</v>
      </c>
      <c r="U6945" s="4">
        <v>215000</v>
      </c>
      <c r="V6945" t="s">
        <v>23739</v>
      </c>
      <c r="W6945" t="s">
        <v>27545</v>
      </c>
      <c r="X6945" t="s">
        <v>3</v>
      </c>
      <c r="AA6945" s="5" t="str">
        <f>HYPERLINK("https://www.zillow.com/homes/6906-PRAIRIEVIEW-AVE-WOODRIDGE-IL-60517_rb/","check listing")</f>
        <v>check listing</v>
      </c>
      <c r="AB6945" s="5" t="str">
        <f>HYPERLINK("https://propertylookup.dupagecounty.gov/Datalets/Datalet.aspx?UseSearch=no&amp;mode=sales&amp;pin=0824411022","sales record")</f>
        <v>sales record</v>
      </c>
      <c r="AC6945" t="s">
        <v>3</v>
      </c>
      <c r="AD6945">
        <v>41.761143</v>
      </c>
      <c r="AE6945">
        <v>-88.035242</v>
      </c>
      <c r="AF6945" s="5" t="str">
        <f>HYPERLINK("https://www.google.com/maps/search/?api=1&amp;query=41.761143,-88.035242","map")</f>
        <v>map</v>
      </c>
    </row>
    <row r="6946" spans="1:32">
      <c r="A6946" t="s">
        <v>6996</v>
      </c>
      <c r="B6946" t="s">
        <v>14448</v>
      </c>
      <c r="C6946" t="s">
        <v>15323</v>
      </c>
      <c r="D6946" t="s">
        <v>16215</v>
      </c>
      <c r="E6946" t="s">
        <v>16218</v>
      </c>
      <c r="F6946" t="s">
        <v>16220</v>
      </c>
      <c r="G6946" t="s">
        <v>16299</v>
      </c>
      <c r="H6946" t="s">
        <v>16299</v>
      </c>
      <c r="I6946" t="s">
        <v>16382</v>
      </c>
      <c r="J6946" t="s">
        <v>16385</v>
      </c>
      <c r="K6946">
        <v>0.201</v>
      </c>
      <c r="L6946">
        <v>8775</v>
      </c>
      <c r="M6946">
        <v>1236</v>
      </c>
      <c r="N6946" t="s">
        <v>16393</v>
      </c>
      <c r="O6946" s="4">
        <v>54797</v>
      </c>
      <c r="P6946" s="4">
        <v>68080</v>
      </c>
      <c r="Q6946" s="4">
        <v>122877</v>
      </c>
      <c r="R6946" s="4">
        <v>368631</v>
      </c>
      <c r="S6946" t="s">
        <v>23097</v>
      </c>
      <c r="T6946" s="6">
        <v>33695</v>
      </c>
      <c r="U6946" s="4">
        <v>120000</v>
      </c>
      <c r="X6946" t="s">
        <v>3</v>
      </c>
      <c r="AA6946" s="5" t="str">
        <f>HYPERLINK("https://www.zillow.com/homes/10-WREN-CT-WOODRIDGE-IL-60517_rb/","check listing")</f>
        <v>check listing</v>
      </c>
      <c r="AB6946" s="5" t="str">
        <f>HYPERLINK("https://propertylookup.dupagecounty.gov/Datalets/Datalet.aspx?UseSearch=no&amp;mode=sales&amp;pin=0824405017","sales record")</f>
        <v>sales record</v>
      </c>
      <c r="AC6946" t="s">
        <v>3</v>
      </c>
      <c r="AD6946">
        <v>41.762992</v>
      </c>
      <c r="AE6946">
        <v>-88.04049000000001</v>
      </c>
      <c r="AF6946" s="5" t="str">
        <f>HYPERLINK("https://www.google.com/maps/search/?api=1&amp;query=41.762992,-88.04049","map")</f>
        <v>map</v>
      </c>
    </row>
    <row r="6947" spans="1:32">
      <c r="A6947" t="s">
        <v>6997</v>
      </c>
      <c r="B6947" t="s">
        <v>14449</v>
      </c>
      <c r="C6947" t="s">
        <v>15323</v>
      </c>
      <c r="D6947" t="s">
        <v>16215</v>
      </c>
      <c r="E6947" t="s">
        <v>16218</v>
      </c>
      <c r="F6947" t="s">
        <v>16220</v>
      </c>
      <c r="G6947" t="s">
        <v>16299</v>
      </c>
      <c r="H6947" t="s">
        <v>16299</v>
      </c>
      <c r="I6947" t="s">
        <v>16382</v>
      </c>
      <c r="J6947" t="s">
        <v>16385</v>
      </c>
      <c r="K6947">
        <v>0.201</v>
      </c>
      <c r="L6947">
        <v>8756</v>
      </c>
      <c r="M6947">
        <v>3075</v>
      </c>
      <c r="N6947" t="s">
        <v>16393</v>
      </c>
      <c r="O6947" s="4">
        <v>49243</v>
      </c>
      <c r="P6947" s="4">
        <v>102755</v>
      </c>
      <c r="Q6947" s="4">
        <v>151998</v>
      </c>
      <c r="R6947" s="4">
        <v>455994</v>
      </c>
      <c r="S6947" t="s">
        <v>23098</v>
      </c>
      <c r="T6947" s="6">
        <v>41518</v>
      </c>
      <c r="U6947" s="4">
        <v>277000</v>
      </c>
      <c r="V6947" t="s">
        <v>23739</v>
      </c>
      <c r="W6947" t="s">
        <v>27546</v>
      </c>
      <c r="X6947" t="s">
        <v>3</v>
      </c>
      <c r="AA6947" s="5" t="str">
        <f>HYPERLINK("https://www.zillow.com/homes/1-YELLOWSTAR-CT-WOODRIDGE-IL-60517_rb/","check listing")</f>
        <v>check listing</v>
      </c>
      <c r="AB6947" s="5" t="str">
        <f>HYPERLINK("https://propertylookup.dupagecounty.gov/Datalets/Datalet.aspx?UseSearch=no&amp;mode=sales&amp;pin=0824307076","sales record")</f>
        <v>sales record</v>
      </c>
      <c r="AC6947" t="s">
        <v>3</v>
      </c>
      <c r="AD6947">
        <v>41.762539</v>
      </c>
      <c r="AE6947">
        <v>-88.046745</v>
      </c>
      <c r="AF6947" s="5" t="str">
        <f>HYPERLINK("https://www.google.com/maps/search/?api=1&amp;query=41.762539,-88.046745","map")</f>
        <v>map</v>
      </c>
    </row>
    <row r="6948" spans="1:32">
      <c r="A6948" t="s">
        <v>6998</v>
      </c>
      <c r="B6948" t="s">
        <v>14450</v>
      </c>
      <c r="C6948" t="s">
        <v>15323</v>
      </c>
      <c r="D6948" t="s">
        <v>16215</v>
      </c>
      <c r="E6948" t="s">
        <v>16218</v>
      </c>
      <c r="F6948" t="s">
        <v>16220</v>
      </c>
      <c r="G6948" t="s">
        <v>16299</v>
      </c>
      <c r="H6948" t="s">
        <v>16299</v>
      </c>
      <c r="I6948" t="s">
        <v>16382</v>
      </c>
      <c r="J6948" t="s">
        <v>16385</v>
      </c>
      <c r="K6948">
        <v>0.201</v>
      </c>
      <c r="L6948">
        <v>8746</v>
      </c>
      <c r="M6948">
        <v>1832</v>
      </c>
      <c r="N6948" t="s">
        <v>16393</v>
      </c>
      <c r="O6948" s="4">
        <v>55403</v>
      </c>
      <c r="P6948" s="4">
        <v>65904</v>
      </c>
      <c r="Q6948" s="4">
        <v>121307</v>
      </c>
      <c r="R6948" s="4">
        <v>363921</v>
      </c>
      <c r="S6948" t="s">
        <v>23099</v>
      </c>
      <c r="T6948" s="6">
        <v>30348</v>
      </c>
      <c r="U6948" s="4">
        <v>80000</v>
      </c>
      <c r="X6948" t="s">
        <v>3</v>
      </c>
      <c r="AA6948" s="5" t="str">
        <f>HYPERLINK("https://www.zillow.com/homes/2605-ZURICH-CT-WOODRIDGE-IL-60517_rb/","check listing")</f>
        <v>check listing</v>
      </c>
      <c r="AB6948" s="5" t="str">
        <f>HYPERLINK("https://propertylookup.dupagecounty.gov/Datalets/Datalet.aspx?UseSearch=no&amp;mode=sales&amp;pin=0836103013","sales record")</f>
        <v>sales record</v>
      </c>
      <c r="AC6948" t="s">
        <v>3</v>
      </c>
      <c r="AD6948">
        <v>41.736961</v>
      </c>
      <c r="AE6948">
        <v>-88.044389</v>
      </c>
      <c r="AF6948" s="5" t="str">
        <f>HYPERLINK("https://www.google.com/maps/search/?api=1&amp;query=41.736961,-88.044389","map")</f>
        <v>map</v>
      </c>
    </row>
    <row r="6949" spans="1:32">
      <c r="A6949" t="s">
        <v>6999</v>
      </c>
      <c r="B6949" t="s">
        <v>14451</v>
      </c>
      <c r="C6949" t="s">
        <v>15323</v>
      </c>
      <c r="D6949" t="s">
        <v>16215</v>
      </c>
      <c r="E6949" t="s">
        <v>16218</v>
      </c>
      <c r="F6949" t="s">
        <v>16220</v>
      </c>
      <c r="G6949" t="s">
        <v>16299</v>
      </c>
      <c r="H6949" t="s">
        <v>16299</v>
      </c>
      <c r="I6949" t="s">
        <v>16382</v>
      </c>
      <c r="J6949" t="s">
        <v>16385</v>
      </c>
      <c r="K6949">
        <v>0.2</v>
      </c>
      <c r="L6949">
        <v>8723</v>
      </c>
      <c r="M6949">
        <v>2005</v>
      </c>
      <c r="N6949" t="s">
        <v>16393</v>
      </c>
      <c r="O6949" s="4">
        <v>51265</v>
      </c>
      <c r="P6949" s="4">
        <v>101355</v>
      </c>
      <c r="Q6949" s="4">
        <v>152620</v>
      </c>
      <c r="R6949" s="4">
        <v>457860</v>
      </c>
      <c r="S6949" t="s">
        <v>23100</v>
      </c>
      <c r="T6949" s="6">
        <v>29373</v>
      </c>
      <c r="U6949" s="4">
        <v>106000</v>
      </c>
      <c r="X6949" t="s">
        <v>3</v>
      </c>
      <c r="AA6949" s="5" t="str">
        <f>HYPERLINK("https://www.zillow.com/homes/2019-WHEELER-ST-WOODRIDGE-IL-60517_rb/","check listing")</f>
        <v>check listing</v>
      </c>
      <c r="AB6949" s="5" t="str">
        <f>HYPERLINK("https://propertylookup.dupagecounty.gov/Datalets/Datalet.aspx?UseSearch=no&amp;mode=sales&amp;pin=0824415008","sales record")</f>
        <v>sales record</v>
      </c>
      <c r="AC6949" t="s">
        <v>3</v>
      </c>
      <c r="AD6949">
        <v>41.764597</v>
      </c>
      <c r="AE6949">
        <v>-88.03265500000001</v>
      </c>
      <c r="AF6949" s="5" t="str">
        <f>HYPERLINK("https://www.google.com/maps/search/?api=1&amp;query=41.764597,-88.032655","map")</f>
        <v>map</v>
      </c>
    </row>
    <row r="6950" spans="1:32">
      <c r="A6950" t="s">
        <v>7000</v>
      </c>
      <c r="B6950" t="s">
        <v>14452</v>
      </c>
      <c r="C6950" t="s">
        <v>15323</v>
      </c>
      <c r="D6950" t="s">
        <v>16215</v>
      </c>
      <c r="E6950" t="s">
        <v>16218</v>
      </c>
      <c r="F6950" t="s">
        <v>16220</v>
      </c>
      <c r="G6950" t="s">
        <v>16299</v>
      </c>
      <c r="H6950" t="s">
        <v>16299</v>
      </c>
      <c r="I6950" t="s">
        <v>16382</v>
      </c>
      <c r="J6950" t="s">
        <v>16385</v>
      </c>
      <c r="K6950">
        <v>0.2</v>
      </c>
      <c r="L6950">
        <v>8714</v>
      </c>
      <c r="M6950">
        <v>1685</v>
      </c>
      <c r="N6950" t="s">
        <v>16393</v>
      </c>
      <c r="O6950" s="4">
        <v>51990</v>
      </c>
      <c r="P6950" s="4">
        <v>81958</v>
      </c>
      <c r="Q6950" s="4">
        <v>133948</v>
      </c>
      <c r="R6950" s="4">
        <v>401844</v>
      </c>
      <c r="S6950" t="s">
        <v>23101</v>
      </c>
      <c r="T6950" s="6">
        <v>31472</v>
      </c>
      <c r="U6950" s="4">
        <v>98500</v>
      </c>
      <c r="X6950" t="s">
        <v>3</v>
      </c>
      <c r="AA6950" s="5" t="str">
        <f>HYPERLINK("https://www.zillow.com/homes/2125-SUNNYDALE-ST-WOODRIDGE-IL-60517_rb/","check listing")</f>
        <v>check listing</v>
      </c>
      <c r="AB6950" s="5" t="str">
        <f>HYPERLINK("https://propertylookup.dupagecounty.gov/Datalets/Datalet.aspx?UseSearch=no&amp;mode=sales&amp;pin=0824417002","sales record")</f>
        <v>sales record</v>
      </c>
      <c r="AC6950" t="s">
        <v>3</v>
      </c>
      <c r="AD6950">
        <v>41.759944</v>
      </c>
      <c r="AE6950">
        <v>-88.03474</v>
      </c>
      <c r="AF6950" s="5" t="str">
        <f>HYPERLINK("https://www.google.com/maps/search/?api=1&amp;query=41.759944,-88.03474","map")</f>
        <v>map</v>
      </c>
    </row>
    <row r="6951" spans="1:32">
      <c r="A6951" t="s">
        <v>7001</v>
      </c>
      <c r="B6951" t="s">
        <v>14453</v>
      </c>
      <c r="C6951" t="s">
        <v>16133</v>
      </c>
      <c r="D6951" t="s">
        <v>16215</v>
      </c>
      <c r="E6951" t="s">
        <v>16218</v>
      </c>
      <c r="F6951" t="s">
        <v>16220</v>
      </c>
      <c r="G6951" t="s">
        <v>16299</v>
      </c>
      <c r="H6951" t="s">
        <v>16299</v>
      </c>
      <c r="I6951" t="s">
        <v>16382</v>
      </c>
      <c r="J6951" t="s">
        <v>16385</v>
      </c>
      <c r="K6951">
        <v>0.2</v>
      </c>
      <c r="L6951">
        <v>8708</v>
      </c>
      <c r="M6951">
        <v>2632</v>
      </c>
      <c r="N6951" t="s">
        <v>16393</v>
      </c>
      <c r="O6951" s="4">
        <v>51241</v>
      </c>
      <c r="P6951" s="4">
        <v>117050</v>
      </c>
      <c r="Q6951" s="4">
        <v>168291</v>
      </c>
      <c r="R6951" s="4">
        <v>504873</v>
      </c>
      <c r="S6951" t="s">
        <v>23102</v>
      </c>
      <c r="T6951" s="6">
        <v>44317</v>
      </c>
      <c r="U6951" s="4">
        <v>397000</v>
      </c>
      <c r="V6951" t="s">
        <v>23739</v>
      </c>
      <c r="W6951" t="s">
        <v>27547</v>
      </c>
      <c r="X6951" t="s">
        <v>3</v>
      </c>
      <c r="AA6951" s="5" t="str">
        <f>HYPERLINK("https://www.zillow.com/homes/6741-HARVEST-AVE-WOODRIDGE-IL-605171861_rb/","check listing")</f>
        <v>check listing</v>
      </c>
      <c r="AB6951" s="5" t="str">
        <f>HYPERLINK("https://propertylookup.dupagecounty.gov/Datalets/Datalet.aspx?UseSearch=no&amp;mode=sales&amp;pin=0824415040","sales record")</f>
        <v>sales record</v>
      </c>
      <c r="AC6951" t="s">
        <v>27873</v>
      </c>
      <c r="AD6951">
        <v>41.763592</v>
      </c>
      <c r="AE6951">
        <v>-88.03377</v>
      </c>
      <c r="AF6951" s="5" t="str">
        <f>HYPERLINK("https://www.google.com/maps/search/?api=1&amp;query=41.763592,-88.03377","map")</f>
        <v>map</v>
      </c>
    </row>
    <row r="6952" spans="1:32">
      <c r="A6952" t="s">
        <v>7002</v>
      </c>
      <c r="B6952" t="s">
        <v>14454</v>
      </c>
      <c r="C6952" t="s">
        <v>15323</v>
      </c>
      <c r="D6952" t="s">
        <v>16215</v>
      </c>
      <c r="E6952" t="s">
        <v>16218</v>
      </c>
      <c r="F6952" t="s">
        <v>16220</v>
      </c>
      <c r="G6952" t="s">
        <v>16299</v>
      </c>
      <c r="H6952" t="s">
        <v>16299</v>
      </c>
      <c r="I6952" t="s">
        <v>16382</v>
      </c>
      <c r="J6952" t="s">
        <v>16385</v>
      </c>
      <c r="K6952">
        <v>0.2</v>
      </c>
      <c r="L6952">
        <v>8695</v>
      </c>
      <c r="M6952">
        <v>1888</v>
      </c>
      <c r="N6952" t="s">
        <v>16393</v>
      </c>
      <c r="O6952" s="4">
        <v>57651</v>
      </c>
      <c r="P6952" s="4">
        <v>83099</v>
      </c>
      <c r="Q6952" s="4">
        <v>140750</v>
      </c>
      <c r="R6952" s="4">
        <v>422250</v>
      </c>
      <c r="S6952" t="s">
        <v>23103</v>
      </c>
      <c r="T6952" s="6">
        <v>32021</v>
      </c>
      <c r="U6952" s="4">
        <v>110000</v>
      </c>
      <c r="X6952" t="s">
        <v>3</v>
      </c>
      <c r="AA6952" s="5" t="str">
        <f>HYPERLINK("https://www.zillow.com/homes/6936-SUN-DROP-AVE-WOODRIDGE-IL-60517_rb/","check listing")</f>
        <v>check listing</v>
      </c>
      <c r="AB6952" s="5" t="str">
        <f>HYPERLINK("https://propertylookup.dupagecounty.gov/Datalets/Datalet.aspx?UseSearch=no&amp;mode=sales&amp;pin=0824310012","sales record")</f>
        <v>sales record</v>
      </c>
      <c r="AC6952" t="s">
        <v>3</v>
      </c>
      <c r="AD6952">
        <v>41.759802</v>
      </c>
      <c r="AE6952">
        <v>-88.050037</v>
      </c>
      <c r="AF6952" s="5" t="str">
        <f>HYPERLINK("https://www.google.com/maps/search/?api=1&amp;query=41.759802,-88.050037","map")</f>
        <v>map</v>
      </c>
    </row>
    <row r="6953" spans="1:32">
      <c r="A6953" t="s">
        <v>7003</v>
      </c>
      <c r="B6953" t="s">
        <v>14455</v>
      </c>
      <c r="C6953" t="s">
        <v>16134</v>
      </c>
      <c r="D6953" t="s">
        <v>16215</v>
      </c>
      <c r="E6953" t="s">
        <v>16218</v>
      </c>
      <c r="F6953" t="s">
        <v>16220</v>
      </c>
      <c r="G6953" t="s">
        <v>16299</v>
      </c>
      <c r="H6953" t="s">
        <v>16299</v>
      </c>
      <c r="I6953" t="s">
        <v>16382</v>
      </c>
      <c r="J6953" t="s">
        <v>16385</v>
      </c>
      <c r="K6953">
        <v>0.2</v>
      </c>
      <c r="L6953">
        <v>8692</v>
      </c>
      <c r="M6953">
        <v>1529</v>
      </c>
      <c r="N6953" t="s">
        <v>16393</v>
      </c>
      <c r="O6953" s="4">
        <v>54797</v>
      </c>
      <c r="P6953" s="4">
        <v>57163</v>
      </c>
      <c r="Q6953" s="4">
        <v>111960</v>
      </c>
      <c r="R6953" s="4">
        <v>335880</v>
      </c>
      <c r="S6953" t="s">
        <v>23104</v>
      </c>
      <c r="T6953" s="6">
        <v>39873</v>
      </c>
      <c r="U6953" s="4">
        <v>256500</v>
      </c>
      <c r="V6953" t="s">
        <v>23739</v>
      </c>
      <c r="W6953" t="s">
        <v>27548</v>
      </c>
      <c r="X6953" t="s">
        <v>3</v>
      </c>
      <c r="AA6953" s="5" t="str">
        <f>HYPERLINK("https://www.zillow.com/homes/2-CARDINAL-CT-WOODRIDGE-IL-605171734_rb/","check listing")</f>
        <v>check listing</v>
      </c>
      <c r="AB6953" s="5" t="str">
        <f>HYPERLINK("https://propertylookup.dupagecounty.gov/Datalets/Datalet.aspx?UseSearch=no&amp;mode=sales&amp;pin=0824317019","sales record")</f>
        <v>sales record</v>
      </c>
      <c r="AC6953" t="s">
        <v>3</v>
      </c>
      <c r="AD6953">
        <v>41.764046</v>
      </c>
      <c r="AE6953">
        <v>-88.042866</v>
      </c>
      <c r="AF6953" s="5" t="str">
        <f>HYPERLINK("https://www.google.com/maps/search/?api=1&amp;query=41.764046,-88.042866","map")</f>
        <v>map</v>
      </c>
    </row>
    <row r="6954" spans="1:32">
      <c r="A6954" t="s">
        <v>7004</v>
      </c>
      <c r="B6954" t="s">
        <v>14456</v>
      </c>
      <c r="C6954" t="s">
        <v>16127</v>
      </c>
      <c r="D6954" t="s">
        <v>16215</v>
      </c>
      <c r="E6954" t="s">
        <v>16218</v>
      </c>
      <c r="F6954" t="s">
        <v>16220</v>
      </c>
      <c r="G6954" t="s">
        <v>16299</v>
      </c>
      <c r="H6954" t="s">
        <v>16299</v>
      </c>
      <c r="I6954" t="s">
        <v>16382</v>
      </c>
      <c r="J6954" t="s">
        <v>16385</v>
      </c>
      <c r="K6954">
        <v>0.199</v>
      </c>
      <c r="L6954">
        <v>8688</v>
      </c>
      <c r="M6954">
        <v>2150</v>
      </c>
      <c r="N6954" t="s">
        <v>16393</v>
      </c>
      <c r="O6954" s="4">
        <v>51265</v>
      </c>
      <c r="P6954" s="4">
        <v>123911</v>
      </c>
      <c r="Q6954" s="4">
        <v>175176</v>
      </c>
      <c r="R6954" s="4">
        <v>525528</v>
      </c>
      <c r="S6954" t="s">
        <v>23105</v>
      </c>
      <c r="T6954" s="6">
        <v>33208</v>
      </c>
      <c r="U6954" s="4">
        <v>187000</v>
      </c>
      <c r="X6954" t="s">
        <v>3</v>
      </c>
      <c r="AA6954" s="5" t="str">
        <f>HYPERLINK("https://www.zillow.com/homes/6743-GREENLEAF-ST-WOODRIDGE-IL-605171831_rb/","check listing")</f>
        <v>check listing</v>
      </c>
      <c r="AB6954" s="5" t="str">
        <f>HYPERLINK("https://propertylookup.dupagecounty.gov/Datalets/Datalet.aspx?UseSearch=no&amp;mode=sales&amp;pin=0824413012","sales record")</f>
        <v>sales record</v>
      </c>
      <c r="AC6954" t="s">
        <v>3</v>
      </c>
      <c r="AD6954">
        <v>41.763606</v>
      </c>
      <c r="AE6954">
        <v>-88.035828</v>
      </c>
      <c r="AF6954" s="5" t="str">
        <f>HYPERLINK("https://www.google.com/maps/search/?api=1&amp;query=41.763606,-88.035828","map")</f>
        <v>map</v>
      </c>
    </row>
    <row r="6955" spans="1:32">
      <c r="A6955" t="s">
        <v>7005</v>
      </c>
      <c r="B6955" t="s">
        <v>14457</v>
      </c>
      <c r="C6955" t="s">
        <v>15323</v>
      </c>
      <c r="D6955" t="s">
        <v>16215</v>
      </c>
      <c r="E6955" t="s">
        <v>16218</v>
      </c>
      <c r="F6955" t="s">
        <v>16220</v>
      </c>
      <c r="G6955" t="s">
        <v>16299</v>
      </c>
      <c r="H6955" t="s">
        <v>16299</v>
      </c>
      <c r="I6955" t="s">
        <v>16382</v>
      </c>
      <c r="J6955" t="s">
        <v>16385</v>
      </c>
      <c r="K6955">
        <v>0.199</v>
      </c>
      <c r="L6955">
        <v>8651</v>
      </c>
      <c r="M6955">
        <v>2386</v>
      </c>
      <c r="N6955" t="s">
        <v>16393</v>
      </c>
      <c r="O6955" s="4">
        <v>49124</v>
      </c>
      <c r="P6955" s="4">
        <v>65202</v>
      </c>
      <c r="Q6955" s="4">
        <v>114326</v>
      </c>
      <c r="R6955" s="4">
        <v>342978</v>
      </c>
      <c r="S6955" t="s">
        <v>23106</v>
      </c>
      <c r="T6955" s="6">
        <v>33878</v>
      </c>
      <c r="U6955" s="4">
        <v>130000</v>
      </c>
      <c r="X6955" t="s">
        <v>3</v>
      </c>
      <c r="AA6955" s="5" t="str">
        <f>HYPERLINK("https://www.zillow.com/homes/6830-PRAIRIEVIEW-AVE-WOODRIDGE-IL-60517_rb/","check listing")</f>
        <v>check listing</v>
      </c>
      <c r="AB6955" s="5" t="str">
        <f>HYPERLINK("https://propertylookup.dupagecounty.gov/Datalets/Datalet.aspx?UseSearch=no&amp;mode=sales&amp;pin=0824411017","sales record")</f>
        <v>sales record</v>
      </c>
      <c r="AC6955" t="s">
        <v>3</v>
      </c>
      <c r="AD6955">
        <v>41.761998</v>
      </c>
      <c r="AE6955">
        <v>-88.03559300000001</v>
      </c>
      <c r="AF6955" s="5" t="str">
        <f>HYPERLINK("https://www.google.com/maps/search/?api=1&amp;query=41.761998,-88.035593","map")</f>
        <v>map</v>
      </c>
    </row>
    <row r="6956" spans="1:32">
      <c r="A6956" t="s">
        <v>7006</v>
      </c>
      <c r="B6956" t="s">
        <v>14458</v>
      </c>
      <c r="C6956" t="s">
        <v>15323</v>
      </c>
      <c r="D6956" t="s">
        <v>16215</v>
      </c>
      <c r="E6956" t="s">
        <v>16218</v>
      </c>
      <c r="F6956" t="s">
        <v>16220</v>
      </c>
      <c r="G6956" t="s">
        <v>16299</v>
      </c>
      <c r="H6956" t="s">
        <v>16299</v>
      </c>
      <c r="I6956" t="s">
        <v>16382</v>
      </c>
      <c r="J6956" t="s">
        <v>16385</v>
      </c>
      <c r="K6956">
        <v>0.198</v>
      </c>
      <c r="L6956">
        <v>8616</v>
      </c>
      <c r="M6956">
        <v>2513</v>
      </c>
      <c r="N6956" t="s">
        <v>16393</v>
      </c>
      <c r="O6956" s="4">
        <v>51265</v>
      </c>
      <c r="P6956" s="4">
        <v>111782</v>
      </c>
      <c r="Q6956" s="4">
        <v>163047</v>
      </c>
      <c r="R6956" s="4">
        <v>489141</v>
      </c>
      <c r="S6956" t="s">
        <v>23107</v>
      </c>
      <c r="T6956" s="6">
        <v>29342</v>
      </c>
      <c r="U6956" s="4">
        <v>110357</v>
      </c>
      <c r="X6956" t="s">
        <v>3</v>
      </c>
      <c r="AA6956" s="5" t="str">
        <f>HYPERLINK("https://www.zillow.com/homes/2037-WHEELER-ST-WOODRIDGE-IL-60517_rb/","check listing")</f>
        <v>check listing</v>
      </c>
      <c r="AB6956" s="5" t="str">
        <f>HYPERLINK("https://propertylookup.dupagecounty.gov/Datalets/Datalet.aspx?UseSearch=no&amp;mode=sales&amp;pin=0824415005","sales record")</f>
        <v>sales record</v>
      </c>
      <c r="AC6956" t="s">
        <v>3</v>
      </c>
      <c r="AD6956">
        <v>41.76464</v>
      </c>
      <c r="AE6956">
        <v>-88.033445</v>
      </c>
      <c r="AF6956" s="5" t="str">
        <f>HYPERLINK("https://www.google.com/maps/search/?api=1&amp;query=41.76464,-88.033445","map")</f>
        <v>map</v>
      </c>
    </row>
    <row r="6957" spans="1:32">
      <c r="A6957" t="s">
        <v>7007</v>
      </c>
      <c r="B6957" t="s">
        <v>14459</v>
      </c>
      <c r="C6957" t="s">
        <v>16135</v>
      </c>
      <c r="D6957" t="s">
        <v>16215</v>
      </c>
      <c r="E6957" t="s">
        <v>16218</v>
      </c>
      <c r="F6957" t="s">
        <v>16220</v>
      </c>
      <c r="G6957" t="s">
        <v>16299</v>
      </c>
      <c r="H6957" t="s">
        <v>16299</v>
      </c>
      <c r="I6957" t="s">
        <v>16382</v>
      </c>
      <c r="J6957" t="s">
        <v>16385</v>
      </c>
      <c r="K6957">
        <v>0.198</v>
      </c>
      <c r="L6957">
        <v>8612</v>
      </c>
      <c r="M6957">
        <v>1902</v>
      </c>
      <c r="N6957" t="s">
        <v>16393</v>
      </c>
      <c r="O6957" s="4">
        <v>54797</v>
      </c>
      <c r="P6957" s="4">
        <v>76725</v>
      </c>
      <c r="Q6957" s="4">
        <v>131522</v>
      </c>
      <c r="R6957" s="4">
        <v>394566</v>
      </c>
      <c r="S6957" t="s">
        <v>23108</v>
      </c>
      <c r="T6957" s="6">
        <v>44470</v>
      </c>
      <c r="U6957" s="4">
        <v>364000</v>
      </c>
      <c r="V6957" t="s">
        <v>16232</v>
      </c>
      <c r="W6957" t="s">
        <v>27549</v>
      </c>
      <c r="X6957" t="s">
        <v>3</v>
      </c>
      <c r="AA6957" s="5" t="str">
        <f>HYPERLINK("https://www.zillow.com/homes/5-SWALLOW-CT-WOODRIDGE-IL-605171717_rb/","check listing")</f>
        <v>check listing</v>
      </c>
      <c r="AB6957" s="5" t="str">
        <f>HYPERLINK("https://propertylookup.dupagecounty.gov/Datalets/Datalet.aspx?UseSearch=no&amp;mode=sales&amp;pin=0824317009","sales record")</f>
        <v>sales record</v>
      </c>
      <c r="AC6957" t="s">
        <v>3</v>
      </c>
      <c r="AD6957">
        <v>41.764147</v>
      </c>
      <c r="AE6957">
        <v>-88.04450900000001</v>
      </c>
      <c r="AF6957" s="5" t="str">
        <f>HYPERLINK("https://www.google.com/maps/search/?api=1&amp;query=41.764147,-88.044509","map")</f>
        <v>map</v>
      </c>
    </row>
    <row r="6958" spans="1:32">
      <c r="A6958" t="s">
        <v>7008</v>
      </c>
      <c r="B6958" t="s">
        <v>14460</v>
      </c>
      <c r="C6958" t="s">
        <v>15323</v>
      </c>
      <c r="D6958" t="s">
        <v>16215</v>
      </c>
      <c r="E6958" t="s">
        <v>16218</v>
      </c>
      <c r="F6958" t="s">
        <v>16220</v>
      </c>
      <c r="G6958" t="s">
        <v>16299</v>
      </c>
      <c r="H6958" t="s">
        <v>16299</v>
      </c>
      <c r="I6958" t="s">
        <v>16382</v>
      </c>
      <c r="J6958" t="s">
        <v>16385</v>
      </c>
      <c r="K6958">
        <v>0.197</v>
      </c>
      <c r="L6958">
        <v>8603</v>
      </c>
      <c r="M6958">
        <v>2343</v>
      </c>
      <c r="N6958" t="s">
        <v>16393</v>
      </c>
      <c r="O6958" s="4">
        <v>43559</v>
      </c>
      <c r="P6958" s="4">
        <v>104671</v>
      </c>
      <c r="Q6958" s="4">
        <v>148230</v>
      </c>
      <c r="R6958" s="4">
        <v>444690</v>
      </c>
      <c r="S6958" t="s">
        <v>23109</v>
      </c>
      <c r="T6958" s="6">
        <v>29373</v>
      </c>
      <c r="U6958" s="4">
        <v>124000</v>
      </c>
      <c r="X6958" t="s">
        <v>3</v>
      </c>
      <c r="AA6958" s="5" t="str">
        <f>HYPERLINK("https://www.zillow.com/homes/2007-WHEELER-ST-WOODRIDGE-IL-60517_rb/","check listing")</f>
        <v>check listing</v>
      </c>
      <c r="AB6958" s="5" t="str">
        <f>HYPERLINK("https://propertylookup.dupagecounty.gov/Datalets/Datalet.aspx?UseSearch=no&amp;mode=sales&amp;pin=0824415010","sales record")</f>
        <v>sales record</v>
      </c>
      <c r="AC6958" t="s">
        <v>3</v>
      </c>
      <c r="AD6958">
        <v>41.764609</v>
      </c>
      <c r="AE6958">
        <v>-88.032118</v>
      </c>
      <c r="AF6958" s="5" t="str">
        <f>HYPERLINK("https://www.google.com/maps/search/?api=1&amp;query=41.764609,-88.032118","map")</f>
        <v>map</v>
      </c>
    </row>
    <row r="6959" spans="1:32">
      <c r="A6959" t="s">
        <v>7009</v>
      </c>
      <c r="B6959" t="s">
        <v>14461</v>
      </c>
      <c r="C6959" t="s">
        <v>15323</v>
      </c>
      <c r="D6959" t="s">
        <v>16215</v>
      </c>
      <c r="E6959" t="s">
        <v>16218</v>
      </c>
      <c r="F6959" t="s">
        <v>16220</v>
      </c>
      <c r="G6959" t="s">
        <v>16299</v>
      </c>
      <c r="H6959" t="s">
        <v>16299</v>
      </c>
      <c r="I6959" t="s">
        <v>16382</v>
      </c>
      <c r="J6959" t="s">
        <v>16385</v>
      </c>
      <c r="K6959">
        <v>0.197</v>
      </c>
      <c r="L6959">
        <v>8590</v>
      </c>
      <c r="M6959">
        <v>1263</v>
      </c>
      <c r="N6959" t="s">
        <v>16393</v>
      </c>
      <c r="O6959" s="4">
        <v>54797</v>
      </c>
      <c r="P6959" s="4">
        <v>54951</v>
      </c>
      <c r="Q6959" s="4">
        <v>109748</v>
      </c>
      <c r="R6959" s="4">
        <v>329244</v>
      </c>
      <c r="S6959" t="s">
        <v>23110</v>
      </c>
      <c r="T6959" s="6">
        <v>35612</v>
      </c>
      <c r="U6959" s="4">
        <v>130900</v>
      </c>
      <c r="X6959" t="s">
        <v>3</v>
      </c>
      <c r="AA6959" s="5" t="str">
        <f>HYPERLINK("https://www.zillow.com/homes/8-KILDEER-CT-WOODRIDGE-IL-60517_rb/","check listing")</f>
        <v>check listing</v>
      </c>
      <c r="AB6959" s="5" t="str">
        <f>HYPERLINK("https://propertylookup.dupagecounty.gov/Datalets/Datalet.aspx?UseSearch=no&amp;mode=sales&amp;pin=0824319021","sales record")</f>
        <v>sales record</v>
      </c>
      <c r="AC6959" t="s">
        <v>3</v>
      </c>
      <c r="AD6959">
        <v>41.762182</v>
      </c>
      <c r="AE6959">
        <v>-88.04332100000001</v>
      </c>
      <c r="AF6959" s="5" t="str">
        <f>HYPERLINK("https://www.google.com/maps/search/?api=1&amp;query=41.762182,-88.043321","map")</f>
        <v>map</v>
      </c>
    </row>
    <row r="6960" spans="1:32">
      <c r="A6960" t="s">
        <v>7010</v>
      </c>
      <c r="B6960" t="s">
        <v>14462</v>
      </c>
      <c r="C6960" t="s">
        <v>15323</v>
      </c>
      <c r="D6960" t="s">
        <v>16215</v>
      </c>
      <c r="E6960" t="s">
        <v>16218</v>
      </c>
      <c r="F6960" t="s">
        <v>16220</v>
      </c>
      <c r="G6960" t="s">
        <v>16299</v>
      </c>
      <c r="H6960" t="s">
        <v>16299</v>
      </c>
      <c r="I6960" t="s">
        <v>16382</v>
      </c>
      <c r="J6960" t="s">
        <v>16385</v>
      </c>
      <c r="K6960">
        <v>0.197</v>
      </c>
      <c r="L6960">
        <v>8587</v>
      </c>
      <c r="M6960">
        <v>2124</v>
      </c>
      <c r="N6960" t="s">
        <v>16393</v>
      </c>
      <c r="O6960" s="4">
        <v>54797</v>
      </c>
      <c r="P6960" s="4">
        <v>123007</v>
      </c>
      <c r="Q6960" s="4">
        <v>177804</v>
      </c>
      <c r="R6960" s="4">
        <v>533412</v>
      </c>
      <c r="S6960" t="s">
        <v>23111</v>
      </c>
      <c r="T6960" s="6">
        <v>42887</v>
      </c>
      <c r="U6960" s="4">
        <v>424900</v>
      </c>
      <c r="V6960" t="s">
        <v>23739</v>
      </c>
      <c r="W6960" t="s">
        <v>27550</v>
      </c>
      <c r="X6960" t="s">
        <v>3</v>
      </c>
      <c r="AA6960" s="5" t="str">
        <f>HYPERLINK("https://www.zillow.com/homes/3-YELLOW-STAR-CT-WOODRIDGE-IL-60517_rb/","check listing")</f>
        <v>check listing</v>
      </c>
      <c r="AB6960" s="5" t="str">
        <f>HYPERLINK("https://propertylookup.dupagecounty.gov/Datalets/Datalet.aspx?UseSearch=no&amp;mode=sales&amp;pin=0824307089","sales record")</f>
        <v>sales record</v>
      </c>
      <c r="AC6960" t="s">
        <v>3</v>
      </c>
      <c r="AD6960">
        <v>41.762163</v>
      </c>
      <c r="AE6960">
        <v>-88.04652299999999</v>
      </c>
      <c r="AF6960" s="5" t="str">
        <f>HYPERLINK("https://www.google.com/maps/search/?api=1&amp;query=41.762163,-88.046523","map")</f>
        <v>map</v>
      </c>
    </row>
    <row r="6961" spans="1:32">
      <c r="A6961" t="s">
        <v>7011</v>
      </c>
      <c r="B6961" t="s">
        <v>14463</v>
      </c>
      <c r="C6961" t="s">
        <v>15323</v>
      </c>
      <c r="D6961" t="s">
        <v>16215</v>
      </c>
      <c r="E6961" t="s">
        <v>16218</v>
      </c>
      <c r="F6961" t="s">
        <v>16220</v>
      </c>
      <c r="G6961" t="s">
        <v>16299</v>
      </c>
      <c r="H6961" t="s">
        <v>16299</v>
      </c>
      <c r="I6961" t="s">
        <v>16382</v>
      </c>
      <c r="J6961" t="s">
        <v>16385</v>
      </c>
      <c r="K6961">
        <v>0.197</v>
      </c>
      <c r="L6961">
        <v>8577</v>
      </c>
      <c r="M6961">
        <v>1196</v>
      </c>
      <c r="N6961" t="s">
        <v>16393</v>
      </c>
      <c r="O6961" s="4">
        <v>54797</v>
      </c>
      <c r="P6961" s="4">
        <v>75536</v>
      </c>
      <c r="Q6961" s="4">
        <v>130333</v>
      </c>
      <c r="R6961" s="4">
        <v>390999</v>
      </c>
      <c r="S6961" t="s">
        <v>23112</v>
      </c>
      <c r="X6961" t="s">
        <v>3</v>
      </c>
      <c r="AA6961" s="5" t="str">
        <f>HYPERLINK("https://www.zillow.com/homes/6923-RED-BUD-LN-WOODRIDGE-IL-60517_rb/","check listing")</f>
        <v>check listing</v>
      </c>
      <c r="AB6961" s="5" t="str">
        <f>HYPERLINK("https://propertylookup.dupagecounty.gov/Datalets/Datalet.aspx?UseSearch=no&amp;mode=sales&amp;pin=0824306038","sales record")</f>
        <v>sales record</v>
      </c>
      <c r="AC6961" t="s">
        <v>3</v>
      </c>
      <c r="AD6961">
        <v>41.761159</v>
      </c>
      <c r="AE6961">
        <v>-88.047325</v>
      </c>
      <c r="AF6961" s="5" t="str">
        <f>HYPERLINK("https://www.google.com/maps/search/?api=1&amp;query=41.761159,-88.047325","map")</f>
        <v>map</v>
      </c>
    </row>
    <row r="6962" spans="1:32">
      <c r="A6962" t="s">
        <v>7012</v>
      </c>
      <c r="B6962" t="s">
        <v>14464</v>
      </c>
      <c r="C6962" t="s">
        <v>15323</v>
      </c>
      <c r="D6962" t="s">
        <v>16215</v>
      </c>
      <c r="E6962" t="s">
        <v>16218</v>
      </c>
      <c r="F6962" t="s">
        <v>16220</v>
      </c>
      <c r="G6962" t="s">
        <v>16299</v>
      </c>
      <c r="H6962" t="s">
        <v>16299</v>
      </c>
      <c r="I6962" t="s">
        <v>16382</v>
      </c>
      <c r="J6962" t="s">
        <v>16385</v>
      </c>
      <c r="K6962">
        <v>0.197</v>
      </c>
      <c r="L6962">
        <v>8573</v>
      </c>
      <c r="M6962">
        <v>1722</v>
      </c>
      <c r="N6962" t="s">
        <v>16393</v>
      </c>
      <c r="O6962" s="4">
        <v>54797</v>
      </c>
      <c r="P6962" s="4">
        <v>67937</v>
      </c>
      <c r="Q6962" s="4">
        <v>122734</v>
      </c>
      <c r="R6962" s="4">
        <v>368202</v>
      </c>
      <c r="S6962" t="s">
        <v>23113</v>
      </c>
      <c r="T6962" s="6">
        <v>42430</v>
      </c>
      <c r="U6962" s="4">
        <v>165000</v>
      </c>
      <c r="V6962" t="s">
        <v>23739</v>
      </c>
      <c r="W6962" t="s">
        <v>27551</v>
      </c>
      <c r="X6962" t="s">
        <v>3</v>
      </c>
      <c r="AA6962" s="5" t="str">
        <f>HYPERLINK("https://www.zillow.com/homes/7-CHERRY-TREE-CT-WOODRIDGE-IL-60517_rb/","check listing")</f>
        <v>check listing</v>
      </c>
      <c r="AB6962" s="5" t="str">
        <f>HYPERLINK("https://propertylookup.dupagecounty.gov/Datalets/Datalet.aspx?UseSearch=no&amp;mode=sales&amp;pin=0824316009","sales record")</f>
        <v>sales record</v>
      </c>
      <c r="AC6962" t="s">
        <v>3</v>
      </c>
      <c r="AD6962">
        <v>41.763975</v>
      </c>
      <c r="AE6962">
        <v>-88.046497</v>
      </c>
      <c r="AF6962" s="5" t="str">
        <f>HYPERLINK("https://www.google.com/maps/search/?api=1&amp;query=41.763975,-88.046497","map")</f>
        <v>map</v>
      </c>
    </row>
    <row r="6963" spans="1:32">
      <c r="A6963" t="s">
        <v>7013</v>
      </c>
      <c r="B6963" t="s">
        <v>14465</v>
      </c>
      <c r="C6963" t="s">
        <v>16129</v>
      </c>
      <c r="D6963" t="s">
        <v>16215</v>
      </c>
      <c r="E6963" t="s">
        <v>16218</v>
      </c>
      <c r="F6963" t="s">
        <v>16220</v>
      </c>
      <c r="G6963" t="s">
        <v>16299</v>
      </c>
      <c r="H6963" t="s">
        <v>16299</v>
      </c>
      <c r="I6963" t="s">
        <v>16382</v>
      </c>
      <c r="J6963" t="s">
        <v>16385</v>
      </c>
      <c r="K6963">
        <v>0.197</v>
      </c>
      <c r="L6963">
        <v>8561</v>
      </c>
      <c r="M6963">
        <v>1876</v>
      </c>
      <c r="N6963" t="s">
        <v>16393</v>
      </c>
      <c r="O6963" s="4">
        <v>54797</v>
      </c>
      <c r="P6963" s="4">
        <v>73895</v>
      </c>
      <c r="Q6963" s="4">
        <v>128692</v>
      </c>
      <c r="R6963" s="4">
        <v>386076</v>
      </c>
      <c r="S6963" t="s">
        <v>23114</v>
      </c>
      <c r="T6963" s="6">
        <v>44348</v>
      </c>
      <c r="U6963" s="4">
        <v>330000</v>
      </c>
      <c r="V6963" t="s">
        <v>23739</v>
      </c>
      <c r="W6963" t="s">
        <v>27552</v>
      </c>
      <c r="X6963" t="s">
        <v>3</v>
      </c>
      <c r="AA6963" s="5" t="str">
        <f>HYPERLINK("https://www.zillow.com/homes/6680-WHEATFIELD-ST-WOODRIDGE-IL-605171714_rb/","check listing")</f>
        <v>check listing</v>
      </c>
      <c r="AB6963" s="5" t="str">
        <f>HYPERLINK("https://propertylookup.dupagecounty.gov/Datalets/Datalet.aspx?UseSearch=no&amp;mode=sales&amp;pin=0824110008","sales record")</f>
        <v>sales record</v>
      </c>
      <c r="AC6963" t="s">
        <v>3</v>
      </c>
      <c r="AD6963">
        <v>41.765645</v>
      </c>
      <c r="AE6963">
        <v>-88.04458200000001</v>
      </c>
      <c r="AF6963" s="5" t="str">
        <f>HYPERLINK("https://www.google.com/maps/search/?api=1&amp;query=41.765645,-88.044582","map")</f>
        <v>map</v>
      </c>
    </row>
    <row r="6964" spans="1:32">
      <c r="A6964" t="s">
        <v>7014</v>
      </c>
      <c r="B6964" t="s">
        <v>14466</v>
      </c>
      <c r="C6964" t="s">
        <v>15323</v>
      </c>
      <c r="D6964" t="s">
        <v>16215</v>
      </c>
      <c r="E6964" t="s">
        <v>16218</v>
      </c>
      <c r="F6964" t="s">
        <v>16220</v>
      </c>
      <c r="G6964" t="s">
        <v>16299</v>
      </c>
      <c r="H6964" t="s">
        <v>16299</v>
      </c>
      <c r="I6964" t="s">
        <v>16382</v>
      </c>
      <c r="J6964" t="s">
        <v>16385</v>
      </c>
      <c r="K6964">
        <v>0.196</v>
      </c>
      <c r="L6964">
        <v>8548</v>
      </c>
      <c r="M6964">
        <v>2099</v>
      </c>
      <c r="N6964" t="s">
        <v>16393</v>
      </c>
      <c r="O6964" s="4">
        <v>51990</v>
      </c>
      <c r="P6964" s="4">
        <v>58269</v>
      </c>
      <c r="Q6964" s="4">
        <v>110259</v>
      </c>
      <c r="R6964" s="4">
        <v>330777</v>
      </c>
      <c r="S6964" t="s">
        <v>23115</v>
      </c>
      <c r="T6964" s="6">
        <v>35065</v>
      </c>
      <c r="U6964" s="4">
        <v>131500</v>
      </c>
      <c r="X6964" t="s">
        <v>3</v>
      </c>
      <c r="AA6964" s="5" t="str">
        <f>HYPERLINK("https://www.zillow.com/homes/2I19-SUNNYDALE-ST-WOODRIDGE-IL-60517_rb/","check listing")</f>
        <v>check listing</v>
      </c>
      <c r="AB6964" s="5" t="str">
        <f>HYPERLINK("https://propertylookup.dupagecounty.gov/Datalets/Datalet.aspx?UseSearch=no&amp;mode=sales&amp;pin=0824417003","sales record")</f>
        <v>sales record</v>
      </c>
      <c r="AC6964" t="s">
        <v>3</v>
      </c>
      <c r="AD6964">
        <v>41.759962</v>
      </c>
      <c r="AE6964">
        <v>-88.034496</v>
      </c>
      <c r="AF6964" s="5" t="str">
        <f>HYPERLINK("https://www.google.com/maps/search/?api=1&amp;query=41.759962,-88.034496","map")</f>
        <v>map</v>
      </c>
    </row>
    <row r="6965" spans="1:32">
      <c r="A6965" t="s">
        <v>7015</v>
      </c>
      <c r="B6965" t="s">
        <v>14467</v>
      </c>
      <c r="C6965" t="s">
        <v>15323</v>
      </c>
      <c r="D6965" t="s">
        <v>16215</v>
      </c>
      <c r="E6965" t="s">
        <v>16218</v>
      </c>
      <c r="F6965" t="s">
        <v>16220</v>
      </c>
      <c r="G6965" t="s">
        <v>16299</v>
      </c>
      <c r="H6965" t="s">
        <v>16299</v>
      </c>
      <c r="I6965" t="s">
        <v>16382</v>
      </c>
      <c r="J6965" t="s">
        <v>16385</v>
      </c>
      <c r="K6965">
        <v>0.196</v>
      </c>
      <c r="L6965">
        <v>8540</v>
      </c>
      <c r="M6965">
        <v>1616</v>
      </c>
      <c r="N6965" t="s">
        <v>16393</v>
      </c>
      <c r="O6965" s="4">
        <v>49124</v>
      </c>
      <c r="P6965" s="4">
        <v>62562</v>
      </c>
      <c r="Q6965" s="4">
        <v>111686</v>
      </c>
      <c r="R6965" s="4">
        <v>335058</v>
      </c>
      <c r="S6965" t="s">
        <v>23116</v>
      </c>
      <c r="T6965" s="6">
        <v>37561</v>
      </c>
      <c r="U6965" s="4">
        <v>190000</v>
      </c>
      <c r="V6965" t="s">
        <v>23739</v>
      </c>
      <c r="W6965" t="s">
        <v>23116</v>
      </c>
      <c r="X6965" t="s">
        <v>3</v>
      </c>
      <c r="AA6965" s="5" t="str">
        <f>HYPERLINK("https://www.zillow.com/homes/6900-PRAIRIEVIEW-AVE-WOODRIDGE-IL-60517_rb/","check listing")</f>
        <v>check listing</v>
      </c>
      <c r="AB6965" s="5" t="str">
        <f>HYPERLINK("https://propertylookup.dupagecounty.gov/Datalets/Datalet.aspx?UseSearch=no&amp;mode=sales&amp;pin=0824411021","sales record")</f>
        <v>sales record</v>
      </c>
      <c r="AC6965" t="s">
        <v>3</v>
      </c>
      <c r="AD6965">
        <v>41.76132</v>
      </c>
      <c r="AE6965">
        <v>-88.03531</v>
      </c>
      <c r="AF6965" s="5" t="str">
        <f>HYPERLINK("https://www.google.com/maps/search/?api=1&amp;query=41.76132,-88.03531","map")</f>
        <v>map</v>
      </c>
    </row>
    <row r="6966" spans="1:32">
      <c r="A6966" t="s">
        <v>7016</v>
      </c>
      <c r="B6966" t="s">
        <v>14468</v>
      </c>
      <c r="C6966" t="s">
        <v>15323</v>
      </c>
      <c r="D6966" t="s">
        <v>16215</v>
      </c>
      <c r="E6966" t="s">
        <v>16218</v>
      </c>
      <c r="F6966" t="s">
        <v>16220</v>
      </c>
      <c r="G6966" t="s">
        <v>16299</v>
      </c>
      <c r="H6966" t="s">
        <v>16299</v>
      </c>
      <c r="I6966" t="s">
        <v>16382</v>
      </c>
      <c r="J6966" t="s">
        <v>16385</v>
      </c>
      <c r="K6966">
        <v>0.196</v>
      </c>
      <c r="L6966">
        <v>8538</v>
      </c>
      <c r="M6966">
        <v>1848</v>
      </c>
      <c r="N6966" t="s">
        <v>16393</v>
      </c>
      <c r="O6966" s="4">
        <v>57651</v>
      </c>
      <c r="P6966" s="4">
        <v>69447</v>
      </c>
      <c r="Q6966" s="4">
        <v>127098</v>
      </c>
      <c r="R6966" s="4">
        <v>381294</v>
      </c>
      <c r="S6966" t="s">
        <v>23117</v>
      </c>
      <c r="T6966" s="6">
        <v>38596</v>
      </c>
      <c r="U6966" s="4">
        <v>281500</v>
      </c>
      <c r="V6966" t="s">
        <v>23739</v>
      </c>
      <c r="W6966" t="s">
        <v>23117</v>
      </c>
      <c r="X6966" t="s">
        <v>3</v>
      </c>
      <c r="AA6966" s="5" t="str">
        <f>HYPERLINK("https://www.zillow.com/homes/2-BLUE-FLAG-CT-WOODRIDGE-IL-60517_rb/","check listing")</f>
        <v>check listing</v>
      </c>
      <c r="AB6966" s="5" t="str">
        <f>HYPERLINK("https://propertylookup.dupagecounty.gov/Datalets/Datalet.aspx?UseSearch=no&amp;mode=sales&amp;pin=0824310007","sales record")</f>
        <v>sales record</v>
      </c>
      <c r="AC6966" t="s">
        <v>3</v>
      </c>
      <c r="AD6966">
        <v>41.759273</v>
      </c>
      <c r="AE6966">
        <v>-88.050234</v>
      </c>
      <c r="AF6966" s="5" t="str">
        <f>HYPERLINK("https://www.google.com/maps/search/?api=1&amp;query=41.759273,-88.050234","map")</f>
        <v>map</v>
      </c>
    </row>
    <row r="6967" spans="1:32">
      <c r="A6967" t="s">
        <v>7017</v>
      </c>
      <c r="B6967" t="s">
        <v>14469</v>
      </c>
      <c r="C6967" t="s">
        <v>15323</v>
      </c>
      <c r="D6967" t="s">
        <v>16215</v>
      </c>
      <c r="E6967" t="s">
        <v>16218</v>
      </c>
      <c r="F6967" t="s">
        <v>16220</v>
      </c>
      <c r="G6967" t="s">
        <v>16299</v>
      </c>
      <c r="H6967" t="s">
        <v>16299</v>
      </c>
      <c r="I6967" t="s">
        <v>16382</v>
      </c>
      <c r="J6967" t="s">
        <v>16385</v>
      </c>
      <c r="K6967">
        <v>0.195</v>
      </c>
      <c r="L6967">
        <v>8481</v>
      </c>
      <c r="M6967">
        <v>2026</v>
      </c>
      <c r="N6967" t="s">
        <v>16393</v>
      </c>
      <c r="O6967" s="4">
        <v>51265</v>
      </c>
      <c r="P6967" s="4">
        <v>124577</v>
      </c>
      <c r="Q6967" s="4">
        <v>175842</v>
      </c>
      <c r="R6967" s="4">
        <v>527526</v>
      </c>
      <c r="S6967" t="s">
        <v>23118</v>
      </c>
      <c r="T6967" s="6">
        <v>30195</v>
      </c>
      <c r="U6967" s="4">
        <v>114500</v>
      </c>
      <c r="X6967" t="s">
        <v>3</v>
      </c>
      <c r="AA6967" s="5" t="str">
        <f>HYPERLINK("https://www.zillow.com/homes/6725-GREENLEAF-ST-WOODRIDGE-IL-60517_rb/","check listing")</f>
        <v>check listing</v>
      </c>
      <c r="AB6967" s="5" t="str">
        <f>HYPERLINK("https://propertylookup.dupagecounty.gov/Datalets/Datalet.aspx?UseSearch=no&amp;mode=sales&amp;pin=0824413009","sales record")</f>
        <v>sales record</v>
      </c>
      <c r="AC6967" t="s">
        <v>3</v>
      </c>
      <c r="AD6967">
        <v>41.764148</v>
      </c>
      <c r="AE6967">
        <v>-88.036203</v>
      </c>
      <c r="AF6967" s="5" t="str">
        <f>HYPERLINK("https://www.google.com/maps/search/?api=1&amp;query=41.764148,-88.036203","map")</f>
        <v>map</v>
      </c>
    </row>
    <row r="6968" spans="1:32">
      <c r="A6968" t="s">
        <v>7018</v>
      </c>
      <c r="B6968" t="s">
        <v>14470</v>
      </c>
      <c r="C6968" t="s">
        <v>15323</v>
      </c>
      <c r="D6968" t="s">
        <v>16215</v>
      </c>
      <c r="E6968" t="s">
        <v>16218</v>
      </c>
      <c r="F6968" t="s">
        <v>16220</v>
      </c>
      <c r="G6968" t="s">
        <v>16299</v>
      </c>
      <c r="H6968" t="s">
        <v>16299</v>
      </c>
      <c r="I6968" t="s">
        <v>16382</v>
      </c>
      <c r="J6968" t="s">
        <v>16385</v>
      </c>
      <c r="K6968">
        <v>0.194</v>
      </c>
      <c r="L6968">
        <v>8468</v>
      </c>
      <c r="M6968">
        <v>1558</v>
      </c>
      <c r="N6968" t="s">
        <v>16393</v>
      </c>
      <c r="O6968" s="4">
        <v>51265</v>
      </c>
      <c r="P6968" s="4">
        <v>93087</v>
      </c>
      <c r="Q6968" s="4">
        <v>144352</v>
      </c>
      <c r="R6968" s="4">
        <v>433056</v>
      </c>
      <c r="S6968" t="s">
        <v>23119</v>
      </c>
      <c r="T6968" s="6">
        <v>36708</v>
      </c>
      <c r="U6968" s="4">
        <v>200000</v>
      </c>
      <c r="V6968" t="s">
        <v>23740</v>
      </c>
      <c r="W6968" t="s">
        <v>27553</v>
      </c>
      <c r="X6968" t="s">
        <v>3</v>
      </c>
      <c r="AA6968" s="5" t="str">
        <f>HYPERLINK("https://www.zillow.com/homes/6731-GREENLEAF-ST-WOODRIDGE-IL-60517_rb/","check listing")</f>
        <v>check listing</v>
      </c>
      <c r="AB6968" s="5" t="str">
        <f>HYPERLINK("https://propertylookup.dupagecounty.gov/Datalets/Datalet.aspx?UseSearch=no&amp;mode=sales&amp;pin=0824413010","sales record")</f>
        <v>sales record</v>
      </c>
      <c r="AC6968" t="s">
        <v>3</v>
      </c>
      <c r="AD6968">
        <v>41.763972</v>
      </c>
      <c r="AE6968">
        <v>-88.036072</v>
      </c>
      <c r="AF6968" s="5" t="str">
        <f>HYPERLINK("https://www.google.com/maps/search/?api=1&amp;query=41.763972,-88.036072","map")</f>
        <v>map</v>
      </c>
    </row>
    <row r="6969" spans="1:32">
      <c r="A6969" t="s">
        <v>7019</v>
      </c>
      <c r="B6969" t="s">
        <v>14471</v>
      </c>
      <c r="C6969" t="s">
        <v>15323</v>
      </c>
      <c r="D6969" t="s">
        <v>16215</v>
      </c>
      <c r="E6969" t="s">
        <v>16218</v>
      </c>
      <c r="F6969" t="s">
        <v>16220</v>
      </c>
      <c r="G6969" t="s">
        <v>16299</v>
      </c>
      <c r="H6969" t="s">
        <v>16299</v>
      </c>
      <c r="I6969" t="s">
        <v>16382</v>
      </c>
      <c r="J6969" t="s">
        <v>16385</v>
      </c>
      <c r="K6969">
        <v>0.194</v>
      </c>
      <c r="L6969">
        <v>8450</v>
      </c>
      <c r="M6969">
        <v>1873</v>
      </c>
      <c r="N6969" t="s">
        <v>16393</v>
      </c>
      <c r="O6969" s="4">
        <v>51265</v>
      </c>
      <c r="P6969" s="4">
        <v>114850</v>
      </c>
      <c r="Q6969" s="4">
        <v>166115</v>
      </c>
      <c r="R6969" s="4">
        <v>498345</v>
      </c>
      <c r="S6969" t="s">
        <v>23120</v>
      </c>
      <c r="T6969" s="6">
        <v>42644</v>
      </c>
      <c r="U6969" s="4">
        <v>325000</v>
      </c>
      <c r="V6969" t="s">
        <v>23739</v>
      </c>
      <c r="W6969" t="s">
        <v>27554</v>
      </c>
      <c r="X6969" t="s">
        <v>3</v>
      </c>
      <c r="AA6969" s="5" t="str">
        <f>HYPERLINK("https://www.zillow.com/homes/6737-GREENLEAF-ST-WOODRIDGE-IL-60517_rb/","check listing")</f>
        <v>check listing</v>
      </c>
      <c r="AB6969" s="5" t="str">
        <f>HYPERLINK("https://propertylookup.dupagecounty.gov/Datalets/Datalet.aspx?UseSearch=no&amp;mode=sales&amp;pin=0824413011","sales record")</f>
        <v>sales record</v>
      </c>
      <c r="AC6969" t="s">
        <v>3</v>
      </c>
      <c r="AD6969">
        <v>41.763796</v>
      </c>
      <c r="AE6969">
        <v>-88.03594099999999</v>
      </c>
      <c r="AF6969" s="5" t="str">
        <f>HYPERLINK("https://www.google.com/maps/search/?api=1&amp;query=41.763796,-88.035941","map")</f>
        <v>map</v>
      </c>
    </row>
    <row r="6970" spans="1:32">
      <c r="A6970" t="s">
        <v>7020</v>
      </c>
      <c r="B6970" t="s">
        <v>14472</v>
      </c>
      <c r="C6970" t="s">
        <v>16136</v>
      </c>
      <c r="D6970" t="s">
        <v>16215</v>
      </c>
      <c r="E6970" t="s">
        <v>16218</v>
      </c>
      <c r="F6970" t="s">
        <v>16220</v>
      </c>
      <c r="G6970" t="s">
        <v>16299</v>
      </c>
      <c r="H6970" t="s">
        <v>16299</v>
      </c>
      <c r="I6970" t="s">
        <v>16382</v>
      </c>
      <c r="J6970" t="s">
        <v>16385</v>
      </c>
      <c r="K6970">
        <v>0.194</v>
      </c>
      <c r="L6970">
        <v>8442</v>
      </c>
      <c r="M6970">
        <v>1535</v>
      </c>
      <c r="N6970" t="s">
        <v>16393</v>
      </c>
      <c r="O6970" s="4">
        <v>49124</v>
      </c>
      <c r="P6970" s="4">
        <v>71469</v>
      </c>
      <c r="Q6970" s="4">
        <v>120593</v>
      </c>
      <c r="R6970" s="4">
        <v>361779</v>
      </c>
      <c r="S6970" t="s">
        <v>23121</v>
      </c>
      <c r="T6970" s="6">
        <v>43344</v>
      </c>
      <c r="U6970" s="4">
        <v>200000</v>
      </c>
      <c r="V6970" t="s">
        <v>23738</v>
      </c>
      <c r="W6970" t="s">
        <v>23121</v>
      </c>
      <c r="X6970" t="s">
        <v>3</v>
      </c>
      <c r="AA6970" s="5" t="str">
        <f>HYPERLINK("https://www.zillow.com/homes/6628-FOXTREE-AVE-WOODRIDGE-IL-605171729_rb/","check listing")</f>
        <v>check listing</v>
      </c>
      <c r="AB6970" s="5" t="str">
        <f>HYPERLINK("https://propertylookup.dupagecounty.gov/Datalets/Datalet.aspx?UseSearch=no&amp;mode=sales&amp;pin=0824109020","sales record")</f>
        <v>sales record</v>
      </c>
      <c r="AC6970" t="s">
        <v>3</v>
      </c>
      <c r="AD6970">
        <v>41.76658</v>
      </c>
      <c r="AE6970">
        <v>-88.041477</v>
      </c>
      <c r="AF6970" s="5" t="str">
        <f>HYPERLINK("https://www.google.com/maps/search/?api=1&amp;query=41.76658,-88.041477","map")</f>
        <v>map</v>
      </c>
    </row>
    <row r="6971" spans="1:32">
      <c r="A6971" t="s">
        <v>7021</v>
      </c>
      <c r="B6971" t="s">
        <v>14473</v>
      </c>
      <c r="C6971" t="s">
        <v>15323</v>
      </c>
      <c r="D6971" t="s">
        <v>16215</v>
      </c>
      <c r="E6971" t="s">
        <v>16218</v>
      </c>
      <c r="F6971" t="s">
        <v>16220</v>
      </c>
      <c r="G6971" t="s">
        <v>16299</v>
      </c>
      <c r="H6971" t="s">
        <v>16299</v>
      </c>
      <c r="I6971" t="s">
        <v>16382</v>
      </c>
      <c r="J6971" t="s">
        <v>16385</v>
      </c>
      <c r="K6971">
        <v>0.193</v>
      </c>
      <c r="L6971">
        <v>8421</v>
      </c>
      <c r="M6971">
        <v>1897</v>
      </c>
      <c r="N6971" t="s">
        <v>16393</v>
      </c>
      <c r="O6971" s="4">
        <v>54797</v>
      </c>
      <c r="P6971" s="4">
        <v>76083</v>
      </c>
      <c r="Q6971" s="4">
        <v>130880</v>
      </c>
      <c r="R6971" s="4">
        <v>392640</v>
      </c>
      <c r="S6971" t="s">
        <v>23122</v>
      </c>
      <c r="T6971" s="6">
        <v>45478</v>
      </c>
      <c r="U6971" s="4">
        <v>465000</v>
      </c>
      <c r="V6971" t="s">
        <v>23739</v>
      </c>
      <c r="W6971" t="s">
        <v>27555</v>
      </c>
      <c r="X6971" t="s">
        <v>3</v>
      </c>
      <c r="AA6971" s="5" t="str">
        <f>HYPERLINK("https://www.zillow.com/homes/5-LORRAINE-AVE-WOODRIDGE-IL-60517_rb/","check listing")</f>
        <v>check listing</v>
      </c>
      <c r="AB6971" s="5" t="str">
        <f>HYPERLINK("https://propertylookup.dupagecounty.gov/Datalets/Datalet.aspx?UseSearch=no&amp;mode=sales&amp;pin=0824111030","sales record")</f>
        <v>sales record</v>
      </c>
      <c r="AC6971" t="s">
        <v>3</v>
      </c>
      <c r="AD6971">
        <v>41.765864</v>
      </c>
      <c r="AE6971">
        <v>-88.042418</v>
      </c>
      <c r="AF6971" s="5" t="str">
        <f>HYPERLINK("https://www.google.com/maps/search/?api=1&amp;query=41.765864,-88.042418","map")</f>
        <v>map</v>
      </c>
    </row>
    <row r="6972" spans="1:32">
      <c r="A6972" t="s">
        <v>7022</v>
      </c>
      <c r="B6972" t="s">
        <v>14474</v>
      </c>
      <c r="C6972" t="s">
        <v>15323</v>
      </c>
      <c r="D6972" t="s">
        <v>16215</v>
      </c>
      <c r="E6972" t="s">
        <v>16218</v>
      </c>
      <c r="F6972" t="s">
        <v>16220</v>
      </c>
      <c r="G6972" t="s">
        <v>16299</v>
      </c>
      <c r="H6972" t="s">
        <v>16299</v>
      </c>
      <c r="I6972" t="s">
        <v>16382</v>
      </c>
      <c r="J6972" t="s">
        <v>16385</v>
      </c>
      <c r="K6972">
        <v>0.193</v>
      </c>
      <c r="L6972">
        <v>8394</v>
      </c>
      <c r="M6972">
        <v>1583</v>
      </c>
      <c r="N6972" t="s">
        <v>16393</v>
      </c>
      <c r="O6972" s="4">
        <v>54797</v>
      </c>
      <c r="P6972" s="4">
        <v>69400</v>
      </c>
      <c r="Q6972" s="4">
        <v>124197</v>
      </c>
      <c r="R6972" s="4">
        <v>372591</v>
      </c>
      <c r="S6972" t="s">
        <v>23123</v>
      </c>
      <c r="T6972" s="6">
        <v>41579</v>
      </c>
      <c r="U6972" s="4">
        <v>245000</v>
      </c>
      <c r="V6972" t="s">
        <v>23740</v>
      </c>
      <c r="W6972" t="s">
        <v>27556</v>
      </c>
      <c r="X6972" t="s">
        <v>3</v>
      </c>
      <c r="AA6972" s="5" t="str">
        <f>HYPERLINK("https://www.zillow.com/homes/2113-SUNNYDALE-ST-WOODRIDGE-IL-60517_rb/","check listing")</f>
        <v>check listing</v>
      </c>
      <c r="AB6972" s="5" t="str">
        <f>HYPERLINK("https://propertylookup.dupagecounty.gov/Datalets/Datalet.aspx?UseSearch=no&amp;mode=sales&amp;pin=0824417004","sales record")</f>
        <v>sales record</v>
      </c>
      <c r="AC6972" t="s">
        <v>3</v>
      </c>
      <c r="AD6972">
        <v>41.75998</v>
      </c>
      <c r="AE6972">
        <v>-88.034252</v>
      </c>
      <c r="AF6972" s="5" t="str">
        <f>HYPERLINK("https://www.google.com/maps/search/?api=1&amp;query=41.75998,-88.034252","map")</f>
        <v>map</v>
      </c>
    </row>
    <row r="6973" spans="1:32">
      <c r="A6973" t="s">
        <v>7023</v>
      </c>
      <c r="B6973" t="s">
        <v>14475</v>
      </c>
      <c r="C6973" t="s">
        <v>15323</v>
      </c>
      <c r="D6973" t="s">
        <v>16215</v>
      </c>
      <c r="E6973" t="s">
        <v>16218</v>
      </c>
      <c r="F6973" t="s">
        <v>16220</v>
      </c>
      <c r="G6973" t="s">
        <v>16299</v>
      </c>
      <c r="H6973" t="s">
        <v>16299</v>
      </c>
      <c r="I6973" t="s">
        <v>16382</v>
      </c>
      <c r="J6973" t="s">
        <v>16385</v>
      </c>
      <c r="K6973">
        <v>0.192</v>
      </c>
      <c r="L6973">
        <v>8375</v>
      </c>
      <c r="M6973">
        <v>2184</v>
      </c>
      <c r="N6973" t="s">
        <v>16393</v>
      </c>
      <c r="O6973" s="4">
        <v>54797</v>
      </c>
      <c r="P6973" s="4">
        <v>60695</v>
      </c>
      <c r="Q6973" s="4">
        <v>115492</v>
      </c>
      <c r="R6973" s="4">
        <v>346476</v>
      </c>
      <c r="S6973" t="s">
        <v>23124</v>
      </c>
      <c r="T6973" s="6">
        <v>38930</v>
      </c>
      <c r="U6973" s="4">
        <v>254000</v>
      </c>
      <c r="V6973" t="s">
        <v>23739</v>
      </c>
      <c r="W6973" t="s">
        <v>23124</v>
      </c>
      <c r="X6973" t="s">
        <v>3</v>
      </c>
      <c r="AA6973" s="5" t="str">
        <f>HYPERLINK("https://www.zillow.com/homes/6710-FOX-TREE-AVE-WOODRIDGE-IL-60517_rb/","check listing")</f>
        <v>check listing</v>
      </c>
      <c r="AB6973" s="5" t="str">
        <f>HYPERLINK("https://propertylookup.dupagecounty.gov/Datalets/Datalet.aspx?UseSearch=no&amp;mode=sales&amp;pin=0824316018","sales record")</f>
        <v>sales record</v>
      </c>
      <c r="AC6973" t="s">
        <v>3</v>
      </c>
      <c r="AD6973">
        <v>41.764355</v>
      </c>
      <c r="AE6973">
        <v>-88.04555999999999</v>
      </c>
      <c r="AF6973" s="5" t="str">
        <f>HYPERLINK("https://www.google.com/maps/search/?api=1&amp;query=41.764355,-88.04556","map")</f>
        <v>map</v>
      </c>
    </row>
    <row r="6974" spans="1:32">
      <c r="A6974" t="s">
        <v>7024</v>
      </c>
      <c r="B6974" t="s">
        <v>14476</v>
      </c>
      <c r="C6974" t="s">
        <v>15323</v>
      </c>
      <c r="D6974" t="s">
        <v>16215</v>
      </c>
      <c r="E6974" t="s">
        <v>16218</v>
      </c>
      <c r="F6974" t="s">
        <v>16220</v>
      </c>
      <c r="G6974" t="s">
        <v>16299</v>
      </c>
      <c r="H6974" t="s">
        <v>16299</v>
      </c>
      <c r="I6974" t="s">
        <v>16382</v>
      </c>
      <c r="J6974" t="s">
        <v>16385</v>
      </c>
      <c r="K6974">
        <v>0.192</v>
      </c>
      <c r="L6974">
        <v>8365</v>
      </c>
      <c r="M6974">
        <v>1677</v>
      </c>
      <c r="N6974" t="s">
        <v>16393</v>
      </c>
      <c r="O6974" s="4">
        <v>49124</v>
      </c>
      <c r="P6974" s="4">
        <v>62562</v>
      </c>
      <c r="Q6974" s="4">
        <v>111686</v>
      </c>
      <c r="R6974" s="4">
        <v>335058</v>
      </c>
      <c r="S6974" t="s">
        <v>23125</v>
      </c>
      <c r="T6974" s="6">
        <v>31533</v>
      </c>
      <c r="U6974" s="4">
        <v>91500</v>
      </c>
      <c r="X6974" t="s">
        <v>3</v>
      </c>
      <c r="AA6974" s="5" t="str">
        <f>HYPERLINK("https://www.zillow.com/homes/6848-PRAIRIEVIEW-AVE-WOODRIDGE-IL-60517_rb/","check listing")</f>
        <v>check listing</v>
      </c>
      <c r="AB6974" s="5" t="str">
        <f>HYPERLINK("https://propertylookup.dupagecounty.gov/Datalets/Datalet.aspx?UseSearch=no&amp;mode=sales&amp;pin=0824411020","sales record")</f>
        <v>sales record</v>
      </c>
      <c r="AC6974" t="s">
        <v>3</v>
      </c>
      <c r="AD6974">
        <v>41.761489</v>
      </c>
      <c r="AE6974">
        <v>-88.03537799999999</v>
      </c>
      <c r="AF6974" s="5" t="str">
        <f>HYPERLINK("https://www.google.com/maps/search/?api=1&amp;query=41.761489,-88.035378","map")</f>
        <v>map</v>
      </c>
    </row>
    <row r="6975" spans="1:32">
      <c r="A6975" t="s">
        <v>7025</v>
      </c>
      <c r="B6975" t="s">
        <v>14477</v>
      </c>
      <c r="C6975" t="s">
        <v>15323</v>
      </c>
      <c r="D6975" t="s">
        <v>16215</v>
      </c>
      <c r="E6975" t="s">
        <v>16218</v>
      </c>
      <c r="F6975" t="s">
        <v>16220</v>
      </c>
      <c r="G6975" t="s">
        <v>16299</v>
      </c>
      <c r="H6975" t="s">
        <v>16299</v>
      </c>
      <c r="I6975" t="s">
        <v>16382</v>
      </c>
      <c r="J6975" t="s">
        <v>16385</v>
      </c>
      <c r="K6975">
        <v>0.191</v>
      </c>
      <c r="L6975">
        <v>8318</v>
      </c>
      <c r="M6975">
        <v>1748</v>
      </c>
      <c r="N6975" t="s">
        <v>16393</v>
      </c>
      <c r="O6975" s="4">
        <v>54797</v>
      </c>
      <c r="P6975" s="4">
        <v>77914</v>
      </c>
      <c r="Q6975" s="4">
        <v>132711</v>
      </c>
      <c r="R6975" s="4">
        <v>398133</v>
      </c>
      <c r="S6975" t="s">
        <v>23126</v>
      </c>
      <c r="T6975" s="6">
        <v>33359</v>
      </c>
      <c r="U6975" s="4">
        <v>132500</v>
      </c>
      <c r="X6975" t="s">
        <v>3</v>
      </c>
      <c r="AA6975" s="5" t="str">
        <f>HYPERLINK("https://www.zillow.com/homes/2025-VANTAGE-ST-WOODRIDGE-IL-60517_rb/","check listing")</f>
        <v>check listing</v>
      </c>
      <c r="AB6975" s="5" t="str">
        <f>HYPERLINK("https://propertylookup.dupagecounty.gov/Datalets/Datalet.aspx?UseSearch=no&amp;mode=sales&amp;pin=0824415033","sales record")</f>
        <v>sales record</v>
      </c>
      <c r="AC6975" t="s">
        <v>3</v>
      </c>
      <c r="AD6975">
        <v>41.761018</v>
      </c>
      <c r="AE6975">
        <v>-88.03277199999999</v>
      </c>
      <c r="AF6975" s="5" t="str">
        <f>HYPERLINK("https://www.google.com/maps/search/?api=1&amp;query=41.761018,-88.032772","map")</f>
        <v>map</v>
      </c>
    </row>
    <row r="6976" spans="1:32">
      <c r="A6976" t="s">
        <v>7026</v>
      </c>
      <c r="B6976" t="s">
        <v>14478</v>
      </c>
      <c r="C6976" t="s">
        <v>15323</v>
      </c>
      <c r="D6976" t="s">
        <v>16215</v>
      </c>
      <c r="E6976" t="s">
        <v>16218</v>
      </c>
      <c r="F6976" t="s">
        <v>16220</v>
      </c>
      <c r="G6976" t="s">
        <v>16299</v>
      </c>
      <c r="H6976" t="s">
        <v>16299</v>
      </c>
      <c r="I6976" t="s">
        <v>16382</v>
      </c>
      <c r="J6976" t="s">
        <v>16385</v>
      </c>
      <c r="K6976">
        <v>0.191</v>
      </c>
      <c r="L6976">
        <v>8316</v>
      </c>
      <c r="M6976">
        <v>1270</v>
      </c>
      <c r="N6976" t="s">
        <v>16393</v>
      </c>
      <c r="O6976" s="4">
        <v>54797</v>
      </c>
      <c r="P6976" s="4">
        <v>71611</v>
      </c>
      <c r="Q6976" s="4">
        <v>126408</v>
      </c>
      <c r="R6976" s="4">
        <v>379224</v>
      </c>
      <c r="S6976" t="s">
        <v>23127</v>
      </c>
      <c r="T6976" s="6">
        <v>29190</v>
      </c>
      <c r="U6976" s="4">
        <v>79036</v>
      </c>
      <c r="X6976" t="s">
        <v>3</v>
      </c>
      <c r="AA6976" s="5" t="str">
        <f>HYPERLINK("https://www.zillow.com/homes/2049-VANTAGE-ST-WOODRIDGE-IL-60517_rb/","check listing")</f>
        <v>check listing</v>
      </c>
      <c r="AB6976" s="5" t="str">
        <f>HYPERLINK("https://propertylookup.dupagecounty.gov/Datalets/Datalet.aspx?UseSearch=no&amp;mode=sales&amp;pin=0824414044","sales record")</f>
        <v>sales record</v>
      </c>
      <c r="AC6976" t="s">
        <v>3</v>
      </c>
      <c r="AD6976">
        <v>41.76083</v>
      </c>
      <c r="AE6976">
        <v>-88.033686</v>
      </c>
      <c r="AF6976" s="5" t="str">
        <f>HYPERLINK("https://www.google.com/maps/search/?api=1&amp;query=41.76083,-88.033686","map")</f>
        <v>map</v>
      </c>
    </row>
    <row r="6977" spans="1:32">
      <c r="A6977" t="s">
        <v>7027</v>
      </c>
      <c r="B6977" t="s">
        <v>14479</v>
      </c>
      <c r="C6977" t="s">
        <v>15323</v>
      </c>
      <c r="D6977" t="s">
        <v>16215</v>
      </c>
      <c r="E6977" t="s">
        <v>16218</v>
      </c>
      <c r="F6977" t="s">
        <v>16220</v>
      </c>
      <c r="G6977" t="s">
        <v>16299</v>
      </c>
      <c r="H6977" t="s">
        <v>16299</v>
      </c>
      <c r="I6977" t="s">
        <v>16382</v>
      </c>
      <c r="J6977" t="s">
        <v>16385</v>
      </c>
      <c r="K6977">
        <v>0.191</v>
      </c>
      <c r="L6977">
        <v>8313</v>
      </c>
      <c r="M6977">
        <v>1779</v>
      </c>
      <c r="N6977" t="s">
        <v>16393</v>
      </c>
      <c r="O6977" s="4">
        <v>54797</v>
      </c>
      <c r="P6977" s="4">
        <v>65868</v>
      </c>
      <c r="Q6977" s="4">
        <v>120665</v>
      </c>
      <c r="R6977" s="4">
        <v>361995</v>
      </c>
      <c r="S6977" t="s">
        <v>23128</v>
      </c>
      <c r="T6977" s="6">
        <v>38139</v>
      </c>
      <c r="U6977" s="4">
        <v>245000</v>
      </c>
      <c r="V6977" t="s">
        <v>23739</v>
      </c>
      <c r="W6977" t="s">
        <v>27557</v>
      </c>
      <c r="X6977" t="s">
        <v>3</v>
      </c>
      <c r="AA6977" s="5" t="str">
        <f>HYPERLINK("https://www.zillow.com/homes/6814-EASTSIDE-AVE-WOODRIDGE-IL-60517_rb/","check listing")</f>
        <v>check listing</v>
      </c>
      <c r="AB6977" s="5" t="str">
        <f>HYPERLINK("https://propertylookup.dupagecounty.gov/Datalets/Datalet.aspx?UseSearch=no&amp;mode=sales&amp;pin=0824416008","sales record")</f>
        <v>sales record</v>
      </c>
      <c r="AC6977" t="s">
        <v>3</v>
      </c>
      <c r="AD6977">
        <v>41.762562</v>
      </c>
      <c r="AE6977">
        <v>-88.03251</v>
      </c>
      <c r="AF6977" s="5" t="str">
        <f>HYPERLINK("https://www.google.com/maps/search/?api=1&amp;query=41.762562,-88.03251","map")</f>
        <v>map</v>
      </c>
    </row>
    <row r="6978" spans="1:32">
      <c r="A6978" t="s">
        <v>7028</v>
      </c>
      <c r="B6978" t="s">
        <v>14480</v>
      </c>
      <c r="C6978" t="s">
        <v>15323</v>
      </c>
      <c r="D6978" t="s">
        <v>16215</v>
      </c>
      <c r="E6978" t="s">
        <v>16218</v>
      </c>
      <c r="F6978" t="s">
        <v>16220</v>
      </c>
      <c r="G6978" t="s">
        <v>16299</v>
      </c>
      <c r="H6978" t="s">
        <v>16299</v>
      </c>
      <c r="I6978" t="s">
        <v>16382</v>
      </c>
      <c r="J6978" t="s">
        <v>16385</v>
      </c>
      <c r="K6978">
        <v>0.191</v>
      </c>
      <c r="L6978">
        <v>8306</v>
      </c>
      <c r="M6978">
        <v>2370</v>
      </c>
      <c r="N6978" t="s">
        <v>16393</v>
      </c>
      <c r="O6978" s="4">
        <v>49160</v>
      </c>
      <c r="P6978" s="4">
        <v>70993</v>
      </c>
      <c r="Q6978" s="4">
        <v>120153</v>
      </c>
      <c r="R6978" s="4">
        <v>360459</v>
      </c>
      <c r="S6978" t="s">
        <v>23129</v>
      </c>
      <c r="T6978" s="6">
        <v>43983</v>
      </c>
      <c r="U6978" s="4">
        <v>295500</v>
      </c>
      <c r="V6978" t="s">
        <v>23739</v>
      </c>
      <c r="W6978" t="s">
        <v>23129</v>
      </c>
      <c r="X6978" t="s">
        <v>3</v>
      </c>
      <c r="AA6978" s="5" t="str">
        <f>HYPERLINK("https://www.zillow.com/homes/6912-PRAIRIEVIEW-AVE-WOODRIDGE-IL-60517_rb/","check listing")</f>
        <v>check listing</v>
      </c>
      <c r="AB6978" s="5" t="str">
        <f>HYPERLINK("https://propertylookup.dupagecounty.gov/Datalets/Datalet.aspx?UseSearch=no&amp;mode=sales&amp;pin=0824411023","sales record")</f>
        <v>sales record</v>
      </c>
      <c r="AC6978" t="s">
        <v>3</v>
      </c>
      <c r="AD6978">
        <v>41.760971</v>
      </c>
      <c r="AE6978">
        <v>-88.035178</v>
      </c>
      <c r="AF6978" s="5" t="str">
        <f>HYPERLINK("https://www.google.com/maps/search/?api=1&amp;query=41.760971,-88.035178","map")</f>
        <v>map</v>
      </c>
    </row>
    <row r="6979" spans="1:32">
      <c r="A6979" t="s">
        <v>7029</v>
      </c>
      <c r="B6979" t="s">
        <v>14481</v>
      </c>
      <c r="C6979" t="s">
        <v>15323</v>
      </c>
      <c r="D6979" t="s">
        <v>16215</v>
      </c>
      <c r="E6979" t="s">
        <v>16218</v>
      </c>
      <c r="F6979" t="s">
        <v>16220</v>
      </c>
      <c r="G6979" t="s">
        <v>16299</v>
      </c>
      <c r="H6979" t="s">
        <v>16299</v>
      </c>
      <c r="I6979" t="s">
        <v>16382</v>
      </c>
      <c r="J6979" t="s">
        <v>16385</v>
      </c>
      <c r="K6979">
        <v>0.191</v>
      </c>
      <c r="L6979">
        <v>8306</v>
      </c>
      <c r="M6979">
        <v>1589</v>
      </c>
      <c r="N6979" t="s">
        <v>16393</v>
      </c>
      <c r="O6979" s="4">
        <v>54797</v>
      </c>
      <c r="P6979" s="4">
        <v>58174</v>
      </c>
      <c r="Q6979" s="4">
        <v>112971</v>
      </c>
      <c r="R6979" s="4">
        <v>338913</v>
      </c>
      <c r="S6979" t="s">
        <v>23130</v>
      </c>
      <c r="X6979" t="s">
        <v>3</v>
      </c>
      <c r="AA6979" s="5" t="str">
        <f>HYPERLINK("https://www.zillow.com/homes/2513-YELLOW-STAR-ST-WOODRIDGE-IL-60517_rb/","check listing")</f>
        <v>check listing</v>
      </c>
      <c r="AB6979" s="5" t="str">
        <f>HYPERLINK("https://propertylookup.dupagecounty.gov/Datalets/Datalet.aspx?UseSearch=no&amp;mode=sales&amp;pin=0824316006","sales record")</f>
        <v>sales record</v>
      </c>
      <c r="AC6979" t="s">
        <v>3</v>
      </c>
      <c r="AD6979">
        <v>41.764268</v>
      </c>
      <c r="AE6979">
        <v>-88.04639</v>
      </c>
      <c r="AF6979" s="5" t="str">
        <f>HYPERLINK("https://www.google.com/maps/search/?api=1&amp;query=41.764268,-88.04639","map")</f>
        <v>map</v>
      </c>
    </row>
    <row r="6980" spans="1:32">
      <c r="A6980" t="s">
        <v>7030</v>
      </c>
      <c r="B6980" t="s">
        <v>14482</v>
      </c>
      <c r="C6980" t="s">
        <v>15323</v>
      </c>
      <c r="D6980" t="s">
        <v>16215</v>
      </c>
      <c r="E6980" t="s">
        <v>16218</v>
      </c>
      <c r="F6980" t="s">
        <v>16220</v>
      </c>
      <c r="G6980" t="s">
        <v>16299</v>
      </c>
      <c r="H6980" t="s">
        <v>16299</v>
      </c>
      <c r="I6980" t="s">
        <v>16382</v>
      </c>
      <c r="J6980" t="s">
        <v>16385</v>
      </c>
      <c r="K6980">
        <v>0.19</v>
      </c>
      <c r="L6980">
        <v>8271</v>
      </c>
      <c r="M6980">
        <v>1779</v>
      </c>
      <c r="N6980" t="s">
        <v>16393</v>
      </c>
      <c r="O6980" s="4">
        <v>54797</v>
      </c>
      <c r="P6980" s="4">
        <v>75584</v>
      </c>
      <c r="Q6980" s="4">
        <v>130381</v>
      </c>
      <c r="R6980" s="4">
        <v>391143</v>
      </c>
      <c r="S6980" t="s">
        <v>23131</v>
      </c>
      <c r="T6980" s="6">
        <v>37530</v>
      </c>
      <c r="U6980" s="4">
        <v>245000</v>
      </c>
      <c r="V6980" t="s">
        <v>23739</v>
      </c>
      <c r="W6980" t="s">
        <v>23131</v>
      </c>
      <c r="X6980" t="s">
        <v>3</v>
      </c>
      <c r="AA6980" s="5" t="str">
        <f>HYPERLINK("https://www.zillow.com/homes/2106-SUNNYDALE-ST-WOODRIDGE-IL-60517_rb/","check listing")</f>
        <v>check listing</v>
      </c>
      <c r="AB6980" s="5" t="str">
        <f>HYPERLINK("https://propertylookup.dupagecounty.gov/Datalets/Datalet.aspx?UseSearch=no&amp;mode=sales&amp;pin=0824414027","sales record")</f>
        <v>sales record</v>
      </c>
      <c r="AC6980" t="s">
        <v>3</v>
      </c>
      <c r="AD6980">
        <v>41.76047</v>
      </c>
      <c r="AE6980">
        <v>-88.034029</v>
      </c>
      <c r="AF6980" s="5" t="str">
        <f>HYPERLINK("https://www.google.com/maps/search/?api=1&amp;query=41.76047,-88.034029","map")</f>
        <v>map</v>
      </c>
    </row>
    <row r="6981" spans="1:32">
      <c r="A6981" t="s">
        <v>7031</v>
      </c>
      <c r="B6981" t="s">
        <v>14483</v>
      </c>
      <c r="C6981" t="s">
        <v>15323</v>
      </c>
      <c r="D6981" t="s">
        <v>16215</v>
      </c>
      <c r="E6981" t="s">
        <v>16218</v>
      </c>
      <c r="F6981" t="s">
        <v>16220</v>
      </c>
      <c r="G6981" t="s">
        <v>16299</v>
      </c>
      <c r="H6981" t="s">
        <v>16299</v>
      </c>
      <c r="I6981" t="s">
        <v>16382</v>
      </c>
      <c r="J6981" t="s">
        <v>16385</v>
      </c>
      <c r="K6981">
        <v>0.19</v>
      </c>
      <c r="L6981">
        <v>8263</v>
      </c>
      <c r="M6981">
        <v>2210</v>
      </c>
      <c r="N6981" t="s">
        <v>16393</v>
      </c>
      <c r="O6981" s="4">
        <v>51265</v>
      </c>
      <c r="P6981" s="4">
        <v>118417</v>
      </c>
      <c r="Q6981" s="4">
        <v>169682</v>
      </c>
      <c r="R6981" s="4">
        <v>509046</v>
      </c>
      <c r="S6981" t="s">
        <v>23132</v>
      </c>
      <c r="T6981" s="6">
        <v>29160</v>
      </c>
      <c r="U6981" s="4">
        <v>126284</v>
      </c>
      <c r="X6981" t="s">
        <v>3</v>
      </c>
      <c r="AA6981" s="5" t="str">
        <f>HYPERLINK("https://www.zillow.com/homes/2044-WHEELER-ST-WOODRIDGE-IL-60517_rb/","check listing")</f>
        <v>check listing</v>
      </c>
      <c r="AB6981" s="5" t="str">
        <f>HYPERLINK("https://propertylookup.dupagecounty.gov/Datalets/Datalet.aspx?UseSearch=no&amp;mode=sales&amp;pin=0824410017","sales record")</f>
        <v>sales record</v>
      </c>
      <c r="AC6981" t="s">
        <v>3</v>
      </c>
      <c r="AD6981">
        <v>41.765126</v>
      </c>
      <c r="AE6981">
        <v>-88.03371300000001</v>
      </c>
      <c r="AF6981" s="5" t="str">
        <f>HYPERLINK("https://www.google.com/maps/search/?api=1&amp;query=41.765126,-88.033713","map")</f>
        <v>map</v>
      </c>
    </row>
    <row r="6982" spans="1:32">
      <c r="A6982" t="s">
        <v>7032</v>
      </c>
      <c r="B6982" t="s">
        <v>14484</v>
      </c>
      <c r="C6982" t="s">
        <v>15323</v>
      </c>
      <c r="D6982" t="s">
        <v>16215</v>
      </c>
      <c r="E6982" t="s">
        <v>16218</v>
      </c>
      <c r="F6982" t="s">
        <v>16220</v>
      </c>
      <c r="G6982" t="s">
        <v>16299</v>
      </c>
      <c r="H6982" t="s">
        <v>16299</v>
      </c>
      <c r="I6982" t="s">
        <v>16382</v>
      </c>
      <c r="J6982" t="s">
        <v>16385</v>
      </c>
      <c r="K6982">
        <v>0.19</v>
      </c>
      <c r="L6982">
        <v>8258</v>
      </c>
      <c r="M6982">
        <v>2058</v>
      </c>
      <c r="N6982" t="s">
        <v>16393</v>
      </c>
      <c r="O6982" s="4">
        <v>51265</v>
      </c>
      <c r="P6982" s="4">
        <v>126789</v>
      </c>
      <c r="Q6982" s="4">
        <v>178054</v>
      </c>
      <c r="R6982" s="4">
        <v>534162</v>
      </c>
      <c r="S6982" t="s">
        <v>23133</v>
      </c>
      <c r="T6982" s="6">
        <v>29373</v>
      </c>
      <c r="U6982" s="4">
        <v>120000</v>
      </c>
      <c r="X6982" t="s">
        <v>3</v>
      </c>
      <c r="AA6982" s="5" t="str">
        <f>HYPERLINK("https://www.zillow.com/homes/2013-WHEELER-ST-WOODRIDGE-IL-60517_rb/","check listing")</f>
        <v>check listing</v>
      </c>
      <c r="AB6982" s="5" t="str">
        <f>HYPERLINK("https://propertylookup.dupagecounty.gov/Datalets/Datalet.aspx?UseSearch=no&amp;mode=sales&amp;pin=0824415009","sales record")</f>
        <v>sales record</v>
      </c>
      <c r="AC6982" t="s">
        <v>3</v>
      </c>
      <c r="AD6982">
        <v>41.764601</v>
      </c>
      <c r="AE6982">
        <v>-88.032386</v>
      </c>
      <c r="AF6982" s="5" t="str">
        <f>HYPERLINK("https://www.google.com/maps/search/?api=1&amp;query=41.764601,-88.032386","map")</f>
        <v>map</v>
      </c>
    </row>
    <row r="6983" spans="1:32">
      <c r="A6983" t="s">
        <v>7033</v>
      </c>
      <c r="B6983" t="s">
        <v>14485</v>
      </c>
      <c r="C6983" t="s">
        <v>16137</v>
      </c>
      <c r="D6983" t="s">
        <v>16215</v>
      </c>
      <c r="E6983" t="s">
        <v>16218</v>
      </c>
      <c r="F6983" t="s">
        <v>16220</v>
      </c>
      <c r="G6983" t="s">
        <v>16299</v>
      </c>
      <c r="H6983" t="s">
        <v>16299</v>
      </c>
      <c r="I6983" t="s">
        <v>16382</v>
      </c>
      <c r="J6983" t="s">
        <v>16385</v>
      </c>
      <c r="K6983">
        <v>0.189</v>
      </c>
      <c r="L6983">
        <v>8253</v>
      </c>
      <c r="M6983">
        <v>2787</v>
      </c>
      <c r="N6983" t="s">
        <v>16393</v>
      </c>
      <c r="O6983" s="4">
        <v>57651</v>
      </c>
      <c r="P6983" s="4">
        <v>79995</v>
      </c>
      <c r="Q6983" s="4">
        <v>137646</v>
      </c>
      <c r="R6983" s="4">
        <v>412938</v>
      </c>
      <c r="S6983" t="s">
        <v>23134</v>
      </c>
      <c r="T6983" s="6">
        <v>44044</v>
      </c>
      <c r="U6983" s="4">
        <v>237275</v>
      </c>
      <c r="V6983" t="s">
        <v>23739</v>
      </c>
      <c r="W6983" t="s">
        <v>23134</v>
      </c>
      <c r="X6983" t="s">
        <v>3</v>
      </c>
      <c r="AA6983" s="5" t="str">
        <f>HYPERLINK("https://www.zillow.com/homes/6924-SUN-DROP-AVE-WOODRIDGE-IL-605172003_rb/","check listing")</f>
        <v>check listing</v>
      </c>
      <c r="AB6983" s="5" t="str">
        <f>HYPERLINK("https://propertylookup.dupagecounty.gov/Datalets/Datalet.aspx?UseSearch=no&amp;mode=sales&amp;pin=0824310010","sales record")</f>
        <v>sales record</v>
      </c>
      <c r="AC6983" t="s">
        <v>3</v>
      </c>
      <c r="AD6983">
        <v>41.760132</v>
      </c>
      <c r="AE6983">
        <v>-88.04998500000001</v>
      </c>
      <c r="AF6983" s="5" t="str">
        <f>HYPERLINK("https://www.google.com/maps/search/?api=1&amp;query=41.760132,-88.049985","map")</f>
        <v>map</v>
      </c>
    </row>
    <row r="6984" spans="1:32">
      <c r="A6984" t="s">
        <v>7034</v>
      </c>
      <c r="B6984" t="s">
        <v>14486</v>
      </c>
      <c r="C6984" t="s">
        <v>15323</v>
      </c>
      <c r="D6984" t="s">
        <v>16215</v>
      </c>
      <c r="E6984" t="s">
        <v>16218</v>
      </c>
      <c r="F6984" t="s">
        <v>16220</v>
      </c>
      <c r="G6984" t="s">
        <v>16299</v>
      </c>
      <c r="H6984" t="s">
        <v>16299</v>
      </c>
      <c r="I6984" t="s">
        <v>16382</v>
      </c>
      <c r="J6984" t="s">
        <v>16385</v>
      </c>
      <c r="K6984">
        <v>0.189</v>
      </c>
      <c r="L6984">
        <v>8244</v>
      </c>
      <c r="M6984">
        <v>1249</v>
      </c>
      <c r="N6984" t="s">
        <v>16393</v>
      </c>
      <c r="O6984" s="4">
        <v>51241</v>
      </c>
      <c r="P6984" s="4">
        <v>76285</v>
      </c>
      <c r="Q6984" s="4">
        <v>127526</v>
      </c>
      <c r="R6984" s="4">
        <v>382578</v>
      </c>
      <c r="S6984" t="s">
        <v>23135</v>
      </c>
      <c r="T6984" s="6">
        <v>45601</v>
      </c>
      <c r="U6984" s="4">
        <v>435000</v>
      </c>
      <c r="V6984" t="s">
        <v>23739</v>
      </c>
      <c r="W6984" t="s">
        <v>27558</v>
      </c>
      <c r="X6984" t="s">
        <v>3</v>
      </c>
      <c r="AA6984" s="5" t="str">
        <f>HYPERLINK("https://www.zillow.com/homes/2-BROOK-CT-WOODRIDGE-IL-60517_rb/","check listing")</f>
        <v>check listing</v>
      </c>
      <c r="AB6984" s="5" t="str">
        <f>HYPERLINK("https://propertylookup.dupagecounty.gov/Datalets/Datalet.aspx?UseSearch=no&amp;mode=sales&amp;pin=0824414004","sales record")</f>
        <v>sales record</v>
      </c>
      <c r="AC6984" t="s">
        <v>3</v>
      </c>
      <c r="AD6984">
        <v>41.762468</v>
      </c>
      <c r="AE6984">
        <v>-88.03469800000001</v>
      </c>
      <c r="AF6984" s="5" t="str">
        <f>HYPERLINK("https://www.google.com/maps/search/?api=1&amp;query=41.762468,-88.034698","map")</f>
        <v>map</v>
      </c>
    </row>
    <row r="6985" spans="1:32">
      <c r="A6985" t="s">
        <v>7035</v>
      </c>
      <c r="B6985" t="s">
        <v>14487</v>
      </c>
      <c r="C6985" t="s">
        <v>15323</v>
      </c>
      <c r="D6985" t="s">
        <v>16215</v>
      </c>
      <c r="E6985" t="s">
        <v>16218</v>
      </c>
      <c r="F6985" t="s">
        <v>16220</v>
      </c>
      <c r="G6985" t="s">
        <v>16299</v>
      </c>
      <c r="H6985" t="s">
        <v>16299</v>
      </c>
      <c r="I6985" t="s">
        <v>16382</v>
      </c>
      <c r="J6985" t="s">
        <v>16385</v>
      </c>
      <c r="K6985">
        <v>0.189</v>
      </c>
      <c r="L6985">
        <v>8239</v>
      </c>
      <c r="M6985">
        <v>1605</v>
      </c>
      <c r="N6985" t="s">
        <v>16393</v>
      </c>
      <c r="O6985" s="4">
        <v>49124</v>
      </c>
      <c r="P6985" s="4">
        <v>68663</v>
      </c>
      <c r="Q6985" s="4">
        <v>117787</v>
      </c>
      <c r="R6985" s="4">
        <v>353361</v>
      </c>
      <c r="S6985" t="s">
        <v>23136</v>
      </c>
      <c r="T6985" s="6">
        <v>37408</v>
      </c>
      <c r="U6985" s="4">
        <v>204500</v>
      </c>
      <c r="V6985" t="s">
        <v>23739</v>
      </c>
      <c r="W6985" t="s">
        <v>27559</v>
      </c>
      <c r="X6985" t="s">
        <v>3</v>
      </c>
      <c r="AA6985" s="5" t="str">
        <f>HYPERLINK("https://www.zillow.com/homes/6842-PRAIRIEVIEW-AVE-WOODRIDGE-IL-60517_rb/","check listing")</f>
        <v>check listing</v>
      </c>
      <c r="AB6985" s="5" t="str">
        <f>HYPERLINK("https://propertylookup.dupagecounty.gov/Datalets/Datalet.aspx?UseSearch=no&amp;mode=sales&amp;pin=0824411019","sales record")</f>
        <v>sales record</v>
      </c>
      <c r="AC6985" t="s">
        <v>3</v>
      </c>
      <c r="AD6985">
        <v>41.761657</v>
      </c>
      <c r="AE6985">
        <v>-88.035447</v>
      </c>
      <c r="AF6985" s="5" t="str">
        <f>HYPERLINK("https://www.google.com/maps/search/?api=1&amp;query=41.761657,-88.035447","map")</f>
        <v>map</v>
      </c>
    </row>
    <row r="6986" spans="1:32">
      <c r="A6986" t="s">
        <v>7036</v>
      </c>
      <c r="B6986" t="s">
        <v>14488</v>
      </c>
      <c r="C6986" t="s">
        <v>15323</v>
      </c>
      <c r="D6986" t="s">
        <v>16215</v>
      </c>
      <c r="E6986" t="s">
        <v>16218</v>
      </c>
      <c r="F6986" t="s">
        <v>16220</v>
      </c>
      <c r="G6986" t="s">
        <v>16299</v>
      </c>
      <c r="H6986" t="s">
        <v>16299</v>
      </c>
      <c r="I6986" t="s">
        <v>16382</v>
      </c>
      <c r="J6986" t="s">
        <v>16385</v>
      </c>
      <c r="K6986">
        <v>0.189</v>
      </c>
      <c r="L6986">
        <v>8221</v>
      </c>
      <c r="M6986">
        <v>1930</v>
      </c>
      <c r="N6986" t="s">
        <v>16393</v>
      </c>
      <c r="O6986" s="4">
        <v>51265</v>
      </c>
      <c r="P6986" s="4">
        <v>79043</v>
      </c>
      <c r="Q6986" s="4">
        <v>130308</v>
      </c>
      <c r="R6986" s="4">
        <v>390924</v>
      </c>
      <c r="S6986" t="s">
        <v>23137</v>
      </c>
      <c r="T6986" s="6">
        <v>39142</v>
      </c>
      <c r="U6986" s="4">
        <v>327000</v>
      </c>
      <c r="V6986" t="s">
        <v>23739</v>
      </c>
      <c r="W6986" t="s">
        <v>27560</v>
      </c>
      <c r="X6986" t="s">
        <v>3</v>
      </c>
      <c r="AA6986" s="5" t="str">
        <f>HYPERLINK("https://www.zillow.com/homes/2043-WHEELER-ST-WOODRIDGE-IL-60517_rb/","check listing")</f>
        <v>check listing</v>
      </c>
      <c r="AB6986" s="5" t="str">
        <f>HYPERLINK("https://propertylookup.dupagecounty.gov/Datalets/Datalet.aspx?UseSearch=no&amp;mode=sales&amp;pin=0824415004","sales record")</f>
        <v>sales record</v>
      </c>
      <c r="AC6986" t="s">
        <v>3</v>
      </c>
      <c r="AD6986">
        <v>41.764664</v>
      </c>
      <c r="AE6986">
        <v>-88.033703</v>
      </c>
      <c r="AF6986" s="5" t="str">
        <f>HYPERLINK("https://www.google.com/maps/search/?api=1&amp;query=41.764664,-88.033703","map")</f>
        <v>map</v>
      </c>
    </row>
    <row r="6987" spans="1:32">
      <c r="A6987" t="s">
        <v>7037</v>
      </c>
      <c r="B6987" t="s">
        <v>14489</v>
      </c>
      <c r="C6987" t="s">
        <v>15323</v>
      </c>
      <c r="D6987" t="s">
        <v>16215</v>
      </c>
      <c r="E6987" t="s">
        <v>16218</v>
      </c>
      <c r="F6987" t="s">
        <v>16220</v>
      </c>
      <c r="G6987" t="s">
        <v>16299</v>
      </c>
      <c r="H6987" t="s">
        <v>16299</v>
      </c>
      <c r="I6987" t="s">
        <v>16382</v>
      </c>
      <c r="J6987" t="s">
        <v>16385</v>
      </c>
      <c r="K6987">
        <v>0.189</v>
      </c>
      <c r="L6987">
        <v>8220</v>
      </c>
      <c r="M6987">
        <v>1590</v>
      </c>
      <c r="N6987" t="s">
        <v>16393</v>
      </c>
      <c r="O6987" s="4">
        <v>54797</v>
      </c>
      <c r="P6987" s="4">
        <v>67485</v>
      </c>
      <c r="Q6987" s="4">
        <v>122282</v>
      </c>
      <c r="R6987" s="4">
        <v>366846</v>
      </c>
      <c r="S6987" t="s">
        <v>23138</v>
      </c>
      <c r="T6987" s="6">
        <v>37347</v>
      </c>
      <c r="U6987" s="4">
        <v>212500</v>
      </c>
      <c r="V6987" t="s">
        <v>23739</v>
      </c>
      <c r="W6987" t="s">
        <v>23138</v>
      </c>
      <c r="X6987" t="s">
        <v>3</v>
      </c>
      <c r="AA6987" s="5" t="str">
        <f>HYPERLINK("https://www.zillow.com/homes/2100-SUNNYDALE-ST-WOODRIDGE-IL-60517_rb/","check listing")</f>
        <v>check listing</v>
      </c>
      <c r="AB6987" s="5" t="str">
        <f>HYPERLINK("https://propertylookup.dupagecounty.gov/Datalets/Datalet.aspx?UseSearch=no&amp;mode=sales&amp;pin=0824414028","sales record")</f>
        <v>sales record</v>
      </c>
      <c r="AC6987" t="s">
        <v>3</v>
      </c>
      <c r="AD6987">
        <v>41.760485</v>
      </c>
      <c r="AE6987">
        <v>-88.033753</v>
      </c>
      <c r="AF6987" s="5" t="str">
        <f>HYPERLINK("https://www.google.com/maps/search/?api=1&amp;query=41.760485,-88.033753","map")</f>
        <v>map</v>
      </c>
    </row>
    <row r="6988" spans="1:32">
      <c r="A6988" t="s">
        <v>7038</v>
      </c>
      <c r="B6988" t="s">
        <v>14490</v>
      </c>
      <c r="C6988" t="s">
        <v>15323</v>
      </c>
      <c r="D6988" t="s">
        <v>16215</v>
      </c>
      <c r="E6988" t="s">
        <v>16218</v>
      </c>
      <c r="F6988" t="s">
        <v>16220</v>
      </c>
      <c r="G6988" t="s">
        <v>16299</v>
      </c>
      <c r="H6988" t="s">
        <v>16299</v>
      </c>
      <c r="I6988" t="s">
        <v>16382</v>
      </c>
      <c r="J6988" t="s">
        <v>16385</v>
      </c>
      <c r="K6988">
        <v>0.189</v>
      </c>
      <c r="L6988">
        <v>8218</v>
      </c>
      <c r="M6988">
        <v>2150</v>
      </c>
      <c r="N6988" t="s">
        <v>16393</v>
      </c>
      <c r="O6988" s="4">
        <v>51265</v>
      </c>
      <c r="P6988" s="4">
        <v>113458</v>
      </c>
      <c r="Q6988" s="4">
        <v>164723</v>
      </c>
      <c r="R6988" s="4">
        <v>494169</v>
      </c>
      <c r="S6988" t="s">
        <v>23139</v>
      </c>
      <c r="T6988" s="6">
        <v>38838</v>
      </c>
      <c r="U6988" s="4">
        <v>347000</v>
      </c>
      <c r="V6988" t="s">
        <v>23739</v>
      </c>
      <c r="W6988" t="s">
        <v>27561</v>
      </c>
      <c r="X6988" t="s">
        <v>3</v>
      </c>
      <c r="AA6988" s="5" t="str">
        <f>HYPERLINK("https://www.zillow.com/homes/2107-WHEELER-ST-WOODRIDGE-IL-60517_rb/","check listing")</f>
        <v>check listing</v>
      </c>
      <c r="AB6988" s="5" t="str">
        <f>HYPERLINK("https://propertylookup.dupagecounty.gov/Datalets/Datalet.aspx?UseSearch=no&amp;mode=sales&amp;pin=0824413006","sales record")</f>
        <v>sales record</v>
      </c>
      <c r="AC6988" t="s">
        <v>3</v>
      </c>
      <c r="AD6988">
        <v>41.764628</v>
      </c>
      <c r="AE6988">
        <v>-88.035228</v>
      </c>
      <c r="AF6988" s="5" t="str">
        <f>HYPERLINK("https://www.google.com/maps/search/?api=1&amp;query=41.764628,-88.035228","map")</f>
        <v>map</v>
      </c>
    </row>
    <row r="6989" spans="1:32">
      <c r="A6989" t="s">
        <v>7039</v>
      </c>
      <c r="B6989" t="s">
        <v>14491</v>
      </c>
      <c r="C6989" t="s">
        <v>15323</v>
      </c>
      <c r="D6989" t="s">
        <v>16215</v>
      </c>
      <c r="E6989" t="s">
        <v>16218</v>
      </c>
      <c r="F6989" t="s">
        <v>16220</v>
      </c>
      <c r="G6989" t="s">
        <v>16299</v>
      </c>
      <c r="H6989" t="s">
        <v>16299</v>
      </c>
      <c r="I6989" t="s">
        <v>16382</v>
      </c>
      <c r="J6989" t="s">
        <v>16385</v>
      </c>
      <c r="K6989">
        <v>0.189</v>
      </c>
      <c r="L6989">
        <v>8217</v>
      </c>
      <c r="M6989">
        <v>1720</v>
      </c>
      <c r="N6989" t="s">
        <v>16393</v>
      </c>
      <c r="O6989" s="4">
        <v>54797</v>
      </c>
      <c r="P6989" s="4">
        <v>73228</v>
      </c>
      <c r="Q6989" s="4">
        <v>128025</v>
      </c>
      <c r="R6989" s="4">
        <v>384075</v>
      </c>
      <c r="S6989" t="s">
        <v>23140</v>
      </c>
      <c r="T6989" s="6">
        <v>38869</v>
      </c>
      <c r="U6989" s="4">
        <v>290000</v>
      </c>
      <c r="V6989" t="s">
        <v>23739</v>
      </c>
      <c r="W6989" t="s">
        <v>23140</v>
      </c>
      <c r="X6989" t="s">
        <v>3</v>
      </c>
      <c r="AA6989" s="5" t="str">
        <f>HYPERLINK("https://www.zillow.com/homes/2107-SUNNYDALE-ST-WOODRIDGE-IL-60517_rb/","check listing")</f>
        <v>check listing</v>
      </c>
      <c r="AB6989" s="5" t="str">
        <f>HYPERLINK("https://propertylookup.dupagecounty.gov/Datalets/Datalet.aspx?UseSearch=no&amp;mode=sales&amp;pin=0824417005","sales record")</f>
        <v>sales record</v>
      </c>
      <c r="AC6989" t="s">
        <v>3</v>
      </c>
      <c r="AD6989">
        <v>41.759997</v>
      </c>
      <c r="AE6989">
        <v>-88.034008</v>
      </c>
      <c r="AF6989" s="5" t="str">
        <f>HYPERLINK("https://www.google.com/maps/search/?api=1&amp;query=41.759997,-88.034008","map")</f>
        <v>map</v>
      </c>
    </row>
    <row r="6990" spans="1:32">
      <c r="A6990" t="s">
        <v>7040</v>
      </c>
      <c r="B6990" t="s">
        <v>14492</v>
      </c>
      <c r="C6990" t="s">
        <v>15323</v>
      </c>
      <c r="D6990" t="s">
        <v>16215</v>
      </c>
      <c r="E6990" t="s">
        <v>16218</v>
      </c>
      <c r="F6990" t="s">
        <v>16220</v>
      </c>
      <c r="G6990" t="s">
        <v>16299</v>
      </c>
      <c r="H6990" t="s">
        <v>16299</v>
      </c>
      <c r="I6990" t="s">
        <v>16382</v>
      </c>
      <c r="J6990" t="s">
        <v>16385</v>
      </c>
      <c r="K6990">
        <v>0.189</v>
      </c>
      <c r="L6990">
        <v>8215</v>
      </c>
      <c r="M6990">
        <v>1219</v>
      </c>
      <c r="N6990" t="s">
        <v>16393</v>
      </c>
      <c r="O6990" s="4">
        <v>49124</v>
      </c>
      <c r="P6990" s="4">
        <v>56865</v>
      </c>
      <c r="Q6990" s="4">
        <v>105989</v>
      </c>
      <c r="R6990" s="4">
        <v>317967</v>
      </c>
      <c r="S6990" t="s">
        <v>23141</v>
      </c>
      <c r="T6990" s="6">
        <v>34213</v>
      </c>
      <c r="U6990" s="4">
        <v>122000</v>
      </c>
      <c r="X6990" t="s">
        <v>3</v>
      </c>
      <c r="AA6990" s="5" t="str">
        <f>HYPERLINK("https://www.zillow.com/homes/3-OWL-CT-WOODRIDGE-IL-60517_rb/","check listing")</f>
        <v>check listing</v>
      </c>
      <c r="AB6990" s="5" t="str">
        <f>HYPERLINK("https://propertylookup.dupagecounty.gov/Datalets/Datalet.aspx?UseSearch=no&amp;mode=sales&amp;pin=0824404002","sales record")</f>
        <v>sales record</v>
      </c>
      <c r="AC6990" t="s">
        <v>3</v>
      </c>
      <c r="AD6990">
        <v>41.764911</v>
      </c>
      <c r="AE6990">
        <v>-88.039692</v>
      </c>
      <c r="AF6990" s="5" t="str">
        <f>HYPERLINK("https://www.google.com/maps/search/?api=1&amp;query=41.764911,-88.039692","map")</f>
        <v>map</v>
      </c>
    </row>
    <row r="6991" spans="1:32">
      <c r="A6991" t="s">
        <v>7041</v>
      </c>
      <c r="B6991" t="s">
        <v>14493</v>
      </c>
      <c r="C6991" t="s">
        <v>15323</v>
      </c>
      <c r="D6991" t="s">
        <v>16215</v>
      </c>
      <c r="E6991" t="s">
        <v>16218</v>
      </c>
      <c r="F6991" t="s">
        <v>16220</v>
      </c>
      <c r="G6991" t="s">
        <v>16299</v>
      </c>
      <c r="H6991" t="s">
        <v>16299</v>
      </c>
      <c r="I6991" t="s">
        <v>16382</v>
      </c>
      <c r="J6991" t="s">
        <v>16385</v>
      </c>
      <c r="K6991">
        <v>0.188</v>
      </c>
      <c r="L6991">
        <v>8207</v>
      </c>
      <c r="M6991">
        <v>1746</v>
      </c>
      <c r="N6991" t="s">
        <v>16393</v>
      </c>
      <c r="O6991" s="4">
        <v>54713</v>
      </c>
      <c r="P6991" s="4">
        <v>90270</v>
      </c>
      <c r="Q6991" s="4">
        <v>144983</v>
      </c>
      <c r="R6991" s="4">
        <v>434949</v>
      </c>
      <c r="S6991" t="s">
        <v>23142</v>
      </c>
      <c r="T6991" s="6">
        <v>45460</v>
      </c>
      <c r="U6991" s="4">
        <v>460000</v>
      </c>
      <c r="V6991" t="s">
        <v>23739</v>
      </c>
      <c r="W6991" t="s">
        <v>27562</v>
      </c>
      <c r="X6991" t="s">
        <v>3</v>
      </c>
      <c r="AA6991" s="5" t="str">
        <f>HYPERLINK("https://www.zillow.com/homes/6819-EASTSIDE-AVE-WOODRIDGE-IL-60517_rb/","check listing")</f>
        <v>check listing</v>
      </c>
      <c r="AB6991" s="5" t="str">
        <f>HYPERLINK("https://propertylookup.dupagecounty.gov/Datalets/Datalet.aspx?UseSearch=no&amp;mode=sales&amp;pin=0824415022","sales record")</f>
        <v>sales record</v>
      </c>
      <c r="AC6991" t="s">
        <v>3</v>
      </c>
      <c r="AD6991">
        <v>41.76242</v>
      </c>
      <c r="AE6991">
        <v>-88.031835</v>
      </c>
      <c r="AF6991" s="5" t="str">
        <f>HYPERLINK("https://www.google.com/maps/search/?api=1&amp;query=41.76242,-88.031835","map")</f>
        <v>map</v>
      </c>
    </row>
    <row r="6992" spans="1:32">
      <c r="A6992" t="s">
        <v>7042</v>
      </c>
      <c r="B6992" t="s">
        <v>14494</v>
      </c>
      <c r="C6992" t="s">
        <v>15323</v>
      </c>
      <c r="D6992" t="s">
        <v>16215</v>
      </c>
      <c r="E6992" t="s">
        <v>16218</v>
      </c>
      <c r="F6992" t="s">
        <v>16220</v>
      </c>
      <c r="G6992" t="s">
        <v>16299</v>
      </c>
      <c r="H6992" t="s">
        <v>16299</v>
      </c>
      <c r="I6992" t="s">
        <v>16382</v>
      </c>
      <c r="J6992" t="s">
        <v>16385</v>
      </c>
      <c r="K6992">
        <v>0.188</v>
      </c>
      <c r="L6992">
        <v>8206</v>
      </c>
      <c r="M6992">
        <v>2610</v>
      </c>
      <c r="N6992" t="s">
        <v>16393</v>
      </c>
      <c r="O6992" s="4">
        <v>51241</v>
      </c>
      <c r="P6992" s="4">
        <v>106073</v>
      </c>
      <c r="Q6992" s="4">
        <v>157314</v>
      </c>
      <c r="R6992" s="4">
        <v>471942</v>
      </c>
      <c r="S6992" t="s">
        <v>23143</v>
      </c>
      <c r="T6992" s="6">
        <v>29160</v>
      </c>
      <c r="U6992" s="4">
        <v>107227</v>
      </c>
      <c r="X6992" t="s">
        <v>3</v>
      </c>
      <c r="AA6992" s="5" t="str">
        <f>HYPERLINK("https://www.zillow.com/homes/2113-WHEELER-ST-WOODRIDGE-IL-60517_rb/","check listing")</f>
        <v>check listing</v>
      </c>
      <c r="AB6992" s="5" t="str">
        <f>HYPERLINK("https://propertylookup.dupagecounty.gov/Datalets/Datalet.aspx?UseSearch=no&amp;mode=sales&amp;pin=0824413005","sales record")</f>
        <v>sales record</v>
      </c>
      <c r="AC6992" t="s">
        <v>3</v>
      </c>
      <c r="AD6992">
        <v>41.764621</v>
      </c>
      <c r="AE6992">
        <v>-88.03548499999999</v>
      </c>
      <c r="AF6992" s="5" t="str">
        <f>HYPERLINK("https://www.google.com/maps/search/?api=1&amp;query=41.764621,-88.035485","map")</f>
        <v>map</v>
      </c>
    </row>
    <row r="6993" spans="1:32">
      <c r="A6993" t="s">
        <v>7043</v>
      </c>
      <c r="B6993" t="s">
        <v>14495</v>
      </c>
      <c r="C6993" t="s">
        <v>15323</v>
      </c>
      <c r="D6993" t="s">
        <v>16215</v>
      </c>
      <c r="E6993" t="s">
        <v>16218</v>
      </c>
      <c r="F6993" t="s">
        <v>16220</v>
      </c>
      <c r="G6993" t="s">
        <v>16299</v>
      </c>
      <c r="H6993" t="s">
        <v>16299</v>
      </c>
      <c r="I6993" t="s">
        <v>16382</v>
      </c>
      <c r="J6993" t="s">
        <v>16385</v>
      </c>
      <c r="K6993">
        <v>0.188</v>
      </c>
      <c r="L6993">
        <v>8196</v>
      </c>
      <c r="M6993">
        <v>2267</v>
      </c>
      <c r="N6993" t="s">
        <v>16393</v>
      </c>
      <c r="O6993" s="4">
        <v>54713</v>
      </c>
      <c r="P6993" s="4">
        <v>63989</v>
      </c>
      <c r="Q6993" s="4">
        <v>118702</v>
      </c>
      <c r="R6993" s="4">
        <v>356106</v>
      </c>
      <c r="S6993" t="s">
        <v>23144</v>
      </c>
      <c r="T6993" s="6">
        <v>41730</v>
      </c>
      <c r="U6993" s="4">
        <v>199000</v>
      </c>
      <c r="V6993" t="s">
        <v>23739</v>
      </c>
      <c r="W6993" t="s">
        <v>23144</v>
      </c>
      <c r="X6993" t="s">
        <v>3</v>
      </c>
      <c r="AA6993" s="5" t="str">
        <f>HYPERLINK("https://www.zillow.com/homes/6825-EASTSIDE-AVE-WOODRIDGE-IL-60517_rb/","check listing")</f>
        <v>check listing</v>
      </c>
      <c r="AB6993" s="5" t="str">
        <f>HYPERLINK("https://propertylookup.dupagecounty.gov/Datalets/Datalet.aspx?UseSearch=no&amp;mode=sales&amp;pin=0824415023","sales record")</f>
        <v>sales record</v>
      </c>
      <c r="AC6993" t="s">
        <v>3</v>
      </c>
      <c r="AD6993">
        <v>41.762242</v>
      </c>
      <c r="AE6993">
        <v>-88.031828</v>
      </c>
      <c r="AF6993" s="5" t="str">
        <f>HYPERLINK("https://www.google.com/maps/search/?api=1&amp;query=41.762242,-88.031828","map")</f>
        <v>map</v>
      </c>
    </row>
    <row r="6994" spans="1:32">
      <c r="A6994" t="s">
        <v>7044</v>
      </c>
      <c r="B6994" t="s">
        <v>14496</v>
      </c>
      <c r="C6994" t="s">
        <v>15323</v>
      </c>
      <c r="D6994" t="s">
        <v>16215</v>
      </c>
      <c r="E6994" t="s">
        <v>16218</v>
      </c>
      <c r="F6994" t="s">
        <v>16220</v>
      </c>
      <c r="G6994" t="s">
        <v>16299</v>
      </c>
      <c r="H6994" t="s">
        <v>16299</v>
      </c>
      <c r="I6994" t="s">
        <v>16382</v>
      </c>
      <c r="J6994" t="s">
        <v>16385</v>
      </c>
      <c r="K6994">
        <v>0.188</v>
      </c>
      <c r="L6994">
        <v>8191</v>
      </c>
      <c r="M6994">
        <v>2051</v>
      </c>
      <c r="N6994" t="s">
        <v>16393</v>
      </c>
      <c r="O6994" s="4">
        <v>51265</v>
      </c>
      <c r="P6994" s="4">
        <v>112887</v>
      </c>
      <c r="Q6994" s="4">
        <v>164152</v>
      </c>
      <c r="R6994" s="4">
        <v>492456</v>
      </c>
      <c r="S6994" t="s">
        <v>23145</v>
      </c>
      <c r="T6994" s="6">
        <v>29526</v>
      </c>
      <c r="U6994" s="4">
        <v>98500</v>
      </c>
      <c r="X6994" t="s">
        <v>3</v>
      </c>
      <c r="AA6994" s="5" t="str">
        <f>HYPERLINK("https://www.zillow.com/homes/2119-WHEELER-ST-WOODRIDGE-IL-60517_rb/","check listing")</f>
        <v>check listing</v>
      </c>
      <c r="AB6994" s="5" t="str">
        <f>HYPERLINK("https://propertylookup.dupagecounty.gov/Datalets/Datalet.aspx?UseSearch=no&amp;mode=sales&amp;pin=0824413004","sales record")</f>
        <v>sales record</v>
      </c>
      <c r="AC6994" t="s">
        <v>3</v>
      </c>
      <c r="AD6994">
        <v>41.764612</v>
      </c>
      <c r="AE6994">
        <v>-88.035816</v>
      </c>
      <c r="AF6994" s="5" t="str">
        <f>HYPERLINK("https://www.google.com/maps/search/?api=1&amp;query=41.764612,-88.035816","map")</f>
        <v>map</v>
      </c>
    </row>
    <row r="6995" spans="1:32">
      <c r="A6995" t="s">
        <v>7045</v>
      </c>
      <c r="B6995" t="s">
        <v>14497</v>
      </c>
      <c r="C6995" t="s">
        <v>15323</v>
      </c>
      <c r="D6995" t="s">
        <v>16215</v>
      </c>
      <c r="E6995" t="s">
        <v>16218</v>
      </c>
      <c r="F6995" t="s">
        <v>16220</v>
      </c>
      <c r="G6995" t="s">
        <v>16299</v>
      </c>
      <c r="H6995" t="s">
        <v>16299</v>
      </c>
      <c r="I6995" t="s">
        <v>16382</v>
      </c>
      <c r="J6995" t="s">
        <v>16385</v>
      </c>
      <c r="K6995">
        <v>0.188</v>
      </c>
      <c r="L6995">
        <v>8183</v>
      </c>
      <c r="M6995">
        <v>2375</v>
      </c>
      <c r="N6995" t="s">
        <v>16393</v>
      </c>
      <c r="O6995" s="4">
        <v>51241</v>
      </c>
      <c r="P6995" s="4">
        <v>120130</v>
      </c>
      <c r="Q6995" s="4">
        <v>171371</v>
      </c>
      <c r="R6995" s="4">
        <v>514113</v>
      </c>
      <c r="S6995" t="s">
        <v>23146</v>
      </c>
      <c r="T6995" s="6">
        <v>33635</v>
      </c>
      <c r="U6995" s="4">
        <v>185500</v>
      </c>
      <c r="X6995" t="s">
        <v>3</v>
      </c>
      <c r="AA6995" s="5" t="str">
        <f>HYPERLINK("https://www.zillow.com/homes/2125-WHEELER-ST-WOODRIDGE-IL-60517_rb/","check listing")</f>
        <v>check listing</v>
      </c>
      <c r="AB6995" s="5" t="str">
        <f>HYPERLINK("https://propertylookup.dupagecounty.gov/Datalets/Datalet.aspx?UseSearch=no&amp;mode=sales&amp;pin=0824413003","sales record")</f>
        <v>sales record</v>
      </c>
      <c r="AC6995" t="s">
        <v>3</v>
      </c>
      <c r="AD6995">
        <v>41.764604</v>
      </c>
      <c r="AE6995">
        <v>-88.036074</v>
      </c>
      <c r="AF6995" s="5" t="str">
        <f>HYPERLINK("https://www.google.com/maps/search/?api=1&amp;query=41.764604,-88.036074","map")</f>
        <v>map</v>
      </c>
    </row>
    <row r="6996" spans="1:32">
      <c r="A6996" t="s">
        <v>7046</v>
      </c>
      <c r="B6996" t="s">
        <v>14498</v>
      </c>
      <c r="C6996" t="s">
        <v>15323</v>
      </c>
      <c r="D6996" t="s">
        <v>16215</v>
      </c>
      <c r="E6996" t="s">
        <v>16218</v>
      </c>
      <c r="F6996" t="s">
        <v>16220</v>
      </c>
      <c r="G6996" t="s">
        <v>16299</v>
      </c>
      <c r="H6996" t="s">
        <v>16299</v>
      </c>
      <c r="I6996" t="s">
        <v>16382</v>
      </c>
      <c r="J6996" t="s">
        <v>16385</v>
      </c>
      <c r="K6996">
        <v>0.188</v>
      </c>
      <c r="L6996">
        <v>8181</v>
      </c>
      <c r="M6996">
        <v>1943</v>
      </c>
      <c r="N6996" t="s">
        <v>16393</v>
      </c>
      <c r="O6996" s="4">
        <v>54654</v>
      </c>
      <c r="P6996" s="4">
        <v>88985</v>
      </c>
      <c r="Q6996" s="4">
        <v>143639</v>
      </c>
      <c r="R6996" s="4">
        <v>430917</v>
      </c>
      <c r="S6996" t="s">
        <v>23147</v>
      </c>
      <c r="T6996" s="6">
        <v>36678</v>
      </c>
      <c r="U6996" s="4">
        <v>185000</v>
      </c>
      <c r="V6996" t="s">
        <v>23739</v>
      </c>
      <c r="W6996" t="s">
        <v>23147</v>
      </c>
      <c r="X6996" t="s">
        <v>3</v>
      </c>
      <c r="AA6996" s="5" t="str">
        <f>HYPERLINK("https://www.zillow.com/homes/6831-EASTSIDE-AVE-WOODRIDGE-IL-60517_rb/","check listing")</f>
        <v>check listing</v>
      </c>
      <c r="AB6996" s="5" t="str">
        <f>HYPERLINK("https://propertylookup.dupagecounty.gov/Datalets/Datalet.aspx?UseSearch=no&amp;mode=sales&amp;pin=0824415024","sales record")</f>
        <v>sales record</v>
      </c>
      <c r="AC6996" t="s">
        <v>3</v>
      </c>
      <c r="AD6996">
        <v>41.762063</v>
      </c>
      <c r="AE6996">
        <v>-88.03182099999999</v>
      </c>
      <c r="AF6996" s="5" t="str">
        <f>HYPERLINK("https://www.google.com/maps/search/?api=1&amp;query=41.762063,-88.031821","map")</f>
        <v>map</v>
      </c>
    </row>
    <row r="6997" spans="1:32">
      <c r="A6997" t="s">
        <v>7047</v>
      </c>
      <c r="B6997" t="s">
        <v>14499</v>
      </c>
      <c r="C6997" t="s">
        <v>15323</v>
      </c>
      <c r="D6997" t="s">
        <v>16215</v>
      </c>
      <c r="E6997" t="s">
        <v>16218</v>
      </c>
      <c r="F6997" t="s">
        <v>16220</v>
      </c>
      <c r="G6997" t="s">
        <v>16299</v>
      </c>
      <c r="H6997" t="s">
        <v>16299</v>
      </c>
      <c r="I6997" t="s">
        <v>16382</v>
      </c>
      <c r="J6997" t="s">
        <v>16385</v>
      </c>
      <c r="K6997">
        <v>0.188</v>
      </c>
      <c r="L6997">
        <v>8180</v>
      </c>
      <c r="M6997">
        <v>2608</v>
      </c>
      <c r="N6997" t="s">
        <v>16393</v>
      </c>
      <c r="O6997" s="4">
        <v>54797</v>
      </c>
      <c r="P6997" s="4">
        <v>89402</v>
      </c>
      <c r="Q6997" s="4">
        <v>144199</v>
      </c>
      <c r="R6997" s="4">
        <v>432597</v>
      </c>
      <c r="S6997" t="s">
        <v>23148</v>
      </c>
      <c r="T6997" s="6">
        <v>35612</v>
      </c>
      <c r="U6997" s="4">
        <v>133950</v>
      </c>
      <c r="X6997" t="s">
        <v>3</v>
      </c>
      <c r="AA6997" s="5" t="str">
        <f>HYPERLINK("https://www.zillow.com/homes/6-CHERRY-TREE-CT-WOODRIDGE-IL-60517_rb/","check listing")</f>
        <v>check listing</v>
      </c>
      <c r="AB6997" s="5" t="str">
        <f>HYPERLINK("https://propertylookup.dupagecounty.gov/Datalets/Datalet.aspx?UseSearch=no&amp;mode=sales&amp;pin=0824316010","sales record")</f>
        <v>sales record</v>
      </c>
      <c r="AC6997" t="s">
        <v>3</v>
      </c>
      <c r="AD6997">
        <v>41.763958</v>
      </c>
      <c r="AE6997">
        <v>-88.046212</v>
      </c>
      <c r="AF6997" s="5" t="str">
        <f>HYPERLINK("https://www.google.com/maps/search/?api=1&amp;query=41.763958,-88.046212","map")</f>
        <v>map</v>
      </c>
    </row>
    <row r="6998" spans="1:32">
      <c r="A6998" t="s">
        <v>7048</v>
      </c>
      <c r="B6998" t="s">
        <v>14500</v>
      </c>
      <c r="C6998" t="s">
        <v>15323</v>
      </c>
      <c r="D6998" t="s">
        <v>16215</v>
      </c>
      <c r="E6998" t="s">
        <v>16218</v>
      </c>
      <c r="F6998" t="s">
        <v>16220</v>
      </c>
      <c r="G6998" t="s">
        <v>16299</v>
      </c>
      <c r="H6998" t="s">
        <v>16299</v>
      </c>
      <c r="I6998" t="s">
        <v>16382</v>
      </c>
      <c r="J6998" t="s">
        <v>16385</v>
      </c>
      <c r="K6998">
        <v>0.188</v>
      </c>
      <c r="L6998">
        <v>8176</v>
      </c>
      <c r="M6998">
        <v>1929</v>
      </c>
      <c r="N6998" t="s">
        <v>16393</v>
      </c>
      <c r="O6998" s="4">
        <v>57651</v>
      </c>
      <c r="P6998" s="4">
        <v>83812</v>
      </c>
      <c r="Q6998" s="4">
        <v>141463</v>
      </c>
      <c r="R6998" s="4">
        <v>424389</v>
      </c>
      <c r="S6998" t="s">
        <v>23149</v>
      </c>
      <c r="T6998" s="6">
        <v>29403</v>
      </c>
      <c r="U6998" s="4">
        <v>87500</v>
      </c>
      <c r="X6998" t="s">
        <v>3</v>
      </c>
      <c r="AA6998" s="5" t="str">
        <f>HYPERLINK("https://www.zillow.com/homes/6932-SUN-DROP-AVE-WOODRIDGE-IL-60517_rb/","check listing")</f>
        <v>check listing</v>
      </c>
      <c r="AB6998" s="5" t="str">
        <f>HYPERLINK("https://propertylookup.dupagecounty.gov/Datalets/Datalet.aspx?UseSearch=no&amp;mode=sales&amp;pin=0824310011","sales record")</f>
        <v>sales record</v>
      </c>
      <c r="AC6998" t="s">
        <v>3</v>
      </c>
      <c r="AD6998">
        <v>41.759953</v>
      </c>
      <c r="AE6998">
        <v>-88.050135</v>
      </c>
      <c r="AF6998" s="5" t="str">
        <f>HYPERLINK("https://www.google.com/maps/search/?api=1&amp;query=41.759953,-88.050135","map")</f>
        <v>map</v>
      </c>
    </row>
    <row r="6999" spans="1:32">
      <c r="A6999" t="s">
        <v>7049</v>
      </c>
      <c r="B6999" t="s">
        <v>14501</v>
      </c>
      <c r="C6999" t="s">
        <v>15323</v>
      </c>
      <c r="D6999" t="s">
        <v>16215</v>
      </c>
      <c r="E6999" t="s">
        <v>16218</v>
      </c>
      <c r="F6999" t="s">
        <v>16220</v>
      </c>
      <c r="G6999" t="s">
        <v>16299</v>
      </c>
      <c r="H6999" t="s">
        <v>16299</v>
      </c>
      <c r="I6999" t="s">
        <v>16382</v>
      </c>
      <c r="J6999" t="s">
        <v>16385</v>
      </c>
      <c r="K6999">
        <v>0.188</v>
      </c>
      <c r="L6999">
        <v>8172</v>
      </c>
      <c r="M6999">
        <v>1726</v>
      </c>
      <c r="N6999" t="s">
        <v>16393</v>
      </c>
      <c r="O6999" s="4">
        <v>54797</v>
      </c>
      <c r="P6999" s="4">
        <v>80031</v>
      </c>
      <c r="Q6999" s="4">
        <v>134828</v>
      </c>
      <c r="R6999" s="4">
        <v>404484</v>
      </c>
      <c r="S6999" t="s">
        <v>23150</v>
      </c>
      <c r="T6999" s="6">
        <v>42795</v>
      </c>
      <c r="U6999" s="4">
        <v>290000</v>
      </c>
      <c r="V6999" t="s">
        <v>23739</v>
      </c>
      <c r="W6999" t="s">
        <v>23150</v>
      </c>
      <c r="X6999" t="s">
        <v>3</v>
      </c>
      <c r="AA6999" s="5" t="str">
        <f>HYPERLINK("https://www.zillow.com/homes/8-E-LORRAINE-CT-WOODRIDGE-IL-60517_rb/","check listing")</f>
        <v>check listing</v>
      </c>
      <c r="AB6999" s="5" t="str">
        <f>HYPERLINK("https://propertylookup.dupagecounty.gov/Datalets/Datalet.aspx?UseSearch=no&amp;mode=sales&amp;pin=0824111033","sales record")</f>
        <v>sales record</v>
      </c>
      <c r="AC6999" t="s">
        <v>3</v>
      </c>
      <c r="AD6999">
        <v>41.765342</v>
      </c>
      <c r="AE6999">
        <v>-88.042344</v>
      </c>
      <c r="AF6999" s="5" t="str">
        <f>HYPERLINK("https://www.google.com/maps/search/?api=1&amp;query=41.765342,-88.042344","map")</f>
        <v>map</v>
      </c>
    </row>
    <row r="7000" spans="1:32">
      <c r="A7000" t="s">
        <v>7050</v>
      </c>
      <c r="B7000" t="s">
        <v>14502</v>
      </c>
      <c r="C7000" t="s">
        <v>16130</v>
      </c>
      <c r="D7000" t="s">
        <v>16215</v>
      </c>
      <c r="E7000" t="s">
        <v>16218</v>
      </c>
      <c r="F7000" t="s">
        <v>16220</v>
      </c>
      <c r="G7000" t="s">
        <v>16299</v>
      </c>
      <c r="H7000" t="s">
        <v>16299</v>
      </c>
      <c r="I7000" t="s">
        <v>16382</v>
      </c>
      <c r="J7000" t="s">
        <v>16385</v>
      </c>
      <c r="K7000">
        <v>0.188</v>
      </c>
      <c r="L7000">
        <v>8171</v>
      </c>
      <c r="M7000">
        <v>1624</v>
      </c>
      <c r="N7000" t="s">
        <v>16393</v>
      </c>
      <c r="O7000" s="4">
        <v>51241</v>
      </c>
      <c r="P7000" s="4">
        <v>106561</v>
      </c>
      <c r="Q7000" s="4">
        <v>157802</v>
      </c>
      <c r="R7000" s="4">
        <v>473406</v>
      </c>
      <c r="S7000" t="s">
        <v>23151</v>
      </c>
      <c r="T7000" s="6">
        <v>31625</v>
      </c>
      <c r="U7000" s="4">
        <v>126000</v>
      </c>
      <c r="X7000" t="s">
        <v>3</v>
      </c>
      <c r="AA7000" s="5" t="str">
        <f>HYPERLINK("https://www.zillow.com/homes/2131-WHEELER-ST-WOODRIDGE-IL-605171815_rb/","check listing")</f>
        <v>check listing</v>
      </c>
      <c r="AB7000" s="5" t="str">
        <f>HYPERLINK("https://propertylookup.dupagecounty.gov/Datalets/Datalet.aspx?UseSearch=no&amp;mode=sales&amp;pin=0824413002","sales record")</f>
        <v>sales record</v>
      </c>
      <c r="AC7000" t="s">
        <v>3</v>
      </c>
      <c r="AD7000">
        <v>41.764597</v>
      </c>
      <c r="AE7000">
        <v>-88.036332</v>
      </c>
      <c r="AF7000" s="5" t="str">
        <f>HYPERLINK("https://www.google.com/maps/search/?api=1&amp;query=41.764597,-88.036332","map")</f>
        <v>map</v>
      </c>
    </row>
    <row r="7001" spans="1:32">
      <c r="A7001" t="s">
        <v>7051</v>
      </c>
      <c r="B7001" t="s">
        <v>14503</v>
      </c>
      <c r="C7001" t="s">
        <v>16138</v>
      </c>
      <c r="D7001" t="s">
        <v>16215</v>
      </c>
      <c r="E7001" t="s">
        <v>16218</v>
      </c>
      <c r="F7001" t="s">
        <v>16220</v>
      </c>
      <c r="G7001" t="s">
        <v>16299</v>
      </c>
      <c r="H7001" t="s">
        <v>16299</v>
      </c>
      <c r="I7001" t="s">
        <v>16382</v>
      </c>
      <c r="J7001" t="s">
        <v>16385</v>
      </c>
      <c r="K7001">
        <v>0.187</v>
      </c>
      <c r="L7001">
        <v>8167</v>
      </c>
      <c r="M7001">
        <v>2144</v>
      </c>
      <c r="N7001" t="s">
        <v>16393</v>
      </c>
      <c r="O7001" s="4">
        <v>54654</v>
      </c>
      <c r="P7001" s="4">
        <v>63049</v>
      </c>
      <c r="Q7001" s="4">
        <v>117703</v>
      </c>
      <c r="R7001" s="4">
        <v>353109</v>
      </c>
      <c r="S7001" t="s">
        <v>23152</v>
      </c>
      <c r="T7001" s="6">
        <v>43709</v>
      </c>
      <c r="U7001" s="4">
        <v>245000</v>
      </c>
      <c r="V7001" t="s">
        <v>23739</v>
      </c>
      <c r="W7001" t="s">
        <v>27563</v>
      </c>
      <c r="X7001" t="s">
        <v>3</v>
      </c>
      <c r="AA7001" s="5" t="str">
        <f>HYPERLINK("https://www.zillow.com/homes/6837-EASTSIDE-AVE-WOODRIDGE-IL-605171833_rb/","check listing")</f>
        <v>check listing</v>
      </c>
      <c r="AB7001" s="5" t="str">
        <f>HYPERLINK("https://propertylookup.dupagecounty.gov/Datalets/Datalet.aspx?UseSearch=no&amp;mode=sales&amp;pin=0824415025","sales record")</f>
        <v>sales record</v>
      </c>
      <c r="AC7001" t="s">
        <v>3</v>
      </c>
      <c r="AD7001">
        <v>41.761885</v>
      </c>
      <c r="AE7001">
        <v>-88.031814</v>
      </c>
      <c r="AF7001" s="5" t="str">
        <f>HYPERLINK("https://www.google.com/maps/search/?api=1&amp;query=41.761885,-88.031814","map")</f>
        <v>map</v>
      </c>
    </row>
    <row r="7002" spans="1:32">
      <c r="A7002" t="s">
        <v>7052</v>
      </c>
      <c r="B7002" t="s">
        <v>14504</v>
      </c>
      <c r="C7002" t="s">
        <v>15323</v>
      </c>
      <c r="D7002" t="s">
        <v>16215</v>
      </c>
      <c r="E7002" t="s">
        <v>16218</v>
      </c>
      <c r="F7002" t="s">
        <v>16220</v>
      </c>
      <c r="G7002" t="s">
        <v>16299</v>
      </c>
      <c r="H7002" t="s">
        <v>16299</v>
      </c>
      <c r="I7002" t="s">
        <v>16382</v>
      </c>
      <c r="J7002" t="s">
        <v>16385</v>
      </c>
      <c r="K7002">
        <v>0.187</v>
      </c>
      <c r="L7002">
        <v>8152</v>
      </c>
      <c r="M7002">
        <v>1514</v>
      </c>
      <c r="N7002" t="s">
        <v>16393</v>
      </c>
      <c r="O7002" s="4">
        <v>54713</v>
      </c>
      <c r="P7002" s="4">
        <v>66331</v>
      </c>
      <c r="Q7002" s="4">
        <v>121044</v>
      </c>
      <c r="R7002" s="4">
        <v>363132</v>
      </c>
      <c r="S7002" t="s">
        <v>23153</v>
      </c>
      <c r="T7002" s="6">
        <v>32568</v>
      </c>
      <c r="U7002" s="4">
        <v>124000</v>
      </c>
      <c r="X7002" t="s">
        <v>3</v>
      </c>
      <c r="AA7002" s="5" t="str">
        <f>HYPERLINK("https://www.zillow.com/homes/6843-EASTSIDE-AVE-WOODRIDGE-IL-60517_rb/","check listing")</f>
        <v>check listing</v>
      </c>
      <c r="AB7002" s="5" t="str">
        <f>HYPERLINK("https://propertylookup.dupagecounty.gov/Datalets/Datalet.aspx?UseSearch=no&amp;mode=sales&amp;pin=0824415026","sales record")</f>
        <v>sales record</v>
      </c>
      <c r="AC7002" t="s">
        <v>3</v>
      </c>
      <c r="AD7002">
        <v>41.761707</v>
      </c>
      <c r="AE7002">
        <v>-88.031806</v>
      </c>
      <c r="AF7002" s="5" t="str">
        <f>HYPERLINK("https://www.google.com/maps/search/?api=1&amp;query=41.761707,-88.031806","map")</f>
        <v>map</v>
      </c>
    </row>
    <row r="7003" spans="1:32">
      <c r="A7003" t="s">
        <v>7053</v>
      </c>
      <c r="B7003" t="s">
        <v>14505</v>
      </c>
      <c r="C7003" t="s">
        <v>15323</v>
      </c>
      <c r="D7003" t="s">
        <v>16215</v>
      </c>
      <c r="E7003" t="s">
        <v>16218</v>
      </c>
      <c r="F7003" t="s">
        <v>16220</v>
      </c>
      <c r="G7003" t="s">
        <v>16299</v>
      </c>
      <c r="H7003" t="s">
        <v>16299</v>
      </c>
      <c r="I7003" t="s">
        <v>16382</v>
      </c>
      <c r="J7003" t="s">
        <v>16385</v>
      </c>
      <c r="K7003">
        <v>0.187</v>
      </c>
      <c r="L7003">
        <v>8152</v>
      </c>
      <c r="M7003">
        <v>1929</v>
      </c>
      <c r="N7003" t="s">
        <v>16393</v>
      </c>
      <c r="O7003" s="4">
        <v>54797</v>
      </c>
      <c r="P7003" s="4">
        <v>62265</v>
      </c>
      <c r="Q7003" s="4">
        <v>117062</v>
      </c>
      <c r="R7003" s="4">
        <v>351186</v>
      </c>
      <c r="S7003" t="s">
        <v>23154</v>
      </c>
      <c r="T7003" s="6">
        <v>38200</v>
      </c>
      <c r="U7003" s="4">
        <v>250000</v>
      </c>
      <c r="V7003" t="s">
        <v>23739</v>
      </c>
      <c r="W7003" t="s">
        <v>27564</v>
      </c>
      <c r="X7003" t="s">
        <v>3</v>
      </c>
      <c r="AA7003" s="5" t="str">
        <f>HYPERLINK("https://www.zillow.com/homes/6831-HARVEST-AVE-WOODRIDGE-IL-60517_rb/","check listing")</f>
        <v>check listing</v>
      </c>
      <c r="AB7003" s="5" t="str">
        <f>HYPERLINK("https://propertylookup.dupagecounty.gov/Datalets/Datalet.aspx?UseSearch=no&amp;mode=sales&amp;pin=0824416004","sales record")</f>
        <v>sales record</v>
      </c>
      <c r="AC7003" t="s">
        <v>3</v>
      </c>
      <c r="AD7003">
        <v>41.761962</v>
      </c>
      <c r="AE7003">
        <v>-88.03291900000001</v>
      </c>
      <c r="AF7003" s="5" t="str">
        <f>HYPERLINK("https://www.google.com/maps/search/?api=1&amp;query=41.761962,-88.032919","map")</f>
        <v>map</v>
      </c>
    </row>
    <row r="7004" spans="1:32">
      <c r="A7004" t="s">
        <v>7054</v>
      </c>
      <c r="B7004" t="s">
        <v>14506</v>
      </c>
      <c r="C7004" t="s">
        <v>15323</v>
      </c>
      <c r="D7004" t="s">
        <v>16215</v>
      </c>
      <c r="E7004" t="s">
        <v>16218</v>
      </c>
      <c r="F7004" t="s">
        <v>16220</v>
      </c>
      <c r="G7004" t="s">
        <v>16299</v>
      </c>
      <c r="H7004" t="s">
        <v>16299</v>
      </c>
      <c r="I7004" t="s">
        <v>16382</v>
      </c>
      <c r="J7004" t="s">
        <v>16385</v>
      </c>
      <c r="K7004">
        <v>0.187</v>
      </c>
      <c r="L7004">
        <v>8147</v>
      </c>
      <c r="M7004">
        <v>2053</v>
      </c>
      <c r="N7004" t="s">
        <v>16393</v>
      </c>
      <c r="O7004" s="4">
        <v>54797</v>
      </c>
      <c r="P7004" s="4">
        <v>65760</v>
      </c>
      <c r="Q7004" s="4">
        <v>120557</v>
      </c>
      <c r="R7004" s="4">
        <v>361671</v>
      </c>
      <c r="S7004" t="s">
        <v>23155</v>
      </c>
      <c r="T7004" s="6">
        <v>29007</v>
      </c>
      <c r="U7004" s="4">
        <v>72985</v>
      </c>
      <c r="X7004" t="s">
        <v>3</v>
      </c>
      <c r="AA7004" s="5" t="str">
        <f>HYPERLINK("https://www.zillow.com/homes/6825-HARVEST-AVE-WOODRIDGE-IL-60517_rb/","check listing")</f>
        <v>check listing</v>
      </c>
      <c r="AB7004" s="5" t="str">
        <f>HYPERLINK("https://propertylookup.dupagecounty.gov/Datalets/Datalet.aspx?UseSearch=no&amp;mode=sales&amp;pin=0824416003","sales record")</f>
        <v>sales record</v>
      </c>
      <c r="AC7004" t="s">
        <v>3</v>
      </c>
      <c r="AD7004">
        <v>41.762174</v>
      </c>
      <c r="AE7004">
        <v>-88.03292999999999</v>
      </c>
      <c r="AF7004" s="5" t="str">
        <f>HYPERLINK("https://www.google.com/maps/search/?api=1&amp;query=41.762174,-88.03293","map")</f>
        <v>map</v>
      </c>
    </row>
    <row r="7005" spans="1:32">
      <c r="A7005" t="s">
        <v>7055</v>
      </c>
      <c r="B7005" t="s">
        <v>14507</v>
      </c>
      <c r="C7005" t="s">
        <v>16138</v>
      </c>
      <c r="D7005" t="s">
        <v>16215</v>
      </c>
      <c r="E7005" t="s">
        <v>16218</v>
      </c>
      <c r="F7005" t="s">
        <v>16220</v>
      </c>
      <c r="G7005" t="s">
        <v>16299</v>
      </c>
      <c r="H7005" t="s">
        <v>16299</v>
      </c>
      <c r="I7005" t="s">
        <v>16382</v>
      </c>
      <c r="J7005" t="s">
        <v>16385</v>
      </c>
      <c r="K7005">
        <v>0.187</v>
      </c>
      <c r="L7005">
        <v>8139</v>
      </c>
      <c r="M7005">
        <v>2279</v>
      </c>
      <c r="N7005" t="s">
        <v>16393</v>
      </c>
      <c r="O7005" s="4">
        <v>54713</v>
      </c>
      <c r="P7005" s="4">
        <v>65119</v>
      </c>
      <c r="Q7005" s="4">
        <v>119832</v>
      </c>
      <c r="R7005" s="4">
        <v>359496</v>
      </c>
      <c r="S7005" t="s">
        <v>23156</v>
      </c>
      <c r="T7005" s="6">
        <v>43466</v>
      </c>
      <c r="U7005" s="4">
        <v>278000</v>
      </c>
      <c r="V7005" t="s">
        <v>16232</v>
      </c>
      <c r="W7005" t="s">
        <v>27565</v>
      </c>
      <c r="X7005" t="s">
        <v>3</v>
      </c>
      <c r="AA7005" s="5" t="str">
        <f>HYPERLINK("https://www.zillow.com/homes/6849-EASTSIDE-AVE-WOODRIDGE-IL-605171833_rb/","check listing")</f>
        <v>check listing</v>
      </c>
      <c r="AB7005" s="5" t="str">
        <f>HYPERLINK("https://propertylookup.dupagecounty.gov/Datalets/Datalet.aspx?UseSearch=no&amp;mode=sales&amp;pin=0824415027","sales record")</f>
        <v>sales record</v>
      </c>
      <c r="AC7005" t="s">
        <v>3</v>
      </c>
      <c r="AD7005">
        <v>41.761528</v>
      </c>
      <c r="AE7005">
        <v>-88.03179900000001</v>
      </c>
      <c r="AF7005" s="5" t="str">
        <f>HYPERLINK("https://www.google.com/maps/search/?api=1&amp;query=41.761528,-88.031799","map")</f>
        <v>map</v>
      </c>
    </row>
    <row r="7006" spans="1:32">
      <c r="A7006" t="s">
        <v>7056</v>
      </c>
      <c r="B7006" t="s">
        <v>14508</v>
      </c>
      <c r="C7006" t="s">
        <v>15323</v>
      </c>
      <c r="D7006" t="s">
        <v>16215</v>
      </c>
      <c r="E7006" t="s">
        <v>16218</v>
      </c>
      <c r="F7006" t="s">
        <v>16220</v>
      </c>
      <c r="G7006" t="s">
        <v>16299</v>
      </c>
      <c r="H7006" t="s">
        <v>16299</v>
      </c>
      <c r="I7006" t="s">
        <v>16382</v>
      </c>
      <c r="J7006" t="s">
        <v>16385</v>
      </c>
      <c r="K7006">
        <v>0.187</v>
      </c>
      <c r="L7006">
        <v>8130</v>
      </c>
      <c r="M7006">
        <v>1954</v>
      </c>
      <c r="N7006" t="s">
        <v>16393</v>
      </c>
      <c r="O7006" s="4">
        <v>51265</v>
      </c>
      <c r="P7006" s="4">
        <v>86310</v>
      </c>
      <c r="Q7006" s="4">
        <v>137575</v>
      </c>
      <c r="R7006" s="4">
        <v>412725</v>
      </c>
      <c r="S7006" t="s">
        <v>23157</v>
      </c>
      <c r="T7006" s="6">
        <v>38930</v>
      </c>
      <c r="U7006" s="4">
        <v>295000</v>
      </c>
      <c r="V7006" t="s">
        <v>23739</v>
      </c>
      <c r="W7006" t="s">
        <v>27566</v>
      </c>
      <c r="X7006" t="s">
        <v>3</v>
      </c>
      <c r="AA7006" s="5" t="str">
        <f>HYPERLINK("https://www.zillow.com/homes/2061-WHEELER-ST-WOODRIDGE-IL-60517_rb/","check listing")</f>
        <v>check listing</v>
      </c>
      <c r="AB7006" s="5" t="str">
        <f>HYPERLINK("https://propertylookup.dupagecounty.gov/Datalets/Datalet.aspx?UseSearch=no&amp;mode=sales&amp;pin=0824415001","sales record")</f>
        <v>sales record</v>
      </c>
      <c r="AC7006" t="s">
        <v>3</v>
      </c>
      <c r="AD7006">
        <v>41.764685</v>
      </c>
      <c r="AE7006">
        <v>-88.03448400000001</v>
      </c>
      <c r="AF7006" s="5" t="str">
        <f>HYPERLINK("https://www.google.com/maps/search/?api=1&amp;query=41.764685,-88.034484","map")</f>
        <v>map</v>
      </c>
    </row>
    <row r="7007" spans="1:32">
      <c r="A7007" t="s">
        <v>7057</v>
      </c>
      <c r="B7007" t="s">
        <v>14509</v>
      </c>
      <c r="C7007" t="s">
        <v>15323</v>
      </c>
      <c r="D7007" t="s">
        <v>16215</v>
      </c>
      <c r="E7007" t="s">
        <v>16218</v>
      </c>
      <c r="F7007" t="s">
        <v>16220</v>
      </c>
      <c r="G7007" t="s">
        <v>16299</v>
      </c>
      <c r="H7007" t="s">
        <v>16299</v>
      </c>
      <c r="I7007" t="s">
        <v>16382</v>
      </c>
      <c r="J7007" t="s">
        <v>16385</v>
      </c>
      <c r="K7007">
        <v>0.187</v>
      </c>
      <c r="L7007">
        <v>8125</v>
      </c>
      <c r="M7007">
        <v>1338</v>
      </c>
      <c r="N7007" t="s">
        <v>16393</v>
      </c>
      <c r="O7007" s="4">
        <v>54797</v>
      </c>
      <c r="P7007" s="4">
        <v>83337</v>
      </c>
      <c r="Q7007" s="4">
        <v>138134</v>
      </c>
      <c r="R7007" s="4">
        <v>414402</v>
      </c>
      <c r="S7007" t="s">
        <v>23158</v>
      </c>
      <c r="T7007" s="6">
        <v>35309</v>
      </c>
      <c r="U7007" s="4">
        <v>165000</v>
      </c>
      <c r="V7007" t="s">
        <v>23740</v>
      </c>
      <c r="W7007" t="s">
        <v>27567</v>
      </c>
      <c r="X7007" t="s">
        <v>3</v>
      </c>
      <c r="AA7007" s="5" t="str">
        <f>HYPERLINK("https://www.zillow.com/homes/6705-CHERRY-TREE-AVE-WOODRIDGE-IL-60517_rb/","check listing")</f>
        <v>check listing</v>
      </c>
      <c r="AB7007" s="5" t="str">
        <f>HYPERLINK("https://propertylookup.dupagecounty.gov/Datalets/Datalet.aspx?UseSearch=no&amp;mode=sales&amp;pin=0824316001","sales record")</f>
        <v>sales record</v>
      </c>
      <c r="AC7007" t="s">
        <v>3</v>
      </c>
      <c r="AD7007">
        <v>41.764342</v>
      </c>
      <c r="AE7007">
        <v>-88.04697299999999</v>
      </c>
      <c r="AF7007" s="5" t="str">
        <f>HYPERLINK("https://www.google.com/maps/search/?api=1&amp;query=41.764342,-88.046973","map")</f>
        <v>map</v>
      </c>
    </row>
    <row r="7008" spans="1:32">
      <c r="A7008" t="s">
        <v>7058</v>
      </c>
      <c r="B7008" t="s">
        <v>14510</v>
      </c>
      <c r="C7008" t="s">
        <v>15323</v>
      </c>
      <c r="D7008" t="s">
        <v>16215</v>
      </c>
      <c r="E7008" t="s">
        <v>16218</v>
      </c>
      <c r="F7008" t="s">
        <v>16220</v>
      </c>
      <c r="G7008" t="s">
        <v>16299</v>
      </c>
      <c r="H7008" t="s">
        <v>16299</v>
      </c>
      <c r="I7008" t="s">
        <v>16382</v>
      </c>
      <c r="J7008" t="s">
        <v>16385</v>
      </c>
      <c r="K7008">
        <v>0.186</v>
      </c>
      <c r="L7008">
        <v>8119</v>
      </c>
      <c r="M7008">
        <v>1724</v>
      </c>
      <c r="N7008" t="s">
        <v>16393</v>
      </c>
      <c r="O7008" s="4">
        <v>54797</v>
      </c>
      <c r="P7008" s="4">
        <v>73895</v>
      </c>
      <c r="Q7008" s="4">
        <v>128692</v>
      </c>
      <c r="R7008" s="4">
        <v>386076</v>
      </c>
      <c r="S7008" t="s">
        <v>23159</v>
      </c>
      <c r="T7008" s="6">
        <v>29037</v>
      </c>
      <c r="U7008" s="4">
        <v>91705</v>
      </c>
      <c r="X7008" t="s">
        <v>3</v>
      </c>
      <c r="AA7008" s="5" t="str">
        <f>HYPERLINK("https://www.zillow.com/homes/6-BRAMBLEBUSH-CT-WOODRIDGE-IL-60517_rb/","check listing")</f>
        <v>check listing</v>
      </c>
      <c r="AB7008" s="5" t="str">
        <f>HYPERLINK("https://propertylookup.dupagecounty.gov/Datalets/Datalet.aspx?UseSearch=no&amp;mode=sales&amp;pin=0824414016","sales record")</f>
        <v>sales record</v>
      </c>
      <c r="AC7008" t="s">
        <v>3</v>
      </c>
      <c r="AD7008">
        <v>41.761994</v>
      </c>
      <c r="AE7008">
        <v>-88.034539</v>
      </c>
      <c r="AF7008" s="5" t="str">
        <f>HYPERLINK("https://www.google.com/maps/search/?api=1&amp;query=41.761994,-88.034539","map")</f>
        <v>map</v>
      </c>
    </row>
    <row r="7009" spans="1:32">
      <c r="A7009" t="s">
        <v>7059</v>
      </c>
      <c r="B7009" t="s">
        <v>14511</v>
      </c>
      <c r="C7009" t="s">
        <v>15323</v>
      </c>
      <c r="D7009" t="s">
        <v>16215</v>
      </c>
      <c r="E7009" t="s">
        <v>16218</v>
      </c>
      <c r="F7009" t="s">
        <v>16220</v>
      </c>
      <c r="G7009" t="s">
        <v>16299</v>
      </c>
      <c r="H7009" t="s">
        <v>16299</v>
      </c>
      <c r="I7009" t="s">
        <v>16382</v>
      </c>
      <c r="J7009" t="s">
        <v>16385</v>
      </c>
      <c r="K7009">
        <v>0.186</v>
      </c>
      <c r="L7009">
        <v>8099</v>
      </c>
      <c r="M7009">
        <v>1141</v>
      </c>
      <c r="N7009" t="s">
        <v>16393</v>
      </c>
      <c r="O7009" s="4">
        <v>51265</v>
      </c>
      <c r="P7009" s="4">
        <v>78556</v>
      </c>
      <c r="Q7009" s="4">
        <v>129821</v>
      </c>
      <c r="R7009" s="4">
        <v>389463</v>
      </c>
      <c r="S7009" t="s">
        <v>23160</v>
      </c>
      <c r="T7009" s="6">
        <v>36373</v>
      </c>
      <c r="U7009" s="4">
        <v>183000</v>
      </c>
      <c r="X7009" t="s">
        <v>3</v>
      </c>
      <c r="AA7009" s="5" t="str">
        <f>HYPERLINK("https://www.zillow.com/homes/6747-HARVEST-AVE-WOODRIDGE-IL-60517_rb/","check listing")</f>
        <v>check listing</v>
      </c>
      <c r="AB7009" s="5" t="str">
        <f>HYPERLINK("https://propertylookup.dupagecounty.gov/Datalets/Datalet.aspx?UseSearch=no&amp;mode=sales&amp;pin=0824415041","sales record")</f>
        <v>sales record</v>
      </c>
      <c r="AC7009" t="s">
        <v>27873</v>
      </c>
      <c r="AD7009">
        <v>41.763429</v>
      </c>
      <c r="AE7009">
        <v>-88.033615</v>
      </c>
      <c r="AF7009" s="5" t="str">
        <f>HYPERLINK("https://www.google.com/maps/search/?api=1&amp;query=41.763429,-88.033615","map")</f>
        <v>map</v>
      </c>
    </row>
    <row r="7010" spans="1:32">
      <c r="A7010" t="s">
        <v>7060</v>
      </c>
      <c r="B7010" t="s">
        <v>14512</v>
      </c>
      <c r="C7010" t="s">
        <v>16139</v>
      </c>
      <c r="D7010" t="s">
        <v>16215</v>
      </c>
      <c r="E7010" t="s">
        <v>16218</v>
      </c>
      <c r="F7010" t="s">
        <v>16220</v>
      </c>
      <c r="G7010" t="s">
        <v>16299</v>
      </c>
      <c r="H7010" t="s">
        <v>16299</v>
      </c>
      <c r="I7010" t="s">
        <v>16382</v>
      </c>
      <c r="J7010" t="s">
        <v>16385</v>
      </c>
      <c r="K7010">
        <v>0.186</v>
      </c>
      <c r="L7010">
        <v>8097</v>
      </c>
      <c r="M7010">
        <v>1426</v>
      </c>
      <c r="N7010" t="s">
        <v>16393</v>
      </c>
      <c r="O7010" s="4">
        <v>54797</v>
      </c>
      <c r="P7010" s="4">
        <v>78449</v>
      </c>
      <c r="Q7010" s="4">
        <v>133246</v>
      </c>
      <c r="R7010" s="4">
        <v>399738</v>
      </c>
      <c r="S7010" t="s">
        <v>23161</v>
      </c>
      <c r="T7010" s="6">
        <v>46042</v>
      </c>
      <c r="U7010" s="4">
        <v>465000</v>
      </c>
      <c r="V7010" t="s">
        <v>23739</v>
      </c>
      <c r="W7010" t="s">
        <v>27568</v>
      </c>
      <c r="X7010" t="s">
        <v>3</v>
      </c>
      <c r="AA7010" s="5" t="str">
        <f>HYPERLINK("https://www.zillow.com/homes/6819-HARVEST-AVE-WOODRIDGE-IL-605171805_rb/","check listing")</f>
        <v>check listing</v>
      </c>
      <c r="AB7010" s="5" t="str">
        <f>HYPERLINK("https://propertylookup.dupagecounty.gov/Datalets/Datalet.aspx?UseSearch=no&amp;mode=sales&amp;pin=0824416002","sales record")</f>
        <v>sales record</v>
      </c>
      <c r="AC7010" t="s">
        <v>3</v>
      </c>
      <c r="AD7010">
        <v>41.762353</v>
      </c>
      <c r="AE7010">
        <v>-88.032938</v>
      </c>
      <c r="AF7010" s="5" t="str">
        <f>HYPERLINK("https://www.google.com/maps/search/?api=1&amp;query=41.762353,-88.032938","map")</f>
        <v>map</v>
      </c>
    </row>
    <row r="7011" spans="1:32">
      <c r="A7011" t="s">
        <v>7061</v>
      </c>
      <c r="B7011" t="s">
        <v>14513</v>
      </c>
      <c r="C7011" t="s">
        <v>15323</v>
      </c>
      <c r="D7011" t="s">
        <v>16215</v>
      </c>
      <c r="E7011" t="s">
        <v>16218</v>
      </c>
      <c r="F7011" t="s">
        <v>16220</v>
      </c>
      <c r="G7011" t="s">
        <v>16299</v>
      </c>
      <c r="H7011" t="s">
        <v>16299</v>
      </c>
      <c r="I7011" t="s">
        <v>16382</v>
      </c>
      <c r="J7011" t="s">
        <v>16385</v>
      </c>
      <c r="K7011">
        <v>0.186</v>
      </c>
      <c r="L7011">
        <v>8093</v>
      </c>
      <c r="M7011">
        <v>1314</v>
      </c>
      <c r="N7011" t="s">
        <v>16393</v>
      </c>
      <c r="O7011" s="4">
        <v>51241</v>
      </c>
      <c r="P7011" s="4">
        <v>74001</v>
      </c>
      <c r="Q7011" s="4">
        <v>125242</v>
      </c>
      <c r="R7011" s="4">
        <v>375726</v>
      </c>
      <c r="S7011" t="s">
        <v>23162</v>
      </c>
      <c r="T7011" s="6">
        <v>39326</v>
      </c>
      <c r="U7011" s="4">
        <v>305900</v>
      </c>
      <c r="V7011" t="s">
        <v>23739</v>
      </c>
      <c r="W7011" t="s">
        <v>27569</v>
      </c>
      <c r="X7011" t="s">
        <v>3</v>
      </c>
      <c r="AA7011" s="5" t="str">
        <f>HYPERLINK("https://www.zillow.com/homes/2055-WHEELER-ST-WOODRIDGE-IL-60517_rb/","check listing")</f>
        <v>check listing</v>
      </c>
      <c r="AB7011" s="5" t="str">
        <f>HYPERLINK("https://propertylookup.dupagecounty.gov/Datalets/Datalet.aspx?UseSearch=no&amp;mode=sales&amp;pin=0824415002","sales record")</f>
        <v>sales record</v>
      </c>
      <c r="AC7011" t="s">
        <v>3</v>
      </c>
      <c r="AD7011">
        <v>41.764659</v>
      </c>
      <c r="AE7011">
        <v>-88.034218</v>
      </c>
      <c r="AF7011" s="5" t="str">
        <f>HYPERLINK("https://www.google.com/maps/search/?api=1&amp;query=41.764659,-88.034218","map")</f>
        <v>map</v>
      </c>
    </row>
    <row r="7012" spans="1:32">
      <c r="A7012" t="s">
        <v>7062</v>
      </c>
      <c r="B7012" t="s">
        <v>14514</v>
      </c>
      <c r="C7012" t="s">
        <v>15323</v>
      </c>
      <c r="D7012" t="s">
        <v>16215</v>
      </c>
      <c r="E7012" t="s">
        <v>16218</v>
      </c>
      <c r="F7012" t="s">
        <v>16220</v>
      </c>
      <c r="G7012" t="s">
        <v>16299</v>
      </c>
      <c r="H7012" t="s">
        <v>16299</v>
      </c>
      <c r="I7012" t="s">
        <v>16382</v>
      </c>
      <c r="J7012" t="s">
        <v>16385</v>
      </c>
      <c r="K7012">
        <v>0.186</v>
      </c>
      <c r="L7012">
        <v>8087</v>
      </c>
      <c r="M7012">
        <v>1317</v>
      </c>
      <c r="N7012" t="s">
        <v>16393</v>
      </c>
      <c r="O7012" s="4">
        <v>54619</v>
      </c>
      <c r="P7012" s="4">
        <v>63704</v>
      </c>
      <c r="Q7012" s="4">
        <v>118323</v>
      </c>
      <c r="R7012" s="4">
        <v>354969</v>
      </c>
      <c r="S7012" t="s">
        <v>23163</v>
      </c>
      <c r="T7012" s="6">
        <v>30956</v>
      </c>
      <c r="U7012" s="4">
        <v>75000</v>
      </c>
      <c r="X7012" t="s">
        <v>3</v>
      </c>
      <c r="AA7012" s="5" t="str">
        <f>HYPERLINK("https://www.zillow.com/homes/2398-VISTA-DR-WOODRIDGE-IL-60517_rb/","check listing")</f>
        <v>check listing</v>
      </c>
      <c r="AB7012" s="5" t="str">
        <f>HYPERLINK("https://propertylookup.dupagecounty.gov/Datalets/Datalet.aspx?UseSearch=no&amp;mode=sales&amp;pin=0824408019","sales record")</f>
        <v>sales record</v>
      </c>
      <c r="AC7012" t="s">
        <v>3</v>
      </c>
      <c r="AD7012">
        <v>41.761279</v>
      </c>
      <c r="AE7012">
        <v>-88.040041</v>
      </c>
      <c r="AF7012" s="5" t="str">
        <f>HYPERLINK("https://www.google.com/maps/search/?api=1&amp;query=41.761279,-88.040041","map")</f>
        <v>map</v>
      </c>
    </row>
    <row r="7013" spans="1:32">
      <c r="A7013" t="s">
        <v>7063</v>
      </c>
      <c r="B7013" t="s">
        <v>14515</v>
      </c>
      <c r="C7013" t="s">
        <v>15323</v>
      </c>
      <c r="D7013" t="s">
        <v>16215</v>
      </c>
      <c r="E7013" t="s">
        <v>16218</v>
      </c>
      <c r="F7013" t="s">
        <v>16220</v>
      </c>
      <c r="G7013" t="s">
        <v>16299</v>
      </c>
      <c r="H7013" t="s">
        <v>16299</v>
      </c>
      <c r="I7013" t="s">
        <v>16382</v>
      </c>
      <c r="J7013" t="s">
        <v>16385</v>
      </c>
      <c r="K7013">
        <v>0.186</v>
      </c>
      <c r="L7013">
        <v>8082</v>
      </c>
      <c r="M7013">
        <v>2157</v>
      </c>
      <c r="N7013" t="s">
        <v>16393</v>
      </c>
      <c r="O7013" s="4">
        <v>49766</v>
      </c>
      <c r="P7013" s="4">
        <v>86000</v>
      </c>
      <c r="Q7013" s="4">
        <v>135766</v>
      </c>
      <c r="R7013" s="4">
        <v>407298</v>
      </c>
      <c r="S7013" t="s">
        <v>23164</v>
      </c>
      <c r="T7013" s="6">
        <v>37135</v>
      </c>
      <c r="U7013" s="4">
        <v>243750</v>
      </c>
      <c r="V7013" t="s">
        <v>23740</v>
      </c>
      <c r="W7013" t="s">
        <v>27570</v>
      </c>
      <c r="X7013" t="s">
        <v>3</v>
      </c>
      <c r="AA7013" s="5" t="str">
        <f>HYPERLINK("https://www.zillow.com/homes/2645-LUZERN-CT-WOODRIDGE-IL-60517_rb/","check listing")</f>
        <v>check listing</v>
      </c>
      <c r="AB7013" s="5" t="str">
        <f>HYPERLINK("https://propertylookup.dupagecounty.gov/Datalets/Datalet.aspx?UseSearch=no&amp;mode=sales&amp;pin=0836103025","sales record")</f>
        <v>sales record</v>
      </c>
      <c r="AC7013" t="s">
        <v>3</v>
      </c>
      <c r="AD7013">
        <v>41.736087</v>
      </c>
      <c r="AE7013">
        <v>-88.046155</v>
      </c>
      <c r="AF7013" s="5" t="str">
        <f>HYPERLINK("https://www.google.com/maps/search/?api=1&amp;query=41.736087,-88.046155","map")</f>
        <v>map</v>
      </c>
    </row>
    <row r="7014" spans="1:32">
      <c r="A7014" t="s">
        <v>7064</v>
      </c>
      <c r="B7014" t="s">
        <v>14516</v>
      </c>
      <c r="C7014" t="s">
        <v>15323</v>
      </c>
      <c r="D7014" t="s">
        <v>16215</v>
      </c>
      <c r="E7014" t="s">
        <v>16218</v>
      </c>
      <c r="F7014" t="s">
        <v>16220</v>
      </c>
      <c r="G7014" t="s">
        <v>16299</v>
      </c>
      <c r="H7014" t="s">
        <v>16299</v>
      </c>
      <c r="I7014" t="s">
        <v>16382</v>
      </c>
      <c r="J7014" t="s">
        <v>16385</v>
      </c>
      <c r="K7014">
        <v>0.185</v>
      </c>
      <c r="L7014">
        <v>8077</v>
      </c>
      <c r="M7014">
        <v>1846</v>
      </c>
      <c r="N7014" t="s">
        <v>16393</v>
      </c>
      <c r="O7014" s="4">
        <v>54797</v>
      </c>
      <c r="P7014" s="4">
        <v>87617</v>
      </c>
      <c r="Q7014" s="4">
        <v>142414</v>
      </c>
      <c r="R7014" s="4">
        <v>427242</v>
      </c>
      <c r="S7014" t="s">
        <v>23165</v>
      </c>
      <c r="X7014" t="s">
        <v>3</v>
      </c>
      <c r="AA7014" s="5" t="str">
        <f>HYPERLINK("https://www.zillow.com/homes/6689-FOX-TREE-AVE-WOODRIDGE-IL-60517_rb/","check listing")</f>
        <v>check listing</v>
      </c>
      <c r="AB7014" s="5" t="str">
        <f>HYPERLINK("https://propertylookup.dupagecounty.gov/Datalets/Datalet.aspx?UseSearch=no&amp;mode=sales&amp;pin=0824110001","sales record")</f>
        <v>sales record</v>
      </c>
      <c r="AC7014" t="s">
        <v>3</v>
      </c>
      <c r="AD7014">
        <v>41.765691</v>
      </c>
      <c r="AE7014">
        <v>-88.04498100000001</v>
      </c>
      <c r="AF7014" s="5" t="str">
        <f>HYPERLINK("https://www.google.com/maps/search/?api=1&amp;query=41.765691,-88.044981","map")</f>
        <v>map</v>
      </c>
    </row>
    <row r="7015" spans="1:32">
      <c r="A7015" t="s">
        <v>7065</v>
      </c>
      <c r="B7015" t="s">
        <v>14517</v>
      </c>
      <c r="C7015" t="s">
        <v>16122</v>
      </c>
      <c r="D7015" t="s">
        <v>16215</v>
      </c>
      <c r="E7015" t="s">
        <v>16218</v>
      </c>
      <c r="F7015" t="s">
        <v>16220</v>
      </c>
      <c r="G7015" t="s">
        <v>16299</v>
      </c>
      <c r="H7015" t="s">
        <v>16299</v>
      </c>
      <c r="I7015" t="s">
        <v>16382</v>
      </c>
      <c r="J7015" t="s">
        <v>16385</v>
      </c>
      <c r="K7015">
        <v>0.185</v>
      </c>
      <c r="L7015">
        <v>8070</v>
      </c>
      <c r="M7015">
        <v>1591</v>
      </c>
      <c r="N7015" t="s">
        <v>16393</v>
      </c>
      <c r="O7015" s="4">
        <v>54619</v>
      </c>
      <c r="P7015" s="4">
        <v>81101</v>
      </c>
      <c r="Q7015" s="4">
        <v>135720</v>
      </c>
      <c r="R7015" s="4">
        <v>407160</v>
      </c>
      <c r="S7015" t="s">
        <v>23166</v>
      </c>
      <c r="T7015" s="6">
        <v>44652</v>
      </c>
      <c r="U7015" s="4">
        <v>376600</v>
      </c>
      <c r="V7015" t="s">
        <v>23739</v>
      </c>
      <c r="W7015" t="s">
        <v>27571</v>
      </c>
      <c r="X7015" t="s">
        <v>3</v>
      </c>
      <c r="AA7015" s="5" t="str">
        <f>HYPERLINK("https://www.zillow.com/homes/2101-SUNNYDALE-ST-WOODRIDGE-IL-605171821_rb/","check listing")</f>
        <v>check listing</v>
      </c>
      <c r="AB7015" s="5" t="str">
        <f>HYPERLINK("https://propertylookup.dupagecounty.gov/Datalets/Datalet.aspx?UseSearch=no&amp;mode=sales&amp;pin=0824417007","sales record")</f>
        <v>sales record</v>
      </c>
      <c r="AC7015" t="s">
        <v>3</v>
      </c>
      <c r="AD7015">
        <v>41.760015</v>
      </c>
      <c r="AE7015">
        <v>-88.03376400000001</v>
      </c>
      <c r="AF7015" s="5" t="str">
        <f>HYPERLINK("https://www.google.com/maps/search/?api=1&amp;query=41.760015,-88.033764","map")</f>
        <v>map</v>
      </c>
    </row>
    <row r="7016" spans="1:32">
      <c r="A7016" t="s">
        <v>7066</v>
      </c>
      <c r="B7016" t="s">
        <v>14518</v>
      </c>
      <c r="C7016" t="s">
        <v>15323</v>
      </c>
      <c r="D7016" t="s">
        <v>16215</v>
      </c>
      <c r="E7016" t="s">
        <v>16218</v>
      </c>
      <c r="F7016" t="s">
        <v>16220</v>
      </c>
      <c r="G7016" t="s">
        <v>16299</v>
      </c>
      <c r="H7016" t="s">
        <v>16299</v>
      </c>
      <c r="I7016" t="s">
        <v>16382</v>
      </c>
      <c r="J7016" t="s">
        <v>16385</v>
      </c>
      <c r="K7016">
        <v>0.185</v>
      </c>
      <c r="L7016">
        <v>8062</v>
      </c>
      <c r="M7016">
        <v>1717</v>
      </c>
      <c r="N7016" t="s">
        <v>16393</v>
      </c>
      <c r="O7016" s="4">
        <v>54797</v>
      </c>
      <c r="P7016" s="4">
        <v>79317</v>
      </c>
      <c r="Q7016" s="4">
        <v>134114</v>
      </c>
      <c r="R7016" s="4">
        <v>402342</v>
      </c>
      <c r="S7016" t="s">
        <v>23167</v>
      </c>
      <c r="T7016" s="6">
        <v>37865</v>
      </c>
      <c r="U7016" s="4">
        <v>255000</v>
      </c>
      <c r="V7016" t="s">
        <v>23739</v>
      </c>
      <c r="W7016" t="s">
        <v>27572</v>
      </c>
      <c r="X7016" t="s">
        <v>3</v>
      </c>
      <c r="AA7016" s="5" t="str">
        <f>HYPERLINK("https://www.zillow.com/homes/6820-EASTSIDE-AVE-WOODRIDGE-IL-60517_rb/","check listing")</f>
        <v>check listing</v>
      </c>
      <c r="AB7016" s="5" t="str">
        <f>HYPERLINK("https://propertylookup.dupagecounty.gov/Datalets/Datalet.aspx?UseSearch=no&amp;mode=sales&amp;pin=0824416009","sales record")</f>
        <v>sales record</v>
      </c>
      <c r="AC7016" t="s">
        <v>3</v>
      </c>
      <c r="AD7016">
        <v>41.762367</v>
      </c>
      <c r="AE7016">
        <v>-88.0325</v>
      </c>
      <c r="AF7016" s="5" t="str">
        <f>HYPERLINK("https://www.google.com/maps/search/?api=1&amp;query=41.762367,-88.0325","map")</f>
        <v>map</v>
      </c>
    </row>
    <row r="7017" spans="1:32">
      <c r="A7017" t="s">
        <v>7067</v>
      </c>
      <c r="B7017" t="s">
        <v>14519</v>
      </c>
      <c r="C7017" t="s">
        <v>15323</v>
      </c>
      <c r="D7017" t="s">
        <v>16215</v>
      </c>
      <c r="E7017" t="s">
        <v>16218</v>
      </c>
      <c r="F7017" t="s">
        <v>16220</v>
      </c>
      <c r="G7017" t="s">
        <v>16299</v>
      </c>
      <c r="H7017" t="s">
        <v>16299</v>
      </c>
      <c r="I7017" t="s">
        <v>16382</v>
      </c>
      <c r="J7017" t="s">
        <v>16385</v>
      </c>
      <c r="K7017">
        <v>0.185</v>
      </c>
      <c r="L7017">
        <v>8052</v>
      </c>
      <c r="M7017">
        <v>2092</v>
      </c>
      <c r="N7017" t="s">
        <v>16393</v>
      </c>
      <c r="O7017" s="4">
        <v>54797</v>
      </c>
      <c r="P7017" s="4">
        <v>64108</v>
      </c>
      <c r="Q7017" s="4">
        <v>118905</v>
      </c>
      <c r="R7017" s="4">
        <v>356715</v>
      </c>
      <c r="S7017" t="s">
        <v>23168</v>
      </c>
      <c r="T7017" s="6">
        <v>37043</v>
      </c>
      <c r="U7017" s="4">
        <v>176500</v>
      </c>
      <c r="V7017" t="s">
        <v>23739</v>
      </c>
      <c r="W7017" t="s">
        <v>27573</v>
      </c>
      <c r="X7017" t="s">
        <v>3</v>
      </c>
      <c r="AA7017" s="5" t="str">
        <f>HYPERLINK("https://www.zillow.com/homes/6826-EASTSIDE-AVE-WOODRIDGE-IL-60517_rb/","check listing")</f>
        <v>check listing</v>
      </c>
      <c r="AB7017" s="5" t="str">
        <f>HYPERLINK("https://propertylookup.dupagecounty.gov/Datalets/Datalet.aspx?UseSearch=no&amp;mode=sales&amp;pin=0824416010","sales record")</f>
        <v>sales record</v>
      </c>
      <c r="AC7017" t="s">
        <v>3</v>
      </c>
      <c r="AD7017">
        <v>41.762181</v>
      </c>
      <c r="AE7017">
        <v>-88.03249099999999</v>
      </c>
      <c r="AF7017" s="5" t="str">
        <f>HYPERLINK("https://www.google.com/maps/search/?api=1&amp;query=41.762181,-88.032491","map")</f>
        <v>map</v>
      </c>
    </row>
    <row r="7018" spans="1:32">
      <c r="A7018" t="s">
        <v>7068</v>
      </c>
      <c r="B7018" t="s">
        <v>14520</v>
      </c>
      <c r="C7018" t="s">
        <v>15323</v>
      </c>
      <c r="D7018" t="s">
        <v>16215</v>
      </c>
      <c r="E7018" t="s">
        <v>16218</v>
      </c>
      <c r="F7018" t="s">
        <v>16220</v>
      </c>
      <c r="G7018" t="s">
        <v>16299</v>
      </c>
      <c r="H7018" t="s">
        <v>16299</v>
      </c>
      <c r="I7018" t="s">
        <v>16382</v>
      </c>
      <c r="J7018" t="s">
        <v>16385</v>
      </c>
      <c r="K7018">
        <v>0.185</v>
      </c>
      <c r="L7018">
        <v>8046</v>
      </c>
      <c r="M7018">
        <v>1565</v>
      </c>
      <c r="N7018" t="s">
        <v>16393</v>
      </c>
      <c r="O7018" s="4">
        <v>51265</v>
      </c>
      <c r="P7018" s="4">
        <v>84086</v>
      </c>
      <c r="Q7018" s="4">
        <v>135351</v>
      </c>
      <c r="R7018" s="4">
        <v>406053</v>
      </c>
      <c r="S7018" t="s">
        <v>23169</v>
      </c>
      <c r="T7018" s="6">
        <v>37438</v>
      </c>
      <c r="U7018" s="4">
        <v>230000</v>
      </c>
      <c r="V7018" t="s">
        <v>23739</v>
      </c>
      <c r="W7018" t="s">
        <v>23169</v>
      </c>
      <c r="X7018" t="s">
        <v>3</v>
      </c>
      <c r="AA7018" s="5" t="str">
        <f>HYPERLINK("https://www.zillow.com/homes/2137-WHEELER-ST-WOODRIDGE-IL-60517_rb/","check listing")</f>
        <v>check listing</v>
      </c>
      <c r="AB7018" s="5" t="str">
        <f>HYPERLINK("https://propertylookup.dupagecounty.gov/Datalets/Datalet.aspx?UseSearch=no&amp;mode=sales&amp;pin=0824413001","sales record")</f>
        <v>sales record</v>
      </c>
      <c r="AC7018" t="s">
        <v>3</v>
      </c>
      <c r="AD7018">
        <v>41.764624</v>
      </c>
      <c r="AE7018">
        <v>-88.036597</v>
      </c>
      <c r="AF7018" s="5" t="str">
        <f>HYPERLINK("https://www.google.com/maps/search/?api=1&amp;query=41.764624,-88.036597","map")</f>
        <v>map</v>
      </c>
    </row>
    <row r="7019" spans="1:32">
      <c r="A7019" t="s">
        <v>7069</v>
      </c>
      <c r="B7019" t="s">
        <v>14521</v>
      </c>
      <c r="C7019" t="s">
        <v>15323</v>
      </c>
      <c r="D7019" t="s">
        <v>16215</v>
      </c>
      <c r="E7019" t="s">
        <v>16218</v>
      </c>
      <c r="F7019" t="s">
        <v>16220</v>
      </c>
      <c r="G7019" t="s">
        <v>16299</v>
      </c>
      <c r="H7019" t="s">
        <v>16299</v>
      </c>
      <c r="I7019" t="s">
        <v>16382</v>
      </c>
      <c r="J7019" t="s">
        <v>16385</v>
      </c>
      <c r="K7019">
        <v>0.185</v>
      </c>
      <c r="L7019">
        <v>8044</v>
      </c>
      <c r="M7019">
        <v>2140</v>
      </c>
      <c r="N7019" t="s">
        <v>16393</v>
      </c>
      <c r="O7019" s="4">
        <v>54797</v>
      </c>
      <c r="P7019" s="4">
        <v>65760</v>
      </c>
      <c r="Q7019" s="4">
        <v>120557</v>
      </c>
      <c r="R7019" s="4">
        <v>361671</v>
      </c>
      <c r="S7019" t="s">
        <v>23170</v>
      </c>
      <c r="T7019" s="6">
        <v>34881</v>
      </c>
      <c r="U7019" s="4">
        <v>134400</v>
      </c>
      <c r="X7019" t="s">
        <v>3</v>
      </c>
      <c r="AA7019" s="5" t="str">
        <f>HYPERLINK("https://www.zillow.com/homes/6832-EASTSIDE-AVE-WOODRIDGE-IL-60517_rb/","check listing")</f>
        <v>check listing</v>
      </c>
      <c r="AB7019" s="5" t="str">
        <f>HYPERLINK("https://propertylookup.dupagecounty.gov/Datalets/Datalet.aspx?UseSearch=no&amp;mode=sales&amp;pin=0824416011","sales record")</f>
        <v>sales record</v>
      </c>
      <c r="AC7019" t="s">
        <v>3</v>
      </c>
      <c r="AD7019">
        <v>41.761996</v>
      </c>
      <c r="AE7019">
        <v>-88.032482</v>
      </c>
      <c r="AF7019" s="5" t="str">
        <f>HYPERLINK("https://www.google.com/maps/search/?api=1&amp;query=41.761996,-88.032482","map")</f>
        <v>map</v>
      </c>
    </row>
    <row r="7020" spans="1:32">
      <c r="A7020" t="s">
        <v>7070</v>
      </c>
      <c r="B7020" t="s">
        <v>14522</v>
      </c>
      <c r="C7020" t="s">
        <v>15323</v>
      </c>
      <c r="D7020" t="s">
        <v>16215</v>
      </c>
      <c r="E7020" t="s">
        <v>16218</v>
      </c>
      <c r="F7020" t="s">
        <v>16220</v>
      </c>
      <c r="G7020" t="s">
        <v>16299</v>
      </c>
      <c r="H7020" t="s">
        <v>16299</v>
      </c>
      <c r="I7020" t="s">
        <v>16382</v>
      </c>
      <c r="J7020" t="s">
        <v>16385</v>
      </c>
      <c r="K7020">
        <v>0.184</v>
      </c>
      <c r="L7020">
        <v>8034</v>
      </c>
      <c r="M7020">
        <v>1643</v>
      </c>
      <c r="N7020" t="s">
        <v>16393</v>
      </c>
      <c r="O7020" s="4">
        <v>54797</v>
      </c>
      <c r="P7020" s="4">
        <v>79983</v>
      </c>
      <c r="Q7020" s="4">
        <v>134780</v>
      </c>
      <c r="R7020" s="4">
        <v>404340</v>
      </c>
      <c r="S7020" t="s">
        <v>23171</v>
      </c>
      <c r="T7020" s="6">
        <v>32843</v>
      </c>
      <c r="U7020" s="4">
        <v>140500</v>
      </c>
      <c r="X7020" t="s">
        <v>3</v>
      </c>
      <c r="AA7020" s="5" t="str">
        <f>HYPERLINK("https://www.zillow.com/homes/6838-EASTSIDE-AVE-WOODRIDGE-IL-60517_rb/","check listing")</f>
        <v>check listing</v>
      </c>
      <c r="AB7020" s="5" t="str">
        <f>HYPERLINK("https://propertylookup.dupagecounty.gov/Datalets/Datalet.aspx?UseSearch=no&amp;mode=sales&amp;pin=0824416012","sales record")</f>
        <v>sales record</v>
      </c>
      <c r="AC7020" t="s">
        <v>3</v>
      </c>
      <c r="AD7020">
        <v>41.76181</v>
      </c>
      <c r="AE7020">
        <v>-88.032472</v>
      </c>
      <c r="AF7020" s="5" t="str">
        <f>HYPERLINK("https://www.google.com/maps/search/?api=1&amp;query=41.76181,-88.032472","map")</f>
        <v>map</v>
      </c>
    </row>
    <row r="7021" spans="1:32">
      <c r="A7021" t="s">
        <v>7071</v>
      </c>
      <c r="B7021" t="s">
        <v>14523</v>
      </c>
      <c r="C7021" t="s">
        <v>15323</v>
      </c>
      <c r="D7021" t="s">
        <v>16215</v>
      </c>
      <c r="E7021" t="s">
        <v>16218</v>
      </c>
      <c r="F7021" t="s">
        <v>16220</v>
      </c>
      <c r="G7021" t="s">
        <v>16299</v>
      </c>
      <c r="H7021" t="s">
        <v>16299</v>
      </c>
      <c r="I7021" t="s">
        <v>16382</v>
      </c>
      <c r="J7021" t="s">
        <v>16385</v>
      </c>
      <c r="K7021">
        <v>0.184</v>
      </c>
      <c r="L7021">
        <v>8032</v>
      </c>
      <c r="M7021">
        <v>2098</v>
      </c>
      <c r="N7021" t="s">
        <v>16393</v>
      </c>
      <c r="O7021" s="4">
        <v>49243</v>
      </c>
      <c r="P7021" s="4">
        <v>110889</v>
      </c>
      <c r="Q7021" s="4">
        <v>160132</v>
      </c>
      <c r="R7021" s="4">
        <v>480396</v>
      </c>
      <c r="S7021" t="s">
        <v>23172</v>
      </c>
      <c r="X7021" t="s">
        <v>3</v>
      </c>
      <c r="AA7021" s="5" t="str">
        <f>HYPERLINK("https://www.zillow.com/homes/5-YELLOW-STAR-CT-WOODRIDGE-IL-60517_rb/","check listing")</f>
        <v>check listing</v>
      </c>
      <c r="AB7021" s="5" t="str">
        <f>HYPERLINK("https://propertylookup.dupagecounty.gov/Datalets/Datalet.aspx?UseSearch=no&amp;mode=sales&amp;pin=0824307091","sales record")</f>
        <v>sales record</v>
      </c>
      <c r="AC7021" t="s">
        <v>3</v>
      </c>
      <c r="AD7021">
        <v>41.761818</v>
      </c>
      <c r="AE7021">
        <v>-88.046404</v>
      </c>
      <c r="AF7021" s="5" t="str">
        <f>HYPERLINK("https://www.google.com/maps/search/?api=1&amp;query=41.761818,-88.046404","map")</f>
        <v>map</v>
      </c>
    </row>
    <row r="7022" spans="1:32">
      <c r="A7022" t="s">
        <v>7072</v>
      </c>
      <c r="B7022" t="s">
        <v>14524</v>
      </c>
      <c r="C7022" t="s">
        <v>15323</v>
      </c>
      <c r="D7022" t="s">
        <v>16215</v>
      </c>
      <c r="E7022" t="s">
        <v>16218</v>
      </c>
      <c r="F7022" t="s">
        <v>16220</v>
      </c>
      <c r="G7022" t="s">
        <v>16299</v>
      </c>
      <c r="H7022" t="s">
        <v>16299</v>
      </c>
      <c r="I7022" t="s">
        <v>16382</v>
      </c>
      <c r="J7022" t="s">
        <v>16385</v>
      </c>
      <c r="K7022">
        <v>0.184</v>
      </c>
      <c r="L7022">
        <v>8031</v>
      </c>
      <c r="M7022">
        <v>1264</v>
      </c>
      <c r="N7022" t="s">
        <v>16393</v>
      </c>
      <c r="O7022" s="4">
        <v>49124</v>
      </c>
      <c r="P7022" s="4">
        <v>59398</v>
      </c>
      <c r="Q7022" s="4">
        <v>108522</v>
      </c>
      <c r="R7022" s="4">
        <v>325566</v>
      </c>
      <c r="S7022" t="s">
        <v>23173</v>
      </c>
      <c r="T7022" s="6">
        <v>40422</v>
      </c>
      <c r="U7022" s="4">
        <v>220000</v>
      </c>
      <c r="V7022" t="s">
        <v>23739</v>
      </c>
      <c r="W7022" t="s">
        <v>27574</v>
      </c>
      <c r="X7022" t="s">
        <v>3</v>
      </c>
      <c r="AA7022" s="5" t="str">
        <f>HYPERLINK("https://www.zillow.com/homes/6632-FOX-TREE-AVE-WOODRIDGE-IL-60517_rb/","check listing")</f>
        <v>check listing</v>
      </c>
      <c r="AB7022" s="5" t="str">
        <f>HYPERLINK("https://propertylookup.dupagecounty.gov/Datalets/Datalet.aspx?UseSearch=no&amp;mode=sales&amp;pin=0824109018","sales record")</f>
        <v>sales record</v>
      </c>
      <c r="AC7022" t="s">
        <v>3</v>
      </c>
      <c r="AD7022">
        <v>41.766647</v>
      </c>
      <c r="AE7022">
        <v>-88.041741</v>
      </c>
      <c r="AF7022" s="5" t="str">
        <f>HYPERLINK("https://www.google.com/maps/search/?api=1&amp;query=41.766647,-88.041741","map")</f>
        <v>map</v>
      </c>
    </row>
    <row r="7023" spans="1:32">
      <c r="A7023" t="s">
        <v>7073</v>
      </c>
      <c r="B7023" t="s">
        <v>14525</v>
      </c>
      <c r="C7023" t="s">
        <v>15323</v>
      </c>
      <c r="D7023" t="s">
        <v>16215</v>
      </c>
      <c r="E7023" t="s">
        <v>16218</v>
      </c>
      <c r="F7023" t="s">
        <v>16220</v>
      </c>
      <c r="G7023" t="s">
        <v>16299</v>
      </c>
      <c r="H7023" t="s">
        <v>16299</v>
      </c>
      <c r="I7023" t="s">
        <v>16382</v>
      </c>
      <c r="J7023" t="s">
        <v>16385</v>
      </c>
      <c r="K7023">
        <v>0.184</v>
      </c>
      <c r="L7023">
        <v>8029</v>
      </c>
      <c r="M7023">
        <v>1546</v>
      </c>
      <c r="N7023" t="s">
        <v>16393</v>
      </c>
      <c r="O7023" s="4">
        <v>54797</v>
      </c>
      <c r="P7023" s="4">
        <v>62610</v>
      </c>
      <c r="Q7023" s="4">
        <v>117407</v>
      </c>
      <c r="R7023" s="4">
        <v>352221</v>
      </c>
      <c r="S7023" t="s">
        <v>23174</v>
      </c>
      <c r="T7023" s="6">
        <v>42583</v>
      </c>
      <c r="U7023" s="4">
        <v>250000</v>
      </c>
      <c r="V7023" t="s">
        <v>23739</v>
      </c>
      <c r="W7023" t="s">
        <v>27575</v>
      </c>
      <c r="X7023" t="s">
        <v>3</v>
      </c>
      <c r="AA7023" s="5" t="str">
        <f>HYPERLINK("https://www.zillow.com/homes/6717-FOX-TREE-AVE-WOODRIDGE-IL-60517_rb/","check listing")</f>
        <v>check listing</v>
      </c>
      <c r="AB7023" s="5" t="str">
        <f>HYPERLINK("https://propertylookup.dupagecounty.gov/Datalets/Datalet.aspx?UseSearch=no&amp;mode=sales&amp;pin=0824317005","sales record")</f>
        <v>sales record</v>
      </c>
      <c r="AC7023" t="s">
        <v>3</v>
      </c>
      <c r="AD7023">
        <v>41.76408</v>
      </c>
      <c r="AE7023">
        <v>-88.044871</v>
      </c>
      <c r="AF7023" s="5" t="str">
        <f>HYPERLINK("https://www.google.com/maps/search/?api=1&amp;query=41.76408,-88.044871","map")</f>
        <v>map</v>
      </c>
    </row>
    <row r="7024" spans="1:32">
      <c r="A7024" t="s">
        <v>7074</v>
      </c>
      <c r="B7024" t="s">
        <v>14526</v>
      </c>
      <c r="C7024" t="s">
        <v>15323</v>
      </c>
      <c r="D7024" t="s">
        <v>16215</v>
      </c>
      <c r="E7024" t="s">
        <v>16218</v>
      </c>
      <c r="F7024" t="s">
        <v>16220</v>
      </c>
      <c r="G7024" t="s">
        <v>16299</v>
      </c>
      <c r="H7024" t="s">
        <v>16299</v>
      </c>
      <c r="I7024" t="s">
        <v>16382</v>
      </c>
      <c r="J7024" t="s">
        <v>16385</v>
      </c>
      <c r="K7024">
        <v>0.184</v>
      </c>
      <c r="L7024">
        <v>8028</v>
      </c>
      <c r="M7024">
        <v>2110</v>
      </c>
      <c r="N7024" t="s">
        <v>16393</v>
      </c>
      <c r="O7024" s="4">
        <v>47507</v>
      </c>
      <c r="P7024" s="4">
        <v>57686</v>
      </c>
      <c r="Q7024" s="4">
        <v>105193</v>
      </c>
      <c r="R7024" s="4">
        <v>315579</v>
      </c>
      <c r="S7024" t="s">
        <v>23175</v>
      </c>
      <c r="T7024" s="6">
        <v>38047</v>
      </c>
      <c r="U7024" s="4">
        <v>230000</v>
      </c>
      <c r="V7024" t="s">
        <v>23739</v>
      </c>
      <c r="W7024" t="s">
        <v>27576</v>
      </c>
      <c r="X7024" t="s">
        <v>3</v>
      </c>
      <c r="AA7024" s="5" t="str">
        <f>HYPERLINK("https://www.zillow.com/homes/2641-LUZERN-CT-WOODRIDGE-IL-60517_rb/","check listing")</f>
        <v>check listing</v>
      </c>
      <c r="AB7024" s="5" t="str">
        <f>HYPERLINK("https://propertylookup.dupagecounty.gov/Datalets/Datalet.aspx?UseSearch=no&amp;mode=sales&amp;pin=0836103026","sales record")</f>
        <v>sales record</v>
      </c>
      <c r="AC7024" t="s">
        <v>3</v>
      </c>
      <c r="AD7024">
        <v>41.736092</v>
      </c>
      <c r="AE7024">
        <v>-88.04589199999999</v>
      </c>
      <c r="AF7024" s="5" t="str">
        <f>HYPERLINK("https://www.google.com/maps/search/?api=1&amp;query=41.736092,-88.045892","map")</f>
        <v>map</v>
      </c>
    </row>
    <row r="7025" spans="1:32">
      <c r="A7025" t="s">
        <v>7075</v>
      </c>
      <c r="B7025" t="s">
        <v>14527</v>
      </c>
      <c r="C7025" t="s">
        <v>15323</v>
      </c>
      <c r="D7025" t="s">
        <v>16215</v>
      </c>
      <c r="E7025" t="s">
        <v>16218</v>
      </c>
      <c r="F7025" t="s">
        <v>16220</v>
      </c>
      <c r="G7025" t="s">
        <v>16299</v>
      </c>
      <c r="H7025" t="s">
        <v>16299</v>
      </c>
      <c r="I7025" t="s">
        <v>16382</v>
      </c>
      <c r="J7025" t="s">
        <v>16385</v>
      </c>
      <c r="K7025">
        <v>0.184</v>
      </c>
      <c r="L7025">
        <v>8025</v>
      </c>
      <c r="M7025">
        <v>2052</v>
      </c>
      <c r="N7025" t="s">
        <v>16393</v>
      </c>
      <c r="O7025" s="4">
        <v>49243</v>
      </c>
      <c r="P7025" s="4">
        <v>85561</v>
      </c>
      <c r="Q7025" s="4">
        <v>134804</v>
      </c>
      <c r="R7025" s="4">
        <v>404412</v>
      </c>
      <c r="S7025" t="s">
        <v>23176</v>
      </c>
      <c r="T7025" s="6">
        <v>30164</v>
      </c>
      <c r="U7025" s="4">
        <v>96500</v>
      </c>
      <c r="X7025" t="s">
        <v>3</v>
      </c>
      <c r="AA7025" s="5" t="str">
        <f>HYPERLINK("https://www.zillow.com/homes/2-YELLOW-STAR-CT-WOODRIDGE-IL-60517_rb/","check listing")</f>
        <v>check listing</v>
      </c>
      <c r="AB7025" s="5" t="str">
        <f>HYPERLINK("https://propertylookup.dupagecounty.gov/Datalets/Datalet.aspx?UseSearch=no&amp;mode=sales&amp;pin=0824307077","sales record")</f>
        <v>sales record</v>
      </c>
      <c r="AC7025" t="s">
        <v>3</v>
      </c>
      <c r="AD7025">
        <v>41.762431</v>
      </c>
      <c r="AE7025">
        <v>-88.046586</v>
      </c>
      <c r="AF7025" s="5" t="str">
        <f>HYPERLINK("https://www.google.com/maps/search/?api=1&amp;query=41.762431,-88.046586","map")</f>
        <v>map</v>
      </c>
    </row>
    <row r="7026" spans="1:32">
      <c r="A7026" t="s">
        <v>7076</v>
      </c>
      <c r="B7026" t="s">
        <v>14528</v>
      </c>
      <c r="C7026" t="s">
        <v>16140</v>
      </c>
      <c r="D7026" t="s">
        <v>16215</v>
      </c>
      <c r="E7026" t="s">
        <v>16218</v>
      </c>
      <c r="F7026" t="s">
        <v>16220</v>
      </c>
      <c r="G7026" t="s">
        <v>16299</v>
      </c>
      <c r="H7026" t="s">
        <v>16299</v>
      </c>
      <c r="I7026" t="s">
        <v>16382</v>
      </c>
      <c r="J7026" t="s">
        <v>16385</v>
      </c>
      <c r="K7026">
        <v>0.184</v>
      </c>
      <c r="L7026">
        <v>8023</v>
      </c>
      <c r="M7026">
        <v>1156</v>
      </c>
      <c r="N7026" t="s">
        <v>16393</v>
      </c>
      <c r="O7026" s="4">
        <v>51241</v>
      </c>
      <c r="P7026" s="4">
        <v>76808</v>
      </c>
      <c r="Q7026" s="4">
        <v>128049</v>
      </c>
      <c r="R7026" s="4">
        <v>384147</v>
      </c>
      <c r="S7026" t="s">
        <v>23177</v>
      </c>
      <c r="T7026" s="6">
        <v>38899</v>
      </c>
      <c r="U7026" s="4">
        <v>295500</v>
      </c>
      <c r="V7026" t="s">
        <v>23739</v>
      </c>
      <c r="W7026" t="s">
        <v>27577</v>
      </c>
      <c r="X7026" t="s">
        <v>3</v>
      </c>
      <c r="AA7026" s="5" t="str">
        <f>HYPERLINK("https://www.zillow.com/homes/2049-WHEELER-ST-WOODRIDGE-IL-605171817_rb/","check listing")</f>
        <v>check listing</v>
      </c>
      <c r="AB7026" s="5" t="str">
        <f>HYPERLINK("https://propertylookup.dupagecounty.gov/Datalets/Datalet.aspx?UseSearch=no&amp;mode=sales&amp;pin=0824415003","sales record")</f>
        <v>sales record</v>
      </c>
      <c r="AC7026" t="s">
        <v>3</v>
      </c>
      <c r="AD7026">
        <v>41.764667</v>
      </c>
      <c r="AE7026">
        <v>-88.03395999999999</v>
      </c>
      <c r="AF7026" s="5" t="str">
        <f>HYPERLINK("https://www.google.com/maps/search/?api=1&amp;query=41.764667,-88.03396","map")</f>
        <v>map</v>
      </c>
    </row>
    <row r="7027" spans="1:32">
      <c r="A7027" t="s">
        <v>7077</v>
      </c>
      <c r="B7027" t="s">
        <v>14529</v>
      </c>
      <c r="C7027" t="s">
        <v>15323</v>
      </c>
      <c r="D7027" t="s">
        <v>16215</v>
      </c>
      <c r="E7027" t="s">
        <v>16218</v>
      </c>
      <c r="F7027" t="s">
        <v>16220</v>
      </c>
      <c r="G7027" t="s">
        <v>16299</v>
      </c>
      <c r="H7027" t="s">
        <v>16299</v>
      </c>
      <c r="I7027" t="s">
        <v>16382</v>
      </c>
      <c r="J7027" t="s">
        <v>16385</v>
      </c>
      <c r="K7027">
        <v>0.184</v>
      </c>
      <c r="L7027">
        <v>8014</v>
      </c>
      <c r="M7027">
        <v>1438</v>
      </c>
      <c r="N7027" t="s">
        <v>16393</v>
      </c>
      <c r="O7027" s="4">
        <v>54797</v>
      </c>
      <c r="P7027" s="4">
        <v>76796</v>
      </c>
      <c r="Q7027" s="4">
        <v>131593</v>
      </c>
      <c r="R7027" s="4">
        <v>394779</v>
      </c>
      <c r="S7027" t="s">
        <v>23178</v>
      </c>
      <c r="T7027" s="6">
        <v>35217</v>
      </c>
      <c r="U7027" s="4">
        <v>151000</v>
      </c>
      <c r="X7027" t="s">
        <v>3</v>
      </c>
      <c r="AA7027" s="5" t="str">
        <f>HYPERLINK("https://www.zillow.com/homes/6919-PRAIRIEVIEW-AVE-WOODRIDGE-IL-60517_rb/","check listing")</f>
        <v>check listing</v>
      </c>
      <c r="AB7027" s="5" t="str">
        <f>HYPERLINK("https://propertylookup.dupagecounty.gov/Datalets/Datalet.aspx?UseSearch=no&amp;mode=sales&amp;pin=0824414024","sales record")</f>
        <v>sales record</v>
      </c>
      <c r="AC7027" t="s">
        <v>3</v>
      </c>
      <c r="AD7027">
        <v>41.760919</v>
      </c>
      <c r="AE7027">
        <v>-88.034482</v>
      </c>
      <c r="AF7027" s="5" t="str">
        <f>HYPERLINK("https://www.google.com/maps/search/?api=1&amp;query=41.760919,-88.034482","map")</f>
        <v>map</v>
      </c>
    </row>
    <row r="7028" spans="1:32">
      <c r="A7028" t="s">
        <v>7078</v>
      </c>
      <c r="B7028" t="s">
        <v>14530</v>
      </c>
      <c r="C7028" t="s">
        <v>16141</v>
      </c>
      <c r="D7028" t="s">
        <v>16215</v>
      </c>
      <c r="E7028" t="s">
        <v>16218</v>
      </c>
      <c r="F7028" t="s">
        <v>16220</v>
      </c>
      <c r="G7028" t="s">
        <v>16299</v>
      </c>
      <c r="H7028" t="s">
        <v>16299</v>
      </c>
      <c r="I7028" t="s">
        <v>16382</v>
      </c>
      <c r="J7028" t="s">
        <v>16385</v>
      </c>
      <c r="K7028">
        <v>0.184</v>
      </c>
      <c r="L7028">
        <v>8008</v>
      </c>
      <c r="M7028">
        <v>1599</v>
      </c>
      <c r="N7028" t="s">
        <v>16393</v>
      </c>
      <c r="O7028" s="4">
        <v>54797</v>
      </c>
      <c r="P7028" s="4">
        <v>67485</v>
      </c>
      <c r="Q7028" s="4">
        <v>122282</v>
      </c>
      <c r="R7028" s="4">
        <v>366846</v>
      </c>
      <c r="S7028" t="s">
        <v>23179</v>
      </c>
      <c r="T7028" s="6">
        <v>43556</v>
      </c>
      <c r="U7028" s="4">
        <v>268000</v>
      </c>
      <c r="V7028" t="s">
        <v>23739</v>
      </c>
      <c r="W7028" t="s">
        <v>27578</v>
      </c>
      <c r="X7028" t="s">
        <v>3</v>
      </c>
      <c r="AA7028" s="5" t="str">
        <f>HYPERLINK("https://www.zillow.com/homes/6860-HARVEST-AVE-WOODRIDGE-IL-605171828_rb/","check listing")</f>
        <v>check listing</v>
      </c>
      <c r="AB7028" s="5" t="str">
        <f>HYPERLINK("https://propertylookup.dupagecounty.gov/Datalets/Datalet.aspx?UseSearch=no&amp;mode=sales&amp;pin=0824414039","sales record")</f>
        <v>sales record</v>
      </c>
      <c r="AC7028" t="s">
        <v>3</v>
      </c>
      <c r="AD7028">
        <v>41.761324</v>
      </c>
      <c r="AE7028">
        <v>-88.033435</v>
      </c>
      <c r="AF7028" s="5" t="str">
        <f>HYPERLINK("https://www.google.com/maps/search/?api=1&amp;query=41.761324,-88.033435","map")</f>
        <v>map</v>
      </c>
    </row>
    <row r="7029" spans="1:32">
      <c r="A7029" t="s">
        <v>7079</v>
      </c>
      <c r="B7029" t="s">
        <v>14531</v>
      </c>
      <c r="C7029" t="s">
        <v>15323</v>
      </c>
      <c r="D7029" t="s">
        <v>16215</v>
      </c>
      <c r="E7029" t="s">
        <v>16218</v>
      </c>
      <c r="F7029" t="s">
        <v>16220</v>
      </c>
      <c r="G7029" t="s">
        <v>16299</v>
      </c>
      <c r="H7029" t="s">
        <v>16299</v>
      </c>
      <c r="I7029" t="s">
        <v>16382</v>
      </c>
      <c r="J7029" t="s">
        <v>16385</v>
      </c>
      <c r="K7029">
        <v>0.184</v>
      </c>
      <c r="L7029">
        <v>8007</v>
      </c>
      <c r="M7029">
        <v>2031</v>
      </c>
      <c r="N7029" t="s">
        <v>16393</v>
      </c>
      <c r="O7029" s="4">
        <v>54797</v>
      </c>
      <c r="P7029" s="4">
        <v>76987</v>
      </c>
      <c r="Q7029" s="4">
        <v>131784</v>
      </c>
      <c r="R7029" s="4">
        <v>395352</v>
      </c>
      <c r="S7029" t="s">
        <v>23180</v>
      </c>
      <c r="T7029" s="6">
        <v>42217</v>
      </c>
      <c r="U7029" s="4">
        <v>320000</v>
      </c>
      <c r="V7029" t="s">
        <v>23739</v>
      </c>
      <c r="W7029" t="s">
        <v>27579</v>
      </c>
      <c r="X7029" t="s">
        <v>3</v>
      </c>
      <c r="AA7029" s="5" t="str">
        <f>HYPERLINK("https://www.zillow.com/homes/6670-WHEATFIELD-ST-WOODRIDGE-IL-60517_rb/","check listing")</f>
        <v>check listing</v>
      </c>
      <c r="AB7029" s="5" t="str">
        <f>HYPERLINK("https://propertylookup.dupagecounty.gov/Datalets/Datalet.aspx?UseSearch=no&amp;mode=sales&amp;pin=0824110013","sales record")</f>
        <v>sales record</v>
      </c>
      <c r="AC7029" t="s">
        <v>3</v>
      </c>
      <c r="AD7029">
        <v>41.7657</v>
      </c>
      <c r="AE7029">
        <v>-88.043678</v>
      </c>
      <c r="AF7029" s="5" t="str">
        <f>HYPERLINK("https://www.google.com/maps/search/?api=1&amp;query=41.7657,-88.043678","map")</f>
        <v>map</v>
      </c>
    </row>
    <row r="7030" spans="1:32">
      <c r="A7030" t="s">
        <v>7080</v>
      </c>
      <c r="B7030" t="s">
        <v>14532</v>
      </c>
      <c r="C7030" t="s">
        <v>15323</v>
      </c>
      <c r="D7030" t="s">
        <v>16215</v>
      </c>
      <c r="E7030" t="s">
        <v>16218</v>
      </c>
      <c r="F7030" t="s">
        <v>16220</v>
      </c>
      <c r="G7030" t="s">
        <v>16299</v>
      </c>
      <c r="H7030" t="s">
        <v>16299</v>
      </c>
      <c r="I7030" t="s">
        <v>16382</v>
      </c>
      <c r="J7030" t="s">
        <v>16385</v>
      </c>
      <c r="K7030">
        <v>0.183</v>
      </c>
      <c r="L7030">
        <v>7993</v>
      </c>
      <c r="M7030">
        <v>1782</v>
      </c>
      <c r="N7030" t="s">
        <v>16393</v>
      </c>
      <c r="O7030" s="4">
        <v>57651</v>
      </c>
      <c r="P7030" s="4">
        <v>75274</v>
      </c>
      <c r="Q7030" s="4">
        <v>132925</v>
      </c>
      <c r="R7030" s="4">
        <v>398775</v>
      </c>
      <c r="S7030" t="s">
        <v>23181</v>
      </c>
      <c r="T7030" s="6">
        <v>34486</v>
      </c>
      <c r="U7030" s="4">
        <v>141000</v>
      </c>
      <c r="X7030" t="s">
        <v>3</v>
      </c>
      <c r="AA7030" s="5" t="str">
        <f>HYPERLINK("https://www.zillow.com/homes/1-BLUE-FLAG-CT-WOODRIDGE-IL-60517_rb/","check listing")</f>
        <v>check listing</v>
      </c>
      <c r="AB7030" s="5" t="str">
        <f>HYPERLINK("https://propertylookup.dupagecounty.gov/Datalets/Datalet.aspx?UseSearch=no&amp;mode=sales&amp;pin=0824310008","sales record")</f>
        <v>sales record</v>
      </c>
      <c r="AC7030" t="s">
        <v>3</v>
      </c>
      <c r="AD7030">
        <v>41.759335</v>
      </c>
      <c r="AE7030">
        <v>-88.050561</v>
      </c>
      <c r="AF7030" s="5" t="str">
        <f>HYPERLINK("https://www.google.com/maps/search/?api=1&amp;query=41.759335,-88.050561","map")</f>
        <v>map</v>
      </c>
    </row>
    <row r="7031" spans="1:32">
      <c r="A7031" t="s">
        <v>7081</v>
      </c>
      <c r="B7031" t="s">
        <v>14533</v>
      </c>
      <c r="C7031" t="s">
        <v>15323</v>
      </c>
      <c r="D7031" t="s">
        <v>16215</v>
      </c>
      <c r="E7031" t="s">
        <v>16218</v>
      </c>
      <c r="F7031" t="s">
        <v>16220</v>
      </c>
      <c r="G7031" t="s">
        <v>16299</v>
      </c>
      <c r="H7031" t="s">
        <v>16299</v>
      </c>
      <c r="I7031" t="s">
        <v>16382</v>
      </c>
      <c r="J7031" t="s">
        <v>16385</v>
      </c>
      <c r="K7031">
        <v>0.183</v>
      </c>
      <c r="L7031">
        <v>7991</v>
      </c>
      <c r="M7031">
        <v>2561</v>
      </c>
      <c r="N7031" t="s">
        <v>16393</v>
      </c>
      <c r="O7031" s="4">
        <v>51265</v>
      </c>
      <c r="P7031" s="4">
        <v>110462</v>
      </c>
      <c r="Q7031" s="4">
        <v>161727</v>
      </c>
      <c r="R7031" s="4">
        <v>485181</v>
      </c>
      <c r="S7031" t="s">
        <v>23182</v>
      </c>
      <c r="T7031" s="6">
        <v>44901</v>
      </c>
      <c r="U7031" s="4">
        <v>357000</v>
      </c>
      <c r="V7031" t="s">
        <v>23739</v>
      </c>
      <c r="W7031" t="s">
        <v>27580</v>
      </c>
      <c r="X7031" t="s">
        <v>3</v>
      </c>
      <c r="AA7031" s="5" t="str">
        <f>HYPERLINK("https://www.zillow.com/homes/2050-WHEELER-ST-WOODRIDGE-IL-60517_rb/","check listing")</f>
        <v>check listing</v>
      </c>
      <c r="AB7031" s="5" t="str">
        <f>HYPERLINK("https://propertylookup.dupagecounty.gov/Datalets/Datalet.aspx?UseSearch=no&amp;mode=sales&amp;pin=0824410016","sales record")</f>
        <v>sales record</v>
      </c>
      <c r="AC7031" t="s">
        <v>3</v>
      </c>
      <c r="AD7031">
        <v>41.765123</v>
      </c>
      <c r="AE7031">
        <v>-88.03397699999999</v>
      </c>
      <c r="AF7031" s="5" t="str">
        <f>HYPERLINK("https://www.google.com/maps/search/?api=1&amp;query=41.765123,-88.033977","map")</f>
        <v>map</v>
      </c>
    </row>
    <row r="7032" spans="1:32">
      <c r="A7032" t="s">
        <v>7082</v>
      </c>
      <c r="B7032" t="s">
        <v>14534</v>
      </c>
      <c r="C7032" t="s">
        <v>15323</v>
      </c>
      <c r="D7032" t="s">
        <v>16215</v>
      </c>
      <c r="E7032" t="s">
        <v>16218</v>
      </c>
      <c r="F7032" t="s">
        <v>16220</v>
      </c>
      <c r="G7032" t="s">
        <v>16299</v>
      </c>
      <c r="H7032" t="s">
        <v>16299</v>
      </c>
      <c r="I7032" t="s">
        <v>16382</v>
      </c>
      <c r="J7032" t="s">
        <v>16385</v>
      </c>
      <c r="K7032">
        <v>0.183</v>
      </c>
      <c r="L7032">
        <v>7968</v>
      </c>
      <c r="M7032">
        <v>1850</v>
      </c>
      <c r="N7032" t="s">
        <v>16393</v>
      </c>
      <c r="O7032" s="4">
        <v>49243</v>
      </c>
      <c r="P7032" s="4">
        <v>104112</v>
      </c>
      <c r="Q7032" s="4">
        <v>153355</v>
      </c>
      <c r="R7032" s="4">
        <v>460065</v>
      </c>
      <c r="S7032" t="s">
        <v>23183</v>
      </c>
      <c r="T7032" s="6">
        <v>34090</v>
      </c>
      <c r="U7032" s="4">
        <v>156500</v>
      </c>
      <c r="X7032" t="s">
        <v>3</v>
      </c>
      <c r="AA7032" s="5" t="str">
        <f>HYPERLINK("https://www.zillow.com/homes/4-YELLOW-STAR-CT-WOODRIDGE-IL-60517_rb/","check listing")</f>
        <v>check listing</v>
      </c>
      <c r="AB7032" s="5" t="str">
        <f>HYPERLINK("https://propertylookup.dupagecounty.gov/Datalets/Datalet.aspx?UseSearch=no&amp;mode=sales&amp;pin=0824307090","sales record")</f>
        <v>sales record</v>
      </c>
      <c r="AC7032" t="s">
        <v>3</v>
      </c>
      <c r="AD7032">
        <v>41.761964</v>
      </c>
      <c r="AE7032">
        <v>-88.04644500000001</v>
      </c>
      <c r="AF7032" s="5" t="str">
        <f>HYPERLINK("https://www.google.com/maps/search/?api=1&amp;query=41.761964,-88.046445","map")</f>
        <v>map</v>
      </c>
    </row>
    <row r="7033" spans="1:32">
      <c r="A7033" t="s">
        <v>7083</v>
      </c>
      <c r="B7033" t="s">
        <v>14535</v>
      </c>
      <c r="C7033" t="s">
        <v>15323</v>
      </c>
      <c r="D7033" t="s">
        <v>16215</v>
      </c>
      <c r="E7033" t="s">
        <v>16218</v>
      </c>
      <c r="F7033" t="s">
        <v>16220</v>
      </c>
      <c r="G7033" t="s">
        <v>16299</v>
      </c>
      <c r="H7033" t="s">
        <v>16299</v>
      </c>
      <c r="I7033" t="s">
        <v>16382</v>
      </c>
      <c r="J7033" t="s">
        <v>16385</v>
      </c>
      <c r="K7033">
        <v>0.183</v>
      </c>
      <c r="L7033">
        <v>7964</v>
      </c>
      <c r="M7033">
        <v>2175</v>
      </c>
      <c r="N7033" t="s">
        <v>16393</v>
      </c>
      <c r="O7033" s="4">
        <v>54797</v>
      </c>
      <c r="P7033" s="4">
        <v>66629</v>
      </c>
      <c r="Q7033" s="4">
        <v>121426</v>
      </c>
      <c r="R7033" s="4">
        <v>364278</v>
      </c>
      <c r="S7033" t="s">
        <v>23184</v>
      </c>
      <c r="T7033" s="6">
        <v>35217</v>
      </c>
      <c r="U7033" s="4">
        <v>134600</v>
      </c>
      <c r="X7033" t="s">
        <v>3</v>
      </c>
      <c r="AA7033" s="5" t="str">
        <f>HYPERLINK("https://www.zillow.com/homes/2-BRAMBLE-BUSH-CT-WOODRIDGE-IL-60517_rb/","check listing")</f>
        <v>check listing</v>
      </c>
      <c r="AB7033" s="5" t="str">
        <f>HYPERLINK("https://propertylookup.dupagecounty.gov/Datalets/Datalet.aspx?UseSearch=no&amp;mode=sales&amp;pin=0824414020","sales record")</f>
        <v>sales record</v>
      </c>
      <c r="AC7033" t="s">
        <v>3</v>
      </c>
      <c r="AD7033">
        <v>41.76139</v>
      </c>
      <c r="AE7033">
        <v>-88.034283</v>
      </c>
      <c r="AF7033" s="5" t="str">
        <f>HYPERLINK("https://www.google.com/maps/search/?api=1&amp;query=41.76139,-88.034283","map")</f>
        <v>map</v>
      </c>
    </row>
    <row r="7034" spans="1:32">
      <c r="A7034" t="s">
        <v>7084</v>
      </c>
      <c r="B7034" t="s">
        <v>14536</v>
      </c>
      <c r="C7034" t="s">
        <v>16142</v>
      </c>
      <c r="D7034" t="s">
        <v>16215</v>
      </c>
      <c r="E7034" t="s">
        <v>16218</v>
      </c>
      <c r="F7034" t="s">
        <v>16220</v>
      </c>
      <c r="G7034" t="s">
        <v>16299</v>
      </c>
      <c r="H7034" t="s">
        <v>16299</v>
      </c>
      <c r="I7034" t="s">
        <v>16382</v>
      </c>
      <c r="J7034" t="s">
        <v>16385</v>
      </c>
      <c r="K7034">
        <v>0.183</v>
      </c>
      <c r="L7034">
        <v>7956</v>
      </c>
      <c r="M7034">
        <v>1820</v>
      </c>
      <c r="N7034" t="s">
        <v>16393</v>
      </c>
      <c r="O7034" s="4">
        <v>54797</v>
      </c>
      <c r="P7034" s="4">
        <v>73883</v>
      </c>
      <c r="Q7034" s="4">
        <v>128680</v>
      </c>
      <c r="R7034" s="4">
        <v>386040</v>
      </c>
      <c r="S7034" t="s">
        <v>23185</v>
      </c>
      <c r="T7034" s="6">
        <v>45051</v>
      </c>
      <c r="U7034" s="4">
        <v>442000</v>
      </c>
      <c r="V7034" t="s">
        <v>23739</v>
      </c>
      <c r="W7034" t="s">
        <v>27581</v>
      </c>
      <c r="X7034" t="s">
        <v>3</v>
      </c>
      <c r="AA7034" s="5" t="str">
        <f>HYPERLINK("https://www.zillow.com/homes/6679-FOXTREE-AVE-WOODRIDGE-IL-605171706_rb/","check listing")</f>
        <v>check listing</v>
      </c>
      <c r="AB7034" s="5" t="str">
        <f>HYPERLINK("https://propertylookup.dupagecounty.gov/Datalets/Datalet.aspx?UseSearch=no&amp;mode=sales&amp;pin=0824110003","sales record")</f>
        <v>sales record</v>
      </c>
      <c r="AC7034" t="s">
        <v>3</v>
      </c>
      <c r="AD7034">
        <v>41.766018</v>
      </c>
      <c r="AE7034">
        <v>-88.044679</v>
      </c>
      <c r="AF7034" s="5" t="str">
        <f>HYPERLINK("https://www.google.com/maps/search/?api=1&amp;query=41.766018,-88.044679","map")</f>
        <v>map</v>
      </c>
    </row>
    <row r="7035" spans="1:32">
      <c r="A7035" t="s">
        <v>7085</v>
      </c>
      <c r="B7035" t="s">
        <v>14537</v>
      </c>
      <c r="C7035" t="s">
        <v>16143</v>
      </c>
      <c r="D7035" t="s">
        <v>16215</v>
      </c>
      <c r="E7035" t="s">
        <v>16218</v>
      </c>
      <c r="F7035" t="s">
        <v>16220</v>
      </c>
      <c r="G7035" t="s">
        <v>16299</v>
      </c>
      <c r="H7035" t="s">
        <v>16299</v>
      </c>
      <c r="I7035" t="s">
        <v>16382</v>
      </c>
      <c r="J7035" t="s">
        <v>16385</v>
      </c>
      <c r="K7035">
        <v>0.183</v>
      </c>
      <c r="L7035">
        <v>7954</v>
      </c>
      <c r="M7035">
        <v>1480</v>
      </c>
      <c r="N7035" t="s">
        <v>16393</v>
      </c>
      <c r="O7035" s="4">
        <v>54797</v>
      </c>
      <c r="P7035" s="4">
        <v>67485</v>
      </c>
      <c r="Q7035" s="4">
        <v>122282</v>
      </c>
      <c r="R7035" s="4">
        <v>366846</v>
      </c>
      <c r="S7035" t="s">
        <v>23186</v>
      </c>
      <c r="T7035" s="6">
        <v>42248</v>
      </c>
      <c r="U7035" s="4">
        <v>225000</v>
      </c>
      <c r="V7035" t="s">
        <v>23739</v>
      </c>
      <c r="W7035" t="s">
        <v>27582</v>
      </c>
      <c r="X7035" t="s">
        <v>3</v>
      </c>
      <c r="AA7035" s="5" t="str">
        <f>HYPERLINK("https://www.zillow.com/homes/6709-CHERRYTREE-AVE-WOODRIDGE-IL-605171733_rb/","check listing")</f>
        <v>check listing</v>
      </c>
      <c r="AB7035" s="5" t="str">
        <f>HYPERLINK("https://propertylookup.dupagecounty.gov/Datalets/Datalet.aspx?UseSearch=no&amp;mode=sales&amp;pin=0824316002","sales record")</f>
        <v>sales record</v>
      </c>
      <c r="AC7035" t="s">
        <v>3</v>
      </c>
      <c r="AD7035">
        <v>41.764077</v>
      </c>
      <c r="AE7035">
        <v>-88.046913</v>
      </c>
      <c r="AF7035" s="5" t="str">
        <f>HYPERLINK("https://www.google.com/maps/search/?api=1&amp;query=41.764077,-88.046913","map")</f>
        <v>map</v>
      </c>
    </row>
    <row r="7036" spans="1:32">
      <c r="A7036" t="s">
        <v>7086</v>
      </c>
      <c r="B7036" t="s">
        <v>14538</v>
      </c>
      <c r="C7036" t="s">
        <v>15323</v>
      </c>
      <c r="D7036" t="s">
        <v>16215</v>
      </c>
      <c r="E7036" t="s">
        <v>16218</v>
      </c>
      <c r="F7036" t="s">
        <v>16220</v>
      </c>
      <c r="G7036" t="s">
        <v>16299</v>
      </c>
      <c r="H7036" t="s">
        <v>16299</v>
      </c>
      <c r="I7036" t="s">
        <v>16382</v>
      </c>
      <c r="J7036" t="s">
        <v>16385</v>
      </c>
      <c r="K7036">
        <v>0.182</v>
      </c>
      <c r="L7036">
        <v>7945</v>
      </c>
      <c r="M7036">
        <v>2253</v>
      </c>
      <c r="N7036" t="s">
        <v>16393</v>
      </c>
      <c r="O7036" s="4">
        <v>54713</v>
      </c>
      <c r="P7036" s="4">
        <v>63049</v>
      </c>
      <c r="Q7036" s="4">
        <v>117762</v>
      </c>
      <c r="R7036" s="4">
        <v>353286</v>
      </c>
      <c r="S7036" t="s">
        <v>23187</v>
      </c>
      <c r="T7036" s="6">
        <v>32387</v>
      </c>
      <c r="U7036" s="4">
        <v>107500</v>
      </c>
      <c r="X7036" t="s">
        <v>3</v>
      </c>
      <c r="AA7036" s="5" t="str">
        <f>HYPERLINK("https://www.zillow.com/homes/6813-EASTSIDE-AVE-WOODRIDGE-IL-60517_rb/","check listing")</f>
        <v>check listing</v>
      </c>
      <c r="AB7036" s="5" t="str">
        <f>HYPERLINK("https://propertylookup.dupagecounty.gov/Datalets/Datalet.aspx?UseSearch=no&amp;mode=sales&amp;pin=0824415021","sales record")</f>
        <v>sales record</v>
      </c>
      <c r="AC7036" t="s">
        <v>3</v>
      </c>
      <c r="AD7036">
        <v>41.762556</v>
      </c>
      <c r="AE7036">
        <v>-88.03184</v>
      </c>
      <c r="AF7036" s="5" t="str">
        <f>HYPERLINK("https://www.google.com/maps/search/?api=1&amp;query=41.762556,-88.03184","map")</f>
        <v>map</v>
      </c>
    </row>
    <row r="7037" spans="1:32">
      <c r="A7037" t="s">
        <v>7087</v>
      </c>
      <c r="B7037" t="s">
        <v>14539</v>
      </c>
      <c r="C7037" t="s">
        <v>15323</v>
      </c>
      <c r="D7037" t="s">
        <v>16215</v>
      </c>
      <c r="E7037" t="s">
        <v>16218</v>
      </c>
      <c r="F7037" t="s">
        <v>16220</v>
      </c>
      <c r="G7037" t="s">
        <v>16299</v>
      </c>
      <c r="H7037" t="s">
        <v>16299</v>
      </c>
      <c r="I7037" t="s">
        <v>16382</v>
      </c>
      <c r="J7037" t="s">
        <v>16385</v>
      </c>
      <c r="K7037">
        <v>0.182</v>
      </c>
      <c r="L7037">
        <v>7942</v>
      </c>
      <c r="M7037">
        <v>2099</v>
      </c>
      <c r="N7037" t="s">
        <v>16393</v>
      </c>
      <c r="O7037" s="4">
        <v>54797</v>
      </c>
      <c r="P7037" s="4">
        <v>63097</v>
      </c>
      <c r="Q7037" s="4">
        <v>117894</v>
      </c>
      <c r="R7037" s="4">
        <v>353682</v>
      </c>
      <c r="S7037" t="s">
        <v>23188</v>
      </c>
      <c r="T7037" s="6">
        <v>36039</v>
      </c>
      <c r="U7037" s="4">
        <v>137750</v>
      </c>
      <c r="X7037" t="s">
        <v>3</v>
      </c>
      <c r="AA7037" s="5" t="str">
        <f>HYPERLINK("https://www.zillow.com/homes/6837-HARVEST-AVE-WOODRIDGE-IL-60517_rb/","check listing")</f>
        <v>check listing</v>
      </c>
      <c r="AB7037" s="5" t="str">
        <f>HYPERLINK("https://propertylookup.dupagecounty.gov/Datalets/Datalet.aspx?UseSearch=no&amp;mode=sales&amp;pin=0824416005","sales record")</f>
        <v>sales record</v>
      </c>
      <c r="AC7037" t="s">
        <v>3</v>
      </c>
      <c r="AD7037">
        <v>41.761798</v>
      </c>
      <c r="AE7037">
        <v>-88.032905</v>
      </c>
      <c r="AF7037" s="5" t="str">
        <f>HYPERLINK("https://www.google.com/maps/search/?api=1&amp;query=41.761798,-88.032905","map")</f>
        <v>map</v>
      </c>
    </row>
    <row r="7038" spans="1:32">
      <c r="A7038" t="s">
        <v>7088</v>
      </c>
      <c r="B7038" t="s">
        <v>14540</v>
      </c>
      <c r="C7038" t="s">
        <v>15323</v>
      </c>
      <c r="D7038" t="s">
        <v>16215</v>
      </c>
      <c r="E7038" t="s">
        <v>16218</v>
      </c>
      <c r="F7038" t="s">
        <v>16220</v>
      </c>
      <c r="G7038" t="s">
        <v>16299</v>
      </c>
      <c r="H7038" t="s">
        <v>16299</v>
      </c>
      <c r="I7038" t="s">
        <v>16382</v>
      </c>
      <c r="J7038" t="s">
        <v>16385</v>
      </c>
      <c r="K7038">
        <v>0.182</v>
      </c>
      <c r="L7038">
        <v>7937</v>
      </c>
      <c r="M7038">
        <v>2061</v>
      </c>
      <c r="N7038" t="s">
        <v>16393</v>
      </c>
      <c r="O7038" s="4">
        <v>51265</v>
      </c>
      <c r="P7038" s="4">
        <v>112007</v>
      </c>
      <c r="Q7038" s="4">
        <v>163272</v>
      </c>
      <c r="R7038" s="4">
        <v>489816</v>
      </c>
      <c r="S7038" t="s">
        <v>23189</v>
      </c>
      <c r="T7038" s="6">
        <v>30742</v>
      </c>
      <c r="U7038" s="4">
        <v>114000</v>
      </c>
      <c r="X7038" t="s">
        <v>3</v>
      </c>
      <c r="AA7038" s="5" t="str">
        <f>HYPERLINK("https://www.zillow.com/homes/2206-WHEELER-ST-WOODRIDGE-IL-60517_rb/","check listing")</f>
        <v>check listing</v>
      </c>
      <c r="AB7038" s="5" t="str">
        <f>HYPERLINK("https://propertylookup.dupagecounty.gov/Datalets/Datalet.aspx?UseSearch=no&amp;mode=sales&amp;pin=0824410004","sales record")</f>
        <v>sales record</v>
      </c>
      <c r="AC7038" t="s">
        <v>3</v>
      </c>
      <c r="AD7038">
        <v>41.765034</v>
      </c>
      <c r="AE7038">
        <v>-88.037216</v>
      </c>
      <c r="AF7038" s="5" t="str">
        <f>HYPERLINK("https://www.google.com/maps/search/?api=1&amp;query=41.765034,-88.037216","map")</f>
        <v>map</v>
      </c>
    </row>
    <row r="7039" spans="1:32">
      <c r="A7039" t="s">
        <v>7089</v>
      </c>
      <c r="B7039" t="s">
        <v>14541</v>
      </c>
      <c r="C7039" t="s">
        <v>15323</v>
      </c>
      <c r="D7039" t="s">
        <v>16215</v>
      </c>
      <c r="E7039" t="s">
        <v>16218</v>
      </c>
      <c r="F7039" t="s">
        <v>16220</v>
      </c>
      <c r="G7039" t="s">
        <v>16299</v>
      </c>
      <c r="H7039" t="s">
        <v>16299</v>
      </c>
      <c r="I7039" t="s">
        <v>16382</v>
      </c>
      <c r="J7039" t="s">
        <v>16385</v>
      </c>
      <c r="K7039">
        <v>0.182</v>
      </c>
      <c r="L7039">
        <v>7935</v>
      </c>
      <c r="M7039">
        <v>1570</v>
      </c>
      <c r="N7039" t="s">
        <v>16393</v>
      </c>
      <c r="O7039" s="4">
        <v>51265</v>
      </c>
      <c r="P7039" s="4">
        <v>112423</v>
      </c>
      <c r="Q7039" s="4">
        <v>163688</v>
      </c>
      <c r="R7039" s="4">
        <v>491064</v>
      </c>
      <c r="S7039" t="s">
        <v>23190</v>
      </c>
      <c r="T7039" s="6">
        <v>34090</v>
      </c>
      <c r="U7039" s="4">
        <v>181750</v>
      </c>
      <c r="X7039" t="s">
        <v>3</v>
      </c>
      <c r="AA7039" s="5" t="str">
        <f>HYPERLINK("https://www.zillow.com/homes/2200-WHEELER-ST-WOODRIDGE-IL-60517_rb/","check listing")</f>
        <v>check listing</v>
      </c>
      <c r="AB7039" s="5" t="str">
        <f>HYPERLINK("https://propertylookup.dupagecounty.gov/Datalets/Datalet.aspx?UseSearch=no&amp;mode=sales&amp;pin=0824410005","sales record")</f>
        <v>sales record</v>
      </c>
      <c r="AC7039" t="s">
        <v>3</v>
      </c>
      <c r="AD7039">
        <v>41.765041</v>
      </c>
      <c r="AE7039">
        <v>-88.036952</v>
      </c>
      <c r="AF7039" s="5" t="str">
        <f>HYPERLINK("https://www.google.com/maps/search/?api=1&amp;query=41.765041,-88.036952","map")</f>
        <v>map</v>
      </c>
    </row>
    <row r="7040" spans="1:32">
      <c r="A7040" t="s">
        <v>7090</v>
      </c>
      <c r="B7040" t="s">
        <v>14542</v>
      </c>
      <c r="C7040" t="s">
        <v>15323</v>
      </c>
      <c r="D7040" t="s">
        <v>16215</v>
      </c>
      <c r="E7040" t="s">
        <v>16218</v>
      </c>
      <c r="F7040" t="s">
        <v>16220</v>
      </c>
      <c r="G7040" t="s">
        <v>16299</v>
      </c>
      <c r="H7040" t="s">
        <v>16299</v>
      </c>
      <c r="I7040" t="s">
        <v>16382</v>
      </c>
      <c r="J7040" t="s">
        <v>16385</v>
      </c>
      <c r="K7040">
        <v>0.182</v>
      </c>
      <c r="L7040">
        <v>7934</v>
      </c>
      <c r="M7040">
        <v>2758</v>
      </c>
      <c r="N7040" t="s">
        <v>16393</v>
      </c>
      <c r="O7040" s="4">
        <v>51265</v>
      </c>
      <c r="P7040" s="4">
        <v>116942</v>
      </c>
      <c r="Q7040" s="4">
        <v>168207</v>
      </c>
      <c r="R7040" s="4">
        <v>504621</v>
      </c>
      <c r="S7040" t="s">
        <v>23191</v>
      </c>
      <c r="T7040" s="6">
        <v>36800</v>
      </c>
      <c r="U7040" s="4">
        <v>243500</v>
      </c>
      <c r="V7040" t="s">
        <v>23739</v>
      </c>
      <c r="W7040" t="s">
        <v>27583</v>
      </c>
      <c r="X7040" t="s">
        <v>3</v>
      </c>
      <c r="AA7040" s="5" t="str">
        <f>HYPERLINK("https://www.zillow.com/homes/2144-WHEELER-ST-WOODRIDGE-IL-60517_rb/","check listing")</f>
        <v>check listing</v>
      </c>
      <c r="AB7040" s="5" t="str">
        <f>HYPERLINK("https://propertylookup.dupagecounty.gov/Datalets/Datalet.aspx?UseSearch=no&amp;mode=sales&amp;pin=0824410006","sales record")</f>
        <v>sales record</v>
      </c>
      <c r="AC7040" t="s">
        <v>3</v>
      </c>
      <c r="AD7040">
        <v>41.765049</v>
      </c>
      <c r="AE7040">
        <v>-88.036688</v>
      </c>
      <c r="AF7040" s="5" t="str">
        <f>HYPERLINK("https://www.google.com/maps/search/?api=1&amp;query=41.765049,-88.036688","map")</f>
        <v>map</v>
      </c>
    </row>
    <row r="7041" spans="1:32">
      <c r="A7041" t="s">
        <v>7091</v>
      </c>
      <c r="B7041" t="s">
        <v>14543</v>
      </c>
      <c r="C7041" t="s">
        <v>15323</v>
      </c>
      <c r="D7041" t="s">
        <v>16215</v>
      </c>
      <c r="E7041" t="s">
        <v>16218</v>
      </c>
      <c r="F7041" t="s">
        <v>16220</v>
      </c>
      <c r="G7041" t="s">
        <v>16299</v>
      </c>
      <c r="H7041" t="s">
        <v>16299</v>
      </c>
      <c r="I7041" t="s">
        <v>16382</v>
      </c>
      <c r="J7041" t="s">
        <v>16385</v>
      </c>
      <c r="K7041">
        <v>0.182</v>
      </c>
      <c r="L7041">
        <v>7933</v>
      </c>
      <c r="M7041">
        <v>2847</v>
      </c>
      <c r="N7041" t="s">
        <v>16393</v>
      </c>
      <c r="O7041" s="4">
        <v>51265</v>
      </c>
      <c r="P7041" s="4">
        <v>104088</v>
      </c>
      <c r="Q7041" s="4">
        <v>155353</v>
      </c>
      <c r="R7041" s="4">
        <v>466059</v>
      </c>
      <c r="S7041" t="s">
        <v>23192</v>
      </c>
      <c r="T7041" s="6">
        <v>33239</v>
      </c>
      <c r="U7041" s="4">
        <v>152000</v>
      </c>
      <c r="X7041" t="s">
        <v>3</v>
      </c>
      <c r="AA7041" s="5" t="str">
        <f>HYPERLINK("https://www.zillow.com/homes/2132-WHEELER-ST-WOODRIDGE-IL-60517_rb/","check listing")</f>
        <v>check listing</v>
      </c>
      <c r="AB7041" s="5" t="str">
        <f>HYPERLINK("https://propertylookup.dupagecounty.gov/Datalets/Datalet.aspx?UseSearch=no&amp;mode=sales&amp;pin=0824410008","sales record")</f>
        <v>sales record</v>
      </c>
      <c r="AC7041" t="s">
        <v>3</v>
      </c>
      <c r="AD7041">
        <v>41.765064</v>
      </c>
      <c r="AE7041">
        <v>-88.03616</v>
      </c>
      <c r="AF7041" s="5" t="str">
        <f>HYPERLINK("https://www.google.com/maps/search/?api=1&amp;query=41.765064,-88.03616","map")</f>
        <v>map</v>
      </c>
    </row>
    <row r="7042" spans="1:32">
      <c r="A7042" t="s">
        <v>7092</v>
      </c>
      <c r="B7042" t="s">
        <v>14544</v>
      </c>
      <c r="C7042" t="s">
        <v>15323</v>
      </c>
      <c r="D7042" t="s">
        <v>16215</v>
      </c>
      <c r="E7042" t="s">
        <v>16218</v>
      </c>
      <c r="F7042" t="s">
        <v>16220</v>
      </c>
      <c r="G7042" t="s">
        <v>16299</v>
      </c>
      <c r="H7042" t="s">
        <v>16299</v>
      </c>
      <c r="I7042" t="s">
        <v>16382</v>
      </c>
      <c r="J7042" t="s">
        <v>16385</v>
      </c>
      <c r="K7042">
        <v>0.182</v>
      </c>
      <c r="L7042">
        <v>7932</v>
      </c>
      <c r="M7042">
        <v>1875</v>
      </c>
      <c r="N7042" t="s">
        <v>16393</v>
      </c>
      <c r="O7042" s="4">
        <v>51265</v>
      </c>
      <c r="P7042" s="4">
        <v>122388</v>
      </c>
      <c r="Q7042" s="4">
        <v>173653</v>
      </c>
      <c r="R7042" s="4">
        <v>520959</v>
      </c>
      <c r="S7042" t="s">
        <v>23193</v>
      </c>
      <c r="T7042" s="6">
        <v>33817</v>
      </c>
      <c r="U7042" s="4">
        <v>170000</v>
      </c>
      <c r="X7042" t="s">
        <v>3</v>
      </c>
      <c r="AA7042" s="5" t="str">
        <f>HYPERLINK("https://www.zillow.com/homes/2138-WHEELER-ST-WOODRIDGE-IL-60517_rb/","check listing")</f>
        <v>check listing</v>
      </c>
      <c r="AB7042" s="5" t="str">
        <f>HYPERLINK("https://propertylookup.dupagecounty.gov/Datalets/Datalet.aspx?UseSearch=no&amp;mode=sales&amp;pin=0824410007","sales record")</f>
        <v>sales record</v>
      </c>
      <c r="AC7042" t="s">
        <v>3</v>
      </c>
      <c r="AD7042">
        <v>41.765056</v>
      </c>
      <c r="AE7042">
        <v>-88.036424</v>
      </c>
      <c r="AF7042" s="5" t="str">
        <f>HYPERLINK("https://www.google.com/maps/search/?api=1&amp;query=41.765056,-88.036424","map")</f>
        <v>map</v>
      </c>
    </row>
    <row r="7043" spans="1:32">
      <c r="A7043" t="s">
        <v>7093</v>
      </c>
      <c r="B7043" t="s">
        <v>14545</v>
      </c>
      <c r="C7043" t="s">
        <v>15323</v>
      </c>
      <c r="D7043" t="s">
        <v>16215</v>
      </c>
      <c r="E7043" t="s">
        <v>16218</v>
      </c>
      <c r="F7043" t="s">
        <v>16220</v>
      </c>
      <c r="G7043" t="s">
        <v>16299</v>
      </c>
      <c r="H7043" t="s">
        <v>16299</v>
      </c>
      <c r="I7043" t="s">
        <v>16382</v>
      </c>
      <c r="J7043" t="s">
        <v>16385</v>
      </c>
      <c r="K7043">
        <v>0.182</v>
      </c>
      <c r="L7043">
        <v>7931</v>
      </c>
      <c r="M7043">
        <v>2192</v>
      </c>
      <c r="N7043" t="s">
        <v>16393</v>
      </c>
      <c r="O7043" s="4">
        <v>51265</v>
      </c>
      <c r="P7043" s="4">
        <v>124292</v>
      </c>
      <c r="Q7043" s="4">
        <v>175557</v>
      </c>
      <c r="R7043" s="4">
        <v>526671</v>
      </c>
      <c r="S7043" t="s">
        <v>23194</v>
      </c>
      <c r="T7043" s="6">
        <v>34029</v>
      </c>
      <c r="U7043" s="4">
        <v>190000</v>
      </c>
      <c r="X7043" t="s">
        <v>3</v>
      </c>
      <c r="AA7043" s="5" t="str">
        <f>HYPERLINK("https://www.zillow.com/homes/2126-WHEELER-ST-WOODRIDGE-IL-60517_rb/","check listing")</f>
        <v>check listing</v>
      </c>
      <c r="AB7043" s="5" t="str">
        <f>HYPERLINK("https://propertylookup.dupagecounty.gov/Datalets/Datalet.aspx?UseSearch=no&amp;mode=sales&amp;pin=0824410009","sales record")</f>
        <v>sales record</v>
      </c>
      <c r="AC7043" t="s">
        <v>3</v>
      </c>
      <c r="AD7043">
        <v>41.765071</v>
      </c>
      <c r="AE7043">
        <v>-88.03589700000001</v>
      </c>
      <c r="AF7043" s="5" t="str">
        <f>HYPERLINK("https://www.google.com/maps/search/?api=1&amp;query=41.765071,-88.035897","map")</f>
        <v>map</v>
      </c>
    </row>
    <row r="7044" spans="1:32">
      <c r="A7044" t="s">
        <v>7094</v>
      </c>
      <c r="B7044" t="s">
        <v>14546</v>
      </c>
      <c r="C7044" t="s">
        <v>16144</v>
      </c>
      <c r="D7044" t="s">
        <v>16215</v>
      </c>
      <c r="E7044" t="s">
        <v>16218</v>
      </c>
      <c r="F7044" t="s">
        <v>16220</v>
      </c>
      <c r="G7044" t="s">
        <v>16299</v>
      </c>
      <c r="H7044" t="s">
        <v>16299</v>
      </c>
      <c r="I7044" t="s">
        <v>16382</v>
      </c>
      <c r="J7044" t="s">
        <v>16385</v>
      </c>
      <c r="K7044">
        <v>0.182</v>
      </c>
      <c r="L7044">
        <v>7929</v>
      </c>
      <c r="M7044">
        <v>2086</v>
      </c>
      <c r="N7044" t="s">
        <v>16393</v>
      </c>
      <c r="O7044" s="4">
        <v>51241</v>
      </c>
      <c r="P7044" s="4">
        <v>121687</v>
      </c>
      <c r="Q7044" s="4">
        <v>172928</v>
      </c>
      <c r="R7044" s="4">
        <v>518784</v>
      </c>
      <c r="S7044" t="s">
        <v>23195</v>
      </c>
      <c r="T7044" s="6">
        <v>45694</v>
      </c>
      <c r="U7044" s="4">
        <v>425000</v>
      </c>
      <c r="V7044" t="s">
        <v>23741</v>
      </c>
      <c r="W7044" t="s">
        <v>27584</v>
      </c>
      <c r="X7044" t="s">
        <v>3</v>
      </c>
      <c r="AA7044" s="5" t="str">
        <f>HYPERLINK("https://www.zillow.com/homes/2120-WHEELER-ST-WOODRIDGE-IL-605171814_rb/","check listing")</f>
        <v>check listing</v>
      </c>
      <c r="AB7044" s="5" t="str">
        <f>HYPERLINK("https://propertylookup.dupagecounty.gov/Datalets/Datalet.aspx?UseSearch=no&amp;mode=sales&amp;pin=0824410010","sales record")</f>
        <v>sales record</v>
      </c>
      <c r="AC7044" t="s">
        <v>3</v>
      </c>
      <c r="AD7044">
        <v>41.765081</v>
      </c>
      <c r="AE7044">
        <v>-88.03556</v>
      </c>
      <c r="AF7044" s="5" t="str">
        <f>HYPERLINK("https://www.google.com/maps/search/?api=1&amp;query=41.765081,-88.03556","map")</f>
        <v>map</v>
      </c>
    </row>
    <row r="7045" spans="1:32">
      <c r="A7045" t="s">
        <v>7095</v>
      </c>
      <c r="B7045" t="s">
        <v>14547</v>
      </c>
      <c r="C7045" t="s">
        <v>16144</v>
      </c>
      <c r="D7045" t="s">
        <v>16215</v>
      </c>
      <c r="E7045" t="s">
        <v>16218</v>
      </c>
      <c r="F7045" t="s">
        <v>16220</v>
      </c>
      <c r="G7045" t="s">
        <v>16299</v>
      </c>
      <c r="H7045" t="s">
        <v>16299</v>
      </c>
      <c r="I7045" t="s">
        <v>16382</v>
      </c>
      <c r="J7045" t="s">
        <v>16385</v>
      </c>
      <c r="K7045">
        <v>0.182</v>
      </c>
      <c r="L7045">
        <v>7929</v>
      </c>
      <c r="M7045">
        <v>1218</v>
      </c>
      <c r="N7045" t="s">
        <v>16393</v>
      </c>
      <c r="O7045" s="4">
        <v>51265</v>
      </c>
      <c r="P7045" s="4">
        <v>71956</v>
      </c>
      <c r="Q7045" s="4">
        <v>123221</v>
      </c>
      <c r="R7045" s="4">
        <v>369663</v>
      </c>
      <c r="S7045" t="s">
        <v>23196</v>
      </c>
      <c r="T7045" s="6">
        <v>44531</v>
      </c>
      <c r="U7045" s="4">
        <v>353000</v>
      </c>
      <c r="V7045" t="s">
        <v>23739</v>
      </c>
      <c r="W7045" t="s">
        <v>27585</v>
      </c>
      <c r="X7045" t="s">
        <v>3</v>
      </c>
      <c r="AA7045" s="5" t="str">
        <f>HYPERLINK("https://www.zillow.com/homes/2114-WHEELER-ST-WOODRIDGE-IL-605171814_rb/","check listing")</f>
        <v>check listing</v>
      </c>
      <c r="AB7045" s="5" t="str">
        <f>HYPERLINK("https://propertylookup.dupagecounty.gov/Datalets/Datalet.aspx?UseSearch=no&amp;mode=sales&amp;pin=0824410011","sales record")</f>
        <v>sales record</v>
      </c>
      <c r="AC7045" t="s">
        <v>3</v>
      </c>
      <c r="AD7045">
        <v>41.765088</v>
      </c>
      <c r="AE7045">
        <v>-88.035296</v>
      </c>
      <c r="AF7045" s="5" t="str">
        <f>HYPERLINK("https://www.google.com/maps/search/?api=1&amp;query=41.765088,-88.035296","map")</f>
        <v>map</v>
      </c>
    </row>
    <row r="7046" spans="1:32">
      <c r="A7046" t="s">
        <v>7096</v>
      </c>
      <c r="B7046" t="s">
        <v>14548</v>
      </c>
      <c r="C7046" t="s">
        <v>15323</v>
      </c>
      <c r="D7046" t="s">
        <v>16215</v>
      </c>
      <c r="E7046" t="s">
        <v>16218</v>
      </c>
      <c r="F7046" t="s">
        <v>16220</v>
      </c>
      <c r="G7046" t="s">
        <v>16299</v>
      </c>
      <c r="H7046" t="s">
        <v>16299</v>
      </c>
      <c r="I7046" t="s">
        <v>16382</v>
      </c>
      <c r="J7046" t="s">
        <v>16385</v>
      </c>
      <c r="K7046">
        <v>0.182</v>
      </c>
      <c r="L7046">
        <v>7927</v>
      </c>
      <c r="M7046">
        <v>1355</v>
      </c>
      <c r="N7046" t="s">
        <v>16393</v>
      </c>
      <c r="O7046" s="4">
        <v>51265</v>
      </c>
      <c r="P7046" s="4">
        <v>76689</v>
      </c>
      <c r="Q7046" s="4">
        <v>127954</v>
      </c>
      <c r="R7046" s="4">
        <v>383862</v>
      </c>
      <c r="S7046" t="s">
        <v>23197</v>
      </c>
      <c r="T7046" s="6">
        <v>39173</v>
      </c>
      <c r="U7046" s="4">
        <v>312000</v>
      </c>
      <c r="V7046" t="s">
        <v>23739</v>
      </c>
      <c r="W7046" t="s">
        <v>27586</v>
      </c>
      <c r="X7046" t="s">
        <v>3</v>
      </c>
      <c r="AA7046" s="5" t="str">
        <f>HYPERLINK("https://www.zillow.com/homes/2102-WHEELER-ST-WOODRIDGE-IL-60517_rb/","check listing")</f>
        <v>check listing</v>
      </c>
      <c r="AB7046" s="5" t="str">
        <f>HYPERLINK("https://propertylookup.dupagecounty.gov/Datalets/Datalet.aspx?UseSearch=no&amp;mode=sales&amp;pin=0824410013","sales record")</f>
        <v>sales record</v>
      </c>
      <c r="AC7046" t="s">
        <v>3</v>
      </c>
      <c r="AD7046">
        <v>41.765103</v>
      </c>
      <c r="AE7046">
        <v>-88.034768</v>
      </c>
      <c r="AF7046" s="5" t="str">
        <f>HYPERLINK("https://www.google.com/maps/search/?api=1&amp;query=41.765103,-88.034768","map")</f>
        <v>map</v>
      </c>
    </row>
    <row r="7047" spans="1:32">
      <c r="A7047" t="s">
        <v>7097</v>
      </c>
      <c r="B7047" t="s">
        <v>14549</v>
      </c>
      <c r="C7047" t="s">
        <v>15323</v>
      </c>
      <c r="D7047" t="s">
        <v>16215</v>
      </c>
      <c r="E7047" t="s">
        <v>16218</v>
      </c>
      <c r="F7047" t="s">
        <v>16220</v>
      </c>
      <c r="G7047" t="s">
        <v>16299</v>
      </c>
      <c r="H7047" t="s">
        <v>16299</v>
      </c>
      <c r="I7047" t="s">
        <v>16382</v>
      </c>
      <c r="J7047" t="s">
        <v>16385</v>
      </c>
      <c r="K7047">
        <v>0.182</v>
      </c>
      <c r="L7047">
        <v>7926</v>
      </c>
      <c r="M7047">
        <v>2077</v>
      </c>
      <c r="N7047" t="s">
        <v>16393</v>
      </c>
      <c r="O7047" s="4">
        <v>57651</v>
      </c>
      <c r="P7047" s="4">
        <v>82611</v>
      </c>
      <c r="Q7047" s="4">
        <v>140262</v>
      </c>
      <c r="R7047" s="4">
        <v>420786</v>
      </c>
      <c r="S7047" t="s">
        <v>23198</v>
      </c>
      <c r="T7047" s="6">
        <v>38899</v>
      </c>
      <c r="U7047" s="4">
        <v>233000</v>
      </c>
      <c r="V7047" t="s">
        <v>23739</v>
      </c>
      <c r="W7047" t="s">
        <v>27587</v>
      </c>
      <c r="X7047" t="s">
        <v>3</v>
      </c>
      <c r="AA7047" s="5" t="str">
        <f>HYPERLINK("https://www.zillow.com/homes/6925-BLUE-FLAG-AVE-WOODRIDGE-IL-60517_rb/","check listing")</f>
        <v>check listing</v>
      </c>
      <c r="AB7047" s="5" t="str">
        <f>HYPERLINK("https://propertylookup.dupagecounty.gov/Datalets/Datalet.aspx?UseSearch=no&amp;mode=sales&amp;pin=0824310001","sales record")</f>
        <v>sales record</v>
      </c>
      <c r="AC7047" t="s">
        <v>3</v>
      </c>
      <c r="AD7047">
        <v>41.760289</v>
      </c>
      <c r="AE7047">
        <v>-88.05036800000001</v>
      </c>
      <c r="AF7047" s="5" t="str">
        <f>HYPERLINK("https://www.google.com/maps/search/?api=1&amp;query=41.760289,-88.050368","map")</f>
        <v>map</v>
      </c>
    </row>
    <row r="7048" spans="1:32">
      <c r="A7048" t="s">
        <v>7098</v>
      </c>
      <c r="B7048" t="s">
        <v>14550</v>
      </c>
      <c r="C7048" t="s">
        <v>15323</v>
      </c>
      <c r="D7048" t="s">
        <v>16215</v>
      </c>
      <c r="E7048" t="s">
        <v>16218</v>
      </c>
      <c r="F7048" t="s">
        <v>16220</v>
      </c>
      <c r="G7048" t="s">
        <v>16299</v>
      </c>
      <c r="H7048" t="s">
        <v>16299</v>
      </c>
      <c r="I7048" t="s">
        <v>16382</v>
      </c>
      <c r="J7048" t="s">
        <v>16385</v>
      </c>
      <c r="K7048">
        <v>0.182</v>
      </c>
      <c r="L7048">
        <v>7926</v>
      </c>
      <c r="M7048">
        <v>1288</v>
      </c>
      <c r="N7048" t="s">
        <v>16393</v>
      </c>
      <c r="O7048" s="4">
        <v>51241</v>
      </c>
      <c r="P7048" s="4">
        <v>79734</v>
      </c>
      <c r="Q7048" s="4">
        <v>130975</v>
      </c>
      <c r="R7048" s="4">
        <v>392925</v>
      </c>
      <c r="S7048" t="s">
        <v>23199</v>
      </c>
      <c r="T7048" s="6">
        <v>38231</v>
      </c>
      <c r="U7048" s="4">
        <v>274000</v>
      </c>
      <c r="V7048" t="s">
        <v>23739</v>
      </c>
      <c r="W7048" t="s">
        <v>27588</v>
      </c>
      <c r="X7048" t="s">
        <v>3</v>
      </c>
      <c r="AA7048" s="5" t="str">
        <f>HYPERLINK("https://www.zillow.com/homes/2108-WHEELER-ST-WOODRIDGE-IL-60517_rb/","check listing")</f>
        <v>check listing</v>
      </c>
      <c r="AB7048" s="5" t="str">
        <f>HYPERLINK("https://propertylookup.dupagecounty.gov/Datalets/Datalet.aspx?UseSearch=no&amp;mode=sales&amp;pin=0824410012","sales record")</f>
        <v>sales record</v>
      </c>
      <c r="AC7048" t="s">
        <v>3</v>
      </c>
      <c r="AD7048">
        <v>41.765096</v>
      </c>
      <c r="AE7048">
        <v>-88.035032</v>
      </c>
      <c r="AF7048" s="5" t="str">
        <f>HYPERLINK("https://www.google.com/maps/search/?api=1&amp;query=41.765096,-88.035032","map")</f>
        <v>map</v>
      </c>
    </row>
    <row r="7049" spans="1:32">
      <c r="A7049" t="s">
        <v>7099</v>
      </c>
      <c r="B7049" t="s">
        <v>14551</v>
      </c>
      <c r="C7049" t="s">
        <v>15323</v>
      </c>
      <c r="D7049" t="s">
        <v>16215</v>
      </c>
      <c r="E7049" t="s">
        <v>16218</v>
      </c>
      <c r="F7049" t="s">
        <v>16220</v>
      </c>
      <c r="G7049" t="s">
        <v>16299</v>
      </c>
      <c r="H7049" t="s">
        <v>16299</v>
      </c>
      <c r="I7049" t="s">
        <v>16382</v>
      </c>
      <c r="J7049" t="s">
        <v>16385</v>
      </c>
      <c r="K7049">
        <v>0.182</v>
      </c>
      <c r="L7049">
        <v>7925</v>
      </c>
      <c r="M7049">
        <v>1975</v>
      </c>
      <c r="N7049" t="s">
        <v>16393</v>
      </c>
      <c r="O7049" s="4">
        <v>51265</v>
      </c>
      <c r="P7049" s="4">
        <v>134090</v>
      </c>
      <c r="Q7049" s="4">
        <v>185355</v>
      </c>
      <c r="R7049" s="4">
        <v>556065</v>
      </c>
      <c r="S7049" t="s">
        <v>23200</v>
      </c>
      <c r="T7049" s="6">
        <v>42767</v>
      </c>
      <c r="U7049" s="4">
        <v>325000</v>
      </c>
      <c r="V7049" t="s">
        <v>23739</v>
      </c>
      <c r="W7049" t="s">
        <v>27589</v>
      </c>
      <c r="X7049" t="s">
        <v>3</v>
      </c>
      <c r="AA7049" s="5" t="str">
        <f>HYPERLINK("https://www.zillow.com/homes/2060-WHEELER-ST-WOODRIDGE-IL-60517_rb/","check listing")</f>
        <v>check listing</v>
      </c>
      <c r="AB7049" s="5" t="str">
        <f>HYPERLINK("https://propertylookup.dupagecounty.gov/Datalets/Datalet.aspx?UseSearch=no&amp;mode=sales&amp;pin=0824410014","sales record")</f>
        <v>sales record</v>
      </c>
      <c r="AC7049" t="s">
        <v>3</v>
      </c>
      <c r="AD7049">
        <v>41.765111</v>
      </c>
      <c r="AE7049">
        <v>-88.034504</v>
      </c>
      <c r="AF7049" s="5" t="str">
        <f>HYPERLINK("https://www.google.com/maps/search/?api=1&amp;query=41.765111,-88.034504","map")</f>
        <v>map</v>
      </c>
    </row>
    <row r="7050" spans="1:32">
      <c r="A7050" t="s">
        <v>7100</v>
      </c>
      <c r="B7050" t="s">
        <v>14552</v>
      </c>
      <c r="C7050" t="s">
        <v>15323</v>
      </c>
      <c r="D7050" t="s">
        <v>16215</v>
      </c>
      <c r="E7050" t="s">
        <v>16218</v>
      </c>
      <c r="F7050" t="s">
        <v>16220</v>
      </c>
      <c r="G7050" t="s">
        <v>16299</v>
      </c>
      <c r="H7050" t="s">
        <v>16299</v>
      </c>
      <c r="I7050" t="s">
        <v>16382</v>
      </c>
      <c r="J7050" t="s">
        <v>16385</v>
      </c>
      <c r="K7050">
        <v>0.182</v>
      </c>
      <c r="L7050">
        <v>7922</v>
      </c>
      <c r="M7050">
        <v>1792</v>
      </c>
      <c r="N7050" t="s">
        <v>16393</v>
      </c>
      <c r="O7050" s="4">
        <v>51265</v>
      </c>
      <c r="P7050" s="4">
        <v>80043</v>
      </c>
      <c r="Q7050" s="4">
        <v>131308</v>
      </c>
      <c r="R7050" s="4">
        <v>393924</v>
      </c>
      <c r="S7050" t="s">
        <v>23201</v>
      </c>
      <c r="T7050" s="6">
        <v>37104</v>
      </c>
      <c r="U7050" s="4">
        <v>234000</v>
      </c>
      <c r="V7050" t="s">
        <v>23739</v>
      </c>
      <c r="W7050" t="s">
        <v>27590</v>
      </c>
      <c r="X7050" t="s">
        <v>3</v>
      </c>
      <c r="AA7050" s="5" t="str">
        <f>HYPERLINK("https://www.zillow.com/homes/2056-WHEELER-ST-WOODRIDGE-IL-60517_rb/","check listing")</f>
        <v>check listing</v>
      </c>
      <c r="AB7050" s="5" t="str">
        <f>HYPERLINK("https://propertylookup.dupagecounty.gov/Datalets/Datalet.aspx?UseSearch=no&amp;mode=sales&amp;pin=0824410015","sales record")</f>
        <v>sales record</v>
      </c>
      <c r="AC7050" t="s">
        <v>3</v>
      </c>
      <c r="AD7050">
        <v>41.765118</v>
      </c>
      <c r="AE7050">
        <v>-88.03424099999999</v>
      </c>
      <c r="AF7050" s="5" t="str">
        <f>HYPERLINK("https://www.google.com/maps/search/?api=1&amp;query=41.765118,-88.034241","map")</f>
        <v>map</v>
      </c>
    </row>
    <row r="7051" spans="1:32">
      <c r="A7051" t="s">
        <v>7101</v>
      </c>
      <c r="B7051" t="s">
        <v>14553</v>
      </c>
      <c r="C7051" t="s">
        <v>15323</v>
      </c>
      <c r="D7051" t="s">
        <v>16215</v>
      </c>
      <c r="E7051" t="s">
        <v>16218</v>
      </c>
      <c r="F7051" t="s">
        <v>16220</v>
      </c>
      <c r="G7051" t="s">
        <v>16299</v>
      </c>
      <c r="H7051" t="s">
        <v>16299</v>
      </c>
      <c r="I7051" t="s">
        <v>16382</v>
      </c>
      <c r="J7051" t="s">
        <v>16385</v>
      </c>
      <c r="K7051">
        <v>0.182</v>
      </c>
      <c r="L7051">
        <v>7915</v>
      </c>
      <c r="M7051">
        <v>2158</v>
      </c>
      <c r="N7051" t="s">
        <v>16393</v>
      </c>
      <c r="O7051" s="4">
        <v>54797</v>
      </c>
      <c r="P7051" s="4">
        <v>63299</v>
      </c>
      <c r="Q7051" s="4">
        <v>118096</v>
      </c>
      <c r="R7051" s="4">
        <v>354288</v>
      </c>
      <c r="S7051" t="s">
        <v>23202</v>
      </c>
      <c r="T7051" s="6">
        <v>37438</v>
      </c>
      <c r="U7051" s="4">
        <v>183500</v>
      </c>
      <c r="V7051" t="s">
        <v>23739</v>
      </c>
      <c r="W7051" t="s">
        <v>27591</v>
      </c>
      <c r="X7051" t="s">
        <v>3</v>
      </c>
      <c r="AA7051" s="5" t="str">
        <f>HYPERLINK("https://www.zillow.com/homes/6844-EASTSIDE-AVE-WOODRIDGE-IL-60517_rb/","check listing")</f>
        <v>check listing</v>
      </c>
      <c r="AB7051" s="5" t="str">
        <f>HYPERLINK("https://propertylookup.dupagecounty.gov/Datalets/Datalet.aspx?UseSearch=no&amp;mode=sales&amp;pin=0824416013","sales record")</f>
        <v>sales record</v>
      </c>
      <c r="AC7051" t="s">
        <v>3</v>
      </c>
      <c r="AD7051">
        <v>41.761625</v>
      </c>
      <c r="AE7051">
        <v>-88.032459</v>
      </c>
      <c r="AF7051" s="5" t="str">
        <f>HYPERLINK("https://www.google.com/maps/search/?api=1&amp;query=41.761625,-88.032459","map")</f>
        <v>map</v>
      </c>
    </row>
    <row r="7052" spans="1:32">
      <c r="A7052" t="s">
        <v>7102</v>
      </c>
      <c r="B7052" t="s">
        <v>14554</v>
      </c>
      <c r="C7052" t="s">
        <v>15323</v>
      </c>
      <c r="D7052" t="s">
        <v>16215</v>
      </c>
      <c r="E7052" t="s">
        <v>16218</v>
      </c>
      <c r="F7052" t="s">
        <v>16220</v>
      </c>
      <c r="G7052" t="s">
        <v>16299</v>
      </c>
      <c r="H7052" t="s">
        <v>16299</v>
      </c>
      <c r="I7052" t="s">
        <v>16382</v>
      </c>
      <c r="J7052" t="s">
        <v>16385</v>
      </c>
      <c r="K7052">
        <v>0.182</v>
      </c>
      <c r="L7052">
        <v>7910</v>
      </c>
      <c r="M7052">
        <v>1642</v>
      </c>
      <c r="N7052" t="s">
        <v>16393</v>
      </c>
      <c r="O7052" s="4">
        <v>54797</v>
      </c>
      <c r="P7052" s="4">
        <v>79365</v>
      </c>
      <c r="Q7052" s="4">
        <v>134162</v>
      </c>
      <c r="R7052" s="4">
        <v>402486</v>
      </c>
      <c r="S7052" t="s">
        <v>23203</v>
      </c>
      <c r="X7052" t="s">
        <v>3</v>
      </c>
      <c r="AA7052" s="5" t="str">
        <f>HYPERLINK("https://www.zillow.com/homes/1-QUAIL-CT-WOODRIDGE-IL-60517_rb/","check listing")</f>
        <v>check listing</v>
      </c>
      <c r="AB7052" s="5" t="str">
        <f>HYPERLINK("https://propertylookup.dupagecounty.gov/Datalets/Datalet.aspx?UseSearch=no&amp;mode=sales&amp;pin=0824402007","sales record")</f>
        <v>sales record</v>
      </c>
      <c r="AC7052" t="s">
        <v>3</v>
      </c>
      <c r="AD7052">
        <v>41.763773</v>
      </c>
      <c r="AE7052">
        <v>-88.04102</v>
      </c>
      <c r="AF7052" s="5" t="str">
        <f>HYPERLINK("https://www.google.com/maps/search/?api=1&amp;query=41.763773,-88.04102","map")</f>
        <v>map</v>
      </c>
    </row>
    <row r="7053" spans="1:32">
      <c r="A7053" t="s">
        <v>7103</v>
      </c>
      <c r="B7053" t="s">
        <v>14555</v>
      </c>
      <c r="C7053" t="s">
        <v>16145</v>
      </c>
      <c r="D7053" t="s">
        <v>16215</v>
      </c>
      <c r="E7053" t="s">
        <v>16218</v>
      </c>
      <c r="F7053" t="s">
        <v>16220</v>
      </c>
      <c r="G7053" t="s">
        <v>16299</v>
      </c>
      <c r="H7053" t="s">
        <v>16299</v>
      </c>
      <c r="I7053" t="s">
        <v>16382</v>
      </c>
      <c r="J7053" t="s">
        <v>16385</v>
      </c>
      <c r="K7053">
        <v>0.182</v>
      </c>
      <c r="L7053">
        <v>7907</v>
      </c>
      <c r="M7053">
        <v>2016</v>
      </c>
      <c r="N7053" t="s">
        <v>16393</v>
      </c>
      <c r="O7053" s="4">
        <v>53060</v>
      </c>
      <c r="P7053" s="4">
        <v>68805</v>
      </c>
      <c r="Q7053" s="4">
        <v>121865</v>
      </c>
      <c r="R7053" s="4">
        <v>365595</v>
      </c>
      <c r="S7053" t="s">
        <v>23204</v>
      </c>
      <c r="T7053" s="6">
        <v>44713</v>
      </c>
      <c r="U7053" s="4">
        <v>339900</v>
      </c>
      <c r="V7053" t="s">
        <v>23739</v>
      </c>
      <c r="W7053" t="s">
        <v>27592</v>
      </c>
      <c r="X7053" t="s">
        <v>3</v>
      </c>
      <c r="AA7053" s="5" t="str">
        <f>HYPERLINK("https://www.zillow.com/homes/6931-RED-BUD-LN-WOODRIDGE-IL-605171748_rb/","check listing")</f>
        <v>check listing</v>
      </c>
      <c r="AB7053" s="5" t="str">
        <f>HYPERLINK("https://propertylookup.dupagecounty.gov/Datalets/Datalet.aspx?UseSearch=no&amp;mode=sales&amp;pin=0824312001","sales record")</f>
        <v>sales record</v>
      </c>
      <c r="AC7053" t="s">
        <v>3</v>
      </c>
      <c r="AD7053">
        <v>41.760881</v>
      </c>
      <c r="AE7053">
        <v>-88.047585</v>
      </c>
      <c r="AF7053" s="5" t="str">
        <f>HYPERLINK("https://www.google.com/maps/search/?api=1&amp;query=41.760881,-88.047585","map")</f>
        <v>map</v>
      </c>
    </row>
    <row r="7054" spans="1:32">
      <c r="A7054" t="s">
        <v>7104</v>
      </c>
      <c r="B7054" t="s">
        <v>14556</v>
      </c>
      <c r="C7054" t="s">
        <v>15323</v>
      </c>
      <c r="D7054" t="s">
        <v>16215</v>
      </c>
      <c r="E7054" t="s">
        <v>16218</v>
      </c>
      <c r="F7054" t="s">
        <v>16220</v>
      </c>
      <c r="G7054" t="s">
        <v>16299</v>
      </c>
      <c r="H7054" t="s">
        <v>16299</v>
      </c>
      <c r="I7054" t="s">
        <v>16382</v>
      </c>
      <c r="J7054" t="s">
        <v>16385</v>
      </c>
      <c r="K7054">
        <v>0.181</v>
      </c>
      <c r="L7054">
        <v>7902</v>
      </c>
      <c r="M7054">
        <v>1724</v>
      </c>
      <c r="N7054" t="s">
        <v>16393</v>
      </c>
      <c r="O7054" s="4">
        <v>54797</v>
      </c>
      <c r="P7054" s="4">
        <v>75310</v>
      </c>
      <c r="Q7054" s="4">
        <v>130107</v>
      </c>
      <c r="R7054" s="4">
        <v>390321</v>
      </c>
      <c r="S7054" t="s">
        <v>23205</v>
      </c>
      <c r="T7054" s="6">
        <v>35977</v>
      </c>
      <c r="U7054" s="4">
        <v>170000</v>
      </c>
      <c r="X7054" t="s">
        <v>3</v>
      </c>
      <c r="AA7054" s="5" t="str">
        <f>HYPERLINK("https://www.zillow.com/homes/2018-SUNNYDALE-ST-WOODRIDGE-IL-60517_rb/","check listing")</f>
        <v>check listing</v>
      </c>
      <c r="AB7054" s="5" t="str">
        <f>HYPERLINK("https://propertylookup.dupagecounty.gov/Datalets/Datalet.aspx?UseSearch=no&amp;mode=sales&amp;pin=0824415035","sales record")</f>
        <v>sales record</v>
      </c>
      <c r="AC7054" t="s">
        <v>3</v>
      </c>
      <c r="AD7054">
        <v>41.760719</v>
      </c>
      <c r="AE7054">
        <v>-88.03236</v>
      </c>
      <c r="AF7054" s="5" t="str">
        <f>HYPERLINK("https://www.google.com/maps/search/?api=1&amp;query=41.760719,-88.03236","map")</f>
        <v>map</v>
      </c>
    </row>
    <row r="7055" spans="1:32">
      <c r="A7055" t="s">
        <v>7105</v>
      </c>
      <c r="B7055" t="s">
        <v>14557</v>
      </c>
      <c r="C7055" t="s">
        <v>15323</v>
      </c>
      <c r="D7055" t="s">
        <v>16215</v>
      </c>
      <c r="E7055" t="s">
        <v>16218</v>
      </c>
      <c r="F7055" t="s">
        <v>16220</v>
      </c>
      <c r="G7055" t="s">
        <v>16299</v>
      </c>
      <c r="H7055" t="s">
        <v>16299</v>
      </c>
      <c r="I7055" t="s">
        <v>16382</v>
      </c>
      <c r="J7055" t="s">
        <v>16385</v>
      </c>
      <c r="K7055">
        <v>0.181</v>
      </c>
      <c r="L7055">
        <v>7875</v>
      </c>
      <c r="M7055">
        <v>2469</v>
      </c>
      <c r="N7055" t="s">
        <v>16393</v>
      </c>
      <c r="O7055" s="4">
        <v>50064</v>
      </c>
      <c r="P7055" s="4">
        <v>64524</v>
      </c>
      <c r="Q7055" s="4">
        <v>114588</v>
      </c>
      <c r="R7055" s="4">
        <v>343764</v>
      </c>
      <c r="S7055" t="s">
        <v>23206</v>
      </c>
      <c r="T7055" s="6">
        <v>41579</v>
      </c>
      <c r="U7055" s="4">
        <v>235000</v>
      </c>
      <c r="V7055" t="s">
        <v>23739</v>
      </c>
      <c r="W7055" t="s">
        <v>27593</v>
      </c>
      <c r="X7055" t="s">
        <v>3</v>
      </c>
      <c r="AA7055" s="5" t="str">
        <f>HYPERLINK("https://www.zillow.com/homes/2656-LUZERN-CT-WOODRIDGE-IL-60517_rb/","check listing")</f>
        <v>check listing</v>
      </c>
      <c r="AB7055" s="5" t="str">
        <f>HYPERLINK("https://propertylookup.dupagecounty.gov/Datalets/Datalet.aspx?UseSearch=no&amp;mode=sales&amp;pin=0836103016","sales record")</f>
        <v>sales record</v>
      </c>
      <c r="AC7055" t="s">
        <v>3</v>
      </c>
      <c r="AD7055">
        <v>41.736688</v>
      </c>
      <c r="AE7055">
        <v>-88.046663</v>
      </c>
      <c r="AF7055" s="5" t="str">
        <f>HYPERLINK("https://www.google.com/maps/search/?api=1&amp;query=41.736688,-88.046663","map")</f>
        <v>map</v>
      </c>
    </row>
    <row r="7056" spans="1:32">
      <c r="A7056" t="s">
        <v>7106</v>
      </c>
      <c r="B7056" t="s">
        <v>14558</v>
      </c>
      <c r="C7056" t="s">
        <v>15323</v>
      </c>
      <c r="D7056" t="s">
        <v>16215</v>
      </c>
      <c r="E7056" t="s">
        <v>16218</v>
      </c>
      <c r="F7056" t="s">
        <v>16220</v>
      </c>
      <c r="G7056" t="s">
        <v>16299</v>
      </c>
      <c r="H7056" t="s">
        <v>16299</v>
      </c>
      <c r="I7056" t="s">
        <v>16382</v>
      </c>
      <c r="J7056" t="s">
        <v>16385</v>
      </c>
      <c r="K7056">
        <v>0.18</v>
      </c>
      <c r="L7056">
        <v>7861</v>
      </c>
      <c r="M7056">
        <v>1049</v>
      </c>
      <c r="N7056" t="s">
        <v>16393</v>
      </c>
      <c r="O7056" s="4">
        <v>54797</v>
      </c>
      <c r="P7056" s="4">
        <v>71302</v>
      </c>
      <c r="Q7056" s="4">
        <v>126099</v>
      </c>
      <c r="R7056" s="4">
        <v>378297</v>
      </c>
      <c r="S7056" t="s">
        <v>23207</v>
      </c>
      <c r="T7056" s="6">
        <v>32264</v>
      </c>
      <c r="U7056" s="4">
        <v>112500</v>
      </c>
      <c r="X7056" t="s">
        <v>3</v>
      </c>
      <c r="AA7056" s="5" t="str">
        <f>HYPERLINK("https://www.zillow.com/homes/6674-WHEATFIELD-ST-WOODRIDGE-IL-60517_rb/","check listing")</f>
        <v>check listing</v>
      </c>
      <c r="AB7056" s="5" t="str">
        <f>HYPERLINK("https://propertylookup.dupagecounty.gov/Datalets/Datalet.aspx?UseSearch=no&amp;mode=sales&amp;pin=0824110011","sales record")</f>
        <v>sales record</v>
      </c>
      <c r="AC7056" t="s">
        <v>3</v>
      </c>
      <c r="AD7056">
        <v>41.76583</v>
      </c>
      <c r="AE7056">
        <v>-88.043986</v>
      </c>
      <c r="AF7056" s="5" t="str">
        <f>HYPERLINK("https://www.google.com/maps/search/?api=1&amp;query=41.76583,-88.043986","map")</f>
        <v>map</v>
      </c>
    </row>
    <row r="7057" spans="1:32">
      <c r="A7057" t="s">
        <v>7107</v>
      </c>
      <c r="B7057" t="s">
        <v>14559</v>
      </c>
      <c r="C7057" t="s">
        <v>15323</v>
      </c>
      <c r="D7057" t="s">
        <v>16215</v>
      </c>
      <c r="E7057" t="s">
        <v>16218</v>
      </c>
      <c r="F7057" t="s">
        <v>16220</v>
      </c>
      <c r="G7057" t="s">
        <v>16299</v>
      </c>
      <c r="H7057" t="s">
        <v>16299</v>
      </c>
      <c r="I7057" t="s">
        <v>16382</v>
      </c>
      <c r="J7057" t="s">
        <v>16385</v>
      </c>
      <c r="K7057">
        <v>0.18</v>
      </c>
      <c r="L7057">
        <v>7856</v>
      </c>
      <c r="M7057">
        <v>1932</v>
      </c>
      <c r="N7057" t="s">
        <v>16393</v>
      </c>
      <c r="O7057" s="4">
        <v>52739</v>
      </c>
      <c r="P7057" s="4">
        <v>79876</v>
      </c>
      <c r="Q7057" s="4">
        <v>132615</v>
      </c>
      <c r="R7057" s="4">
        <v>397845</v>
      </c>
      <c r="S7057" t="s">
        <v>23208</v>
      </c>
      <c r="X7057" t="s">
        <v>3</v>
      </c>
      <c r="AA7057" s="5" t="str">
        <f>HYPERLINK("https://www.zillow.com/homes/2624-BERN-CT-WOODRIDGE-IL-60517_rb/","check listing")</f>
        <v>check listing</v>
      </c>
      <c r="AB7057" s="5" t="str">
        <f>HYPERLINK("https://propertylookup.dupagecounty.gov/Datalets/Datalet.aspx?UseSearch=no&amp;mode=sales&amp;pin=0836103030","sales record")</f>
        <v>sales record</v>
      </c>
      <c r="AC7057" t="s">
        <v>3</v>
      </c>
      <c r="AD7057">
        <v>41.736451</v>
      </c>
      <c r="AE7057">
        <v>-88.04527</v>
      </c>
      <c r="AF7057" s="5" t="str">
        <f>HYPERLINK("https://www.google.com/maps/search/?api=1&amp;query=41.736451,-88.04527","map")</f>
        <v>map</v>
      </c>
    </row>
    <row r="7058" spans="1:32">
      <c r="A7058" t="s">
        <v>7108</v>
      </c>
      <c r="B7058" t="s">
        <v>14560</v>
      </c>
      <c r="C7058" t="s">
        <v>15323</v>
      </c>
      <c r="D7058" t="s">
        <v>16215</v>
      </c>
      <c r="E7058" t="s">
        <v>16218</v>
      </c>
      <c r="F7058" t="s">
        <v>16220</v>
      </c>
      <c r="G7058" t="s">
        <v>16299</v>
      </c>
      <c r="H7058" t="s">
        <v>16299</v>
      </c>
      <c r="I7058" t="s">
        <v>16382</v>
      </c>
      <c r="J7058" t="s">
        <v>16385</v>
      </c>
      <c r="K7058">
        <v>0.18</v>
      </c>
      <c r="L7058">
        <v>7840</v>
      </c>
      <c r="M7058">
        <v>1694</v>
      </c>
      <c r="N7058" t="s">
        <v>16393</v>
      </c>
      <c r="O7058" s="4">
        <v>54713</v>
      </c>
      <c r="P7058" s="4">
        <v>65868</v>
      </c>
      <c r="Q7058" s="4">
        <v>120581</v>
      </c>
      <c r="R7058" s="4">
        <v>361743</v>
      </c>
      <c r="S7058" t="s">
        <v>23209</v>
      </c>
      <c r="T7058" s="6">
        <v>39814</v>
      </c>
      <c r="U7058" s="4">
        <v>205000</v>
      </c>
      <c r="V7058" t="s">
        <v>23739</v>
      </c>
      <c r="W7058" t="s">
        <v>27594</v>
      </c>
      <c r="X7058" t="s">
        <v>3</v>
      </c>
      <c r="AA7058" s="5" t="str">
        <f>HYPERLINK("https://www.zillow.com/homes/6807-EASTSIDE-AVE-WOODRIDGE-IL-60517_rb/","check listing")</f>
        <v>check listing</v>
      </c>
      <c r="AB7058" s="5" t="str">
        <f>HYPERLINK("https://propertylookup.dupagecounty.gov/Datalets/Datalet.aspx?UseSearch=no&amp;mode=sales&amp;pin=0824415020","sales record")</f>
        <v>sales record</v>
      </c>
      <c r="AC7058" t="s">
        <v>3</v>
      </c>
      <c r="AD7058">
        <v>41.762884</v>
      </c>
      <c r="AE7058">
        <v>-88.03172499999999</v>
      </c>
      <c r="AF7058" s="5" t="str">
        <f>HYPERLINK("https://www.google.com/maps/search/?api=1&amp;query=41.762884,-88.031725","map")</f>
        <v>map</v>
      </c>
    </row>
    <row r="7059" spans="1:32">
      <c r="A7059" t="s">
        <v>7109</v>
      </c>
      <c r="B7059" t="s">
        <v>14561</v>
      </c>
      <c r="C7059" t="s">
        <v>15323</v>
      </c>
      <c r="D7059" t="s">
        <v>16215</v>
      </c>
      <c r="E7059" t="s">
        <v>16218</v>
      </c>
      <c r="F7059" t="s">
        <v>16220</v>
      </c>
      <c r="G7059" t="s">
        <v>16299</v>
      </c>
      <c r="H7059" t="s">
        <v>16299</v>
      </c>
      <c r="I7059" t="s">
        <v>16382</v>
      </c>
      <c r="J7059" t="s">
        <v>16385</v>
      </c>
      <c r="K7059">
        <v>0.18</v>
      </c>
      <c r="L7059">
        <v>7834</v>
      </c>
      <c r="M7059">
        <v>1753</v>
      </c>
      <c r="N7059" t="s">
        <v>16393</v>
      </c>
      <c r="O7059" s="4">
        <v>54797</v>
      </c>
      <c r="P7059" s="4">
        <v>71196</v>
      </c>
      <c r="Q7059" s="4">
        <v>125993</v>
      </c>
      <c r="R7059" s="4">
        <v>377979</v>
      </c>
      <c r="S7059" t="s">
        <v>23210</v>
      </c>
      <c r="T7059" s="6">
        <v>39173</v>
      </c>
      <c r="U7059" s="4">
        <v>285000</v>
      </c>
      <c r="V7059" t="s">
        <v>23739</v>
      </c>
      <c r="W7059" t="s">
        <v>27595</v>
      </c>
      <c r="X7059" t="s">
        <v>3</v>
      </c>
      <c r="AA7059" s="5" t="str">
        <f>HYPERLINK("https://www.zillow.com/homes/6850-EASTSIDE-AVE-WOODRIDGE-IL-60517_rb/","check listing")</f>
        <v>check listing</v>
      </c>
      <c r="AB7059" s="5" t="str">
        <f>HYPERLINK("https://propertylookup.dupagecounty.gov/Datalets/Datalet.aspx?UseSearch=no&amp;mode=sales&amp;pin=0824416014","sales record")</f>
        <v>sales record</v>
      </c>
      <c r="AC7059" t="s">
        <v>3</v>
      </c>
      <c r="AD7059">
        <v>41.761436</v>
      </c>
      <c r="AE7059">
        <v>-88.03244100000001</v>
      </c>
      <c r="AF7059" s="5" t="str">
        <f>HYPERLINK("https://www.google.com/maps/search/?api=1&amp;query=41.761436,-88.032441","map")</f>
        <v>map</v>
      </c>
    </row>
    <row r="7060" spans="1:32">
      <c r="A7060" t="s">
        <v>7110</v>
      </c>
      <c r="B7060" t="s">
        <v>14562</v>
      </c>
      <c r="C7060" t="s">
        <v>15323</v>
      </c>
      <c r="D7060" t="s">
        <v>16215</v>
      </c>
      <c r="E7060" t="s">
        <v>16218</v>
      </c>
      <c r="F7060" t="s">
        <v>16220</v>
      </c>
      <c r="G7060" t="s">
        <v>16299</v>
      </c>
      <c r="H7060" t="s">
        <v>16299</v>
      </c>
      <c r="I7060" t="s">
        <v>16382</v>
      </c>
      <c r="J7060" t="s">
        <v>16385</v>
      </c>
      <c r="K7060">
        <v>0.18</v>
      </c>
      <c r="L7060">
        <v>7831</v>
      </c>
      <c r="M7060">
        <v>2436</v>
      </c>
      <c r="N7060" t="s">
        <v>16393</v>
      </c>
      <c r="O7060" s="4">
        <v>50064</v>
      </c>
      <c r="P7060" s="4">
        <v>93314</v>
      </c>
      <c r="Q7060" s="4">
        <v>143378</v>
      </c>
      <c r="R7060" s="4">
        <v>430134</v>
      </c>
      <c r="S7060" t="s">
        <v>23211</v>
      </c>
      <c r="T7060" s="6">
        <v>30895</v>
      </c>
      <c r="U7060" s="4">
        <v>120000</v>
      </c>
      <c r="X7060" t="s">
        <v>3</v>
      </c>
      <c r="AA7060" s="5" t="str">
        <f>HYPERLINK("https://www.zillow.com/homes/2653-ZURICH-CT-WOODRIDGE-IL-60517_rb/","check listing")</f>
        <v>check listing</v>
      </c>
      <c r="AB7060" s="5" t="str">
        <f>HYPERLINK("https://propertylookup.dupagecounty.gov/Datalets/Datalet.aspx?UseSearch=no&amp;mode=sales&amp;pin=0836103001","sales record")</f>
        <v>sales record</v>
      </c>
      <c r="AC7060" t="s">
        <v>3</v>
      </c>
      <c r="AD7060">
        <v>41.737004</v>
      </c>
      <c r="AE7060">
        <v>-88.046673</v>
      </c>
      <c r="AF7060" s="5" t="str">
        <f>HYPERLINK("https://www.google.com/maps/search/?api=1&amp;query=41.737004,-88.046673","map")</f>
        <v>map</v>
      </c>
    </row>
    <row r="7061" spans="1:32">
      <c r="A7061" t="s">
        <v>7111</v>
      </c>
      <c r="B7061" t="s">
        <v>14563</v>
      </c>
      <c r="C7061" t="s">
        <v>15323</v>
      </c>
      <c r="D7061" t="s">
        <v>16215</v>
      </c>
      <c r="E7061" t="s">
        <v>16218</v>
      </c>
      <c r="F7061" t="s">
        <v>16220</v>
      </c>
      <c r="G7061" t="s">
        <v>16299</v>
      </c>
      <c r="H7061" t="s">
        <v>16299</v>
      </c>
      <c r="I7061" t="s">
        <v>16382</v>
      </c>
      <c r="J7061" t="s">
        <v>16385</v>
      </c>
      <c r="K7061">
        <v>0.18</v>
      </c>
      <c r="L7061">
        <v>7826</v>
      </c>
      <c r="M7061">
        <v>1697</v>
      </c>
      <c r="N7061" t="s">
        <v>16393</v>
      </c>
      <c r="O7061" s="4">
        <v>54797</v>
      </c>
      <c r="P7061" s="4">
        <v>70482</v>
      </c>
      <c r="Q7061" s="4">
        <v>125279</v>
      </c>
      <c r="R7061" s="4">
        <v>375837</v>
      </c>
      <c r="S7061" t="s">
        <v>23212</v>
      </c>
      <c r="T7061" s="6">
        <v>32143</v>
      </c>
      <c r="U7061" s="4">
        <v>115500</v>
      </c>
      <c r="X7061" t="s">
        <v>3</v>
      </c>
      <c r="AA7061" s="5" t="str">
        <f>HYPERLINK("https://www.zillow.com/homes/6818-HARVEST-AVE-WOODRIDGE-IL-60517_rb/","check listing")</f>
        <v>check listing</v>
      </c>
      <c r="AB7061" s="5" t="str">
        <f>HYPERLINK("https://propertylookup.dupagecounty.gov/Datalets/Datalet.aspx?UseSearch=no&amp;mode=sales&amp;pin=0824414032","sales record")</f>
        <v>sales record</v>
      </c>
      <c r="AC7061" t="s">
        <v>3</v>
      </c>
      <c r="AD7061">
        <v>41.762568</v>
      </c>
      <c r="AE7061">
        <v>-88.033599</v>
      </c>
      <c r="AF7061" s="5" t="str">
        <f>HYPERLINK("https://www.google.com/maps/search/?api=1&amp;query=41.762568,-88.033599","map")</f>
        <v>map</v>
      </c>
    </row>
    <row r="7062" spans="1:32">
      <c r="A7062" t="s">
        <v>7112</v>
      </c>
      <c r="B7062" t="s">
        <v>14564</v>
      </c>
      <c r="C7062" t="s">
        <v>15323</v>
      </c>
      <c r="D7062" t="s">
        <v>16215</v>
      </c>
      <c r="E7062" t="s">
        <v>16218</v>
      </c>
      <c r="F7062" t="s">
        <v>16220</v>
      </c>
      <c r="G7062" t="s">
        <v>16299</v>
      </c>
      <c r="H7062" t="s">
        <v>16299</v>
      </c>
      <c r="I7062" t="s">
        <v>16382</v>
      </c>
      <c r="J7062" t="s">
        <v>16385</v>
      </c>
      <c r="K7062">
        <v>0.179</v>
      </c>
      <c r="L7062">
        <v>7819</v>
      </c>
      <c r="M7062">
        <v>1561</v>
      </c>
      <c r="N7062" t="s">
        <v>16393</v>
      </c>
      <c r="O7062" s="4">
        <v>54797</v>
      </c>
      <c r="P7062" s="4">
        <v>68329</v>
      </c>
      <c r="Q7062" s="4">
        <v>123126</v>
      </c>
      <c r="R7062" s="4">
        <v>369378</v>
      </c>
      <c r="S7062" t="s">
        <v>23213</v>
      </c>
      <c r="T7062" s="6">
        <v>30164</v>
      </c>
      <c r="U7062" s="4">
        <v>73500</v>
      </c>
      <c r="X7062" t="s">
        <v>3</v>
      </c>
      <c r="AA7062" s="5" t="str">
        <f>HYPERLINK("https://www.zillow.com/homes/6717-CHERRY-TREE-AVE-WOODRIDGE-IL-60517_rb/","check listing")</f>
        <v>check listing</v>
      </c>
      <c r="AB7062" s="5" t="str">
        <f>HYPERLINK("https://propertylookup.dupagecounty.gov/Datalets/Datalet.aspx?UseSearch=no&amp;mode=sales&amp;pin=0824316004","sales record")</f>
        <v>sales record</v>
      </c>
      <c r="AC7062" t="s">
        <v>3</v>
      </c>
      <c r="AD7062">
        <v>41.763741</v>
      </c>
      <c r="AE7062">
        <v>-88.046725</v>
      </c>
      <c r="AF7062" s="5" t="str">
        <f>HYPERLINK("https://www.google.com/maps/search/?api=1&amp;query=41.763741,-88.046725","map")</f>
        <v>map</v>
      </c>
    </row>
    <row r="7063" spans="1:32">
      <c r="A7063" t="s">
        <v>7113</v>
      </c>
      <c r="B7063" t="s">
        <v>14565</v>
      </c>
      <c r="C7063" t="s">
        <v>16146</v>
      </c>
      <c r="D7063" t="s">
        <v>16215</v>
      </c>
      <c r="E7063" t="s">
        <v>16218</v>
      </c>
      <c r="F7063" t="s">
        <v>16220</v>
      </c>
      <c r="G7063" t="s">
        <v>16299</v>
      </c>
      <c r="H7063" t="s">
        <v>16299</v>
      </c>
      <c r="I7063" t="s">
        <v>16382</v>
      </c>
      <c r="J7063" t="s">
        <v>16385</v>
      </c>
      <c r="K7063">
        <v>0.179</v>
      </c>
      <c r="L7063">
        <v>7818</v>
      </c>
      <c r="M7063">
        <v>1671</v>
      </c>
      <c r="N7063" t="s">
        <v>16393</v>
      </c>
      <c r="O7063" s="4">
        <v>54797</v>
      </c>
      <c r="P7063" s="4">
        <v>68507</v>
      </c>
      <c r="Q7063" s="4">
        <v>123304</v>
      </c>
      <c r="R7063" s="4">
        <v>369912</v>
      </c>
      <c r="S7063" t="s">
        <v>23214</v>
      </c>
      <c r="T7063" s="6">
        <v>42887</v>
      </c>
      <c r="U7063" s="4">
        <v>285000</v>
      </c>
      <c r="V7063" t="s">
        <v>23739</v>
      </c>
      <c r="W7063" t="s">
        <v>27596</v>
      </c>
      <c r="X7063" t="s">
        <v>3</v>
      </c>
      <c r="AA7063" s="5" t="str">
        <f>HYPERLINK("https://www.zillow.com/homes/2049-SUNNYDALE-ST-WOODRIDGE-IL-605171823_rb/","check listing")</f>
        <v>check listing</v>
      </c>
      <c r="AB7063" s="5" t="str">
        <f>HYPERLINK("https://propertylookup.dupagecounty.gov/Datalets/Datalet.aspx?UseSearch=no&amp;mode=sales&amp;pin=0824417008","sales record")</f>
        <v>sales record</v>
      </c>
      <c r="AC7063" t="s">
        <v>3</v>
      </c>
      <c r="AD7063">
        <v>41.760034</v>
      </c>
      <c r="AE7063">
        <v>-88.03352099999999</v>
      </c>
      <c r="AF7063" s="5" t="str">
        <f>HYPERLINK("https://www.google.com/maps/search/?api=1&amp;query=41.760034,-88.033521","map")</f>
        <v>map</v>
      </c>
    </row>
    <row r="7064" spans="1:32">
      <c r="A7064" t="s">
        <v>7114</v>
      </c>
      <c r="B7064" t="s">
        <v>14566</v>
      </c>
      <c r="C7064" t="s">
        <v>15323</v>
      </c>
      <c r="D7064" t="s">
        <v>16215</v>
      </c>
      <c r="E7064" t="s">
        <v>16218</v>
      </c>
      <c r="F7064" t="s">
        <v>16220</v>
      </c>
      <c r="G7064" t="s">
        <v>16299</v>
      </c>
      <c r="H7064" t="s">
        <v>16299</v>
      </c>
      <c r="I7064" t="s">
        <v>16382</v>
      </c>
      <c r="J7064" t="s">
        <v>16385</v>
      </c>
      <c r="K7064">
        <v>0.179</v>
      </c>
      <c r="L7064">
        <v>7800</v>
      </c>
      <c r="M7064">
        <v>1503</v>
      </c>
      <c r="N7064" t="s">
        <v>16393</v>
      </c>
      <c r="O7064" s="4">
        <v>54797</v>
      </c>
      <c r="P7064" s="4">
        <v>79519</v>
      </c>
      <c r="Q7064" s="4">
        <v>134316</v>
      </c>
      <c r="R7064" s="4">
        <v>402948</v>
      </c>
      <c r="S7064" t="s">
        <v>23215</v>
      </c>
      <c r="T7064" s="6">
        <v>37347</v>
      </c>
      <c r="U7064" s="4">
        <v>214500</v>
      </c>
      <c r="V7064" t="s">
        <v>23739</v>
      </c>
      <c r="W7064" t="s">
        <v>27597</v>
      </c>
      <c r="X7064" t="s">
        <v>3</v>
      </c>
      <c r="AA7064" s="5" t="str">
        <f>HYPERLINK("https://www.zillow.com/homes/2060-VANTAGE-ST-WOODRIDGE-IL-60517_rb/","check listing")</f>
        <v>check listing</v>
      </c>
      <c r="AB7064" s="5" t="str">
        <f>HYPERLINK("https://propertylookup.dupagecounty.gov/Datalets/Datalet.aspx?UseSearch=no&amp;mode=sales&amp;pin=0824414042","sales record")</f>
        <v>sales record</v>
      </c>
      <c r="AC7064" t="s">
        <v>3</v>
      </c>
      <c r="AD7064">
        <v>41.760956</v>
      </c>
      <c r="AE7064">
        <v>-88.034139</v>
      </c>
      <c r="AF7064" s="5" t="str">
        <f>HYPERLINK("https://www.google.com/maps/search/?api=1&amp;query=41.760956,-88.034139","map")</f>
        <v>map</v>
      </c>
    </row>
    <row r="7065" spans="1:32">
      <c r="A7065" t="s">
        <v>7115</v>
      </c>
      <c r="B7065" t="s">
        <v>14567</v>
      </c>
      <c r="C7065" t="s">
        <v>15323</v>
      </c>
      <c r="D7065" t="s">
        <v>16215</v>
      </c>
      <c r="E7065" t="s">
        <v>16218</v>
      </c>
      <c r="F7065" t="s">
        <v>16220</v>
      </c>
      <c r="G7065" t="s">
        <v>16299</v>
      </c>
      <c r="H7065" t="s">
        <v>16299</v>
      </c>
      <c r="I7065" t="s">
        <v>16382</v>
      </c>
      <c r="J7065" t="s">
        <v>16385</v>
      </c>
      <c r="K7065">
        <v>0.179</v>
      </c>
      <c r="L7065">
        <v>7795</v>
      </c>
      <c r="M7065">
        <v>1253</v>
      </c>
      <c r="N7065" t="s">
        <v>16393</v>
      </c>
      <c r="O7065" s="4">
        <v>54797</v>
      </c>
      <c r="P7065" s="4">
        <v>71719</v>
      </c>
      <c r="Q7065" s="4">
        <v>126516</v>
      </c>
      <c r="R7065" s="4">
        <v>379548</v>
      </c>
      <c r="S7065" t="s">
        <v>23216</v>
      </c>
      <c r="T7065" s="6">
        <v>37257</v>
      </c>
      <c r="U7065" s="4">
        <v>176900</v>
      </c>
      <c r="V7065" t="s">
        <v>23739</v>
      </c>
      <c r="W7065" t="s">
        <v>23216</v>
      </c>
      <c r="X7065" t="s">
        <v>3</v>
      </c>
      <c r="AA7065" s="5" t="str">
        <f>HYPERLINK("https://www.zillow.com/homes/6713-CHERRY-TREE-AVE-WOODRIDGE-IL-60517_rb/","check listing")</f>
        <v>check listing</v>
      </c>
      <c r="AB7065" s="5" t="str">
        <f>HYPERLINK("https://propertylookup.dupagecounty.gov/Datalets/Datalet.aspx?UseSearch=no&amp;mode=sales&amp;pin=0824316003","sales record")</f>
        <v>sales record</v>
      </c>
      <c r="AC7065" t="s">
        <v>3</v>
      </c>
      <c r="AD7065">
        <v>41.763894</v>
      </c>
      <c r="AE7065">
        <v>-88.046836</v>
      </c>
      <c r="AF7065" s="5" t="str">
        <f>HYPERLINK("https://www.google.com/maps/search/?api=1&amp;query=41.763894,-88.046836","map")</f>
        <v>map</v>
      </c>
    </row>
    <row r="7066" spans="1:32">
      <c r="A7066" t="s">
        <v>7116</v>
      </c>
      <c r="B7066" t="s">
        <v>14568</v>
      </c>
      <c r="C7066" t="s">
        <v>16147</v>
      </c>
      <c r="D7066" t="s">
        <v>16215</v>
      </c>
      <c r="E7066" t="s">
        <v>16218</v>
      </c>
      <c r="F7066" t="s">
        <v>16220</v>
      </c>
      <c r="G7066" t="s">
        <v>16299</v>
      </c>
      <c r="H7066" t="s">
        <v>16299</v>
      </c>
      <c r="I7066" t="s">
        <v>16382</v>
      </c>
      <c r="J7066" t="s">
        <v>16385</v>
      </c>
      <c r="K7066">
        <v>0.179</v>
      </c>
      <c r="L7066">
        <v>7783</v>
      </c>
      <c r="M7066">
        <v>1795</v>
      </c>
      <c r="N7066" t="s">
        <v>16393</v>
      </c>
      <c r="O7066" s="4">
        <v>54797</v>
      </c>
      <c r="P7066" s="4">
        <v>81981</v>
      </c>
      <c r="Q7066" s="4">
        <v>136778</v>
      </c>
      <c r="R7066" s="4">
        <v>410334</v>
      </c>
      <c r="S7066" t="s">
        <v>23217</v>
      </c>
      <c r="T7066" s="6">
        <v>43466</v>
      </c>
      <c r="U7066" s="4">
        <v>295000</v>
      </c>
      <c r="V7066" t="s">
        <v>23739</v>
      </c>
      <c r="W7066" t="s">
        <v>27598</v>
      </c>
      <c r="X7066" t="s">
        <v>3</v>
      </c>
      <c r="AA7066" s="5" t="str">
        <f>HYPERLINK("https://www.zillow.com/homes/6709-FOXTREE-AVE-WOODRIDGE-IL-605171728_rb/","check listing")</f>
        <v>check listing</v>
      </c>
      <c r="AB7066" s="5" t="str">
        <f>HYPERLINK("https://propertylookup.dupagecounty.gov/Datalets/Datalet.aspx?UseSearch=no&amp;mode=sales&amp;pin=0824317003","sales record")</f>
        <v>sales record</v>
      </c>
      <c r="AC7066" t="s">
        <v>3</v>
      </c>
      <c r="AD7066">
        <v>41.764427</v>
      </c>
      <c r="AE7066">
        <v>-88.044995</v>
      </c>
      <c r="AF7066" s="5" t="str">
        <f>HYPERLINK("https://www.google.com/maps/search/?api=1&amp;query=41.764427,-88.044995","map")</f>
        <v>map</v>
      </c>
    </row>
    <row r="7067" spans="1:32">
      <c r="A7067" t="s">
        <v>7117</v>
      </c>
      <c r="B7067" t="s">
        <v>14569</v>
      </c>
      <c r="C7067" t="s">
        <v>15323</v>
      </c>
      <c r="D7067" t="s">
        <v>16215</v>
      </c>
      <c r="E7067" t="s">
        <v>16218</v>
      </c>
      <c r="F7067" t="s">
        <v>16220</v>
      </c>
      <c r="G7067" t="s">
        <v>16299</v>
      </c>
      <c r="H7067" t="s">
        <v>16299</v>
      </c>
      <c r="I7067" t="s">
        <v>16382</v>
      </c>
      <c r="J7067" t="s">
        <v>16385</v>
      </c>
      <c r="K7067">
        <v>0.178</v>
      </c>
      <c r="L7067">
        <v>7775</v>
      </c>
      <c r="M7067">
        <v>1493</v>
      </c>
      <c r="N7067" t="s">
        <v>16393</v>
      </c>
      <c r="O7067" s="4">
        <v>54797</v>
      </c>
      <c r="P7067" s="4">
        <v>79983</v>
      </c>
      <c r="Q7067" s="4">
        <v>134780</v>
      </c>
      <c r="R7067" s="4">
        <v>404340</v>
      </c>
      <c r="S7067" t="s">
        <v>23218</v>
      </c>
      <c r="T7067" s="6">
        <v>45980</v>
      </c>
      <c r="U7067" s="4">
        <v>430000</v>
      </c>
      <c r="V7067" t="s">
        <v>23739</v>
      </c>
      <c r="W7067" t="s">
        <v>27599</v>
      </c>
      <c r="X7067" t="s">
        <v>3</v>
      </c>
      <c r="AA7067" s="5" t="str">
        <f>HYPERLINK("https://www.zillow.com/homes/2565-YELLOW-STAR-ST-WOODRIDGE-IL-60517_rb/","check listing")</f>
        <v>check listing</v>
      </c>
      <c r="AB7067" s="5" t="str">
        <f>HYPERLINK("https://propertylookup.dupagecounty.gov/Datalets/Datalet.aspx?UseSearch=no&amp;mode=sales&amp;pin=0824315005","sales record")</f>
        <v>sales record</v>
      </c>
      <c r="AC7067" t="s">
        <v>3</v>
      </c>
      <c r="AD7067">
        <v>41.763411</v>
      </c>
      <c r="AE7067">
        <v>-88.048361</v>
      </c>
      <c r="AF7067" s="5" t="str">
        <f>HYPERLINK("https://www.google.com/maps/search/?api=1&amp;query=41.763411,-88.048361","map")</f>
        <v>map</v>
      </c>
    </row>
    <row r="7068" spans="1:32">
      <c r="A7068" t="s">
        <v>7118</v>
      </c>
      <c r="B7068" t="s">
        <v>14570</v>
      </c>
      <c r="C7068" t="s">
        <v>16148</v>
      </c>
      <c r="D7068" t="s">
        <v>16215</v>
      </c>
      <c r="E7068" t="s">
        <v>16218</v>
      </c>
      <c r="F7068" t="s">
        <v>16220</v>
      </c>
      <c r="G7068" t="s">
        <v>16299</v>
      </c>
      <c r="H7068" t="s">
        <v>16299</v>
      </c>
      <c r="I7068" t="s">
        <v>16382</v>
      </c>
      <c r="J7068" t="s">
        <v>16385</v>
      </c>
      <c r="K7068">
        <v>0.178</v>
      </c>
      <c r="L7068">
        <v>7774</v>
      </c>
      <c r="M7068">
        <v>2771</v>
      </c>
      <c r="N7068" t="s">
        <v>16393</v>
      </c>
      <c r="O7068" s="4">
        <v>57651</v>
      </c>
      <c r="P7068" s="4">
        <v>86322</v>
      </c>
      <c r="Q7068" s="4">
        <v>143973</v>
      </c>
      <c r="R7068" s="4">
        <v>431919</v>
      </c>
      <c r="S7068" t="s">
        <v>23219</v>
      </c>
      <c r="T7068" s="6">
        <v>31656</v>
      </c>
      <c r="U7068" s="4">
        <v>96000</v>
      </c>
      <c r="X7068" t="s">
        <v>3</v>
      </c>
      <c r="AA7068" s="5" t="str">
        <f>HYPERLINK("https://www.zillow.com/homes/3-SUN-DROP-CT-WOODRIDGE-IL-605172014_rb/","check listing")</f>
        <v>check listing</v>
      </c>
      <c r="AB7068" s="5" t="str">
        <f>HYPERLINK("https://propertylookup.dupagecounty.gov/Datalets/Datalet.aspx?UseSearch=no&amp;mode=sales&amp;pin=0824309018","sales record")</f>
        <v>sales record</v>
      </c>
      <c r="AC7068" t="s">
        <v>3</v>
      </c>
      <c r="AD7068">
        <v>41.760918</v>
      </c>
      <c r="AE7068">
        <v>-88.050544</v>
      </c>
      <c r="AF7068" s="5" t="str">
        <f>HYPERLINK("https://www.google.com/maps/search/?api=1&amp;query=41.760918,-88.050544","map")</f>
        <v>map</v>
      </c>
    </row>
    <row r="7069" spans="1:32">
      <c r="A7069" t="s">
        <v>7119</v>
      </c>
      <c r="B7069" t="s">
        <v>14571</v>
      </c>
      <c r="C7069" t="s">
        <v>16117</v>
      </c>
      <c r="D7069" t="s">
        <v>16215</v>
      </c>
      <c r="E7069" t="s">
        <v>16218</v>
      </c>
      <c r="F7069" t="s">
        <v>16220</v>
      </c>
      <c r="G7069" t="s">
        <v>16299</v>
      </c>
      <c r="H7069" t="s">
        <v>16299</v>
      </c>
      <c r="I7069" t="s">
        <v>16382</v>
      </c>
      <c r="J7069" t="s">
        <v>16385</v>
      </c>
      <c r="K7069">
        <v>0.178</v>
      </c>
      <c r="L7069">
        <v>7768</v>
      </c>
      <c r="M7069">
        <v>2441</v>
      </c>
      <c r="N7069" t="s">
        <v>16393</v>
      </c>
      <c r="O7069" s="4">
        <v>50064</v>
      </c>
      <c r="P7069" s="4">
        <v>72254</v>
      </c>
      <c r="Q7069" s="4">
        <v>122318</v>
      </c>
      <c r="R7069" s="4">
        <v>366954</v>
      </c>
      <c r="S7069" t="s">
        <v>23220</v>
      </c>
      <c r="T7069" s="6">
        <v>38930</v>
      </c>
      <c r="U7069" s="4">
        <v>295500</v>
      </c>
      <c r="V7069" t="s">
        <v>23739</v>
      </c>
      <c r="W7069" t="s">
        <v>27600</v>
      </c>
      <c r="X7069" t="s">
        <v>3</v>
      </c>
      <c r="AA7069" s="5" t="str">
        <f>HYPERLINK("https://www.zillow.com/homes/2656-ZURICH-CT-WOODRIDGE-IL-605174506_rb/","check listing")</f>
        <v>check listing</v>
      </c>
      <c r="AB7069" s="5" t="str">
        <f>HYPERLINK("https://propertylookup.dupagecounty.gov/Datalets/Datalet.aspx?UseSearch=no&amp;mode=sales&amp;pin=0836102001","sales record")</f>
        <v>sales record</v>
      </c>
      <c r="AC7069" t="s">
        <v>3</v>
      </c>
      <c r="AD7069">
        <v>41.737501</v>
      </c>
      <c r="AE7069">
        <v>-88.046689</v>
      </c>
      <c r="AF7069" s="5" t="str">
        <f>HYPERLINK("https://www.google.com/maps/search/?api=1&amp;query=41.737501,-88.046689","map")</f>
        <v>map</v>
      </c>
    </row>
    <row r="7070" spans="1:32">
      <c r="A7070" t="s">
        <v>7120</v>
      </c>
      <c r="B7070" t="s">
        <v>14572</v>
      </c>
      <c r="C7070" t="s">
        <v>15323</v>
      </c>
      <c r="D7070" t="s">
        <v>16215</v>
      </c>
      <c r="E7070" t="s">
        <v>16218</v>
      </c>
      <c r="F7070" t="s">
        <v>16220</v>
      </c>
      <c r="G7070" t="s">
        <v>16299</v>
      </c>
      <c r="H7070" t="s">
        <v>16299</v>
      </c>
      <c r="I7070" t="s">
        <v>16382</v>
      </c>
      <c r="J7070" t="s">
        <v>16385</v>
      </c>
      <c r="K7070">
        <v>0.178</v>
      </c>
      <c r="L7070">
        <v>7752</v>
      </c>
      <c r="M7070">
        <v>1614</v>
      </c>
      <c r="N7070" t="s">
        <v>16393</v>
      </c>
      <c r="O7070" s="4">
        <v>55308</v>
      </c>
      <c r="P7070" s="4">
        <v>54547</v>
      </c>
      <c r="Q7070" s="4">
        <v>109855</v>
      </c>
      <c r="R7070" s="4">
        <v>329565</v>
      </c>
      <c r="S7070" t="s">
        <v>23221</v>
      </c>
      <c r="X7070" t="s">
        <v>3</v>
      </c>
      <c r="AA7070" s="5" t="str">
        <f>HYPERLINK("https://www.zillow.com/homes/2601-ZURICH-CT-WOODRIDGE-IL-60517_rb/","check listing")</f>
        <v>check listing</v>
      </c>
      <c r="AB7070" s="5" t="str">
        <f>HYPERLINK("https://propertylookup.dupagecounty.gov/Datalets/Datalet.aspx?UseSearch=no&amp;mode=sales&amp;pin=0836103014","sales record")</f>
        <v>sales record</v>
      </c>
      <c r="AC7070" t="s">
        <v>3</v>
      </c>
      <c r="AD7070">
        <v>41.736978</v>
      </c>
      <c r="AE7070">
        <v>-88.044157</v>
      </c>
      <c r="AF7070" s="5" t="str">
        <f>HYPERLINK("https://www.google.com/maps/search/?api=1&amp;query=41.736978,-88.044157","map")</f>
        <v>map</v>
      </c>
    </row>
    <row r="7071" spans="1:32">
      <c r="A7071" t="s">
        <v>7121</v>
      </c>
      <c r="B7071" t="s">
        <v>14573</v>
      </c>
      <c r="C7071" t="s">
        <v>15323</v>
      </c>
      <c r="D7071" t="s">
        <v>16215</v>
      </c>
      <c r="E7071" t="s">
        <v>16218</v>
      </c>
      <c r="F7071" t="s">
        <v>16220</v>
      </c>
      <c r="G7071" t="s">
        <v>16299</v>
      </c>
      <c r="H7071" t="s">
        <v>16299</v>
      </c>
      <c r="I7071" t="s">
        <v>16382</v>
      </c>
      <c r="J7071" t="s">
        <v>16385</v>
      </c>
      <c r="K7071">
        <v>0.178</v>
      </c>
      <c r="L7071">
        <v>7748</v>
      </c>
      <c r="M7071">
        <v>1979</v>
      </c>
      <c r="N7071" t="s">
        <v>16393</v>
      </c>
      <c r="O7071" s="4">
        <v>57651</v>
      </c>
      <c r="P7071" s="4">
        <v>82611</v>
      </c>
      <c r="Q7071" s="4">
        <v>140262</v>
      </c>
      <c r="R7071" s="4">
        <v>420786</v>
      </c>
      <c r="S7071" t="s">
        <v>23222</v>
      </c>
      <c r="T7071" s="6">
        <v>44013</v>
      </c>
      <c r="U7071" s="4">
        <v>300000</v>
      </c>
      <c r="V7071" t="s">
        <v>23739</v>
      </c>
      <c r="W7071" t="s">
        <v>27601</v>
      </c>
      <c r="X7071" t="s">
        <v>3</v>
      </c>
      <c r="AA7071" s="5" t="str">
        <f>HYPERLINK("https://www.zillow.com/homes/6953-SUN-DROP-AVE-WOODRIDGE-IL-60517_rb/","check listing")</f>
        <v>check listing</v>
      </c>
      <c r="AB7071" s="5" t="str">
        <f>HYPERLINK("https://propertylookup.dupagecounty.gov/Datalets/Datalet.aspx?UseSearch=no&amp;mode=sales&amp;pin=0824309017","sales record")</f>
        <v>sales record</v>
      </c>
      <c r="AC7071" t="s">
        <v>3</v>
      </c>
      <c r="AD7071">
        <v>41.759049</v>
      </c>
      <c r="AE7071">
        <v>-88.049344</v>
      </c>
      <c r="AF7071" s="5" t="str">
        <f>HYPERLINK("https://www.google.com/maps/search/?api=1&amp;query=41.759049,-88.049344","map")</f>
        <v>map</v>
      </c>
    </row>
    <row r="7072" spans="1:32">
      <c r="A7072" t="s">
        <v>7122</v>
      </c>
      <c r="B7072" t="s">
        <v>14574</v>
      </c>
      <c r="C7072" t="s">
        <v>15323</v>
      </c>
      <c r="D7072" t="s">
        <v>16215</v>
      </c>
      <c r="E7072" t="s">
        <v>16218</v>
      </c>
      <c r="F7072" t="s">
        <v>16220</v>
      </c>
      <c r="G7072" t="s">
        <v>16299</v>
      </c>
      <c r="H7072" t="s">
        <v>16299</v>
      </c>
      <c r="I7072" t="s">
        <v>16382</v>
      </c>
      <c r="J7072" t="s">
        <v>16385</v>
      </c>
      <c r="K7072">
        <v>0.178</v>
      </c>
      <c r="L7072">
        <v>7741</v>
      </c>
      <c r="M7072">
        <v>1245</v>
      </c>
      <c r="N7072" t="s">
        <v>16393</v>
      </c>
      <c r="O7072" s="4">
        <v>54797</v>
      </c>
      <c r="P7072" s="4">
        <v>61812</v>
      </c>
      <c r="Q7072" s="4">
        <v>116609</v>
      </c>
      <c r="R7072" s="4">
        <v>349827</v>
      </c>
      <c r="S7072" t="s">
        <v>23223</v>
      </c>
      <c r="T7072" s="6">
        <v>37438</v>
      </c>
      <c r="U7072" s="4">
        <v>212000</v>
      </c>
      <c r="V7072" t="s">
        <v>23739</v>
      </c>
      <c r="W7072" t="s">
        <v>27602</v>
      </c>
      <c r="X7072" t="s">
        <v>3</v>
      </c>
      <c r="AA7072" s="5" t="str">
        <f>HYPERLINK("https://www.zillow.com/homes/2561-YELLOW-STAR-ST-WOODRIDGE-IL-60517_rb/","check listing")</f>
        <v>check listing</v>
      </c>
      <c r="AB7072" s="5" t="str">
        <f>HYPERLINK("https://propertylookup.dupagecounty.gov/Datalets/Datalet.aspx?UseSearch=no&amp;mode=sales&amp;pin=0824315004","sales record")</f>
        <v>sales record</v>
      </c>
      <c r="AC7072" t="s">
        <v>3</v>
      </c>
      <c r="AD7072">
        <v>41.7636</v>
      </c>
      <c r="AE7072">
        <v>-88.04824600000001</v>
      </c>
      <c r="AF7072" s="5" t="str">
        <f>HYPERLINK("https://www.google.com/maps/search/?api=1&amp;query=41.7636,-88.048246","map")</f>
        <v>map</v>
      </c>
    </row>
    <row r="7073" spans="1:32">
      <c r="A7073" t="s">
        <v>7123</v>
      </c>
      <c r="B7073" t="s">
        <v>14575</v>
      </c>
      <c r="C7073" t="s">
        <v>15323</v>
      </c>
      <c r="D7073" t="s">
        <v>16215</v>
      </c>
      <c r="E7073" t="s">
        <v>16218</v>
      </c>
      <c r="F7073" t="s">
        <v>16220</v>
      </c>
      <c r="G7073" t="s">
        <v>16299</v>
      </c>
      <c r="H7073" t="s">
        <v>16299</v>
      </c>
      <c r="I7073" t="s">
        <v>16382</v>
      </c>
      <c r="J7073" t="s">
        <v>16385</v>
      </c>
      <c r="K7073">
        <v>0.178</v>
      </c>
      <c r="L7073">
        <v>7736</v>
      </c>
      <c r="M7073">
        <v>1579</v>
      </c>
      <c r="N7073" t="s">
        <v>16393</v>
      </c>
      <c r="O7073" s="4">
        <v>54797</v>
      </c>
      <c r="P7073" s="4">
        <v>84835</v>
      </c>
      <c r="Q7073" s="4">
        <v>139632</v>
      </c>
      <c r="R7073" s="4">
        <v>418896</v>
      </c>
      <c r="S7073" t="s">
        <v>23224</v>
      </c>
      <c r="T7073" s="6">
        <v>34243</v>
      </c>
      <c r="U7073" s="4">
        <v>148000</v>
      </c>
      <c r="X7073" t="s">
        <v>3</v>
      </c>
      <c r="AA7073" s="5" t="str">
        <f>HYPERLINK("https://www.zillow.com/homes/2505-YELLOW-STAR-ST-WOODRIDGE-IL-60517_rb/","check listing")</f>
        <v>check listing</v>
      </c>
      <c r="AB7073" s="5" t="str">
        <f>HYPERLINK("https://propertylookup.dupagecounty.gov/Datalets/Datalet.aspx?UseSearch=no&amp;mode=sales&amp;pin=0824316008","sales record")</f>
        <v>sales record</v>
      </c>
      <c r="AC7073" t="s">
        <v>3</v>
      </c>
      <c r="AD7073">
        <v>41.764319</v>
      </c>
      <c r="AE7073">
        <v>-88.045875</v>
      </c>
      <c r="AF7073" s="5" t="str">
        <f>HYPERLINK("https://www.google.com/maps/search/?api=1&amp;query=41.764319,-88.045875","map")</f>
        <v>map</v>
      </c>
    </row>
    <row r="7074" spans="1:32">
      <c r="A7074" t="s">
        <v>7124</v>
      </c>
      <c r="B7074" t="s">
        <v>14576</v>
      </c>
      <c r="C7074" t="s">
        <v>16139</v>
      </c>
      <c r="D7074" t="s">
        <v>16215</v>
      </c>
      <c r="E7074" t="s">
        <v>16218</v>
      </c>
      <c r="F7074" t="s">
        <v>16220</v>
      </c>
      <c r="G7074" t="s">
        <v>16299</v>
      </c>
      <c r="H7074" t="s">
        <v>16299</v>
      </c>
      <c r="I7074" t="s">
        <v>16382</v>
      </c>
      <c r="J7074" t="s">
        <v>16385</v>
      </c>
      <c r="K7074">
        <v>0.178</v>
      </c>
      <c r="L7074">
        <v>7735</v>
      </c>
      <c r="M7074">
        <v>1714</v>
      </c>
      <c r="N7074" t="s">
        <v>16393</v>
      </c>
      <c r="O7074" s="4">
        <v>54797</v>
      </c>
      <c r="P7074" s="4">
        <v>64798</v>
      </c>
      <c r="Q7074" s="4">
        <v>119595</v>
      </c>
      <c r="R7074" s="4">
        <v>358785</v>
      </c>
      <c r="S7074" t="s">
        <v>23225</v>
      </c>
      <c r="T7074" s="6">
        <v>41000</v>
      </c>
      <c r="U7074" s="4">
        <v>197000</v>
      </c>
      <c r="V7074" t="s">
        <v>23739</v>
      </c>
      <c r="W7074" t="s">
        <v>27603</v>
      </c>
      <c r="X7074" t="s">
        <v>3</v>
      </c>
      <c r="AA7074" s="5" t="str">
        <f>HYPERLINK("https://www.zillow.com/homes/6843-HARVEST-AVE-WOODRIDGE-IL-605171805_rb/","check listing")</f>
        <v>check listing</v>
      </c>
      <c r="AB7074" s="5" t="str">
        <f>HYPERLINK("https://propertylookup.dupagecounty.gov/Datalets/Datalet.aspx?UseSearch=no&amp;mode=sales&amp;pin=0824416006","sales record")</f>
        <v>sales record</v>
      </c>
      <c r="AC7074" t="s">
        <v>3</v>
      </c>
      <c r="AD7074">
        <v>41.761622</v>
      </c>
      <c r="AE7074">
        <v>-88.032882</v>
      </c>
      <c r="AF7074" s="5" t="str">
        <f>HYPERLINK("https://www.google.com/maps/search/?api=1&amp;query=41.761622,-88.032882","map")</f>
        <v>map</v>
      </c>
    </row>
    <row r="7075" spans="1:32">
      <c r="A7075" t="s">
        <v>7125</v>
      </c>
      <c r="B7075" t="s">
        <v>14577</v>
      </c>
      <c r="C7075" t="s">
        <v>16149</v>
      </c>
      <c r="D7075" t="s">
        <v>16215</v>
      </c>
      <c r="E7075" t="s">
        <v>16218</v>
      </c>
      <c r="F7075" t="s">
        <v>16220</v>
      </c>
      <c r="G7075" t="s">
        <v>16299</v>
      </c>
      <c r="H7075" t="s">
        <v>16299</v>
      </c>
      <c r="I7075" t="s">
        <v>16382</v>
      </c>
      <c r="J7075" t="s">
        <v>16385</v>
      </c>
      <c r="K7075">
        <v>0.177</v>
      </c>
      <c r="L7075">
        <v>7718</v>
      </c>
      <c r="M7075">
        <v>1843</v>
      </c>
      <c r="N7075" t="s">
        <v>16393</v>
      </c>
      <c r="O7075" s="4">
        <v>54797</v>
      </c>
      <c r="P7075" s="4">
        <v>79983</v>
      </c>
      <c r="Q7075" s="4">
        <v>134780</v>
      </c>
      <c r="R7075" s="4">
        <v>404340</v>
      </c>
      <c r="S7075" t="s">
        <v>23226</v>
      </c>
      <c r="T7075" s="6">
        <v>37712</v>
      </c>
      <c r="U7075" s="4">
        <v>219500</v>
      </c>
      <c r="V7075" t="s">
        <v>23739</v>
      </c>
      <c r="W7075" t="s">
        <v>27604</v>
      </c>
      <c r="X7075" t="s">
        <v>3</v>
      </c>
      <c r="AA7075" s="5" t="str">
        <f>HYPERLINK("https://www.zillow.com/homes/6912-HARVEST-AVE-WOODRIDGE-IL-605171801_rb/","check listing")</f>
        <v>check listing</v>
      </c>
      <c r="AB7075" s="5" t="str">
        <f>HYPERLINK("https://propertylookup.dupagecounty.gov/Datalets/Datalet.aspx?UseSearch=no&amp;mode=sales&amp;pin=0824414048","sales record")</f>
        <v>sales record</v>
      </c>
      <c r="AC7075" t="s">
        <v>3</v>
      </c>
      <c r="AD7075">
        <v>41.760516</v>
      </c>
      <c r="AE7075">
        <v>-88.03314399999999</v>
      </c>
      <c r="AF7075" s="5" t="str">
        <f>HYPERLINK("https://www.google.com/maps/search/?api=1&amp;query=41.760516,-88.033144","map")</f>
        <v>map</v>
      </c>
    </row>
    <row r="7076" spans="1:32">
      <c r="A7076" t="s">
        <v>7126</v>
      </c>
      <c r="B7076" t="s">
        <v>14578</v>
      </c>
      <c r="C7076" t="s">
        <v>15323</v>
      </c>
      <c r="D7076" t="s">
        <v>16215</v>
      </c>
      <c r="E7076" t="s">
        <v>16218</v>
      </c>
      <c r="F7076" t="s">
        <v>16220</v>
      </c>
      <c r="G7076" t="s">
        <v>16299</v>
      </c>
      <c r="H7076" t="s">
        <v>16299</v>
      </c>
      <c r="I7076" t="s">
        <v>16382</v>
      </c>
      <c r="J7076" t="s">
        <v>16385</v>
      </c>
      <c r="K7076">
        <v>0.177</v>
      </c>
      <c r="L7076">
        <v>7711</v>
      </c>
      <c r="M7076">
        <v>1585</v>
      </c>
      <c r="N7076" t="s">
        <v>16393</v>
      </c>
      <c r="O7076" s="4">
        <v>54797</v>
      </c>
      <c r="P7076" s="4">
        <v>83920</v>
      </c>
      <c r="Q7076" s="4">
        <v>138717</v>
      </c>
      <c r="R7076" s="4">
        <v>416151</v>
      </c>
      <c r="S7076" t="s">
        <v>23227</v>
      </c>
      <c r="T7076" s="6">
        <v>36342</v>
      </c>
      <c r="U7076" s="4">
        <v>158000</v>
      </c>
      <c r="X7076" t="s">
        <v>3</v>
      </c>
      <c r="AA7076" s="5" t="str">
        <f>HYPERLINK("https://www.zillow.com/homes/2019-VANTAGE-ST-WOODRIDGE-IL-60517_rb/","check listing")</f>
        <v>check listing</v>
      </c>
      <c r="AB7076" s="5" t="str">
        <f>HYPERLINK("https://propertylookup.dupagecounty.gov/Datalets/Datalet.aspx?UseSearch=no&amp;mode=sales&amp;pin=0824415032","sales record")</f>
        <v>sales record</v>
      </c>
      <c r="AC7076" t="s">
        <v>3</v>
      </c>
      <c r="AD7076">
        <v>41.761035</v>
      </c>
      <c r="AE7076">
        <v>-88.03252000000001</v>
      </c>
      <c r="AF7076" s="5" t="str">
        <f>HYPERLINK("https://www.google.com/maps/search/?api=1&amp;query=41.761035,-88.03252","map")</f>
        <v>map</v>
      </c>
    </row>
    <row r="7077" spans="1:32">
      <c r="A7077" t="s">
        <v>7127</v>
      </c>
      <c r="B7077" t="s">
        <v>14579</v>
      </c>
      <c r="C7077" t="s">
        <v>16120</v>
      </c>
      <c r="D7077" t="s">
        <v>16215</v>
      </c>
      <c r="E7077" t="s">
        <v>16218</v>
      </c>
      <c r="F7077" t="s">
        <v>16220</v>
      </c>
      <c r="G7077" t="s">
        <v>16299</v>
      </c>
      <c r="H7077" t="s">
        <v>16299</v>
      </c>
      <c r="I7077" t="s">
        <v>16382</v>
      </c>
      <c r="J7077" t="s">
        <v>16385</v>
      </c>
      <c r="K7077">
        <v>0.177</v>
      </c>
      <c r="L7077">
        <v>7706</v>
      </c>
      <c r="M7077">
        <v>1186</v>
      </c>
      <c r="N7077" t="s">
        <v>16393</v>
      </c>
      <c r="O7077" s="4">
        <v>54797</v>
      </c>
      <c r="P7077" s="4">
        <v>64024</v>
      </c>
      <c r="Q7077" s="4">
        <v>118821</v>
      </c>
      <c r="R7077" s="4">
        <v>356463</v>
      </c>
      <c r="S7077" t="s">
        <v>23228</v>
      </c>
      <c r="T7077" s="6">
        <v>45840</v>
      </c>
      <c r="U7077" s="4">
        <v>430000</v>
      </c>
      <c r="V7077" t="s">
        <v>23739</v>
      </c>
      <c r="W7077" t="s">
        <v>27605</v>
      </c>
      <c r="X7077" t="s">
        <v>3</v>
      </c>
      <c r="AA7077" s="5" t="str">
        <f>HYPERLINK("https://www.zillow.com/homes/2569-YELLOW-STAR-ST-WOODRIDGE-IL-605171709_rb/","check listing")</f>
        <v>check listing</v>
      </c>
      <c r="AB7077" s="5" t="str">
        <f>HYPERLINK("https://propertylookup.dupagecounty.gov/Datalets/Datalet.aspx?UseSearch=no&amp;mode=sales&amp;pin=0824315006","sales record")</f>
        <v>sales record</v>
      </c>
      <c r="AC7077" t="s">
        <v>3</v>
      </c>
      <c r="AD7077">
        <v>41.763234</v>
      </c>
      <c r="AE7077">
        <v>-88.048467</v>
      </c>
      <c r="AF7077" s="5" t="str">
        <f>HYPERLINK("https://www.google.com/maps/search/?api=1&amp;query=41.763234,-88.048467","map")</f>
        <v>map</v>
      </c>
    </row>
    <row r="7078" spans="1:32">
      <c r="A7078" t="s">
        <v>7128</v>
      </c>
      <c r="B7078" t="s">
        <v>14580</v>
      </c>
      <c r="C7078" t="s">
        <v>15323</v>
      </c>
      <c r="D7078" t="s">
        <v>16215</v>
      </c>
      <c r="E7078" t="s">
        <v>16218</v>
      </c>
      <c r="F7078" t="s">
        <v>16220</v>
      </c>
      <c r="G7078" t="s">
        <v>16299</v>
      </c>
      <c r="H7078" t="s">
        <v>16299</v>
      </c>
      <c r="I7078" t="s">
        <v>16382</v>
      </c>
      <c r="J7078" t="s">
        <v>16385</v>
      </c>
      <c r="K7078">
        <v>0.177</v>
      </c>
      <c r="L7078">
        <v>7699</v>
      </c>
      <c r="M7078">
        <v>2406</v>
      </c>
      <c r="N7078" t="s">
        <v>16393</v>
      </c>
      <c r="O7078" s="4">
        <v>54797</v>
      </c>
      <c r="P7078" s="4">
        <v>61301</v>
      </c>
      <c r="Q7078" s="4">
        <v>116098</v>
      </c>
      <c r="R7078" s="4">
        <v>348294</v>
      </c>
      <c r="S7078" t="s">
        <v>23229</v>
      </c>
      <c r="T7078" s="6">
        <v>43556</v>
      </c>
      <c r="U7078" s="4">
        <v>263000</v>
      </c>
      <c r="V7078" t="s">
        <v>23739</v>
      </c>
      <c r="W7078" t="s">
        <v>27606</v>
      </c>
      <c r="X7078" t="s">
        <v>3</v>
      </c>
      <c r="AA7078" s="5" t="str">
        <f>HYPERLINK("https://www.zillow.com/homes/6713-FOX-TREE-AVE-WOODRIDGE-IL-60517_rb/","check listing")</f>
        <v>check listing</v>
      </c>
      <c r="AB7078" s="5" t="str">
        <f>HYPERLINK("https://propertylookup.dupagecounty.gov/Datalets/Datalet.aspx?UseSearch=no&amp;mode=sales&amp;pin=0824317004","sales record")</f>
        <v>sales record</v>
      </c>
      <c r="AC7078" t="s">
        <v>3</v>
      </c>
      <c r="AD7078">
        <v>41.764214</v>
      </c>
      <c r="AE7078">
        <v>-88.04492</v>
      </c>
      <c r="AF7078" s="5" t="str">
        <f>HYPERLINK("https://www.google.com/maps/search/?api=1&amp;query=41.764214,-88.04492","map")</f>
        <v>map</v>
      </c>
    </row>
    <row r="7079" spans="1:32">
      <c r="A7079" t="s">
        <v>7129</v>
      </c>
      <c r="B7079" t="s">
        <v>14581</v>
      </c>
      <c r="C7079" t="s">
        <v>16145</v>
      </c>
      <c r="D7079" t="s">
        <v>16215</v>
      </c>
      <c r="E7079" t="s">
        <v>16218</v>
      </c>
      <c r="F7079" t="s">
        <v>16220</v>
      </c>
      <c r="G7079" t="s">
        <v>16299</v>
      </c>
      <c r="H7079" t="s">
        <v>16299</v>
      </c>
      <c r="I7079" t="s">
        <v>16382</v>
      </c>
      <c r="J7079" t="s">
        <v>16385</v>
      </c>
      <c r="K7079">
        <v>0.176</v>
      </c>
      <c r="L7079">
        <v>7686</v>
      </c>
      <c r="M7079">
        <v>1742</v>
      </c>
      <c r="N7079" t="s">
        <v>16393</v>
      </c>
      <c r="O7079" s="4">
        <v>53060</v>
      </c>
      <c r="P7079" s="4">
        <v>82505</v>
      </c>
      <c r="Q7079" s="4">
        <v>135565</v>
      </c>
      <c r="R7079" s="4">
        <v>406695</v>
      </c>
      <c r="S7079" t="s">
        <v>23230</v>
      </c>
      <c r="T7079" s="6">
        <v>38596</v>
      </c>
      <c r="U7079" s="4">
        <v>300000</v>
      </c>
      <c r="V7079" t="s">
        <v>23739</v>
      </c>
      <c r="W7079" t="s">
        <v>27607</v>
      </c>
      <c r="X7079" t="s">
        <v>3</v>
      </c>
      <c r="AA7079" s="5" t="str">
        <f>HYPERLINK("https://www.zillow.com/homes/6941-RED-BUD-LN-WOODRIDGE-IL-605171748_rb/","check listing")</f>
        <v>check listing</v>
      </c>
      <c r="AB7079" s="5" t="str">
        <f>HYPERLINK("https://propertylookup.dupagecounty.gov/Datalets/Datalet.aspx?UseSearch=no&amp;mode=sales&amp;pin=0824312002","sales record")</f>
        <v>sales record</v>
      </c>
      <c r="AC7079" t="s">
        <v>3</v>
      </c>
      <c r="AD7079">
        <v>41.760679</v>
      </c>
      <c r="AE7079">
        <v>-88.04768799999999</v>
      </c>
      <c r="AF7079" s="5" t="str">
        <f>HYPERLINK("https://www.google.com/maps/search/?api=1&amp;query=41.760679,-88.047688","map")</f>
        <v>map</v>
      </c>
    </row>
    <row r="7080" spans="1:32">
      <c r="A7080" t="s">
        <v>7130</v>
      </c>
      <c r="B7080" t="s">
        <v>14582</v>
      </c>
      <c r="C7080" t="s">
        <v>15323</v>
      </c>
      <c r="D7080" t="s">
        <v>16215</v>
      </c>
      <c r="E7080" t="s">
        <v>16218</v>
      </c>
      <c r="F7080" t="s">
        <v>16220</v>
      </c>
      <c r="G7080" t="s">
        <v>16299</v>
      </c>
      <c r="H7080" t="s">
        <v>16299</v>
      </c>
      <c r="I7080" t="s">
        <v>16382</v>
      </c>
      <c r="J7080" t="s">
        <v>16385</v>
      </c>
      <c r="K7080">
        <v>0.176</v>
      </c>
      <c r="L7080">
        <v>7672</v>
      </c>
      <c r="M7080">
        <v>2480</v>
      </c>
      <c r="N7080" t="s">
        <v>16393</v>
      </c>
      <c r="O7080" s="4">
        <v>54797</v>
      </c>
      <c r="P7080" s="4">
        <v>67557</v>
      </c>
      <c r="Q7080" s="4">
        <v>122354</v>
      </c>
      <c r="R7080" s="4">
        <v>367062</v>
      </c>
      <c r="S7080" t="s">
        <v>23231</v>
      </c>
      <c r="X7080" t="s">
        <v>3</v>
      </c>
      <c r="AA7080" s="5" t="str">
        <f>HYPERLINK("https://www.zillow.com/homes/2-QUAIL-CT-WOODRIDGE-IL-60517_rb/","check listing")</f>
        <v>check listing</v>
      </c>
      <c r="AB7080" s="5" t="str">
        <f>HYPERLINK("https://propertylookup.dupagecounty.gov/Datalets/Datalet.aspx?UseSearch=no&amp;mode=sales&amp;pin=0824402006","sales record")</f>
        <v>sales record</v>
      </c>
      <c r="AC7080" t="s">
        <v>3</v>
      </c>
      <c r="AD7080">
        <v>41.763996</v>
      </c>
      <c r="AE7080">
        <v>-88.04090100000001</v>
      </c>
      <c r="AF7080" s="5" t="str">
        <f>HYPERLINK("https://www.google.com/maps/search/?api=1&amp;query=41.763996,-88.040901","map")</f>
        <v>map</v>
      </c>
    </row>
    <row r="7081" spans="1:32">
      <c r="A7081" t="s">
        <v>7131</v>
      </c>
      <c r="B7081" t="s">
        <v>14583</v>
      </c>
      <c r="C7081" t="s">
        <v>16150</v>
      </c>
      <c r="D7081" t="s">
        <v>16215</v>
      </c>
      <c r="E7081" t="s">
        <v>16218</v>
      </c>
      <c r="F7081" t="s">
        <v>16220</v>
      </c>
      <c r="G7081" t="s">
        <v>16299</v>
      </c>
      <c r="H7081" t="s">
        <v>16299</v>
      </c>
      <c r="I7081" t="s">
        <v>16382</v>
      </c>
      <c r="J7081" t="s">
        <v>16385</v>
      </c>
      <c r="K7081">
        <v>0.176</v>
      </c>
      <c r="L7081">
        <v>7649</v>
      </c>
      <c r="M7081">
        <v>2107</v>
      </c>
      <c r="N7081" t="s">
        <v>16393</v>
      </c>
      <c r="O7081" s="4">
        <v>54797</v>
      </c>
      <c r="P7081" s="4">
        <v>67723</v>
      </c>
      <c r="Q7081" s="4">
        <v>122520</v>
      </c>
      <c r="R7081" s="4">
        <v>367560</v>
      </c>
      <c r="S7081" t="s">
        <v>23232</v>
      </c>
      <c r="T7081" s="6">
        <v>32813</v>
      </c>
      <c r="U7081" s="4">
        <v>120000</v>
      </c>
      <c r="X7081" t="s">
        <v>3</v>
      </c>
      <c r="AA7081" s="5" t="str">
        <f>HYPERLINK("https://www.zillow.com/homes/2400-PHEASANT-ST-WOODRIDGE-IL-605171704_rb/","check listing")</f>
        <v>check listing</v>
      </c>
      <c r="AB7081" s="5" t="str">
        <f>HYPERLINK("https://propertylookup.dupagecounty.gov/Datalets/Datalet.aspx?UseSearch=no&amp;mode=sales&amp;pin=0824401004","sales record")</f>
        <v>sales record</v>
      </c>
      <c r="AC7081" t="s">
        <v>3</v>
      </c>
      <c r="AD7081">
        <v>41.764928</v>
      </c>
      <c r="AE7081">
        <v>-88.040457</v>
      </c>
      <c r="AF7081" s="5" t="str">
        <f>HYPERLINK("https://www.google.com/maps/search/?api=1&amp;query=41.764928,-88.040457","map")</f>
        <v>map</v>
      </c>
    </row>
    <row r="7082" spans="1:32">
      <c r="A7082" t="s">
        <v>7132</v>
      </c>
      <c r="B7082" t="s">
        <v>14584</v>
      </c>
      <c r="C7082" t="s">
        <v>15323</v>
      </c>
      <c r="D7082" t="s">
        <v>16215</v>
      </c>
      <c r="E7082" t="s">
        <v>16218</v>
      </c>
      <c r="F7082" t="s">
        <v>16220</v>
      </c>
      <c r="G7082" t="s">
        <v>16299</v>
      </c>
      <c r="H7082" t="s">
        <v>16299</v>
      </c>
      <c r="I7082" t="s">
        <v>16382</v>
      </c>
      <c r="J7082" t="s">
        <v>16385</v>
      </c>
      <c r="K7082">
        <v>0.175</v>
      </c>
      <c r="L7082">
        <v>7637</v>
      </c>
      <c r="M7082">
        <v>1284</v>
      </c>
      <c r="N7082" t="s">
        <v>16393</v>
      </c>
      <c r="O7082" s="4">
        <v>54713</v>
      </c>
      <c r="P7082" s="4">
        <v>84894</v>
      </c>
      <c r="Q7082" s="4">
        <v>139607</v>
      </c>
      <c r="R7082" s="4">
        <v>418821</v>
      </c>
      <c r="S7082" t="s">
        <v>23233</v>
      </c>
      <c r="T7082" s="6">
        <v>31079</v>
      </c>
      <c r="U7082" s="4">
        <v>102449</v>
      </c>
      <c r="X7082" t="s">
        <v>3</v>
      </c>
      <c r="AA7082" s="5" t="str">
        <f>HYPERLINK("https://www.zillow.com/homes/11-YELLOW-STAR-CT-WOODRIDGE-IL-60517_rb/","check listing")</f>
        <v>check listing</v>
      </c>
      <c r="AB7082" s="5" t="str">
        <f>HYPERLINK("https://propertylookup.dupagecounty.gov/Datalets/Datalet.aspx?UseSearch=no&amp;mode=sales&amp;pin=0824306023","sales record")</f>
        <v>sales record</v>
      </c>
      <c r="AC7082" t="s">
        <v>3</v>
      </c>
      <c r="AD7082">
        <v>41.762219</v>
      </c>
      <c r="AE7082">
        <v>-88.047223</v>
      </c>
      <c r="AF7082" s="5" t="str">
        <f>HYPERLINK("https://www.google.com/maps/search/?api=1&amp;query=41.762219,-88.047223","map")</f>
        <v>map</v>
      </c>
    </row>
    <row r="7083" spans="1:32">
      <c r="A7083" t="s">
        <v>7133</v>
      </c>
      <c r="B7083" t="s">
        <v>14585</v>
      </c>
      <c r="C7083" t="s">
        <v>15323</v>
      </c>
      <c r="D7083" t="s">
        <v>16215</v>
      </c>
      <c r="E7083" t="s">
        <v>16218</v>
      </c>
      <c r="F7083" t="s">
        <v>16220</v>
      </c>
      <c r="G7083" t="s">
        <v>16299</v>
      </c>
      <c r="H7083" t="s">
        <v>16299</v>
      </c>
      <c r="I7083" t="s">
        <v>16382</v>
      </c>
      <c r="J7083" t="s">
        <v>16385</v>
      </c>
      <c r="K7083">
        <v>0.175</v>
      </c>
      <c r="L7083">
        <v>7635</v>
      </c>
      <c r="M7083">
        <v>1739</v>
      </c>
      <c r="N7083" t="s">
        <v>16393</v>
      </c>
      <c r="O7083" s="4">
        <v>54797</v>
      </c>
      <c r="P7083" s="4">
        <v>68495</v>
      </c>
      <c r="Q7083" s="4">
        <v>123292</v>
      </c>
      <c r="R7083" s="4">
        <v>369876</v>
      </c>
      <c r="S7083" t="s">
        <v>23234</v>
      </c>
      <c r="T7083" s="6">
        <v>28946</v>
      </c>
      <c r="U7083" s="4">
        <v>82217</v>
      </c>
      <c r="X7083" t="s">
        <v>3</v>
      </c>
      <c r="AA7083" s="5" t="str">
        <f>HYPERLINK("https://www.zillow.com/homes/6831-PRAIRIEVIEW-AVE-WOODRIDGE-IL-60517_rb/","check listing")</f>
        <v>check listing</v>
      </c>
      <c r="AB7083" s="5" t="str">
        <f>HYPERLINK("https://propertylookup.dupagecounty.gov/Datalets/Datalet.aspx?UseSearch=no&amp;mode=sales&amp;pin=0824414015","sales record")</f>
        <v>sales record</v>
      </c>
      <c r="AC7083" t="s">
        <v>3</v>
      </c>
      <c r="AD7083">
        <v>41.761793</v>
      </c>
      <c r="AE7083">
        <v>-88.034826</v>
      </c>
      <c r="AF7083" s="5" t="str">
        <f>HYPERLINK("https://www.google.com/maps/search/?api=1&amp;query=41.761793,-88.034826","map")</f>
        <v>map</v>
      </c>
    </row>
    <row r="7084" spans="1:32">
      <c r="A7084" t="s">
        <v>7134</v>
      </c>
      <c r="B7084" t="s">
        <v>14586</v>
      </c>
      <c r="C7084" t="s">
        <v>15323</v>
      </c>
      <c r="D7084" t="s">
        <v>16215</v>
      </c>
      <c r="E7084" t="s">
        <v>16218</v>
      </c>
      <c r="F7084" t="s">
        <v>16220</v>
      </c>
      <c r="G7084" t="s">
        <v>16299</v>
      </c>
      <c r="H7084" t="s">
        <v>16299</v>
      </c>
      <c r="I7084" t="s">
        <v>16382</v>
      </c>
      <c r="J7084" t="s">
        <v>16385</v>
      </c>
      <c r="K7084">
        <v>0.175</v>
      </c>
      <c r="L7084">
        <v>7634</v>
      </c>
      <c r="M7084">
        <v>1438</v>
      </c>
      <c r="N7084" t="s">
        <v>16393</v>
      </c>
      <c r="O7084" s="4">
        <v>54797</v>
      </c>
      <c r="P7084" s="4">
        <v>69495</v>
      </c>
      <c r="Q7084" s="4">
        <v>124292</v>
      </c>
      <c r="R7084" s="4">
        <v>372876</v>
      </c>
      <c r="S7084" t="s">
        <v>23235</v>
      </c>
      <c r="T7084" s="6">
        <v>32568</v>
      </c>
      <c r="U7084" s="4">
        <v>115000</v>
      </c>
      <c r="X7084" t="s">
        <v>3</v>
      </c>
      <c r="AA7084" s="5" t="str">
        <f>HYPERLINK("https://www.zillow.com/homes/2371-SUNNYDALE-DR-WOODRIDGE-IL-60517_rb/","check listing")</f>
        <v>check listing</v>
      </c>
      <c r="AB7084" s="5" t="str">
        <f>HYPERLINK("https://propertylookup.dupagecounty.gov/Datalets/Datalet.aspx?UseSearch=no&amp;mode=sales&amp;pin=0824420005","sales record")</f>
        <v>sales record</v>
      </c>
      <c r="AC7084" t="s">
        <v>3</v>
      </c>
      <c r="AD7084">
        <v>41.760306</v>
      </c>
      <c r="AE7084">
        <v>-88.039675</v>
      </c>
      <c r="AF7084" s="5" t="str">
        <f>HYPERLINK("https://www.google.com/maps/search/?api=1&amp;query=41.760306,-88.039675","map")</f>
        <v>map</v>
      </c>
    </row>
    <row r="7085" spans="1:32">
      <c r="A7085" t="s">
        <v>7135</v>
      </c>
      <c r="B7085" t="s">
        <v>14587</v>
      </c>
      <c r="C7085" t="s">
        <v>15323</v>
      </c>
      <c r="D7085" t="s">
        <v>16215</v>
      </c>
      <c r="E7085" t="s">
        <v>16218</v>
      </c>
      <c r="F7085" t="s">
        <v>16220</v>
      </c>
      <c r="G7085" t="s">
        <v>16299</v>
      </c>
      <c r="H7085" t="s">
        <v>16299</v>
      </c>
      <c r="I7085" t="s">
        <v>16382</v>
      </c>
      <c r="J7085" t="s">
        <v>16385</v>
      </c>
      <c r="K7085">
        <v>0.175</v>
      </c>
      <c r="L7085">
        <v>7623</v>
      </c>
      <c r="M7085">
        <v>1791</v>
      </c>
      <c r="N7085" t="s">
        <v>16393</v>
      </c>
      <c r="O7085" s="4">
        <v>52739</v>
      </c>
      <c r="P7085" s="4">
        <v>60089</v>
      </c>
      <c r="Q7085" s="4">
        <v>112828</v>
      </c>
      <c r="R7085" s="4">
        <v>338484</v>
      </c>
      <c r="S7085" t="s">
        <v>23236</v>
      </c>
      <c r="T7085" s="6">
        <v>33420</v>
      </c>
      <c r="U7085" s="4">
        <v>111000</v>
      </c>
      <c r="X7085" t="s">
        <v>3</v>
      </c>
      <c r="AA7085" s="5" t="str">
        <f>HYPERLINK("https://www.zillow.com/homes/2600-ZURICH-CT-WOODRIDGE-IL-60517_rb/","check listing")</f>
        <v>check listing</v>
      </c>
      <c r="AB7085" s="5" t="str">
        <f>HYPERLINK("https://propertylookup.dupagecounty.gov/Datalets/Datalet.aspx?UseSearch=no&amp;mode=sales&amp;pin=0836103015","sales record")</f>
        <v>sales record</v>
      </c>
      <c r="AC7085" t="s">
        <v>3</v>
      </c>
      <c r="AD7085">
        <v>41.73725</v>
      </c>
      <c r="AE7085">
        <v>-88.044147</v>
      </c>
      <c r="AF7085" s="5" t="str">
        <f>HYPERLINK("https://www.google.com/maps/search/?api=1&amp;query=41.73725,-88.044147","map")</f>
        <v>map</v>
      </c>
    </row>
    <row r="7086" spans="1:32">
      <c r="A7086" t="s">
        <v>7136</v>
      </c>
      <c r="B7086" t="s">
        <v>14588</v>
      </c>
      <c r="C7086" t="s">
        <v>15323</v>
      </c>
      <c r="D7086" t="s">
        <v>16215</v>
      </c>
      <c r="E7086" t="s">
        <v>16218</v>
      </c>
      <c r="F7086" t="s">
        <v>16220</v>
      </c>
      <c r="G7086" t="s">
        <v>16299</v>
      </c>
      <c r="H7086" t="s">
        <v>16299</v>
      </c>
      <c r="I7086" t="s">
        <v>16382</v>
      </c>
      <c r="J7086" t="s">
        <v>16385</v>
      </c>
      <c r="K7086">
        <v>0.175</v>
      </c>
      <c r="L7086">
        <v>7612</v>
      </c>
      <c r="M7086">
        <v>1489</v>
      </c>
      <c r="N7086" t="s">
        <v>16393</v>
      </c>
      <c r="O7086" s="4">
        <v>54797</v>
      </c>
      <c r="P7086" s="4">
        <v>79983</v>
      </c>
      <c r="Q7086" s="4">
        <v>134780</v>
      </c>
      <c r="R7086" s="4">
        <v>404340</v>
      </c>
      <c r="S7086" t="s">
        <v>23237</v>
      </c>
      <c r="T7086" s="6">
        <v>36192</v>
      </c>
      <c r="U7086" s="4">
        <v>157500</v>
      </c>
      <c r="X7086" t="s">
        <v>3</v>
      </c>
      <c r="AA7086" s="5" t="str">
        <f>HYPERLINK("https://www.zillow.com/homes/1-CARDINAL-CT-WOODRIDGE-IL-60517_rb/","check listing")</f>
        <v>check listing</v>
      </c>
      <c r="AB7086" s="5" t="str">
        <f>HYPERLINK("https://propertylookup.dupagecounty.gov/Datalets/Datalet.aspx?UseSearch=no&amp;mode=sales&amp;pin=0824317020","sales record")</f>
        <v>sales record</v>
      </c>
      <c r="AC7086" t="s">
        <v>3</v>
      </c>
      <c r="AD7086">
        <v>41.763798</v>
      </c>
      <c r="AE7086">
        <v>-88.042906</v>
      </c>
      <c r="AF7086" s="5" t="str">
        <f>HYPERLINK("https://www.google.com/maps/search/?api=1&amp;query=41.763798,-88.042906","map")</f>
        <v>map</v>
      </c>
    </row>
    <row r="7087" spans="1:32">
      <c r="A7087" t="s">
        <v>7137</v>
      </c>
      <c r="B7087" t="s">
        <v>14589</v>
      </c>
      <c r="C7087" t="s">
        <v>15323</v>
      </c>
      <c r="D7087" t="s">
        <v>16215</v>
      </c>
      <c r="E7087" t="s">
        <v>16218</v>
      </c>
      <c r="F7087" t="s">
        <v>16220</v>
      </c>
      <c r="G7087" t="s">
        <v>16299</v>
      </c>
      <c r="H7087" t="s">
        <v>16299</v>
      </c>
      <c r="I7087" t="s">
        <v>16382</v>
      </c>
      <c r="J7087" t="s">
        <v>16385</v>
      </c>
      <c r="K7087">
        <v>0.175</v>
      </c>
      <c r="L7087">
        <v>7603</v>
      </c>
      <c r="M7087">
        <v>2231</v>
      </c>
      <c r="N7087" t="s">
        <v>16393</v>
      </c>
      <c r="O7087" s="4">
        <v>54797</v>
      </c>
      <c r="P7087" s="4">
        <v>65678</v>
      </c>
      <c r="Q7087" s="4">
        <v>120475</v>
      </c>
      <c r="R7087" s="4">
        <v>361425</v>
      </c>
      <c r="S7087" t="s">
        <v>23238</v>
      </c>
      <c r="T7087" s="6">
        <v>29526</v>
      </c>
      <c r="U7087" s="4">
        <v>73500</v>
      </c>
      <c r="X7087" t="s">
        <v>3</v>
      </c>
      <c r="AA7087" s="5" t="str">
        <f>HYPERLINK("https://www.zillow.com/homes/7-LORRAINE-CT-WOODRIDGE-IL-60517_rb/","check listing")</f>
        <v>check listing</v>
      </c>
      <c r="AB7087" s="5" t="str">
        <f>HYPERLINK("https://propertylookup.dupagecounty.gov/Datalets/Datalet.aspx?UseSearch=no&amp;mode=sales&amp;pin=0824111032","sales record")</f>
        <v>sales record</v>
      </c>
      <c r="AC7087" t="s">
        <v>3</v>
      </c>
      <c r="AD7087">
        <v>41.765445</v>
      </c>
      <c r="AE7087">
        <v>-88.042374</v>
      </c>
      <c r="AF7087" s="5" t="str">
        <f>HYPERLINK("https://www.google.com/maps/search/?api=1&amp;query=41.765445,-88.042374","map")</f>
        <v>map</v>
      </c>
    </row>
    <row r="7088" spans="1:32">
      <c r="A7088" t="s">
        <v>7138</v>
      </c>
      <c r="B7088" t="s">
        <v>14590</v>
      </c>
      <c r="C7088" t="s">
        <v>15323</v>
      </c>
      <c r="D7088" t="s">
        <v>16215</v>
      </c>
      <c r="E7088" t="s">
        <v>16218</v>
      </c>
      <c r="F7088" t="s">
        <v>16220</v>
      </c>
      <c r="G7088" t="s">
        <v>16299</v>
      </c>
      <c r="H7088" t="s">
        <v>16299</v>
      </c>
      <c r="I7088" t="s">
        <v>16382</v>
      </c>
      <c r="J7088" t="s">
        <v>16385</v>
      </c>
      <c r="K7088">
        <v>0.174</v>
      </c>
      <c r="L7088">
        <v>7583</v>
      </c>
      <c r="M7088">
        <v>1458</v>
      </c>
      <c r="N7088" t="s">
        <v>16393</v>
      </c>
      <c r="O7088" s="4">
        <v>54797</v>
      </c>
      <c r="P7088" s="4">
        <v>80922</v>
      </c>
      <c r="Q7088" s="4">
        <v>135719</v>
      </c>
      <c r="R7088" s="4">
        <v>407157</v>
      </c>
      <c r="S7088" t="s">
        <v>23239</v>
      </c>
      <c r="T7088" s="6">
        <v>32356</v>
      </c>
      <c r="U7088" s="4">
        <v>126000</v>
      </c>
      <c r="X7088" t="s">
        <v>3</v>
      </c>
      <c r="AA7088" s="5" t="str">
        <f>HYPERLINK("https://www.zillow.com/homes/6673-FOX-TREE-AVE-WOODRIDGE-IL-60517_rb/","check listing")</f>
        <v>check listing</v>
      </c>
      <c r="AB7088" s="5" t="str">
        <f>HYPERLINK("https://propertylookup.dupagecounty.gov/Datalets/Datalet.aspx?UseSearch=no&amp;mode=sales&amp;pin=0824110004","sales record")</f>
        <v>sales record</v>
      </c>
      <c r="AC7088" t="s">
        <v>3</v>
      </c>
      <c r="AD7088">
        <v>41.766118</v>
      </c>
      <c r="AE7088">
        <v>-88.044425</v>
      </c>
      <c r="AF7088" s="5" t="str">
        <f>HYPERLINK("https://www.google.com/maps/search/?api=1&amp;query=41.766118,-88.044425","map")</f>
        <v>map</v>
      </c>
    </row>
    <row r="7089" spans="1:32">
      <c r="A7089" t="s">
        <v>7139</v>
      </c>
      <c r="B7089" t="s">
        <v>14591</v>
      </c>
      <c r="C7089" t="s">
        <v>15323</v>
      </c>
      <c r="D7089" t="s">
        <v>16215</v>
      </c>
      <c r="E7089" t="s">
        <v>16218</v>
      </c>
      <c r="F7089" t="s">
        <v>16220</v>
      </c>
      <c r="G7089" t="s">
        <v>16299</v>
      </c>
      <c r="H7089" t="s">
        <v>16299</v>
      </c>
      <c r="I7089" t="s">
        <v>16382</v>
      </c>
      <c r="J7089" t="s">
        <v>16385</v>
      </c>
      <c r="K7089">
        <v>0.174</v>
      </c>
      <c r="L7089">
        <v>7577</v>
      </c>
      <c r="M7089">
        <v>2600</v>
      </c>
      <c r="N7089" t="s">
        <v>16393</v>
      </c>
      <c r="O7089" s="4">
        <v>54713</v>
      </c>
      <c r="P7089" s="4">
        <v>81934</v>
      </c>
      <c r="Q7089" s="4">
        <v>136647</v>
      </c>
      <c r="R7089" s="4">
        <v>409941</v>
      </c>
      <c r="S7089" t="s">
        <v>23240</v>
      </c>
      <c r="T7089" s="6">
        <v>45811</v>
      </c>
      <c r="U7089" s="4">
        <v>397215</v>
      </c>
      <c r="V7089" t="s">
        <v>23741</v>
      </c>
      <c r="W7089" t="s">
        <v>27608</v>
      </c>
      <c r="X7089" t="s">
        <v>3</v>
      </c>
      <c r="AA7089" s="5" t="str">
        <f>HYPERLINK("https://www.zillow.com/homes/2509-YELLOW-STAR-ST-WOODRIDGE-IL-60517_rb/","check listing")</f>
        <v>check listing</v>
      </c>
      <c r="AB7089" s="5" t="str">
        <f>HYPERLINK("https://propertylookup.dupagecounty.gov/Datalets/Datalet.aspx?UseSearch=no&amp;mode=sales&amp;pin=0824316007","sales record")</f>
        <v>sales record</v>
      </c>
      <c r="AC7089" t="s">
        <v>3</v>
      </c>
      <c r="AD7089">
        <v>41.764291</v>
      </c>
      <c r="AE7089">
        <v>-88.04614100000001</v>
      </c>
      <c r="AF7089" s="5" t="str">
        <f>HYPERLINK("https://www.google.com/maps/search/?api=1&amp;query=41.764291,-88.046141","map")</f>
        <v>map</v>
      </c>
    </row>
    <row r="7090" spans="1:32">
      <c r="A7090" t="s">
        <v>7140</v>
      </c>
      <c r="B7090" t="s">
        <v>14592</v>
      </c>
      <c r="C7090" t="s">
        <v>15323</v>
      </c>
      <c r="D7090" t="s">
        <v>16215</v>
      </c>
      <c r="E7090" t="s">
        <v>16218</v>
      </c>
      <c r="F7090" t="s">
        <v>16220</v>
      </c>
      <c r="G7090" t="s">
        <v>16299</v>
      </c>
      <c r="H7090" t="s">
        <v>16299</v>
      </c>
      <c r="I7090" t="s">
        <v>16382</v>
      </c>
      <c r="J7090" t="s">
        <v>16385</v>
      </c>
      <c r="K7090">
        <v>0.174</v>
      </c>
      <c r="L7090">
        <v>7571</v>
      </c>
      <c r="M7090">
        <v>1582</v>
      </c>
      <c r="N7090" t="s">
        <v>16393</v>
      </c>
      <c r="O7090" s="4">
        <v>54797</v>
      </c>
      <c r="P7090" s="4">
        <v>79900</v>
      </c>
      <c r="Q7090" s="4">
        <v>134697</v>
      </c>
      <c r="R7090" s="4">
        <v>404091</v>
      </c>
      <c r="S7090" t="s">
        <v>21854</v>
      </c>
      <c r="T7090" s="6">
        <v>42430</v>
      </c>
      <c r="U7090" s="4">
        <v>256000</v>
      </c>
      <c r="V7090" t="s">
        <v>23739</v>
      </c>
      <c r="W7090" t="s">
        <v>27609</v>
      </c>
      <c r="X7090" t="s">
        <v>3</v>
      </c>
      <c r="AA7090" s="5" t="str">
        <f>HYPERLINK("https://www.zillow.com/homes/6701-FOX-TREE-AVE-WOODRIDGE-IL-60517_rb/","check listing")</f>
        <v>check listing</v>
      </c>
      <c r="AB7090" s="5" t="str">
        <f>HYPERLINK("https://propertylookup.dupagecounty.gov/Datalets/Datalet.aspx?UseSearch=no&amp;mode=sales&amp;pin=0824317001","sales record")</f>
        <v>sales record</v>
      </c>
      <c r="AC7090" t="s">
        <v>3</v>
      </c>
      <c r="AD7090">
        <v>41.764747</v>
      </c>
      <c r="AE7090">
        <v>-88.045101</v>
      </c>
      <c r="AF7090" s="5" t="str">
        <f>HYPERLINK("https://www.google.com/maps/search/?api=1&amp;query=41.764747,-88.045101","map")</f>
        <v>map</v>
      </c>
    </row>
    <row r="7091" spans="1:32">
      <c r="A7091" t="s">
        <v>7141</v>
      </c>
      <c r="B7091" t="s">
        <v>14593</v>
      </c>
      <c r="C7091" t="s">
        <v>15323</v>
      </c>
      <c r="D7091" t="s">
        <v>16215</v>
      </c>
      <c r="E7091" t="s">
        <v>16218</v>
      </c>
      <c r="F7091" t="s">
        <v>16220</v>
      </c>
      <c r="G7091" t="s">
        <v>16299</v>
      </c>
      <c r="H7091" t="s">
        <v>16299</v>
      </c>
      <c r="I7091" t="s">
        <v>16382</v>
      </c>
      <c r="J7091" t="s">
        <v>16385</v>
      </c>
      <c r="K7091">
        <v>0.174</v>
      </c>
      <c r="L7091">
        <v>7570</v>
      </c>
      <c r="M7091">
        <v>2252</v>
      </c>
      <c r="N7091" t="s">
        <v>16393</v>
      </c>
      <c r="O7091" s="4">
        <v>54797</v>
      </c>
      <c r="P7091" s="4">
        <v>65760</v>
      </c>
      <c r="Q7091" s="4">
        <v>120557</v>
      </c>
      <c r="R7091" s="4">
        <v>361671</v>
      </c>
      <c r="S7091" t="s">
        <v>23241</v>
      </c>
      <c r="T7091" s="6">
        <v>39934</v>
      </c>
      <c r="U7091" s="4">
        <v>155000</v>
      </c>
      <c r="V7091" t="s">
        <v>16232</v>
      </c>
      <c r="W7091" t="s">
        <v>27610</v>
      </c>
      <c r="X7091" t="s">
        <v>3</v>
      </c>
      <c r="AA7091" s="5" t="str">
        <f>HYPERLINK("https://www.zillow.com/homes/2500-YELLOW-STAR-ST-WOODRIDGE-IL-60517_rb/","check listing")</f>
        <v>check listing</v>
      </c>
      <c r="AB7091" s="5" t="str">
        <f>HYPERLINK("https://propertylookup.dupagecounty.gov/Datalets/Datalet.aspx?UseSearch=no&amp;mode=sales&amp;pin=0824302023","sales record")</f>
        <v>sales record</v>
      </c>
      <c r="AC7091" t="s">
        <v>3</v>
      </c>
      <c r="AD7091">
        <v>41.764717</v>
      </c>
      <c r="AE7091">
        <v>-88.045643</v>
      </c>
      <c r="AF7091" s="5" t="str">
        <f>HYPERLINK("https://www.google.com/maps/search/?api=1&amp;query=41.764717,-88.045643","map")</f>
        <v>map</v>
      </c>
    </row>
    <row r="7092" spans="1:32">
      <c r="A7092" t="s">
        <v>7142</v>
      </c>
      <c r="B7092" t="s">
        <v>14594</v>
      </c>
      <c r="C7092" t="s">
        <v>16147</v>
      </c>
      <c r="D7092" t="s">
        <v>16215</v>
      </c>
      <c r="E7092" t="s">
        <v>16218</v>
      </c>
      <c r="F7092" t="s">
        <v>16220</v>
      </c>
      <c r="G7092" t="s">
        <v>16299</v>
      </c>
      <c r="H7092" t="s">
        <v>16299</v>
      </c>
      <c r="I7092" t="s">
        <v>16382</v>
      </c>
      <c r="J7092" t="s">
        <v>16385</v>
      </c>
      <c r="K7092">
        <v>0.173</v>
      </c>
      <c r="L7092">
        <v>7547</v>
      </c>
      <c r="M7092">
        <v>2136</v>
      </c>
      <c r="N7092" t="s">
        <v>16393</v>
      </c>
      <c r="O7092" s="4">
        <v>54797</v>
      </c>
      <c r="P7092" s="4">
        <v>63049</v>
      </c>
      <c r="Q7092" s="4">
        <v>117846</v>
      </c>
      <c r="R7092" s="4">
        <v>353538</v>
      </c>
      <c r="S7092" t="s">
        <v>18145</v>
      </c>
      <c r="T7092" s="6">
        <v>42278</v>
      </c>
      <c r="U7092" s="4">
        <v>215900</v>
      </c>
      <c r="V7092" t="s">
        <v>23739</v>
      </c>
      <c r="W7092" t="s">
        <v>18145</v>
      </c>
      <c r="X7092" t="s">
        <v>3</v>
      </c>
      <c r="AA7092" s="5" t="str">
        <f>HYPERLINK("https://www.zillow.com/homes/6721-FOXTREE-AVE-WOODRIDGE-IL-605171728_rb/","check listing")</f>
        <v>check listing</v>
      </c>
      <c r="AB7092" s="5" t="str">
        <f>HYPERLINK("https://propertylookup.dupagecounty.gov/Datalets/Datalet.aspx?UseSearch=no&amp;mode=sales&amp;pin=0824317006","sales record")</f>
        <v>sales record</v>
      </c>
      <c r="AC7092" t="s">
        <v>3</v>
      </c>
      <c r="AD7092">
        <v>41.763875</v>
      </c>
      <c r="AE7092">
        <v>-88.04479499999999</v>
      </c>
      <c r="AF7092" s="5" t="str">
        <f>HYPERLINK("https://www.google.com/maps/search/?api=1&amp;query=41.763875,-88.044795","map")</f>
        <v>map</v>
      </c>
    </row>
    <row r="7093" spans="1:32">
      <c r="A7093" t="s">
        <v>7143</v>
      </c>
      <c r="B7093" t="s">
        <v>14595</v>
      </c>
      <c r="C7093" t="s">
        <v>16118</v>
      </c>
      <c r="D7093" t="s">
        <v>16215</v>
      </c>
      <c r="E7093" t="s">
        <v>16218</v>
      </c>
      <c r="F7093" t="s">
        <v>16220</v>
      </c>
      <c r="G7093" t="s">
        <v>16299</v>
      </c>
      <c r="H7093" t="s">
        <v>16299</v>
      </c>
      <c r="I7093" t="s">
        <v>16382</v>
      </c>
      <c r="J7093" t="s">
        <v>16385</v>
      </c>
      <c r="K7093">
        <v>0.173</v>
      </c>
      <c r="L7093">
        <v>7534</v>
      </c>
      <c r="M7093">
        <v>2331</v>
      </c>
      <c r="N7093" t="s">
        <v>16393</v>
      </c>
      <c r="O7093" s="4">
        <v>54797</v>
      </c>
      <c r="P7093" s="4">
        <v>61301</v>
      </c>
      <c r="Q7093" s="4">
        <v>116098</v>
      </c>
      <c r="R7093" s="4">
        <v>348294</v>
      </c>
      <c r="S7093" t="s">
        <v>23242</v>
      </c>
      <c r="T7093" s="6">
        <v>37469</v>
      </c>
      <c r="U7093" s="4">
        <v>177000</v>
      </c>
      <c r="V7093" t="s">
        <v>23739</v>
      </c>
      <c r="W7093" t="s">
        <v>27611</v>
      </c>
      <c r="X7093" t="s">
        <v>3</v>
      </c>
      <c r="AA7093" s="5" t="str">
        <f>HYPERLINK("https://www.zillow.com/homes/2013-VANTAGE-ST-WOODRIDGE-IL-605171819_rb/","check listing")</f>
        <v>check listing</v>
      </c>
      <c r="AB7093" s="5" t="str">
        <f>HYPERLINK("https://propertylookup.dupagecounty.gov/Datalets/Datalet.aspx?UseSearch=no&amp;mode=sales&amp;pin=0824415031","sales record")</f>
        <v>sales record</v>
      </c>
      <c r="AC7093" t="s">
        <v>3</v>
      </c>
      <c r="AD7093">
        <v>41.761027</v>
      </c>
      <c r="AE7093">
        <v>-88.032279</v>
      </c>
      <c r="AF7093" s="5" t="str">
        <f>HYPERLINK("https://www.google.com/maps/search/?api=1&amp;query=41.761027,-88.032279","map")</f>
        <v>map</v>
      </c>
    </row>
    <row r="7094" spans="1:32">
      <c r="A7094" t="s">
        <v>7144</v>
      </c>
      <c r="B7094" t="s">
        <v>14596</v>
      </c>
      <c r="C7094" t="s">
        <v>15323</v>
      </c>
      <c r="D7094" t="s">
        <v>16215</v>
      </c>
      <c r="E7094" t="s">
        <v>16218</v>
      </c>
      <c r="F7094" t="s">
        <v>16220</v>
      </c>
      <c r="G7094" t="s">
        <v>16299</v>
      </c>
      <c r="H7094" t="s">
        <v>16299</v>
      </c>
      <c r="I7094" t="s">
        <v>16382</v>
      </c>
      <c r="J7094" t="s">
        <v>16385</v>
      </c>
      <c r="K7094">
        <v>0.173</v>
      </c>
      <c r="L7094">
        <v>7531</v>
      </c>
      <c r="M7094">
        <v>1978</v>
      </c>
      <c r="N7094" t="s">
        <v>16393</v>
      </c>
      <c r="O7094" s="4">
        <v>57651</v>
      </c>
      <c r="P7094" s="4">
        <v>81279</v>
      </c>
      <c r="Q7094" s="4">
        <v>138930</v>
      </c>
      <c r="R7094" s="4">
        <v>416790</v>
      </c>
      <c r="S7094" t="s">
        <v>23243</v>
      </c>
      <c r="T7094" s="6">
        <v>31413</v>
      </c>
      <c r="U7094" s="4">
        <v>90500</v>
      </c>
      <c r="X7094" t="s">
        <v>3</v>
      </c>
      <c r="AA7094" s="5" t="str">
        <f>HYPERLINK("https://www.zillow.com/homes/6918-SUN-DROP-AVE-WOODRIDGE-IL-60517_rb/","check listing")</f>
        <v>check listing</v>
      </c>
      <c r="AB7094" s="5" t="str">
        <f>HYPERLINK("https://propertylookup.dupagecounty.gov/Datalets/Datalet.aspx?UseSearch=no&amp;mode=sales&amp;pin=0824310009","sales record")</f>
        <v>sales record</v>
      </c>
      <c r="AC7094" t="s">
        <v>3</v>
      </c>
      <c r="AD7094">
        <v>41.760319</v>
      </c>
      <c r="AE7094">
        <v>-88.050062</v>
      </c>
      <c r="AF7094" s="5" t="str">
        <f>HYPERLINK("https://www.google.com/maps/search/?api=1&amp;query=41.760319,-88.050062","map")</f>
        <v>map</v>
      </c>
    </row>
    <row r="7095" spans="1:32">
      <c r="A7095" t="s">
        <v>7145</v>
      </c>
      <c r="B7095" t="s">
        <v>14597</v>
      </c>
      <c r="C7095" t="s">
        <v>15323</v>
      </c>
      <c r="D7095" t="s">
        <v>16215</v>
      </c>
      <c r="E7095" t="s">
        <v>16218</v>
      </c>
      <c r="F7095" t="s">
        <v>16220</v>
      </c>
      <c r="G7095" t="s">
        <v>16299</v>
      </c>
      <c r="H7095" t="s">
        <v>16299</v>
      </c>
      <c r="I7095" t="s">
        <v>16382</v>
      </c>
      <c r="J7095" t="s">
        <v>16385</v>
      </c>
      <c r="K7095">
        <v>0.173</v>
      </c>
      <c r="L7095">
        <v>7521</v>
      </c>
      <c r="M7095">
        <v>1588</v>
      </c>
      <c r="N7095" t="s">
        <v>16393</v>
      </c>
      <c r="O7095" s="4">
        <v>54797</v>
      </c>
      <c r="P7095" s="4">
        <v>71326</v>
      </c>
      <c r="Q7095" s="4">
        <v>126123</v>
      </c>
      <c r="R7095" s="4">
        <v>378369</v>
      </c>
      <c r="S7095" t="s">
        <v>23244</v>
      </c>
      <c r="T7095" s="6">
        <v>42644</v>
      </c>
      <c r="U7095" s="4">
        <v>274000</v>
      </c>
      <c r="V7095" t="s">
        <v>23739</v>
      </c>
      <c r="W7095" t="s">
        <v>27612</v>
      </c>
      <c r="X7095" t="s">
        <v>3</v>
      </c>
      <c r="AA7095" s="5" t="str">
        <f>HYPERLINK("https://www.zillow.com/homes/6655-WHEATFIELD-ST-WOODRIDGE-IL-60517_rb/","check listing")</f>
        <v>check listing</v>
      </c>
      <c r="AB7095" s="5" t="str">
        <f>HYPERLINK("https://propertylookup.dupagecounty.gov/Datalets/Datalet.aspx?UseSearch=no&amp;mode=sales&amp;pin=0824111018","sales record")</f>
        <v>sales record</v>
      </c>
      <c r="AC7095" t="s">
        <v>3</v>
      </c>
      <c r="AD7095">
        <v>41.765276</v>
      </c>
      <c r="AE7095">
        <v>-88.04271900000001</v>
      </c>
      <c r="AF7095" s="5" t="str">
        <f>HYPERLINK("https://www.google.com/maps/search/?api=1&amp;query=41.765276,-88.042719","map")</f>
        <v>map</v>
      </c>
    </row>
    <row r="7096" spans="1:32">
      <c r="A7096" t="s">
        <v>7146</v>
      </c>
      <c r="B7096" t="s">
        <v>14598</v>
      </c>
      <c r="C7096" t="s">
        <v>15323</v>
      </c>
      <c r="D7096" t="s">
        <v>16215</v>
      </c>
      <c r="E7096" t="s">
        <v>16218</v>
      </c>
      <c r="F7096" t="s">
        <v>16220</v>
      </c>
      <c r="G7096" t="s">
        <v>16299</v>
      </c>
      <c r="H7096" t="s">
        <v>16299</v>
      </c>
      <c r="I7096" t="s">
        <v>16382</v>
      </c>
      <c r="J7096" t="s">
        <v>16385</v>
      </c>
      <c r="K7096">
        <v>0.173</v>
      </c>
      <c r="L7096">
        <v>7515</v>
      </c>
      <c r="M7096">
        <v>1966</v>
      </c>
      <c r="N7096" t="s">
        <v>16393</v>
      </c>
      <c r="O7096" s="4">
        <v>54761</v>
      </c>
      <c r="P7096" s="4">
        <v>85976</v>
      </c>
      <c r="Q7096" s="4">
        <v>140737</v>
      </c>
      <c r="R7096" s="4">
        <v>422211</v>
      </c>
      <c r="S7096" t="s">
        <v>23245</v>
      </c>
      <c r="T7096" s="6">
        <v>34516</v>
      </c>
      <c r="U7096" s="4">
        <v>141500</v>
      </c>
      <c r="X7096" t="s">
        <v>3</v>
      </c>
      <c r="AA7096" s="5" t="str">
        <f>HYPERLINK("https://www.zillow.com/homes/6724-FOX-TREE-AVE-WOODRIDGE-IL-60517_rb/","check listing")</f>
        <v>check listing</v>
      </c>
      <c r="AB7096" s="5" t="str">
        <f>HYPERLINK("https://propertylookup.dupagecounty.gov/Datalets/Datalet.aspx?UseSearch=no&amp;mode=sales&amp;pin=0824316022","sales record")</f>
        <v>sales record</v>
      </c>
      <c r="AC7096" t="s">
        <v>3</v>
      </c>
      <c r="AD7096">
        <v>41.763563</v>
      </c>
      <c r="AE7096">
        <v>-88.045277</v>
      </c>
      <c r="AF7096" s="5" t="str">
        <f>HYPERLINK("https://www.google.com/maps/search/?api=1&amp;query=41.763563,-88.045277","map")</f>
        <v>map</v>
      </c>
    </row>
    <row r="7097" spans="1:32">
      <c r="A7097" t="s">
        <v>7147</v>
      </c>
      <c r="B7097" t="s">
        <v>14599</v>
      </c>
      <c r="C7097" t="s">
        <v>16151</v>
      </c>
      <c r="D7097" t="s">
        <v>16215</v>
      </c>
      <c r="E7097" t="s">
        <v>16218</v>
      </c>
      <c r="F7097" t="s">
        <v>16220</v>
      </c>
      <c r="G7097" t="s">
        <v>16299</v>
      </c>
      <c r="H7097" t="s">
        <v>16299</v>
      </c>
      <c r="I7097" t="s">
        <v>16382</v>
      </c>
      <c r="J7097" t="s">
        <v>16385</v>
      </c>
      <c r="K7097">
        <v>0.172</v>
      </c>
      <c r="L7097">
        <v>7514</v>
      </c>
      <c r="M7097">
        <v>1536</v>
      </c>
      <c r="N7097" t="s">
        <v>16393</v>
      </c>
      <c r="O7097" s="4">
        <v>54797</v>
      </c>
      <c r="P7097" s="4">
        <v>69031</v>
      </c>
      <c r="Q7097" s="4">
        <v>123828</v>
      </c>
      <c r="R7097" s="4">
        <v>371484</v>
      </c>
      <c r="S7097" t="s">
        <v>23246</v>
      </c>
      <c r="T7097" s="6">
        <v>44531</v>
      </c>
      <c r="U7097" s="4">
        <v>329000</v>
      </c>
      <c r="V7097" t="s">
        <v>23739</v>
      </c>
      <c r="W7097" t="s">
        <v>23246</v>
      </c>
      <c r="X7097" t="s">
        <v>3</v>
      </c>
      <c r="AA7097" s="5" t="str">
        <f>HYPERLINK("https://www.zillow.com/homes/2006-CROWN-POINT-ST-WOODRIDGE-IL-605171834_rb/","check listing")</f>
        <v>check listing</v>
      </c>
      <c r="AB7097" s="5" t="str">
        <f>HYPERLINK("https://propertylookup.dupagecounty.gov/Datalets/Datalet.aspx?UseSearch=no&amp;mode=sales&amp;pin=0824415018","sales record")</f>
        <v>sales record</v>
      </c>
      <c r="AC7097" t="s">
        <v>3</v>
      </c>
      <c r="AD7097">
        <v>41.762989</v>
      </c>
      <c r="AE7097">
        <v>-88.032195</v>
      </c>
      <c r="AF7097" s="5" t="str">
        <f>HYPERLINK("https://www.google.com/maps/search/?api=1&amp;query=41.762989,-88.032195","map")</f>
        <v>map</v>
      </c>
    </row>
    <row r="7098" spans="1:32">
      <c r="A7098" t="s">
        <v>7148</v>
      </c>
      <c r="B7098" t="s">
        <v>14600</v>
      </c>
      <c r="C7098" t="s">
        <v>15323</v>
      </c>
      <c r="D7098" t="s">
        <v>16215</v>
      </c>
      <c r="E7098" t="s">
        <v>16218</v>
      </c>
      <c r="F7098" t="s">
        <v>16220</v>
      </c>
      <c r="G7098" t="s">
        <v>16299</v>
      </c>
      <c r="H7098" t="s">
        <v>16299</v>
      </c>
      <c r="I7098" t="s">
        <v>16382</v>
      </c>
      <c r="J7098" t="s">
        <v>16385</v>
      </c>
      <c r="K7098">
        <v>0.172</v>
      </c>
      <c r="L7098">
        <v>7511</v>
      </c>
      <c r="M7098">
        <v>2282</v>
      </c>
      <c r="N7098" t="s">
        <v>16393</v>
      </c>
      <c r="O7098" s="4">
        <v>54797</v>
      </c>
      <c r="P7098" s="4">
        <v>67283</v>
      </c>
      <c r="Q7098" s="4">
        <v>122080</v>
      </c>
      <c r="R7098" s="4">
        <v>366240</v>
      </c>
      <c r="S7098" t="s">
        <v>23247</v>
      </c>
      <c r="T7098" s="6">
        <v>38200</v>
      </c>
      <c r="U7098" s="4">
        <v>239000</v>
      </c>
      <c r="V7098" t="s">
        <v>23739</v>
      </c>
      <c r="W7098" t="s">
        <v>27613</v>
      </c>
      <c r="X7098" t="s">
        <v>3</v>
      </c>
      <c r="AA7098" s="5" t="str">
        <f>HYPERLINK("https://www.zillow.com/homes/6848-HARVEST-AVE-WOODRIDGE-IL-60517_rb/","check listing")</f>
        <v>check listing</v>
      </c>
      <c r="AB7098" s="5" t="str">
        <f>HYPERLINK("https://propertylookup.dupagecounty.gov/Datalets/Datalet.aspx?UseSearch=no&amp;mode=sales&amp;pin=0824414037","sales record")</f>
        <v>sales record</v>
      </c>
      <c r="AC7098" t="s">
        <v>3</v>
      </c>
      <c r="AD7098">
        <v>41.761674</v>
      </c>
      <c r="AE7098">
        <v>-88.033518</v>
      </c>
      <c r="AF7098" s="5" t="str">
        <f>HYPERLINK("https://www.google.com/maps/search/?api=1&amp;query=41.761674,-88.033518","map")</f>
        <v>map</v>
      </c>
    </row>
    <row r="7099" spans="1:32">
      <c r="A7099" t="s">
        <v>7149</v>
      </c>
      <c r="B7099" t="s">
        <v>14601</v>
      </c>
      <c r="C7099" t="s">
        <v>15323</v>
      </c>
      <c r="D7099" t="s">
        <v>16215</v>
      </c>
      <c r="E7099" t="s">
        <v>16218</v>
      </c>
      <c r="F7099" t="s">
        <v>16220</v>
      </c>
      <c r="G7099" t="s">
        <v>16299</v>
      </c>
      <c r="H7099" t="s">
        <v>16299</v>
      </c>
      <c r="I7099" t="s">
        <v>16382</v>
      </c>
      <c r="J7099" t="s">
        <v>16385</v>
      </c>
      <c r="K7099">
        <v>0.172</v>
      </c>
      <c r="L7099">
        <v>7495</v>
      </c>
      <c r="M7099">
        <v>1430</v>
      </c>
      <c r="N7099" t="s">
        <v>16393</v>
      </c>
      <c r="O7099" s="4">
        <v>54797</v>
      </c>
      <c r="P7099" s="4">
        <v>68198</v>
      </c>
      <c r="Q7099" s="4">
        <v>122995</v>
      </c>
      <c r="R7099" s="4">
        <v>368985</v>
      </c>
      <c r="S7099" t="s">
        <v>23248</v>
      </c>
      <c r="T7099" s="6">
        <v>42614</v>
      </c>
      <c r="U7099" s="4">
        <v>225000</v>
      </c>
      <c r="V7099" t="s">
        <v>23739</v>
      </c>
      <c r="W7099" t="s">
        <v>23248</v>
      </c>
      <c r="X7099" t="s">
        <v>3</v>
      </c>
      <c r="AA7099" s="5" t="str">
        <f>HYPERLINK("https://www.zillow.com/homes/2335-VISTA-DR-WOODRIDGE-IL-60517_rb/","check listing")</f>
        <v>check listing</v>
      </c>
      <c r="AB7099" s="5" t="str">
        <f>HYPERLINK("https://propertylookup.dupagecounty.gov/Datalets/Datalet.aspx?UseSearch=no&amp;mode=sales&amp;pin=0824419011","sales record")</f>
        <v>sales record</v>
      </c>
      <c r="AC7099" t="s">
        <v>3</v>
      </c>
      <c r="AD7099">
        <v>41.760962</v>
      </c>
      <c r="AE7099">
        <v>-88.03733</v>
      </c>
      <c r="AF7099" s="5" t="str">
        <f>HYPERLINK("https://www.google.com/maps/search/?api=1&amp;query=41.760962,-88.03733","map")</f>
        <v>map</v>
      </c>
    </row>
    <row r="7100" spans="1:32">
      <c r="A7100" t="s">
        <v>7150</v>
      </c>
      <c r="B7100" t="s">
        <v>14602</v>
      </c>
      <c r="C7100" t="s">
        <v>15323</v>
      </c>
      <c r="D7100" t="s">
        <v>16215</v>
      </c>
      <c r="E7100" t="s">
        <v>16218</v>
      </c>
      <c r="F7100" t="s">
        <v>16220</v>
      </c>
      <c r="G7100" t="s">
        <v>16299</v>
      </c>
      <c r="H7100" t="s">
        <v>16299</v>
      </c>
      <c r="I7100" t="s">
        <v>16382</v>
      </c>
      <c r="J7100" t="s">
        <v>16385</v>
      </c>
      <c r="K7100">
        <v>0.172</v>
      </c>
      <c r="L7100">
        <v>7485</v>
      </c>
      <c r="M7100">
        <v>1706</v>
      </c>
      <c r="N7100" t="s">
        <v>16393</v>
      </c>
      <c r="O7100" s="4">
        <v>54797</v>
      </c>
      <c r="P7100" s="4">
        <v>73050</v>
      </c>
      <c r="Q7100" s="4">
        <v>127847</v>
      </c>
      <c r="R7100" s="4">
        <v>383541</v>
      </c>
      <c r="S7100" t="s">
        <v>23249</v>
      </c>
      <c r="T7100" s="6">
        <v>28915</v>
      </c>
      <c r="U7100" s="4">
        <v>79278</v>
      </c>
      <c r="X7100" t="s">
        <v>3</v>
      </c>
      <c r="AA7100" s="5" t="str">
        <f>HYPERLINK("https://www.zillow.com/homes/6907-PRAIRIEVIEW-AVE-WOODRIDGE-IL-60517_rb/","check listing")</f>
        <v>check listing</v>
      </c>
      <c r="AB7100" s="5" t="str">
        <f>HYPERLINK("https://propertylookup.dupagecounty.gov/Datalets/Datalet.aspx?UseSearch=no&amp;mode=sales&amp;pin=0824414022","sales record")</f>
        <v>sales record</v>
      </c>
      <c r="AC7100" t="s">
        <v>3</v>
      </c>
      <c r="AD7100">
        <v>41.76127</v>
      </c>
      <c r="AE7100">
        <v>-88.03461900000001</v>
      </c>
      <c r="AF7100" s="5" t="str">
        <f>HYPERLINK("https://www.google.com/maps/search/?api=1&amp;query=41.76127,-88.034619","map")</f>
        <v>map</v>
      </c>
    </row>
    <row r="7101" spans="1:32">
      <c r="A7101" t="s">
        <v>7151</v>
      </c>
      <c r="B7101" t="s">
        <v>14603</v>
      </c>
      <c r="C7101" t="s">
        <v>15323</v>
      </c>
      <c r="D7101" t="s">
        <v>16215</v>
      </c>
      <c r="E7101" t="s">
        <v>16218</v>
      </c>
      <c r="F7101" t="s">
        <v>16220</v>
      </c>
      <c r="G7101" t="s">
        <v>16299</v>
      </c>
      <c r="H7101" t="s">
        <v>16299</v>
      </c>
      <c r="I7101" t="s">
        <v>16382</v>
      </c>
      <c r="J7101" t="s">
        <v>16385</v>
      </c>
      <c r="K7101">
        <v>0.172</v>
      </c>
      <c r="L7101">
        <v>7480</v>
      </c>
      <c r="M7101">
        <v>1873</v>
      </c>
      <c r="N7101" t="s">
        <v>16393</v>
      </c>
      <c r="O7101" s="4">
        <v>54797</v>
      </c>
      <c r="P7101" s="4">
        <v>72861</v>
      </c>
      <c r="Q7101" s="4">
        <v>127658</v>
      </c>
      <c r="R7101" s="4">
        <v>382974</v>
      </c>
      <c r="S7101" t="s">
        <v>23250</v>
      </c>
      <c r="T7101" s="6">
        <v>42614</v>
      </c>
      <c r="U7101" s="4">
        <v>291500</v>
      </c>
      <c r="V7101" t="s">
        <v>23739</v>
      </c>
      <c r="W7101" t="s">
        <v>27614</v>
      </c>
      <c r="X7101" t="s">
        <v>3</v>
      </c>
      <c r="AA7101" s="5" t="str">
        <f>HYPERLINK("https://www.zillow.com/homes/6842-HARVEST-AVE-WOODRIDGE-IL-60517_rb/","check listing")</f>
        <v>check listing</v>
      </c>
      <c r="AB7101" s="5" t="str">
        <f>HYPERLINK("https://propertylookup.dupagecounty.gov/Datalets/Datalet.aspx?UseSearch=no&amp;mode=sales&amp;pin=0824414036","sales record")</f>
        <v>sales record</v>
      </c>
      <c r="AC7101" t="s">
        <v>3</v>
      </c>
      <c r="AD7101">
        <v>41.761846</v>
      </c>
      <c r="AE7101">
        <v>-88.03354299999999</v>
      </c>
      <c r="AF7101" s="5" t="str">
        <f>HYPERLINK("https://www.google.com/maps/search/?api=1&amp;query=41.761846,-88.033543","map")</f>
        <v>map</v>
      </c>
    </row>
    <row r="7102" spans="1:32">
      <c r="A7102" t="s">
        <v>7152</v>
      </c>
      <c r="B7102" t="s">
        <v>14604</v>
      </c>
      <c r="C7102" t="s">
        <v>15323</v>
      </c>
      <c r="D7102" t="s">
        <v>16215</v>
      </c>
      <c r="E7102" t="s">
        <v>16218</v>
      </c>
      <c r="F7102" t="s">
        <v>16220</v>
      </c>
      <c r="G7102" t="s">
        <v>16299</v>
      </c>
      <c r="H7102" t="s">
        <v>16299</v>
      </c>
      <c r="I7102" t="s">
        <v>16382</v>
      </c>
      <c r="J7102" t="s">
        <v>16385</v>
      </c>
      <c r="K7102">
        <v>0.172</v>
      </c>
      <c r="L7102">
        <v>7475</v>
      </c>
      <c r="M7102">
        <v>1465</v>
      </c>
      <c r="N7102" t="s">
        <v>16393</v>
      </c>
      <c r="O7102" s="4">
        <v>54797</v>
      </c>
      <c r="P7102" s="4">
        <v>86940</v>
      </c>
      <c r="Q7102" s="4">
        <v>141737</v>
      </c>
      <c r="R7102" s="4">
        <v>425211</v>
      </c>
      <c r="S7102" t="s">
        <v>23251</v>
      </c>
      <c r="T7102" s="6">
        <v>34486</v>
      </c>
      <c r="U7102" s="4">
        <v>146000</v>
      </c>
      <c r="X7102" t="s">
        <v>3</v>
      </c>
      <c r="AA7102" s="5" t="str">
        <f>HYPERLINK("https://www.zillow.com/homes/6702-CHERRY-TREE-AVE-WOODRIDGE-IL-60517_rb/","check listing")</f>
        <v>check listing</v>
      </c>
      <c r="AB7102" s="5" t="str">
        <f>HYPERLINK("https://propertylookup.dupagecounty.gov/Datalets/Datalet.aspx?UseSearch=no&amp;mode=sales&amp;pin=0824315008","sales record")</f>
        <v>sales record</v>
      </c>
      <c r="AC7102" t="s">
        <v>3</v>
      </c>
      <c r="AD7102">
        <v>41.764326</v>
      </c>
      <c r="AE7102">
        <v>-88.047513</v>
      </c>
      <c r="AF7102" s="5" t="str">
        <f>HYPERLINK("https://www.google.com/maps/search/?api=1&amp;query=41.764326,-88.047513","map")</f>
        <v>map</v>
      </c>
    </row>
    <row r="7103" spans="1:32">
      <c r="A7103" t="s">
        <v>7153</v>
      </c>
      <c r="B7103" t="s">
        <v>14605</v>
      </c>
      <c r="C7103" t="s">
        <v>15323</v>
      </c>
      <c r="D7103" t="s">
        <v>16215</v>
      </c>
      <c r="E7103" t="s">
        <v>16218</v>
      </c>
      <c r="F7103" t="s">
        <v>16220</v>
      </c>
      <c r="G7103" t="s">
        <v>16299</v>
      </c>
      <c r="H7103" t="s">
        <v>16299</v>
      </c>
      <c r="I7103" t="s">
        <v>16382</v>
      </c>
      <c r="J7103" t="s">
        <v>16385</v>
      </c>
      <c r="K7103">
        <v>0.172</v>
      </c>
      <c r="L7103">
        <v>7474</v>
      </c>
      <c r="M7103">
        <v>1326</v>
      </c>
      <c r="N7103" t="s">
        <v>16393</v>
      </c>
      <c r="O7103" s="4">
        <v>54797</v>
      </c>
      <c r="P7103" s="4">
        <v>66463</v>
      </c>
      <c r="Q7103" s="4">
        <v>121260</v>
      </c>
      <c r="R7103" s="4">
        <v>363780</v>
      </c>
      <c r="S7103" t="s">
        <v>23252</v>
      </c>
      <c r="T7103" s="6">
        <v>40087</v>
      </c>
      <c r="U7103" s="4">
        <v>236500</v>
      </c>
      <c r="V7103" t="s">
        <v>23739</v>
      </c>
      <c r="W7103" t="s">
        <v>23252</v>
      </c>
      <c r="X7103" t="s">
        <v>3</v>
      </c>
      <c r="AA7103" s="5" t="str">
        <f>HYPERLINK("https://www.zillow.com/homes/6714-CHERRY-TREE-AVE-WOODRIDGE-IL-60517_rb/","check listing")</f>
        <v>check listing</v>
      </c>
      <c r="AB7103" s="5" t="str">
        <f>HYPERLINK("https://propertylookup.dupagecounty.gov/Datalets/Datalet.aspx?UseSearch=no&amp;mode=sales&amp;pin=0824315011","sales record")</f>
        <v>sales record</v>
      </c>
      <c r="AC7103" t="s">
        <v>3</v>
      </c>
      <c r="AD7103">
        <v>41.763712</v>
      </c>
      <c r="AE7103">
        <v>-88.04731700000001</v>
      </c>
      <c r="AF7103" s="5" t="str">
        <f>HYPERLINK("https://www.google.com/maps/search/?api=1&amp;query=41.763712,-88.047317","map")</f>
        <v>map</v>
      </c>
    </row>
    <row r="7104" spans="1:32">
      <c r="A7104" t="s">
        <v>7154</v>
      </c>
      <c r="B7104" t="s">
        <v>14606</v>
      </c>
      <c r="C7104" t="s">
        <v>16142</v>
      </c>
      <c r="D7104" t="s">
        <v>16215</v>
      </c>
      <c r="E7104" t="s">
        <v>16218</v>
      </c>
      <c r="F7104" t="s">
        <v>16220</v>
      </c>
      <c r="G7104" t="s">
        <v>16299</v>
      </c>
      <c r="H7104" t="s">
        <v>16299</v>
      </c>
      <c r="I7104" t="s">
        <v>16382</v>
      </c>
      <c r="J7104" t="s">
        <v>16385</v>
      </c>
      <c r="K7104">
        <v>0.171</v>
      </c>
      <c r="L7104">
        <v>7470</v>
      </c>
      <c r="M7104">
        <v>1792</v>
      </c>
      <c r="N7104" t="s">
        <v>16393</v>
      </c>
      <c r="O7104" s="4">
        <v>54761</v>
      </c>
      <c r="P7104" s="4">
        <v>83218</v>
      </c>
      <c r="Q7104" s="4">
        <v>137979</v>
      </c>
      <c r="R7104" s="4">
        <v>413937</v>
      </c>
      <c r="S7104" t="s">
        <v>23253</v>
      </c>
      <c r="T7104" s="6">
        <v>44287</v>
      </c>
      <c r="U7104" s="4">
        <v>330000</v>
      </c>
      <c r="V7104" t="s">
        <v>23739</v>
      </c>
      <c r="W7104" t="s">
        <v>23253</v>
      </c>
      <c r="X7104" t="s">
        <v>3</v>
      </c>
      <c r="AA7104" s="5" t="str">
        <f>HYPERLINK("https://www.zillow.com/homes/6685-FOXTREE-AVE-WOODRIDGE-IL-605171706_rb/","check listing")</f>
        <v>check listing</v>
      </c>
      <c r="AB7104" s="5" t="str">
        <f>HYPERLINK("https://propertylookup.dupagecounty.gov/Datalets/Datalet.aspx?UseSearch=no&amp;mode=sales&amp;pin=0824110002","sales record")</f>
        <v>sales record</v>
      </c>
      <c r="AC7104" t="s">
        <v>3</v>
      </c>
      <c r="AD7104">
        <v>41.765913</v>
      </c>
      <c r="AE7104">
        <v>-88.044861</v>
      </c>
      <c r="AF7104" s="5" t="str">
        <f>HYPERLINK("https://www.google.com/maps/search/?api=1&amp;query=41.765913,-88.044861","map")</f>
        <v>map</v>
      </c>
    </row>
    <row r="7105" spans="1:32">
      <c r="A7105" t="s">
        <v>7155</v>
      </c>
      <c r="B7105" t="s">
        <v>14607</v>
      </c>
      <c r="C7105" t="s">
        <v>15323</v>
      </c>
      <c r="D7105" t="s">
        <v>16215</v>
      </c>
      <c r="E7105" t="s">
        <v>16218</v>
      </c>
      <c r="F7105" t="s">
        <v>16220</v>
      </c>
      <c r="G7105" t="s">
        <v>16299</v>
      </c>
      <c r="H7105" t="s">
        <v>16299</v>
      </c>
      <c r="I7105" t="s">
        <v>16382</v>
      </c>
      <c r="J7105" t="s">
        <v>16385</v>
      </c>
      <c r="K7105">
        <v>0.171</v>
      </c>
      <c r="L7105">
        <v>7470</v>
      </c>
      <c r="M7105">
        <v>2182</v>
      </c>
      <c r="N7105" t="s">
        <v>16393</v>
      </c>
      <c r="O7105" s="4">
        <v>54797</v>
      </c>
      <c r="P7105" s="4">
        <v>65678</v>
      </c>
      <c r="Q7105" s="4">
        <v>120475</v>
      </c>
      <c r="R7105" s="4">
        <v>361425</v>
      </c>
      <c r="S7105" t="s">
        <v>23254</v>
      </c>
      <c r="X7105" t="s">
        <v>3</v>
      </c>
      <c r="AA7105" s="5" t="str">
        <f>HYPERLINK("https://www.zillow.com/homes/6705-FOX-TREE-AVE-WOODRIDGE-IL-60517_rb/","check listing")</f>
        <v>check listing</v>
      </c>
      <c r="AB7105" s="5" t="str">
        <f>HYPERLINK("https://propertylookup.dupagecounty.gov/Datalets/Datalet.aspx?UseSearch=no&amp;mode=sales&amp;pin=0824317002","sales record")</f>
        <v>sales record</v>
      </c>
      <c r="AC7105" t="s">
        <v>3</v>
      </c>
      <c r="AD7105">
        <v>41.764601</v>
      </c>
      <c r="AE7105">
        <v>-88.045055</v>
      </c>
      <c r="AF7105" s="5" t="str">
        <f>HYPERLINK("https://www.google.com/maps/search/?api=1&amp;query=41.764601,-88.045055","map")</f>
        <v>map</v>
      </c>
    </row>
    <row r="7106" spans="1:32">
      <c r="A7106" t="s">
        <v>7156</v>
      </c>
      <c r="B7106" t="s">
        <v>14608</v>
      </c>
      <c r="C7106" t="s">
        <v>15323</v>
      </c>
      <c r="D7106" t="s">
        <v>16215</v>
      </c>
      <c r="E7106" t="s">
        <v>16218</v>
      </c>
      <c r="F7106" t="s">
        <v>16220</v>
      </c>
      <c r="G7106" t="s">
        <v>16299</v>
      </c>
      <c r="H7106" t="s">
        <v>16299</v>
      </c>
      <c r="I7106" t="s">
        <v>16382</v>
      </c>
      <c r="J7106" t="s">
        <v>16385</v>
      </c>
      <c r="K7106">
        <v>0.171</v>
      </c>
      <c r="L7106">
        <v>7464</v>
      </c>
      <c r="M7106">
        <v>2142</v>
      </c>
      <c r="N7106" t="s">
        <v>16393</v>
      </c>
      <c r="O7106" s="4">
        <v>54797</v>
      </c>
      <c r="P7106" s="4">
        <v>68306</v>
      </c>
      <c r="Q7106" s="4">
        <v>123103</v>
      </c>
      <c r="R7106" s="4">
        <v>369309</v>
      </c>
      <c r="S7106" t="s">
        <v>23255</v>
      </c>
      <c r="T7106" s="6">
        <v>39965</v>
      </c>
      <c r="U7106" s="4">
        <v>224800</v>
      </c>
      <c r="V7106" t="s">
        <v>23739</v>
      </c>
      <c r="W7106" t="s">
        <v>27615</v>
      </c>
      <c r="X7106" t="s">
        <v>3</v>
      </c>
      <c r="AA7106" s="5" t="str">
        <f>HYPERLINK("https://www.zillow.com/homes/2037-SUNNYDALE-ST-WOODRIDGE-IL-60517_rb/","check listing")</f>
        <v>check listing</v>
      </c>
      <c r="AB7106" s="5" t="str">
        <f>HYPERLINK("https://propertylookup.dupagecounty.gov/Datalets/Datalet.aspx?UseSearch=no&amp;mode=sales&amp;pin=0824418002","sales record")</f>
        <v>sales record</v>
      </c>
      <c r="AC7106" t="s">
        <v>3</v>
      </c>
      <c r="AD7106">
        <v>41.760118</v>
      </c>
      <c r="AE7106">
        <v>-88.033052</v>
      </c>
      <c r="AF7106" s="5" t="str">
        <f>HYPERLINK("https://www.google.com/maps/search/?api=1&amp;query=41.760118,-88.033052","map")</f>
        <v>map</v>
      </c>
    </row>
    <row r="7107" spans="1:32">
      <c r="A7107" t="s">
        <v>7157</v>
      </c>
      <c r="B7107" t="s">
        <v>14609</v>
      </c>
      <c r="C7107" t="s">
        <v>16117</v>
      </c>
      <c r="D7107" t="s">
        <v>16215</v>
      </c>
      <c r="E7107" t="s">
        <v>16218</v>
      </c>
      <c r="F7107" t="s">
        <v>16220</v>
      </c>
      <c r="G7107" t="s">
        <v>16299</v>
      </c>
      <c r="H7107" t="s">
        <v>16299</v>
      </c>
      <c r="I7107" t="s">
        <v>16382</v>
      </c>
      <c r="J7107" t="s">
        <v>16385</v>
      </c>
      <c r="K7107">
        <v>0.171</v>
      </c>
      <c r="L7107">
        <v>7461</v>
      </c>
      <c r="M7107">
        <v>2005</v>
      </c>
      <c r="N7107" t="s">
        <v>16393</v>
      </c>
      <c r="O7107" s="4">
        <v>52739</v>
      </c>
      <c r="P7107" s="4">
        <v>93349</v>
      </c>
      <c r="Q7107" s="4">
        <v>146088</v>
      </c>
      <c r="R7107" s="4">
        <v>438264</v>
      </c>
      <c r="S7107" t="s">
        <v>23256</v>
      </c>
      <c r="T7107" s="6">
        <v>43922</v>
      </c>
      <c r="U7107" s="4">
        <v>350000</v>
      </c>
      <c r="V7107" t="s">
        <v>23739</v>
      </c>
      <c r="W7107" t="s">
        <v>27616</v>
      </c>
      <c r="X7107" t="s">
        <v>3</v>
      </c>
      <c r="AA7107" s="5" t="str">
        <f>HYPERLINK("https://www.zillow.com/homes/2621-ZURICH-CT-WOODRIDGE-IL-605174506_rb/","check listing")</f>
        <v>check listing</v>
      </c>
      <c r="AB7107" s="5" t="str">
        <f>HYPERLINK("https://propertylookup.dupagecounty.gov/Datalets/Datalet.aspx?UseSearch=no&amp;mode=sales&amp;pin=0836103009","sales record")</f>
        <v>sales record</v>
      </c>
      <c r="AC7107" t="s">
        <v>3</v>
      </c>
      <c r="AD7107">
        <v>41.736995</v>
      </c>
      <c r="AE7107">
        <v>-88.04517</v>
      </c>
      <c r="AF7107" s="5" t="str">
        <f>HYPERLINK("https://www.google.com/maps/search/?api=1&amp;query=41.736995,-88.04517","map")</f>
        <v>map</v>
      </c>
    </row>
    <row r="7108" spans="1:32">
      <c r="A7108" t="s">
        <v>7158</v>
      </c>
      <c r="B7108" t="s">
        <v>14610</v>
      </c>
      <c r="C7108" t="s">
        <v>16117</v>
      </c>
      <c r="D7108" t="s">
        <v>16215</v>
      </c>
      <c r="E7108" t="s">
        <v>16218</v>
      </c>
      <c r="F7108" t="s">
        <v>16220</v>
      </c>
      <c r="G7108" t="s">
        <v>16299</v>
      </c>
      <c r="H7108" t="s">
        <v>16299</v>
      </c>
      <c r="I7108" t="s">
        <v>16382</v>
      </c>
      <c r="J7108" t="s">
        <v>16385</v>
      </c>
      <c r="K7108">
        <v>0.171</v>
      </c>
      <c r="L7108">
        <v>7461</v>
      </c>
      <c r="M7108">
        <v>1325</v>
      </c>
      <c r="N7108" t="s">
        <v>16393</v>
      </c>
      <c r="O7108" s="4">
        <v>52739</v>
      </c>
      <c r="P7108" s="4">
        <v>66082</v>
      </c>
      <c r="Q7108" s="4">
        <v>118821</v>
      </c>
      <c r="R7108" s="4">
        <v>356463</v>
      </c>
      <c r="S7108" t="s">
        <v>23257</v>
      </c>
      <c r="T7108" s="6">
        <v>42887</v>
      </c>
      <c r="U7108" s="4">
        <v>190000</v>
      </c>
      <c r="V7108" t="s">
        <v>16232</v>
      </c>
      <c r="W7108" t="s">
        <v>23257</v>
      </c>
      <c r="X7108" t="s">
        <v>3</v>
      </c>
      <c r="AA7108" s="5" t="str">
        <f>HYPERLINK("https://www.zillow.com/homes/2625-ZURICH-CT-WOODRIDGE-IL-605174506_rb/","check listing")</f>
        <v>check listing</v>
      </c>
      <c r="AB7108" s="5" t="str">
        <f>HYPERLINK("https://propertylookup.dupagecounty.gov/Datalets/Datalet.aspx?UseSearch=no&amp;mode=sales&amp;pin=0836103008","sales record")</f>
        <v>sales record</v>
      </c>
      <c r="AC7108" t="s">
        <v>3</v>
      </c>
      <c r="AD7108">
        <v>41.73699</v>
      </c>
      <c r="AE7108">
        <v>-88.045351</v>
      </c>
      <c r="AF7108" s="5" t="str">
        <f>HYPERLINK("https://www.google.com/maps/search/?api=1&amp;query=41.73699,-88.045351","map")</f>
        <v>map</v>
      </c>
    </row>
    <row r="7109" spans="1:32">
      <c r="A7109" t="s">
        <v>7159</v>
      </c>
      <c r="B7109" t="s">
        <v>14611</v>
      </c>
      <c r="C7109" t="s">
        <v>16117</v>
      </c>
      <c r="D7109" t="s">
        <v>16215</v>
      </c>
      <c r="E7109" t="s">
        <v>16218</v>
      </c>
      <c r="F7109" t="s">
        <v>16220</v>
      </c>
      <c r="G7109" t="s">
        <v>16299</v>
      </c>
      <c r="H7109" t="s">
        <v>16299</v>
      </c>
      <c r="I7109" t="s">
        <v>16382</v>
      </c>
      <c r="J7109" t="s">
        <v>16385</v>
      </c>
      <c r="K7109">
        <v>0.171</v>
      </c>
      <c r="L7109">
        <v>7460</v>
      </c>
      <c r="M7109">
        <v>1869</v>
      </c>
      <c r="N7109" t="s">
        <v>16393</v>
      </c>
      <c r="O7109" s="4">
        <v>52739</v>
      </c>
      <c r="P7109" s="4">
        <v>75072</v>
      </c>
      <c r="Q7109" s="4">
        <v>127811</v>
      </c>
      <c r="R7109" s="4">
        <v>383433</v>
      </c>
      <c r="S7109" t="s">
        <v>23258</v>
      </c>
      <c r="T7109" s="6">
        <v>44992</v>
      </c>
      <c r="U7109" s="4">
        <v>399000</v>
      </c>
      <c r="V7109" t="s">
        <v>23739</v>
      </c>
      <c r="W7109" t="s">
        <v>27617</v>
      </c>
      <c r="X7109" t="s">
        <v>3</v>
      </c>
      <c r="AA7109" s="5" t="str">
        <f>HYPERLINK("https://www.zillow.com/homes/2617-ZURICH-CT-WOODRIDGE-IL-605174506_rb/","check listing")</f>
        <v>check listing</v>
      </c>
      <c r="AB7109" s="5" t="str">
        <f>HYPERLINK("https://propertylookup.dupagecounty.gov/Datalets/Datalet.aspx?UseSearch=no&amp;mode=sales&amp;pin=0836103010","sales record")</f>
        <v>sales record</v>
      </c>
      <c r="AC7109" t="s">
        <v>3</v>
      </c>
      <c r="AD7109">
        <v>41.736999</v>
      </c>
      <c r="AE7109">
        <v>-88.044989</v>
      </c>
      <c r="AF7109" s="5" t="str">
        <f>HYPERLINK("https://www.google.com/maps/search/?api=1&amp;query=41.736999,-88.044989","map")</f>
        <v>map</v>
      </c>
    </row>
    <row r="7110" spans="1:32">
      <c r="A7110" t="s">
        <v>7160</v>
      </c>
      <c r="B7110" t="s">
        <v>14612</v>
      </c>
      <c r="C7110" t="s">
        <v>15323</v>
      </c>
      <c r="D7110" t="s">
        <v>16215</v>
      </c>
      <c r="E7110" t="s">
        <v>16218</v>
      </c>
      <c r="F7110" t="s">
        <v>16220</v>
      </c>
      <c r="G7110" t="s">
        <v>16299</v>
      </c>
      <c r="H7110" t="s">
        <v>16299</v>
      </c>
      <c r="I7110" t="s">
        <v>16382</v>
      </c>
      <c r="J7110" t="s">
        <v>16385</v>
      </c>
      <c r="K7110">
        <v>0.171</v>
      </c>
      <c r="L7110">
        <v>7458</v>
      </c>
      <c r="M7110">
        <v>2082</v>
      </c>
      <c r="N7110" t="s">
        <v>16393</v>
      </c>
      <c r="O7110" s="4">
        <v>54797</v>
      </c>
      <c r="P7110" s="4">
        <v>67437</v>
      </c>
      <c r="Q7110" s="4">
        <v>122234</v>
      </c>
      <c r="R7110" s="4">
        <v>366702</v>
      </c>
      <c r="S7110" t="s">
        <v>23259</v>
      </c>
      <c r="T7110" s="6">
        <v>45561</v>
      </c>
      <c r="U7110" s="4">
        <v>374900</v>
      </c>
      <c r="V7110" t="s">
        <v>23739</v>
      </c>
      <c r="W7110" t="s">
        <v>27618</v>
      </c>
      <c r="X7110" t="s">
        <v>3</v>
      </c>
      <c r="AA7110" s="5" t="str">
        <f>HYPERLINK("https://www.zillow.com/homes/6900-RED-BUD-LN-WOODRIDGE-IL-60517_rb/","check listing")</f>
        <v>check listing</v>
      </c>
      <c r="AB7110" s="5" t="str">
        <f>HYPERLINK("https://propertylookup.dupagecounty.gov/Datalets/Datalet.aspx?UseSearch=no&amp;mode=sales&amp;pin=0824305001","sales record")</f>
        <v>sales record</v>
      </c>
      <c r="AC7110" t="s">
        <v>3</v>
      </c>
      <c r="AD7110">
        <v>41.76164</v>
      </c>
      <c r="AE7110">
        <v>-88.04768</v>
      </c>
      <c r="AF7110" s="5" t="str">
        <f>HYPERLINK("https://www.google.com/maps/search/?api=1&amp;query=41.76164,-88.04768","map")</f>
        <v>map</v>
      </c>
    </row>
    <row r="7111" spans="1:32">
      <c r="A7111" t="s">
        <v>7161</v>
      </c>
      <c r="B7111" t="s">
        <v>14613</v>
      </c>
      <c r="C7111" t="s">
        <v>15323</v>
      </c>
      <c r="D7111" t="s">
        <v>16215</v>
      </c>
      <c r="E7111" t="s">
        <v>16218</v>
      </c>
      <c r="F7111" t="s">
        <v>16220</v>
      </c>
      <c r="G7111" t="s">
        <v>16299</v>
      </c>
      <c r="H7111" t="s">
        <v>16299</v>
      </c>
      <c r="I7111" t="s">
        <v>16382</v>
      </c>
      <c r="J7111" t="s">
        <v>16385</v>
      </c>
      <c r="K7111">
        <v>0.171</v>
      </c>
      <c r="L7111">
        <v>7456</v>
      </c>
      <c r="M7111">
        <v>1372</v>
      </c>
      <c r="N7111" t="s">
        <v>16393</v>
      </c>
      <c r="O7111" s="4">
        <v>54797</v>
      </c>
      <c r="P7111" s="4">
        <v>72979</v>
      </c>
      <c r="Q7111" s="4">
        <v>127776</v>
      </c>
      <c r="R7111" s="4">
        <v>383328</v>
      </c>
      <c r="S7111" t="s">
        <v>23260</v>
      </c>
      <c r="T7111" s="6">
        <v>38991</v>
      </c>
      <c r="U7111" s="4">
        <v>282000</v>
      </c>
      <c r="V7111" t="s">
        <v>23739</v>
      </c>
      <c r="W7111" t="s">
        <v>27619</v>
      </c>
      <c r="X7111" t="s">
        <v>3</v>
      </c>
      <c r="AA7111" s="5" t="str">
        <f>HYPERLINK("https://www.zillow.com/homes/2555-YELLOW-STAR-ST-WOODRIDGE-IL-60517_rb/","check listing")</f>
        <v>check listing</v>
      </c>
      <c r="AB7111" s="5" t="str">
        <f>HYPERLINK("https://propertylookup.dupagecounty.gov/Datalets/Datalet.aspx?UseSearch=no&amp;mode=sales&amp;pin=0824315003","sales record")</f>
        <v>sales record</v>
      </c>
      <c r="AC7111" t="s">
        <v>3</v>
      </c>
      <c r="AD7111">
        <v>41.763823</v>
      </c>
      <c r="AE7111">
        <v>-88.048108</v>
      </c>
      <c r="AF7111" s="5" t="str">
        <f>HYPERLINK("https://www.google.com/maps/search/?api=1&amp;query=41.763823,-88.048108","map")</f>
        <v>map</v>
      </c>
    </row>
    <row r="7112" spans="1:32">
      <c r="A7112" t="s">
        <v>7162</v>
      </c>
      <c r="B7112" t="s">
        <v>14614</v>
      </c>
      <c r="C7112" t="s">
        <v>16152</v>
      </c>
      <c r="D7112" t="s">
        <v>16215</v>
      </c>
      <c r="E7112" t="s">
        <v>16218</v>
      </c>
      <c r="F7112" t="s">
        <v>16220</v>
      </c>
      <c r="G7112" t="s">
        <v>16299</v>
      </c>
      <c r="H7112" t="s">
        <v>16299</v>
      </c>
      <c r="I7112" t="s">
        <v>16382</v>
      </c>
      <c r="J7112" t="s">
        <v>16385</v>
      </c>
      <c r="K7112">
        <v>0.171</v>
      </c>
      <c r="L7112">
        <v>7447</v>
      </c>
      <c r="M7112">
        <v>2584</v>
      </c>
      <c r="N7112" t="s">
        <v>16393</v>
      </c>
      <c r="O7112" s="4">
        <v>54797</v>
      </c>
      <c r="P7112" s="4">
        <v>65760</v>
      </c>
      <c r="Q7112" s="4">
        <v>120557</v>
      </c>
      <c r="R7112" s="4">
        <v>361671</v>
      </c>
      <c r="S7112" t="s">
        <v>23261</v>
      </c>
      <c r="T7112" s="6">
        <v>43040</v>
      </c>
      <c r="U7112" s="4">
        <v>231000</v>
      </c>
      <c r="V7112" t="s">
        <v>23739</v>
      </c>
      <c r="W7112" t="s">
        <v>27620</v>
      </c>
      <c r="X7112" t="s">
        <v>3</v>
      </c>
      <c r="AA7112" s="5" t="str">
        <f>HYPERLINK("https://www.zillow.com/homes/6901-PRAIRIEVIEW-AVE-WOODRIDGE-IL-605171825_rb/","check listing")</f>
        <v>check listing</v>
      </c>
      <c r="AB7112" s="5" t="str">
        <f>HYPERLINK("https://propertylookup.dupagecounty.gov/Datalets/Datalet.aspx?UseSearch=no&amp;mode=sales&amp;pin=0824414021","sales record")</f>
        <v>sales record</v>
      </c>
      <c r="AC7112" t="s">
        <v>3</v>
      </c>
      <c r="AD7112">
        <v>41.761449</v>
      </c>
      <c r="AE7112">
        <v>-88.034689</v>
      </c>
      <c r="AF7112" s="5" t="str">
        <f>HYPERLINK("https://www.google.com/maps/search/?api=1&amp;query=41.761449,-88.034689","map")</f>
        <v>map</v>
      </c>
    </row>
    <row r="7113" spans="1:32">
      <c r="A7113" t="s">
        <v>7163</v>
      </c>
      <c r="B7113" t="s">
        <v>14615</v>
      </c>
      <c r="C7113" t="s">
        <v>15323</v>
      </c>
      <c r="D7113" t="s">
        <v>16215</v>
      </c>
      <c r="E7113" t="s">
        <v>16218</v>
      </c>
      <c r="F7113" t="s">
        <v>16220</v>
      </c>
      <c r="G7113" t="s">
        <v>16299</v>
      </c>
      <c r="H7113" t="s">
        <v>16299</v>
      </c>
      <c r="I7113" t="s">
        <v>16382</v>
      </c>
      <c r="J7113" t="s">
        <v>16385</v>
      </c>
      <c r="K7113">
        <v>0.171</v>
      </c>
      <c r="L7113">
        <v>7439</v>
      </c>
      <c r="M7113">
        <v>1592</v>
      </c>
      <c r="N7113" t="s">
        <v>16393</v>
      </c>
      <c r="O7113" s="4">
        <v>54797</v>
      </c>
      <c r="P7113" s="4">
        <v>69150</v>
      </c>
      <c r="Q7113" s="4">
        <v>123947</v>
      </c>
      <c r="R7113" s="4">
        <v>371841</v>
      </c>
      <c r="S7113" t="s">
        <v>23262</v>
      </c>
      <c r="T7113" s="6">
        <v>38078</v>
      </c>
      <c r="U7113" s="4">
        <v>184500</v>
      </c>
      <c r="V7113" t="s">
        <v>23740</v>
      </c>
      <c r="W7113" t="s">
        <v>27621</v>
      </c>
      <c r="X7113" t="s">
        <v>3</v>
      </c>
      <c r="AA7113" s="5" t="str">
        <f>HYPERLINK("https://www.zillow.com/homes/2412-PHEASANT-AVE-WOODRIDGE-IL-60517_rb/","check listing")</f>
        <v>check listing</v>
      </c>
      <c r="AB7113" s="5" t="str">
        <f>HYPERLINK("https://propertylookup.dupagecounty.gov/Datalets/Datalet.aspx?UseSearch=no&amp;mode=sales&amp;pin=0824401001","sales record")</f>
        <v>sales record</v>
      </c>
      <c r="AC7113" t="s">
        <v>3</v>
      </c>
      <c r="AD7113">
        <v>41.764877</v>
      </c>
      <c r="AE7113">
        <v>-88.041183</v>
      </c>
      <c r="AF7113" s="5" t="str">
        <f>HYPERLINK("https://www.google.com/maps/search/?api=1&amp;query=41.764877,-88.041183","map")</f>
        <v>map</v>
      </c>
    </row>
    <row r="7114" spans="1:32">
      <c r="A7114" t="s">
        <v>7164</v>
      </c>
      <c r="B7114" t="s">
        <v>14616</v>
      </c>
      <c r="C7114" t="s">
        <v>15323</v>
      </c>
      <c r="D7114" t="s">
        <v>16215</v>
      </c>
      <c r="E7114" t="s">
        <v>16218</v>
      </c>
      <c r="F7114" t="s">
        <v>16220</v>
      </c>
      <c r="G7114" t="s">
        <v>16299</v>
      </c>
      <c r="H7114" t="s">
        <v>16299</v>
      </c>
      <c r="I7114" t="s">
        <v>16382</v>
      </c>
      <c r="J7114" t="s">
        <v>16385</v>
      </c>
      <c r="K7114">
        <v>0.171</v>
      </c>
      <c r="L7114">
        <v>7435</v>
      </c>
      <c r="M7114">
        <v>2159</v>
      </c>
      <c r="N7114" t="s">
        <v>16393</v>
      </c>
      <c r="O7114" s="4">
        <v>54797</v>
      </c>
      <c r="P7114" s="4">
        <v>65760</v>
      </c>
      <c r="Q7114" s="4">
        <v>120557</v>
      </c>
      <c r="R7114" s="4">
        <v>361671</v>
      </c>
      <c r="S7114" t="s">
        <v>23263</v>
      </c>
      <c r="T7114" s="6">
        <v>36342</v>
      </c>
      <c r="U7114" s="4">
        <v>154900</v>
      </c>
      <c r="X7114" t="s">
        <v>3</v>
      </c>
      <c r="AA7114" s="5" t="str">
        <f>HYPERLINK("https://www.zillow.com/homes/6913-PRAIRIEVIEW-AVE-WOODRIDGE-IL-60517_rb/","check listing")</f>
        <v>check listing</v>
      </c>
      <c r="AB7114" s="5" t="str">
        <f>HYPERLINK("https://propertylookup.dupagecounty.gov/Datalets/Datalet.aspx?UseSearch=no&amp;mode=sales&amp;pin=0824414023","sales record")</f>
        <v>sales record</v>
      </c>
      <c r="AC7114" t="s">
        <v>3</v>
      </c>
      <c r="AD7114">
        <v>41.761071</v>
      </c>
      <c r="AE7114">
        <v>-88.034542</v>
      </c>
      <c r="AF7114" s="5" t="str">
        <f>HYPERLINK("https://www.google.com/maps/search/?api=1&amp;query=41.761071,-88.034542","map")</f>
        <v>map</v>
      </c>
    </row>
    <row r="7115" spans="1:32">
      <c r="A7115" t="s">
        <v>7165</v>
      </c>
      <c r="B7115" t="s">
        <v>14617</v>
      </c>
      <c r="C7115" t="s">
        <v>16153</v>
      </c>
      <c r="D7115" t="s">
        <v>16215</v>
      </c>
      <c r="E7115" t="s">
        <v>16218</v>
      </c>
      <c r="F7115" t="s">
        <v>16220</v>
      </c>
      <c r="G7115" t="s">
        <v>16299</v>
      </c>
      <c r="H7115" t="s">
        <v>16299</v>
      </c>
      <c r="I7115" t="s">
        <v>16382</v>
      </c>
      <c r="J7115" t="s">
        <v>16385</v>
      </c>
      <c r="K7115">
        <v>0.17</v>
      </c>
      <c r="L7115">
        <v>7415</v>
      </c>
      <c r="M7115">
        <v>2408</v>
      </c>
      <c r="N7115" t="s">
        <v>16393</v>
      </c>
      <c r="O7115" s="4">
        <v>55308</v>
      </c>
      <c r="P7115" s="4">
        <v>74310</v>
      </c>
      <c r="Q7115" s="4">
        <v>129618</v>
      </c>
      <c r="R7115" s="4">
        <v>388854</v>
      </c>
      <c r="S7115" t="s">
        <v>23264</v>
      </c>
      <c r="T7115" s="6">
        <v>44682</v>
      </c>
      <c r="U7115" s="4">
        <v>335000</v>
      </c>
      <c r="V7115" t="s">
        <v>23739</v>
      </c>
      <c r="W7115" t="s">
        <v>27622</v>
      </c>
      <c r="X7115" t="s">
        <v>3</v>
      </c>
      <c r="AA7115" s="5" t="str">
        <f>HYPERLINK("https://www.zillow.com/homes/2604-BERN-CT-WOODRIDGE-IL-605174527_rb/","check listing")</f>
        <v>check listing</v>
      </c>
      <c r="AB7115" s="5" t="str">
        <f>HYPERLINK("https://propertylookup.dupagecounty.gov/Datalets/Datalet.aspx?UseSearch=no&amp;mode=sales&amp;pin=0836103035","sales record")</f>
        <v>sales record</v>
      </c>
      <c r="AC7115" t="s">
        <v>3</v>
      </c>
      <c r="AD7115">
        <v>41.736303</v>
      </c>
      <c r="AE7115">
        <v>-88.04437900000001</v>
      </c>
      <c r="AF7115" s="5" t="str">
        <f>HYPERLINK("https://www.google.com/maps/search/?api=1&amp;query=41.736303,-88.044379","map")</f>
        <v>map</v>
      </c>
    </row>
    <row r="7116" spans="1:32">
      <c r="A7116" t="s">
        <v>7166</v>
      </c>
      <c r="B7116" t="s">
        <v>14618</v>
      </c>
      <c r="C7116" t="s">
        <v>15323</v>
      </c>
      <c r="D7116" t="s">
        <v>16215</v>
      </c>
      <c r="E7116" t="s">
        <v>16218</v>
      </c>
      <c r="F7116" t="s">
        <v>16220</v>
      </c>
      <c r="G7116" t="s">
        <v>16299</v>
      </c>
      <c r="H7116" t="s">
        <v>16299</v>
      </c>
      <c r="I7116" t="s">
        <v>16382</v>
      </c>
      <c r="J7116" t="s">
        <v>16385</v>
      </c>
      <c r="K7116">
        <v>0.17</v>
      </c>
      <c r="L7116">
        <v>7404</v>
      </c>
      <c r="M7116">
        <v>1469</v>
      </c>
      <c r="N7116" t="s">
        <v>16393</v>
      </c>
      <c r="O7116" s="4">
        <v>54797</v>
      </c>
      <c r="P7116" s="4">
        <v>79341</v>
      </c>
      <c r="Q7116" s="4">
        <v>134138</v>
      </c>
      <c r="R7116" s="4">
        <v>402414</v>
      </c>
      <c r="S7116" t="s">
        <v>23265</v>
      </c>
      <c r="T7116" s="6">
        <v>40026</v>
      </c>
      <c r="U7116" s="4">
        <v>264000</v>
      </c>
      <c r="V7116" t="s">
        <v>23739</v>
      </c>
      <c r="W7116" t="s">
        <v>27623</v>
      </c>
      <c r="X7116" t="s">
        <v>3</v>
      </c>
      <c r="AA7116" s="5" t="str">
        <f>HYPERLINK("https://www.zillow.com/homes/2018-CROWN-POINT-ST-WOODRIDGE-IL-60517_rb/","check listing")</f>
        <v>check listing</v>
      </c>
      <c r="AB7116" s="5" t="str">
        <f>HYPERLINK("https://propertylookup.dupagecounty.gov/Datalets/Datalet.aspx?UseSearch=no&amp;mode=sales&amp;pin=0824415016","sales record")</f>
        <v>sales record</v>
      </c>
      <c r="AC7116" t="s">
        <v>3</v>
      </c>
      <c r="AD7116">
        <v>41.762961</v>
      </c>
      <c r="AE7116">
        <v>-88.032685</v>
      </c>
      <c r="AF7116" s="5" t="str">
        <f>HYPERLINK("https://www.google.com/maps/search/?api=1&amp;query=41.762961,-88.032685","map")</f>
        <v>map</v>
      </c>
    </row>
    <row r="7117" spans="1:32">
      <c r="A7117" t="s">
        <v>7167</v>
      </c>
      <c r="B7117" t="s">
        <v>14619</v>
      </c>
      <c r="C7117" t="s">
        <v>15323</v>
      </c>
      <c r="D7117" t="s">
        <v>16215</v>
      </c>
      <c r="E7117" t="s">
        <v>16218</v>
      </c>
      <c r="F7117" t="s">
        <v>16220</v>
      </c>
      <c r="G7117" t="s">
        <v>16299</v>
      </c>
      <c r="H7117" t="s">
        <v>16299</v>
      </c>
      <c r="I7117" t="s">
        <v>16382</v>
      </c>
      <c r="J7117" t="s">
        <v>16385</v>
      </c>
      <c r="K7117">
        <v>0.17</v>
      </c>
      <c r="L7117">
        <v>7400</v>
      </c>
      <c r="M7117">
        <v>1734</v>
      </c>
      <c r="N7117" t="s">
        <v>16393</v>
      </c>
      <c r="O7117" s="4">
        <v>51443</v>
      </c>
      <c r="P7117" s="4">
        <v>112031</v>
      </c>
      <c r="Q7117" s="4">
        <v>163474</v>
      </c>
      <c r="R7117" s="4">
        <v>490422</v>
      </c>
      <c r="S7117" t="s">
        <v>23266</v>
      </c>
      <c r="T7117" s="6">
        <v>42095</v>
      </c>
      <c r="U7117" s="4">
        <v>279530</v>
      </c>
      <c r="V7117" t="s">
        <v>16232</v>
      </c>
      <c r="W7117" t="s">
        <v>27624</v>
      </c>
      <c r="X7117" t="s">
        <v>3</v>
      </c>
      <c r="AA7117" s="5" t="str">
        <f>HYPERLINK("https://www.zillow.com/homes/6951-RED-BUD-LN-WOODRIDGE-IL-60517_rb/","check listing")</f>
        <v>check listing</v>
      </c>
      <c r="AB7117" s="5" t="str">
        <f>HYPERLINK("https://propertylookup.dupagecounty.gov/Datalets/Datalet.aspx?UseSearch=no&amp;mode=sales&amp;pin=0824312003","sales record")</f>
        <v>sales record</v>
      </c>
      <c r="AC7117" t="s">
        <v>3</v>
      </c>
      <c r="AD7117">
        <v>41.760512</v>
      </c>
      <c r="AE7117">
        <v>-88.047766</v>
      </c>
      <c r="AF7117" s="5" t="str">
        <f>HYPERLINK("https://www.google.com/maps/search/?api=1&amp;query=41.760512,-88.047766","map")</f>
        <v>map</v>
      </c>
    </row>
    <row r="7118" spans="1:32">
      <c r="A7118" t="s">
        <v>7168</v>
      </c>
      <c r="B7118" t="s">
        <v>14620</v>
      </c>
      <c r="C7118" t="s">
        <v>15323</v>
      </c>
      <c r="D7118" t="s">
        <v>16215</v>
      </c>
      <c r="E7118" t="s">
        <v>16218</v>
      </c>
      <c r="F7118" t="s">
        <v>16220</v>
      </c>
      <c r="G7118" t="s">
        <v>16299</v>
      </c>
      <c r="H7118" t="s">
        <v>16299</v>
      </c>
      <c r="I7118" t="s">
        <v>16382</v>
      </c>
      <c r="J7118" t="s">
        <v>16385</v>
      </c>
      <c r="K7118">
        <v>0.17</v>
      </c>
      <c r="L7118">
        <v>7396</v>
      </c>
      <c r="M7118">
        <v>2078</v>
      </c>
      <c r="N7118" t="s">
        <v>16393</v>
      </c>
      <c r="O7118" s="4">
        <v>55308</v>
      </c>
      <c r="P7118" s="4">
        <v>81457</v>
      </c>
      <c r="Q7118" s="4">
        <v>136765</v>
      </c>
      <c r="R7118" s="4">
        <v>410295</v>
      </c>
      <c r="S7118" t="s">
        <v>23267</v>
      </c>
      <c r="T7118" s="6">
        <v>32721</v>
      </c>
      <c r="U7118" s="4">
        <v>151000</v>
      </c>
      <c r="X7118" t="s">
        <v>3</v>
      </c>
      <c r="AA7118" s="5" t="str">
        <f>HYPERLINK("https://www.zillow.com/homes/2608-BERN-CT-WOODRIDGE-IL-60517_rb/","check listing")</f>
        <v>check listing</v>
      </c>
      <c r="AB7118" s="5" t="str">
        <f>HYPERLINK("https://propertylookup.dupagecounty.gov/Datalets/Datalet.aspx?UseSearch=no&amp;mode=sales&amp;pin=0836103034","sales record")</f>
        <v>sales record</v>
      </c>
      <c r="AC7118" t="s">
        <v>3</v>
      </c>
      <c r="AD7118">
        <v>41.736554</v>
      </c>
      <c r="AE7118">
        <v>-88.044376</v>
      </c>
      <c r="AF7118" s="5" t="str">
        <f>HYPERLINK("https://www.google.com/maps/search/?api=1&amp;query=41.736554,-88.044376","map")</f>
        <v>map</v>
      </c>
    </row>
    <row r="7119" spans="1:32">
      <c r="A7119" t="s">
        <v>7169</v>
      </c>
      <c r="B7119" t="s">
        <v>14621</v>
      </c>
      <c r="C7119" t="s">
        <v>16141</v>
      </c>
      <c r="D7119" t="s">
        <v>16215</v>
      </c>
      <c r="E7119" t="s">
        <v>16218</v>
      </c>
      <c r="F7119" t="s">
        <v>16220</v>
      </c>
      <c r="G7119" t="s">
        <v>16299</v>
      </c>
      <c r="H7119" t="s">
        <v>16299</v>
      </c>
      <c r="I7119" t="s">
        <v>16382</v>
      </c>
      <c r="J7119" t="s">
        <v>16385</v>
      </c>
      <c r="K7119">
        <v>0.17</v>
      </c>
      <c r="L7119">
        <v>7396</v>
      </c>
      <c r="M7119">
        <v>1609</v>
      </c>
      <c r="N7119" t="s">
        <v>16393</v>
      </c>
      <c r="O7119" s="4">
        <v>54797</v>
      </c>
      <c r="P7119" s="4">
        <v>66629</v>
      </c>
      <c r="Q7119" s="4">
        <v>121426</v>
      </c>
      <c r="R7119" s="4">
        <v>364278</v>
      </c>
      <c r="S7119" t="s">
        <v>23268</v>
      </c>
      <c r="T7119" s="6">
        <v>42767</v>
      </c>
      <c r="U7119" s="4">
        <v>280000</v>
      </c>
      <c r="V7119" t="s">
        <v>23739</v>
      </c>
      <c r="W7119" t="s">
        <v>27625</v>
      </c>
      <c r="X7119" t="s">
        <v>3</v>
      </c>
      <c r="AA7119" s="5" t="str">
        <f>HYPERLINK("https://www.zillow.com/homes/6830-HARVEST-AVE-WOODRIDGE-IL-605171828_rb/","check listing")</f>
        <v>check listing</v>
      </c>
      <c r="AB7119" s="5" t="str">
        <f>HYPERLINK("https://propertylookup.dupagecounty.gov/Datalets/Datalet.aspx?UseSearch=no&amp;mode=sales&amp;pin=0824414034","sales record")</f>
        <v>sales record</v>
      </c>
      <c r="AC7119" t="s">
        <v>3</v>
      </c>
      <c r="AD7119">
        <v>41.762205</v>
      </c>
      <c r="AE7119">
        <v>-88.033565</v>
      </c>
      <c r="AF7119" s="5" t="str">
        <f>HYPERLINK("https://www.google.com/maps/search/?api=1&amp;query=41.762205,-88.033565","map")</f>
        <v>map</v>
      </c>
    </row>
    <row r="7120" spans="1:32">
      <c r="A7120" t="s">
        <v>7170</v>
      </c>
      <c r="B7120" t="s">
        <v>14622</v>
      </c>
      <c r="C7120" t="s">
        <v>15323</v>
      </c>
      <c r="D7120" t="s">
        <v>16215</v>
      </c>
      <c r="E7120" t="s">
        <v>16218</v>
      </c>
      <c r="F7120" t="s">
        <v>16220</v>
      </c>
      <c r="G7120" t="s">
        <v>16299</v>
      </c>
      <c r="H7120" t="s">
        <v>16299</v>
      </c>
      <c r="I7120" t="s">
        <v>16382</v>
      </c>
      <c r="J7120" t="s">
        <v>16385</v>
      </c>
      <c r="K7120">
        <v>0.17</v>
      </c>
      <c r="L7120">
        <v>7389</v>
      </c>
      <c r="M7120">
        <v>2080</v>
      </c>
      <c r="N7120" t="s">
        <v>16393</v>
      </c>
      <c r="O7120" s="4">
        <v>54797</v>
      </c>
      <c r="P7120" s="4">
        <v>66213</v>
      </c>
      <c r="Q7120" s="4">
        <v>121010</v>
      </c>
      <c r="R7120" s="4">
        <v>363030</v>
      </c>
      <c r="S7120" t="s">
        <v>23269</v>
      </c>
      <c r="T7120" s="6">
        <v>43040</v>
      </c>
      <c r="U7120" s="4">
        <v>250000</v>
      </c>
      <c r="V7120" t="s">
        <v>23739</v>
      </c>
      <c r="W7120" t="s">
        <v>23269</v>
      </c>
      <c r="X7120" t="s">
        <v>3</v>
      </c>
      <c r="AA7120" s="5" t="str">
        <f>HYPERLINK("https://www.zillow.com/homes/6812-HARVEST-AVE-WOODRIDGE-IL-60517_rb/","check listing")</f>
        <v>check listing</v>
      </c>
      <c r="AB7120" s="5" t="str">
        <f>HYPERLINK("https://propertylookup.dupagecounty.gov/Datalets/Datalet.aspx?UseSearch=no&amp;mode=sales&amp;pin=0824414031","sales record")</f>
        <v>sales record</v>
      </c>
      <c r="AC7120" t="s">
        <v>3</v>
      </c>
      <c r="AD7120">
        <v>41.762731</v>
      </c>
      <c r="AE7120">
        <v>-88.033654</v>
      </c>
      <c r="AF7120" s="5" t="str">
        <f>HYPERLINK("https://www.google.com/maps/search/?api=1&amp;query=41.762731,-88.033654","map")</f>
        <v>map</v>
      </c>
    </row>
    <row r="7121" spans="1:32">
      <c r="A7121" t="s">
        <v>7171</v>
      </c>
      <c r="B7121" t="s">
        <v>14623</v>
      </c>
      <c r="C7121" t="s">
        <v>15323</v>
      </c>
      <c r="D7121" t="s">
        <v>16215</v>
      </c>
      <c r="E7121" t="s">
        <v>16218</v>
      </c>
      <c r="F7121" t="s">
        <v>16220</v>
      </c>
      <c r="G7121" t="s">
        <v>16299</v>
      </c>
      <c r="H7121" t="s">
        <v>16299</v>
      </c>
      <c r="I7121" t="s">
        <v>16382</v>
      </c>
      <c r="J7121" t="s">
        <v>16385</v>
      </c>
      <c r="K7121">
        <v>0.17</v>
      </c>
      <c r="L7121">
        <v>7389</v>
      </c>
      <c r="M7121">
        <v>1540</v>
      </c>
      <c r="N7121" t="s">
        <v>16393</v>
      </c>
      <c r="O7121" s="4">
        <v>54797</v>
      </c>
      <c r="P7121" s="4">
        <v>91031</v>
      </c>
      <c r="Q7121" s="4">
        <v>145828</v>
      </c>
      <c r="R7121" s="4">
        <v>437484</v>
      </c>
      <c r="S7121" t="s">
        <v>23270</v>
      </c>
      <c r="T7121" s="6">
        <v>42156</v>
      </c>
      <c r="U7121" s="4">
        <v>275000</v>
      </c>
      <c r="V7121" t="s">
        <v>23739</v>
      </c>
      <c r="W7121" t="s">
        <v>27626</v>
      </c>
      <c r="X7121" t="s">
        <v>3</v>
      </c>
      <c r="AA7121" s="5" t="str">
        <f>HYPERLINK("https://www.zillow.com/homes/6854-HARVEST-AVE-WOODRIDGE-IL-60517_rb/","check listing")</f>
        <v>check listing</v>
      </c>
      <c r="AB7121" s="5" t="str">
        <f>HYPERLINK("https://propertylookup.dupagecounty.gov/Datalets/Datalet.aspx?UseSearch=no&amp;mode=sales&amp;pin=0824414038","sales record")</f>
        <v>sales record</v>
      </c>
      <c r="AC7121" t="s">
        <v>3</v>
      </c>
      <c r="AD7121">
        <v>41.761471</v>
      </c>
      <c r="AE7121">
        <v>-88.033472</v>
      </c>
      <c r="AF7121" s="5" t="str">
        <f>HYPERLINK("https://www.google.com/maps/search/?api=1&amp;query=41.761471,-88.033472","map")</f>
        <v>map</v>
      </c>
    </row>
    <row r="7122" spans="1:32">
      <c r="A7122" t="s">
        <v>7172</v>
      </c>
      <c r="B7122" t="s">
        <v>14624</v>
      </c>
      <c r="C7122" t="s">
        <v>15323</v>
      </c>
      <c r="D7122" t="s">
        <v>16215</v>
      </c>
      <c r="E7122" t="s">
        <v>16218</v>
      </c>
      <c r="F7122" t="s">
        <v>16220</v>
      </c>
      <c r="G7122" t="s">
        <v>16299</v>
      </c>
      <c r="H7122" t="s">
        <v>16299</v>
      </c>
      <c r="I7122" t="s">
        <v>16382</v>
      </c>
      <c r="J7122" t="s">
        <v>16385</v>
      </c>
      <c r="K7122">
        <v>0.17</v>
      </c>
      <c r="L7122">
        <v>7388</v>
      </c>
      <c r="M7122">
        <v>1374</v>
      </c>
      <c r="N7122" t="s">
        <v>16393</v>
      </c>
      <c r="O7122" s="4">
        <v>54797</v>
      </c>
      <c r="P7122" s="4">
        <v>66700</v>
      </c>
      <c r="Q7122" s="4">
        <v>121497</v>
      </c>
      <c r="R7122" s="4">
        <v>364491</v>
      </c>
      <c r="S7122" t="s">
        <v>23271</v>
      </c>
      <c r="X7122" t="s">
        <v>3</v>
      </c>
      <c r="AA7122" s="5" t="str">
        <f>HYPERLINK("https://www.zillow.com/homes/2408-PHEASANT-ST-WOODRIDGE-IL-60517_rb/","check listing")</f>
        <v>check listing</v>
      </c>
      <c r="AB7122" s="5" t="str">
        <f>HYPERLINK("https://propertylookup.dupagecounty.gov/Datalets/Datalet.aspx?UseSearch=no&amp;mode=sales&amp;pin=0824401002","sales record")</f>
        <v>sales record</v>
      </c>
      <c r="AC7122" t="s">
        <v>3</v>
      </c>
      <c r="AD7122">
        <v>41.764901</v>
      </c>
      <c r="AE7122">
        <v>-88.040941</v>
      </c>
      <c r="AF7122" s="5" t="str">
        <f>HYPERLINK("https://www.google.com/maps/search/?api=1&amp;query=41.764901,-88.040941","map")</f>
        <v>map</v>
      </c>
    </row>
    <row r="7123" spans="1:32">
      <c r="A7123" t="s">
        <v>7173</v>
      </c>
      <c r="B7123" t="s">
        <v>14625</v>
      </c>
      <c r="C7123" t="s">
        <v>15323</v>
      </c>
      <c r="D7123" t="s">
        <v>16215</v>
      </c>
      <c r="E7123" t="s">
        <v>16218</v>
      </c>
      <c r="F7123" t="s">
        <v>16220</v>
      </c>
      <c r="G7123" t="s">
        <v>16299</v>
      </c>
      <c r="H7123" t="s">
        <v>16299</v>
      </c>
      <c r="I7123" t="s">
        <v>16382</v>
      </c>
      <c r="J7123" t="s">
        <v>16385</v>
      </c>
      <c r="K7123">
        <v>0.169</v>
      </c>
      <c r="L7123">
        <v>7378</v>
      </c>
      <c r="M7123">
        <v>1398</v>
      </c>
      <c r="N7123" t="s">
        <v>16393</v>
      </c>
      <c r="O7123" s="4">
        <v>50064</v>
      </c>
      <c r="P7123" s="4">
        <v>66795</v>
      </c>
      <c r="Q7123" s="4">
        <v>116859</v>
      </c>
      <c r="R7123" s="4">
        <v>350577</v>
      </c>
      <c r="S7123" t="s">
        <v>23272</v>
      </c>
      <c r="T7123" s="6">
        <v>33359</v>
      </c>
      <c r="U7123" s="4">
        <v>128000</v>
      </c>
      <c r="X7123" t="s">
        <v>3</v>
      </c>
      <c r="AA7123" s="5" t="str">
        <f>HYPERLINK("https://www.zillow.com/homes/2613-ZURICH-CT-WOODRIDGE-IL-60517_rb/","check listing")</f>
        <v>check listing</v>
      </c>
      <c r="AB7123" s="5" t="str">
        <f>HYPERLINK("https://propertylookup.dupagecounty.gov/Datalets/Datalet.aspx?UseSearch=no&amp;mode=sales&amp;pin=0836103011","sales record")</f>
        <v>sales record</v>
      </c>
      <c r="AC7123" t="s">
        <v>3</v>
      </c>
      <c r="AD7123">
        <v>41.736962</v>
      </c>
      <c r="AE7123">
        <v>-88.044802</v>
      </c>
      <c r="AF7123" s="5" t="str">
        <f>HYPERLINK("https://www.google.com/maps/search/?api=1&amp;query=41.736962,-88.044802","map")</f>
        <v>map</v>
      </c>
    </row>
    <row r="7124" spans="1:32">
      <c r="A7124" t="s">
        <v>7174</v>
      </c>
      <c r="B7124" t="s">
        <v>14626</v>
      </c>
      <c r="C7124" t="s">
        <v>15323</v>
      </c>
      <c r="D7124" t="s">
        <v>16215</v>
      </c>
      <c r="E7124" t="s">
        <v>16218</v>
      </c>
      <c r="F7124" t="s">
        <v>16220</v>
      </c>
      <c r="G7124" t="s">
        <v>16299</v>
      </c>
      <c r="H7124" t="s">
        <v>16299</v>
      </c>
      <c r="I7124" t="s">
        <v>16382</v>
      </c>
      <c r="J7124" t="s">
        <v>16385</v>
      </c>
      <c r="K7124">
        <v>0.169</v>
      </c>
      <c r="L7124">
        <v>7373</v>
      </c>
      <c r="M7124">
        <v>1644</v>
      </c>
      <c r="N7124" t="s">
        <v>16393</v>
      </c>
      <c r="O7124" s="4">
        <v>49124</v>
      </c>
      <c r="P7124" s="4">
        <v>67521</v>
      </c>
      <c r="Q7124" s="4">
        <v>116645</v>
      </c>
      <c r="R7124" s="4">
        <v>349935</v>
      </c>
      <c r="S7124" t="s">
        <v>23273</v>
      </c>
      <c r="T7124" s="6">
        <v>37803</v>
      </c>
      <c r="U7124" s="4">
        <v>200000</v>
      </c>
      <c r="V7124" t="s">
        <v>23739</v>
      </c>
      <c r="W7124" t="s">
        <v>27627</v>
      </c>
      <c r="X7124" t="s">
        <v>3</v>
      </c>
      <c r="AA7124" s="5" t="str">
        <f>HYPERLINK("https://www.zillow.com/homes/6861-REDWING-DR-WOODRIDGE-IL-60517_rb/","check listing")</f>
        <v>check listing</v>
      </c>
      <c r="AB7124" s="5" t="str">
        <f>HYPERLINK("https://propertylookup.dupagecounty.gov/Datalets/Datalet.aspx?UseSearch=no&amp;mode=sales&amp;pin=0824404027","sales record")</f>
        <v>sales record</v>
      </c>
      <c r="AC7124" t="s">
        <v>3</v>
      </c>
      <c r="AD7124">
        <v>41.762187</v>
      </c>
      <c r="AE7124">
        <v>-88.037396</v>
      </c>
      <c r="AF7124" s="5" t="str">
        <f>HYPERLINK("https://www.google.com/maps/search/?api=1&amp;query=41.762187,-88.037396","map")</f>
        <v>map</v>
      </c>
    </row>
    <row r="7125" spans="1:32">
      <c r="A7125" t="s">
        <v>7175</v>
      </c>
      <c r="B7125" t="s">
        <v>14627</v>
      </c>
      <c r="C7125" t="s">
        <v>15323</v>
      </c>
      <c r="D7125" t="s">
        <v>16215</v>
      </c>
      <c r="E7125" t="s">
        <v>16218</v>
      </c>
      <c r="F7125" t="s">
        <v>16220</v>
      </c>
      <c r="G7125" t="s">
        <v>16299</v>
      </c>
      <c r="H7125" t="s">
        <v>16299</v>
      </c>
      <c r="I7125" t="s">
        <v>16382</v>
      </c>
      <c r="J7125" t="s">
        <v>16385</v>
      </c>
      <c r="K7125">
        <v>0.169</v>
      </c>
      <c r="L7125">
        <v>7372</v>
      </c>
      <c r="M7125">
        <v>2137</v>
      </c>
      <c r="N7125" t="s">
        <v>16393</v>
      </c>
      <c r="O7125" s="4">
        <v>54797</v>
      </c>
      <c r="P7125" s="4">
        <v>65760</v>
      </c>
      <c r="Q7125" s="4">
        <v>120557</v>
      </c>
      <c r="R7125" s="4">
        <v>361671</v>
      </c>
      <c r="S7125" t="s">
        <v>23274</v>
      </c>
      <c r="T7125" s="6">
        <v>32660</v>
      </c>
      <c r="U7125" s="4">
        <v>116500</v>
      </c>
      <c r="X7125" t="s">
        <v>3</v>
      </c>
      <c r="AA7125" s="5" t="str">
        <f>HYPERLINK("https://www.zillow.com/homes/2012-CROWN-POINT-ST-WOODRIDGE-IL-60517_rb/","check listing")</f>
        <v>check listing</v>
      </c>
      <c r="AB7125" s="5" t="str">
        <f>HYPERLINK("https://propertylookup.dupagecounty.gov/Datalets/Datalet.aspx?UseSearch=no&amp;mode=sales&amp;pin=0824415017","sales record")</f>
        <v>sales record</v>
      </c>
      <c r="AC7125" t="s">
        <v>3</v>
      </c>
      <c r="AD7125">
        <v>41.762968</v>
      </c>
      <c r="AE7125">
        <v>-88.032447</v>
      </c>
      <c r="AF7125" s="5" t="str">
        <f>HYPERLINK("https://www.google.com/maps/search/?api=1&amp;query=41.762968,-88.032447","map")</f>
        <v>map</v>
      </c>
    </row>
    <row r="7126" spans="1:32">
      <c r="A7126" t="s">
        <v>7176</v>
      </c>
      <c r="B7126" t="s">
        <v>14628</v>
      </c>
      <c r="C7126" t="s">
        <v>16141</v>
      </c>
      <c r="D7126" t="s">
        <v>16215</v>
      </c>
      <c r="E7126" t="s">
        <v>16218</v>
      </c>
      <c r="F7126" t="s">
        <v>16220</v>
      </c>
      <c r="G7126" t="s">
        <v>16299</v>
      </c>
      <c r="H7126" t="s">
        <v>16299</v>
      </c>
      <c r="I7126" t="s">
        <v>16382</v>
      </c>
      <c r="J7126" t="s">
        <v>16385</v>
      </c>
      <c r="K7126">
        <v>0.169</v>
      </c>
      <c r="L7126">
        <v>7367</v>
      </c>
      <c r="M7126">
        <v>2110</v>
      </c>
      <c r="N7126" t="s">
        <v>16393</v>
      </c>
      <c r="O7126" s="4">
        <v>54797</v>
      </c>
      <c r="P7126" s="4">
        <v>65760</v>
      </c>
      <c r="Q7126" s="4">
        <v>120557</v>
      </c>
      <c r="R7126" s="4">
        <v>361671</v>
      </c>
      <c r="S7126" t="s">
        <v>23275</v>
      </c>
      <c r="T7126" s="6">
        <v>44440</v>
      </c>
      <c r="U7126" s="4">
        <v>305000</v>
      </c>
      <c r="V7126" t="s">
        <v>23740</v>
      </c>
      <c r="W7126" t="s">
        <v>23275</v>
      </c>
      <c r="X7126" t="s">
        <v>3</v>
      </c>
      <c r="AA7126" s="5" t="str">
        <f>HYPERLINK("https://www.zillow.com/homes/6836-HARVEST-AVE-WOODRIDGE-IL-605171828_rb/","check listing")</f>
        <v>check listing</v>
      </c>
      <c r="AB7126" s="5" t="str">
        <f>HYPERLINK("https://propertylookup.dupagecounty.gov/Datalets/Datalet.aspx?UseSearch=no&amp;mode=sales&amp;pin=0824414035","sales record")</f>
        <v>sales record</v>
      </c>
      <c r="AC7126" t="s">
        <v>3</v>
      </c>
      <c r="AD7126">
        <v>41.761994</v>
      </c>
      <c r="AE7126">
        <v>-88.033554</v>
      </c>
      <c r="AF7126" s="5" t="str">
        <f>HYPERLINK("https://www.google.com/maps/search/?api=1&amp;query=41.761994,-88.033554","map")</f>
        <v>map</v>
      </c>
    </row>
    <row r="7127" spans="1:32">
      <c r="A7127" t="s">
        <v>7177</v>
      </c>
      <c r="B7127" t="s">
        <v>14629</v>
      </c>
      <c r="C7127" t="s">
        <v>15323</v>
      </c>
      <c r="D7127" t="s">
        <v>16215</v>
      </c>
      <c r="E7127" t="s">
        <v>16218</v>
      </c>
      <c r="F7127" t="s">
        <v>16220</v>
      </c>
      <c r="G7127" t="s">
        <v>16299</v>
      </c>
      <c r="H7127" t="s">
        <v>16299</v>
      </c>
      <c r="I7127" t="s">
        <v>16382</v>
      </c>
      <c r="J7127" t="s">
        <v>16385</v>
      </c>
      <c r="K7127">
        <v>0.169</v>
      </c>
      <c r="L7127">
        <v>7366</v>
      </c>
      <c r="M7127">
        <v>1489</v>
      </c>
      <c r="N7127" t="s">
        <v>16393</v>
      </c>
      <c r="O7127" s="4">
        <v>54713</v>
      </c>
      <c r="P7127" s="4">
        <v>67485</v>
      </c>
      <c r="Q7127" s="4">
        <v>122198</v>
      </c>
      <c r="R7127" s="4">
        <v>366594</v>
      </c>
      <c r="S7127" t="s">
        <v>23276</v>
      </c>
      <c r="T7127" s="6">
        <v>42309</v>
      </c>
      <c r="U7127" s="4">
        <v>241500</v>
      </c>
      <c r="V7127" t="s">
        <v>23739</v>
      </c>
      <c r="W7127" t="s">
        <v>27628</v>
      </c>
      <c r="X7127" t="s">
        <v>3</v>
      </c>
      <c r="AA7127" s="5" t="str">
        <f>HYPERLINK("https://www.zillow.com/homes/2002-SUNNYDALE-ST-WOODRIDGE-IL-60517_rb/","check listing")</f>
        <v>check listing</v>
      </c>
      <c r="AB7127" s="5" t="str">
        <f>HYPERLINK("https://propertylookup.dupagecounty.gov/Datalets/Datalet.aspx?UseSearch=no&amp;mode=sales&amp;pin=0824415038","sales record")</f>
        <v>sales record</v>
      </c>
      <c r="AC7127" t="s">
        <v>3</v>
      </c>
      <c r="AD7127">
        <v>41.760735</v>
      </c>
      <c r="AE7127">
        <v>-88.031656</v>
      </c>
      <c r="AF7127" s="5" t="str">
        <f>HYPERLINK("https://www.google.com/maps/search/?api=1&amp;query=41.760735,-88.031656","map")</f>
        <v>map</v>
      </c>
    </row>
    <row r="7128" spans="1:32">
      <c r="A7128" t="s">
        <v>7178</v>
      </c>
      <c r="B7128" t="s">
        <v>14630</v>
      </c>
      <c r="C7128" t="s">
        <v>16149</v>
      </c>
      <c r="D7128" t="s">
        <v>16215</v>
      </c>
      <c r="E7128" t="s">
        <v>16218</v>
      </c>
      <c r="F7128" t="s">
        <v>16220</v>
      </c>
      <c r="G7128" t="s">
        <v>16299</v>
      </c>
      <c r="H7128" t="s">
        <v>16299</v>
      </c>
      <c r="I7128" t="s">
        <v>16382</v>
      </c>
      <c r="J7128" t="s">
        <v>16385</v>
      </c>
      <c r="K7128">
        <v>0.169</v>
      </c>
      <c r="L7128">
        <v>7361</v>
      </c>
      <c r="M7128">
        <v>2060</v>
      </c>
      <c r="N7128" t="s">
        <v>16393</v>
      </c>
      <c r="O7128" s="4">
        <v>54797</v>
      </c>
      <c r="P7128" s="4">
        <v>65760</v>
      </c>
      <c r="Q7128" s="4">
        <v>120557</v>
      </c>
      <c r="R7128" s="4">
        <v>361671</v>
      </c>
      <c r="S7128" t="s">
        <v>23277</v>
      </c>
      <c r="T7128" s="6">
        <v>41913</v>
      </c>
      <c r="U7128" s="4">
        <v>232000</v>
      </c>
      <c r="V7128" t="s">
        <v>23739</v>
      </c>
      <c r="W7128" t="s">
        <v>27629</v>
      </c>
      <c r="X7128" t="s">
        <v>3</v>
      </c>
      <c r="AA7128" s="5" t="str">
        <f>HYPERLINK("https://www.zillow.com/homes/6906-HARVEST-AVE-WOODRIDGE-IL-605171801_rb/","check listing")</f>
        <v>check listing</v>
      </c>
      <c r="AB7128" s="5" t="str">
        <f>HYPERLINK("https://propertylookup.dupagecounty.gov/Datalets/Datalet.aspx?UseSearch=no&amp;mode=sales&amp;pin=0824414047","sales record")</f>
        <v>sales record</v>
      </c>
      <c r="AC7128" t="s">
        <v>3</v>
      </c>
      <c r="AD7128">
        <v>41.760701</v>
      </c>
      <c r="AE7128">
        <v>-88.03320600000001</v>
      </c>
      <c r="AF7128" s="5" t="str">
        <f>HYPERLINK("https://www.google.com/maps/search/?api=1&amp;query=41.760701,-88.033206","map")</f>
        <v>map</v>
      </c>
    </row>
    <row r="7129" spans="1:32">
      <c r="A7129" t="s">
        <v>7179</v>
      </c>
      <c r="B7129" t="s">
        <v>14631</v>
      </c>
      <c r="C7129" t="s">
        <v>15323</v>
      </c>
      <c r="D7129" t="s">
        <v>16215</v>
      </c>
      <c r="E7129" t="s">
        <v>16218</v>
      </c>
      <c r="F7129" t="s">
        <v>16220</v>
      </c>
      <c r="G7129" t="s">
        <v>16299</v>
      </c>
      <c r="H7129" t="s">
        <v>16299</v>
      </c>
      <c r="I7129" t="s">
        <v>16382</v>
      </c>
      <c r="J7129" t="s">
        <v>16385</v>
      </c>
      <c r="K7129">
        <v>0.169</v>
      </c>
      <c r="L7129">
        <v>7349</v>
      </c>
      <c r="M7129">
        <v>2344</v>
      </c>
      <c r="N7129" t="s">
        <v>16393</v>
      </c>
      <c r="O7129" s="4">
        <v>54797</v>
      </c>
      <c r="P7129" s="4">
        <v>74334</v>
      </c>
      <c r="Q7129" s="4">
        <v>129131</v>
      </c>
      <c r="R7129" s="4">
        <v>387393</v>
      </c>
      <c r="S7129" t="s">
        <v>23278</v>
      </c>
      <c r="T7129" s="6">
        <v>45751</v>
      </c>
      <c r="U7129" s="4">
        <v>450000</v>
      </c>
      <c r="V7129" t="s">
        <v>23739</v>
      </c>
      <c r="W7129" t="s">
        <v>27630</v>
      </c>
      <c r="X7129" t="s">
        <v>3</v>
      </c>
      <c r="AA7129" s="5" t="str">
        <f>HYPERLINK("https://www.zillow.com/homes/2-SWALLOW-CT-WOODRIDGE-IL-60517_rb/","check listing")</f>
        <v>check listing</v>
      </c>
      <c r="AB7129" s="5" t="str">
        <f>HYPERLINK("https://propertylookup.dupagecounty.gov/Datalets/Datalet.aspx?UseSearch=no&amp;mode=sales&amp;pin=0824317014","sales record")</f>
        <v>sales record</v>
      </c>
      <c r="AC7129" t="s">
        <v>3</v>
      </c>
      <c r="AD7129">
        <v>41.76399</v>
      </c>
      <c r="AE7129">
        <v>-88.04383199999999</v>
      </c>
      <c r="AF7129" s="5" t="str">
        <f>HYPERLINK("https://www.google.com/maps/search/?api=1&amp;query=41.76399,-88.043832","map")</f>
        <v>map</v>
      </c>
    </row>
    <row r="7130" spans="1:32">
      <c r="A7130" t="s">
        <v>7180</v>
      </c>
      <c r="B7130" t="s">
        <v>14632</v>
      </c>
      <c r="C7130" t="s">
        <v>15323</v>
      </c>
      <c r="D7130" t="s">
        <v>16215</v>
      </c>
      <c r="E7130" t="s">
        <v>16218</v>
      </c>
      <c r="F7130" t="s">
        <v>16220</v>
      </c>
      <c r="G7130" t="s">
        <v>16299</v>
      </c>
      <c r="H7130" t="s">
        <v>16299</v>
      </c>
      <c r="I7130" t="s">
        <v>16382</v>
      </c>
      <c r="J7130" t="s">
        <v>16385</v>
      </c>
      <c r="K7130">
        <v>0.169</v>
      </c>
      <c r="L7130">
        <v>7348</v>
      </c>
      <c r="M7130">
        <v>1528</v>
      </c>
      <c r="N7130" t="s">
        <v>16393</v>
      </c>
      <c r="O7130" s="4">
        <v>54797</v>
      </c>
      <c r="P7130" s="4">
        <v>90722</v>
      </c>
      <c r="Q7130" s="4">
        <v>145519</v>
      </c>
      <c r="R7130" s="4">
        <v>436557</v>
      </c>
      <c r="S7130" t="s">
        <v>23279</v>
      </c>
      <c r="T7130" s="6">
        <v>41061</v>
      </c>
      <c r="U7130" s="4">
        <v>189500</v>
      </c>
      <c r="V7130" t="s">
        <v>23739</v>
      </c>
      <c r="W7130" t="s">
        <v>23279</v>
      </c>
      <c r="X7130" t="s">
        <v>3</v>
      </c>
      <c r="AA7130" s="5" t="str">
        <f>HYPERLINK("https://www.zillow.com/homes/2006-SUNNYDALE-ST-WOODRIDGE-IL-60517_rb/","check listing")</f>
        <v>check listing</v>
      </c>
      <c r="AB7130" s="5" t="str">
        <f>HYPERLINK("https://propertylookup.dupagecounty.gov/Datalets/Datalet.aspx?UseSearch=no&amp;mode=sales&amp;pin=0824415037","sales record")</f>
        <v>sales record</v>
      </c>
      <c r="AC7130" t="s">
        <v>3</v>
      </c>
      <c r="AD7130">
        <v>41.76073</v>
      </c>
      <c r="AE7130">
        <v>-88.03189</v>
      </c>
      <c r="AF7130" s="5" t="str">
        <f>HYPERLINK("https://www.google.com/maps/search/?api=1&amp;query=41.76073,-88.03189","map")</f>
        <v>map</v>
      </c>
    </row>
    <row r="7131" spans="1:32">
      <c r="A7131" t="s">
        <v>7181</v>
      </c>
      <c r="B7131" t="s">
        <v>14633</v>
      </c>
      <c r="C7131" t="s">
        <v>15323</v>
      </c>
      <c r="D7131" t="s">
        <v>16215</v>
      </c>
      <c r="E7131" t="s">
        <v>16218</v>
      </c>
      <c r="F7131" t="s">
        <v>16220</v>
      </c>
      <c r="G7131" t="s">
        <v>16299</v>
      </c>
      <c r="H7131" t="s">
        <v>16299</v>
      </c>
      <c r="I7131" t="s">
        <v>16382</v>
      </c>
      <c r="J7131" t="s">
        <v>16385</v>
      </c>
      <c r="K7131">
        <v>0.169</v>
      </c>
      <c r="L7131">
        <v>7340</v>
      </c>
      <c r="M7131">
        <v>1462</v>
      </c>
      <c r="N7131" t="s">
        <v>16393</v>
      </c>
      <c r="O7131" s="4">
        <v>54797</v>
      </c>
      <c r="P7131" s="4">
        <v>81981</v>
      </c>
      <c r="Q7131" s="4">
        <v>136778</v>
      </c>
      <c r="R7131" s="4">
        <v>410334</v>
      </c>
      <c r="S7131" t="s">
        <v>23280</v>
      </c>
      <c r="T7131" s="6">
        <v>38596</v>
      </c>
      <c r="U7131" s="4">
        <v>287000</v>
      </c>
      <c r="V7131" t="s">
        <v>23739</v>
      </c>
      <c r="W7131" t="s">
        <v>27631</v>
      </c>
      <c r="X7131" t="s">
        <v>3</v>
      </c>
      <c r="AA7131" s="5" t="str">
        <f>HYPERLINK("https://www.zillow.com/homes/8-CHERRY-TREE-CT-WOODRIDGE-IL-60517_rb/","check listing")</f>
        <v>check listing</v>
      </c>
      <c r="AB7131" s="5" t="str">
        <f>HYPERLINK("https://propertylookup.dupagecounty.gov/Datalets/Datalet.aspx?UseSearch=no&amp;mode=sales&amp;pin=0824316016","sales record")</f>
        <v>sales record</v>
      </c>
      <c r="AC7131" t="s">
        <v>3</v>
      </c>
      <c r="AD7131">
        <v>41.763406</v>
      </c>
      <c r="AE7131">
        <v>-88.046477</v>
      </c>
      <c r="AF7131" s="5" t="str">
        <f>HYPERLINK("https://www.google.com/maps/search/?api=1&amp;query=41.763406,-88.046477","map")</f>
        <v>map</v>
      </c>
    </row>
    <row r="7132" spans="1:32">
      <c r="A7132" t="s">
        <v>7182</v>
      </c>
      <c r="B7132" t="s">
        <v>14634</v>
      </c>
      <c r="C7132" t="s">
        <v>15323</v>
      </c>
      <c r="D7132" t="s">
        <v>16215</v>
      </c>
      <c r="E7132" t="s">
        <v>16218</v>
      </c>
      <c r="F7132" t="s">
        <v>16220</v>
      </c>
      <c r="G7132" t="s">
        <v>16299</v>
      </c>
      <c r="H7132" t="s">
        <v>16299</v>
      </c>
      <c r="I7132" t="s">
        <v>16382</v>
      </c>
      <c r="J7132" t="s">
        <v>16385</v>
      </c>
      <c r="K7132">
        <v>0.168</v>
      </c>
      <c r="L7132">
        <v>7331</v>
      </c>
      <c r="M7132">
        <v>1225</v>
      </c>
      <c r="N7132" t="s">
        <v>16393</v>
      </c>
      <c r="O7132" s="4">
        <v>54797</v>
      </c>
      <c r="P7132" s="4">
        <v>71302</v>
      </c>
      <c r="Q7132" s="4">
        <v>126099</v>
      </c>
      <c r="R7132" s="4">
        <v>378297</v>
      </c>
      <c r="S7132" t="s">
        <v>23281</v>
      </c>
      <c r="T7132" s="6">
        <v>35855</v>
      </c>
      <c r="U7132" s="4">
        <v>152350</v>
      </c>
      <c r="X7132" t="s">
        <v>3</v>
      </c>
      <c r="AA7132" s="5" t="str">
        <f>HYPERLINK("https://www.zillow.com/homes/2597-YELLOW-STAR-ST-WOODRIDGE-IL-60517_rb/","check listing")</f>
        <v>check listing</v>
      </c>
      <c r="AB7132" s="5" t="str">
        <f>HYPERLINK("https://propertylookup.dupagecounty.gov/Datalets/Datalet.aspx?UseSearch=no&amp;mode=sales&amp;pin=0824315019","sales record")</f>
        <v>sales record</v>
      </c>
      <c r="AC7132" t="s">
        <v>3</v>
      </c>
      <c r="AD7132">
        <v>41.763003</v>
      </c>
      <c r="AE7132">
        <v>-88.04731700000001</v>
      </c>
      <c r="AF7132" s="5" t="str">
        <f>HYPERLINK("https://www.google.com/maps/search/?api=1&amp;query=41.763003,-88.047317","map")</f>
        <v>map</v>
      </c>
    </row>
    <row r="7133" spans="1:32">
      <c r="A7133" t="s">
        <v>7183</v>
      </c>
      <c r="B7133" t="s">
        <v>14635</v>
      </c>
      <c r="C7133" t="s">
        <v>15323</v>
      </c>
      <c r="D7133" t="s">
        <v>16215</v>
      </c>
      <c r="E7133" t="s">
        <v>16218</v>
      </c>
      <c r="F7133" t="s">
        <v>16220</v>
      </c>
      <c r="G7133" t="s">
        <v>16299</v>
      </c>
      <c r="H7133" t="s">
        <v>16299</v>
      </c>
      <c r="I7133" t="s">
        <v>16382</v>
      </c>
      <c r="J7133" t="s">
        <v>16385</v>
      </c>
      <c r="K7133">
        <v>0.168</v>
      </c>
      <c r="L7133">
        <v>7309</v>
      </c>
      <c r="M7133">
        <v>1714</v>
      </c>
      <c r="N7133" t="s">
        <v>16393</v>
      </c>
      <c r="O7133" s="4">
        <v>54797</v>
      </c>
      <c r="P7133" s="4">
        <v>57163</v>
      </c>
      <c r="Q7133" s="4">
        <v>111960</v>
      </c>
      <c r="R7133" s="4">
        <v>335880</v>
      </c>
      <c r="S7133" t="s">
        <v>23282</v>
      </c>
      <c r="T7133" s="6">
        <v>42217</v>
      </c>
      <c r="U7133" s="4">
        <v>257000</v>
      </c>
      <c r="V7133" t="s">
        <v>23739</v>
      </c>
      <c r="W7133" t="s">
        <v>23282</v>
      </c>
      <c r="X7133" t="s">
        <v>3</v>
      </c>
      <c r="AA7133" s="5" t="str">
        <f>HYPERLINK("https://www.zillow.com/homes/6806-HARVEST-AVE-WOODRIDGE-IL-60517_rb/","check listing")</f>
        <v>check listing</v>
      </c>
      <c r="AB7133" s="5" t="str">
        <f>HYPERLINK("https://propertylookup.dupagecounty.gov/Datalets/Datalet.aspx?UseSearch=no&amp;mode=sales&amp;pin=0824414030","sales record")</f>
        <v>sales record</v>
      </c>
      <c r="AC7133" t="s">
        <v>3</v>
      </c>
      <c r="AD7133">
        <v>41.762861</v>
      </c>
      <c r="AE7133">
        <v>-88.03377399999999</v>
      </c>
      <c r="AF7133" s="5" t="str">
        <f>HYPERLINK("https://www.google.com/maps/search/?api=1&amp;query=41.762861,-88.033774","map")</f>
        <v>map</v>
      </c>
    </row>
    <row r="7134" spans="1:32">
      <c r="A7134" t="s">
        <v>7184</v>
      </c>
      <c r="B7134" t="s">
        <v>14636</v>
      </c>
      <c r="C7134" t="s">
        <v>16154</v>
      </c>
      <c r="D7134" t="s">
        <v>16215</v>
      </c>
      <c r="E7134" t="s">
        <v>16218</v>
      </c>
      <c r="F7134" t="s">
        <v>16220</v>
      </c>
      <c r="G7134" t="s">
        <v>16299</v>
      </c>
      <c r="H7134" t="s">
        <v>16299</v>
      </c>
      <c r="I7134" t="s">
        <v>16382</v>
      </c>
      <c r="J7134" t="s">
        <v>16385</v>
      </c>
      <c r="K7134">
        <v>0.167</v>
      </c>
      <c r="L7134">
        <v>7294</v>
      </c>
      <c r="M7134">
        <v>1241</v>
      </c>
      <c r="N7134" t="s">
        <v>16393</v>
      </c>
      <c r="O7134" s="4">
        <v>54797</v>
      </c>
      <c r="P7134" s="4">
        <v>58126</v>
      </c>
      <c r="Q7134" s="4">
        <v>112923</v>
      </c>
      <c r="R7134" s="4">
        <v>338769</v>
      </c>
      <c r="S7134" t="s">
        <v>23283</v>
      </c>
      <c r="T7134" s="6">
        <v>43466</v>
      </c>
      <c r="U7134" s="4">
        <v>234900</v>
      </c>
      <c r="V7134" t="s">
        <v>23739</v>
      </c>
      <c r="W7134" t="s">
        <v>27632</v>
      </c>
      <c r="X7134" t="s">
        <v>3</v>
      </c>
      <c r="AA7134" s="5" t="str">
        <f>HYPERLINK("https://www.zillow.com/homes/6856-RED-WING-DR-WOODRIDGE-IL-605171845_rb/","check listing")</f>
        <v>check listing</v>
      </c>
      <c r="AB7134" s="5" t="str">
        <f>HYPERLINK("https://propertylookup.dupagecounty.gov/Datalets/Datalet.aspx?UseSearch=no&amp;mode=sales&amp;pin=0824406019","sales record")</f>
        <v>sales record</v>
      </c>
      <c r="AC7134" t="s">
        <v>3</v>
      </c>
      <c r="AD7134">
        <v>41.762035</v>
      </c>
      <c r="AE7134">
        <v>-88.03811</v>
      </c>
      <c r="AF7134" s="5" t="str">
        <f>HYPERLINK("https://www.google.com/maps/search/?api=1&amp;query=41.762035,-88.03811","map")</f>
        <v>map</v>
      </c>
    </row>
    <row r="7135" spans="1:32">
      <c r="A7135" t="s">
        <v>7185</v>
      </c>
      <c r="B7135" t="s">
        <v>14637</v>
      </c>
      <c r="C7135" t="s">
        <v>15323</v>
      </c>
      <c r="D7135" t="s">
        <v>16215</v>
      </c>
      <c r="E7135" t="s">
        <v>16218</v>
      </c>
      <c r="F7135" t="s">
        <v>16220</v>
      </c>
      <c r="G7135" t="s">
        <v>16299</v>
      </c>
      <c r="H7135" t="s">
        <v>16299</v>
      </c>
      <c r="I7135" t="s">
        <v>16382</v>
      </c>
      <c r="J7135" t="s">
        <v>16385</v>
      </c>
      <c r="K7135">
        <v>0.167</v>
      </c>
      <c r="L7135">
        <v>7290</v>
      </c>
      <c r="M7135">
        <v>2113</v>
      </c>
      <c r="N7135" t="s">
        <v>16393</v>
      </c>
      <c r="O7135" s="4">
        <v>54797</v>
      </c>
      <c r="P7135" s="4">
        <v>60255</v>
      </c>
      <c r="Q7135" s="4">
        <v>115052</v>
      </c>
      <c r="R7135" s="4">
        <v>345156</v>
      </c>
      <c r="S7135" t="s">
        <v>23284</v>
      </c>
      <c r="T7135" s="6">
        <v>35125</v>
      </c>
      <c r="U7135" s="4">
        <v>126000</v>
      </c>
      <c r="X7135" t="s">
        <v>3</v>
      </c>
      <c r="AA7135" s="5" t="str">
        <f>HYPERLINK("https://www.zillow.com/homes/2031-SUNNYDALE-ST-WOODRIDGE-IL-60517_rb/","check listing")</f>
        <v>check listing</v>
      </c>
      <c r="AB7135" s="5" t="str">
        <f>HYPERLINK("https://propertylookup.dupagecounty.gov/Datalets/Datalet.aspx?UseSearch=no&amp;mode=sales&amp;pin=0824418003","sales record")</f>
        <v>sales record</v>
      </c>
      <c r="AC7135" t="s">
        <v>3</v>
      </c>
      <c r="AD7135">
        <v>41.760174</v>
      </c>
      <c r="AE7135">
        <v>-88.032814</v>
      </c>
      <c r="AF7135" s="5" t="str">
        <f>HYPERLINK("https://www.google.com/maps/search/?api=1&amp;query=41.760174,-88.032814","map")</f>
        <v>map</v>
      </c>
    </row>
    <row r="7136" spans="1:32">
      <c r="A7136" t="s">
        <v>7186</v>
      </c>
      <c r="B7136" t="s">
        <v>14638</v>
      </c>
      <c r="C7136" t="s">
        <v>15323</v>
      </c>
      <c r="D7136" t="s">
        <v>16215</v>
      </c>
      <c r="E7136" t="s">
        <v>16218</v>
      </c>
      <c r="F7136" t="s">
        <v>16220</v>
      </c>
      <c r="G7136" t="s">
        <v>16299</v>
      </c>
      <c r="H7136" t="s">
        <v>16299</v>
      </c>
      <c r="I7136" t="s">
        <v>16382</v>
      </c>
      <c r="J7136" t="s">
        <v>16385</v>
      </c>
      <c r="K7136">
        <v>0.167</v>
      </c>
      <c r="L7136">
        <v>7287</v>
      </c>
      <c r="M7136">
        <v>1830</v>
      </c>
      <c r="N7136" t="s">
        <v>16393</v>
      </c>
      <c r="O7136" s="4">
        <v>54797</v>
      </c>
      <c r="P7136" s="4">
        <v>66854</v>
      </c>
      <c r="Q7136" s="4">
        <v>121651</v>
      </c>
      <c r="R7136" s="4">
        <v>364953</v>
      </c>
      <c r="S7136" t="s">
        <v>23285</v>
      </c>
      <c r="T7136" s="6">
        <v>35004</v>
      </c>
      <c r="U7136" s="4">
        <v>137500</v>
      </c>
      <c r="X7136" t="s">
        <v>3</v>
      </c>
      <c r="AA7136" s="5" t="str">
        <f>HYPERLINK("https://www.zillow.com/homes/6776-REDWING-DR-WOODRIDGE-IL-60517_rb/","check listing")</f>
        <v>check listing</v>
      </c>
      <c r="AB7136" s="5" t="str">
        <f>HYPERLINK("https://propertylookup.dupagecounty.gov/Datalets/Datalet.aspx?UseSearch=no&amp;mode=sales&amp;pin=0824405001","sales record")</f>
        <v>sales record</v>
      </c>
      <c r="AC7136" t="s">
        <v>3</v>
      </c>
      <c r="AD7136">
        <v>41.763783</v>
      </c>
      <c r="AE7136">
        <v>-88.04029</v>
      </c>
      <c r="AF7136" s="5" t="str">
        <f>HYPERLINK("https://www.google.com/maps/search/?api=1&amp;query=41.763783,-88.04029","map")</f>
        <v>map</v>
      </c>
    </row>
    <row r="7137" spans="1:32">
      <c r="A7137" t="s">
        <v>7187</v>
      </c>
      <c r="B7137" t="s">
        <v>14639</v>
      </c>
      <c r="C7137" t="s">
        <v>15323</v>
      </c>
      <c r="D7137" t="s">
        <v>16215</v>
      </c>
      <c r="E7137" t="s">
        <v>16218</v>
      </c>
      <c r="F7137" t="s">
        <v>16220</v>
      </c>
      <c r="G7137" t="s">
        <v>16299</v>
      </c>
      <c r="H7137" t="s">
        <v>16299</v>
      </c>
      <c r="I7137" t="s">
        <v>16382</v>
      </c>
      <c r="J7137" t="s">
        <v>16385</v>
      </c>
      <c r="K7137">
        <v>0.167</v>
      </c>
      <c r="L7137">
        <v>7277</v>
      </c>
      <c r="M7137">
        <v>1824</v>
      </c>
      <c r="N7137" t="s">
        <v>16393</v>
      </c>
      <c r="O7137" s="4">
        <v>54797</v>
      </c>
      <c r="P7137" s="4">
        <v>73799</v>
      </c>
      <c r="Q7137" s="4">
        <v>128596</v>
      </c>
      <c r="R7137" s="4">
        <v>385788</v>
      </c>
      <c r="S7137" t="s">
        <v>23286</v>
      </c>
      <c r="T7137" s="6">
        <v>45671</v>
      </c>
      <c r="U7137" s="4">
        <v>452000</v>
      </c>
      <c r="V7137" t="s">
        <v>23739</v>
      </c>
      <c r="W7137" t="s">
        <v>27633</v>
      </c>
      <c r="X7137" t="s">
        <v>3</v>
      </c>
      <c r="AA7137" s="5" t="str">
        <f>HYPERLINK("https://www.zillow.com/homes/2025-SUNNYDALE-ST-WOODRIDGE-IL-60517_rb/","check listing")</f>
        <v>check listing</v>
      </c>
      <c r="AB7137" s="5" t="str">
        <f>HYPERLINK("https://propertylookup.dupagecounty.gov/Datalets/Datalet.aspx?UseSearch=no&amp;mode=sales&amp;pin=0824418004","sales record")</f>
        <v>sales record</v>
      </c>
      <c r="AC7137" t="s">
        <v>3</v>
      </c>
      <c r="AD7137">
        <v>41.76023</v>
      </c>
      <c r="AE7137">
        <v>-88.03257499999999</v>
      </c>
      <c r="AF7137" s="5" t="str">
        <f>HYPERLINK("https://www.google.com/maps/search/?api=1&amp;query=41.76023,-88.032575","map")</f>
        <v>map</v>
      </c>
    </row>
    <row r="7138" spans="1:32">
      <c r="A7138" t="s">
        <v>7188</v>
      </c>
      <c r="B7138" t="s">
        <v>14640</v>
      </c>
      <c r="C7138" t="s">
        <v>15323</v>
      </c>
      <c r="D7138" t="s">
        <v>16215</v>
      </c>
      <c r="E7138" t="s">
        <v>16218</v>
      </c>
      <c r="F7138" t="s">
        <v>16220</v>
      </c>
      <c r="G7138" t="s">
        <v>16299</v>
      </c>
      <c r="H7138" t="s">
        <v>16299</v>
      </c>
      <c r="I7138" t="s">
        <v>16382</v>
      </c>
      <c r="J7138" t="s">
        <v>16385</v>
      </c>
      <c r="K7138">
        <v>0.167</v>
      </c>
      <c r="L7138">
        <v>7275</v>
      </c>
      <c r="M7138">
        <v>1934</v>
      </c>
      <c r="N7138" t="s">
        <v>16393</v>
      </c>
      <c r="O7138" s="4">
        <v>54797</v>
      </c>
      <c r="P7138" s="4">
        <v>65439</v>
      </c>
      <c r="Q7138" s="4">
        <v>120236</v>
      </c>
      <c r="R7138" s="4">
        <v>360708</v>
      </c>
      <c r="S7138" t="s">
        <v>23287</v>
      </c>
      <c r="T7138" s="6">
        <v>38838</v>
      </c>
      <c r="U7138" s="4">
        <v>256900</v>
      </c>
      <c r="V7138" t="s">
        <v>23739</v>
      </c>
      <c r="W7138" t="s">
        <v>27634</v>
      </c>
      <c r="X7138" t="s">
        <v>3</v>
      </c>
      <c r="AA7138" s="5" t="str">
        <f>HYPERLINK("https://www.zillow.com/homes/2596-YELLOWSTAR-ST-WOODRIDGE-IL-60517_rb/","check listing")</f>
        <v>check listing</v>
      </c>
      <c r="AB7138" s="5" t="str">
        <f>HYPERLINK("https://propertylookup.dupagecounty.gov/Datalets/Datalet.aspx?UseSearch=no&amp;mode=sales&amp;pin=0824303039","sales record")</f>
        <v>sales record</v>
      </c>
      <c r="AC7138" t="s">
        <v>3</v>
      </c>
      <c r="AD7138">
        <v>41.762595</v>
      </c>
      <c r="AE7138">
        <v>-88.047741</v>
      </c>
      <c r="AF7138" s="5" t="str">
        <f>HYPERLINK("https://www.google.com/maps/search/?api=1&amp;query=41.762595,-88.047741","map")</f>
        <v>map</v>
      </c>
    </row>
    <row r="7139" spans="1:32">
      <c r="A7139" t="s">
        <v>7189</v>
      </c>
      <c r="B7139" t="s">
        <v>14641</v>
      </c>
      <c r="C7139" t="s">
        <v>16135</v>
      </c>
      <c r="D7139" t="s">
        <v>16215</v>
      </c>
      <c r="E7139" t="s">
        <v>16218</v>
      </c>
      <c r="F7139" t="s">
        <v>16220</v>
      </c>
      <c r="G7139" t="s">
        <v>16299</v>
      </c>
      <c r="H7139" t="s">
        <v>16299</v>
      </c>
      <c r="I7139" t="s">
        <v>16382</v>
      </c>
      <c r="J7139" t="s">
        <v>16385</v>
      </c>
      <c r="K7139">
        <v>0.167</v>
      </c>
      <c r="L7139">
        <v>7267</v>
      </c>
      <c r="M7139">
        <v>1869</v>
      </c>
      <c r="N7139" t="s">
        <v>16393</v>
      </c>
      <c r="O7139" s="4">
        <v>54797</v>
      </c>
      <c r="P7139" s="4">
        <v>61063</v>
      </c>
      <c r="Q7139" s="4">
        <v>115860</v>
      </c>
      <c r="R7139" s="4">
        <v>347580</v>
      </c>
      <c r="S7139" t="s">
        <v>23288</v>
      </c>
      <c r="T7139" s="6">
        <v>33756</v>
      </c>
      <c r="U7139" s="4">
        <v>136000</v>
      </c>
      <c r="X7139" t="s">
        <v>3</v>
      </c>
      <c r="AA7139" s="5" t="str">
        <f>HYPERLINK("https://www.zillow.com/homes/3-SWALLOW-CT-WOODRIDGE-IL-605171717_rb/","check listing")</f>
        <v>check listing</v>
      </c>
      <c r="AB7139" s="5" t="str">
        <f>HYPERLINK("https://propertylookup.dupagecounty.gov/Datalets/Datalet.aspx?UseSearch=no&amp;mode=sales&amp;pin=0824317013","sales record")</f>
        <v>sales record</v>
      </c>
      <c r="AC7139" t="s">
        <v>3</v>
      </c>
      <c r="AD7139">
        <v>41.764238</v>
      </c>
      <c r="AE7139">
        <v>-88.04396300000001</v>
      </c>
      <c r="AF7139" s="5" t="str">
        <f>HYPERLINK("https://www.google.com/maps/search/?api=1&amp;query=41.764238,-88.043963","map")</f>
        <v>map</v>
      </c>
    </row>
    <row r="7140" spans="1:32">
      <c r="A7140" t="s">
        <v>7190</v>
      </c>
      <c r="B7140" t="s">
        <v>14642</v>
      </c>
      <c r="C7140" t="s">
        <v>15323</v>
      </c>
      <c r="D7140" t="s">
        <v>16215</v>
      </c>
      <c r="E7140" t="s">
        <v>16218</v>
      </c>
      <c r="F7140" t="s">
        <v>16220</v>
      </c>
      <c r="G7140" t="s">
        <v>16299</v>
      </c>
      <c r="H7140" t="s">
        <v>16299</v>
      </c>
      <c r="I7140" t="s">
        <v>16382</v>
      </c>
      <c r="J7140" t="s">
        <v>16385</v>
      </c>
      <c r="K7140">
        <v>0.167</v>
      </c>
      <c r="L7140">
        <v>7265</v>
      </c>
      <c r="M7140">
        <v>1815</v>
      </c>
      <c r="N7140" t="s">
        <v>16393</v>
      </c>
      <c r="O7140" s="4">
        <v>54797</v>
      </c>
      <c r="P7140" s="4">
        <v>67818</v>
      </c>
      <c r="Q7140" s="4">
        <v>122615</v>
      </c>
      <c r="R7140" s="4">
        <v>367845</v>
      </c>
      <c r="S7140" t="s">
        <v>23289</v>
      </c>
      <c r="X7140" t="s">
        <v>3</v>
      </c>
      <c r="AA7140" s="5" t="str">
        <f>HYPERLINK("https://www.zillow.com/homes/6-PHEASANT-CT-WOODRIDGE-IL-60517_rb/","check listing")</f>
        <v>check listing</v>
      </c>
      <c r="AB7140" s="5" t="str">
        <f>HYPERLINK("https://propertylookup.dupagecounty.gov/Datalets/Datalet.aspx?UseSearch=no&amp;mode=sales&amp;pin=0824317029","sales record")</f>
        <v>sales record</v>
      </c>
      <c r="AC7140" t="s">
        <v>3</v>
      </c>
      <c r="AD7140">
        <v>41.764597</v>
      </c>
      <c r="AE7140">
        <v>-88.043617</v>
      </c>
      <c r="AF7140" s="5" t="str">
        <f>HYPERLINK("https://www.google.com/maps/search/?api=1&amp;query=41.764597,-88.043617","map")</f>
        <v>map</v>
      </c>
    </row>
    <row r="7141" spans="1:32">
      <c r="A7141" t="s">
        <v>7191</v>
      </c>
      <c r="B7141" t="s">
        <v>14643</v>
      </c>
      <c r="C7141" t="s">
        <v>15323</v>
      </c>
      <c r="D7141" t="s">
        <v>16215</v>
      </c>
      <c r="E7141" t="s">
        <v>16218</v>
      </c>
      <c r="F7141" t="s">
        <v>16220</v>
      </c>
      <c r="G7141" t="s">
        <v>16299</v>
      </c>
      <c r="H7141" t="s">
        <v>16299</v>
      </c>
      <c r="I7141" t="s">
        <v>16382</v>
      </c>
      <c r="J7141" t="s">
        <v>16385</v>
      </c>
      <c r="K7141">
        <v>0.167</v>
      </c>
      <c r="L7141">
        <v>7265</v>
      </c>
      <c r="M7141">
        <v>1774</v>
      </c>
      <c r="N7141" t="s">
        <v>16393</v>
      </c>
      <c r="O7141" s="4">
        <v>54797</v>
      </c>
      <c r="P7141" s="4">
        <v>69601</v>
      </c>
      <c r="Q7141" s="4">
        <v>124398</v>
      </c>
      <c r="R7141" s="4">
        <v>373194</v>
      </c>
      <c r="S7141" t="s">
        <v>23290</v>
      </c>
      <c r="T7141" s="6">
        <v>43040</v>
      </c>
      <c r="U7141" s="4">
        <v>275000</v>
      </c>
      <c r="V7141" t="s">
        <v>23740</v>
      </c>
      <c r="W7141" t="s">
        <v>27635</v>
      </c>
      <c r="X7141" t="s">
        <v>3</v>
      </c>
      <c r="AA7141" s="5" t="str">
        <f>HYPERLINK("https://www.zillow.com/homes/2030-CROWN-POINT-ST-WOODRIDGE-IL-60517_rb/","check listing")</f>
        <v>check listing</v>
      </c>
      <c r="AB7141" s="5" t="str">
        <f>HYPERLINK("https://propertylookup.dupagecounty.gov/Datalets/Datalet.aspx?UseSearch=no&amp;mode=sales&amp;pin=0824415014","sales record")</f>
        <v>sales record</v>
      </c>
      <c r="AC7141" t="s">
        <v>3</v>
      </c>
      <c r="AD7141">
        <v>41.762908</v>
      </c>
      <c r="AE7141">
        <v>-88.03318400000001</v>
      </c>
      <c r="AF7141" s="5" t="str">
        <f>HYPERLINK("https://www.google.com/maps/search/?api=1&amp;query=41.762908,-88.033184","map")</f>
        <v>map</v>
      </c>
    </row>
    <row r="7142" spans="1:32">
      <c r="A7142" t="s">
        <v>7192</v>
      </c>
      <c r="B7142" t="s">
        <v>14644</v>
      </c>
      <c r="C7142" t="s">
        <v>15323</v>
      </c>
      <c r="D7142" t="s">
        <v>16215</v>
      </c>
      <c r="E7142" t="s">
        <v>16218</v>
      </c>
      <c r="F7142" t="s">
        <v>16220</v>
      </c>
      <c r="G7142" t="s">
        <v>16299</v>
      </c>
      <c r="H7142" t="s">
        <v>16299</v>
      </c>
      <c r="I7142" t="s">
        <v>16382</v>
      </c>
      <c r="J7142" t="s">
        <v>16385</v>
      </c>
      <c r="K7142">
        <v>0.167</v>
      </c>
      <c r="L7142">
        <v>7258</v>
      </c>
      <c r="M7142">
        <v>2118</v>
      </c>
      <c r="N7142" t="s">
        <v>16393</v>
      </c>
      <c r="O7142" s="4">
        <v>54797</v>
      </c>
      <c r="P7142" s="4">
        <v>64798</v>
      </c>
      <c r="Q7142" s="4">
        <v>119595</v>
      </c>
      <c r="R7142" s="4">
        <v>358785</v>
      </c>
      <c r="S7142" t="s">
        <v>23291</v>
      </c>
      <c r="T7142" s="6">
        <v>35370</v>
      </c>
      <c r="U7142" s="4">
        <v>132000</v>
      </c>
      <c r="X7142" t="s">
        <v>3</v>
      </c>
      <c r="AA7142" s="5" t="str">
        <f>HYPERLINK("https://www.zillow.com/homes/6709-AUDUBON-AVE-WOODRIDGE-IL-60517_rb/","check listing")</f>
        <v>check listing</v>
      </c>
      <c r="AB7142" s="5" t="str">
        <f>HYPERLINK("https://propertylookup.dupagecounty.gov/Datalets/Datalet.aspx?UseSearch=no&amp;mode=sales&amp;pin=0824318005","sales record")</f>
        <v>sales record</v>
      </c>
      <c r="AC7142" t="s">
        <v>3</v>
      </c>
      <c r="AD7142">
        <v>41.764173</v>
      </c>
      <c r="AE7142">
        <v>-88.042007</v>
      </c>
      <c r="AF7142" s="5" t="str">
        <f>HYPERLINK("https://www.google.com/maps/search/?api=1&amp;query=41.764173,-88.042007","map")</f>
        <v>map</v>
      </c>
    </row>
    <row r="7143" spans="1:32">
      <c r="A7143" t="s">
        <v>7193</v>
      </c>
      <c r="B7143" t="s">
        <v>14645</v>
      </c>
      <c r="C7143" t="s">
        <v>15323</v>
      </c>
      <c r="D7143" t="s">
        <v>16215</v>
      </c>
      <c r="E7143" t="s">
        <v>16218</v>
      </c>
      <c r="F7143" t="s">
        <v>16220</v>
      </c>
      <c r="G7143" t="s">
        <v>16299</v>
      </c>
      <c r="H7143" t="s">
        <v>16299</v>
      </c>
      <c r="I7143" t="s">
        <v>16382</v>
      </c>
      <c r="J7143" t="s">
        <v>16385</v>
      </c>
      <c r="K7143">
        <v>0.166</v>
      </c>
      <c r="L7143">
        <v>7250</v>
      </c>
      <c r="M7143">
        <v>1973</v>
      </c>
      <c r="N7143" t="s">
        <v>16393</v>
      </c>
      <c r="O7143" s="4">
        <v>54797</v>
      </c>
      <c r="P7143" s="4">
        <v>81030</v>
      </c>
      <c r="Q7143" s="4">
        <v>135827</v>
      </c>
      <c r="R7143" s="4">
        <v>407481</v>
      </c>
      <c r="S7143" t="s">
        <v>23292</v>
      </c>
      <c r="T7143" s="6">
        <v>39630</v>
      </c>
      <c r="U7143" s="4">
        <v>224955</v>
      </c>
      <c r="V7143" t="s">
        <v>16232</v>
      </c>
      <c r="W7143" t="s">
        <v>27636</v>
      </c>
      <c r="X7143" t="s">
        <v>3</v>
      </c>
      <c r="AA7143" s="5" t="str">
        <f>HYPERLINK("https://www.zillow.com/homes/6676-WHEATFIELD-ST-WOODRIDGE-IL-60517_rb/","check listing")</f>
        <v>check listing</v>
      </c>
      <c r="AB7143" s="5" t="str">
        <f>HYPERLINK("https://propertylookup.dupagecounty.gov/Datalets/Datalet.aspx?UseSearch=no&amp;mode=sales&amp;pin=0824110010","sales record")</f>
        <v>sales record</v>
      </c>
      <c r="AC7143" t="s">
        <v>3</v>
      </c>
      <c r="AD7143">
        <v>41.765854</v>
      </c>
      <c r="AE7143">
        <v>-88.04423</v>
      </c>
      <c r="AF7143" s="5" t="str">
        <f>HYPERLINK("https://www.google.com/maps/search/?api=1&amp;query=41.765854,-88.04423","map")</f>
        <v>map</v>
      </c>
    </row>
    <row r="7144" spans="1:32">
      <c r="A7144" t="s">
        <v>7194</v>
      </c>
      <c r="B7144" t="s">
        <v>14646</v>
      </c>
      <c r="C7144" t="s">
        <v>15323</v>
      </c>
      <c r="D7144" t="s">
        <v>16215</v>
      </c>
      <c r="E7144" t="s">
        <v>16218</v>
      </c>
      <c r="F7144" t="s">
        <v>16220</v>
      </c>
      <c r="G7144" t="s">
        <v>16299</v>
      </c>
      <c r="H7144" t="s">
        <v>16299</v>
      </c>
      <c r="I7144" t="s">
        <v>16382</v>
      </c>
      <c r="J7144" t="s">
        <v>16385</v>
      </c>
      <c r="K7144">
        <v>0.166</v>
      </c>
      <c r="L7144">
        <v>7243</v>
      </c>
      <c r="M7144">
        <v>1570</v>
      </c>
      <c r="N7144" t="s">
        <v>16393</v>
      </c>
      <c r="O7144" s="4">
        <v>54797</v>
      </c>
      <c r="P7144" s="4">
        <v>73348</v>
      </c>
      <c r="Q7144" s="4">
        <v>128145</v>
      </c>
      <c r="R7144" s="4">
        <v>384435</v>
      </c>
      <c r="S7144" t="s">
        <v>23293</v>
      </c>
      <c r="T7144" s="6">
        <v>38961</v>
      </c>
      <c r="U7144" s="4">
        <v>300000</v>
      </c>
      <c r="V7144" t="s">
        <v>23739</v>
      </c>
      <c r="W7144" t="s">
        <v>23293</v>
      </c>
      <c r="X7144" t="s">
        <v>3</v>
      </c>
      <c r="AA7144" s="5" t="str">
        <f>HYPERLINK("https://www.zillow.com/homes/2012-SUNNYDALE-ST-WOODRIDGE-IL-60517_rb/","check listing")</f>
        <v>check listing</v>
      </c>
      <c r="AB7144" s="5" t="str">
        <f>HYPERLINK("https://propertylookup.dupagecounty.gov/Datalets/Datalet.aspx?UseSearch=no&amp;mode=sales&amp;pin=0824415036","sales record")</f>
        <v>sales record</v>
      </c>
      <c r="AC7144" t="s">
        <v>3</v>
      </c>
      <c r="AD7144">
        <v>41.760725</v>
      </c>
      <c r="AE7144">
        <v>-88.032121</v>
      </c>
      <c r="AF7144" s="5" t="str">
        <f>HYPERLINK("https://www.google.com/maps/search/?api=1&amp;query=41.760725,-88.032121","map")</f>
        <v>map</v>
      </c>
    </row>
    <row r="7145" spans="1:32">
      <c r="A7145" t="s">
        <v>7195</v>
      </c>
      <c r="B7145" t="s">
        <v>14647</v>
      </c>
      <c r="C7145" t="s">
        <v>15323</v>
      </c>
      <c r="D7145" t="s">
        <v>16215</v>
      </c>
      <c r="E7145" t="s">
        <v>16218</v>
      </c>
      <c r="F7145" t="s">
        <v>16220</v>
      </c>
      <c r="G7145" t="s">
        <v>16299</v>
      </c>
      <c r="H7145" t="s">
        <v>16299</v>
      </c>
      <c r="I7145" t="s">
        <v>16382</v>
      </c>
      <c r="J7145" t="s">
        <v>16385</v>
      </c>
      <c r="K7145">
        <v>0.166</v>
      </c>
      <c r="L7145">
        <v>7234</v>
      </c>
      <c r="M7145">
        <v>1290</v>
      </c>
      <c r="N7145" t="s">
        <v>16393</v>
      </c>
      <c r="O7145" s="4">
        <v>54797</v>
      </c>
      <c r="P7145" s="4">
        <v>81981</v>
      </c>
      <c r="Q7145" s="4">
        <v>136778</v>
      </c>
      <c r="R7145" s="4">
        <v>410334</v>
      </c>
      <c r="S7145" t="s">
        <v>23294</v>
      </c>
      <c r="T7145" s="6">
        <v>32478</v>
      </c>
      <c r="U7145" s="4">
        <v>120000</v>
      </c>
      <c r="X7145" t="s">
        <v>3</v>
      </c>
      <c r="AA7145" s="5" t="str">
        <f>HYPERLINK("https://www.zillow.com/homes/6710-CHERRY-TREE-AVE-WOODRIDGE-IL-60517_rb/","check listing")</f>
        <v>check listing</v>
      </c>
      <c r="AB7145" s="5" t="str">
        <f>HYPERLINK("https://propertylookup.dupagecounty.gov/Datalets/Datalet.aspx?UseSearch=no&amp;mode=sales&amp;pin=0824315010","sales record")</f>
        <v>sales record</v>
      </c>
      <c r="AC7145" t="s">
        <v>3</v>
      </c>
      <c r="AD7145">
        <v>41.763894</v>
      </c>
      <c r="AE7145">
        <v>-88.047433</v>
      </c>
      <c r="AF7145" s="5" t="str">
        <f>HYPERLINK("https://www.google.com/maps/search/?api=1&amp;query=41.763894,-88.047433","map")</f>
        <v>map</v>
      </c>
    </row>
    <row r="7146" spans="1:32">
      <c r="A7146" t="s">
        <v>7196</v>
      </c>
      <c r="B7146" t="s">
        <v>14648</v>
      </c>
      <c r="C7146" t="s">
        <v>15323</v>
      </c>
      <c r="D7146" t="s">
        <v>16215</v>
      </c>
      <c r="E7146" t="s">
        <v>16218</v>
      </c>
      <c r="F7146" t="s">
        <v>16220</v>
      </c>
      <c r="G7146" t="s">
        <v>16299</v>
      </c>
      <c r="H7146" t="s">
        <v>16299</v>
      </c>
      <c r="I7146" t="s">
        <v>16382</v>
      </c>
      <c r="J7146" t="s">
        <v>16385</v>
      </c>
      <c r="K7146">
        <v>0.166</v>
      </c>
      <c r="L7146">
        <v>7221</v>
      </c>
      <c r="M7146">
        <v>1721</v>
      </c>
      <c r="N7146" t="s">
        <v>16393</v>
      </c>
      <c r="O7146" s="4">
        <v>54797</v>
      </c>
      <c r="P7146" s="4">
        <v>59125</v>
      </c>
      <c r="Q7146" s="4">
        <v>113922</v>
      </c>
      <c r="R7146" s="4">
        <v>341766</v>
      </c>
      <c r="S7146" t="s">
        <v>23295</v>
      </c>
      <c r="T7146" s="6">
        <v>34759</v>
      </c>
      <c r="U7146" s="4">
        <v>115000</v>
      </c>
      <c r="X7146" t="s">
        <v>3</v>
      </c>
      <c r="AA7146" s="5" t="str">
        <f>HYPERLINK("https://www.zillow.com/homes/6855-DOVE-AVE-WOODRIDGE-IL-60517_rb/","check listing")</f>
        <v>check listing</v>
      </c>
      <c r="AB7146" s="5" t="str">
        <f>HYPERLINK("https://propertylookup.dupagecounty.gov/Datalets/Datalet.aspx?UseSearch=no&amp;mode=sales&amp;pin=0824406009","sales record")</f>
        <v>sales record</v>
      </c>
      <c r="AC7146" t="s">
        <v>3</v>
      </c>
      <c r="AD7146">
        <v>41.761974</v>
      </c>
      <c r="AE7146">
        <v>-88.038539</v>
      </c>
      <c r="AF7146" s="5" t="str">
        <f>HYPERLINK("https://www.google.com/maps/search/?api=1&amp;query=41.761974,-88.038539","map")</f>
        <v>map</v>
      </c>
    </row>
    <row r="7147" spans="1:32">
      <c r="A7147" t="s">
        <v>7197</v>
      </c>
      <c r="B7147" t="s">
        <v>14649</v>
      </c>
      <c r="C7147" t="s">
        <v>15323</v>
      </c>
      <c r="D7147" t="s">
        <v>16215</v>
      </c>
      <c r="E7147" t="s">
        <v>16218</v>
      </c>
      <c r="F7147" t="s">
        <v>16220</v>
      </c>
      <c r="G7147" t="s">
        <v>16299</v>
      </c>
      <c r="H7147" t="s">
        <v>16299</v>
      </c>
      <c r="I7147" t="s">
        <v>16382</v>
      </c>
      <c r="J7147" t="s">
        <v>16385</v>
      </c>
      <c r="K7147">
        <v>0.166</v>
      </c>
      <c r="L7147">
        <v>7217</v>
      </c>
      <c r="M7147">
        <v>1802</v>
      </c>
      <c r="N7147" t="s">
        <v>16393</v>
      </c>
      <c r="O7147" s="4">
        <v>54713</v>
      </c>
      <c r="P7147" s="4">
        <v>2000</v>
      </c>
      <c r="Q7147" s="4">
        <v>56713</v>
      </c>
      <c r="R7147" s="4">
        <v>170139</v>
      </c>
      <c r="S7147" t="s">
        <v>23296</v>
      </c>
      <c r="T7147" s="6">
        <v>29068</v>
      </c>
      <c r="U7147" s="4">
        <v>82721</v>
      </c>
      <c r="X7147" t="s">
        <v>3</v>
      </c>
      <c r="AA7147" s="5" t="str">
        <f>HYPERLINK("https://www.zillow.com/homes/2001-SUNNYDALE-ST-WOODRIDGE-IL-60517_rb/","check listing")</f>
        <v>check listing</v>
      </c>
      <c r="AB7147" s="5" t="str">
        <f>HYPERLINK("https://propertylookup.dupagecounty.gov/Datalets/Datalet.aspx?UseSearch=no&amp;mode=sales&amp;pin=0824418008","sales record")</f>
        <v>sales record</v>
      </c>
      <c r="AC7147" t="s">
        <v>3</v>
      </c>
      <c r="AD7147">
        <v>41.760273</v>
      </c>
      <c r="AE7147">
        <v>-88.03164200000001</v>
      </c>
      <c r="AF7147" s="5" t="str">
        <f>HYPERLINK("https://www.google.com/maps/search/?api=1&amp;query=41.760273,-88.031642","map")</f>
        <v>map</v>
      </c>
    </row>
    <row r="7148" spans="1:32">
      <c r="A7148" t="s">
        <v>7198</v>
      </c>
      <c r="B7148" t="s">
        <v>14650</v>
      </c>
      <c r="C7148" t="s">
        <v>15323</v>
      </c>
      <c r="D7148" t="s">
        <v>16215</v>
      </c>
      <c r="E7148" t="s">
        <v>16218</v>
      </c>
      <c r="F7148" t="s">
        <v>16220</v>
      </c>
      <c r="G7148" t="s">
        <v>16299</v>
      </c>
      <c r="H7148" t="s">
        <v>16299</v>
      </c>
      <c r="I7148" t="s">
        <v>16382</v>
      </c>
      <c r="J7148" t="s">
        <v>16385</v>
      </c>
      <c r="K7148">
        <v>0.166</v>
      </c>
      <c r="L7148">
        <v>7214</v>
      </c>
      <c r="M7148">
        <v>1604</v>
      </c>
      <c r="N7148" t="s">
        <v>16393</v>
      </c>
      <c r="O7148" s="4">
        <v>54797</v>
      </c>
      <c r="P7148" s="4">
        <v>75428</v>
      </c>
      <c r="Q7148" s="4">
        <v>130225</v>
      </c>
      <c r="R7148" s="4">
        <v>390675</v>
      </c>
      <c r="S7148" t="s">
        <v>23297</v>
      </c>
      <c r="T7148" s="6">
        <v>29252</v>
      </c>
      <c r="U7148" s="4">
        <v>89995</v>
      </c>
      <c r="X7148" t="s">
        <v>3</v>
      </c>
      <c r="AA7148" s="5" t="str">
        <f>HYPERLINK("https://www.zillow.com/homes/6910-RED-BUD-LN-WOODRIDGE-IL-60517_rb/","check listing")</f>
        <v>check listing</v>
      </c>
      <c r="AB7148" s="5" t="str">
        <f>HYPERLINK("https://propertylookup.dupagecounty.gov/Datalets/Datalet.aspx?UseSearch=no&amp;mode=sales&amp;pin=0824305002","sales record")</f>
        <v>sales record</v>
      </c>
      <c r="AC7148" t="s">
        <v>3</v>
      </c>
      <c r="AD7148">
        <v>41.761466</v>
      </c>
      <c r="AE7148">
        <v>-88.047821</v>
      </c>
      <c r="AF7148" s="5" t="str">
        <f>HYPERLINK("https://www.google.com/maps/search/?api=1&amp;query=41.761466,-88.047821","map")</f>
        <v>map</v>
      </c>
    </row>
    <row r="7149" spans="1:32">
      <c r="A7149" t="s">
        <v>7199</v>
      </c>
      <c r="B7149" t="s">
        <v>14651</v>
      </c>
      <c r="C7149" t="s">
        <v>16155</v>
      </c>
      <c r="D7149" t="s">
        <v>16215</v>
      </c>
      <c r="E7149" t="s">
        <v>16218</v>
      </c>
      <c r="F7149" t="s">
        <v>16220</v>
      </c>
      <c r="G7149" t="s">
        <v>16299</v>
      </c>
      <c r="H7149" t="s">
        <v>16299</v>
      </c>
      <c r="I7149" t="s">
        <v>16382</v>
      </c>
      <c r="J7149" t="s">
        <v>16385</v>
      </c>
      <c r="K7149">
        <v>0.165</v>
      </c>
      <c r="L7149">
        <v>7204</v>
      </c>
      <c r="M7149">
        <v>1973</v>
      </c>
      <c r="N7149" t="s">
        <v>16393</v>
      </c>
      <c r="O7149" s="4">
        <v>54797</v>
      </c>
      <c r="P7149" s="4">
        <v>65439</v>
      </c>
      <c r="Q7149" s="4">
        <v>120236</v>
      </c>
      <c r="R7149" s="4">
        <v>360708</v>
      </c>
      <c r="S7149" t="s">
        <v>23298</v>
      </c>
      <c r="T7149" s="6">
        <v>43252</v>
      </c>
      <c r="U7149" s="4">
        <v>260000</v>
      </c>
      <c r="V7149" t="s">
        <v>23739</v>
      </c>
      <c r="W7149" t="s">
        <v>23298</v>
      </c>
      <c r="X7149" t="s">
        <v>3</v>
      </c>
      <c r="AA7149" s="5" t="str">
        <f>HYPERLINK("https://www.zillow.com/homes/6706-CHERRYTREE-AVE-WOODRIDGE-IL-605171732_rb/","check listing")</f>
        <v>check listing</v>
      </c>
      <c r="AB7149" s="5" t="str">
        <f>HYPERLINK("https://propertylookup.dupagecounty.gov/Datalets/Datalet.aspx?UseSearch=no&amp;mode=sales&amp;pin=0824315009","sales record")</f>
        <v>sales record</v>
      </c>
      <c r="AC7149" t="s">
        <v>3</v>
      </c>
      <c r="AD7149">
        <v>41.764064</v>
      </c>
      <c r="AE7149">
        <v>-88.04749099999999</v>
      </c>
      <c r="AF7149" s="5" t="str">
        <f>HYPERLINK("https://www.google.com/maps/search/?api=1&amp;query=41.764064,-88.047491","map")</f>
        <v>map</v>
      </c>
    </row>
    <row r="7150" spans="1:32">
      <c r="A7150" t="s">
        <v>7200</v>
      </c>
      <c r="B7150" t="s">
        <v>14652</v>
      </c>
      <c r="C7150" t="s">
        <v>15323</v>
      </c>
      <c r="D7150" t="s">
        <v>16215</v>
      </c>
      <c r="E7150" t="s">
        <v>16218</v>
      </c>
      <c r="F7150" t="s">
        <v>16220</v>
      </c>
      <c r="G7150" t="s">
        <v>16299</v>
      </c>
      <c r="H7150" t="s">
        <v>16299</v>
      </c>
      <c r="I7150" t="s">
        <v>16382</v>
      </c>
      <c r="J7150" t="s">
        <v>16385</v>
      </c>
      <c r="K7150">
        <v>0.165</v>
      </c>
      <c r="L7150">
        <v>7203</v>
      </c>
      <c r="M7150">
        <v>1475</v>
      </c>
      <c r="N7150" t="s">
        <v>16393</v>
      </c>
      <c r="O7150" s="4">
        <v>54797</v>
      </c>
      <c r="P7150" s="4">
        <v>81981</v>
      </c>
      <c r="Q7150" s="4">
        <v>136778</v>
      </c>
      <c r="R7150" s="4">
        <v>410334</v>
      </c>
      <c r="S7150" t="s">
        <v>23299</v>
      </c>
      <c r="T7150" s="6">
        <v>42186</v>
      </c>
      <c r="U7150" s="4">
        <v>241101</v>
      </c>
      <c r="V7150" t="s">
        <v>16232</v>
      </c>
      <c r="W7150" t="s">
        <v>23299</v>
      </c>
      <c r="X7150" t="s">
        <v>3</v>
      </c>
      <c r="AA7150" s="5" t="str">
        <f>HYPERLINK("https://www.zillow.com/homes/2043-VANTAGE-ST-WOODRIDGE-IL-60517_rb/","check listing")</f>
        <v>check listing</v>
      </c>
      <c r="AB7150" s="5" t="str">
        <f>HYPERLINK("https://propertylookup.dupagecounty.gov/Datalets/Datalet.aspx?UseSearch=no&amp;mode=sales&amp;pin=0824414045","sales record")</f>
        <v>sales record</v>
      </c>
      <c r="AC7150" t="s">
        <v>3</v>
      </c>
      <c r="AD7150">
        <v>41.760884</v>
      </c>
      <c r="AE7150">
        <v>-88.033451</v>
      </c>
      <c r="AF7150" s="5" t="str">
        <f>HYPERLINK("https://www.google.com/maps/search/?api=1&amp;query=41.760884,-88.033451","map")</f>
        <v>map</v>
      </c>
    </row>
    <row r="7151" spans="1:32">
      <c r="A7151" t="s">
        <v>7201</v>
      </c>
      <c r="B7151" t="s">
        <v>14653</v>
      </c>
      <c r="C7151" t="s">
        <v>15323</v>
      </c>
      <c r="D7151" t="s">
        <v>16215</v>
      </c>
      <c r="E7151" t="s">
        <v>16218</v>
      </c>
      <c r="F7151" t="s">
        <v>16220</v>
      </c>
      <c r="G7151" t="s">
        <v>16299</v>
      </c>
      <c r="H7151" t="s">
        <v>16299</v>
      </c>
      <c r="I7151" t="s">
        <v>16382</v>
      </c>
      <c r="J7151" t="s">
        <v>16385</v>
      </c>
      <c r="K7151">
        <v>0.165</v>
      </c>
      <c r="L7151">
        <v>7192</v>
      </c>
      <c r="M7151">
        <v>881</v>
      </c>
      <c r="N7151" t="s">
        <v>16393</v>
      </c>
      <c r="O7151" s="4">
        <v>54797</v>
      </c>
      <c r="P7151" s="4">
        <v>68591</v>
      </c>
      <c r="Q7151" s="4">
        <v>123388</v>
      </c>
      <c r="R7151" s="4">
        <v>370164</v>
      </c>
      <c r="S7151" t="s">
        <v>23300</v>
      </c>
      <c r="X7151" t="s">
        <v>3</v>
      </c>
      <c r="AA7151" s="5" t="str">
        <f>HYPERLINK("https://www.zillow.com/homes/6700-AUDUBON-AVE-WOODRIDGE-IL-60517_rb/","check listing")</f>
        <v>check listing</v>
      </c>
      <c r="AB7151" s="5" t="str">
        <f>HYPERLINK("https://propertylookup.dupagecounty.gov/Datalets/Datalet.aspx?UseSearch=no&amp;mode=sales&amp;pin=0824317021","sales record")</f>
        <v>sales record</v>
      </c>
      <c r="AC7151" t="s">
        <v>3</v>
      </c>
      <c r="AD7151">
        <v>41.763784</v>
      </c>
      <c r="AE7151">
        <v>-88.04257</v>
      </c>
      <c r="AF7151" s="5" t="str">
        <f>HYPERLINK("https://www.google.com/maps/search/?api=1&amp;query=41.763784,-88.04257","map")</f>
        <v>map</v>
      </c>
    </row>
    <row r="7152" spans="1:32">
      <c r="A7152" t="s">
        <v>7202</v>
      </c>
      <c r="B7152" t="s">
        <v>14654</v>
      </c>
      <c r="C7152" t="s">
        <v>15323</v>
      </c>
      <c r="D7152" t="s">
        <v>16215</v>
      </c>
      <c r="E7152" t="s">
        <v>16218</v>
      </c>
      <c r="F7152" t="s">
        <v>16220</v>
      </c>
      <c r="G7152" t="s">
        <v>16299</v>
      </c>
      <c r="H7152" t="s">
        <v>16299</v>
      </c>
      <c r="I7152" t="s">
        <v>16382</v>
      </c>
      <c r="J7152" t="s">
        <v>16385</v>
      </c>
      <c r="K7152">
        <v>0.165</v>
      </c>
      <c r="L7152">
        <v>7187</v>
      </c>
      <c r="M7152">
        <v>1384</v>
      </c>
      <c r="N7152" t="s">
        <v>16393</v>
      </c>
      <c r="O7152" s="4">
        <v>54713</v>
      </c>
      <c r="P7152" s="4">
        <v>81481</v>
      </c>
      <c r="Q7152" s="4">
        <v>136194</v>
      </c>
      <c r="R7152" s="4">
        <v>408582</v>
      </c>
      <c r="S7152" t="s">
        <v>23301</v>
      </c>
      <c r="T7152" s="6">
        <v>39661</v>
      </c>
      <c r="U7152" s="4">
        <v>240000</v>
      </c>
      <c r="V7152" t="s">
        <v>23739</v>
      </c>
      <c r="W7152" t="s">
        <v>27637</v>
      </c>
      <c r="X7152" t="s">
        <v>3</v>
      </c>
      <c r="AA7152" s="5" t="str">
        <f>HYPERLINK("https://www.zillow.com/homes/6855-EASTSIDE-AVE-WOODRIDGE-IL-60517_rb/","check listing")</f>
        <v>check listing</v>
      </c>
      <c r="AB7152" s="5" t="str">
        <f>HYPERLINK("https://propertylookup.dupagecounty.gov/Datalets/Datalet.aspx?UseSearch=no&amp;mode=sales&amp;pin=0824415028","sales record")</f>
        <v>sales record</v>
      </c>
      <c r="AC7152" t="s">
        <v>3</v>
      </c>
      <c r="AD7152">
        <v>41.761339</v>
      </c>
      <c r="AE7152">
        <v>-88.03175400000001</v>
      </c>
      <c r="AF7152" s="5" t="str">
        <f>HYPERLINK("https://www.google.com/maps/search/?api=1&amp;query=41.761339,-88.031754","map")</f>
        <v>map</v>
      </c>
    </row>
    <row r="7153" spans="1:32">
      <c r="A7153" t="s">
        <v>7203</v>
      </c>
      <c r="B7153" t="s">
        <v>14655</v>
      </c>
      <c r="C7153" t="s">
        <v>15323</v>
      </c>
      <c r="D7153" t="s">
        <v>16215</v>
      </c>
      <c r="E7153" t="s">
        <v>16218</v>
      </c>
      <c r="F7153" t="s">
        <v>16220</v>
      </c>
      <c r="G7153" t="s">
        <v>16299</v>
      </c>
      <c r="H7153" t="s">
        <v>16299</v>
      </c>
      <c r="I7153" t="s">
        <v>16382</v>
      </c>
      <c r="J7153" t="s">
        <v>16385</v>
      </c>
      <c r="K7153">
        <v>0.165</v>
      </c>
      <c r="L7153">
        <v>7176</v>
      </c>
      <c r="M7153">
        <v>1778</v>
      </c>
      <c r="N7153" t="s">
        <v>16393</v>
      </c>
      <c r="O7153" s="4">
        <v>54797</v>
      </c>
      <c r="P7153" s="4">
        <v>73228</v>
      </c>
      <c r="Q7153" s="4">
        <v>128025</v>
      </c>
      <c r="R7153" s="4">
        <v>384075</v>
      </c>
      <c r="S7153" t="s">
        <v>23302</v>
      </c>
      <c r="T7153" s="6">
        <v>35765</v>
      </c>
      <c r="U7153" s="4">
        <v>156000</v>
      </c>
      <c r="X7153" t="s">
        <v>3</v>
      </c>
      <c r="AA7153" s="5" t="str">
        <f>HYPERLINK("https://www.zillow.com/homes/2043-SUNNYDALE-ST-WOODRIDGE-IL-60517_rb/","check listing")</f>
        <v>check listing</v>
      </c>
      <c r="AB7153" s="5" t="str">
        <f>HYPERLINK("https://propertylookup.dupagecounty.gov/Datalets/Datalet.aspx?UseSearch=no&amp;mode=sales&amp;pin=0824418009","sales record")</f>
        <v>sales record</v>
      </c>
      <c r="AC7153" t="s">
        <v>3</v>
      </c>
      <c r="AD7153">
        <v>41.760069</v>
      </c>
      <c r="AE7153">
        <v>-88.033286</v>
      </c>
      <c r="AF7153" s="5" t="str">
        <f>HYPERLINK("https://www.google.com/maps/search/?api=1&amp;query=41.760069,-88.033286","map")</f>
        <v>map</v>
      </c>
    </row>
    <row r="7154" spans="1:32">
      <c r="A7154" t="s">
        <v>7204</v>
      </c>
      <c r="B7154" t="s">
        <v>14656</v>
      </c>
      <c r="C7154" t="s">
        <v>15323</v>
      </c>
      <c r="D7154" t="s">
        <v>16215</v>
      </c>
      <c r="E7154" t="s">
        <v>16218</v>
      </c>
      <c r="F7154" t="s">
        <v>16220</v>
      </c>
      <c r="G7154" t="s">
        <v>16299</v>
      </c>
      <c r="H7154" t="s">
        <v>16299</v>
      </c>
      <c r="I7154" t="s">
        <v>16382</v>
      </c>
      <c r="J7154" t="s">
        <v>16385</v>
      </c>
      <c r="K7154">
        <v>0.165</v>
      </c>
      <c r="L7154">
        <v>7171</v>
      </c>
      <c r="M7154">
        <v>1754</v>
      </c>
      <c r="N7154" t="s">
        <v>16393</v>
      </c>
      <c r="O7154" s="4">
        <v>50064</v>
      </c>
      <c r="P7154" s="4">
        <v>73811</v>
      </c>
      <c r="Q7154" s="4">
        <v>123875</v>
      </c>
      <c r="R7154" s="4">
        <v>371625</v>
      </c>
      <c r="S7154" t="s">
        <v>23303</v>
      </c>
      <c r="T7154" s="6">
        <v>33604</v>
      </c>
      <c r="U7154" s="4">
        <v>158000</v>
      </c>
      <c r="X7154" t="s">
        <v>3</v>
      </c>
      <c r="AA7154" s="5" t="str">
        <f>HYPERLINK("https://www.zillow.com/homes/2629-ZURICH-CT-WOODRIDGE-IL-60517_rb/","check listing")</f>
        <v>check listing</v>
      </c>
      <c r="AB7154" s="5" t="str">
        <f>HYPERLINK("https://propertylookup.dupagecounty.gov/Datalets/Datalet.aspx?UseSearch=no&amp;mode=sales&amp;pin=0836103007","sales record")</f>
        <v>sales record</v>
      </c>
      <c r="AC7154" t="s">
        <v>3</v>
      </c>
      <c r="AD7154">
        <v>41.737007</v>
      </c>
      <c r="AE7154">
        <v>-88.045536</v>
      </c>
      <c r="AF7154" s="5" t="str">
        <f>HYPERLINK("https://www.google.com/maps/search/?api=1&amp;query=41.737007,-88.045536","map")</f>
        <v>map</v>
      </c>
    </row>
    <row r="7155" spans="1:32">
      <c r="A7155" t="s">
        <v>7205</v>
      </c>
      <c r="B7155" t="s">
        <v>14657</v>
      </c>
      <c r="C7155" t="s">
        <v>16156</v>
      </c>
      <c r="D7155" t="s">
        <v>16215</v>
      </c>
      <c r="E7155" t="s">
        <v>16218</v>
      </c>
      <c r="F7155" t="s">
        <v>16220</v>
      </c>
      <c r="G7155" t="s">
        <v>16299</v>
      </c>
      <c r="H7155" t="s">
        <v>16299</v>
      </c>
      <c r="I7155" t="s">
        <v>16382</v>
      </c>
      <c r="J7155" t="s">
        <v>16385</v>
      </c>
      <c r="K7155">
        <v>0.165</v>
      </c>
      <c r="L7155">
        <v>7167</v>
      </c>
      <c r="M7155">
        <v>1795</v>
      </c>
      <c r="N7155" t="s">
        <v>16393</v>
      </c>
      <c r="O7155" s="4">
        <v>54797</v>
      </c>
      <c r="P7155" s="4">
        <v>82992</v>
      </c>
      <c r="Q7155" s="4">
        <v>137789</v>
      </c>
      <c r="R7155" s="4">
        <v>413367</v>
      </c>
      <c r="S7155" t="s">
        <v>23304</v>
      </c>
      <c r="T7155" s="6">
        <v>44440</v>
      </c>
      <c r="U7155" s="4">
        <v>285000</v>
      </c>
      <c r="V7155" t="s">
        <v>23739</v>
      </c>
      <c r="W7155" t="s">
        <v>27638</v>
      </c>
      <c r="X7155" t="s">
        <v>3</v>
      </c>
      <c r="AA7155" s="5" t="str">
        <f>HYPERLINK("https://www.zillow.com/homes/6687-WHEATFIELD-ST-WOODRIDGE-IL-605171715_rb/","check listing")</f>
        <v>check listing</v>
      </c>
      <c r="AB7155" s="5" t="str">
        <f>HYPERLINK("https://propertylookup.dupagecounty.gov/Datalets/Datalet.aspx?UseSearch=no&amp;mode=sales&amp;pin=0824111003","sales record")</f>
        <v>sales record</v>
      </c>
      <c r="AC7155" t="s">
        <v>3</v>
      </c>
      <c r="AD7155">
        <v>41.765188</v>
      </c>
      <c r="AE7155">
        <v>-88.044859</v>
      </c>
      <c r="AF7155" s="5" t="str">
        <f>HYPERLINK("https://www.google.com/maps/search/?api=1&amp;query=41.765188,-88.044859","map")</f>
        <v>map</v>
      </c>
    </row>
    <row r="7156" spans="1:32">
      <c r="A7156" t="s">
        <v>7206</v>
      </c>
      <c r="B7156" t="s">
        <v>14658</v>
      </c>
      <c r="C7156" t="s">
        <v>16157</v>
      </c>
      <c r="D7156" t="s">
        <v>16215</v>
      </c>
      <c r="E7156" t="s">
        <v>16218</v>
      </c>
      <c r="F7156" t="s">
        <v>16220</v>
      </c>
      <c r="G7156" t="s">
        <v>16299</v>
      </c>
      <c r="H7156" t="s">
        <v>16299</v>
      </c>
      <c r="I7156" t="s">
        <v>16382</v>
      </c>
      <c r="J7156" t="s">
        <v>16385</v>
      </c>
      <c r="K7156">
        <v>0.165</v>
      </c>
      <c r="L7156">
        <v>7166</v>
      </c>
      <c r="M7156">
        <v>2279</v>
      </c>
      <c r="N7156" t="s">
        <v>16393</v>
      </c>
      <c r="O7156" s="4">
        <v>54797</v>
      </c>
      <c r="P7156" s="4">
        <v>61301</v>
      </c>
      <c r="Q7156" s="4">
        <v>116098</v>
      </c>
      <c r="R7156" s="4">
        <v>348294</v>
      </c>
      <c r="S7156" t="s">
        <v>23305</v>
      </c>
      <c r="T7156" s="6">
        <v>43678</v>
      </c>
      <c r="U7156" s="4">
        <v>255000</v>
      </c>
      <c r="V7156" t="s">
        <v>23739</v>
      </c>
      <c r="W7156" t="s">
        <v>27639</v>
      </c>
      <c r="X7156" t="s">
        <v>3</v>
      </c>
      <c r="AA7156" s="5" t="str">
        <f>HYPERLINK("https://www.zillow.com/homes/6825-PRAIRIEVIEW-AVE-WOODRIDGE-IL-605171827_rb/","check listing")</f>
        <v>check listing</v>
      </c>
      <c r="AB7156" s="5" t="str">
        <f>HYPERLINK("https://propertylookup.dupagecounty.gov/Datalets/Datalet.aspx?UseSearch=no&amp;mode=sales&amp;pin=0824414014","sales record")</f>
        <v>sales record</v>
      </c>
      <c r="AC7156" t="s">
        <v>3</v>
      </c>
      <c r="AD7156">
        <v>41.761954</v>
      </c>
      <c r="AE7156">
        <v>-88.03489</v>
      </c>
      <c r="AF7156" s="5" t="str">
        <f>HYPERLINK("https://www.google.com/maps/search/?api=1&amp;query=41.761954,-88.03489","map")</f>
        <v>map</v>
      </c>
    </row>
    <row r="7157" spans="1:32">
      <c r="A7157" t="s">
        <v>7207</v>
      </c>
      <c r="B7157" t="s">
        <v>14659</v>
      </c>
      <c r="C7157" t="s">
        <v>15323</v>
      </c>
      <c r="D7157" t="s">
        <v>16215</v>
      </c>
      <c r="E7157" t="s">
        <v>16218</v>
      </c>
      <c r="F7157" t="s">
        <v>16220</v>
      </c>
      <c r="G7157" t="s">
        <v>16299</v>
      </c>
      <c r="H7157" t="s">
        <v>16299</v>
      </c>
      <c r="I7157" t="s">
        <v>16382</v>
      </c>
      <c r="J7157" t="s">
        <v>16385</v>
      </c>
      <c r="K7157">
        <v>0.164</v>
      </c>
      <c r="L7157">
        <v>7161</v>
      </c>
      <c r="M7157">
        <v>2381</v>
      </c>
      <c r="N7157" t="s">
        <v>16393</v>
      </c>
      <c r="O7157" s="4">
        <v>54797</v>
      </c>
      <c r="P7157" s="4">
        <v>66950</v>
      </c>
      <c r="Q7157" s="4">
        <v>121747</v>
      </c>
      <c r="R7157" s="4">
        <v>365241</v>
      </c>
      <c r="S7157" t="s">
        <v>23306</v>
      </c>
      <c r="T7157" s="6">
        <v>34820</v>
      </c>
      <c r="U7157" s="4">
        <v>139000</v>
      </c>
      <c r="X7157" t="s">
        <v>3</v>
      </c>
      <c r="AA7157" s="5" t="str">
        <f>HYPERLINK("https://www.zillow.com/homes/6849-HARVEST-AVE-WOODRIDGE-IL-60517_rb/","check listing")</f>
        <v>check listing</v>
      </c>
      <c r="AB7157" s="5" t="str">
        <f>HYPERLINK("https://propertylookup.dupagecounty.gov/Datalets/Datalet.aspx?UseSearch=no&amp;mode=sales&amp;pin=0824416007","sales record")</f>
        <v>sales record</v>
      </c>
      <c r="AC7157" t="s">
        <v>3</v>
      </c>
      <c r="AD7157">
        <v>41.761386</v>
      </c>
      <c r="AE7157">
        <v>-88.032837</v>
      </c>
      <c r="AF7157" s="5" t="str">
        <f>HYPERLINK("https://www.google.com/maps/search/?api=1&amp;query=41.761386,-88.032837","map")</f>
        <v>map</v>
      </c>
    </row>
    <row r="7158" spans="1:32">
      <c r="A7158" t="s">
        <v>7208</v>
      </c>
      <c r="B7158" t="s">
        <v>14660</v>
      </c>
      <c r="C7158" t="s">
        <v>15323</v>
      </c>
      <c r="D7158" t="s">
        <v>16215</v>
      </c>
      <c r="E7158" t="s">
        <v>16218</v>
      </c>
      <c r="F7158" t="s">
        <v>16220</v>
      </c>
      <c r="G7158" t="s">
        <v>16299</v>
      </c>
      <c r="H7158" t="s">
        <v>16299</v>
      </c>
      <c r="I7158" t="s">
        <v>16382</v>
      </c>
      <c r="J7158" t="s">
        <v>16385</v>
      </c>
      <c r="K7158">
        <v>0.164</v>
      </c>
      <c r="L7158">
        <v>7161</v>
      </c>
      <c r="M7158">
        <v>1560</v>
      </c>
      <c r="N7158" t="s">
        <v>16393</v>
      </c>
      <c r="O7158" s="4">
        <v>54797</v>
      </c>
      <c r="P7158" s="4">
        <v>67485</v>
      </c>
      <c r="Q7158" s="4">
        <v>122282</v>
      </c>
      <c r="R7158" s="4">
        <v>366846</v>
      </c>
      <c r="S7158" t="s">
        <v>23307</v>
      </c>
      <c r="T7158" s="6">
        <v>28946</v>
      </c>
      <c r="U7158" s="4">
        <v>75655</v>
      </c>
      <c r="X7158" t="s">
        <v>3</v>
      </c>
      <c r="AA7158" s="5" t="str">
        <f>HYPERLINK("https://www.zillow.com/homes/6819-PRAIRIEVIEW-AVE-WOODRIDGE-IL-60517_rb/","check listing")</f>
        <v>check listing</v>
      </c>
      <c r="AB7158" s="5" t="str">
        <f>HYPERLINK("https://propertylookup.dupagecounty.gov/Datalets/Datalet.aspx?UseSearch=no&amp;mode=sales&amp;pin=0824414013","sales record")</f>
        <v>sales record</v>
      </c>
      <c r="AC7158" t="s">
        <v>3</v>
      </c>
      <c r="AD7158">
        <v>41.762133</v>
      </c>
      <c r="AE7158">
        <v>-88.034961</v>
      </c>
      <c r="AF7158" s="5" t="str">
        <f>HYPERLINK("https://www.google.com/maps/search/?api=1&amp;query=41.762133,-88.034961","map")</f>
        <v>map</v>
      </c>
    </row>
    <row r="7159" spans="1:32">
      <c r="A7159" t="s">
        <v>7209</v>
      </c>
      <c r="B7159" t="s">
        <v>14661</v>
      </c>
      <c r="C7159" t="s">
        <v>15323</v>
      </c>
      <c r="D7159" t="s">
        <v>16215</v>
      </c>
      <c r="E7159" t="s">
        <v>16218</v>
      </c>
      <c r="F7159" t="s">
        <v>16220</v>
      </c>
      <c r="G7159" t="s">
        <v>16299</v>
      </c>
      <c r="H7159" t="s">
        <v>16299</v>
      </c>
      <c r="I7159" t="s">
        <v>16382</v>
      </c>
      <c r="J7159" t="s">
        <v>16385</v>
      </c>
      <c r="K7159">
        <v>0.164</v>
      </c>
      <c r="L7159">
        <v>7153</v>
      </c>
      <c r="M7159">
        <v>1816</v>
      </c>
      <c r="N7159" t="s">
        <v>16393</v>
      </c>
      <c r="O7159" s="4">
        <v>54797</v>
      </c>
      <c r="P7159" s="4">
        <v>69495</v>
      </c>
      <c r="Q7159" s="4">
        <v>124292</v>
      </c>
      <c r="R7159" s="4">
        <v>372876</v>
      </c>
      <c r="S7159" t="s">
        <v>23308</v>
      </c>
      <c r="T7159" s="6">
        <v>38777</v>
      </c>
      <c r="U7159" s="4">
        <v>266000</v>
      </c>
      <c r="V7159" t="s">
        <v>23739</v>
      </c>
      <c r="W7159" t="s">
        <v>23308</v>
      </c>
      <c r="X7159" t="s">
        <v>3</v>
      </c>
      <c r="AA7159" s="5" t="str">
        <f>HYPERLINK("https://www.zillow.com/homes/2037-VANTAGE-ST-WOODRIDGE-IL-60517_rb/","check listing")</f>
        <v>check listing</v>
      </c>
      <c r="AB7159" s="5" t="str">
        <f>HYPERLINK("https://propertylookup.dupagecounty.gov/Datalets/Datalet.aspx?UseSearch=no&amp;mode=sales&amp;pin=0824414046","sales record")</f>
        <v>sales record</v>
      </c>
      <c r="AC7159" t="s">
        <v>3</v>
      </c>
      <c r="AD7159">
        <v>41.760947</v>
      </c>
      <c r="AE7159">
        <v>-88.033219</v>
      </c>
      <c r="AF7159" s="5" t="str">
        <f>HYPERLINK("https://www.google.com/maps/search/?api=1&amp;query=41.760947,-88.033219","map")</f>
        <v>map</v>
      </c>
    </row>
    <row r="7160" spans="1:32">
      <c r="A7160" t="s">
        <v>7210</v>
      </c>
      <c r="B7160" t="s">
        <v>14662</v>
      </c>
      <c r="C7160" t="s">
        <v>15323</v>
      </c>
      <c r="D7160" t="s">
        <v>16215</v>
      </c>
      <c r="E7160" t="s">
        <v>16218</v>
      </c>
      <c r="F7160" t="s">
        <v>16220</v>
      </c>
      <c r="G7160" t="s">
        <v>16299</v>
      </c>
      <c r="H7160" t="s">
        <v>16299</v>
      </c>
      <c r="I7160" t="s">
        <v>16382</v>
      </c>
      <c r="J7160" t="s">
        <v>16385</v>
      </c>
      <c r="K7160">
        <v>0.164</v>
      </c>
      <c r="L7160">
        <v>7152</v>
      </c>
      <c r="M7160">
        <v>1678</v>
      </c>
      <c r="N7160" t="s">
        <v>16393</v>
      </c>
      <c r="O7160" s="4">
        <v>51990</v>
      </c>
      <c r="P7160" s="4">
        <v>70268</v>
      </c>
      <c r="Q7160" s="4">
        <v>122258</v>
      </c>
      <c r="R7160" s="4">
        <v>366774</v>
      </c>
      <c r="S7160" t="s">
        <v>23309</v>
      </c>
      <c r="X7160" t="s">
        <v>3</v>
      </c>
      <c r="AA7160" s="5" t="str">
        <f>HYPERLINK("https://www.zillow.com/homes/4-OWL-CT-WOODRIDGE-IL-60517_rb/","check listing")</f>
        <v>check listing</v>
      </c>
      <c r="AB7160" s="5" t="str">
        <f>HYPERLINK("https://propertylookup.dupagecounty.gov/Datalets/Datalet.aspx?UseSearch=no&amp;mode=sales&amp;pin=0824404001","sales record")</f>
        <v>sales record</v>
      </c>
      <c r="AC7160" t="s">
        <v>3</v>
      </c>
      <c r="AD7160">
        <v>41.76494</v>
      </c>
      <c r="AE7160">
        <v>-88.039917</v>
      </c>
      <c r="AF7160" s="5" t="str">
        <f>HYPERLINK("https://www.google.com/maps/search/?api=1&amp;query=41.76494,-88.039917","map")</f>
        <v>map</v>
      </c>
    </row>
    <row r="7161" spans="1:32">
      <c r="A7161" t="s">
        <v>7211</v>
      </c>
      <c r="B7161" t="s">
        <v>14663</v>
      </c>
      <c r="C7161" t="s">
        <v>15323</v>
      </c>
      <c r="D7161" t="s">
        <v>16215</v>
      </c>
      <c r="E7161" t="s">
        <v>16218</v>
      </c>
      <c r="F7161" t="s">
        <v>16220</v>
      </c>
      <c r="G7161" t="s">
        <v>16299</v>
      </c>
      <c r="H7161" t="s">
        <v>16299</v>
      </c>
      <c r="I7161" t="s">
        <v>16382</v>
      </c>
      <c r="J7161" t="s">
        <v>16385</v>
      </c>
      <c r="K7161">
        <v>0.164</v>
      </c>
      <c r="L7161">
        <v>7151</v>
      </c>
      <c r="M7161">
        <v>1428</v>
      </c>
      <c r="N7161" t="s">
        <v>16393</v>
      </c>
      <c r="O7161" s="4">
        <v>54797</v>
      </c>
      <c r="P7161" s="4">
        <v>76368</v>
      </c>
      <c r="Q7161" s="4">
        <v>131165</v>
      </c>
      <c r="R7161" s="4">
        <v>393495</v>
      </c>
      <c r="S7161" t="s">
        <v>23310</v>
      </c>
      <c r="T7161" s="6">
        <v>42767</v>
      </c>
      <c r="U7161" s="4">
        <v>290000</v>
      </c>
      <c r="V7161" t="s">
        <v>23739</v>
      </c>
      <c r="W7161" t="s">
        <v>27640</v>
      </c>
      <c r="X7161" t="s">
        <v>3</v>
      </c>
      <c r="AA7161" s="5" t="str">
        <f>HYPERLINK("https://www.zillow.com/homes/6813-PRAIRIEVIEW-AVE-WOODRIDGE-IL-60517_rb/","check listing")</f>
        <v>check listing</v>
      </c>
      <c r="AB7161" s="5" t="str">
        <f>HYPERLINK("https://propertylookup.dupagecounty.gov/Datalets/Datalet.aspx?UseSearch=no&amp;mode=sales&amp;pin=0824414012","sales record")</f>
        <v>sales record</v>
      </c>
      <c r="AC7161" t="s">
        <v>3</v>
      </c>
      <c r="AD7161">
        <v>41.762293</v>
      </c>
      <c r="AE7161">
        <v>-88.03502400000001</v>
      </c>
      <c r="AF7161" s="5" t="str">
        <f>HYPERLINK("https://www.google.com/maps/search/?api=1&amp;query=41.762293,-88.035024","map")</f>
        <v>map</v>
      </c>
    </row>
    <row r="7162" spans="1:32">
      <c r="A7162" t="s">
        <v>7212</v>
      </c>
      <c r="B7162" t="s">
        <v>14664</v>
      </c>
      <c r="C7162" t="s">
        <v>16148</v>
      </c>
      <c r="D7162" t="s">
        <v>16215</v>
      </c>
      <c r="E7162" t="s">
        <v>16218</v>
      </c>
      <c r="F7162" t="s">
        <v>16220</v>
      </c>
      <c r="G7162" t="s">
        <v>16299</v>
      </c>
      <c r="H7162" t="s">
        <v>16299</v>
      </c>
      <c r="I7162" t="s">
        <v>16382</v>
      </c>
      <c r="J7162" t="s">
        <v>16385</v>
      </c>
      <c r="K7162">
        <v>0.164</v>
      </c>
      <c r="L7162">
        <v>7143</v>
      </c>
      <c r="M7162">
        <v>2075</v>
      </c>
      <c r="N7162" t="s">
        <v>16393</v>
      </c>
      <c r="O7162" s="4">
        <v>57651</v>
      </c>
      <c r="P7162" s="4">
        <v>84407</v>
      </c>
      <c r="Q7162" s="4">
        <v>142058</v>
      </c>
      <c r="R7162" s="4">
        <v>426174</v>
      </c>
      <c r="S7162" t="s">
        <v>23311</v>
      </c>
      <c r="T7162" s="6">
        <v>32174</v>
      </c>
      <c r="U7162" s="4">
        <v>120000</v>
      </c>
      <c r="X7162" t="s">
        <v>3</v>
      </c>
      <c r="AA7162" s="5" t="str">
        <f>HYPERLINK("https://www.zillow.com/homes/4-SUN-DROP-CT-WOODRIDGE-IL-605172014_rb/","check listing")</f>
        <v>check listing</v>
      </c>
      <c r="AB7162" s="5" t="str">
        <f>HYPERLINK("https://propertylookup.dupagecounty.gov/Datalets/Datalet.aspx?UseSearch=no&amp;mode=sales&amp;pin=0824309019","sales record")</f>
        <v>sales record</v>
      </c>
      <c r="AC7162" t="s">
        <v>3</v>
      </c>
      <c r="AD7162">
        <v>41.760683</v>
      </c>
      <c r="AE7162">
        <v>-88.050658</v>
      </c>
      <c r="AF7162" s="5" t="str">
        <f>HYPERLINK("https://www.google.com/maps/search/?api=1&amp;query=41.760683,-88.050658","map")</f>
        <v>map</v>
      </c>
    </row>
    <row r="7163" spans="1:32">
      <c r="A7163" t="s">
        <v>7213</v>
      </c>
      <c r="B7163" t="s">
        <v>14665</v>
      </c>
      <c r="C7163" t="s">
        <v>15323</v>
      </c>
      <c r="D7163" t="s">
        <v>16215</v>
      </c>
      <c r="E7163" t="s">
        <v>16218</v>
      </c>
      <c r="F7163" t="s">
        <v>16220</v>
      </c>
      <c r="G7163" t="s">
        <v>16299</v>
      </c>
      <c r="H7163" t="s">
        <v>16299</v>
      </c>
      <c r="I7163" t="s">
        <v>16382</v>
      </c>
      <c r="J7163" t="s">
        <v>16385</v>
      </c>
      <c r="K7163">
        <v>0.164</v>
      </c>
      <c r="L7163">
        <v>7137</v>
      </c>
      <c r="M7163">
        <v>2242</v>
      </c>
      <c r="N7163" t="s">
        <v>16393</v>
      </c>
      <c r="O7163" s="4">
        <v>54797</v>
      </c>
      <c r="P7163" s="4">
        <v>63049</v>
      </c>
      <c r="Q7163" s="4">
        <v>117846</v>
      </c>
      <c r="R7163" s="4">
        <v>353538</v>
      </c>
      <c r="S7163" t="s">
        <v>23312</v>
      </c>
      <c r="T7163" s="6">
        <v>38169</v>
      </c>
      <c r="U7163" s="4">
        <v>234000</v>
      </c>
      <c r="V7163" t="s">
        <v>23739</v>
      </c>
      <c r="W7163" t="s">
        <v>27641</v>
      </c>
      <c r="X7163" t="s">
        <v>3</v>
      </c>
      <c r="AA7163" s="5" t="str">
        <f>HYPERLINK("https://www.zillow.com/homes/6678-FOX-TREE-AVE-WOODRIDGE-IL-60517_rb/","check listing")</f>
        <v>check listing</v>
      </c>
      <c r="AB7163" s="5" t="str">
        <f>HYPERLINK("https://propertylookup.dupagecounty.gov/Datalets/Datalet.aspx?UseSearch=no&amp;mode=sales&amp;pin=0824109005","sales record")</f>
        <v>sales record</v>
      </c>
      <c r="AC7163" t="s">
        <v>3</v>
      </c>
      <c r="AD7163">
        <v>41.766489</v>
      </c>
      <c r="AE7163">
        <v>-88.045011</v>
      </c>
      <c r="AF7163" s="5" t="str">
        <f>HYPERLINK("https://www.google.com/maps/search/?api=1&amp;query=41.766489,-88.045011","map")</f>
        <v>map</v>
      </c>
    </row>
    <row r="7164" spans="1:32">
      <c r="A7164" t="s">
        <v>7214</v>
      </c>
      <c r="B7164" t="s">
        <v>14666</v>
      </c>
      <c r="C7164" t="s">
        <v>15323</v>
      </c>
      <c r="D7164" t="s">
        <v>16215</v>
      </c>
      <c r="E7164" t="s">
        <v>16218</v>
      </c>
      <c r="F7164" t="s">
        <v>16220</v>
      </c>
      <c r="G7164" t="s">
        <v>16299</v>
      </c>
      <c r="H7164" t="s">
        <v>16299</v>
      </c>
      <c r="I7164" t="s">
        <v>16382</v>
      </c>
      <c r="J7164" t="s">
        <v>16385</v>
      </c>
      <c r="K7164">
        <v>0.164</v>
      </c>
      <c r="L7164">
        <v>7135</v>
      </c>
      <c r="M7164">
        <v>1158</v>
      </c>
      <c r="N7164" t="s">
        <v>16393</v>
      </c>
      <c r="O7164" s="4">
        <v>54797</v>
      </c>
      <c r="P7164" s="4">
        <v>66463</v>
      </c>
      <c r="Q7164" s="4">
        <v>121260</v>
      </c>
      <c r="R7164" s="4">
        <v>363780</v>
      </c>
      <c r="S7164" t="s">
        <v>23313</v>
      </c>
      <c r="T7164" s="6">
        <v>44013</v>
      </c>
      <c r="U7164" s="4">
        <v>277000</v>
      </c>
      <c r="V7164" t="s">
        <v>23739</v>
      </c>
      <c r="W7164" t="s">
        <v>23313</v>
      </c>
      <c r="X7164" t="s">
        <v>3</v>
      </c>
      <c r="AA7164" s="5" t="str">
        <f>HYPERLINK("https://www.zillow.com/homes/2584-YELLOW-STAR-ST-WOODRIDGE-IL-60517_rb/","check listing")</f>
        <v>check listing</v>
      </c>
      <c r="AB7164" s="5" t="str">
        <f>HYPERLINK("https://propertylookup.dupagecounty.gov/Datalets/Datalet.aspx?UseSearch=no&amp;mode=sales&amp;pin=0824303035","sales record")</f>
        <v>sales record</v>
      </c>
      <c r="AC7164" t="s">
        <v>3</v>
      </c>
      <c r="AD7164">
        <v>41.762886</v>
      </c>
      <c r="AE7164">
        <v>-88.048692</v>
      </c>
      <c r="AF7164" s="5" t="str">
        <f>HYPERLINK("https://www.google.com/maps/search/?api=1&amp;query=41.762886,-88.048692","map")</f>
        <v>map</v>
      </c>
    </row>
    <row r="7165" spans="1:32">
      <c r="A7165" t="s">
        <v>7215</v>
      </c>
      <c r="B7165" t="s">
        <v>14667</v>
      </c>
      <c r="C7165" t="s">
        <v>15323</v>
      </c>
      <c r="D7165" t="s">
        <v>16215</v>
      </c>
      <c r="E7165" t="s">
        <v>16218</v>
      </c>
      <c r="F7165" t="s">
        <v>16220</v>
      </c>
      <c r="G7165" t="s">
        <v>16299</v>
      </c>
      <c r="H7165" t="s">
        <v>16299</v>
      </c>
      <c r="I7165" t="s">
        <v>16382</v>
      </c>
      <c r="J7165" t="s">
        <v>16385</v>
      </c>
      <c r="K7165">
        <v>0.164</v>
      </c>
      <c r="L7165">
        <v>7130</v>
      </c>
      <c r="M7165">
        <v>1905</v>
      </c>
      <c r="N7165" t="s">
        <v>16393</v>
      </c>
      <c r="O7165" s="4">
        <v>49124</v>
      </c>
      <c r="P7165" s="4">
        <v>71421</v>
      </c>
      <c r="Q7165" s="4">
        <v>120545</v>
      </c>
      <c r="R7165" s="4">
        <v>361635</v>
      </c>
      <c r="S7165" t="s">
        <v>23314</v>
      </c>
      <c r="T7165" s="6">
        <v>41944</v>
      </c>
      <c r="U7165" s="4">
        <v>196000</v>
      </c>
      <c r="V7165" t="s">
        <v>23739</v>
      </c>
      <c r="W7165" t="s">
        <v>23314</v>
      </c>
      <c r="X7165" t="s">
        <v>3</v>
      </c>
      <c r="AA7165" s="5" t="str">
        <f>HYPERLINK("https://www.zillow.com/homes/15-LORRAINE-AVE-WOODRIDGE-IL-60517_rb/","check listing")</f>
        <v>check listing</v>
      </c>
      <c r="AB7165" s="5" t="str">
        <f>HYPERLINK("https://propertylookup.dupagecounty.gov/Datalets/Datalet.aspx?UseSearch=no&amp;mode=sales&amp;pin=0824212005","sales record")</f>
        <v>sales record</v>
      </c>
      <c r="AC7165" t="s">
        <v>3</v>
      </c>
      <c r="AD7165">
        <v>41.765439</v>
      </c>
      <c r="AE7165">
        <v>-88.040477</v>
      </c>
      <c r="AF7165" s="5" t="str">
        <f>HYPERLINK("https://www.google.com/maps/search/?api=1&amp;query=41.765439,-88.040477","map")</f>
        <v>map</v>
      </c>
    </row>
    <row r="7166" spans="1:32">
      <c r="A7166" t="s">
        <v>7216</v>
      </c>
      <c r="B7166" t="s">
        <v>14668</v>
      </c>
      <c r="C7166" t="s">
        <v>15323</v>
      </c>
      <c r="D7166" t="s">
        <v>16215</v>
      </c>
      <c r="E7166" t="s">
        <v>16218</v>
      </c>
      <c r="F7166" t="s">
        <v>16220</v>
      </c>
      <c r="G7166" t="s">
        <v>16299</v>
      </c>
      <c r="H7166" t="s">
        <v>16299</v>
      </c>
      <c r="I7166" t="s">
        <v>16382</v>
      </c>
      <c r="J7166" t="s">
        <v>16385</v>
      </c>
      <c r="K7166">
        <v>0.164</v>
      </c>
      <c r="L7166">
        <v>7129</v>
      </c>
      <c r="M7166">
        <v>2218</v>
      </c>
      <c r="N7166" t="s">
        <v>16393</v>
      </c>
      <c r="O7166" s="4">
        <v>54797</v>
      </c>
      <c r="P7166" s="4">
        <v>63049</v>
      </c>
      <c r="Q7166" s="4">
        <v>117846</v>
      </c>
      <c r="R7166" s="4">
        <v>353538</v>
      </c>
      <c r="S7166" t="s">
        <v>23315</v>
      </c>
      <c r="T7166" s="6">
        <v>30682</v>
      </c>
      <c r="U7166" s="4">
        <v>77000</v>
      </c>
      <c r="X7166" t="s">
        <v>3</v>
      </c>
      <c r="AA7166" s="5" t="str">
        <f>HYPERLINK("https://www.zillow.com/homes/2024-CROWN-POINT-ST-WOODRIDGE-IL-60517_rb/","check listing")</f>
        <v>check listing</v>
      </c>
      <c r="AB7166" s="5" t="str">
        <f>HYPERLINK("https://propertylookup.dupagecounty.gov/Datalets/Datalet.aspx?UseSearch=no&amp;mode=sales&amp;pin=0824415015","sales record")</f>
        <v>sales record</v>
      </c>
      <c r="AC7166" t="s">
        <v>3</v>
      </c>
      <c r="AD7166">
        <v>41.762926</v>
      </c>
      <c r="AE7166">
        <v>-88.032923</v>
      </c>
      <c r="AF7166" s="5" t="str">
        <f>HYPERLINK("https://www.google.com/maps/search/?api=1&amp;query=41.762926,-88.032923","map")</f>
        <v>map</v>
      </c>
    </row>
    <row r="7167" spans="1:32">
      <c r="A7167" t="s">
        <v>7217</v>
      </c>
      <c r="B7167" t="s">
        <v>14669</v>
      </c>
      <c r="C7167" t="s">
        <v>16158</v>
      </c>
      <c r="D7167" t="s">
        <v>16215</v>
      </c>
      <c r="E7167" t="s">
        <v>16218</v>
      </c>
      <c r="F7167" t="s">
        <v>16220</v>
      </c>
      <c r="G7167" t="s">
        <v>16299</v>
      </c>
      <c r="H7167" t="s">
        <v>16299</v>
      </c>
      <c r="I7167" t="s">
        <v>16382</v>
      </c>
      <c r="J7167" t="s">
        <v>16385</v>
      </c>
      <c r="K7167">
        <v>0.163</v>
      </c>
      <c r="L7167">
        <v>7121</v>
      </c>
      <c r="M7167">
        <v>1533</v>
      </c>
      <c r="N7167" t="s">
        <v>16393</v>
      </c>
      <c r="O7167" s="4">
        <v>54797</v>
      </c>
      <c r="P7167" s="4">
        <v>71052</v>
      </c>
      <c r="Q7167" s="4">
        <v>125849</v>
      </c>
      <c r="R7167" s="4">
        <v>377547</v>
      </c>
      <c r="S7167" t="s">
        <v>23316</v>
      </c>
      <c r="T7167" s="6">
        <v>44228</v>
      </c>
      <c r="U7167" s="4">
        <v>281000</v>
      </c>
      <c r="V7167" t="s">
        <v>23739</v>
      </c>
      <c r="W7167" t="s">
        <v>27642</v>
      </c>
      <c r="X7167" t="s">
        <v>3</v>
      </c>
      <c r="AA7167" s="5" t="str">
        <f>HYPERLINK("https://www.zillow.com/homes/2425-PHEASANT-ST-WOODRIDGE-IL-605171744_rb/","check listing")</f>
        <v>check listing</v>
      </c>
      <c r="AB7167" s="5" t="str">
        <f>HYPERLINK("https://propertylookup.dupagecounty.gov/Datalets/Datalet.aspx?UseSearch=no&amp;mode=sales&amp;pin=0824318001","sales record")</f>
        <v>sales record</v>
      </c>
      <c r="AC7167" t="s">
        <v>3</v>
      </c>
      <c r="AD7167">
        <v>41.764409</v>
      </c>
      <c r="AE7167">
        <v>-88.042074</v>
      </c>
      <c r="AF7167" s="5" t="str">
        <f>HYPERLINK("https://www.google.com/maps/search/?api=1&amp;query=41.764409,-88.042074","map")</f>
        <v>map</v>
      </c>
    </row>
    <row r="7168" spans="1:32">
      <c r="A7168" t="s">
        <v>7218</v>
      </c>
      <c r="B7168" t="s">
        <v>14670</v>
      </c>
      <c r="C7168" t="s">
        <v>16159</v>
      </c>
      <c r="D7168" t="s">
        <v>16215</v>
      </c>
      <c r="E7168" t="s">
        <v>16218</v>
      </c>
      <c r="F7168" t="s">
        <v>16220</v>
      </c>
      <c r="G7168" t="s">
        <v>16299</v>
      </c>
      <c r="H7168" t="s">
        <v>16299</v>
      </c>
      <c r="I7168" t="s">
        <v>16382</v>
      </c>
      <c r="J7168" t="s">
        <v>16385</v>
      </c>
      <c r="K7168">
        <v>0.163</v>
      </c>
      <c r="L7168">
        <v>7115</v>
      </c>
      <c r="M7168">
        <v>1823</v>
      </c>
      <c r="N7168" t="s">
        <v>16393</v>
      </c>
      <c r="O7168" s="4">
        <v>54797</v>
      </c>
      <c r="P7168" s="4">
        <v>73228</v>
      </c>
      <c r="Q7168" s="4">
        <v>128025</v>
      </c>
      <c r="R7168" s="4">
        <v>384075</v>
      </c>
      <c r="S7168" t="s">
        <v>23317</v>
      </c>
      <c r="T7168" s="6">
        <v>43160</v>
      </c>
      <c r="U7168" s="4">
        <v>315000</v>
      </c>
      <c r="V7168" t="s">
        <v>23739</v>
      </c>
      <c r="W7168" t="s">
        <v>27643</v>
      </c>
      <c r="X7168" t="s">
        <v>3</v>
      </c>
      <c r="AA7168" s="5" t="str">
        <f>HYPERLINK("https://www.zillow.com/homes/6613-FOXTREE-AVE-WOODRIDGE-IL-605171730_rb/","check listing")</f>
        <v>check listing</v>
      </c>
      <c r="AB7168" s="5" t="str">
        <f>HYPERLINK("https://propertylookup.dupagecounty.gov/Datalets/Datalet.aspx?UseSearch=no&amp;mode=sales&amp;pin=0824111025","sales record")</f>
        <v>sales record</v>
      </c>
      <c r="AC7168" t="s">
        <v>3</v>
      </c>
      <c r="AD7168">
        <v>41.765829</v>
      </c>
      <c r="AE7168">
        <v>-88.04127699999999</v>
      </c>
      <c r="AF7168" s="5" t="str">
        <f>HYPERLINK("https://www.google.com/maps/search/?api=1&amp;query=41.765829,-88.041277","map")</f>
        <v>map</v>
      </c>
    </row>
    <row r="7169" spans="1:32">
      <c r="A7169" t="s">
        <v>7219</v>
      </c>
      <c r="B7169" t="s">
        <v>14671</v>
      </c>
      <c r="C7169" t="s">
        <v>16160</v>
      </c>
      <c r="D7169" t="s">
        <v>16215</v>
      </c>
      <c r="E7169" t="s">
        <v>16218</v>
      </c>
      <c r="F7169" t="s">
        <v>16220</v>
      </c>
      <c r="G7169" t="s">
        <v>16299</v>
      </c>
      <c r="H7169" t="s">
        <v>16299</v>
      </c>
      <c r="I7169" t="s">
        <v>16382</v>
      </c>
      <c r="J7169" t="s">
        <v>16385</v>
      </c>
      <c r="K7169">
        <v>0.163</v>
      </c>
      <c r="L7169">
        <v>7098</v>
      </c>
      <c r="M7169">
        <v>2121</v>
      </c>
      <c r="N7169" t="s">
        <v>16393</v>
      </c>
      <c r="O7169" s="4">
        <v>52739</v>
      </c>
      <c r="P7169" s="4">
        <v>65059</v>
      </c>
      <c r="Q7169" s="4">
        <v>117798</v>
      </c>
      <c r="R7169" s="4">
        <v>353394</v>
      </c>
      <c r="S7169" t="s">
        <v>23318</v>
      </c>
      <c r="T7169" s="6">
        <v>44993</v>
      </c>
      <c r="U7169" s="4">
        <v>335000</v>
      </c>
      <c r="V7169" t="s">
        <v>23739</v>
      </c>
      <c r="W7169" t="s">
        <v>27644</v>
      </c>
      <c r="X7169" t="s">
        <v>3</v>
      </c>
      <c r="AA7169" s="5" t="str">
        <f>HYPERLINK("https://www.zillow.com/homes/2633-LUZERN-CT-WOODRIDGE-IL-605174522_rb/","check listing")</f>
        <v>check listing</v>
      </c>
      <c r="AB7169" s="5" t="str">
        <f>HYPERLINK("https://propertylookup.dupagecounty.gov/Datalets/Datalet.aspx?UseSearch=no&amp;mode=sales&amp;pin=0836103022","sales record")</f>
        <v>sales record</v>
      </c>
      <c r="AC7169" t="s">
        <v>3</v>
      </c>
      <c r="AD7169">
        <v>41.736364</v>
      </c>
      <c r="AE7169">
        <v>-88.045625</v>
      </c>
      <c r="AF7169" s="5" t="str">
        <f>HYPERLINK("https://www.google.com/maps/search/?api=1&amp;query=41.736364,-88.045625","map")</f>
        <v>map</v>
      </c>
    </row>
    <row r="7170" spans="1:32">
      <c r="A7170" t="s">
        <v>7220</v>
      </c>
      <c r="B7170" t="s">
        <v>14672</v>
      </c>
      <c r="C7170" t="s">
        <v>15323</v>
      </c>
      <c r="D7170" t="s">
        <v>16215</v>
      </c>
      <c r="E7170" t="s">
        <v>16218</v>
      </c>
      <c r="F7170" t="s">
        <v>16220</v>
      </c>
      <c r="G7170" t="s">
        <v>16299</v>
      </c>
      <c r="H7170" t="s">
        <v>16299</v>
      </c>
      <c r="I7170" t="s">
        <v>16382</v>
      </c>
      <c r="J7170" t="s">
        <v>16385</v>
      </c>
      <c r="K7170">
        <v>0.163</v>
      </c>
      <c r="L7170">
        <v>7097</v>
      </c>
      <c r="M7170">
        <v>1550</v>
      </c>
      <c r="N7170" t="s">
        <v>16393</v>
      </c>
      <c r="O7170" s="4">
        <v>54797</v>
      </c>
      <c r="P7170" s="4">
        <v>69745</v>
      </c>
      <c r="Q7170" s="4">
        <v>124542</v>
      </c>
      <c r="R7170" s="4">
        <v>373626</v>
      </c>
      <c r="S7170" t="s">
        <v>23319</v>
      </c>
      <c r="T7170" s="6">
        <v>40787</v>
      </c>
      <c r="U7170" s="4">
        <v>144900</v>
      </c>
      <c r="V7170" t="s">
        <v>16232</v>
      </c>
      <c r="W7170" t="s">
        <v>23319</v>
      </c>
      <c r="X7170" t="s">
        <v>3</v>
      </c>
      <c r="AA7170" s="5" t="str">
        <f>HYPERLINK("https://www.zillow.com/homes/6920-RED-BUD-LN-WOODRIDGE-IL-60517_rb/","check listing")</f>
        <v>check listing</v>
      </c>
      <c r="AB7170" s="5" t="str">
        <f>HYPERLINK("https://propertylookup.dupagecounty.gov/Datalets/Datalet.aspx?UseSearch=no&amp;mode=sales&amp;pin=0824305003","sales record")</f>
        <v>sales record</v>
      </c>
      <c r="AC7170" t="s">
        <v>3</v>
      </c>
      <c r="AD7170">
        <v>41.761287</v>
      </c>
      <c r="AE7170">
        <v>-88.047949</v>
      </c>
      <c r="AF7170" s="5" t="str">
        <f>HYPERLINK("https://www.google.com/maps/search/?api=1&amp;query=41.761287,-88.047949","map")</f>
        <v>map</v>
      </c>
    </row>
    <row r="7171" spans="1:32">
      <c r="A7171" t="s">
        <v>7221</v>
      </c>
      <c r="B7171" t="s">
        <v>14673</v>
      </c>
      <c r="C7171" t="s">
        <v>15323</v>
      </c>
      <c r="D7171" t="s">
        <v>16215</v>
      </c>
      <c r="E7171" t="s">
        <v>16218</v>
      </c>
      <c r="F7171" t="s">
        <v>16220</v>
      </c>
      <c r="G7171" t="s">
        <v>16299</v>
      </c>
      <c r="H7171" t="s">
        <v>16299</v>
      </c>
      <c r="I7171" t="s">
        <v>16382</v>
      </c>
      <c r="J7171" t="s">
        <v>16385</v>
      </c>
      <c r="K7171">
        <v>0.163</v>
      </c>
      <c r="L7171">
        <v>7094</v>
      </c>
      <c r="M7171">
        <v>1374</v>
      </c>
      <c r="N7171" t="s">
        <v>16393</v>
      </c>
      <c r="O7171" s="4">
        <v>54797</v>
      </c>
      <c r="P7171" s="4">
        <v>65962</v>
      </c>
      <c r="Q7171" s="4">
        <v>120759</v>
      </c>
      <c r="R7171" s="4">
        <v>362277</v>
      </c>
      <c r="S7171" t="s">
        <v>23320</v>
      </c>
      <c r="T7171" s="6">
        <v>35612</v>
      </c>
      <c r="U7171" s="4">
        <v>151500</v>
      </c>
      <c r="X7171" t="s">
        <v>3</v>
      </c>
      <c r="AA7171" s="5" t="str">
        <f>HYPERLINK("https://www.zillow.com/homes/2595-YELLOW-STAR-ST-WOODRIDGE-IL-60517_rb/","check listing")</f>
        <v>check listing</v>
      </c>
      <c r="AB7171" s="5" t="str">
        <f>HYPERLINK("https://propertylookup.dupagecounty.gov/Datalets/Datalet.aspx?UseSearch=no&amp;mode=sales&amp;pin=0824315018","sales record")</f>
        <v>sales record</v>
      </c>
      <c r="AC7171" t="s">
        <v>3</v>
      </c>
      <c r="AD7171">
        <v>41.763013</v>
      </c>
      <c r="AE7171">
        <v>-88.047567</v>
      </c>
      <c r="AF7171" s="5" t="str">
        <f>HYPERLINK("https://www.google.com/maps/search/?api=1&amp;query=41.763013,-88.047567","map")</f>
        <v>map</v>
      </c>
    </row>
    <row r="7172" spans="1:32">
      <c r="A7172" t="s">
        <v>7222</v>
      </c>
      <c r="B7172" t="s">
        <v>14674</v>
      </c>
      <c r="C7172" t="s">
        <v>16141</v>
      </c>
      <c r="D7172" t="s">
        <v>16215</v>
      </c>
      <c r="E7172" t="s">
        <v>16218</v>
      </c>
      <c r="F7172" t="s">
        <v>16220</v>
      </c>
      <c r="G7172" t="s">
        <v>16299</v>
      </c>
      <c r="H7172" t="s">
        <v>16299</v>
      </c>
      <c r="I7172" t="s">
        <v>16382</v>
      </c>
      <c r="J7172" t="s">
        <v>16385</v>
      </c>
      <c r="K7172">
        <v>0.163</v>
      </c>
      <c r="L7172">
        <v>7092</v>
      </c>
      <c r="M7172">
        <v>1161</v>
      </c>
      <c r="N7172" t="s">
        <v>16393</v>
      </c>
      <c r="O7172" s="4">
        <v>51241</v>
      </c>
      <c r="P7172" s="4">
        <v>74025</v>
      </c>
      <c r="Q7172" s="4">
        <v>125266</v>
      </c>
      <c r="R7172" s="4">
        <v>375798</v>
      </c>
      <c r="S7172" t="s">
        <v>23321</v>
      </c>
      <c r="T7172" s="6">
        <v>44256</v>
      </c>
      <c r="U7172" s="4">
        <v>319500</v>
      </c>
      <c r="V7172" t="s">
        <v>23739</v>
      </c>
      <c r="W7172" t="s">
        <v>27645</v>
      </c>
      <c r="X7172" t="s">
        <v>3</v>
      </c>
      <c r="AA7172" s="5" t="str">
        <f>HYPERLINK("https://www.zillow.com/homes/6800-HARVEST-AVE-WOODRIDGE-IL-605171828_rb/","check listing")</f>
        <v>check listing</v>
      </c>
      <c r="AB7172" s="5" t="str">
        <f>HYPERLINK("https://propertylookup.dupagecounty.gov/Datalets/Datalet.aspx?UseSearch=no&amp;mode=sales&amp;pin=0824414010","sales record")</f>
        <v>sales record</v>
      </c>
      <c r="AC7172" t="s">
        <v>3</v>
      </c>
      <c r="AD7172">
        <v>41.762934</v>
      </c>
      <c r="AE7172">
        <v>-88.033974</v>
      </c>
      <c r="AF7172" s="5" t="str">
        <f>HYPERLINK("https://www.google.com/maps/search/?api=1&amp;query=41.762934,-88.033974","map")</f>
        <v>map</v>
      </c>
    </row>
    <row r="7173" spans="1:32">
      <c r="A7173" t="s">
        <v>7223</v>
      </c>
      <c r="B7173" t="s">
        <v>14675</v>
      </c>
      <c r="C7173" t="s">
        <v>16129</v>
      </c>
      <c r="D7173" t="s">
        <v>16215</v>
      </c>
      <c r="E7173" t="s">
        <v>16218</v>
      </c>
      <c r="F7173" t="s">
        <v>16220</v>
      </c>
      <c r="G7173" t="s">
        <v>16299</v>
      </c>
      <c r="H7173" t="s">
        <v>16299</v>
      </c>
      <c r="I7173" t="s">
        <v>16382</v>
      </c>
      <c r="J7173" t="s">
        <v>16385</v>
      </c>
      <c r="K7173">
        <v>0.162</v>
      </c>
      <c r="L7173">
        <v>7077</v>
      </c>
      <c r="M7173">
        <v>1863</v>
      </c>
      <c r="N7173" t="s">
        <v>16393</v>
      </c>
      <c r="O7173" s="4">
        <v>54797</v>
      </c>
      <c r="P7173" s="4">
        <v>81422</v>
      </c>
      <c r="Q7173" s="4">
        <v>136219</v>
      </c>
      <c r="R7173" s="4">
        <v>408657</v>
      </c>
      <c r="S7173" t="s">
        <v>23322</v>
      </c>
      <c r="T7173" s="6">
        <v>44409</v>
      </c>
      <c r="U7173" s="4">
        <v>334000</v>
      </c>
      <c r="V7173" t="s">
        <v>23739</v>
      </c>
      <c r="W7173" t="s">
        <v>27646</v>
      </c>
      <c r="X7173" t="s">
        <v>3</v>
      </c>
      <c r="AA7173" s="5" t="str">
        <f>HYPERLINK("https://www.zillow.com/homes/6648-WHEATFIELD-ST-WOODRIDGE-IL-605171714_rb/","check listing")</f>
        <v>check listing</v>
      </c>
      <c r="AB7173" s="5" t="str">
        <f>HYPERLINK("https://propertylookup.dupagecounty.gov/Datalets/Datalet.aspx?UseSearch=no&amp;mode=sales&amp;pin=0824110017","sales record")</f>
        <v>sales record</v>
      </c>
      <c r="AC7173" t="s">
        <v>3</v>
      </c>
      <c r="AD7173">
        <v>41.765672</v>
      </c>
      <c r="AE7173">
        <v>-88.043305</v>
      </c>
      <c r="AF7173" s="5" t="str">
        <f>HYPERLINK("https://www.google.com/maps/search/?api=1&amp;query=41.765672,-88.043305","map")</f>
        <v>map</v>
      </c>
    </row>
    <row r="7174" spans="1:32">
      <c r="A7174" t="s">
        <v>7224</v>
      </c>
      <c r="B7174" t="s">
        <v>14676</v>
      </c>
      <c r="C7174" t="s">
        <v>16161</v>
      </c>
      <c r="D7174" t="s">
        <v>16215</v>
      </c>
      <c r="E7174" t="s">
        <v>16218</v>
      </c>
      <c r="F7174" t="s">
        <v>16220</v>
      </c>
      <c r="G7174" t="s">
        <v>16299</v>
      </c>
      <c r="H7174" t="s">
        <v>16299</v>
      </c>
      <c r="I7174" t="s">
        <v>16382</v>
      </c>
      <c r="J7174" t="s">
        <v>16385</v>
      </c>
      <c r="K7174">
        <v>0.162</v>
      </c>
      <c r="L7174">
        <v>7066</v>
      </c>
      <c r="M7174">
        <v>1482</v>
      </c>
      <c r="N7174" t="s">
        <v>16393</v>
      </c>
      <c r="O7174" s="4">
        <v>54797</v>
      </c>
      <c r="P7174" s="4">
        <v>65333</v>
      </c>
      <c r="Q7174" s="4">
        <v>120130</v>
      </c>
      <c r="R7174" s="4">
        <v>360390</v>
      </c>
      <c r="S7174" t="s">
        <v>23323</v>
      </c>
      <c r="T7174" s="6">
        <v>42552</v>
      </c>
      <c r="U7174" s="4">
        <v>235000</v>
      </c>
      <c r="V7174" t="s">
        <v>23739</v>
      </c>
      <c r="W7174" t="s">
        <v>27647</v>
      </c>
      <c r="X7174" t="s">
        <v>3</v>
      </c>
      <c r="AA7174" s="5" t="str">
        <f>HYPERLINK("https://www.zillow.com/homes/11-ORIOLE-CT-WOODRIDGE-IL-605171851_rb/","check listing")</f>
        <v>check listing</v>
      </c>
      <c r="AB7174" s="5" t="str">
        <f>HYPERLINK("https://propertylookup.dupagecounty.gov/Datalets/Datalet.aspx?UseSearch=no&amp;mode=sales&amp;pin=0824319038","sales record")</f>
        <v>sales record</v>
      </c>
      <c r="AC7174" t="s">
        <v>3</v>
      </c>
      <c r="AD7174">
        <v>41.762322</v>
      </c>
      <c r="AE7174">
        <v>-88.041253</v>
      </c>
      <c r="AF7174" s="5" t="str">
        <f>HYPERLINK("https://www.google.com/maps/search/?api=1&amp;query=41.762322,-88.041253","map")</f>
        <v>map</v>
      </c>
    </row>
    <row r="7175" spans="1:32">
      <c r="A7175" t="s">
        <v>7225</v>
      </c>
      <c r="B7175" t="s">
        <v>14677</v>
      </c>
      <c r="C7175" t="s">
        <v>16134</v>
      </c>
      <c r="D7175" t="s">
        <v>16215</v>
      </c>
      <c r="E7175" t="s">
        <v>16218</v>
      </c>
      <c r="F7175" t="s">
        <v>16220</v>
      </c>
      <c r="G7175" t="s">
        <v>16299</v>
      </c>
      <c r="H7175" t="s">
        <v>16299</v>
      </c>
      <c r="I7175" t="s">
        <v>16382</v>
      </c>
      <c r="J7175" t="s">
        <v>16385</v>
      </c>
      <c r="K7175">
        <v>0.162</v>
      </c>
      <c r="L7175">
        <v>7063</v>
      </c>
      <c r="M7175">
        <v>1978</v>
      </c>
      <c r="N7175" t="s">
        <v>16393</v>
      </c>
      <c r="O7175" s="4">
        <v>54797</v>
      </c>
      <c r="P7175" s="4">
        <v>65678</v>
      </c>
      <c r="Q7175" s="4">
        <v>120475</v>
      </c>
      <c r="R7175" s="4">
        <v>361425</v>
      </c>
      <c r="S7175" t="s">
        <v>23324</v>
      </c>
      <c r="T7175" s="6">
        <v>29618</v>
      </c>
      <c r="U7175" s="4">
        <v>75000</v>
      </c>
      <c r="X7175" t="s">
        <v>3</v>
      </c>
      <c r="AA7175" s="5" t="str">
        <f>HYPERLINK("https://www.zillow.com/homes/3-CARDINAL-CT-WOODRIDGE-IL-605171734_rb/","check listing")</f>
        <v>check listing</v>
      </c>
      <c r="AB7175" s="5" t="str">
        <f>HYPERLINK("https://propertylookup.dupagecounty.gov/Datalets/Datalet.aspx?UseSearch=no&amp;mode=sales&amp;pin=0824317018","sales record")</f>
        <v>sales record</v>
      </c>
      <c r="AC7175" t="s">
        <v>3</v>
      </c>
      <c r="AD7175">
        <v>41.764125</v>
      </c>
      <c r="AE7175">
        <v>-88.043111</v>
      </c>
      <c r="AF7175" s="5" t="str">
        <f>HYPERLINK("https://www.google.com/maps/search/?api=1&amp;query=41.764125,-88.043111","map")</f>
        <v>map</v>
      </c>
    </row>
    <row r="7176" spans="1:32">
      <c r="A7176" t="s">
        <v>7226</v>
      </c>
      <c r="B7176" t="s">
        <v>14678</v>
      </c>
      <c r="C7176" t="s">
        <v>15323</v>
      </c>
      <c r="D7176" t="s">
        <v>16215</v>
      </c>
      <c r="E7176" t="s">
        <v>16218</v>
      </c>
      <c r="F7176" t="s">
        <v>16220</v>
      </c>
      <c r="G7176" t="s">
        <v>16299</v>
      </c>
      <c r="H7176" t="s">
        <v>16299</v>
      </c>
      <c r="I7176" t="s">
        <v>16382</v>
      </c>
      <c r="J7176" t="s">
        <v>16385</v>
      </c>
      <c r="K7176">
        <v>0.162</v>
      </c>
      <c r="L7176">
        <v>7060</v>
      </c>
      <c r="M7176">
        <v>1623</v>
      </c>
      <c r="N7176" t="s">
        <v>16393</v>
      </c>
      <c r="O7176" s="4">
        <v>54797</v>
      </c>
      <c r="P7176" s="4">
        <v>79590</v>
      </c>
      <c r="Q7176" s="4">
        <v>134387</v>
      </c>
      <c r="R7176" s="4">
        <v>403161</v>
      </c>
      <c r="S7176" t="s">
        <v>23325</v>
      </c>
      <c r="T7176" s="6">
        <v>33359</v>
      </c>
      <c r="U7176" s="4">
        <v>135700</v>
      </c>
      <c r="X7176" t="s">
        <v>3</v>
      </c>
      <c r="AA7176" s="5" t="str">
        <f>HYPERLINK("https://www.zillow.com/homes/6950-RED-BUD-LN-WOODRIDGE-IL-60517_rb/","check listing")</f>
        <v>check listing</v>
      </c>
      <c r="AB7176" s="5" t="str">
        <f>HYPERLINK("https://propertylookup.dupagecounty.gov/Datalets/Datalet.aspx?UseSearch=no&amp;mode=sales&amp;pin=0824305006","sales record")</f>
        <v>sales record</v>
      </c>
      <c r="AC7176" t="s">
        <v>3</v>
      </c>
      <c r="AD7176">
        <v>41.760699</v>
      </c>
      <c r="AE7176">
        <v>-88.048266</v>
      </c>
      <c r="AF7176" s="5" t="str">
        <f>HYPERLINK("https://www.google.com/maps/search/?api=1&amp;query=41.760699,-88.048266","map")</f>
        <v>map</v>
      </c>
    </row>
    <row r="7177" spans="1:32">
      <c r="A7177" t="s">
        <v>7227</v>
      </c>
      <c r="B7177" t="s">
        <v>14679</v>
      </c>
      <c r="C7177" t="s">
        <v>15323</v>
      </c>
      <c r="D7177" t="s">
        <v>16215</v>
      </c>
      <c r="E7177" t="s">
        <v>16218</v>
      </c>
      <c r="F7177" t="s">
        <v>16220</v>
      </c>
      <c r="G7177" t="s">
        <v>16299</v>
      </c>
      <c r="H7177" t="s">
        <v>16299</v>
      </c>
      <c r="I7177" t="s">
        <v>16382</v>
      </c>
      <c r="J7177" t="s">
        <v>16385</v>
      </c>
      <c r="K7177">
        <v>0.162</v>
      </c>
      <c r="L7177">
        <v>7056</v>
      </c>
      <c r="M7177">
        <v>2202</v>
      </c>
      <c r="N7177" t="s">
        <v>16393</v>
      </c>
      <c r="O7177" s="4">
        <v>54797</v>
      </c>
      <c r="P7177" s="4">
        <v>61301</v>
      </c>
      <c r="Q7177" s="4">
        <v>116098</v>
      </c>
      <c r="R7177" s="4">
        <v>348294</v>
      </c>
      <c r="S7177" t="s">
        <v>23326</v>
      </c>
      <c r="T7177" s="6">
        <v>35947</v>
      </c>
      <c r="U7177" s="4">
        <v>139000</v>
      </c>
      <c r="X7177" t="s">
        <v>3</v>
      </c>
      <c r="AA7177" s="5" t="str">
        <f>HYPERLINK("https://www.zillow.com/homes/6801-HARVEST-AVE-WOODRIDGE-IL-60517_rb/","check listing")</f>
        <v>check listing</v>
      </c>
      <c r="AB7177" s="5" t="str">
        <f>HYPERLINK("https://propertylookup.dupagecounty.gov/Datalets/Datalet.aspx?UseSearch=no&amp;mode=sales&amp;pin=0824415013","sales record")</f>
        <v>sales record</v>
      </c>
      <c r="AC7177" t="s">
        <v>3</v>
      </c>
      <c r="AD7177">
        <v>41.76312</v>
      </c>
      <c r="AE7177">
        <v>-88.033297</v>
      </c>
      <c r="AF7177" s="5" t="str">
        <f>HYPERLINK("https://www.google.com/maps/search/?api=1&amp;query=41.76312,-88.033297","map")</f>
        <v>map</v>
      </c>
    </row>
    <row r="7178" spans="1:32">
      <c r="A7178" t="s">
        <v>7228</v>
      </c>
      <c r="B7178" t="s">
        <v>14680</v>
      </c>
      <c r="C7178" t="s">
        <v>15323</v>
      </c>
      <c r="D7178" t="s">
        <v>16215</v>
      </c>
      <c r="E7178" t="s">
        <v>16218</v>
      </c>
      <c r="F7178" t="s">
        <v>16220</v>
      </c>
      <c r="G7178" t="s">
        <v>16299</v>
      </c>
      <c r="H7178" t="s">
        <v>16299</v>
      </c>
      <c r="I7178" t="s">
        <v>16382</v>
      </c>
      <c r="J7178" t="s">
        <v>16385</v>
      </c>
      <c r="K7178">
        <v>0.161</v>
      </c>
      <c r="L7178">
        <v>7025</v>
      </c>
      <c r="M7178">
        <v>2178</v>
      </c>
      <c r="N7178" t="s">
        <v>16393</v>
      </c>
      <c r="O7178" s="4">
        <v>49124</v>
      </c>
      <c r="P7178" s="4">
        <v>60457</v>
      </c>
      <c r="Q7178" s="4">
        <v>109581</v>
      </c>
      <c r="R7178" s="4">
        <v>328743</v>
      </c>
      <c r="S7178" t="s">
        <v>23327</v>
      </c>
      <c r="T7178" s="6">
        <v>42125</v>
      </c>
      <c r="U7178" s="4">
        <v>215000</v>
      </c>
      <c r="V7178" t="s">
        <v>23739</v>
      </c>
      <c r="W7178" t="s">
        <v>23327</v>
      </c>
      <c r="X7178" t="s">
        <v>3</v>
      </c>
      <c r="AA7178" s="5" t="str">
        <f>HYPERLINK("https://www.zillow.com/homes/6624-FOXTREE-AVE-WOODRIDGE-IL-60517_rb/","check listing")</f>
        <v>check listing</v>
      </c>
      <c r="AB7178" s="5" t="str">
        <f>HYPERLINK("https://propertylookup.dupagecounty.gov/Datalets/Datalet.aspx?UseSearch=no&amp;mode=sales&amp;pin=0824204004","sales record")</f>
        <v>sales record</v>
      </c>
      <c r="AC7178" t="s">
        <v>3</v>
      </c>
      <c r="AD7178">
        <v>41.76648</v>
      </c>
      <c r="AE7178">
        <v>-88.041252</v>
      </c>
      <c r="AF7178" s="5" t="str">
        <f>HYPERLINK("https://www.google.com/maps/search/?api=1&amp;query=41.76648,-88.041252","map")</f>
        <v>map</v>
      </c>
    </row>
    <row r="7179" spans="1:32">
      <c r="A7179" t="s">
        <v>7229</v>
      </c>
      <c r="B7179" t="s">
        <v>14681</v>
      </c>
      <c r="C7179" t="s">
        <v>15323</v>
      </c>
      <c r="D7179" t="s">
        <v>16215</v>
      </c>
      <c r="E7179" t="s">
        <v>16218</v>
      </c>
      <c r="F7179" t="s">
        <v>16220</v>
      </c>
      <c r="G7179" t="s">
        <v>16299</v>
      </c>
      <c r="H7179" t="s">
        <v>16299</v>
      </c>
      <c r="I7179" t="s">
        <v>16382</v>
      </c>
      <c r="J7179" t="s">
        <v>16385</v>
      </c>
      <c r="K7179">
        <v>0.161</v>
      </c>
      <c r="L7179">
        <v>7009</v>
      </c>
      <c r="M7179">
        <v>1667</v>
      </c>
      <c r="N7179" t="s">
        <v>16393</v>
      </c>
      <c r="O7179" s="4">
        <v>54797</v>
      </c>
      <c r="P7179" s="4">
        <v>61694</v>
      </c>
      <c r="Q7179" s="4">
        <v>116491</v>
      </c>
      <c r="R7179" s="4">
        <v>349473</v>
      </c>
      <c r="S7179" t="s">
        <v>23328</v>
      </c>
      <c r="T7179" s="6">
        <v>45044</v>
      </c>
      <c r="U7179" s="4">
        <v>308000</v>
      </c>
      <c r="V7179" t="s">
        <v>23741</v>
      </c>
      <c r="W7179" t="s">
        <v>27648</v>
      </c>
      <c r="X7179" t="s">
        <v>3</v>
      </c>
      <c r="AA7179" s="5" t="str">
        <f>HYPERLINK("https://www.zillow.com/homes/6915-RED-BUD-LN-WOODRIDGE-IL-60517_rb/","check listing")</f>
        <v>check listing</v>
      </c>
      <c r="AB7179" s="5" t="str">
        <f>HYPERLINK("https://propertylookup.dupagecounty.gov/Datalets/Datalet.aspx?UseSearch=no&amp;mode=sales&amp;pin=0824306037","sales record")</f>
        <v>sales record</v>
      </c>
      <c r="AC7179" t="s">
        <v>3</v>
      </c>
      <c r="AD7179">
        <v>41.76129</v>
      </c>
      <c r="AE7179">
        <v>-88.047229</v>
      </c>
      <c r="AF7179" s="5" t="str">
        <f>HYPERLINK("https://www.google.com/maps/search/?api=1&amp;query=41.76129,-88.047229","map")</f>
        <v>map</v>
      </c>
    </row>
    <row r="7180" spans="1:32">
      <c r="A7180" t="s">
        <v>7230</v>
      </c>
      <c r="B7180" t="s">
        <v>14682</v>
      </c>
      <c r="C7180" t="s">
        <v>16162</v>
      </c>
      <c r="D7180" t="s">
        <v>16215</v>
      </c>
      <c r="E7180" t="s">
        <v>16218</v>
      </c>
      <c r="F7180" t="s">
        <v>16220</v>
      </c>
      <c r="G7180" t="s">
        <v>16299</v>
      </c>
      <c r="H7180" t="s">
        <v>16299</v>
      </c>
      <c r="I7180" t="s">
        <v>16382</v>
      </c>
      <c r="J7180" t="s">
        <v>16385</v>
      </c>
      <c r="K7180">
        <v>0.161</v>
      </c>
      <c r="L7180">
        <v>7005</v>
      </c>
      <c r="M7180">
        <v>2559</v>
      </c>
      <c r="N7180" t="s">
        <v>16393</v>
      </c>
      <c r="O7180" s="4">
        <v>57651</v>
      </c>
      <c r="P7180" s="4">
        <v>72825</v>
      </c>
      <c r="Q7180" s="4">
        <v>130476</v>
      </c>
      <c r="R7180" s="4">
        <v>391428</v>
      </c>
      <c r="S7180" t="s">
        <v>23329</v>
      </c>
      <c r="T7180" s="6">
        <v>44501</v>
      </c>
      <c r="U7180" s="4">
        <v>253000</v>
      </c>
      <c r="V7180" t="s">
        <v>23740</v>
      </c>
      <c r="W7180" t="s">
        <v>23329</v>
      </c>
      <c r="X7180" t="s">
        <v>3</v>
      </c>
      <c r="AA7180" s="5" t="str">
        <f>HYPERLINK("https://www.zillow.com/homes/6913-SUN-DROP-AVE-WOODRIDGE-IL-605172004_rb/","check listing")</f>
        <v>check listing</v>
      </c>
      <c r="AB7180" s="5" t="str">
        <f>HYPERLINK("https://propertylookup.dupagecounty.gov/Datalets/Datalet.aspx?UseSearch=no&amp;mode=sales&amp;pin=0824309007","sales record")</f>
        <v>sales record</v>
      </c>
      <c r="AC7180" t="s">
        <v>3</v>
      </c>
      <c r="AD7180">
        <v>41.760687</v>
      </c>
      <c r="AE7180">
        <v>-88.049887</v>
      </c>
      <c r="AF7180" s="5" t="str">
        <f>HYPERLINK("https://www.google.com/maps/search/?api=1&amp;query=41.760687,-88.049887","map")</f>
        <v>map</v>
      </c>
    </row>
    <row r="7181" spans="1:32">
      <c r="A7181" t="s">
        <v>7231</v>
      </c>
      <c r="B7181" t="s">
        <v>14683</v>
      </c>
      <c r="C7181" t="s">
        <v>15323</v>
      </c>
      <c r="D7181" t="s">
        <v>16215</v>
      </c>
      <c r="E7181" t="s">
        <v>16218</v>
      </c>
      <c r="F7181" t="s">
        <v>16220</v>
      </c>
      <c r="G7181" t="s">
        <v>16299</v>
      </c>
      <c r="H7181" t="s">
        <v>16299</v>
      </c>
      <c r="I7181" t="s">
        <v>16382</v>
      </c>
      <c r="J7181" t="s">
        <v>16385</v>
      </c>
      <c r="K7181">
        <v>0.161</v>
      </c>
      <c r="L7181">
        <v>7003</v>
      </c>
      <c r="M7181">
        <v>1512</v>
      </c>
      <c r="N7181" t="s">
        <v>16393</v>
      </c>
      <c r="O7181" s="4">
        <v>54619</v>
      </c>
      <c r="P7181" s="4">
        <v>69400</v>
      </c>
      <c r="Q7181" s="4">
        <v>124019</v>
      </c>
      <c r="R7181" s="4">
        <v>372057</v>
      </c>
      <c r="S7181" t="s">
        <v>23330</v>
      </c>
      <c r="T7181" s="6">
        <v>45546</v>
      </c>
      <c r="U7181" s="4">
        <v>460000</v>
      </c>
      <c r="V7181" t="s">
        <v>23739</v>
      </c>
      <c r="W7181" t="s">
        <v>27649</v>
      </c>
      <c r="X7181" t="s">
        <v>3</v>
      </c>
      <c r="AA7181" s="5" t="str">
        <f>HYPERLINK("https://www.zillow.com/homes/2013-SUNNYDALE-ST-WOODRIDGE-IL-60517_rb/","check listing")</f>
        <v>check listing</v>
      </c>
      <c r="AB7181" s="5" t="str">
        <f>HYPERLINK("https://propertylookup.dupagecounty.gov/Datalets/Datalet.aspx?UseSearch=no&amp;mode=sales&amp;pin=0824418006","sales record")</f>
        <v>sales record</v>
      </c>
      <c r="AC7181" t="s">
        <v>3</v>
      </c>
      <c r="AD7181">
        <v>41.760264</v>
      </c>
      <c r="AE7181">
        <v>-88.03210199999999</v>
      </c>
      <c r="AF7181" s="5" t="str">
        <f>HYPERLINK("https://www.google.com/maps/search/?api=1&amp;query=41.760264,-88.032102","map")</f>
        <v>map</v>
      </c>
    </row>
    <row r="7182" spans="1:32">
      <c r="A7182" t="s">
        <v>7232</v>
      </c>
      <c r="B7182" t="s">
        <v>14684</v>
      </c>
      <c r="C7182" t="s">
        <v>15323</v>
      </c>
      <c r="D7182" t="s">
        <v>16215</v>
      </c>
      <c r="E7182" t="s">
        <v>16218</v>
      </c>
      <c r="F7182" t="s">
        <v>16220</v>
      </c>
      <c r="G7182" t="s">
        <v>16299</v>
      </c>
      <c r="H7182" t="s">
        <v>16299</v>
      </c>
      <c r="I7182" t="s">
        <v>16382</v>
      </c>
      <c r="J7182" t="s">
        <v>16385</v>
      </c>
      <c r="K7182">
        <v>0.161</v>
      </c>
      <c r="L7182">
        <v>7001</v>
      </c>
      <c r="M7182">
        <v>1939</v>
      </c>
      <c r="N7182" t="s">
        <v>16393</v>
      </c>
      <c r="O7182" s="4">
        <v>54797</v>
      </c>
      <c r="P7182" s="4">
        <v>63133</v>
      </c>
      <c r="Q7182" s="4">
        <v>117930</v>
      </c>
      <c r="R7182" s="4">
        <v>353790</v>
      </c>
      <c r="S7182" t="s">
        <v>23331</v>
      </c>
      <c r="X7182" t="s">
        <v>3</v>
      </c>
      <c r="AA7182" s="5" t="str">
        <f>HYPERLINK("https://www.zillow.com/homes/6636-WHEATFIELD-ST-WOODRIDGE-IL-60517_rb/","check listing")</f>
        <v>check listing</v>
      </c>
      <c r="AB7182" s="5" t="str">
        <f>HYPERLINK("https://propertylookup.dupagecounty.gov/Datalets/Datalet.aspx?UseSearch=no&amp;mode=sales&amp;pin=0824110014","sales record")</f>
        <v>sales record</v>
      </c>
      <c r="AC7182" t="s">
        <v>3</v>
      </c>
      <c r="AD7182">
        <v>41.766221</v>
      </c>
      <c r="AE7182">
        <v>-88.04333800000001</v>
      </c>
      <c r="AF7182" s="5" t="str">
        <f>HYPERLINK("https://www.google.com/maps/search/?api=1&amp;query=41.766221,-88.043338","map")</f>
        <v>map</v>
      </c>
    </row>
    <row r="7183" spans="1:32">
      <c r="A7183" t="s">
        <v>7233</v>
      </c>
      <c r="B7183" t="s">
        <v>14685</v>
      </c>
      <c r="C7183" t="s">
        <v>15323</v>
      </c>
      <c r="D7183" t="s">
        <v>16215</v>
      </c>
      <c r="E7183" t="s">
        <v>16218</v>
      </c>
      <c r="F7183" t="s">
        <v>16220</v>
      </c>
      <c r="G7183" t="s">
        <v>16299</v>
      </c>
      <c r="H7183" t="s">
        <v>16299</v>
      </c>
      <c r="I7183" t="s">
        <v>16382</v>
      </c>
      <c r="J7183" t="s">
        <v>16385</v>
      </c>
      <c r="K7183">
        <v>0.161</v>
      </c>
      <c r="L7183">
        <v>7000</v>
      </c>
      <c r="M7183">
        <v>1988</v>
      </c>
      <c r="N7183" t="s">
        <v>16393</v>
      </c>
      <c r="O7183" s="4">
        <v>54797</v>
      </c>
      <c r="P7183" s="4">
        <v>63965</v>
      </c>
      <c r="Q7183" s="4">
        <v>118762</v>
      </c>
      <c r="R7183" s="4">
        <v>356286</v>
      </c>
      <c r="S7183" t="s">
        <v>23332</v>
      </c>
      <c r="T7183" s="6">
        <v>31229</v>
      </c>
      <c r="U7183" s="4">
        <v>84000</v>
      </c>
      <c r="X7183" t="s">
        <v>3</v>
      </c>
      <c r="AA7183" s="5" t="str">
        <f>HYPERLINK("https://www.zillow.com/homes/6824-HARVEST-AVE-WOODRIDGE-IL-60517_rb/","check listing")</f>
        <v>check listing</v>
      </c>
      <c r="AB7183" s="5" t="str">
        <f>HYPERLINK("https://propertylookup.dupagecounty.gov/Datalets/Datalet.aspx?UseSearch=no&amp;mode=sales&amp;pin=0824414033","sales record")</f>
        <v>sales record</v>
      </c>
      <c r="AC7183" t="s">
        <v>3</v>
      </c>
      <c r="AD7183">
        <v>41.76235</v>
      </c>
      <c r="AE7183">
        <v>-88.03357200000001</v>
      </c>
      <c r="AF7183" s="5" t="str">
        <f>HYPERLINK("https://www.google.com/maps/search/?api=1&amp;query=41.76235,-88.033572","map")</f>
        <v>map</v>
      </c>
    </row>
    <row r="7184" spans="1:32">
      <c r="A7184" t="s">
        <v>7234</v>
      </c>
      <c r="B7184" t="s">
        <v>14686</v>
      </c>
      <c r="C7184" t="s">
        <v>15323</v>
      </c>
      <c r="D7184" t="s">
        <v>16215</v>
      </c>
      <c r="E7184" t="s">
        <v>16218</v>
      </c>
      <c r="F7184" t="s">
        <v>16220</v>
      </c>
      <c r="G7184" t="s">
        <v>16299</v>
      </c>
      <c r="H7184" t="s">
        <v>16299</v>
      </c>
      <c r="I7184" t="s">
        <v>16382</v>
      </c>
      <c r="J7184" t="s">
        <v>16385</v>
      </c>
      <c r="K7184">
        <v>0.161</v>
      </c>
      <c r="L7184">
        <v>6997</v>
      </c>
      <c r="M7184">
        <v>2131</v>
      </c>
      <c r="N7184" t="s">
        <v>16393</v>
      </c>
      <c r="O7184" s="4">
        <v>54797</v>
      </c>
      <c r="P7184" s="4">
        <v>63097</v>
      </c>
      <c r="Q7184" s="4">
        <v>117894</v>
      </c>
      <c r="R7184" s="4">
        <v>353682</v>
      </c>
      <c r="S7184" t="s">
        <v>23333</v>
      </c>
      <c r="T7184" s="6">
        <v>43405</v>
      </c>
      <c r="U7184" s="4">
        <v>260000</v>
      </c>
      <c r="V7184" t="s">
        <v>23739</v>
      </c>
      <c r="W7184" t="s">
        <v>27650</v>
      </c>
      <c r="X7184" t="s">
        <v>3</v>
      </c>
      <c r="AA7184" s="5" t="str">
        <f>HYPERLINK("https://www.zillow.com/homes/6661-FOXTREE-AVE-WOODRIDGE-IL-60517_rb/","check listing")</f>
        <v>check listing</v>
      </c>
      <c r="AB7184" s="5" t="str">
        <f>HYPERLINK("https://propertylookup.dupagecounty.gov/Datalets/Datalet.aspx?UseSearch=no&amp;mode=sales&amp;pin=0824110007","sales record")</f>
        <v>sales record</v>
      </c>
      <c r="AC7184" t="s">
        <v>3</v>
      </c>
      <c r="AD7184">
        <v>41.76621</v>
      </c>
      <c r="AE7184">
        <v>-88.043649</v>
      </c>
      <c r="AF7184" s="5" t="str">
        <f>HYPERLINK("https://www.google.com/maps/search/?api=1&amp;query=41.76621,-88.043649","map")</f>
        <v>map</v>
      </c>
    </row>
    <row r="7185" spans="1:32">
      <c r="A7185" t="s">
        <v>7235</v>
      </c>
      <c r="B7185" t="s">
        <v>14687</v>
      </c>
      <c r="C7185" t="s">
        <v>16142</v>
      </c>
      <c r="D7185" t="s">
        <v>16215</v>
      </c>
      <c r="E7185" t="s">
        <v>16218</v>
      </c>
      <c r="F7185" t="s">
        <v>16220</v>
      </c>
      <c r="G7185" t="s">
        <v>16299</v>
      </c>
      <c r="H7185" t="s">
        <v>16299</v>
      </c>
      <c r="I7185" t="s">
        <v>16382</v>
      </c>
      <c r="J7185" t="s">
        <v>16385</v>
      </c>
      <c r="K7185">
        <v>0.161</v>
      </c>
      <c r="L7185">
        <v>6997</v>
      </c>
      <c r="M7185">
        <v>1885</v>
      </c>
      <c r="N7185" t="s">
        <v>16393</v>
      </c>
      <c r="O7185" s="4">
        <v>54797</v>
      </c>
      <c r="P7185" s="4">
        <v>65523</v>
      </c>
      <c r="Q7185" s="4">
        <v>120320</v>
      </c>
      <c r="R7185" s="4">
        <v>360960</v>
      </c>
      <c r="S7185" t="s">
        <v>23334</v>
      </c>
      <c r="T7185" s="6">
        <v>45693</v>
      </c>
      <c r="U7185" s="4">
        <v>350000</v>
      </c>
      <c r="V7185" t="s">
        <v>23739</v>
      </c>
      <c r="W7185" t="s">
        <v>27651</v>
      </c>
      <c r="X7185" t="s">
        <v>3</v>
      </c>
      <c r="AA7185" s="5" t="str">
        <f>HYPERLINK("https://www.zillow.com/homes/6669-FOXTREE-AVE-WOODRIDGE-IL-605171706_rb/","check listing")</f>
        <v>check listing</v>
      </c>
      <c r="AB7185" s="5" t="str">
        <f>HYPERLINK("https://propertylookup.dupagecounty.gov/Datalets/Datalet.aspx?UseSearch=no&amp;mode=sales&amp;pin=0824110005","sales record")</f>
        <v>sales record</v>
      </c>
      <c r="AC7185" t="s">
        <v>3</v>
      </c>
      <c r="AD7185">
        <v>41.766151</v>
      </c>
      <c r="AE7185">
        <v>-88.04415899999999</v>
      </c>
      <c r="AF7185" s="5" t="str">
        <f>HYPERLINK("https://www.google.com/maps/search/?api=1&amp;query=41.766151,-88.044159","map")</f>
        <v>map</v>
      </c>
    </row>
    <row r="7186" spans="1:32">
      <c r="A7186" t="s">
        <v>7236</v>
      </c>
      <c r="B7186" t="s">
        <v>14688</v>
      </c>
      <c r="C7186" t="s">
        <v>16142</v>
      </c>
      <c r="D7186" t="s">
        <v>16215</v>
      </c>
      <c r="E7186" t="s">
        <v>16218</v>
      </c>
      <c r="F7186" t="s">
        <v>16220</v>
      </c>
      <c r="G7186" t="s">
        <v>16299</v>
      </c>
      <c r="H7186" t="s">
        <v>16299</v>
      </c>
      <c r="I7186" t="s">
        <v>16382</v>
      </c>
      <c r="J7186" t="s">
        <v>16385</v>
      </c>
      <c r="K7186">
        <v>0.161</v>
      </c>
      <c r="L7186">
        <v>6996</v>
      </c>
      <c r="M7186">
        <v>1464</v>
      </c>
      <c r="N7186" t="s">
        <v>16393</v>
      </c>
      <c r="O7186" s="4">
        <v>54797</v>
      </c>
      <c r="P7186" s="4">
        <v>84573</v>
      </c>
      <c r="Q7186" s="4">
        <v>139370</v>
      </c>
      <c r="R7186" s="4">
        <v>418110</v>
      </c>
      <c r="S7186" t="s">
        <v>23335</v>
      </c>
      <c r="T7186" s="6">
        <v>45870</v>
      </c>
      <c r="U7186" s="4">
        <v>417500</v>
      </c>
      <c r="V7186" t="s">
        <v>23739</v>
      </c>
      <c r="W7186" t="s">
        <v>27652</v>
      </c>
      <c r="X7186" t="s">
        <v>3</v>
      </c>
      <c r="AA7186" s="5" t="str">
        <f>HYPERLINK("https://www.zillow.com/homes/6665-FOXTREE-AVE-WOODRIDGE-IL-605171706_rb/","check listing")</f>
        <v>check listing</v>
      </c>
      <c r="AB7186" s="5" t="str">
        <f>HYPERLINK("https://propertylookup.dupagecounty.gov/Datalets/Datalet.aspx?UseSearch=no&amp;mode=sales&amp;pin=0824110006","sales record")</f>
        <v>sales record</v>
      </c>
      <c r="AC7186" t="s">
        <v>3</v>
      </c>
      <c r="AD7186">
        <v>41.76616</v>
      </c>
      <c r="AE7186">
        <v>-88.043903</v>
      </c>
      <c r="AF7186" s="5" t="str">
        <f>HYPERLINK("https://www.google.com/maps/search/?api=1&amp;query=41.76616,-88.043903","map")</f>
        <v>map</v>
      </c>
    </row>
    <row r="7187" spans="1:32">
      <c r="A7187" t="s">
        <v>7237</v>
      </c>
      <c r="B7187" t="s">
        <v>14689</v>
      </c>
      <c r="C7187" t="s">
        <v>16163</v>
      </c>
      <c r="D7187" t="s">
        <v>16215</v>
      </c>
      <c r="E7187" t="s">
        <v>16218</v>
      </c>
      <c r="F7187" t="s">
        <v>16220</v>
      </c>
      <c r="G7187" t="s">
        <v>16299</v>
      </c>
      <c r="H7187" t="s">
        <v>16299</v>
      </c>
      <c r="I7187" t="s">
        <v>16382</v>
      </c>
      <c r="J7187" t="s">
        <v>16385</v>
      </c>
      <c r="K7187">
        <v>0.16</v>
      </c>
      <c r="L7187">
        <v>6991</v>
      </c>
      <c r="M7187">
        <v>2693</v>
      </c>
      <c r="N7187" t="s">
        <v>16393</v>
      </c>
      <c r="O7187" s="4">
        <v>54797</v>
      </c>
      <c r="P7187" s="4">
        <v>64465</v>
      </c>
      <c r="Q7187" s="4">
        <v>119262</v>
      </c>
      <c r="R7187" s="4">
        <v>357786</v>
      </c>
      <c r="S7187" t="s">
        <v>23336</v>
      </c>
      <c r="T7187" s="6">
        <v>38534</v>
      </c>
      <c r="U7187" s="4">
        <v>247000</v>
      </c>
      <c r="V7187" t="s">
        <v>23739</v>
      </c>
      <c r="W7187" t="s">
        <v>27653</v>
      </c>
      <c r="X7187" t="s">
        <v>3</v>
      </c>
      <c r="AA7187" s="5" t="str">
        <f>HYPERLINK("https://www.zillow.com/homes/2562-YELLOW-STAR-ST-WOODRIDGE-IL-605171710_rb/","check listing")</f>
        <v>check listing</v>
      </c>
      <c r="AB7187" s="5" t="str">
        <f>HYPERLINK("https://propertylookup.dupagecounty.gov/Datalets/Datalet.aspx?UseSearch=no&amp;mode=sales&amp;pin=0824302009","sales record")</f>
        <v>sales record</v>
      </c>
      <c r="AC7187" t="s">
        <v>3</v>
      </c>
      <c r="AD7187">
        <v>41.763739</v>
      </c>
      <c r="AE7187">
        <v>-88.04876400000001</v>
      </c>
      <c r="AF7187" s="5" t="str">
        <f>HYPERLINK("https://www.google.com/maps/search/?api=1&amp;query=41.763739,-88.048764","map")</f>
        <v>map</v>
      </c>
    </row>
    <row r="7188" spans="1:32">
      <c r="A7188" t="s">
        <v>7238</v>
      </c>
      <c r="B7188" t="s">
        <v>14690</v>
      </c>
      <c r="C7188" t="s">
        <v>16164</v>
      </c>
      <c r="D7188" t="s">
        <v>16215</v>
      </c>
      <c r="E7188" t="s">
        <v>16218</v>
      </c>
      <c r="F7188" t="s">
        <v>16220</v>
      </c>
      <c r="G7188" t="s">
        <v>16299</v>
      </c>
      <c r="H7188" t="s">
        <v>16299</v>
      </c>
      <c r="I7188" t="s">
        <v>16382</v>
      </c>
      <c r="J7188" t="s">
        <v>16385</v>
      </c>
      <c r="K7188">
        <v>0.16</v>
      </c>
      <c r="L7188">
        <v>6985</v>
      </c>
      <c r="M7188">
        <v>936</v>
      </c>
      <c r="N7188" t="s">
        <v>16393</v>
      </c>
      <c r="O7188" s="4">
        <v>49124</v>
      </c>
      <c r="P7188" s="4">
        <v>57995</v>
      </c>
      <c r="Q7188" s="4">
        <v>107119</v>
      </c>
      <c r="R7188" s="4">
        <v>321357</v>
      </c>
      <c r="S7188" t="s">
        <v>23337</v>
      </c>
      <c r="T7188" s="6">
        <v>41609</v>
      </c>
      <c r="U7188" s="4">
        <v>213000</v>
      </c>
      <c r="V7188" t="s">
        <v>23739</v>
      </c>
      <c r="W7188" t="s">
        <v>27654</v>
      </c>
      <c r="X7188" t="s">
        <v>3</v>
      </c>
      <c r="AA7188" s="5" t="str">
        <f>HYPERLINK("https://www.zillow.com/homes/6799-RED-WING-DR-WOODRIDGE-IL-605171848_rb/","check listing")</f>
        <v>check listing</v>
      </c>
      <c r="AB7188" s="5" t="str">
        <f>HYPERLINK("https://propertylookup.dupagecounty.gov/Datalets/Datalet.aspx?UseSearch=no&amp;mode=sales&amp;pin=0824404011","sales record")</f>
        <v>sales record</v>
      </c>
      <c r="AC7188" t="s">
        <v>3</v>
      </c>
      <c r="AD7188">
        <v>41.764081</v>
      </c>
      <c r="AE7188">
        <v>-88.03886900000001</v>
      </c>
      <c r="AF7188" s="5" t="str">
        <f>HYPERLINK("https://www.google.com/maps/search/?api=1&amp;query=41.764081,-88.038869","map")</f>
        <v>map</v>
      </c>
    </row>
    <row r="7189" spans="1:32">
      <c r="A7189" t="s">
        <v>7239</v>
      </c>
      <c r="B7189" t="s">
        <v>14691</v>
      </c>
      <c r="C7189" t="s">
        <v>15323</v>
      </c>
      <c r="D7189" t="s">
        <v>16215</v>
      </c>
      <c r="E7189" t="s">
        <v>16218</v>
      </c>
      <c r="F7189" t="s">
        <v>16220</v>
      </c>
      <c r="G7189" t="s">
        <v>16299</v>
      </c>
      <c r="H7189" t="s">
        <v>16299</v>
      </c>
      <c r="I7189" t="s">
        <v>16382</v>
      </c>
      <c r="J7189" t="s">
        <v>16385</v>
      </c>
      <c r="K7189">
        <v>0.16</v>
      </c>
      <c r="L7189">
        <v>6973</v>
      </c>
      <c r="M7189">
        <v>1833</v>
      </c>
      <c r="N7189" t="s">
        <v>16393</v>
      </c>
      <c r="O7189" s="4">
        <v>54797</v>
      </c>
      <c r="P7189" s="4">
        <v>78806</v>
      </c>
      <c r="Q7189" s="4">
        <v>133603</v>
      </c>
      <c r="R7189" s="4">
        <v>400809</v>
      </c>
      <c r="S7189" t="s">
        <v>23338</v>
      </c>
      <c r="T7189" s="6">
        <v>34455</v>
      </c>
      <c r="U7189" s="4">
        <v>142250</v>
      </c>
      <c r="X7189" t="s">
        <v>3</v>
      </c>
      <c r="AA7189" s="5" t="str">
        <f>HYPERLINK("https://www.zillow.com/homes/6930-REDBUD-LN-WOODRIDGE-IL-60517_rb/","check listing")</f>
        <v>check listing</v>
      </c>
      <c r="AB7189" s="5" t="str">
        <f>HYPERLINK("https://propertylookup.dupagecounty.gov/Datalets/Datalet.aspx?UseSearch=no&amp;mode=sales&amp;pin=0824305004","sales record")</f>
        <v>sales record</v>
      </c>
      <c r="AC7189" t="s">
        <v>3</v>
      </c>
      <c r="AD7189">
        <v>41.761109</v>
      </c>
      <c r="AE7189">
        <v>-88.04805899999999</v>
      </c>
      <c r="AF7189" s="5" t="str">
        <f>HYPERLINK("https://www.google.com/maps/search/?api=1&amp;query=41.761109,-88.048059","map")</f>
        <v>map</v>
      </c>
    </row>
    <row r="7190" spans="1:32">
      <c r="A7190" t="s">
        <v>7240</v>
      </c>
      <c r="B7190" t="s">
        <v>14692</v>
      </c>
      <c r="C7190" t="s">
        <v>15323</v>
      </c>
      <c r="D7190" t="s">
        <v>16215</v>
      </c>
      <c r="E7190" t="s">
        <v>16218</v>
      </c>
      <c r="F7190" t="s">
        <v>16220</v>
      </c>
      <c r="G7190" t="s">
        <v>16299</v>
      </c>
      <c r="H7190" t="s">
        <v>16299</v>
      </c>
      <c r="I7190" t="s">
        <v>16382</v>
      </c>
      <c r="J7190" t="s">
        <v>16385</v>
      </c>
      <c r="K7190">
        <v>0.16</v>
      </c>
      <c r="L7190">
        <v>6964</v>
      </c>
      <c r="M7190">
        <v>2442</v>
      </c>
      <c r="N7190" t="s">
        <v>16393</v>
      </c>
      <c r="O7190" s="4">
        <v>54619</v>
      </c>
      <c r="P7190" s="4">
        <v>68198</v>
      </c>
      <c r="Q7190" s="4">
        <v>122817</v>
      </c>
      <c r="R7190" s="4">
        <v>368451</v>
      </c>
      <c r="S7190" t="s">
        <v>23339</v>
      </c>
      <c r="T7190" s="6">
        <v>41974</v>
      </c>
      <c r="U7190" s="4">
        <v>215000</v>
      </c>
      <c r="V7190" t="s">
        <v>23738</v>
      </c>
      <c r="W7190" t="s">
        <v>23339</v>
      </c>
      <c r="X7190" t="s">
        <v>3</v>
      </c>
      <c r="AA7190" s="5" t="str">
        <f>HYPERLINK("https://www.zillow.com/homes/2019-SUNNYDALE-ST-WOODRIDGE-IL-60517_rb/","check listing")</f>
        <v>check listing</v>
      </c>
      <c r="AB7190" s="5" t="str">
        <f>HYPERLINK("https://propertylookup.dupagecounty.gov/Datalets/Datalet.aspx?UseSearch=no&amp;mode=sales&amp;pin=0824418005","sales record")</f>
        <v>sales record</v>
      </c>
      <c r="AC7190" t="s">
        <v>3</v>
      </c>
      <c r="AD7190">
        <v>41.760253</v>
      </c>
      <c r="AE7190">
        <v>-88.032336</v>
      </c>
      <c r="AF7190" s="5" t="str">
        <f>HYPERLINK("https://www.google.com/maps/search/?api=1&amp;query=41.760253,-88.032336","map")</f>
        <v>map</v>
      </c>
    </row>
    <row r="7191" spans="1:32">
      <c r="A7191" t="s">
        <v>7241</v>
      </c>
      <c r="B7191" t="s">
        <v>14693</v>
      </c>
      <c r="C7191" t="s">
        <v>16158</v>
      </c>
      <c r="D7191" t="s">
        <v>16215</v>
      </c>
      <c r="E7191" t="s">
        <v>16218</v>
      </c>
      <c r="F7191" t="s">
        <v>16220</v>
      </c>
      <c r="G7191" t="s">
        <v>16299</v>
      </c>
      <c r="H7191" t="s">
        <v>16299</v>
      </c>
      <c r="I7191" t="s">
        <v>16382</v>
      </c>
      <c r="J7191" t="s">
        <v>16385</v>
      </c>
      <c r="K7191">
        <v>0.159</v>
      </c>
      <c r="L7191">
        <v>6940</v>
      </c>
      <c r="M7191">
        <v>1683</v>
      </c>
      <c r="N7191" t="s">
        <v>16393</v>
      </c>
      <c r="O7191" s="4">
        <v>54797</v>
      </c>
      <c r="P7191" s="4">
        <v>89841</v>
      </c>
      <c r="Q7191" s="4">
        <v>144638</v>
      </c>
      <c r="R7191" s="4">
        <v>433914</v>
      </c>
      <c r="S7191" t="s">
        <v>23340</v>
      </c>
      <c r="T7191" s="6">
        <v>43344</v>
      </c>
      <c r="U7191" s="4">
        <v>265000</v>
      </c>
      <c r="V7191" t="s">
        <v>23739</v>
      </c>
      <c r="W7191" t="s">
        <v>23340</v>
      </c>
      <c r="X7191" t="s">
        <v>3</v>
      </c>
      <c r="AA7191" s="5" t="str">
        <f>HYPERLINK("https://www.zillow.com/homes/2417-PHEASANT-ST-WOODRIDGE-IL-605171744_rb/","check listing")</f>
        <v>check listing</v>
      </c>
      <c r="AB7191" s="5" t="str">
        <f>HYPERLINK("https://propertylookup.dupagecounty.gov/Datalets/Datalet.aspx?UseSearch=no&amp;mode=sales&amp;pin=0824318003","sales record")</f>
        <v>sales record</v>
      </c>
      <c r="AC7191" t="s">
        <v>3</v>
      </c>
      <c r="AD7191">
        <v>41.764427</v>
      </c>
      <c r="AE7191">
        <v>-88.041568</v>
      </c>
      <c r="AF7191" s="5" t="str">
        <f>HYPERLINK("https://www.google.com/maps/search/?api=1&amp;query=41.764427,-88.041568","map")</f>
        <v>map</v>
      </c>
    </row>
    <row r="7192" spans="1:32">
      <c r="A7192" t="s">
        <v>7242</v>
      </c>
      <c r="B7192" t="s">
        <v>14694</v>
      </c>
      <c r="C7192" t="s">
        <v>15323</v>
      </c>
      <c r="D7192" t="s">
        <v>16215</v>
      </c>
      <c r="E7192" t="s">
        <v>16218</v>
      </c>
      <c r="F7192" t="s">
        <v>16220</v>
      </c>
      <c r="G7192" t="s">
        <v>16299</v>
      </c>
      <c r="H7192" t="s">
        <v>16299</v>
      </c>
      <c r="I7192" t="s">
        <v>16382</v>
      </c>
      <c r="J7192" t="s">
        <v>16385</v>
      </c>
      <c r="K7192">
        <v>0.159</v>
      </c>
      <c r="L7192">
        <v>6939</v>
      </c>
      <c r="M7192">
        <v>1295</v>
      </c>
      <c r="N7192" t="s">
        <v>16393</v>
      </c>
      <c r="O7192" s="4">
        <v>54797</v>
      </c>
      <c r="P7192" s="4">
        <v>74715</v>
      </c>
      <c r="Q7192" s="4">
        <v>129512</v>
      </c>
      <c r="R7192" s="4">
        <v>388536</v>
      </c>
      <c r="S7192" t="s">
        <v>23341</v>
      </c>
      <c r="T7192" s="6">
        <v>32690</v>
      </c>
      <c r="U7192" s="4">
        <v>139000</v>
      </c>
      <c r="X7192" t="s">
        <v>3</v>
      </c>
      <c r="AA7192" s="5" t="str">
        <f>HYPERLINK("https://www.zillow.com/homes/2554-YELLOW-STAR-ST-WOODRIDGE-IL-60517_rb/","check listing")</f>
        <v>check listing</v>
      </c>
      <c r="AB7192" s="5" t="str">
        <f>HYPERLINK("https://propertylookup.dupagecounty.gov/Datalets/Datalet.aspx?UseSearch=no&amp;mode=sales&amp;pin=0824302007","sales record")</f>
        <v>sales record</v>
      </c>
      <c r="AC7192" t="s">
        <v>3</v>
      </c>
      <c r="AD7192">
        <v>41.764139</v>
      </c>
      <c r="AE7192">
        <v>-88.048513</v>
      </c>
      <c r="AF7192" s="5" t="str">
        <f>HYPERLINK("https://www.google.com/maps/search/?api=1&amp;query=41.764139,-88.048513","map")</f>
        <v>map</v>
      </c>
    </row>
    <row r="7193" spans="1:32">
      <c r="A7193" t="s">
        <v>7243</v>
      </c>
      <c r="B7193" t="s">
        <v>14695</v>
      </c>
      <c r="C7193" t="s">
        <v>16162</v>
      </c>
      <c r="D7193" t="s">
        <v>16215</v>
      </c>
      <c r="E7193" t="s">
        <v>16218</v>
      </c>
      <c r="F7193" t="s">
        <v>16220</v>
      </c>
      <c r="G7193" t="s">
        <v>16299</v>
      </c>
      <c r="H7193" t="s">
        <v>16299</v>
      </c>
      <c r="I7193" t="s">
        <v>16382</v>
      </c>
      <c r="J7193" t="s">
        <v>16385</v>
      </c>
      <c r="K7193">
        <v>0.159</v>
      </c>
      <c r="L7193">
        <v>6939</v>
      </c>
      <c r="M7193">
        <v>1579</v>
      </c>
      <c r="N7193" t="s">
        <v>16393</v>
      </c>
      <c r="O7193" s="4">
        <v>57651</v>
      </c>
      <c r="P7193" s="4">
        <v>82742</v>
      </c>
      <c r="Q7193" s="4">
        <v>140393</v>
      </c>
      <c r="R7193" s="4">
        <v>421179</v>
      </c>
      <c r="S7193" t="s">
        <v>23342</v>
      </c>
      <c r="T7193" s="6">
        <v>42491</v>
      </c>
      <c r="U7193" s="4">
        <v>210000</v>
      </c>
      <c r="V7193" t="s">
        <v>16232</v>
      </c>
      <c r="W7193" t="s">
        <v>27655</v>
      </c>
      <c r="X7193" t="s">
        <v>3</v>
      </c>
      <c r="AA7193" s="5" t="str">
        <f>HYPERLINK("https://www.zillow.com/homes/6917-SUN-DROP-AVE-WOODRIDGE-IL-605172004_rb/","check listing")</f>
        <v>check listing</v>
      </c>
      <c r="AB7193" s="5" t="str">
        <f>HYPERLINK("https://propertylookup.dupagecounty.gov/Datalets/Datalet.aspx?UseSearch=no&amp;mode=sales&amp;pin=0824309008","sales record")</f>
        <v>sales record</v>
      </c>
      <c r="AC7193" t="s">
        <v>3</v>
      </c>
      <c r="AD7193">
        <v>41.76062</v>
      </c>
      <c r="AE7193">
        <v>-88.049663</v>
      </c>
      <c r="AF7193" s="5" t="str">
        <f>HYPERLINK("https://www.google.com/maps/search/?api=1&amp;query=41.76062,-88.049663","map")</f>
        <v>map</v>
      </c>
    </row>
    <row r="7194" spans="1:32">
      <c r="A7194" t="s">
        <v>7244</v>
      </c>
      <c r="B7194" t="s">
        <v>14696</v>
      </c>
      <c r="C7194" t="s">
        <v>16158</v>
      </c>
      <c r="D7194" t="s">
        <v>16215</v>
      </c>
      <c r="E7194" t="s">
        <v>16218</v>
      </c>
      <c r="F7194" t="s">
        <v>16220</v>
      </c>
      <c r="G7194" t="s">
        <v>16299</v>
      </c>
      <c r="H7194" t="s">
        <v>16299</v>
      </c>
      <c r="I7194" t="s">
        <v>16382</v>
      </c>
      <c r="J7194" t="s">
        <v>16385</v>
      </c>
      <c r="K7194">
        <v>0.159</v>
      </c>
      <c r="L7194">
        <v>6933</v>
      </c>
      <c r="M7194">
        <v>1497</v>
      </c>
      <c r="N7194" t="s">
        <v>16393</v>
      </c>
      <c r="O7194" s="4">
        <v>54797</v>
      </c>
      <c r="P7194" s="4">
        <v>64263</v>
      </c>
      <c r="Q7194" s="4">
        <v>119060</v>
      </c>
      <c r="R7194" s="4">
        <v>357180</v>
      </c>
      <c r="S7194" t="s">
        <v>23343</v>
      </c>
      <c r="T7194" s="6">
        <v>44784</v>
      </c>
      <c r="U7194" s="4">
        <v>315000</v>
      </c>
      <c r="V7194" t="s">
        <v>23739</v>
      </c>
      <c r="W7194" t="s">
        <v>27656</v>
      </c>
      <c r="X7194" t="s">
        <v>3</v>
      </c>
      <c r="AA7194" s="5" t="str">
        <f>HYPERLINK("https://www.zillow.com/homes/2405-PHEASANT-ST-WOODRIDGE-IL-605171744_rb/","check listing")</f>
        <v>check listing</v>
      </c>
      <c r="AB7194" s="5" t="str">
        <f>HYPERLINK("https://propertylookup.dupagecounty.gov/Datalets/Datalet.aspx?UseSearch=no&amp;mode=sales&amp;pin=0824402002","sales record")</f>
        <v>sales record</v>
      </c>
      <c r="AC7194" t="s">
        <v>3</v>
      </c>
      <c r="AD7194">
        <v>41.764459</v>
      </c>
      <c r="AE7194">
        <v>-88.040852</v>
      </c>
      <c r="AF7194" s="5" t="str">
        <f>HYPERLINK("https://www.google.com/maps/search/?api=1&amp;query=41.764459,-88.040852","map")</f>
        <v>map</v>
      </c>
    </row>
    <row r="7195" spans="1:32">
      <c r="A7195" t="s">
        <v>7245</v>
      </c>
      <c r="B7195" t="s">
        <v>14697</v>
      </c>
      <c r="C7195" t="s">
        <v>15323</v>
      </c>
      <c r="D7195" t="s">
        <v>16215</v>
      </c>
      <c r="E7195" t="s">
        <v>16218</v>
      </c>
      <c r="F7195" t="s">
        <v>16220</v>
      </c>
      <c r="G7195" t="s">
        <v>16299</v>
      </c>
      <c r="H7195" t="s">
        <v>16299</v>
      </c>
      <c r="I7195" t="s">
        <v>16382</v>
      </c>
      <c r="J7195" t="s">
        <v>16385</v>
      </c>
      <c r="K7195">
        <v>0.159</v>
      </c>
      <c r="L7195">
        <v>6931</v>
      </c>
      <c r="M7195">
        <v>2470</v>
      </c>
      <c r="N7195" t="s">
        <v>16393</v>
      </c>
      <c r="O7195" s="4">
        <v>54797</v>
      </c>
      <c r="P7195" s="4">
        <v>65678</v>
      </c>
      <c r="Q7195" s="4">
        <v>120475</v>
      </c>
      <c r="R7195" s="4">
        <v>361425</v>
      </c>
      <c r="S7195" t="s">
        <v>23344</v>
      </c>
      <c r="T7195" s="6">
        <v>43132</v>
      </c>
      <c r="U7195" s="4">
        <v>248000</v>
      </c>
      <c r="V7195" t="s">
        <v>23739</v>
      </c>
      <c r="W7195" t="s">
        <v>27657</v>
      </c>
      <c r="X7195" t="s">
        <v>3</v>
      </c>
      <c r="AA7195" s="5" t="str">
        <f>HYPERLINK("https://www.zillow.com/homes/2421-PHEASANT-ST-WOODRIDGE-IL-60517_rb/","check listing")</f>
        <v>check listing</v>
      </c>
      <c r="AB7195" s="5" t="str">
        <f>HYPERLINK("https://propertylookup.dupagecounty.gov/Datalets/Datalet.aspx?UseSearch=no&amp;mode=sales&amp;pin=0824318002","sales record")</f>
        <v>sales record</v>
      </c>
      <c r="AC7195" t="s">
        <v>3</v>
      </c>
      <c r="AD7195">
        <v>41.764418</v>
      </c>
      <c r="AE7195">
        <v>-88.041819</v>
      </c>
      <c r="AF7195" s="5" t="str">
        <f>HYPERLINK("https://www.google.com/maps/search/?api=1&amp;query=41.764418,-88.041819","map")</f>
        <v>map</v>
      </c>
    </row>
    <row r="7196" spans="1:32">
      <c r="A7196" t="s">
        <v>7246</v>
      </c>
      <c r="B7196" t="s">
        <v>14698</v>
      </c>
      <c r="C7196" t="s">
        <v>16165</v>
      </c>
      <c r="D7196" t="s">
        <v>16215</v>
      </c>
      <c r="E7196" t="s">
        <v>16218</v>
      </c>
      <c r="F7196" t="s">
        <v>16220</v>
      </c>
      <c r="G7196" t="s">
        <v>16299</v>
      </c>
      <c r="H7196" t="s">
        <v>16299</v>
      </c>
      <c r="I7196" t="s">
        <v>16382</v>
      </c>
      <c r="J7196" t="s">
        <v>16385</v>
      </c>
      <c r="K7196">
        <v>0.159</v>
      </c>
      <c r="L7196">
        <v>6922</v>
      </c>
      <c r="M7196">
        <v>1657</v>
      </c>
      <c r="N7196" t="s">
        <v>16393</v>
      </c>
      <c r="O7196" s="4">
        <v>49124</v>
      </c>
      <c r="P7196" s="4">
        <v>51681</v>
      </c>
      <c r="Q7196" s="4">
        <v>100805</v>
      </c>
      <c r="R7196" s="4">
        <v>302415</v>
      </c>
      <c r="S7196" t="s">
        <v>23345</v>
      </c>
      <c r="T7196" s="6">
        <v>40969</v>
      </c>
      <c r="U7196" s="4">
        <v>100199</v>
      </c>
      <c r="V7196" t="s">
        <v>23739</v>
      </c>
      <c r="W7196" t="s">
        <v>27658</v>
      </c>
      <c r="X7196" t="s">
        <v>3</v>
      </c>
      <c r="AA7196" s="5" t="str">
        <f>HYPERLINK("https://www.zillow.com/homes/2330-VISTA-DR-WOODRIDGE-IL-605171841_rb/","check listing")</f>
        <v>check listing</v>
      </c>
      <c r="AB7196" s="5" t="str">
        <f>HYPERLINK("https://propertylookup.dupagecounty.gov/Datalets/Datalet.aspx?UseSearch=no&amp;mode=sales&amp;pin=0824408036","sales record")</f>
        <v>sales record</v>
      </c>
      <c r="AC7196" t="s">
        <v>3</v>
      </c>
      <c r="AD7196">
        <v>41.761306</v>
      </c>
      <c r="AE7196">
        <v>-88.036794</v>
      </c>
      <c r="AF7196" s="5" t="str">
        <f>HYPERLINK("https://www.google.com/maps/search/?api=1&amp;query=41.761306,-88.036794","map")</f>
        <v>map</v>
      </c>
    </row>
    <row r="7197" spans="1:32">
      <c r="A7197" t="s">
        <v>7247</v>
      </c>
      <c r="B7197" t="s">
        <v>14699</v>
      </c>
      <c r="C7197" t="s">
        <v>16163</v>
      </c>
      <c r="D7197" t="s">
        <v>16215</v>
      </c>
      <c r="E7197" t="s">
        <v>16218</v>
      </c>
      <c r="F7197" t="s">
        <v>16220</v>
      </c>
      <c r="G7197" t="s">
        <v>16299</v>
      </c>
      <c r="H7197" t="s">
        <v>16299</v>
      </c>
      <c r="I7197" t="s">
        <v>16382</v>
      </c>
      <c r="J7197" t="s">
        <v>16385</v>
      </c>
      <c r="K7197">
        <v>0.158</v>
      </c>
      <c r="L7197">
        <v>6904</v>
      </c>
      <c r="M7197">
        <v>1235</v>
      </c>
      <c r="N7197" t="s">
        <v>16393</v>
      </c>
      <c r="O7197" s="4">
        <v>54797</v>
      </c>
      <c r="P7197" s="4">
        <v>84098</v>
      </c>
      <c r="Q7197" s="4">
        <v>138895</v>
      </c>
      <c r="R7197" s="4">
        <v>416685</v>
      </c>
      <c r="S7197" t="s">
        <v>23346</v>
      </c>
      <c r="T7197" s="6">
        <v>44621</v>
      </c>
      <c r="U7197" s="4">
        <v>345000</v>
      </c>
      <c r="V7197" t="s">
        <v>23740</v>
      </c>
      <c r="W7197" t="s">
        <v>27659</v>
      </c>
      <c r="X7197" t="s">
        <v>3</v>
      </c>
      <c r="AA7197" s="5" t="str">
        <f>HYPERLINK("https://www.zillow.com/homes/2594-YELLOW-STAR-ST-WOODRIDGE-IL-605171710_rb/","check listing")</f>
        <v>check listing</v>
      </c>
      <c r="AB7197" s="5" t="str">
        <f>HYPERLINK("https://propertylookup.dupagecounty.gov/Datalets/Datalet.aspx?UseSearch=no&amp;mode=sales&amp;pin=0824303038","sales record")</f>
        <v>sales record</v>
      </c>
      <c r="AC7197" t="s">
        <v>3</v>
      </c>
      <c r="AD7197">
        <v>41.762693</v>
      </c>
      <c r="AE7197">
        <v>-88.04795900000001</v>
      </c>
      <c r="AF7197" s="5" t="str">
        <f>HYPERLINK("https://www.google.com/maps/search/?api=1&amp;query=41.762693,-88.047959","map")</f>
        <v>map</v>
      </c>
    </row>
    <row r="7198" spans="1:32">
      <c r="A7198" t="s">
        <v>7248</v>
      </c>
      <c r="B7198" t="s">
        <v>14700</v>
      </c>
      <c r="C7198" t="s">
        <v>15323</v>
      </c>
      <c r="D7198" t="s">
        <v>16215</v>
      </c>
      <c r="E7198" t="s">
        <v>16218</v>
      </c>
      <c r="F7198" t="s">
        <v>16220</v>
      </c>
      <c r="G7198" t="s">
        <v>16299</v>
      </c>
      <c r="H7198" t="s">
        <v>16299</v>
      </c>
      <c r="I7198" t="s">
        <v>16382</v>
      </c>
      <c r="J7198" t="s">
        <v>16385</v>
      </c>
      <c r="K7198">
        <v>0.158</v>
      </c>
      <c r="L7198">
        <v>6897</v>
      </c>
      <c r="M7198">
        <v>1657</v>
      </c>
      <c r="N7198" t="s">
        <v>16393</v>
      </c>
      <c r="O7198" s="4">
        <v>54797</v>
      </c>
      <c r="P7198" s="4">
        <v>69982</v>
      </c>
      <c r="Q7198" s="4">
        <v>124779</v>
      </c>
      <c r="R7198" s="4">
        <v>374337</v>
      </c>
      <c r="S7198" t="s">
        <v>23347</v>
      </c>
      <c r="T7198" s="6">
        <v>38565</v>
      </c>
      <c r="U7198" s="4">
        <v>285500</v>
      </c>
      <c r="V7198" t="s">
        <v>23739</v>
      </c>
      <c r="W7198" t="s">
        <v>27660</v>
      </c>
      <c r="X7198" t="s">
        <v>3</v>
      </c>
      <c r="AA7198" s="5" t="str">
        <f>HYPERLINK("https://www.zillow.com/homes/6712-FOX-TREE-AVE-WOODRIDGE-IL-60517_rb/","check listing")</f>
        <v>check listing</v>
      </c>
      <c r="AB7198" s="5" t="str">
        <f>HYPERLINK("https://propertylookup.dupagecounty.gov/Datalets/Datalet.aspx?UseSearch=no&amp;mode=sales&amp;pin=0824316019","sales record")</f>
        <v>sales record</v>
      </c>
      <c r="AC7198" t="s">
        <v>3</v>
      </c>
      <c r="AD7198">
        <v>41.764136</v>
      </c>
      <c r="AE7198">
        <v>-88.04548200000001</v>
      </c>
      <c r="AF7198" s="5" t="str">
        <f>HYPERLINK("https://www.google.com/maps/search/?api=1&amp;query=41.764136,-88.045482","map")</f>
        <v>map</v>
      </c>
    </row>
    <row r="7199" spans="1:32">
      <c r="A7199" t="s">
        <v>7249</v>
      </c>
      <c r="B7199" t="s">
        <v>14701</v>
      </c>
      <c r="C7199" t="s">
        <v>15323</v>
      </c>
      <c r="D7199" t="s">
        <v>16215</v>
      </c>
      <c r="E7199" t="s">
        <v>16218</v>
      </c>
      <c r="F7199" t="s">
        <v>16220</v>
      </c>
      <c r="G7199" t="s">
        <v>16299</v>
      </c>
      <c r="H7199" t="s">
        <v>16299</v>
      </c>
      <c r="I7199" t="s">
        <v>16382</v>
      </c>
      <c r="J7199" t="s">
        <v>16385</v>
      </c>
      <c r="K7199">
        <v>0.158</v>
      </c>
      <c r="L7199">
        <v>6883</v>
      </c>
      <c r="M7199">
        <v>1741</v>
      </c>
      <c r="N7199" t="s">
        <v>16393</v>
      </c>
      <c r="O7199" s="4">
        <v>54797</v>
      </c>
      <c r="P7199" s="4">
        <v>70922</v>
      </c>
      <c r="Q7199" s="4">
        <v>125719</v>
      </c>
      <c r="R7199" s="4">
        <v>377157</v>
      </c>
      <c r="S7199" t="s">
        <v>23348</v>
      </c>
      <c r="T7199" s="6">
        <v>41609</v>
      </c>
      <c r="U7199" s="4">
        <v>285000</v>
      </c>
      <c r="V7199" t="s">
        <v>23739</v>
      </c>
      <c r="W7199" t="s">
        <v>27661</v>
      </c>
      <c r="X7199" t="s">
        <v>3</v>
      </c>
      <c r="AA7199" s="5" t="str">
        <f>HYPERLINK("https://www.zillow.com/homes/6705-AUDUBON-AVE-WOODRIDGE-IL-60517_rb/","check listing")</f>
        <v>check listing</v>
      </c>
      <c r="AB7199" s="5" t="str">
        <f>HYPERLINK("https://propertylookup.dupagecounty.gov/Datalets/Datalet.aspx?UseSearch=no&amp;mode=sales&amp;pin=0824318006","sales record")</f>
        <v>sales record</v>
      </c>
      <c r="AC7199" t="s">
        <v>3</v>
      </c>
      <c r="AD7199">
        <v>41.763984</v>
      </c>
      <c r="AE7199">
        <v>-88.04200400000001</v>
      </c>
      <c r="AF7199" s="5" t="str">
        <f>HYPERLINK("https://www.google.com/maps/search/?api=1&amp;query=41.763984,-88.042004","map")</f>
        <v>map</v>
      </c>
    </row>
    <row r="7200" spans="1:32">
      <c r="A7200" t="s">
        <v>7250</v>
      </c>
      <c r="B7200" t="s">
        <v>14702</v>
      </c>
      <c r="C7200" t="s">
        <v>15323</v>
      </c>
      <c r="D7200" t="s">
        <v>16215</v>
      </c>
      <c r="E7200" t="s">
        <v>16218</v>
      </c>
      <c r="F7200" t="s">
        <v>16220</v>
      </c>
      <c r="G7200" t="s">
        <v>16299</v>
      </c>
      <c r="H7200" t="s">
        <v>16299</v>
      </c>
      <c r="I7200" t="s">
        <v>16382</v>
      </c>
      <c r="J7200" t="s">
        <v>16385</v>
      </c>
      <c r="K7200">
        <v>0.158</v>
      </c>
      <c r="L7200">
        <v>6882</v>
      </c>
      <c r="M7200">
        <v>1118</v>
      </c>
      <c r="N7200" t="s">
        <v>16393</v>
      </c>
      <c r="O7200" s="4">
        <v>54797</v>
      </c>
      <c r="P7200" s="4">
        <v>83587</v>
      </c>
      <c r="Q7200" s="4">
        <v>138384</v>
      </c>
      <c r="R7200" s="4">
        <v>415152</v>
      </c>
      <c r="S7200" t="s">
        <v>23349</v>
      </c>
      <c r="T7200" s="6">
        <v>44980</v>
      </c>
      <c r="U7200" s="4">
        <v>349500</v>
      </c>
      <c r="V7200" t="s">
        <v>23741</v>
      </c>
      <c r="W7200" t="s">
        <v>27662</v>
      </c>
      <c r="X7200" t="s">
        <v>3</v>
      </c>
      <c r="AA7200" s="5" t="str">
        <f>HYPERLINK("https://www.zillow.com/homes/2556-YELLOW-STAR-ST-WOODRIDGE-IL-60517_rb/","check listing")</f>
        <v>check listing</v>
      </c>
      <c r="AB7200" s="5" t="str">
        <f>HYPERLINK("https://propertylookup.dupagecounty.gov/Datalets/Datalet.aspx?UseSearch=no&amp;mode=sales&amp;pin=0824302008","sales record")</f>
        <v>sales record</v>
      </c>
      <c r="AC7200" t="s">
        <v>3</v>
      </c>
      <c r="AD7200">
        <v>41.763959</v>
      </c>
      <c r="AE7200">
        <v>-88.048627</v>
      </c>
      <c r="AF7200" s="5" t="str">
        <f>HYPERLINK("https://www.google.com/maps/search/?api=1&amp;query=41.763959,-88.048627","map")</f>
        <v>map</v>
      </c>
    </row>
    <row r="7201" spans="1:32">
      <c r="A7201" t="s">
        <v>7251</v>
      </c>
      <c r="B7201" t="s">
        <v>14703</v>
      </c>
      <c r="C7201" t="s">
        <v>15323</v>
      </c>
      <c r="D7201" t="s">
        <v>16215</v>
      </c>
      <c r="E7201" t="s">
        <v>16218</v>
      </c>
      <c r="F7201" t="s">
        <v>16220</v>
      </c>
      <c r="G7201" t="s">
        <v>16299</v>
      </c>
      <c r="H7201" t="s">
        <v>16299</v>
      </c>
      <c r="I7201" t="s">
        <v>16382</v>
      </c>
      <c r="J7201" t="s">
        <v>16385</v>
      </c>
      <c r="K7201">
        <v>0.158</v>
      </c>
      <c r="L7201">
        <v>6880</v>
      </c>
      <c r="M7201">
        <v>1484</v>
      </c>
      <c r="N7201" t="s">
        <v>16393</v>
      </c>
      <c r="O7201" s="4">
        <v>54797</v>
      </c>
      <c r="P7201" s="4">
        <v>79912</v>
      </c>
      <c r="Q7201" s="4">
        <v>134709</v>
      </c>
      <c r="R7201" s="4">
        <v>404127</v>
      </c>
      <c r="S7201" t="s">
        <v>23350</v>
      </c>
      <c r="T7201" s="6">
        <v>37865</v>
      </c>
      <c r="U7201" s="4">
        <v>247000</v>
      </c>
      <c r="V7201" t="s">
        <v>23739</v>
      </c>
      <c r="W7201" t="s">
        <v>23350</v>
      </c>
      <c r="X7201" t="s">
        <v>3</v>
      </c>
      <c r="AA7201" s="5" t="str">
        <f>HYPERLINK("https://www.zillow.com/homes/6672-FOX-TREE-AVE-WOODRIDGE-IL-60517_rb/","check listing")</f>
        <v>check listing</v>
      </c>
      <c r="AB7201" s="5" t="str">
        <f>HYPERLINK("https://propertylookup.dupagecounty.gov/Datalets/Datalet.aspx?UseSearch=no&amp;mode=sales&amp;pin=0824109008","sales record")</f>
        <v>sales record</v>
      </c>
      <c r="AC7201" t="s">
        <v>3</v>
      </c>
      <c r="AD7201">
        <v>41.766566</v>
      </c>
      <c r="AE7201">
        <v>-88.04428</v>
      </c>
      <c r="AF7201" s="5" t="str">
        <f>HYPERLINK("https://www.google.com/maps/search/?api=1&amp;query=41.766566,-88.04428","map")</f>
        <v>map</v>
      </c>
    </row>
    <row r="7202" spans="1:32">
      <c r="A7202" t="s">
        <v>7252</v>
      </c>
      <c r="B7202" t="s">
        <v>14704</v>
      </c>
      <c r="C7202" t="s">
        <v>15323</v>
      </c>
      <c r="D7202" t="s">
        <v>16215</v>
      </c>
      <c r="E7202" t="s">
        <v>16218</v>
      </c>
      <c r="F7202" t="s">
        <v>16220</v>
      </c>
      <c r="G7202" t="s">
        <v>16299</v>
      </c>
      <c r="H7202" t="s">
        <v>16299</v>
      </c>
      <c r="I7202" t="s">
        <v>16382</v>
      </c>
      <c r="J7202" t="s">
        <v>16385</v>
      </c>
      <c r="K7202">
        <v>0.158</v>
      </c>
      <c r="L7202">
        <v>6875</v>
      </c>
      <c r="M7202">
        <v>1590</v>
      </c>
      <c r="N7202" t="s">
        <v>16393</v>
      </c>
      <c r="O7202" s="4">
        <v>54797</v>
      </c>
      <c r="P7202" s="4">
        <v>86607</v>
      </c>
      <c r="Q7202" s="4">
        <v>141404</v>
      </c>
      <c r="R7202" s="4">
        <v>424212</v>
      </c>
      <c r="S7202" t="s">
        <v>23351</v>
      </c>
      <c r="T7202" s="6">
        <v>34639</v>
      </c>
      <c r="U7202" s="4">
        <v>138000</v>
      </c>
      <c r="X7202" t="s">
        <v>3</v>
      </c>
      <c r="AA7202" s="5" t="str">
        <f>HYPERLINK("https://www.zillow.com/homes/6716-FOX-TREE-AVE-WOODRIDGE-IL-60517_rb/","check listing")</f>
        <v>check listing</v>
      </c>
      <c r="AB7202" s="5" t="str">
        <f>HYPERLINK("https://propertylookup.dupagecounty.gov/Datalets/Datalet.aspx?UseSearch=no&amp;mode=sales&amp;pin=0824316020","sales record")</f>
        <v>sales record</v>
      </c>
      <c r="AC7202" t="s">
        <v>3</v>
      </c>
      <c r="AD7202">
        <v>41.763947</v>
      </c>
      <c r="AE7202">
        <v>-88.04541399999999</v>
      </c>
      <c r="AF7202" s="5" t="str">
        <f>HYPERLINK("https://www.google.com/maps/search/?api=1&amp;query=41.763947,-88.045414","map")</f>
        <v>map</v>
      </c>
    </row>
    <row r="7203" spans="1:32">
      <c r="A7203" t="s">
        <v>7253</v>
      </c>
      <c r="B7203" t="s">
        <v>14705</v>
      </c>
      <c r="C7203" t="s">
        <v>15323</v>
      </c>
      <c r="D7203" t="s">
        <v>16215</v>
      </c>
      <c r="E7203" t="s">
        <v>16218</v>
      </c>
      <c r="F7203" t="s">
        <v>16220</v>
      </c>
      <c r="G7203" t="s">
        <v>16299</v>
      </c>
      <c r="H7203" t="s">
        <v>16299</v>
      </c>
      <c r="I7203" t="s">
        <v>16382</v>
      </c>
      <c r="J7203" t="s">
        <v>16385</v>
      </c>
      <c r="K7203">
        <v>0.158</v>
      </c>
      <c r="L7203">
        <v>6874</v>
      </c>
      <c r="M7203">
        <v>2144</v>
      </c>
      <c r="N7203" t="s">
        <v>16393</v>
      </c>
      <c r="O7203" s="4">
        <v>54797</v>
      </c>
      <c r="P7203" s="4">
        <v>63442</v>
      </c>
      <c r="Q7203" s="4">
        <v>118239</v>
      </c>
      <c r="R7203" s="4">
        <v>354717</v>
      </c>
      <c r="S7203" t="s">
        <v>23352</v>
      </c>
      <c r="T7203" s="6">
        <v>35490</v>
      </c>
      <c r="U7203" s="4">
        <v>140000</v>
      </c>
      <c r="X7203" t="s">
        <v>3</v>
      </c>
      <c r="AA7203" s="5" t="str">
        <f>HYPERLINK("https://www.zillow.com/homes/2591-YELLOW-STAR-ST-WOODRIDGE-IL-60517_rb/","check listing")</f>
        <v>check listing</v>
      </c>
      <c r="AB7203" s="5" t="str">
        <f>HYPERLINK("https://propertylookup.dupagecounty.gov/Datalets/Datalet.aspx?UseSearch=no&amp;mode=sales&amp;pin=0824315016","sales record")</f>
        <v>sales record</v>
      </c>
      <c r="AC7203" t="s">
        <v>3</v>
      </c>
      <c r="AD7203">
        <v>41.763146</v>
      </c>
      <c r="AE7203">
        <v>-88.048078</v>
      </c>
      <c r="AF7203" s="5" t="str">
        <f>HYPERLINK("https://www.google.com/maps/search/?api=1&amp;query=41.763146,-88.048078","map")</f>
        <v>map</v>
      </c>
    </row>
    <row r="7204" spans="1:32">
      <c r="A7204" t="s">
        <v>7254</v>
      </c>
      <c r="B7204" t="s">
        <v>14706</v>
      </c>
      <c r="C7204" t="s">
        <v>15323</v>
      </c>
      <c r="D7204" t="s">
        <v>16215</v>
      </c>
      <c r="E7204" t="s">
        <v>16218</v>
      </c>
      <c r="F7204" t="s">
        <v>16220</v>
      </c>
      <c r="G7204" t="s">
        <v>16299</v>
      </c>
      <c r="H7204" t="s">
        <v>16299</v>
      </c>
      <c r="I7204" t="s">
        <v>16382</v>
      </c>
      <c r="J7204" t="s">
        <v>16385</v>
      </c>
      <c r="K7204">
        <v>0.158</v>
      </c>
      <c r="L7204">
        <v>6866</v>
      </c>
      <c r="M7204">
        <v>1868</v>
      </c>
      <c r="N7204" t="s">
        <v>16393</v>
      </c>
      <c r="O7204" s="4">
        <v>54797</v>
      </c>
      <c r="P7204" s="4">
        <v>65095</v>
      </c>
      <c r="Q7204" s="4">
        <v>119892</v>
      </c>
      <c r="R7204" s="4">
        <v>359676</v>
      </c>
      <c r="S7204" t="s">
        <v>23353</v>
      </c>
      <c r="T7204" s="6">
        <v>40787</v>
      </c>
      <c r="U7204" s="4">
        <v>167821</v>
      </c>
      <c r="V7204" t="s">
        <v>16232</v>
      </c>
      <c r="W7204" t="s">
        <v>27663</v>
      </c>
      <c r="X7204" t="s">
        <v>3</v>
      </c>
      <c r="AA7204" s="5" t="str">
        <f>HYPERLINK("https://www.zillow.com/homes/2570-YELLOW-STAR-ST-WOODRIDGE-IL-60517_rb/","check listing")</f>
        <v>check listing</v>
      </c>
      <c r="AB7204" s="5" t="str">
        <f>HYPERLINK("https://propertylookup.dupagecounty.gov/Datalets/Datalet.aspx?UseSearch=no&amp;mode=sales&amp;pin=0824302011","sales record")</f>
        <v>sales record</v>
      </c>
      <c r="AC7204" t="s">
        <v>3</v>
      </c>
      <c r="AD7204">
        <v>41.763378</v>
      </c>
      <c r="AE7204">
        <v>-88.048984</v>
      </c>
      <c r="AF7204" s="5" t="str">
        <f>HYPERLINK("https://www.google.com/maps/search/?api=1&amp;query=41.763378,-88.048984","map")</f>
        <v>map</v>
      </c>
    </row>
    <row r="7205" spans="1:32">
      <c r="A7205" t="s">
        <v>7255</v>
      </c>
      <c r="B7205" t="s">
        <v>14707</v>
      </c>
      <c r="C7205" t="s">
        <v>15323</v>
      </c>
      <c r="D7205" t="s">
        <v>16215</v>
      </c>
      <c r="E7205" t="s">
        <v>16218</v>
      </c>
      <c r="F7205" t="s">
        <v>16220</v>
      </c>
      <c r="G7205" t="s">
        <v>16299</v>
      </c>
      <c r="H7205" t="s">
        <v>16299</v>
      </c>
      <c r="I7205" t="s">
        <v>16382</v>
      </c>
      <c r="J7205" t="s">
        <v>16385</v>
      </c>
      <c r="K7205">
        <v>0.158</v>
      </c>
      <c r="L7205">
        <v>6863</v>
      </c>
      <c r="M7205">
        <v>2251</v>
      </c>
      <c r="N7205" t="s">
        <v>16393</v>
      </c>
      <c r="O7205" s="4">
        <v>54797</v>
      </c>
      <c r="P7205" s="4">
        <v>66094</v>
      </c>
      <c r="Q7205" s="4">
        <v>120891</v>
      </c>
      <c r="R7205" s="4">
        <v>362673</v>
      </c>
      <c r="S7205" t="s">
        <v>23354</v>
      </c>
      <c r="T7205" s="6">
        <v>44931</v>
      </c>
      <c r="U7205" s="4">
        <v>247000</v>
      </c>
      <c r="V7205" t="s">
        <v>23738</v>
      </c>
      <c r="W7205" t="s">
        <v>27664</v>
      </c>
      <c r="X7205" t="s">
        <v>3</v>
      </c>
      <c r="AA7205" s="5" t="str">
        <f>HYPERLINK("https://www.zillow.com/homes/6683-WHEATFIELD-ST-WOODRIDGE-IL-60517_rb/","check listing")</f>
        <v>check listing</v>
      </c>
      <c r="AB7205" s="5" t="str">
        <f>HYPERLINK("https://propertylookup.dupagecounty.gov/Datalets/Datalet.aspx?UseSearch=no&amp;mode=sales&amp;pin=0824111004","sales record")</f>
        <v>sales record</v>
      </c>
      <c r="AC7205" t="s">
        <v>3</v>
      </c>
      <c r="AD7205">
        <v>41.765251</v>
      </c>
      <c r="AE7205">
        <v>-88.044596</v>
      </c>
      <c r="AF7205" s="5" t="str">
        <f>HYPERLINK("https://www.google.com/maps/search/?api=1&amp;query=41.765251,-88.044596","map")</f>
        <v>map</v>
      </c>
    </row>
    <row r="7206" spans="1:32">
      <c r="A7206" t="s">
        <v>7256</v>
      </c>
      <c r="B7206" t="s">
        <v>14708</v>
      </c>
      <c r="C7206" t="s">
        <v>16166</v>
      </c>
      <c r="D7206" t="s">
        <v>16215</v>
      </c>
      <c r="E7206" t="s">
        <v>16218</v>
      </c>
      <c r="F7206" t="s">
        <v>16220</v>
      </c>
      <c r="G7206" t="s">
        <v>16299</v>
      </c>
      <c r="H7206" t="s">
        <v>16299</v>
      </c>
      <c r="I7206" t="s">
        <v>16382</v>
      </c>
      <c r="J7206" t="s">
        <v>16385</v>
      </c>
      <c r="K7206">
        <v>0.157</v>
      </c>
      <c r="L7206">
        <v>6853</v>
      </c>
      <c r="M7206">
        <v>1965</v>
      </c>
      <c r="N7206" t="s">
        <v>16393</v>
      </c>
      <c r="O7206" s="4">
        <v>54797</v>
      </c>
      <c r="P7206" s="4">
        <v>76630</v>
      </c>
      <c r="Q7206" s="4">
        <v>131427</v>
      </c>
      <c r="R7206" s="4">
        <v>394281</v>
      </c>
      <c r="S7206" t="s">
        <v>23355</v>
      </c>
      <c r="T7206" s="6">
        <v>34547</v>
      </c>
      <c r="U7206" s="4">
        <v>161000</v>
      </c>
      <c r="X7206" t="s">
        <v>3</v>
      </c>
      <c r="AA7206" s="5" t="str">
        <f>HYPERLINK("https://www.zillow.com/homes/6940-RED-BUD-LN-WOODRIDGE-IL-605171719_rb/","check listing")</f>
        <v>check listing</v>
      </c>
      <c r="AB7206" s="5" t="str">
        <f>HYPERLINK("https://propertylookup.dupagecounty.gov/Datalets/Datalet.aspx?UseSearch=no&amp;mode=sales&amp;pin=0824305005","sales record")</f>
        <v>sales record</v>
      </c>
      <c r="AC7206" t="s">
        <v>3</v>
      </c>
      <c r="AD7206">
        <v>41.760918</v>
      </c>
      <c r="AE7206">
        <v>-88.04816</v>
      </c>
      <c r="AF7206" s="5" t="str">
        <f>HYPERLINK("https://www.google.com/maps/search/?api=1&amp;query=41.760918,-88.04816","map")</f>
        <v>map</v>
      </c>
    </row>
    <row r="7207" spans="1:32">
      <c r="A7207" t="s">
        <v>7257</v>
      </c>
      <c r="B7207" t="s">
        <v>14709</v>
      </c>
      <c r="C7207" t="s">
        <v>15323</v>
      </c>
      <c r="D7207" t="s">
        <v>16215</v>
      </c>
      <c r="E7207" t="s">
        <v>16218</v>
      </c>
      <c r="F7207" t="s">
        <v>16220</v>
      </c>
      <c r="G7207" t="s">
        <v>16299</v>
      </c>
      <c r="H7207" t="s">
        <v>16299</v>
      </c>
      <c r="I7207" t="s">
        <v>16382</v>
      </c>
      <c r="J7207" t="s">
        <v>16385</v>
      </c>
      <c r="K7207">
        <v>0.157</v>
      </c>
      <c r="L7207">
        <v>6849</v>
      </c>
      <c r="M7207">
        <v>2254</v>
      </c>
      <c r="N7207" t="s">
        <v>16393</v>
      </c>
      <c r="O7207" s="4">
        <v>54797</v>
      </c>
      <c r="P7207" s="4">
        <v>63442</v>
      </c>
      <c r="Q7207" s="4">
        <v>118239</v>
      </c>
      <c r="R7207" s="4">
        <v>354717</v>
      </c>
      <c r="S7207" t="s">
        <v>23356</v>
      </c>
      <c r="T7207" s="6">
        <v>44256</v>
      </c>
      <c r="U7207" s="4">
        <v>269900</v>
      </c>
      <c r="V7207" t="s">
        <v>23739</v>
      </c>
      <c r="W7207" t="s">
        <v>27665</v>
      </c>
      <c r="X7207" t="s">
        <v>3</v>
      </c>
      <c r="AA7207" s="5" t="str">
        <f>HYPERLINK("https://www.zillow.com/homes/6720-FOX-TREE-AVE-WOODRIDGE-IL-60517_rb/","check listing")</f>
        <v>check listing</v>
      </c>
      <c r="AB7207" s="5" t="str">
        <f>HYPERLINK("https://propertylookup.dupagecounty.gov/Datalets/Datalet.aspx?UseSearch=no&amp;mode=sales&amp;pin=0824316021","sales record")</f>
        <v>sales record</v>
      </c>
      <c r="AC7207" t="s">
        <v>3</v>
      </c>
      <c r="AD7207">
        <v>41.76378</v>
      </c>
      <c r="AE7207">
        <v>-88.045354</v>
      </c>
      <c r="AF7207" s="5" t="str">
        <f>HYPERLINK("https://www.google.com/maps/search/?api=1&amp;query=41.76378,-88.045354","map")</f>
        <v>map</v>
      </c>
    </row>
    <row r="7208" spans="1:32">
      <c r="A7208" t="s">
        <v>7258</v>
      </c>
      <c r="B7208" t="s">
        <v>14710</v>
      </c>
      <c r="C7208" t="s">
        <v>16167</v>
      </c>
      <c r="D7208" t="s">
        <v>16215</v>
      </c>
      <c r="E7208" t="s">
        <v>16218</v>
      </c>
      <c r="F7208" t="s">
        <v>16220</v>
      </c>
      <c r="G7208" t="s">
        <v>16299</v>
      </c>
      <c r="H7208" t="s">
        <v>16299</v>
      </c>
      <c r="I7208" t="s">
        <v>16382</v>
      </c>
      <c r="J7208" t="s">
        <v>16385</v>
      </c>
      <c r="K7208">
        <v>0.157</v>
      </c>
      <c r="L7208">
        <v>6845</v>
      </c>
      <c r="M7208">
        <v>1823</v>
      </c>
      <c r="N7208" t="s">
        <v>16393</v>
      </c>
      <c r="O7208" s="4">
        <v>49124</v>
      </c>
      <c r="P7208" s="4">
        <v>49303</v>
      </c>
      <c r="Q7208" s="4">
        <v>98427</v>
      </c>
      <c r="R7208" s="4">
        <v>295281</v>
      </c>
      <c r="S7208" t="s">
        <v>23357</v>
      </c>
      <c r="T7208" s="6">
        <v>42917</v>
      </c>
      <c r="U7208" s="4">
        <v>205000</v>
      </c>
      <c r="V7208" t="s">
        <v>23740</v>
      </c>
      <c r="W7208" t="s">
        <v>27666</v>
      </c>
      <c r="X7208" t="s">
        <v>3</v>
      </c>
      <c r="AA7208" s="5" t="str">
        <f>HYPERLINK("https://www.zillow.com/homes/5-RED-WING-CT-WOODRIDGE-IL-605171849_rb/","check listing")</f>
        <v>check listing</v>
      </c>
      <c r="AB7208" s="5" t="str">
        <f>HYPERLINK("https://propertylookup.dupagecounty.gov/Datalets/Datalet.aspx?UseSearch=no&amp;mode=sales&amp;pin=0824404028","sales record")</f>
        <v>sales record</v>
      </c>
      <c r="AC7208" t="s">
        <v>3</v>
      </c>
      <c r="AD7208">
        <v>41.762122</v>
      </c>
      <c r="AE7208">
        <v>-88.03722500000001</v>
      </c>
      <c r="AF7208" s="5" t="str">
        <f>HYPERLINK("https://www.google.com/maps/search/?api=1&amp;query=41.762122,-88.037225","map")</f>
        <v>map</v>
      </c>
    </row>
    <row r="7209" spans="1:32">
      <c r="A7209" t="s">
        <v>7259</v>
      </c>
      <c r="B7209" t="s">
        <v>14711</v>
      </c>
      <c r="C7209" t="s">
        <v>15323</v>
      </c>
      <c r="D7209" t="s">
        <v>16215</v>
      </c>
      <c r="E7209" t="s">
        <v>16218</v>
      </c>
      <c r="F7209" t="s">
        <v>16220</v>
      </c>
      <c r="G7209" t="s">
        <v>16299</v>
      </c>
      <c r="H7209" t="s">
        <v>16299</v>
      </c>
      <c r="I7209" t="s">
        <v>16382</v>
      </c>
      <c r="J7209" t="s">
        <v>16385</v>
      </c>
      <c r="K7209">
        <v>0.157</v>
      </c>
      <c r="L7209">
        <v>6834</v>
      </c>
      <c r="M7209">
        <v>1588</v>
      </c>
      <c r="N7209" t="s">
        <v>16393</v>
      </c>
      <c r="O7209" s="4">
        <v>54797</v>
      </c>
      <c r="P7209" s="4">
        <v>82551</v>
      </c>
      <c r="Q7209" s="4">
        <v>137348</v>
      </c>
      <c r="R7209" s="4">
        <v>412044</v>
      </c>
      <c r="S7209" t="s">
        <v>23358</v>
      </c>
      <c r="T7209" s="6">
        <v>40179</v>
      </c>
      <c r="U7209" s="4">
        <v>165000</v>
      </c>
      <c r="V7209" t="s">
        <v>16232</v>
      </c>
      <c r="W7209" t="s">
        <v>27667</v>
      </c>
      <c r="X7209" t="s">
        <v>3</v>
      </c>
      <c r="AA7209" s="5" t="str">
        <f>HYPERLINK("https://www.zillow.com/homes/6693-FOX-TREE-AVE-WOODRIDGE-IL-60517_rb/","check listing")</f>
        <v>check listing</v>
      </c>
      <c r="AB7209" s="5" t="str">
        <f>HYPERLINK("https://propertylookup.dupagecounty.gov/Datalets/Datalet.aspx?UseSearch=no&amp;mode=sales&amp;pin=0824111001","sales record")</f>
        <v>sales record</v>
      </c>
      <c r="AC7209" t="s">
        <v>3</v>
      </c>
      <c r="AD7209">
        <v>41.765386</v>
      </c>
      <c r="AE7209">
        <v>-88.045147</v>
      </c>
      <c r="AF7209" s="5" t="str">
        <f>HYPERLINK("https://www.google.com/maps/search/?api=1&amp;query=41.765386,-88.045147","map")</f>
        <v>map</v>
      </c>
    </row>
    <row r="7210" spans="1:32">
      <c r="A7210" t="s">
        <v>7260</v>
      </c>
      <c r="B7210" t="s">
        <v>14712</v>
      </c>
      <c r="C7210" t="s">
        <v>15323</v>
      </c>
      <c r="D7210" t="s">
        <v>16215</v>
      </c>
      <c r="E7210" t="s">
        <v>16218</v>
      </c>
      <c r="F7210" t="s">
        <v>16220</v>
      </c>
      <c r="G7210" t="s">
        <v>16299</v>
      </c>
      <c r="H7210" t="s">
        <v>16299</v>
      </c>
      <c r="I7210" t="s">
        <v>16382</v>
      </c>
      <c r="J7210" t="s">
        <v>16385</v>
      </c>
      <c r="K7210">
        <v>0.157</v>
      </c>
      <c r="L7210">
        <v>6828</v>
      </c>
      <c r="M7210">
        <v>2083</v>
      </c>
      <c r="N7210" t="s">
        <v>16393</v>
      </c>
      <c r="O7210" s="4">
        <v>57651</v>
      </c>
      <c r="P7210" s="4">
        <v>75881</v>
      </c>
      <c r="Q7210" s="4">
        <v>133532</v>
      </c>
      <c r="R7210" s="4">
        <v>400596</v>
      </c>
      <c r="S7210" t="s">
        <v>23359</v>
      </c>
      <c r="T7210" s="6">
        <v>34335</v>
      </c>
      <c r="U7210" s="4">
        <v>130000</v>
      </c>
      <c r="X7210" t="s">
        <v>3</v>
      </c>
      <c r="AA7210" s="5" t="str">
        <f>HYPERLINK("https://www.zillow.com/homes/6950-BLUE-FLAG-AVE-WOODRIDGE-IL-60517_rb/","check listing")</f>
        <v>check listing</v>
      </c>
      <c r="AB7210" s="5" t="str">
        <f>HYPERLINK("https://propertylookup.dupagecounty.gov/Datalets/Datalet.aspx?UseSearch=no&amp;mode=sales&amp;pin=0823414047","sales record")</f>
        <v>sales record</v>
      </c>
      <c r="AC7210" t="s">
        <v>3</v>
      </c>
      <c r="AD7210">
        <v>41.759476</v>
      </c>
      <c r="AE7210">
        <v>-88.051391</v>
      </c>
      <c r="AF7210" s="5" t="str">
        <f>HYPERLINK("https://www.google.com/maps/search/?api=1&amp;query=41.759476,-88.051391","map")</f>
        <v>map</v>
      </c>
    </row>
    <row r="7211" spans="1:32">
      <c r="A7211" t="s">
        <v>7261</v>
      </c>
      <c r="B7211" t="s">
        <v>14713</v>
      </c>
      <c r="C7211" t="s">
        <v>16163</v>
      </c>
      <c r="D7211" t="s">
        <v>16215</v>
      </c>
      <c r="E7211" t="s">
        <v>16218</v>
      </c>
      <c r="F7211" t="s">
        <v>16220</v>
      </c>
      <c r="G7211" t="s">
        <v>16299</v>
      </c>
      <c r="H7211" t="s">
        <v>16299</v>
      </c>
      <c r="I7211" t="s">
        <v>16382</v>
      </c>
      <c r="J7211" t="s">
        <v>16385</v>
      </c>
      <c r="K7211">
        <v>0.156</v>
      </c>
      <c r="L7211">
        <v>6811</v>
      </c>
      <c r="M7211">
        <v>1377</v>
      </c>
      <c r="N7211" t="s">
        <v>16393</v>
      </c>
      <c r="O7211" s="4">
        <v>54797</v>
      </c>
      <c r="P7211" s="4">
        <v>73276</v>
      </c>
      <c r="Q7211" s="4">
        <v>128073</v>
      </c>
      <c r="R7211" s="4">
        <v>384219</v>
      </c>
      <c r="S7211" t="s">
        <v>23360</v>
      </c>
      <c r="T7211" s="6">
        <v>45819</v>
      </c>
      <c r="U7211" s="4">
        <v>422000</v>
      </c>
      <c r="V7211" t="s">
        <v>23739</v>
      </c>
      <c r="W7211" t="s">
        <v>27668</v>
      </c>
      <c r="X7211" t="s">
        <v>3</v>
      </c>
      <c r="AA7211" s="5" t="str">
        <f>HYPERLINK("https://www.zillow.com/homes/2566-YELLOW-STAR-ST-WOODRIDGE-IL-605171710_rb/","check listing")</f>
        <v>check listing</v>
      </c>
      <c r="AB7211" s="5" t="str">
        <f>HYPERLINK("https://propertylookup.dupagecounty.gov/Datalets/Datalet.aspx?UseSearch=no&amp;mode=sales&amp;pin=0824302010","sales record")</f>
        <v>sales record</v>
      </c>
      <c r="AC7211" t="s">
        <v>3</v>
      </c>
      <c r="AD7211">
        <v>41.763557</v>
      </c>
      <c r="AE7211">
        <v>-88.048875</v>
      </c>
      <c r="AF7211" s="5" t="str">
        <f>HYPERLINK("https://www.google.com/maps/search/?api=1&amp;query=41.763557,-88.048875","map")</f>
        <v>map</v>
      </c>
    </row>
    <row r="7212" spans="1:32">
      <c r="A7212" t="s">
        <v>7262</v>
      </c>
      <c r="B7212" t="s">
        <v>14714</v>
      </c>
      <c r="C7212" t="s">
        <v>16155</v>
      </c>
      <c r="D7212" t="s">
        <v>16215</v>
      </c>
      <c r="E7212" t="s">
        <v>16218</v>
      </c>
      <c r="F7212" t="s">
        <v>16220</v>
      </c>
      <c r="G7212" t="s">
        <v>16299</v>
      </c>
      <c r="H7212" t="s">
        <v>16299</v>
      </c>
      <c r="I7212" t="s">
        <v>16382</v>
      </c>
      <c r="J7212" t="s">
        <v>16385</v>
      </c>
      <c r="K7212">
        <v>0.156</v>
      </c>
      <c r="L7212">
        <v>6787</v>
      </c>
      <c r="M7212">
        <v>782</v>
      </c>
      <c r="N7212" t="s">
        <v>16393</v>
      </c>
      <c r="O7212" s="4">
        <v>54797</v>
      </c>
      <c r="P7212" s="4">
        <v>66272</v>
      </c>
      <c r="Q7212" s="4">
        <v>121069</v>
      </c>
      <c r="R7212" s="4">
        <v>363207</v>
      </c>
      <c r="S7212" t="s">
        <v>23361</v>
      </c>
      <c r="T7212" s="6">
        <v>40452</v>
      </c>
      <c r="U7212" s="4">
        <v>212500</v>
      </c>
      <c r="V7212" t="s">
        <v>23739</v>
      </c>
      <c r="W7212" t="s">
        <v>27669</v>
      </c>
      <c r="X7212" t="s">
        <v>3</v>
      </c>
      <c r="AA7212" s="5" t="str">
        <f>HYPERLINK("https://www.zillow.com/homes/6734-CHERRYTREE-AVE-WOODRIDGE-IL-605171732_rb/","check listing")</f>
        <v>check listing</v>
      </c>
      <c r="AB7212" s="5" t="str">
        <f>HYPERLINK("https://propertylookup.dupagecounty.gov/Datalets/Datalet.aspx?UseSearch=no&amp;mode=sales&amp;pin=0824315015","sales record")</f>
        <v>sales record</v>
      </c>
      <c r="AC7212" t="s">
        <v>3</v>
      </c>
      <c r="AD7212">
        <v>41.763007</v>
      </c>
      <c r="AE7212">
        <v>-88.046708</v>
      </c>
      <c r="AF7212" s="5" t="str">
        <f>HYPERLINK("https://www.google.com/maps/search/?api=1&amp;query=41.763007,-88.046708","map")</f>
        <v>map</v>
      </c>
    </row>
    <row r="7213" spans="1:32">
      <c r="A7213" t="s">
        <v>7263</v>
      </c>
      <c r="B7213" t="s">
        <v>14715</v>
      </c>
      <c r="C7213" t="s">
        <v>15323</v>
      </c>
      <c r="D7213" t="s">
        <v>16215</v>
      </c>
      <c r="E7213" t="s">
        <v>16218</v>
      </c>
      <c r="F7213" t="s">
        <v>16220</v>
      </c>
      <c r="G7213" t="s">
        <v>16299</v>
      </c>
      <c r="H7213" t="s">
        <v>16299</v>
      </c>
      <c r="I7213" t="s">
        <v>16382</v>
      </c>
      <c r="J7213" t="s">
        <v>16385</v>
      </c>
      <c r="K7213">
        <v>0.156</v>
      </c>
      <c r="L7213">
        <v>6785</v>
      </c>
      <c r="M7213">
        <v>1608</v>
      </c>
      <c r="N7213" t="s">
        <v>16393</v>
      </c>
      <c r="O7213" s="4">
        <v>54797</v>
      </c>
      <c r="P7213" s="4">
        <v>65772</v>
      </c>
      <c r="Q7213" s="4">
        <v>120569</v>
      </c>
      <c r="R7213" s="4">
        <v>361707</v>
      </c>
      <c r="S7213" t="s">
        <v>23362</v>
      </c>
      <c r="T7213" s="6">
        <v>38718</v>
      </c>
      <c r="U7213" s="4">
        <v>248000</v>
      </c>
      <c r="V7213" t="s">
        <v>23739</v>
      </c>
      <c r="W7213" t="s">
        <v>23362</v>
      </c>
      <c r="X7213" t="s">
        <v>3</v>
      </c>
      <c r="AA7213" s="5" t="str">
        <f>HYPERLINK("https://www.zillow.com/homes/6684-FOX-TREE-AVE-WOODRIDGE-IL-60517_rb/","check listing")</f>
        <v>check listing</v>
      </c>
      <c r="AB7213" s="5" t="str">
        <f>HYPERLINK("https://propertylookup.dupagecounty.gov/Datalets/Datalet.aspx?UseSearch=no&amp;mode=sales&amp;pin=0824109003","sales record")</f>
        <v>sales record</v>
      </c>
      <c r="AC7213" t="s">
        <v>3</v>
      </c>
      <c r="AD7213">
        <v>41.76622</v>
      </c>
      <c r="AE7213">
        <v>-88.045224</v>
      </c>
      <c r="AF7213" s="5" t="str">
        <f>HYPERLINK("https://www.google.com/maps/search/?api=1&amp;query=41.76622,-88.045224","map")</f>
        <v>map</v>
      </c>
    </row>
    <row r="7214" spans="1:32">
      <c r="A7214" t="s">
        <v>7264</v>
      </c>
      <c r="B7214" t="s">
        <v>14716</v>
      </c>
      <c r="C7214" t="s">
        <v>15323</v>
      </c>
      <c r="D7214" t="s">
        <v>16215</v>
      </c>
      <c r="E7214" t="s">
        <v>16218</v>
      </c>
      <c r="F7214" t="s">
        <v>16220</v>
      </c>
      <c r="G7214" t="s">
        <v>16299</v>
      </c>
      <c r="H7214" t="s">
        <v>16299</v>
      </c>
      <c r="I7214" t="s">
        <v>16382</v>
      </c>
      <c r="J7214" t="s">
        <v>16385</v>
      </c>
      <c r="K7214">
        <v>0.156</v>
      </c>
      <c r="L7214">
        <v>6778</v>
      </c>
      <c r="M7214">
        <v>1534</v>
      </c>
      <c r="N7214" t="s">
        <v>16393</v>
      </c>
      <c r="O7214" s="4">
        <v>54797</v>
      </c>
      <c r="P7214" s="4">
        <v>82837</v>
      </c>
      <c r="Q7214" s="4">
        <v>137634</v>
      </c>
      <c r="R7214" s="4">
        <v>412902</v>
      </c>
      <c r="S7214" t="s">
        <v>23363</v>
      </c>
      <c r="T7214" s="6">
        <v>39295</v>
      </c>
      <c r="U7214" s="4">
        <v>295000</v>
      </c>
      <c r="V7214" t="s">
        <v>23739</v>
      </c>
      <c r="W7214" t="s">
        <v>27670</v>
      </c>
      <c r="X7214" t="s">
        <v>3</v>
      </c>
      <c r="AA7214" s="5" t="str">
        <f>HYPERLINK("https://www.zillow.com/homes/2593-YELLOW-STAR-ST-WOODRIDGE-IL-60517_rb/","check listing")</f>
        <v>check listing</v>
      </c>
      <c r="AB7214" s="5" t="str">
        <f>HYPERLINK("https://propertylookup.dupagecounty.gov/Datalets/Datalet.aspx?UseSearch=no&amp;mode=sales&amp;pin=0824315017","sales record")</f>
        <v>sales record</v>
      </c>
      <c r="AC7214" t="s">
        <v>3</v>
      </c>
      <c r="AD7214">
        <v>41.76308</v>
      </c>
      <c r="AE7214">
        <v>-88.04782400000001</v>
      </c>
      <c r="AF7214" s="5" t="str">
        <f>HYPERLINK("https://www.google.com/maps/search/?api=1&amp;query=41.76308,-88.047824","map")</f>
        <v>map</v>
      </c>
    </row>
    <row r="7215" spans="1:32">
      <c r="A7215" t="s">
        <v>7265</v>
      </c>
      <c r="B7215" t="s">
        <v>14717</v>
      </c>
      <c r="C7215" t="s">
        <v>16168</v>
      </c>
      <c r="D7215" t="s">
        <v>16215</v>
      </c>
      <c r="E7215" t="s">
        <v>16218</v>
      </c>
      <c r="F7215" t="s">
        <v>16220</v>
      </c>
      <c r="G7215" t="s">
        <v>16299</v>
      </c>
      <c r="H7215" t="s">
        <v>16299</v>
      </c>
      <c r="I7215" t="s">
        <v>16382</v>
      </c>
      <c r="J7215" t="s">
        <v>16385</v>
      </c>
      <c r="K7215">
        <v>0.155</v>
      </c>
      <c r="L7215">
        <v>6767</v>
      </c>
      <c r="M7215">
        <v>1313</v>
      </c>
      <c r="N7215" t="s">
        <v>16393</v>
      </c>
      <c r="O7215" s="4">
        <v>54797</v>
      </c>
      <c r="P7215" s="4">
        <v>62812</v>
      </c>
      <c r="Q7215" s="4">
        <v>117609</v>
      </c>
      <c r="R7215" s="4">
        <v>352827</v>
      </c>
      <c r="S7215" t="s">
        <v>23364</v>
      </c>
      <c r="X7215" t="s">
        <v>3</v>
      </c>
      <c r="AA7215" s="5" t="str">
        <f>HYPERLINK("https://www.zillow.com/homes/2396-GOLDFINCH-ST-WOODRIDGE-IL-605171856_rb/","check listing")</f>
        <v>check listing</v>
      </c>
      <c r="AB7215" s="5" t="str">
        <f>HYPERLINK("https://propertylookup.dupagecounty.gov/Datalets/Datalet.aspx?UseSearch=no&amp;mode=sales&amp;pin=0824407007","sales record")</f>
        <v>sales record</v>
      </c>
      <c r="AC7215" t="s">
        <v>3</v>
      </c>
      <c r="AD7215">
        <v>41.761968</v>
      </c>
      <c r="AE7215">
        <v>-88.040414</v>
      </c>
      <c r="AF7215" s="5" t="str">
        <f>HYPERLINK("https://www.google.com/maps/search/?api=1&amp;query=41.761968,-88.040414","map")</f>
        <v>map</v>
      </c>
    </row>
    <row r="7216" spans="1:32">
      <c r="A7216" t="s">
        <v>7266</v>
      </c>
      <c r="B7216" t="s">
        <v>14718</v>
      </c>
      <c r="C7216" t="s">
        <v>15323</v>
      </c>
      <c r="D7216" t="s">
        <v>16215</v>
      </c>
      <c r="E7216" t="s">
        <v>16218</v>
      </c>
      <c r="F7216" t="s">
        <v>16220</v>
      </c>
      <c r="G7216" t="s">
        <v>16299</v>
      </c>
      <c r="H7216" t="s">
        <v>16299</v>
      </c>
      <c r="I7216" t="s">
        <v>16382</v>
      </c>
      <c r="J7216" t="s">
        <v>16385</v>
      </c>
      <c r="K7216">
        <v>0.155</v>
      </c>
      <c r="L7216">
        <v>6767</v>
      </c>
      <c r="M7216">
        <v>1209</v>
      </c>
      <c r="N7216" t="s">
        <v>16393</v>
      </c>
      <c r="O7216" s="4">
        <v>54797</v>
      </c>
      <c r="P7216" s="4">
        <v>66854</v>
      </c>
      <c r="Q7216" s="4">
        <v>121651</v>
      </c>
      <c r="R7216" s="4">
        <v>364953</v>
      </c>
      <c r="S7216" t="s">
        <v>23365</v>
      </c>
      <c r="T7216" s="6">
        <v>42552</v>
      </c>
      <c r="U7216" s="4">
        <v>215000</v>
      </c>
      <c r="V7216" t="s">
        <v>23739</v>
      </c>
      <c r="W7216" t="s">
        <v>27671</v>
      </c>
      <c r="X7216" t="s">
        <v>3</v>
      </c>
      <c r="AA7216" s="5" t="str">
        <f>HYPERLINK("https://www.zillow.com/homes/1-WREN-CT-WOODRIDGE-IL-60517_rb/","check listing")</f>
        <v>check listing</v>
      </c>
      <c r="AB7216" s="5" t="str">
        <f>HYPERLINK("https://propertylookup.dupagecounty.gov/Datalets/Datalet.aspx?UseSearch=no&amp;mode=sales&amp;pin=0824405008","sales record")</f>
        <v>sales record</v>
      </c>
      <c r="AC7216" t="s">
        <v>3</v>
      </c>
      <c r="AD7216">
        <v>41.763557</v>
      </c>
      <c r="AE7216">
        <v>-88.038957</v>
      </c>
      <c r="AF7216" s="5" t="str">
        <f>HYPERLINK("https://www.google.com/maps/search/?api=1&amp;query=41.763557,-88.038957","map")</f>
        <v>map</v>
      </c>
    </row>
    <row r="7217" spans="1:32">
      <c r="A7217" t="s">
        <v>7267</v>
      </c>
      <c r="B7217" t="s">
        <v>14719</v>
      </c>
      <c r="C7217" t="s">
        <v>15323</v>
      </c>
      <c r="D7217" t="s">
        <v>16215</v>
      </c>
      <c r="E7217" t="s">
        <v>16218</v>
      </c>
      <c r="F7217" t="s">
        <v>16220</v>
      </c>
      <c r="G7217" t="s">
        <v>16299</v>
      </c>
      <c r="H7217" t="s">
        <v>16299</v>
      </c>
      <c r="I7217" t="s">
        <v>16382</v>
      </c>
      <c r="J7217" t="s">
        <v>16385</v>
      </c>
      <c r="K7217">
        <v>0.155</v>
      </c>
      <c r="L7217">
        <v>6766</v>
      </c>
      <c r="M7217">
        <v>1743</v>
      </c>
      <c r="N7217" t="s">
        <v>16393</v>
      </c>
      <c r="O7217" s="4">
        <v>54797</v>
      </c>
      <c r="P7217" s="4">
        <v>82337</v>
      </c>
      <c r="Q7217" s="4">
        <v>137134</v>
      </c>
      <c r="R7217" s="4">
        <v>411402</v>
      </c>
      <c r="S7217" t="s">
        <v>23366</v>
      </c>
      <c r="T7217" s="6">
        <v>41548</v>
      </c>
      <c r="U7217" s="4">
        <v>237500</v>
      </c>
      <c r="V7217" t="s">
        <v>23739</v>
      </c>
      <c r="W7217" t="s">
        <v>27672</v>
      </c>
      <c r="X7217" t="s">
        <v>3</v>
      </c>
      <c r="AA7217" s="5" t="str">
        <f>HYPERLINK("https://www.zillow.com/homes/1-SWALLOW-CT-WOODRIDGE-IL-60517_rb/","check listing")</f>
        <v>check listing</v>
      </c>
      <c r="AB7217" s="5" t="str">
        <f>HYPERLINK("https://propertylookup.dupagecounty.gov/Datalets/Datalet.aspx?UseSearch=no&amp;mode=sales&amp;pin=0824317015","sales record")</f>
        <v>sales record</v>
      </c>
      <c r="AC7217" t="s">
        <v>3</v>
      </c>
      <c r="AD7217">
        <v>41.763748</v>
      </c>
      <c r="AE7217">
        <v>-88.04384</v>
      </c>
      <c r="AF7217" s="5" t="str">
        <f>HYPERLINK("https://www.google.com/maps/search/?api=1&amp;query=41.763748,-88.04384","map")</f>
        <v>map</v>
      </c>
    </row>
    <row r="7218" spans="1:32">
      <c r="A7218" t="s">
        <v>7268</v>
      </c>
      <c r="B7218" t="s">
        <v>14720</v>
      </c>
      <c r="C7218" t="s">
        <v>16161</v>
      </c>
      <c r="D7218" t="s">
        <v>16215</v>
      </c>
      <c r="E7218" t="s">
        <v>16218</v>
      </c>
      <c r="F7218" t="s">
        <v>16220</v>
      </c>
      <c r="G7218" t="s">
        <v>16299</v>
      </c>
      <c r="H7218" t="s">
        <v>16299</v>
      </c>
      <c r="I7218" t="s">
        <v>16382</v>
      </c>
      <c r="J7218" t="s">
        <v>16385</v>
      </c>
      <c r="K7218">
        <v>0.155</v>
      </c>
      <c r="L7218">
        <v>6761</v>
      </c>
      <c r="M7218">
        <v>1311</v>
      </c>
      <c r="N7218" t="s">
        <v>16393</v>
      </c>
      <c r="O7218" s="4">
        <v>54797</v>
      </c>
      <c r="P7218" s="4">
        <v>55212</v>
      </c>
      <c r="Q7218" s="4">
        <v>110009</v>
      </c>
      <c r="R7218" s="4">
        <v>330027</v>
      </c>
      <c r="S7218" t="s">
        <v>23367</v>
      </c>
      <c r="T7218" s="6">
        <v>40787</v>
      </c>
      <c r="U7218" s="4">
        <v>165000</v>
      </c>
      <c r="V7218" t="s">
        <v>23739</v>
      </c>
      <c r="W7218" t="s">
        <v>27673</v>
      </c>
      <c r="X7218" t="s">
        <v>3</v>
      </c>
      <c r="AA7218" s="5" t="str">
        <f>HYPERLINK("https://www.zillow.com/homes/7-ORIOLE-CT-WOODRIDGE-IL-605171851_rb/","check listing")</f>
        <v>check listing</v>
      </c>
      <c r="AB7218" s="5" t="str">
        <f>HYPERLINK("https://propertylookup.dupagecounty.gov/Datalets/Datalet.aspx?UseSearch=no&amp;mode=sales&amp;pin=0824319034","sales record")</f>
        <v>sales record</v>
      </c>
      <c r="AC7218" t="s">
        <v>3</v>
      </c>
      <c r="AD7218">
        <v>41.761765</v>
      </c>
      <c r="AE7218">
        <v>-88.041325</v>
      </c>
      <c r="AF7218" s="5" t="str">
        <f>HYPERLINK("https://www.google.com/maps/search/?api=1&amp;query=41.761765,-88.041325","map")</f>
        <v>map</v>
      </c>
    </row>
    <row r="7219" spans="1:32">
      <c r="A7219" t="s">
        <v>7269</v>
      </c>
      <c r="B7219" t="s">
        <v>14721</v>
      </c>
      <c r="C7219" t="s">
        <v>16136</v>
      </c>
      <c r="D7219" t="s">
        <v>16215</v>
      </c>
      <c r="E7219" t="s">
        <v>16218</v>
      </c>
      <c r="F7219" t="s">
        <v>16220</v>
      </c>
      <c r="G7219" t="s">
        <v>16299</v>
      </c>
      <c r="H7219" t="s">
        <v>16299</v>
      </c>
      <c r="I7219" t="s">
        <v>16382</v>
      </c>
      <c r="J7219" t="s">
        <v>16385</v>
      </c>
      <c r="K7219">
        <v>0.155</v>
      </c>
      <c r="L7219">
        <v>6760</v>
      </c>
      <c r="M7219">
        <v>1397</v>
      </c>
      <c r="N7219" t="s">
        <v>16393</v>
      </c>
      <c r="O7219" s="4">
        <v>54797</v>
      </c>
      <c r="P7219" s="4">
        <v>63989</v>
      </c>
      <c r="Q7219" s="4">
        <v>118786</v>
      </c>
      <c r="R7219" s="4">
        <v>356358</v>
      </c>
      <c r="S7219" t="s">
        <v>23368</v>
      </c>
      <c r="T7219" s="6">
        <v>44348</v>
      </c>
      <c r="U7219" s="4">
        <v>341000</v>
      </c>
      <c r="V7219" t="s">
        <v>23739</v>
      </c>
      <c r="W7219" t="s">
        <v>23368</v>
      </c>
      <c r="X7219" t="s">
        <v>3</v>
      </c>
      <c r="AA7219" s="5" t="str">
        <f>HYPERLINK("https://www.zillow.com/homes/6676-FOXTREE-AVE-WOODRIDGE-IL-605171729_rb/","check listing")</f>
        <v>check listing</v>
      </c>
      <c r="AB7219" s="5" t="str">
        <f>HYPERLINK("https://propertylookup.dupagecounty.gov/Datalets/Datalet.aspx?UseSearch=no&amp;mode=sales&amp;pin=0824109006","sales record")</f>
        <v>sales record</v>
      </c>
      <c r="AC7219" t="s">
        <v>3</v>
      </c>
      <c r="AD7219">
        <v>41.766541</v>
      </c>
      <c r="AE7219">
        <v>-88.044768</v>
      </c>
      <c r="AF7219" s="5" t="str">
        <f>HYPERLINK("https://www.google.com/maps/search/?api=1&amp;query=41.766541,-88.044768","map")</f>
        <v>map</v>
      </c>
    </row>
    <row r="7220" spans="1:32">
      <c r="A7220" t="s">
        <v>7270</v>
      </c>
      <c r="B7220" t="s">
        <v>14722</v>
      </c>
      <c r="C7220" t="s">
        <v>15323</v>
      </c>
      <c r="D7220" t="s">
        <v>16215</v>
      </c>
      <c r="E7220" t="s">
        <v>16218</v>
      </c>
      <c r="F7220" t="s">
        <v>16220</v>
      </c>
      <c r="G7220" t="s">
        <v>16299</v>
      </c>
      <c r="H7220" t="s">
        <v>16299</v>
      </c>
      <c r="I7220" t="s">
        <v>16382</v>
      </c>
      <c r="J7220" t="s">
        <v>16385</v>
      </c>
      <c r="K7220">
        <v>0.155</v>
      </c>
      <c r="L7220">
        <v>6758</v>
      </c>
      <c r="M7220">
        <v>1175</v>
      </c>
      <c r="N7220" t="s">
        <v>16393</v>
      </c>
      <c r="O7220" s="4">
        <v>49124</v>
      </c>
      <c r="P7220" s="4">
        <v>55903</v>
      </c>
      <c r="Q7220" s="4">
        <v>105027</v>
      </c>
      <c r="R7220" s="4">
        <v>315081</v>
      </c>
      <c r="S7220" t="s">
        <v>23369</v>
      </c>
      <c r="T7220" s="6">
        <v>44880</v>
      </c>
      <c r="U7220" s="4">
        <v>250000</v>
      </c>
      <c r="V7220" t="s">
        <v>23739</v>
      </c>
      <c r="W7220" t="s">
        <v>27674</v>
      </c>
      <c r="X7220" t="s">
        <v>3</v>
      </c>
      <c r="AA7220" s="5" t="str">
        <f>HYPERLINK("https://www.zillow.com/homes/6837-RED-WING-DR-WOODRIDGE-IL-60517_rb/","check listing")</f>
        <v>check listing</v>
      </c>
      <c r="AB7220" s="5" t="str">
        <f>HYPERLINK("https://propertylookup.dupagecounty.gov/Datalets/Datalet.aspx?UseSearch=no&amp;mode=sales&amp;pin=0824404021","sales record")</f>
        <v>sales record</v>
      </c>
      <c r="AC7220" t="s">
        <v>3</v>
      </c>
      <c r="AD7220">
        <v>41.762932</v>
      </c>
      <c r="AE7220">
        <v>-88.037864</v>
      </c>
      <c r="AF7220" s="5" t="str">
        <f>HYPERLINK("https://www.google.com/maps/search/?api=1&amp;query=41.762932,-88.037864","map")</f>
        <v>map</v>
      </c>
    </row>
    <row r="7221" spans="1:32">
      <c r="A7221" t="s">
        <v>7271</v>
      </c>
      <c r="B7221" t="s">
        <v>14723</v>
      </c>
      <c r="C7221" t="s">
        <v>16134</v>
      </c>
      <c r="D7221" t="s">
        <v>16215</v>
      </c>
      <c r="E7221" t="s">
        <v>16218</v>
      </c>
      <c r="F7221" t="s">
        <v>16220</v>
      </c>
      <c r="G7221" t="s">
        <v>16299</v>
      </c>
      <c r="H7221" t="s">
        <v>16299</v>
      </c>
      <c r="I7221" t="s">
        <v>16382</v>
      </c>
      <c r="J7221" t="s">
        <v>16385</v>
      </c>
      <c r="K7221">
        <v>0.155</v>
      </c>
      <c r="L7221">
        <v>6757</v>
      </c>
      <c r="M7221">
        <v>1676</v>
      </c>
      <c r="N7221" t="s">
        <v>16393</v>
      </c>
      <c r="O7221" s="4">
        <v>54797</v>
      </c>
      <c r="P7221" s="4">
        <v>81981</v>
      </c>
      <c r="Q7221" s="4">
        <v>136778</v>
      </c>
      <c r="R7221" s="4">
        <v>410334</v>
      </c>
      <c r="S7221" t="s">
        <v>23370</v>
      </c>
      <c r="T7221" s="6">
        <v>42370</v>
      </c>
      <c r="U7221" s="4">
        <v>283000</v>
      </c>
      <c r="V7221" t="s">
        <v>23739</v>
      </c>
      <c r="W7221" t="s">
        <v>27675</v>
      </c>
      <c r="X7221" t="s">
        <v>3</v>
      </c>
      <c r="AA7221" s="5" t="str">
        <f>HYPERLINK("https://www.zillow.com/homes/4-CARDINAL-CT-WOODRIDGE-IL-605171734_rb/","check listing")</f>
        <v>check listing</v>
      </c>
      <c r="AB7221" s="5" t="str">
        <f>HYPERLINK("https://propertylookup.dupagecounty.gov/Datalets/Datalet.aspx?UseSearch=no&amp;mode=sales&amp;pin=0824317017","sales record")</f>
        <v>sales record</v>
      </c>
      <c r="AC7221" t="s">
        <v>3</v>
      </c>
      <c r="AD7221">
        <v>41.763967</v>
      </c>
      <c r="AE7221">
        <v>-88.04350599999999</v>
      </c>
      <c r="AF7221" s="5" t="str">
        <f>HYPERLINK("https://www.google.com/maps/search/?api=1&amp;query=41.763967,-88.043506","map")</f>
        <v>map</v>
      </c>
    </row>
    <row r="7222" spans="1:32">
      <c r="A7222" t="s">
        <v>7272</v>
      </c>
      <c r="B7222" t="s">
        <v>14724</v>
      </c>
      <c r="C7222" t="s">
        <v>15323</v>
      </c>
      <c r="D7222" t="s">
        <v>16215</v>
      </c>
      <c r="E7222" t="s">
        <v>16218</v>
      </c>
      <c r="F7222" t="s">
        <v>16220</v>
      </c>
      <c r="G7222" t="s">
        <v>16299</v>
      </c>
      <c r="H7222" t="s">
        <v>16299</v>
      </c>
      <c r="I7222" t="s">
        <v>16382</v>
      </c>
      <c r="J7222" t="s">
        <v>16385</v>
      </c>
      <c r="K7222">
        <v>0.155</v>
      </c>
      <c r="L7222">
        <v>6745</v>
      </c>
      <c r="M7222">
        <v>1683</v>
      </c>
      <c r="N7222" t="s">
        <v>16393</v>
      </c>
      <c r="O7222" s="4">
        <v>54797</v>
      </c>
      <c r="P7222" s="4">
        <v>61610</v>
      </c>
      <c r="Q7222" s="4">
        <v>116407</v>
      </c>
      <c r="R7222" s="4">
        <v>349221</v>
      </c>
      <c r="S7222" t="s">
        <v>23371</v>
      </c>
      <c r="T7222" s="6">
        <v>41548</v>
      </c>
      <c r="U7222" s="4">
        <v>180000</v>
      </c>
      <c r="V7222" t="s">
        <v>23739</v>
      </c>
      <c r="W7222" t="s">
        <v>23371</v>
      </c>
      <c r="X7222" t="s">
        <v>3</v>
      </c>
      <c r="AA7222" s="5" t="str">
        <f>HYPERLINK("https://www.zillow.com/homes/2404-PHEASANT-ST-WOODRIDGE-IL-60517_rb/","check listing")</f>
        <v>check listing</v>
      </c>
      <c r="AB7222" s="5" t="str">
        <f>HYPERLINK("https://propertylookup.dupagecounty.gov/Datalets/Datalet.aspx?UseSearch=no&amp;mode=sales&amp;pin=0824401003","sales record")</f>
        <v>sales record</v>
      </c>
      <c r="AC7222" t="s">
        <v>3</v>
      </c>
      <c r="AD7222">
        <v>41.764915</v>
      </c>
      <c r="AE7222">
        <v>-88.040705</v>
      </c>
      <c r="AF7222" s="5" t="str">
        <f>HYPERLINK("https://www.google.com/maps/search/?api=1&amp;query=41.764915,-88.040705","map")</f>
        <v>map</v>
      </c>
    </row>
    <row r="7223" spans="1:32">
      <c r="A7223" t="s">
        <v>7273</v>
      </c>
      <c r="B7223" t="s">
        <v>14725</v>
      </c>
      <c r="C7223" t="s">
        <v>16153</v>
      </c>
      <c r="D7223" t="s">
        <v>16215</v>
      </c>
      <c r="E7223" t="s">
        <v>16218</v>
      </c>
      <c r="F7223" t="s">
        <v>16220</v>
      </c>
      <c r="G7223" t="s">
        <v>16299</v>
      </c>
      <c r="H7223" t="s">
        <v>16299</v>
      </c>
      <c r="I7223" t="s">
        <v>16382</v>
      </c>
      <c r="J7223" t="s">
        <v>16385</v>
      </c>
      <c r="K7223">
        <v>0.155</v>
      </c>
      <c r="L7223">
        <v>6743</v>
      </c>
      <c r="M7223">
        <v>2394</v>
      </c>
      <c r="N7223" t="s">
        <v>16393</v>
      </c>
      <c r="O7223" s="4">
        <v>52739</v>
      </c>
      <c r="P7223" s="4">
        <v>84501</v>
      </c>
      <c r="Q7223" s="4">
        <v>137240</v>
      </c>
      <c r="R7223" s="4">
        <v>411720</v>
      </c>
      <c r="S7223" t="s">
        <v>23372</v>
      </c>
      <c r="T7223" s="6">
        <v>44763</v>
      </c>
      <c r="U7223" s="4">
        <v>380000</v>
      </c>
      <c r="V7223" t="s">
        <v>23741</v>
      </c>
      <c r="W7223" t="s">
        <v>27676</v>
      </c>
      <c r="X7223" t="s">
        <v>3</v>
      </c>
      <c r="AA7223" s="5" t="str">
        <f>HYPERLINK("https://www.zillow.com/homes/2628-BERN-CT-WOODRIDGE-IL-605174527_rb/","check listing")</f>
        <v>check listing</v>
      </c>
      <c r="AB7223" s="5" t="str">
        <f>HYPERLINK("https://propertylookup.dupagecounty.gov/Datalets/Datalet.aspx?UseSearch=no&amp;mode=sales&amp;pin=0836103029","sales record")</f>
        <v>sales record</v>
      </c>
      <c r="AC7223" t="s">
        <v>3</v>
      </c>
      <c r="AD7223">
        <v>41.73623</v>
      </c>
      <c r="AE7223">
        <v>-88.04521099999999</v>
      </c>
      <c r="AF7223" s="5" t="str">
        <f>HYPERLINK("https://www.google.com/maps/search/?api=1&amp;query=41.73623,-88.045211","map")</f>
        <v>map</v>
      </c>
    </row>
    <row r="7224" spans="1:32">
      <c r="A7224" t="s">
        <v>7274</v>
      </c>
      <c r="B7224" t="s">
        <v>14726</v>
      </c>
      <c r="C7224" t="s">
        <v>15323</v>
      </c>
      <c r="D7224" t="s">
        <v>16215</v>
      </c>
      <c r="E7224" t="s">
        <v>16218</v>
      </c>
      <c r="F7224" t="s">
        <v>16220</v>
      </c>
      <c r="G7224" t="s">
        <v>16299</v>
      </c>
      <c r="H7224" t="s">
        <v>16299</v>
      </c>
      <c r="I7224" t="s">
        <v>16382</v>
      </c>
      <c r="J7224" t="s">
        <v>16385</v>
      </c>
      <c r="K7224">
        <v>0.155</v>
      </c>
      <c r="L7224">
        <v>6740</v>
      </c>
      <c r="M7224">
        <v>2510</v>
      </c>
      <c r="N7224" t="s">
        <v>16393</v>
      </c>
      <c r="O7224" s="4">
        <v>54797</v>
      </c>
      <c r="P7224" s="4">
        <v>71909</v>
      </c>
      <c r="Q7224" s="4">
        <v>126706</v>
      </c>
      <c r="R7224" s="4">
        <v>380118</v>
      </c>
      <c r="S7224" t="s">
        <v>23373</v>
      </c>
      <c r="T7224" s="6">
        <v>32752</v>
      </c>
      <c r="U7224" s="4">
        <v>124500</v>
      </c>
      <c r="X7224" t="s">
        <v>3</v>
      </c>
      <c r="AA7224" s="5" t="str">
        <f>HYPERLINK("https://www.zillow.com/homes/6701-AUDUBON-AVE-WOODRIDGE-IL-60517_rb/","check listing")</f>
        <v>check listing</v>
      </c>
      <c r="AB7224" s="5" t="str">
        <f>HYPERLINK("https://propertylookup.dupagecounty.gov/Datalets/Datalet.aspx?UseSearch=no&amp;mode=sales&amp;pin=0824318007","sales record")</f>
        <v>sales record</v>
      </c>
      <c r="AC7224" t="s">
        <v>3</v>
      </c>
      <c r="AD7224">
        <v>41.763799</v>
      </c>
      <c r="AE7224">
        <v>-88.042001</v>
      </c>
      <c r="AF7224" s="5" t="str">
        <f>HYPERLINK("https://www.google.com/maps/search/?api=1&amp;query=41.763799,-88.042001","map")</f>
        <v>map</v>
      </c>
    </row>
    <row r="7225" spans="1:32">
      <c r="A7225" t="s">
        <v>7275</v>
      </c>
      <c r="B7225" t="s">
        <v>14727</v>
      </c>
      <c r="C7225" t="s">
        <v>15323</v>
      </c>
      <c r="D7225" t="s">
        <v>16215</v>
      </c>
      <c r="E7225" t="s">
        <v>16218</v>
      </c>
      <c r="F7225" t="s">
        <v>16220</v>
      </c>
      <c r="G7225" t="s">
        <v>16299</v>
      </c>
      <c r="H7225" t="s">
        <v>16299</v>
      </c>
      <c r="I7225" t="s">
        <v>16382</v>
      </c>
      <c r="J7225" t="s">
        <v>16385</v>
      </c>
      <c r="K7225">
        <v>0.155</v>
      </c>
      <c r="L7225">
        <v>6740</v>
      </c>
      <c r="M7225">
        <v>1441</v>
      </c>
      <c r="N7225" t="s">
        <v>16393</v>
      </c>
      <c r="O7225" s="4">
        <v>54797</v>
      </c>
      <c r="P7225" s="4">
        <v>63704</v>
      </c>
      <c r="Q7225" s="4">
        <v>118501</v>
      </c>
      <c r="R7225" s="4">
        <v>355503</v>
      </c>
      <c r="S7225" t="s">
        <v>23374</v>
      </c>
      <c r="T7225" s="6">
        <v>42948</v>
      </c>
      <c r="U7225" s="4">
        <v>249000</v>
      </c>
      <c r="V7225" t="s">
        <v>23739</v>
      </c>
      <c r="W7225" t="s">
        <v>27677</v>
      </c>
      <c r="X7225" t="s">
        <v>3</v>
      </c>
      <c r="AA7225" s="5" t="str">
        <f>HYPERLINK("https://www.zillow.com/homes/2600-YELLOW-STAR-ST-WOODRIDGE-IL-60517_rb/","check listing")</f>
        <v>check listing</v>
      </c>
      <c r="AB7225" s="5" t="str">
        <f>HYPERLINK("https://propertylookup.dupagecounty.gov/Datalets/Datalet.aspx?UseSearch=no&amp;mode=sales&amp;pin=0824303040","sales record")</f>
        <v>sales record</v>
      </c>
      <c r="AC7225" t="s">
        <v>3</v>
      </c>
      <c r="AD7225">
        <v>41.762506</v>
      </c>
      <c r="AE7225">
        <v>-88.04752000000001</v>
      </c>
      <c r="AF7225" s="5" t="str">
        <f>HYPERLINK("https://www.google.com/maps/search/?api=1&amp;query=41.762506,-88.04752","map")</f>
        <v>map</v>
      </c>
    </row>
    <row r="7226" spans="1:32">
      <c r="A7226" t="s">
        <v>7276</v>
      </c>
      <c r="B7226" t="s">
        <v>14728</v>
      </c>
      <c r="C7226" t="s">
        <v>15323</v>
      </c>
      <c r="D7226" t="s">
        <v>16215</v>
      </c>
      <c r="E7226" t="s">
        <v>16218</v>
      </c>
      <c r="F7226" t="s">
        <v>16220</v>
      </c>
      <c r="G7226" t="s">
        <v>16299</v>
      </c>
      <c r="H7226" t="s">
        <v>16299</v>
      </c>
      <c r="I7226" t="s">
        <v>16382</v>
      </c>
      <c r="J7226" t="s">
        <v>16385</v>
      </c>
      <c r="K7226">
        <v>0.155</v>
      </c>
      <c r="L7226">
        <v>6740</v>
      </c>
      <c r="M7226">
        <v>1774</v>
      </c>
      <c r="N7226" t="s">
        <v>16393</v>
      </c>
      <c r="O7226" s="4">
        <v>54797</v>
      </c>
      <c r="P7226" s="4">
        <v>68519</v>
      </c>
      <c r="Q7226" s="4">
        <v>123316</v>
      </c>
      <c r="R7226" s="4">
        <v>369948</v>
      </c>
      <c r="S7226" t="s">
        <v>23375</v>
      </c>
      <c r="T7226" s="6">
        <v>33025</v>
      </c>
      <c r="U7226" s="4">
        <v>118000</v>
      </c>
      <c r="X7226" t="s">
        <v>3</v>
      </c>
      <c r="AA7226" s="5" t="str">
        <f>HYPERLINK("https://www.zillow.com/homes/2398-KILDEER-ST-WOODRIDGE-IL-60517_rb/","check listing")</f>
        <v>check listing</v>
      </c>
      <c r="AB7226" s="5" t="str">
        <f>HYPERLINK("https://propertylookup.dupagecounty.gov/Datalets/Datalet.aspx?UseSearch=no&amp;mode=sales&amp;pin=0824405024","sales record")</f>
        <v>sales record</v>
      </c>
      <c r="AC7226" t="s">
        <v>3</v>
      </c>
      <c r="AD7226">
        <v>41.76274</v>
      </c>
      <c r="AE7226">
        <v>-88.04054600000001</v>
      </c>
      <c r="AF7226" s="5" t="str">
        <f>HYPERLINK("https://www.google.com/maps/search/?api=1&amp;query=41.76274,-88.040546","map")</f>
        <v>map</v>
      </c>
    </row>
    <row r="7227" spans="1:32">
      <c r="A7227" t="s">
        <v>7277</v>
      </c>
      <c r="B7227" t="s">
        <v>14729</v>
      </c>
      <c r="C7227" t="s">
        <v>15323</v>
      </c>
      <c r="D7227" t="s">
        <v>16215</v>
      </c>
      <c r="E7227" t="s">
        <v>16218</v>
      </c>
      <c r="F7227" t="s">
        <v>16220</v>
      </c>
      <c r="G7227" t="s">
        <v>16299</v>
      </c>
      <c r="H7227" t="s">
        <v>16299</v>
      </c>
      <c r="I7227" t="s">
        <v>16382</v>
      </c>
      <c r="J7227" t="s">
        <v>16385</v>
      </c>
      <c r="K7227">
        <v>0.155</v>
      </c>
      <c r="L7227">
        <v>6740</v>
      </c>
      <c r="M7227">
        <v>2553</v>
      </c>
      <c r="N7227" t="s">
        <v>16393</v>
      </c>
      <c r="O7227" s="4">
        <v>57651</v>
      </c>
      <c r="P7227" s="4">
        <v>72777</v>
      </c>
      <c r="Q7227" s="4">
        <v>130428</v>
      </c>
      <c r="R7227" s="4">
        <v>391284</v>
      </c>
      <c r="S7227" t="s">
        <v>23376</v>
      </c>
      <c r="T7227" s="6">
        <v>40087</v>
      </c>
      <c r="U7227" s="4">
        <v>295000</v>
      </c>
      <c r="V7227" t="s">
        <v>23739</v>
      </c>
      <c r="W7227" t="s">
        <v>27678</v>
      </c>
      <c r="X7227" t="s">
        <v>3</v>
      </c>
      <c r="AA7227" s="5" t="str">
        <f>HYPERLINK("https://www.zillow.com/homes/6958-BLUE-FLAG-AVE-WOODRIDGE-IL-60517_rb/","check listing")</f>
        <v>check listing</v>
      </c>
      <c r="AB7227" s="5" t="str">
        <f>HYPERLINK("https://propertylookup.dupagecounty.gov/Datalets/Datalet.aspx?UseSearch=no&amp;mode=sales&amp;pin=0823414049","sales record")</f>
        <v>sales record</v>
      </c>
      <c r="AC7227" t="s">
        <v>3</v>
      </c>
      <c r="AD7227">
        <v>41.759086</v>
      </c>
      <c r="AE7227">
        <v>-88.05138599999999</v>
      </c>
      <c r="AF7227" s="5" t="str">
        <f>HYPERLINK("https://www.google.com/maps/search/?api=1&amp;query=41.759086,-88.051386","map")</f>
        <v>map</v>
      </c>
    </row>
    <row r="7228" spans="1:32">
      <c r="A7228" t="s">
        <v>7278</v>
      </c>
      <c r="B7228" t="s">
        <v>14730</v>
      </c>
      <c r="C7228" t="s">
        <v>15323</v>
      </c>
      <c r="D7228" t="s">
        <v>16215</v>
      </c>
      <c r="E7228" t="s">
        <v>16218</v>
      </c>
      <c r="F7228" t="s">
        <v>16220</v>
      </c>
      <c r="G7228" t="s">
        <v>16299</v>
      </c>
      <c r="H7228" t="s">
        <v>16299</v>
      </c>
      <c r="I7228" t="s">
        <v>16382</v>
      </c>
      <c r="J7228" t="s">
        <v>16385</v>
      </c>
      <c r="K7228">
        <v>0.155</v>
      </c>
      <c r="L7228">
        <v>6737</v>
      </c>
      <c r="M7228">
        <v>1511</v>
      </c>
      <c r="N7228" t="s">
        <v>16393</v>
      </c>
      <c r="O7228" s="4">
        <v>54797</v>
      </c>
      <c r="P7228" s="4">
        <v>69495</v>
      </c>
      <c r="Q7228" s="4">
        <v>124292</v>
      </c>
      <c r="R7228" s="4">
        <v>372876</v>
      </c>
      <c r="S7228" t="s">
        <v>23377</v>
      </c>
      <c r="T7228" s="6">
        <v>36739</v>
      </c>
      <c r="U7228" s="4">
        <v>169900</v>
      </c>
      <c r="V7228" t="s">
        <v>23739</v>
      </c>
      <c r="W7228" t="s">
        <v>27679</v>
      </c>
      <c r="X7228" t="s">
        <v>3</v>
      </c>
      <c r="AA7228" s="5" t="str">
        <f>HYPERLINK("https://www.zillow.com/homes/6852-REDWING-DR-WOODRIDGE-IL-60517_rb/","check listing")</f>
        <v>check listing</v>
      </c>
      <c r="AB7228" s="5" t="str">
        <f>HYPERLINK("https://propertylookup.dupagecounty.gov/Datalets/Datalet.aspx?UseSearch=no&amp;mode=sales&amp;pin=0824406018","sales record")</f>
        <v>sales record</v>
      </c>
      <c r="AC7228" t="s">
        <v>3</v>
      </c>
      <c r="AD7228">
        <v>41.762198</v>
      </c>
      <c r="AE7228">
        <v>-88.03812000000001</v>
      </c>
      <c r="AF7228" s="5" t="str">
        <f>HYPERLINK("https://www.google.com/maps/search/?api=1&amp;query=41.762198,-88.03812","map")</f>
        <v>map</v>
      </c>
    </row>
    <row r="7229" spans="1:32">
      <c r="A7229" t="s">
        <v>7279</v>
      </c>
      <c r="B7229" t="s">
        <v>14731</v>
      </c>
      <c r="C7229" t="s">
        <v>15323</v>
      </c>
      <c r="D7229" t="s">
        <v>16215</v>
      </c>
      <c r="E7229" t="s">
        <v>16218</v>
      </c>
      <c r="F7229" t="s">
        <v>16220</v>
      </c>
      <c r="G7229" t="s">
        <v>16299</v>
      </c>
      <c r="H7229" t="s">
        <v>16299</v>
      </c>
      <c r="I7229" t="s">
        <v>16382</v>
      </c>
      <c r="J7229" t="s">
        <v>16385</v>
      </c>
      <c r="K7229">
        <v>0.155</v>
      </c>
      <c r="L7229">
        <v>6737</v>
      </c>
      <c r="M7229">
        <v>2058</v>
      </c>
      <c r="N7229" t="s">
        <v>16393</v>
      </c>
      <c r="O7229" s="4">
        <v>54797</v>
      </c>
      <c r="P7229" s="4">
        <v>80625</v>
      </c>
      <c r="Q7229" s="4">
        <v>135422</v>
      </c>
      <c r="R7229" s="4">
        <v>406266</v>
      </c>
      <c r="S7229" t="s">
        <v>23378</v>
      </c>
      <c r="T7229" s="6">
        <v>33359</v>
      </c>
      <c r="U7229" s="4">
        <v>94000</v>
      </c>
      <c r="X7229" t="s">
        <v>3</v>
      </c>
      <c r="AA7229" s="5" t="str">
        <f>HYPERLINK("https://www.zillow.com/homes/6-KILDEER-CT-WOODRIDGE-IL-60517_rb/","check listing")</f>
        <v>check listing</v>
      </c>
      <c r="AB7229" s="5" t="str">
        <f>HYPERLINK("https://propertylookup.dupagecounty.gov/Datalets/Datalet.aspx?UseSearch=no&amp;mode=sales&amp;pin=0824319019","sales record")</f>
        <v>sales record</v>
      </c>
      <c r="AC7229" t="s">
        <v>3</v>
      </c>
      <c r="AD7229">
        <v>41.762669</v>
      </c>
      <c r="AE7229">
        <v>-88.043391</v>
      </c>
      <c r="AF7229" s="5" t="str">
        <f>HYPERLINK("https://www.google.com/maps/search/?api=1&amp;query=41.762669,-88.043391","map")</f>
        <v>map</v>
      </c>
    </row>
    <row r="7230" spans="1:32">
      <c r="A7230" t="s">
        <v>7280</v>
      </c>
      <c r="B7230" t="s">
        <v>14732</v>
      </c>
      <c r="C7230" t="s">
        <v>16169</v>
      </c>
      <c r="D7230" t="s">
        <v>16215</v>
      </c>
      <c r="E7230" t="s">
        <v>16218</v>
      </c>
      <c r="F7230" t="s">
        <v>16220</v>
      </c>
      <c r="G7230" t="s">
        <v>16299</v>
      </c>
      <c r="H7230" t="s">
        <v>16299</v>
      </c>
      <c r="I7230" t="s">
        <v>16382</v>
      </c>
      <c r="J7230" t="s">
        <v>16385</v>
      </c>
      <c r="K7230">
        <v>0.154</v>
      </c>
      <c r="L7230">
        <v>6714</v>
      </c>
      <c r="M7230">
        <v>2358</v>
      </c>
      <c r="N7230" t="s">
        <v>16393</v>
      </c>
      <c r="O7230" s="4">
        <v>57651</v>
      </c>
      <c r="P7230" s="4">
        <v>86667</v>
      </c>
      <c r="Q7230" s="4">
        <v>144318</v>
      </c>
      <c r="R7230" s="4">
        <v>432954</v>
      </c>
      <c r="S7230" t="s">
        <v>23379</v>
      </c>
      <c r="T7230" s="6">
        <v>44105</v>
      </c>
      <c r="U7230" s="4">
        <v>260000</v>
      </c>
      <c r="V7230" t="s">
        <v>23739</v>
      </c>
      <c r="W7230" t="s">
        <v>23379</v>
      </c>
      <c r="X7230" t="s">
        <v>3</v>
      </c>
      <c r="AA7230" s="5" t="str">
        <f>HYPERLINK("https://www.zillow.com/homes/2701-WILD-PLUM-ST-WOODRIDGE-IL-605172002_rb/","check listing")</f>
        <v>check listing</v>
      </c>
      <c r="AB7230" s="5" t="str">
        <f>HYPERLINK("https://propertylookup.dupagecounty.gov/Datalets/Datalet.aspx?UseSearch=no&amp;mode=sales&amp;pin=0824311008","sales record")</f>
        <v>sales record</v>
      </c>
      <c r="AC7230" t="s">
        <v>3</v>
      </c>
      <c r="AD7230">
        <v>41.758688</v>
      </c>
      <c r="AE7230">
        <v>-88.04915099999999</v>
      </c>
      <c r="AF7230" s="5" t="str">
        <f>HYPERLINK("https://www.google.com/maps/search/?api=1&amp;query=41.758688,-88.049151","map")</f>
        <v>map</v>
      </c>
    </row>
    <row r="7231" spans="1:32">
      <c r="A7231" t="s">
        <v>7281</v>
      </c>
      <c r="B7231" t="s">
        <v>14733</v>
      </c>
      <c r="C7231" t="s">
        <v>16167</v>
      </c>
      <c r="D7231" t="s">
        <v>16215</v>
      </c>
      <c r="E7231" t="s">
        <v>16218</v>
      </c>
      <c r="F7231" t="s">
        <v>16220</v>
      </c>
      <c r="G7231" t="s">
        <v>16299</v>
      </c>
      <c r="H7231" t="s">
        <v>16299</v>
      </c>
      <c r="I7231" t="s">
        <v>16382</v>
      </c>
      <c r="J7231" t="s">
        <v>16385</v>
      </c>
      <c r="K7231">
        <v>0.154</v>
      </c>
      <c r="L7231">
        <v>6701</v>
      </c>
      <c r="M7231">
        <v>1822</v>
      </c>
      <c r="N7231" t="s">
        <v>16393</v>
      </c>
      <c r="O7231" s="4">
        <v>49124</v>
      </c>
      <c r="P7231" s="4">
        <v>60125</v>
      </c>
      <c r="Q7231" s="4">
        <v>109249</v>
      </c>
      <c r="R7231" s="4">
        <v>327747</v>
      </c>
      <c r="S7231" t="s">
        <v>23380</v>
      </c>
      <c r="T7231" s="6">
        <v>40026</v>
      </c>
      <c r="U7231" s="4">
        <v>147280</v>
      </c>
      <c r="V7231" t="s">
        <v>23739</v>
      </c>
      <c r="W7231" t="s">
        <v>23380</v>
      </c>
      <c r="X7231" t="s">
        <v>3</v>
      </c>
      <c r="AA7231" s="5" t="str">
        <f>HYPERLINK("https://www.zillow.com/homes/4-RED-WING-CT-WOODRIDGE-IL-605171849_rb/","check listing")</f>
        <v>check listing</v>
      </c>
      <c r="AB7231" s="5" t="str">
        <f>HYPERLINK("https://propertylookup.dupagecounty.gov/Datalets/Datalet.aspx?UseSearch=no&amp;mode=sales&amp;pin=0824404029","sales record")</f>
        <v>sales record</v>
      </c>
      <c r="AC7231" t="s">
        <v>3</v>
      </c>
      <c r="AD7231">
        <v>41.761915</v>
      </c>
      <c r="AE7231">
        <v>-88.037142</v>
      </c>
      <c r="AF7231" s="5" t="str">
        <f>HYPERLINK("https://www.google.com/maps/search/?api=1&amp;query=41.761915,-88.037142","map")</f>
        <v>map</v>
      </c>
    </row>
    <row r="7232" spans="1:32">
      <c r="A7232" t="s">
        <v>7282</v>
      </c>
      <c r="B7232" t="s">
        <v>14734</v>
      </c>
      <c r="C7232" t="s">
        <v>15323</v>
      </c>
      <c r="D7232" t="s">
        <v>16215</v>
      </c>
      <c r="E7232" t="s">
        <v>16218</v>
      </c>
      <c r="F7232" t="s">
        <v>16220</v>
      </c>
      <c r="G7232" t="s">
        <v>16299</v>
      </c>
      <c r="H7232" t="s">
        <v>16299</v>
      </c>
      <c r="I7232" t="s">
        <v>16382</v>
      </c>
      <c r="J7232" t="s">
        <v>16385</v>
      </c>
      <c r="K7232">
        <v>0.154</v>
      </c>
      <c r="L7232">
        <v>6699</v>
      </c>
      <c r="M7232">
        <v>1494</v>
      </c>
      <c r="N7232" t="s">
        <v>16393</v>
      </c>
      <c r="O7232" s="4">
        <v>54797</v>
      </c>
      <c r="P7232" s="4">
        <v>81981</v>
      </c>
      <c r="Q7232" s="4">
        <v>136778</v>
      </c>
      <c r="R7232" s="4">
        <v>410334</v>
      </c>
      <c r="S7232" t="s">
        <v>23381</v>
      </c>
      <c r="T7232" s="6">
        <v>43191</v>
      </c>
      <c r="U7232" s="4">
        <v>272500</v>
      </c>
      <c r="V7232" t="s">
        <v>23739</v>
      </c>
      <c r="W7232" t="s">
        <v>27680</v>
      </c>
      <c r="X7232" t="s">
        <v>3</v>
      </c>
      <c r="AA7232" s="5" t="str">
        <f>HYPERLINK("https://www.zillow.com/homes/6718-CHERRY-TREE-AVE-WOODRIDGE-IL-60517_rb/","check listing")</f>
        <v>check listing</v>
      </c>
      <c r="AB7232" s="5" t="str">
        <f>HYPERLINK("https://propertylookup.dupagecounty.gov/Datalets/Datalet.aspx?UseSearch=no&amp;mode=sales&amp;pin=0824315012","sales record")</f>
        <v>sales record</v>
      </c>
      <c r="AC7232" t="s">
        <v>3</v>
      </c>
      <c r="AD7232">
        <v>41.763485</v>
      </c>
      <c r="AE7232">
        <v>-88.04713599999999</v>
      </c>
      <c r="AF7232" s="5" t="str">
        <f>HYPERLINK("https://www.google.com/maps/search/?api=1&amp;query=41.763485,-88.047136","map")</f>
        <v>map</v>
      </c>
    </row>
    <row r="7233" spans="1:32">
      <c r="A7233" t="s">
        <v>7283</v>
      </c>
      <c r="B7233" t="s">
        <v>14735</v>
      </c>
      <c r="C7233" t="s">
        <v>16135</v>
      </c>
      <c r="D7233" t="s">
        <v>16215</v>
      </c>
      <c r="E7233" t="s">
        <v>16218</v>
      </c>
      <c r="F7233" t="s">
        <v>16220</v>
      </c>
      <c r="G7233" t="s">
        <v>16299</v>
      </c>
      <c r="H7233" t="s">
        <v>16299</v>
      </c>
      <c r="I7233" t="s">
        <v>16382</v>
      </c>
      <c r="J7233" t="s">
        <v>16385</v>
      </c>
      <c r="K7233">
        <v>0.154</v>
      </c>
      <c r="L7233">
        <v>6694</v>
      </c>
      <c r="M7233">
        <v>1477</v>
      </c>
      <c r="N7233" t="s">
        <v>16393</v>
      </c>
      <c r="O7233" s="4">
        <v>54797</v>
      </c>
      <c r="P7233" s="4">
        <v>66700</v>
      </c>
      <c r="Q7233" s="4">
        <v>121497</v>
      </c>
      <c r="R7233" s="4">
        <v>364491</v>
      </c>
      <c r="S7233" t="s">
        <v>23382</v>
      </c>
      <c r="T7233" s="6">
        <v>44440</v>
      </c>
      <c r="U7233" s="4">
        <v>326750</v>
      </c>
      <c r="V7233" t="s">
        <v>23739</v>
      </c>
      <c r="W7233" t="s">
        <v>27681</v>
      </c>
      <c r="X7233" t="s">
        <v>3</v>
      </c>
      <c r="AA7233" s="5" t="str">
        <f>HYPERLINK("https://www.zillow.com/homes/4-SWALLOW-CT-WOODRIDGE-IL-605171717_rb/","check listing")</f>
        <v>check listing</v>
      </c>
      <c r="AB7233" s="5" t="str">
        <f>HYPERLINK("https://propertylookup.dupagecounty.gov/Datalets/Datalet.aspx?UseSearch=no&amp;mode=sales&amp;pin=0824317012","sales record")</f>
        <v>sales record</v>
      </c>
      <c r="AC7233" t="s">
        <v>3</v>
      </c>
      <c r="AD7233">
        <v>41.764208</v>
      </c>
      <c r="AE7233">
        <v>-88.044218</v>
      </c>
      <c r="AF7233" s="5" t="str">
        <f>HYPERLINK("https://www.google.com/maps/search/?api=1&amp;query=41.764208,-88.044218","map")</f>
        <v>map</v>
      </c>
    </row>
    <row r="7234" spans="1:32">
      <c r="A7234" t="s">
        <v>7284</v>
      </c>
      <c r="B7234" t="s">
        <v>14736</v>
      </c>
      <c r="C7234" t="s">
        <v>15323</v>
      </c>
      <c r="D7234" t="s">
        <v>16215</v>
      </c>
      <c r="E7234" t="s">
        <v>16218</v>
      </c>
      <c r="F7234" t="s">
        <v>16220</v>
      </c>
      <c r="G7234" t="s">
        <v>16299</v>
      </c>
      <c r="H7234" t="s">
        <v>16299</v>
      </c>
      <c r="I7234" t="s">
        <v>16382</v>
      </c>
      <c r="J7234" t="s">
        <v>16385</v>
      </c>
      <c r="K7234">
        <v>0.154</v>
      </c>
      <c r="L7234">
        <v>6694</v>
      </c>
      <c r="M7234">
        <v>2182</v>
      </c>
      <c r="N7234" t="s">
        <v>16393</v>
      </c>
      <c r="O7234" s="4">
        <v>54619</v>
      </c>
      <c r="P7234" s="4">
        <v>65808</v>
      </c>
      <c r="Q7234" s="4">
        <v>120427</v>
      </c>
      <c r="R7234" s="4">
        <v>361281</v>
      </c>
      <c r="S7234" t="s">
        <v>23383</v>
      </c>
      <c r="T7234" s="6">
        <v>41000</v>
      </c>
      <c r="U7234" s="4">
        <v>178000</v>
      </c>
      <c r="V7234" t="s">
        <v>23739</v>
      </c>
      <c r="W7234" t="s">
        <v>23383</v>
      </c>
      <c r="X7234" t="s">
        <v>3</v>
      </c>
      <c r="AA7234" s="5" t="str">
        <f>HYPERLINK("https://www.zillow.com/homes/2007-SUNNYDALE-ST-WOODRIDGE-IL-60517_rb/","check listing")</f>
        <v>check listing</v>
      </c>
      <c r="AB7234" s="5" t="str">
        <f>HYPERLINK("https://propertylookup.dupagecounty.gov/Datalets/Datalet.aspx?UseSearch=no&amp;mode=sales&amp;pin=0824418007","sales record")</f>
        <v>sales record</v>
      </c>
      <c r="AC7234" t="s">
        <v>3</v>
      </c>
      <c r="AD7234">
        <v>41.760269</v>
      </c>
      <c r="AE7234">
        <v>-88.031874</v>
      </c>
      <c r="AF7234" s="5" t="str">
        <f>HYPERLINK("https://www.google.com/maps/search/?api=1&amp;query=41.760269,-88.031874","map")</f>
        <v>map</v>
      </c>
    </row>
    <row r="7235" spans="1:32">
      <c r="A7235" t="s">
        <v>7285</v>
      </c>
      <c r="B7235" t="s">
        <v>14737</v>
      </c>
      <c r="C7235" t="s">
        <v>15323</v>
      </c>
      <c r="D7235" t="s">
        <v>16215</v>
      </c>
      <c r="E7235" t="s">
        <v>16218</v>
      </c>
      <c r="F7235" t="s">
        <v>16220</v>
      </c>
      <c r="G7235" t="s">
        <v>16299</v>
      </c>
      <c r="H7235" t="s">
        <v>16299</v>
      </c>
      <c r="I7235" t="s">
        <v>16382</v>
      </c>
      <c r="J7235" t="s">
        <v>16385</v>
      </c>
      <c r="K7235">
        <v>0.154</v>
      </c>
      <c r="L7235">
        <v>6692</v>
      </c>
      <c r="M7235">
        <v>2365</v>
      </c>
      <c r="N7235" t="s">
        <v>16393</v>
      </c>
      <c r="O7235" s="4">
        <v>54797</v>
      </c>
      <c r="P7235" s="4">
        <v>63989</v>
      </c>
      <c r="Q7235" s="4">
        <v>118786</v>
      </c>
      <c r="R7235" s="4">
        <v>356358</v>
      </c>
      <c r="S7235" t="s">
        <v>21854</v>
      </c>
      <c r="T7235" s="6">
        <v>42005</v>
      </c>
      <c r="U7235" s="4">
        <v>207500</v>
      </c>
      <c r="V7235" t="s">
        <v>23739</v>
      </c>
      <c r="W7235" t="s">
        <v>27609</v>
      </c>
      <c r="X7235" t="s">
        <v>3</v>
      </c>
      <c r="AA7235" s="5" t="str">
        <f>HYPERLINK("https://www.zillow.com/homes/12-LORRAINE-AVE-WOODRIDGE-IL-60517_rb/","check listing")</f>
        <v>check listing</v>
      </c>
      <c r="AB7235" s="5" t="str">
        <f>HYPERLINK("https://propertylookup.dupagecounty.gov/Datalets/Datalet.aspx?UseSearch=no&amp;mode=sales&amp;pin=0824212002","sales record")</f>
        <v>sales record</v>
      </c>
      <c r="AC7235" t="s">
        <v>3</v>
      </c>
      <c r="AD7235">
        <v>41.765426</v>
      </c>
      <c r="AE7235">
        <v>-88.041256</v>
      </c>
      <c r="AF7235" s="5" t="str">
        <f>HYPERLINK("https://www.google.com/maps/search/?api=1&amp;query=41.765426,-88.041256","map")</f>
        <v>map</v>
      </c>
    </row>
    <row r="7236" spans="1:32">
      <c r="A7236" t="s">
        <v>7286</v>
      </c>
      <c r="B7236" t="s">
        <v>14738</v>
      </c>
      <c r="C7236" t="s">
        <v>15323</v>
      </c>
      <c r="D7236" t="s">
        <v>16215</v>
      </c>
      <c r="E7236" t="s">
        <v>16218</v>
      </c>
      <c r="F7236" t="s">
        <v>16220</v>
      </c>
      <c r="G7236" t="s">
        <v>16299</v>
      </c>
      <c r="H7236" t="s">
        <v>16299</v>
      </c>
      <c r="I7236" t="s">
        <v>16382</v>
      </c>
      <c r="J7236" t="s">
        <v>16385</v>
      </c>
      <c r="K7236">
        <v>0.153</v>
      </c>
      <c r="L7236">
        <v>6684</v>
      </c>
      <c r="M7236">
        <v>1780</v>
      </c>
      <c r="N7236" t="s">
        <v>16393</v>
      </c>
      <c r="O7236" s="4">
        <v>54797</v>
      </c>
      <c r="P7236" s="4">
        <v>79365</v>
      </c>
      <c r="Q7236" s="4">
        <v>134162</v>
      </c>
      <c r="R7236" s="4">
        <v>402486</v>
      </c>
      <c r="S7236" t="s">
        <v>23384</v>
      </c>
      <c r="T7236" s="6">
        <v>36220</v>
      </c>
      <c r="U7236" s="4">
        <v>179000</v>
      </c>
      <c r="X7236" t="s">
        <v>3</v>
      </c>
      <c r="AA7236" s="5" t="str">
        <f>HYPERLINK("https://www.zillow.com/homes/2413-PHEASANT-ST-WOODRIDGE-IL-60517_rb/","check listing")</f>
        <v>check listing</v>
      </c>
      <c r="AB7236" s="5" t="str">
        <f>HYPERLINK("https://propertylookup.dupagecounty.gov/Datalets/Datalet.aspx?UseSearch=no&amp;mode=sales&amp;pin=0824318004","sales record")</f>
        <v>sales record</v>
      </c>
      <c r="AC7236" t="s">
        <v>3</v>
      </c>
      <c r="AD7236">
        <v>41.764437</v>
      </c>
      <c r="AE7236">
        <v>-88.04132199999999</v>
      </c>
      <c r="AF7236" s="5" t="str">
        <f>HYPERLINK("https://www.google.com/maps/search/?api=1&amp;query=41.764437,-88.041322","map")</f>
        <v>map</v>
      </c>
    </row>
    <row r="7237" spans="1:32">
      <c r="A7237" t="s">
        <v>7287</v>
      </c>
      <c r="B7237" t="s">
        <v>14739</v>
      </c>
      <c r="C7237" t="s">
        <v>16169</v>
      </c>
      <c r="D7237" t="s">
        <v>16215</v>
      </c>
      <c r="E7237" t="s">
        <v>16218</v>
      </c>
      <c r="F7237" t="s">
        <v>16220</v>
      </c>
      <c r="G7237" t="s">
        <v>16299</v>
      </c>
      <c r="H7237" t="s">
        <v>16299</v>
      </c>
      <c r="I7237" t="s">
        <v>16382</v>
      </c>
      <c r="J7237" t="s">
        <v>16385</v>
      </c>
      <c r="K7237">
        <v>0.153</v>
      </c>
      <c r="L7237">
        <v>6677</v>
      </c>
      <c r="M7237">
        <v>2359</v>
      </c>
      <c r="N7237" t="s">
        <v>16393</v>
      </c>
      <c r="O7237" s="4">
        <v>57651</v>
      </c>
      <c r="P7237" s="4">
        <v>85465</v>
      </c>
      <c r="Q7237" s="4">
        <v>143116</v>
      </c>
      <c r="R7237" s="4">
        <v>429348</v>
      </c>
      <c r="S7237" t="s">
        <v>23385</v>
      </c>
      <c r="T7237" s="6">
        <v>33695</v>
      </c>
      <c r="U7237" s="4">
        <v>148000</v>
      </c>
      <c r="X7237" t="s">
        <v>3</v>
      </c>
      <c r="AA7237" s="5" t="str">
        <f>HYPERLINK("https://www.zillow.com/homes/2733-WILD-PLUM-ST-WOODRIDGE-IL-605172002_rb/","check listing")</f>
        <v>check listing</v>
      </c>
      <c r="AB7237" s="5" t="str">
        <f>HYPERLINK("https://propertylookup.dupagecounty.gov/Datalets/Datalet.aspx?UseSearch=no&amp;mode=sales&amp;pin=0823414051","sales record")</f>
        <v>sales record</v>
      </c>
      <c r="AC7237" t="s">
        <v>3</v>
      </c>
      <c r="AD7237">
        <v>41.758801</v>
      </c>
      <c r="AE7237">
        <v>-88.051101</v>
      </c>
      <c r="AF7237" s="5" t="str">
        <f>HYPERLINK("https://www.google.com/maps/search/?api=1&amp;query=41.758801,-88.051101","map")</f>
        <v>map</v>
      </c>
    </row>
    <row r="7238" spans="1:32">
      <c r="A7238" t="s">
        <v>7288</v>
      </c>
      <c r="B7238" t="s">
        <v>14740</v>
      </c>
      <c r="C7238" t="s">
        <v>15323</v>
      </c>
      <c r="D7238" t="s">
        <v>16215</v>
      </c>
      <c r="E7238" t="s">
        <v>16218</v>
      </c>
      <c r="F7238" t="s">
        <v>16220</v>
      </c>
      <c r="G7238" t="s">
        <v>16299</v>
      </c>
      <c r="H7238" t="s">
        <v>16299</v>
      </c>
      <c r="I7238" t="s">
        <v>16382</v>
      </c>
      <c r="J7238" t="s">
        <v>16385</v>
      </c>
      <c r="K7238">
        <v>0.153</v>
      </c>
      <c r="L7238">
        <v>6668</v>
      </c>
      <c r="M7238">
        <v>2046</v>
      </c>
      <c r="N7238" t="s">
        <v>16393</v>
      </c>
      <c r="O7238" s="4">
        <v>54797</v>
      </c>
      <c r="P7238" s="4">
        <v>61301</v>
      </c>
      <c r="Q7238" s="4">
        <v>116098</v>
      </c>
      <c r="R7238" s="4">
        <v>348294</v>
      </c>
      <c r="S7238" t="s">
        <v>23386</v>
      </c>
      <c r="T7238" s="6">
        <v>34425</v>
      </c>
      <c r="U7238" s="4">
        <v>129000</v>
      </c>
      <c r="X7238" t="s">
        <v>3</v>
      </c>
      <c r="AA7238" s="5" t="str">
        <f>HYPERLINK("https://www.zillow.com/homes/6704-AUDUBON-AVE-WOODRIDGE-IL-60517_rb/","check listing")</f>
        <v>check listing</v>
      </c>
      <c r="AB7238" s="5" t="str">
        <f>HYPERLINK("https://propertylookup.dupagecounty.gov/Datalets/Datalet.aspx?UseSearch=no&amp;mode=sales&amp;pin=0824317022","sales record")</f>
        <v>sales record</v>
      </c>
      <c r="AC7238" t="s">
        <v>3</v>
      </c>
      <c r="AD7238">
        <v>41.764006</v>
      </c>
      <c r="AE7238">
        <v>-88.042574</v>
      </c>
      <c r="AF7238" s="5" t="str">
        <f>HYPERLINK("https://www.google.com/maps/search/?api=1&amp;query=41.764006,-88.042574","map")</f>
        <v>map</v>
      </c>
    </row>
    <row r="7239" spans="1:32">
      <c r="A7239" t="s">
        <v>7289</v>
      </c>
      <c r="B7239" t="s">
        <v>14741</v>
      </c>
      <c r="C7239" t="s">
        <v>15323</v>
      </c>
      <c r="D7239" t="s">
        <v>16215</v>
      </c>
      <c r="E7239" t="s">
        <v>16218</v>
      </c>
      <c r="F7239" t="s">
        <v>16220</v>
      </c>
      <c r="G7239" t="s">
        <v>16299</v>
      </c>
      <c r="H7239" t="s">
        <v>16299</v>
      </c>
      <c r="I7239" t="s">
        <v>16382</v>
      </c>
      <c r="J7239" t="s">
        <v>16385</v>
      </c>
      <c r="K7239">
        <v>0.153</v>
      </c>
      <c r="L7239">
        <v>6667</v>
      </c>
      <c r="M7239">
        <v>1377</v>
      </c>
      <c r="N7239" t="s">
        <v>16393</v>
      </c>
      <c r="O7239" s="4">
        <v>54797</v>
      </c>
      <c r="P7239" s="4">
        <v>81981</v>
      </c>
      <c r="Q7239" s="4">
        <v>136778</v>
      </c>
      <c r="R7239" s="4">
        <v>410334</v>
      </c>
      <c r="S7239" t="s">
        <v>23387</v>
      </c>
      <c r="T7239" s="6">
        <v>41426</v>
      </c>
      <c r="U7239" s="4">
        <v>326141</v>
      </c>
      <c r="V7239" t="s">
        <v>23742</v>
      </c>
      <c r="W7239" t="s">
        <v>27682</v>
      </c>
      <c r="X7239" t="s">
        <v>3</v>
      </c>
      <c r="AA7239" s="5" t="str">
        <f>HYPERLINK("https://www.zillow.com/homes/2601-YELLOW-STAR-ST-WOODRIDGE-IL-60517_rb/","check listing")</f>
        <v>check listing</v>
      </c>
      <c r="AB7239" s="5" t="str">
        <f>HYPERLINK("https://propertylookup.dupagecounty.gov/Datalets/Datalet.aspx?UseSearch=no&amp;mode=sales&amp;pin=0824315020","sales record")</f>
        <v>sales record</v>
      </c>
      <c r="AC7239" t="s">
        <v>3</v>
      </c>
      <c r="AD7239">
        <v>41.762762</v>
      </c>
      <c r="AE7239">
        <v>-88.047152</v>
      </c>
      <c r="AF7239" s="5" t="str">
        <f>HYPERLINK("https://www.google.com/maps/search/?api=1&amp;query=41.762762,-88.047152","map")</f>
        <v>map</v>
      </c>
    </row>
    <row r="7240" spans="1:32">
      <c r="A7240" t="s">
        <v>7290</v>
      </c>
      <c r="B7240" t="s">
        <v>14742</v>
      </c>
      <c r="C7240" t="s">
        <v>16170</v>
      </c>
      <c r="D7240" t="s">
        <v>16215</v>
      </c>
      <c r="E7240" t="s">
        <v>16218</v>
      </c>
      <c r="F7240" t="s">
        <v>16220</v>
      </c>
      <c r="G7240" t="s">
        <v>16299</v>
      </c>
      <c r="H7240" t="s">
        <v>16299</v>
      </c>
      <c r="I7240" t="s">
        <v>16382</v>
      </c>
      <c r="J7240" t="s">
        <v>16385</v>
      </c>
      <c r="K7240">
        <v>0.153</v>
      </c>
      <c r="L7240">
        <v>6665</v>
      </c>
      <c r="M7240">
        <v>1419</v>
      </c>
      <c r="N7240" t="s">
        <v>16393</v>
      </c>
      <c r="O7240" s="4">
        <v>57651</v>
      </c>
      <c r="P7240" s="4">
        <v>85607</v>
      </c>
      <c r="Q7240" s="4">
        <v>143258</v>
      </c>
      <c r="R7240" s="4">
        <v>429774</v>
      </c>
      <c r="S7240" t="s">
        <v>23388</v>
      </c>
      <c r="T7240" s="6">
        <v>43221</v>
      </c>
      <c r="U7240" s="4">
        <v>316500</v>
      </c>
      <c r="V7240" t="s">
        <v>23740</v>
      </c>
      <c r="W7240" t="s">
        <v>27683</v>
      </c>
      <c r="X7240" t="s">
        <v>3</v>
      </c>
      <c r="AA7240" s="5" t="str">
        <f>HYPERLINK("https://www.zillow.com/homes/6954-BLUE-FLAG-AVE-WOODRIDGE-IL-605172006_rb/","check listing")</f>
        <v>check listing</v>
      </c>
      <c r="AB7240" s="5" t="str">
        <f>HYPERLINK("https://propertylookup.dupagecounty.gov/Datalets/Datalet.aspx?UseSearch=no&amp;mode=sales&amp;pin=0823414048","sales record")</f>
        <v>sales record</v>
      </c>
      <c r="AC7240" t="s">
        <v>3</v>
      </c>
      <c r="AD7240">
        <v>41.759279</v>
      </c>
      <c r="AE7240">
        <v>-88.05143</v>
      </c>
      <c r="AF7240" s="5" t="str">
        <f>HYPERLINK("https://www.google.com/maps/search/?api=1&amp;query=41.759279,-88.05143","map")</f>
        <v>map</v>
      </c>
    </row>
    <row r="7241" spans="1:32">
      <c r="A7241" t="s">
        <v>7291</v>
      </c>
      <c r="B7241" t="s">
        <v>14743</v>
      </c>
      <c r="C7241" t="s">
        <v>16155</v>
      </c>
      <c r="D7241" t="s">
        <v>16215</v>
      </c>
      <c r="E7241" t="s">
        <v>16218</v>
      </c>
      <c r="F7241" t="s">
        <v>16220</v>
      </c>
      <c r="G7241" t="s">
        <v>16299</v>
      </c>
      <c r="H7241" t="s">
        <v>16299</v>
      </c>
      <c r="I7241" t="s">
        <v>16382</v>
      </c>
      <c r="J7241" t="s">
        <v>16385</v>
      </c>
      <c r="K7241">
        <v>0.153</v>
      </c>
      <c r="L7241">
        <v>6660</v>
      </c>
      <c r="M7241">
        <v>2221</v>
      </c>
      <c r="N7241" t="s">
        <v>16393</v>
      </c>
      <c r="O7241" s="4">
        <v>54797</v>
      </c>
      <c r="P7241" s="4">
        <v>65405</v>
      </c>
      <c r="Q7241" s="4">
        <v>120202</v>
      </c>
      <c r="R7241" s="4">
        <v>360606</v>
      </c>
      <c r="S7241" t="s">
        <v>23389</v>
      </c>
      <c r="T7241" s="6">
        <v>43831</v>
      </c>
      <c r="U7241" s="4">
        <v>238000</v>
      </c>
      <c r="V7241" t="s">
        <v>23739</v>
      </c>
      <c r="W7241" t="s">
        <v>27684</v>
      </c>
      <c r="X7241" t="s">
        <v>3</v>
      </c>
      <c r="AA7241" s="5" t="str">
        <f>HYPERLINK("https://www.zillow.com/homes/6728-CHERRYTREE-AVE-WOODRIDGE-IL-605171732_rb/","check listing")</f>
        <v>check listing</v>
      </c>
      <c r="AB7241" s="5" t="str">
        <f>HYPERLINK("https://propertylookup.dupagecounty.gov/Datalets/Datalet.aspx?UseSearch=no&amp;mode=sales&amp;pin=0824315014","sales record")</f>
        <v>sales record</v>
      </c>
      <c r="AC7241" t="s">
        <v>3</v>
      </c>
      <c r="AD7241">
        <v>41.763167</v>
      </c>
      <c r="AE7241">
        <v>-88.046852</v>
      </c>
      <c r="AF7241" s="5" t="str">
        <f>HYPERLINK("https://www.google.com/maps/search/?api=1&amp;query=41.763167,-88.046852","map")</f>
        <v>map</v>
      </c>
    </row>
    <row r="7242" spans="1:32">
      <c r="A7242" t="s">
        <v>7292</v>
      </c>
      <c r="B7242" t="s">
        <v>14744</v>
      </c>
      <c r="C7242" t="s">
        <v>15323</v>
      </c>
      <c r="D7242" t="s">
        <v>16215</v>
      </c>
      <c r="E7242" t="s">
        <v>16218</v>
      </c>
      <c r="F7242" t="s">
        <v>16220</v>
      </c>
      <c r="G7242" t="s">
        <v>16299</v>
      </c>
      <c r="H7242" t="s">
        <v>16299</v>
      </c>
      <c r="I7242" t="s">
        <v>16382</v>
      </c>
      <c r="J7242" t="s">
        <v>16385</v>
      </c>
      <c r="K7242">
        <v>0.153</v>
      </c>
      <c r="L7242">
        <v>6657</v>
      </c>
      <c r="M7242">
        <v>2369</v>
      </c>
      <c r="N7242" t="s">
        <v>16393</v>
      </c>
      <c r="O7242" s="4">
        <v>54797</v>
      </c>
      <c r="P7242" s="4">
        <v>63335</v>
      </c>
      <c r="Q7242" s="4">
        <v>118132</v>
      </c>
      <c r="R7242" s="4">
        <v>354396</v>
      </c>
      <c r="S7242" t="s">
        <v>23390</v>
      </c>
      <c r="T7242" s="6">
        <v>45715</v>
      </c>
      <c r="U7242" s="4">
        <v>339000</v>
      </c>
      <c r="V7242" t="s">
        <v>23739</v>
      </c>
      <c r="W7242" t="s">
        <v>27685</v>
      </c>
      <c r="X7242" t="s">
        <v>3</v>
      </c>
      <c r="AA7242" s="5" t="str">
        <f>HYPERLINK("https://www.zillow.com/homes/6652-FOX-TREE-AVE-WOODRIDGE-IL-60517_rb/","check listing")</f>
        <v>check listing</v>
      </c>
      <c r="AB7242" s="5" t="str">
        <f>HYPERLINK("https://propertylookup.dupagecounty.gov/Datalets/Datalet.aspx?UseSearch=no&amp;mode=sales&amp;pin=0824109013","sales record")</f>
        <v>sales record</v>
      </c>
      <c r="AC7242" t="s">
        <v>3</v>
      </c>
      <c r="AD7242">
        <v>41.766611</v>
      </c>
      <c r="AE7242">
        <v>-88.042993</v>
      </c>
      <c r="AF7242" s="5" t="str">
        <f>HYPERLINK("https://www.google.com/maps/search/?api=1&amp;query=41.766611,-88.042993","map")</f>
        <v>map</v>
      </c>
    </row>
    <row r="7243" spans="1:32">
      <c r="A7243" t="s">
        <v>7293</v>
      </c>
      <c r="B7243" t="s">
        <v>14745</v>
      </c>
      <c r="C7243" t="s">
        <v>15323</v>
      </c>
      <c r="D7243" t="s">
        <v>16215</v>
      </c>
      <c r="E7243" t="s">
        <v>16218</v>
      </c>
      <c r="F7243" t="s">
        <v>16220</v>
      </c>
      <c r="G7243" t="s">
        <v>16299</v>
      </c>
      <c r="H7243" t="s">
        <v>16299</v>
      </c>
      <c r="I7243" t="s">
        <v>16382</v>
      </c>
      <c r="J7243" t="s">
        <v>16385</v>
      </c>
      <c r="K7243">
        <v>0.153</v>
      </c>
      <c r="L7243">
        <v>6657</v>
      </c>
      <c r="M7243">
        <v>1749</v>
      </c>
      <c r="N7243" t="s">
        <v>16393</v>
      </c>
      <c r="O7243" s="4">
        <v>54797</v>
      </c>
      <c r="P7243" s="4">
        <v>85204</v>
      </c>
      <c r="Q7243" s="4">
        <v>140001</v>
      </c>
      <c r="R7243" s="4">
        <v>420003</v>
      </c>
      <c r="S7243" t="s">
        <v>23391</v>
      </c>
      <c r="T7243" s="6">
        <v>36465</v>
      </c>
      <c r="U7243" s="4">
        <v>167000</v>
      </c>
      <c r="X7243" t="s">
        <v>3</v>
      </c>
      <c r="AA7243" s="5" t="str">
        <f>HYPERLINK("https://www.zillow.com/homes/6664-FOX-TREE-AVE-WOODRIDGE-IL-60517_rb/","check listing")</f>
        <v>check listing</v>
      </c>
      <c r="AB7243" s="5" t="str">
        <f>HYPERLINK("https://propertylookup.dupagecounty.gov/Datalets/Datalet.aspx?UseSearch=no&amp;mode=sales&amp;pin=0824109010","sales record")</f>
        <v>sales record</v>
      </c>
      <c r="AC7243" t="s">
        <v>3</v>
      </c>
      <c r="AD7243">
        <v>41.766584</v>
      </c>
      <c r="AE7243">
        <v>-88.043762</v>
      </c>
      <c r="AF7243" s="5" t="str">
        <f>HYPERLINK("https://www.google.com/maps/search/?api=1&amp;query=41.766584,-88.043762","map")</f>
        <v>map</v>
      </c>
    </row>
    <row r="7244" spans="1:32">
      <c r="A7244" t="s">
        <v>7294</v>
      </c>
      <c r="B7244" t="s">
        <v>14746</v>
      </c>
      <c r="C7244" t="s">
        <v>15323</v>
      </c>
      <c r="D7244" t="s">
        <v>16215</v>
      </c>
      <c r="E7244" t="s">
        <v>16218</v>
      </c>
      <c r="F7244" t="s">
        <v>16220</v>
      </c>
      <c r="G7244" t="s">
        <v>16299</v>
      </c>
      <c r="H7244" t="s">
        <v>16299</v>
      </c>
      <c r="I7244" t="s">
        <v>16382</v>
      </c>
      <c r="J7244" t="s">
        <v>16385</v>
      </c>
      <c r="K7244">
        <v>0.153</v>
      </c>
      <c r="L7244">
        <v>6655</v>
      </c>
      <c r="M7244">
        <v>1915</v>
      </c>
      <c r="N7244" t="s">
        <v>16393</v>
      </c>
      <c r="O7244" s="4">
        <v>54713</v>
      </c>
      <c r="P7244" s="4">
        <v>78163</v>
      </c>
      <c r="Q7244" s="4">
        <v>132876</v>
      </c>
      <c r="R7244" s="4">
        <v>398628</v>
      </c>
      <c r="S7244" t="s">
        <v>23392</v>
      </c>
      <c r="X7244" t="s">
        <v>3</v>
      </c>
      <c r="AA7244" s="5" t="str">
        <f>HYPERLINK("https://www.zillow.com/homes/6660-FOX-TREE-AVE-WOODRIDGE-IL-60517_rb/","check listing")</f>
        <v>check listing</v>
      </c>
      <c r="AB7244" s="5" t="str">
        <f>HYPERLINK("https://propertylookup.dupagecounty.gov/Datalets/Datalet.aspx?UseSearch=no&amp;mode=sales&amp;pin=0824109011","sales record")</f>
        <v>sales record</v>
      </c>
      <c r="AC7244" t="s">
        <v>3</v>
      </c>
      <c r="AD7244">
        <v>41.766593</v>
      </c>
      <c r="AE7244">
        <v>-88.04350599999999</v>
      </c>
      <c r="AF7244" s="5" t="str">
        <f>HYPERLINK("https://www.google.com/maps/search/?api=1&amp;query=41.766593,-88.043506","map")</f>
        <v>map</v>
      </c>
    </row>
    <row r="7245" spans="1:32">
      <c r="A7245" t="s">
        <v>7295</v>
      </c>
      <c r="B7245" t="s">
        <v>14747</v>
      </c>
      <c r="C7245" t="s">
        <v>15323</v>
      </c>
      <c r="D7245" t="s">
        <v>16215</v>
      </c>
      <c r="E7245" t="s">
        <v>16218</v>
      </c>
      <c r="F7245" t="s">
        <v>16220</v>
      </c>
      <c r="G7245" t="s">
        <v>16299</v>
      </c>
      <c r="H7245" t="s">
        <v>16299</v>
      </c>
      <c r="I7245" t="s">
        <v>16382</v>
      </c>
      <c r="J7245" t="s">
        <v>16385</v>
      </c>
      <c r="K7245">
        <v>0.153</v>
      </c>
      <c r="L7245">
        <v>6655</v>
      </c>
      <c r="M7245">
        <v>2301</v>
      </c>
      <c r="N7245" t="s">
        <v>16393</v>
      </c>
      <c r="O7245" s="4">
        <v>54797</v>
      </c>
      <c r="P7245" s="4">
        <v>61754</v>
      </c>
      <c r="Q7245" s="4">
        <v>116551</v>
      </c>
      <c r="R7245" s="4">
        <v>349653</v>
      </c>
      <c r="S7245" t="s">
        <v>23393</v>
      </c>
      <c r="T7245" s="6">
        <v>34943</v>
      </c>
      <c r="U7245" s="4">
        <v>128000</v>
      </c>
      <c r="X7245" t="s">
        <v>3</v>
      </c>
      <c r="AA7245" s="5" t="str">
        <f>HYPERLINK("https://www.zillow.com/homes/6668-FOXTREE-AVE-WOODRIDGE-IL-60517_rb/","check listing")</f>
        <v>check listing</v>
      </c>
      <c r="AB7245" s="5" t="str">
        <f>HYPERLINK("https://propertylookup.dupagecounty.gov/Datalets/Datalet.aspx?UseSearch=no&amp;mode=sales&amp;pin=0824109009","sales record")</f>
        <v>sales record</v>
      </c>
      <c r="AC7245" t="s">
        <v>3</v>
      </c>
      <c r="AD7245">
        <v>41.766575</v>
      </c>
      <c r="AE7245">
        <v>-88.04401900000001</v>
      </c>
      <c r="AF7245" s="5" t="str">
        <f>HYPERLINK("https://www.google.com/maps/search/?api=1&amp;query=41.766575,-88.044019","map")</f>
        <v>map</v>
      </c>
    </row>
    <row r="7246" spans="1:32">
      <c r="A7246" t="s">
        <v>7296</v>
      </c>
      <c r="B7246" t="s">
        <v>14748</v>
      </c>
      <c r="C7246" t="s">
        <v>15323</v>
      </c>
      <c r="D7246" t="s">
        <v>16215</v>
      </c>
      <c r="E7246" t="s">
        <v>16218</v>
      </c>
      <c r="F7246" t="s">
        <v>16220</v>
      </c>
      <c r="G7246" t="s">
        <v>16299</v>
      </c>
      <c r="H7246" t="s">
        <v>16299</v>
      </c>
      <c r="I7246" t="s">
        <v>16382</v>
      </c>
      <c r="J7246" t="s">
        <v>16385</v>
      </c>
      <c r="K7246">
        <v>0.153</v>
      </c>
      <c r="L7246">
        <v>6654</v>
      </c>
      <c r="M7246">
        <v>1638</v>
      </c>
      <c r="N7246" t="s">
        <v>16393</v>
      </c>
      <c r="O7246" s="4">
        <v>51954</v>
      </c>
      <c r="P7246" s="4">
        <v>72551</v>
      </c>
      <c r="Q7246" s="4">
        <v>124505</v>
      </c>
      <c r="R7246" s="4">
        <v>373515</v>
      </c>
      <c r="S7246" t="s">
        <v>23394</v>
      </c>
      <c r="T7246" s="6">
        <v>44994</v>
      </c>
      <c r="U7246" s="4">
        <v>350000</v>
      </c>
      <c r="V7246" t="s">
        <v>23741</v>
      </c>
      <c r="W7246" t="s">
        <v>27686</v>
      </c>
      <c r="X7246" t="s">
        <v>3</v>
      </c>
      <c r="AA7246" s="5" t="str">
        <f>HYPERLINK("https://www.zillow.com/homes/6648-FOX-TREE-AVE-WOODRIDGE-IL-60517_rb/","check listing")</f>
        <v>check listing</v>
      </c>
      <c r="AB7246" s="5" t="str">
        <f>HYPERLINK("https://propertylookup.dupagecounty.gov/Datalets/Datalet.aspx?UseSearch=no&amp;mode=sales&amp;pin=0824109014","sales record")</f>
        <v>sales record</v>
      </c>
      <c r="AC7246" t="s">
        <v>3</v>
      </c>
      <c r="AD7246">
        <v>41.76662</v>
      </c>
      <c r="AE7246">
        <v>-88.042736</v>
      </c>
      <c r="AF7246" s="5" t="str">
        <f>HYPERLINK("https://www.google.com/maps/search/?api=1&amp;query=41.76662,-88.042736","map")</f>
        <v>map</v>
      </c>
    </row>
    <row r="7247" spans="1:32">
      <c r="A7247" t="s">
        <v>7297</v>
      </c>
      <c r="B7247" t="s">
        <v>14749</v>
      </c>
      <c r="C7247" t="s">
        <v>15323</v>
      </c>
      <c r="D7247" t="s">
        <v>16215</v>
      </c>
      <c r="E7247" t="s">
        <v>16218</v>
      </c>
      <c r="F7247" t="s">
        <v>16220</v>
      </c>
      <c r="G7247" t="s">
        <v>16299</v>
      </c>
      <c r="H7247" t="s">
        <v>16299</v>
      </c>
      <c r="I7247" t="s">
        <v>16382</v>
      </c>
      <c r="J7247" t="s">
        <v>16385</v>
      </c>
      <c r="K7247">
        <v>0.153</v>
      </c>
      <c r="L7247">
        <v>6654</v>
      </c>
      <c r="M7247">
        <v>1880</v>
      </c>
      <c r="N7247" t="s">
        <v>16393</v>
      </c>
      <c r="O7247" s="4">
        <v>54797</v>
      </c>
      <c r="P7247" s="4">
        <v>88474</v>
      </c>
      <c r="Q7247" s="4">
        <v>143271</v>
      </c>
      <c r="R7247" s="4">
        <v>429813</v>
      </c>
      <c r="S7247" t="s">
        <v>23395</v>
      </c>
      <c r="T7247" s="6">
        <v>36100</v>
      </c>
      <c r="U7247" s="4">
        <v>159000</v>
      </c>
      <c r="X7247" t="s">
        <v>3</v>
      </c>
      <c r="AA7247" s="5" t="str">
        <f>HYPERLINK("https://www.zillow.com/homes/6656-FOX-TREE-AVE-WOODRIDGE-IL-60517_rb/","check listing")</f>
        <v>check listing</v>
      </c>
      <c r="AB7247" s="5" t="str">
        <f>HYPERLINK("https://propertylookup.dupagecounty.gov/Datalets/Datalet.aspx?UseSearch=no&amp;mode=sales&amp;pin=0824109012","sales record")</f>
        <v>sales record</v>
      </c>
      <c r="AC7247" t="s">
        <v>3</v>
      </c>
      <c r="AD7247">
        <v>41.766602</v>
      </c>
      <c r="AE7247">
        <v>-88.043249</v>
      </c>
      <c r="AF7247" s="5" t="str">
        <f>HYPERLINK("https://www.google.com/maps/search/?api=1&amp;query=41.766602,-88.043249","map")</f>
        <v>map</v>
      </c>
    </row>
    <row r="7248" spans="1:32">
      <c r="A7248" t="s">
        <v>7298</v>
      </c>
      <c r="B7248" t="s">
        <v>14750</v>
      </c>
      <c r="C7248" t="s">
        <v>15323</v>
      </c>
      <c r="D7248" t="s">
        <v>16215</v>
      </c>
      <c r="E7248" t="s">
        <v>16218</v>
      </c>
      <c r="F7248" t="s">
        <v>16220</v>
      </c>
      <c r="G7248" t="s">
        <v>16299</v>
      </c>
      <c r="H7248" t="s">
        <v>16299</v>
      </c>
      <c r="I7248" t="s">
        <v>16382</v>
      </c>
      <c r="J7248" t="s">
        <v>16385</v>
      </c>
      <c r="K7248">
        <v>0.153</v>
      </c>
      <c r="L7248">
        <v>6653</v>
      </c>
      <c r="M7248">
        <v>1487</v>
      </c>
      <c r="N7248" t="s">
        <v>16393</v>
      </c>
      <c r="O7248" s="4">
        <v>54797</v>
      </c>
      <c r="P7248" s="4">
        <v>61730</v>
      </c>
      <c r="Q7248" s="4">
        <v>116527</v>
      </c>
      <c r="R7248" s="4">
        <v>349581</v>
      </c>
      <c r="S7248" t="s">
        <v>23396</v>
      </c>
      <c r="T7248" s="6">
        <v>45863</v>
      </c>
      <c r="U7248" s="4">
        <v>335000</v>
      </c>
      <c r="V7248" t="s">
        <v>23739</v>
      </c>
      <c r="W7248" t="s">
        <v>27687</v>
      </c>
      <c r="X7248" t="s">
        <v>3</v>
      </c>
      <c r="AA7248" s="5" t="str">
        <f>HYPERLINK("https://www.zillow.com/homes/6617-FOXTREE-AVE-WOODRIDGE-IL-60517_rb/","check listing")</f>
        <v>check listing</v>
      </c>
      <c r="AB7248" s="5" t="str">
        <f>HYPERLINK("https://propertylookup.dupagecounty.gov/Datalets/Datalet.aspx?UseSearch=no&amp;mode=sales&amp;pin=0824111024","sales record")</f>
        <v>sales record</v>
      </c>
      <c r="AC7248" t="s">
        <v>3</v>
      </c>
      <c r="AD7248">
        <v>41.765953</v>
      </c>
      <c r="AE7248">
        <v>-88.041453</v>
      </c>
      <c r="AF7248" s="5" t="str">
        <f>HYPERLINK("https://www.google.com/maps/search/?api=1&amp;query=41.765953,-88.041453","map")</f>
        <v>map</v>
      </c>
    </row>
    <row r="7249" spans="1:32">
      <c r="A7249" t="s">
        <v>7299</v>
      </c>
      <c r="B7249" t="s">
        <v>14751</v>
      </c>
      <c r="C7249" t="s">
        <v>15323</v>
      </c>
      <c r="D7249" t="s">
        <v>16215</v>
      </c>
      <c r="E7249" t="s">
        <v>16218</v>
      </c>
      <c r="F7249" t="s">
        <v>16220</v>
      </c>
      <c r="G7249" t="s">
        <v>16299</v>
      </c>
      <c r="H7249" t="s">
        <v>16299</v>
      </c>
      <c r="I7249" t="s">
        <v>16382</v>
      </c>
      <c r="J7249" t="s">
        <v>16385</v>
      </c>
      <c r="K7249">
        <v>0.153</v>
      </c>
      <c r="L7249">
        <v>6650</v>
      </c>
      <c r="M7249">
        <v>1420</v>
      </c>
      <c r="N7249" t="s">
        <v>16393</v>
      </c>
      <c r="O7249" s="4">
        <v>49124</v>
      </c>
      <c r="P7249" s="4">
        <v>70874</v>
      </c>
      <c r="Q7249" s="4">
        <v>119998</v>
      </c>
      <c r="R7249" s="4">
        <v>359994</v>
      </c>
      <c r="S7249" t="s">
        <v>23397</v>
      </c>
      <c r="T7249" s="6">
        <v>35916</v>
      </c>
      <c r="U7249" s="4">
        <v>148500</v>
      </c>
      <c r="X7249" t="s">
        <v>3</v>
      </c>
      <c r="AA7249" s="5" t="str">
        <f>HYPERLINK("https://www.zillow.com/homes/14-LORRAINE-AVE-WOODRIDGE-IL-60517_rb/","check listing")</f>
        <v>check listing</v>
      </c>
      <c r="AB7249" s="5" t="str">
        <f>HYPERLINK("https://propertylookup.dupagecounty.gov/Datalets/Datalet.aspx?UseSearch=no&amp;mode=sales&amp;pin=0824212004","sales record")</f>
        <v>sales record</v>
      </c>
      <c r="AC7249" t="s">
        <v>3</v>
      </c>
      <c r="AD7249">
        <v>41.765444</v>
      </c>
      <c r="AE7249">
        <v>-88.04074300000001</v>
      </c>
      <c r="AF7249" s="5" t="str">
        <f>HYPERLINK("https://www.google.com/maps/search/?api=1&amp;query=41.765444,-88.040743","map")</f>
        <v>map</v>
      </c>
    </row>
    <row r="7250" spans="1:32">
      <c r="A7250" t="s">
        <v>7300</v>
      </c>
      <c r="B7250" t="s">
        <v>14752</v>
      </c>
      <c r="C7250" t="s">
        <v>15323</v>
      </c>
      <c r="D7250" t="s">
        <v>16215</v>
      </c>
      <c r="E7250" t="s">
        <v>16218</v>
      </c>
      <c r="F7250" t="s">
        <v>16220</v>
      </c>
      <c r="G7250" t="s">
        <v>16299</v>
      </c>
      <c r="H7250" t="s">
        <v>16299</v>
      </c>
      <c r="I7250" t="s">
        <v>16382</v>
      </c>
      <c r="J7250" t="s">
        <v>16385</v>
      </c>
      <c r="K7250">
        <v>0.153</v>
      </c>
      <c r="L7250">
        <v>6650</v>
      </c>
      <c r="M7250">
        <v>1555</v>
      </c>
      <c r="N7250" t="s">
        <v>16393</v>
      </c>
      <c r="O7250" s="4">
        <v>51954</v>
      </c>
      <c r="P7250" s="4">
        <v>74620</v>
      </c>
      <c r="Q7250" s="4">
        <v>126574</v>
      </c>
      <c r="R7250" s="4">
        <v>379722</v>
      </c>
      <c r="S7250" t="s">
        <v>23398</v>
      </c>
      <c r="X7250" t="s">
        <v>3</v>
      </c>
      <c r="AA7250" s="5" t="str">
        <f>HYPERLINK("https://www.zillow.com/homes/13-LORRAINE-AVE-WOODRIDGE-IL-60517_rb/","check listing")</f>
        <v>check listing</v>
      </c>
      <c r="AB7250" s="5" t="str">
        <f>HYPERLINK("https://propertylookup.dupagecounty.gov/Datalets/Datalet.aspx?UseSearch=no&amp;mode=sales&amp;pin=0824212003","sales record")</f>
        <v>sales record</v>
      </c>
      <c r="AC7250" t="s">
        <v>3</v>
      </c>
      <c r="AD7250">
        <v>41.765437</v>
      </c>
      <c r="AE7250">
        <v>-88.040999</v>
      </c>
      <c r="AF7250" s="5" t="str">
        <f>HYPERLINK("https://www.google.com/maps/search/?api=1&amp;query=41.765437,-88.040999","map")</f>
        <v>map</v>
      </c>
    </row>
    <row r="7251" spans="1:32">
      <c r="A7251" t="s">
        <v>7301</v>
      </c>
      <c r="B7251" t="s">
        <v>14753</v>
      </c>
      <c r="C7251" t="s">
        <v>15323</v>
      </c>
      <c r="D7251" t="s">
        <v>16215</v>
      </c>
      <c r="E7251" t="s">
        <v>16218</v>
      </c>
      <c r="F7251" t="s">
        <v>16220</v>
      </c>
      <c r="G7251" t="s">
        <v>16299</v>
      </c>
      <c r="H7251" t="s">
        <v>16299</v>
      </c>
      <c r="I7251" t="s">
        <v>16382</v>
      </c>
      <c r="J7251" t="s">
        <v>16385</v>
      </c>
      <c r="K7251">
        <v>0.153</v>
      </c>
      <c r="L7251">
        <v>6649</v>
      </c>
      <c r="M7251">
        <v>1230</v>
      </c>
      <c r="N7251" t="s">
        <v>16393</v>
      </c>
      <c r="O7251" s="4">
        <v>54797</v>
      </c>
      <c r="P7251" s="4">
        <v>73574</v>
      </c>
      <c r="Q7251" s="4">
        <v>128371</v>
      </c>
      <c r="R7251" s="4">
        <v>385113</v>
      </c>
      <c r="S7251" t="s">
        <v>23399</v>
      </c>
      <c r="T7251" s="6">
        <v>44044</v>
      </c>
      <c r="U7251" s="4">
        <v>275000</v>
      </c>
      <c r="V7251" t="s">
        <v>23739</v>
      </c>
      <c r="W7251" t="s">
        <v>27688</v>
      </c>
      <c r="X7251" t="s">
        <v>3</v>
      </c>
      <c r="AA7251" s="5" t="str">
        <f>HYPERLINK("https://www.zillow.com/homes/6722-CHERRY-TREE-AVE-WOODRIDGE-IL-60517_rb/","check listing")</f>
        <v>check listing</v>
      </c>
      <c r="AB7251" s="5" t="str">
        <f>HYPERLINK("https://propertylookup.dupagecounty.gov/Datalets/Datalet.aspx?UseSearch=no&amp;mode=sales&amp;pin=0824315013","sales record")</f>
        <v>sales record</v>
      </c>
      <c r="AC7251" t="s">
        <v>3</v>
      </c>
      <c r="AD7251">
        <v>41.763326</v>
      </c>
      <c r="AE7251">
        <v>-88.046994</v>
      </c>
      <c r="AF7251" s="5" t="str">
        <f>HYPERLINK("https://www.google.com/maps/search/?api=1&amp;query=41.763326,-88.046994","map")</f>
        <v>map</v>
      </c>
    </row>
    <row r="7252" spans="1:32">
      <c r="A7252" t="s">
        <v>7302</v>
      </c>
      <c r="B7252" t="s">
        <v>14754</v>
      </c>
      <c r="C7252" t="s">
        <v>15323</v>
      </c>
      <c r="D7252" t="s">
        <v>16215</v>
      </c>
      <c r="E7252" t="s">
        <v>16218</v>
      </c>
      <c r="F7252" t="s">
        <v>16220</v>
      </c>
      <c r="G7252" t="s">
        <v>16299</v>
      </c>
      <c r="H7252" t="s">
        <v>16299</v>
      </c>
      <c r="I7252" t="s">
        <v>16382</v>
      </c>
      <c r="J7252" t="s">
        <v>16385</v>
      </c>
      <c r="K7252">
        <v>0.153</v>
      </c>
      <c r="L7252">
        <v>6648</v>
      </c>
      <c r="M7252">
        <v>1588</v>
      </c>
      <c r="N7252" t="s">
        <v>16393</v>
      </c>
      <c r="O7252" s="4">
        <v>54797</v>
      </c>
      <c r="P7252" s="4">
        <v>86523</v>
      </c>
      <c r="Q7252" s="4">
        <v>141320</v>
      </c>
      <c r="R7252" s="4">
        <v>423960</v>
      </c>
      <c r="S7252" t="s">
        <v>23400</v>
      </c>
      <c r="T7252" s="6">
        <v>42064</v>
      </c>
      <c r="U7252" s="4">
        <v>254000</v>
      </c>
      <c r="V7252" t="s">
        <v>16232</v>
      </c>
      <c r="W7252" t="s">
        <v>27689</v>
      </c>
      <c r="X7252" t="s">
        <v>3</v>
      </c>
      <c r="AA7252" s="5" t="str">
        <f>HYPERLINK("https://www.zillow.com/homes/6649-FOXTREE-AVE-WOODRIDGE-IL-60517_rb/","check listing")</f>
        <v>check listing</v>
      </c>
      <c r="AB7252" s="5" t="str">
        <f>HYPERLINK("https://propertylookup.dupagecounty.gov/Datalets/Datalet.aspx?UseSearch=no&amp;mode=sales&amp;pin=0824111012","sales record")</f>
        <v>sales record</v>
      </c>
      <c r="AC7252" t="s">
        <v>3</v>
      </c>
      <c r="AD7252">
        <v>41.766205</v>
      </c>
      <c r="AE7252">
        <v>-88.042824</v>
      </c>
      <c r="AF7252" s="5" t="str">
        <f>HYPERLINK("https://www.google.com/maps/search/?api=1&amp;query=41.766205,-88.042824","map")</f>
        <v>map</v>
      </c>
    </row>
    <row r="7253" spans="1:32">
      <c r="A7253" t="s">
        <v>7303</v>
      </c>
      <c r="B7253" t="s">
        <v>14755</v>
      </c>
      <c r="C7253" t="s">
        <v>15323</v>
      </c>
      <c r="D7253" t="s">
        <v>16215</v>
      </c>
      <c r="E7253" t="s">
        <v>16218</v>
      </c>
      <c r="F7253" t="s">
        <v>16220</v>
      </c>
      <c r="G7253" t="s">
        <v>16299</v>
      </c>
      <c r="H7253" t="s">
        <v>16299</v>
      </c>
      <c r="I7253" t="s">
        <v>16382</v>
      </c>
      <c r="J7253" t="s">
        <v>16385</v>
      </c>
      <c r="K7253">
        <v>0.153</v>
      </c>
      <c r="L7253">
        <v>6646</v>
      </c>
      <c r="M7253">
        <v>1738</v>
      </c>
      <c r="N7253" t="s">
        <v>16393</v>
      </c>
      <c r="O7253" s="4">
        <v>54797</v>
      </c>
      <c r="P7253" s="4">
        <v>69495</v>
      </c>
      <c r="Q7253" s="4">
        <v>124292</v>
      </c>
      <c r="R7253" s="4">
        <v>372876</v>
      </c>
      <c r="S7253" t="s">
        <v>23401</v>
      </c>
      <c r="T7253" s="6">
        <v>37742</v>
      </c>
      <c r="U7253" s="4">
        <v>211500</v>
      </c>
      <c r="V7253" t="s">
        <v>23739</v>
      </c>
      <c r="W7253" t="s">
        <v>27690</v>
      </c>
      <c r="X7253" t="s">
        <v>3</v>
      </c>
      <c r="AA7253" s="5" t="str">
        <f>HYPERLINK("https://www.zillow.com/homes/2387-SUNNYDALE-DR-WOODRIDGE-IL-60517_rb/","check listing")</f>
        <v>check listing</v>
      </c>
      <c r="AB7253" s="5" t="str">
        <f>HYPERLINK("https://propertylookup.dupagecounty.gov/Datalets/Datalet.aspx?UseSearch=no&amp;mode=sales&amp;pin=0824420001","sales record")</f>
        <v>sales record</v>
      </c>
      <c r="AC7253" t="s">
        <v>3</v>
      </c>
      <c r="AD7253">
        <v>41.760941</v>
      </c>
      <c r="AE7253">
        <v>-88.039779</v>
      </c>
      <c r="AF7253" s="5" t="str">
        <f>HYPERLINK("https://www.google.com/maps/search/?api=1&amp;query=41.760941,-88.039779","map")</f>
        <v>map</v>
      </c>
    </row>
    <row r="7254" spans="1:32">
      <c r="A7254" t="s">
        <v>7304</v>
      </c>
      <c r="B7254" t="s">
        <v>14756</v>
      </c>
      <c r="C7254" t="s">
        <v>15323</v>
      </c>
      <c r="D7254" t="s">
        <v>16215</v>
      </c>
      <c r="E7254" t="s">
        <v>16218</v>
      </c>
      <c r="F7254" t="s">
        <v>16220</v>
      </c>
      <c r="G7254" t="s">
        <v>16299</v>
      </c>
      <c r="H7254" t="s">
        <v>16299</v>
      </c>
      <c r="I7254" t="s">
        <v>16382</v>
      </c>
      <c r="J7254" t="s">
        <v>16385</v>
      </c>
      <c r="K7254">
        <v>0.152</v>
      </c>
      <c r="L7254">
        <v>6642</v>
      </c>
      <c r="M7254">
        <v>1536</v>
      </c>
      <c r="N7254" t="s">
        <v>16393</v>
      </c>
      <c r="O7254" s="4">
        <v>54797</v>
      </c>
      <c r="P7254" s="4">
        <v>62562</v>
      </c>
      <c r="Q7254" s="4">
        <v>117359</v>
      </c>
      <c r="R7254" s="4">
        <v>352077</v>
      </c>
      <c r="S7254" t="s">
        <v>23402</v>
      </c>
      <c r="T7254" s="6">
        <v>38534</v>
      </c>
      <c r="U7254" s="4">
        <v>256000</v>
      </c>
      <c r="V7254" t="s">
        <v>23739</v>
      </c>
      <c r="W7254" t="s">
        <v>23402</v>
      </c>
      <c r="X7254" t="s">
        <v>3</v>
      </c>
      <c r="AA7254" s="5" t="str">
        <f>HYPERLINK("https://www.zillow.com/homes/11-LORRAINE-CT-WOODRIDGE-IL-60517_rb/","check listing")</f>
        <v>check listing</v>
      </c>
      <c r="AB7254" s="5" t="str">
        <f>HYPERLINK("https://propertylookup.dupagecounty.gov/Datalets/Datalet.aspx?UseSearch=no&amp;mode=sales&amp;pin=0824111036","sales record")</f>
        <v>sales record</v>
      </c>
      <c r="AC7254" t="s">
        <v>3</v>
      </c>
      <c r="AD7254">
        <v>41.765389</v>
      </c>
      <c r="AE7254">
        <v>-88.041511</v>
      </c>
      <c r="AF7254" s="5" t="str">
        <f>HYPERLINK("https://www.google.com/maps/search/?api=1&amp;query=41.765389,-88.041511","map")</f>
        <v>map</v>
      </c>
    </row>
    <row r="7255" spans="1:32">
      <c r="A7255" t="s">
        <v>7305</v>
      </c>
      <c r="B7255" t="s">
        <v>14757</v>
      </c>
      <c r="C7255" t="s">
        <v>16171</v>
      </c>
      <c r="D7255" t="s">
        <v>16215</v>
      </c>
      <c r="E7255" t="s">
        <v>16218</v>
      </c>
      <c r="F7255" t="s">
        <v>16220</v>
      </c>
      <c r="G7255" t="s">
        <v>16299</v>
      </c>
      <c r="H7255" t="s">
        <v>16299</v>
      </c>
      <c r="I7255" t="s">
        <v>16382</v>
      </c>
      <c r="J7255" t="s">
        <v>16385</v>
      </c>
      <c r="K7255">
        <v>0.152</v>
      </c>
      <c r="L7255">
        <v>6642</v>
      </c>
      <c r="M7255">
        <v>1787</v>
      </c>
      <c r="N7255" t="s">
        <v>16393</v>
      </c>
      <c r="O7255" s="4">
        <v>54797</v>
      </c>
      <c r="P7255" s="4">
        <v>57544</v>
      </c>
      <c r="Q7255" s="4">
        <v>112341</v>
      </c>
      <c r="R7255" s="4">
        <v>337023</v>
      </c>
      <c r="S7255" t="s">
        <v>23403</v>
      </c>
      <c r="T7255" s="6">
        <v>44256</v>
      </c>
      <c r="U7255" s="4">
        <v>239900</v>
      </c>
      <c r="V7255" t="s">
        <v>23739</v>
      </c>
      <c r="W7255" t="s">
        <v>23403</v>
      </c>
      <c r="X7255" t="s">
        <v>3</v>
      </c>
      <c r="AA7255" s="5" t="str">
        <f>HYPERLINK("https://www.zillow.com/homes/2379-KILDEER-ST-WOODRIDGE-IL-605171855_rb/","check listing")</f>
        <v>check listing</v>
      </c>
      <c r="AB7255" s="5" t="str">
        <f>HYPERLINK("https://propertylookup.dupagecounty.gov/Datalets/Datalet.aspx?UseSearch=no&amp;mode=sales&amp;pin=0824407006","sales record")</f>
        <v>sales record</v>
      </c>
      <c r="AC7255" t="s">
        <v>3</v>
      </c>
      <c r="AD7255">
        <v>41.762245</v>
      </c>
      <c r="AE7255">
        <v>-88.03952099999999</v>
      </c>
      <c r="AF7255" s="5" t="str">
        <f>HYPERLINK("https://www.google.com/maps/search/?api=1&amp;query=41.762245,-88.039521","map")</f>
        <v>map</v>
      </c>
    </row>
    <row r="7256" spans="1:32">
      <c r="A7256" t="s">
        <v>7306</v>
      </c>
      <c r="B7256" t="s">
        <v>14758</v>
      </c>
      <c r="C7256" t="s">
        <v>15323</v>
      </c>
      <c r="D7256" t="s">
        <v>16215</v>
      </c>
      <c r="E7256" t="s">
        <v>16218</v>
      </c>
      <c r="F7256" t="s">
        <v>16220</v>
      </c>
      <c r="G7256" t="s">
        <v>16299</v>
      </c>
      <c r="H7256" t="s">
        <v>16299</v>
      </c>
      <c r="I7256" t="s">
        <v>16382</v>
      </c>
      <c r="J7256" t="s">
        <v>16385</v>
      </c>
      <c r="K7256">
        <v>0.152</v>
      </c>
      <c r="L7256">
        <v>6642</v>
      </c>
      <c r="M7256">
        <v>2415</v>
      </c>
      <c r="N7256" t="s">
        <v>16393</v>
      </c>
      <c r="O7256" s="4">
        <v>54797</v>
      </c>
      <c r="P7256" s="4">
        <v>63989</v>
      </c>
      <c r="Q7256" s="4">
        <v>118786</v>
      </c>
      <c r="R7256" s="4">
        <v>356358</v>
      </c>
      <c r="S7256" t="s">
        <v>23404</v>
      </c>
      <c r="T7256" s="6">
        <v>43952</v>
      </c>
      <c r="U7256" s="4">
        <v>253000</v>
      </c>
      <c r="V7256" t="s">
        <v>23739</v>
      </c>
      <c r="W7256" t="s">
        <v>27691</v>
      </c>
      <c r="X7256" t="s">
        <v>3</v>
      </c>
      <c r="AA7256" s="5" t="str">
        <f>HYPERLINK("https://www.zillow.com/homes/6641-FOX-TREE-AVE-WOODRIDGE-IL-60517_rb/","check listing")</f>
        <v>check listing</v>
      </c>
      <c r="AB7256" s="5" t="str">
        <f>HYPERLINK("https://propertylookup.dupagecounty.gov/Datalets/Datalet.aspx?UseSearch=no&amp;mode=sales&amp;pin=0824111020","sales record")</f>
        <v>sales record</v>
      </c>
      <c r="AC7256" t="s">
        <v>3</v>
      </c>
      <c r="AD7256">
        <v>41.766223</v>
      </c>
      <c r="AE7256">
        <v>-88.042311</v>
      </c>
      <c r="AF7256" s="5" t="str">
        <f>HYPERLINK("https://www.google.com/maps/search/?api=1&amp;query=41.766223,-88.042311","map")</f>
        <v>map</v>
      </c>
    </row>
    <row r="7257" spans="1:32">
      <c r="A7257" t="s">
        <v>7307</v>
      </c>
      <c r="B7257" t="s">
        <v>14759</v>
      </c>
      <c r="C7257" t="s">
        <v>16172</v>
      </c>
      <c r="D7257" t="s">
        <v>16215</v>
      </c>
      <c r="E7257" t="s">
        <v>16218</v>
      </c>
      <c r="F7257" t="s">
        <v>16220</v>
      </c>
      <c r="G7257" t="s">
        <v>16299</v>
      </c>
      <c r="H7257" t="s">
        <v>16299</v>
      </c>
      <c r="I7257" t="s">
        <v>16382</v>
      </c>
      <c r="J7257" t="s">
        <v>16385</v>
      </c>
      <c r="K7257">
        <v>0.152</v>
      </c>
      <c r="L7257">
        <v>6637</v>
      </c>
      <c r="M7257">
        <v>1431</v>
      </c>
      <c r="N7257" t="s">
        <v>16393</v>
      </c>
      <c r="O7257" s="4">
        <v>54797</v>
      </c>
      <c r="P7257" s="4">
        <v>66641</v>
      </c>
      <c r="Q7257" s="4">
        <v>121438</v>
      </c>
      <c r="R7257" s="4">
        <v>364314</v>
      </c>
      <c r="S7257" t="s">
        <v>23405</v>
      </c>
      <c r="T7257" s="6">
        <v>42461</v>
      </c>
      <c r="U7257" s="4">
        <v>247500</v>
      </c>
      <c r="V7257" t="s">
        <v>23739</v>
      </c>
      <c r="W7257" t="s">
        <v>27692</v>
      </c>
      <c r="X7257" t="s">
        <v>3</v>
      </c>
      <c r="AA7257" s="5" t="str">
        <f>HYPERLINK("https://www.zillow.com/homes/9-LORRAINE-AVE-WOODRIDGE-IL-605171725_rb/","check listing")</f>
        <v>check listing</v>
      </c>
      <c r="AB7257" s="5" t="str">
        <f>HYPERLINK("https://propertylookup.dupagecounty.gov/Datalets/Datalet.aspx?UseSearch=no&amp;mode=sales&amp;pin=0824111034","sales record")</f>
        <v>sales record</v>
      </c>
      <c r="AC7257" t="s">
        <v>3</v>
      </c>
      <c r="AD7257">
        <v>41.765389</v>
      </c>
      <c r="AE7257">
        <v>-88.042002</v>
      </c>
      <c r="AF7257" s="5" t="str">
        <f>HYPERLINK("https://www.google.com/maps/search/?api=1&amp;query=41.765389,-88.042002","map")</f>
        <v>map</v>
      </c>
    </row>
    <row r="7258" spans="1:32">
      <c r="A7258" t="s">
        <v>7308</v>
      </c>
      <c r="B7258" t="s">
        <v>14760</v>
      </c>
      <c r="C7258" t="s">
        <v>15323</v>
      </c>
      <c r="D7258" t="s">
        <v>16215</v>
      </c>
      <c r="E7258" t="s">
        <v>16218</v>
      </c>
      <c r="F7258" t="s">
        <v>16220</v>
      </c>
      <c r="G7258" t="s">
        <v>16299</v>
      </c>
      <c r="H7258" t="s">
        <v>16299</v>
      </c>
      <c r="I7258" t="s">
        <v>16382</v>
      </c>
      <c r="J7258" t="s">
        <v>16385</v>
      </c>
      <c r="K7258">
        <v>0.152</v>
      </c>
      <c r="L7258">
        <v>6632</v>
      </c>
      <c r="M7258">
        <v>2097</v>
      </c>
      <c r="N7258" t="s">
        <v>16393</v>
      </c>
      <c r="O7258" s="4">
        <v>54797</v>
      </c>
      <c r="P7258" s="4">
        <v>62145</v>
      </c>
      <c r="Q7258" s="4">
        <v>116942</v>
      </c>
      <c r="R7258" s="4">
        <v>350826</v>
      </c>
      <c r="S7258" t="s">
        <v>23406</v>
      </c>
      <c r="T7258" s="6">
        <v>42186</v>
      </c>
      <c r="U7258" s="4">
        <v>216000</v>
      </c>
      <c r="V7258" t="s">
        <v>23739</v>
      </c>
      <c r="W7258" t="s">
        <v>27693</v>
      </c>
      <c r="X7258" t="s">
        <v>3</v>
      </c>
      <c r="AA7258" s="5" t="str">
        <f>HYPERLINK("https://www.zillow.com/homes/4-LORRAINE-CT-WOODRIDGE-IL-60517_rb/","check listing")</f>
        <v>check listing</v>
      </c>
      <c r="AB7258" s="5" t="str">
        <f>HYPERLINK("https://propertylookup.dupagecounty.gov/Datalets/Datalet.aspx?UseSearch=no&amp;mode=sales&amp;pin=0824111029","sales record")</f>
        <v>sales record</v>
      </c>
      <c r="AC7258" t="s">
        <v>3</v>
      </c>
      <c r="AD7258">
        <v>41.765996</v>
      </c>
      <c r="AE7258">
        <v>-88.042198</v>
      </c>
      <c r="AF7258" s="5" t="str">
        <f>HYPERLINK("https://www.google.com/maps/search/?api=1&amp;query=41.765996,-88.042198","map")</f>
        <v>map</v>
      </c>
    </row>
    <row r="7259" spans="1:32">
      <c r="A7259" t="s">
        <v>7309</v>
      </c>
      <c r="B7259" t="s">
        <v>14761</v>
      </c>
      <c r="C7259" t="s">
        <v>15323</v>
      </c>
      <c r="D7259" t="s">
        <v>16215</v>
      </c>
      <c r="E7259" t="s">
        <v>16218</v>
      </c>
      <c r="F7259" t="s">
        <v>16220</v>
      </c>
      <c r="G7259" t="s">
        <v>16299</v>
      </c>
      <c r="H7259" t="s">
        <v>16299</v>
      </c>
      <c r="I7259" t="s">
        <v>16382</v>
      </c>
      <c r="J7259" t="s">
        <v>16385</v>
      </c>
      <c r="K7259">
        <v>0.152</v>
      </c>
      <c r="L7259">
        <v>6631</v>
      </c>
      <c r="M7259">
        <v>1433</v>
      </c>
      <c r="N7259" t="s">
        <v>16393</v>
      </c>
      <c r="O7259" s="4">
        <v>54797</v>
      </c>
      <c r="P7259" s="4">
        <v>61028</v>
      </c>
      <c r="Q7259" s="4">
        <v>115825</v>
      </c>
      <c r="R7259" s="4">
        <v>347475</v>
      </c>
      <c r="S7259" t="s">
        <v>23407</v>
      </c>
      <c r="T7259" s="6">
        <v>37288</v>
      </c>
      <c r="U7259" s="4">
        <v>180000</v>
      </c>
      <c r="V7259" t="s">
        <v>23739</v>
      </c>
      <c r="W7259" t="s">
        <v>23407</v>
      </c>
      <c r="X7259" t="s">
        <v>3</v>
      </c>
      <c r="AA7259" s="5" t="str">
        <f>HYPERLINK("https://www.zillow.com/homes/6645-FOX-TREE-AVE-WOODRIDGE-IL-60517_rb/","check listing")</f>
        <v>check listing</v>
      </c>
      <c r="AB7259" s="5" t="str">
        <f>HYPERLINK("https://propertylookup.dupagecounty.gov/Datalets/Datalet.aspx?UseSearch=no&amp;mode=sales&amp;pin=0824111013","sales record")</f>
        <v>sales record</v>
      </c>
      <c r="AC7259" t="s">
        <v>3</v>
      </c>
      <c r="AD7259">
        <v>41.766214</v>
      </c>
      <c r="AE7259">
        <v>-88.042568</v>
      </c>
      <c r="AF7259" s="5" t="str">
        <f>HYPERLINK("https://www.google.com/maps/search/?api=1&amp;query=41.766214,-88.042568","map")</f>
        <v>map</v>
      </c>
    </row>
    <row r="7260" spans="1:32">
      <c r="A7260" t="s">
        <v>7310</v>
      </c>
      <c r="B7260" t="s">
        <v>14762</v>
      </c>
      <c r="C7260" t="s">
        <v>15323</v>
      </c>
      <c r="D7260" t="s">
        <v>16215</v>
      </c>
      <c r="E7260" t="s">
        <v>16218</v>
      </c>
      <c r="F7260" t="s">
        <v>16220</v>
      </c>
      <c r="G7260" t="s">
        <v>16299</v>
      </c>
      <c r="H7260" t="s">
        <v>16299</v>
      </c>
      <c r="I7260" t="s">
        <v>16382</v>
      </c>
      <c r="J7260" t="s">
        <v>16385</v>
      </c>
      <c r="K7260">
        <v>0.152</v>
      </c>
      <c r="L7260">
        <v>6629</v>
      </c>
      <c r="M7260">
        <v>1514</v>
      </c>
      <c r="N7260" t="s">
        <v>16393</v>
      </c>
      <c r="O7260" s="4">
        <v>54797</v>
      </c>
      <c r="P7260" s="4">
        <v>64179</v>
      </c>
      <c r="Q7260" s="4">
        <v>118976</v>
      </c>
      <c r="R7260" s="4">
        <v>356928</v>
      </c>
      <c r="S7260" t="s">
        <v>23408</v>
      </c>
      <c r="T7260" s="6">
        <v>29434</v>
      </c>
      <c r="U7260" s="4">
        <v>78500</v>
      </c>
      <c r="X7260" t="s">
        <v>3</v>
      </c>
      <c r="AA7260" s="5" t="str">
        <f>HYPERLINK("https://www.zillow.com/homes/6637-FOX-TREE-AVE-WOODRIDGE-IL-60517_rb/","check listing")</f>
        <v>check listing</v>
      </c>
      <c r="AB7260" s="5" t="str">
        <f>HYPERLINK("https://propertylookup.dupagecounty.gov/Datalets/Datalet.aspx?UseSearch=no&amp;mode=sales&amp;pin=0824111021","sales record")</f>
        <v>sales record</v>
      </c>
      <c r="AC7260" t="s">
        <v>3</v>
      </c>
      <c r="AD7260">
        <v>41.766232</v>
      </c>
      <c r="AE7260">
        <v>-88.042055</v>
      </c>
      <c r="AF7260" s="5" t="str">
        <f>HYPERLINK("https://www.google.com/maps/search/?api=1&amp;query=41.766232,-88.042055","map")</f>
        <v>map</v>
      </c>
    </row>
    <row r="7261" spans="1:32">
      <c r="A7261" t="s">
        <v>7311</v>
      </c>
      <c r="B7261" t="s">
        <v>14763</v>
      </c>
      <c r="C7261" t="s">
        <v>15323</v>
      </c>
      <c r="D7261" t="s">
        <v>16215</v>
      </c>
      <c r="E7261" t="s">
        <v>16218</v>
      </c>
      <c r="F7261" t="s">
        <v>16220</v>
      </c>
      <c r="G7261" t="s">
        <v>16299</v>
      </c>
      <c r="H7261" t="s">
        <v>16299</v>
      </c>
      <c r="I7261" t="s">
        <v>16382</v>
      </c>
      <c r="J7261" t="s">
        <v>16385</v>
      </c>
      <c r="K7261">
        <v>0.152</v>
      </c>
      <c r="L7261">
        <v>6622</v>
      </c>
      <c r="M7261">
        <v>2141</v>
      </c>
      <c r="N7261" t="s">
        <v>16393</v>
      </c>
      <c r="O7261" s="4">
        <v>54797</v>
      </c>
      <c r="P7261" s="4">
        <v>61207</v>
      </c>
      <c r="Q7261" s="4">
        <v>116004</v>
      </c>
      <c r="R7261" s="4">
        <v>348012</v>
      </c>
      <c r="S7261" t="s">
        <v>23409</v>
      </c>
      <c r="T7261" s="6">
        <v>35217</v>
      </c>
      <c r="U7261" s="4">
        <v>130000</v>
      </c>
      <c r="X7261" t="s">
        <v>3</v>
      </c>
      <c r="AA7261" s="5" t="str">
        <f>HYPERLINK("https://www.zillow.com/homes/6-QUAIL-CT-WOODRIDGE-IL-60517_rb/","check listing")</f>
        <v>check listing</v>
      </c>
      <c r="AB7261" s="5" t="str">
        <f>HYPERLINK("https://propertylookup.dupagecounty.gov/Datalets/Datalet.aspx?UseSearch=no&amp;mode=sales&amp;pin=0824318009","sales record")</f>
        <v>sales record</v>
      </c>
      <c r="AC7261" t="s">
        <v>3</v>
      </c>
      <c r="AD7261">
        <v>41.764016</v>
      </c>
      <c r="AE7261">
        <v>-88.041646</v>
      </c>
      <c r="AF7261" s="5" t="str">
        <f>HYPERLINK("https://www.google.com/maps/search/?api=1&amp;query=41.764016,-88.041646","map")</f>
        <v>map</v>
      </c>
    </row>
    <row r="7262" spans="1:32">
      <c r="A7262" t="s">
        <v>7312</v>
      </c>
      <c r="B7262" t="s">
        <v>14764</v>
      </c>
      <c r="C7262" t="s">
        <v>16159</v>
      </c>
      <c r="D7262" t="s">
        <v>16215</v>
      </c>
      <c r="E7262" t="s">
        <v>16218</v>
      </c>
      <c r="F7262" t="s">
        <v>16220</v>
      </c>
      <c r="G7262" t="s">
        <v>16299</v>
      </c>
      <c r="H7262" t="s">
        <v>16299</v>
      </c>
      <c r="I7262" t="s">
        <v>16382</v>
      </c>
      <c r="J7262" t="s">
        <v>16385</v>
      </c>
      <c r="K7262">
        <v>0.152</v>
      </c>
      <c r="L7262">
        <v>6618</v>
      </c>
      <c r="M7262">
        <v>1559</v>
      </c>
      <c r="N7262" t="s">
        <v>16393</v>
      </c>
      <c r="O7262" s="4">
        <v>54797</v>
      </c>
      <c r="P7262" s="4">
        <v>67663</v>
      </c>
      <c r="Q7262" s="4">
        <v>122460</v>
      </c>
      <c r="R7262" s="4">
        <v>367380</v>
      </c>
      <c r="S7262" t="s">
        <v>23410</v>
      </c>
      <c r="T7262" s="6">
        <v>42614</v>
      </c>
      <c r="U7262" s="4">
        <v>272000</v>
      </c>
      <c r="V7262" t="s">
        <v>23739</v>
      </c>
      <c r="W7262" t="s">
        <v>27694</v>
      </c>
      <c r="X7262" t="s">
        <v>3</v>
      </c>
      <c r="AA7262" s="5" t="str">
        <f>HYPERLINK("https://www.zillow.com/homes/6629-FOXTREE-AVE-WOODRIDGE-IL-605171730_rb/","check listing")</f>
        <v>check listing</v>
      </c>
      <c r="AB7262" s="5" t="str">
        <f>HYPERLINK("https://propertylookup.dupagecounty.gov/Datalets/Datalet.aspx?UseSearch=no&amp;mode=sales&amp;pin=0824111022","sales record")</f>
        <v>sales record</v>
      </c>
      <c r="AC7262" t="s">
        <v>3</v>
      </c>
      <c r="AD7262">
        <v>41.766186</v>
      </c>
      <c r="AE7262">
        <v>-88.04179499999999</v>
      </c>
      <c r="AF7262" s="5" t="str">
        <f>HYPERLINK("https://www.google.com/maps/search/?api=1&amp;query=41.766186,-88.041795","map")</f>
        <v>map</v>
      </c>
    </row>
    <row r="7263" spans="1:32">
      <c r="A7263" t="s">
        <v>7313</v>
      </c>
      <c r="B7263" t="s">
        <v>14765</v>
      </c>
      <c r="C7263" t="s">
        <v>15323</v>
      </c>
      <c r="D7263" t="s">
        <v>16215</v>
      </c>
      <c r="E7263" t="s">
        <v>16218</v>
      </c>
      <c r="F7263" t="s">
        <v>16220</v>
      </c>
      <c r="G7263" t="s">
        <v>16299</v>
      </c>
      <c r="H7263" t="s">
        <v>16299</v>
      </c>
      <c r="I7263" t="s">
        <v>16382</v>
      </c>
      <c r="J7263" t="s">
        <v>16385</v>
      </c>
      <c r="K7263">
        <v>0.152</v>
      </c>
      <c r="L7263">
        <v>6604</v>
      </c>
      <c r="M7263">
        <v>2089</v>
      </c>
      <c r="N7263" t="s">
        <v>16393</v>
      </c>
      <c r="O7263" s="4">
        <v>54797</v>
      </c>
      <c r="P7263" s="4">
        <v>61016</v>
      </c>
      <c r="Q7263" s="4">
        <v>115813</v>
      </c>
      <c r="R7263" s="4">
        <v>347439</v>
      </c>
      <c r="S7263" t="s">
        <v>23411</v>
      </c>
      <c r="T7263" s="6">
        <v>40756</v>
      </c>
      <c r="U7263" s="4">
        <v>204500</v>
      </c>
      <c r="V7263" t="s">
        <v>23739</v>
      </c>
      <c r="W7263" t="s">
        <v>27695</v>
      </c>
      <c r="X7263" t="s">
        <v>3</v>
      </c>
      <c r="AA7263" s="5" t="str">
        <f>HYPERLINK("https://www.zillow.com/homes/2508-YELLOW-STAR-ST-WOODRIDGE-IL-60517_rb/","check listing")</f>
        <v>check listing</v>
      </c>
      <c r="AB7263" s="5" t="str">
        <f>HYPERLINK("https://propertylookup.dupagecounty.gov/Datalets/Datalet.aspx?UseSearch=no&amp;mode=sales&amp;pin=0824302021","sales record")</f>
        <v>sales record</v>
      </c>
      <c r="AC7263" t="s">
        <v>3</v>
      </c>
      <c r="AD7263">
        <v>41.764704</v>
      </c>
      <c r="AE7263">
        <v>-88.046171</v>
      </c>
      <c r="AF7263" s="5" t="str">
        <f>HYPERLINK("https://www.google.com/maps/search/?api=1&amp;query=41.764704,-88.046171","map")</f>
        <v>map</v>
      </c>
    </row>
    <row r="7264" spans="1:32">
      <c r="A7264" t="s">
        <v>7314</v>
      </c>
      <c r="B7264" t="s">
        <v>14766</v>
      </c>
      <c r="C7264" t="s">
        <v>16163</v>
      </c>
      <c r="D7264" t="s">
        <v>16215</v>
      </c>
      <c r="E7264" t="s">
        <v>16218</v>
      </c>
      <c r="F7264" t="s">
        <v>16220</v>
      </c>
      <c r="G7264" t="s">
        <v>16299</v>
      </c>
      <c r="H7264" t="s">
        <v>16299</v>
      </c>
      <c r="I7264" t="s">
        <v>16382</v>
      </c>
      <c r="J7264" t="s">
        <v>16385</v>
      </c>
      <c r="K7264">
        <v>0.152</v>
      </c>
      <c r="L7264">
        <v>6601</v>
      </c>
      <c r="M7264">
        <v>1472</v>
      </c>
      <c r="N7264" t="s">
        <v>16393</v>
      </c>
      <c r="O7264" s="4">
        <v>54797</v>
      </c>
      <c r="P7264" s="4">
        <v>69577</v>
      </c>
      <c r="Q7264" s="4">
        <v>124374</v>
      </c>
      <c r="R7264" s="4">
        <v>373122</v>
      </c>
      <c r="S7264" t="s">
        <v>23412</v>
      </c>
      <c r="T7264" s="6">
        <v>42675</v>
      </c>
      <c r="U7264" s="4">
        <v>240000</v>
      </c>
      <c r="V7264" t="s">
        <v>23739</v>
      </c>
      <c r="W7264" t="s">
        <v>27696</v>
      </c>
      <c r="X7264" t="s">
        <v>3</v>
      </c>
      <c r="AA7264" s="5" t="str">
        <f>HYPERLINK("https://www.zillow.com/homes/2504-YELLOW-STAR-ST-WOODRIDGE-IL-605171710_rb/","check listing")</f>
        <v>check listing</v>
      </c>
      <c r="AB7264" s="5" t="str">
        <f>HYPERLINK("https://propertylookup.dupagecounty.gov/Datalets/Datalet.aspx?UseSearch=no&amp;mode=sales&amp;pin=0824302022","sales record")</f>
        <v>sales record</v>
      </c>
      <c r="AC7264" t="s">
        <v>3</v>
      </c>
      <c r="AD7264">
        <v>41.764713</v>
      </c>
      <c r="AE7264">
        <v>-88.045917</v>
      </c>
      <c r="AF7264" s="5" t="str">
        <f>HYPERLINK("https://www.google.com/maps/search/?api=1&amp;query=41.764713,-88.045917","map")</f>
        <v>map</v>
      </c>
    </row>
    <row r="7265" spans="1:32">
      <c r="A7265" t="s">
        <v>7315</v>
      </c>
      <c r="B7265" t="s">
        <v>14767</v>
      </c>
      <c r="C7265" t="s">
        <v>16136</v>
      </c>
      <c r="D7265" t="s">
        <v>16215</v>
      </c>
      <c r="E7265" t="s">
        <v>16218</v>
      </c>
      <c r="F7265" t="s">
        <v>16220</v>
      </c>
      <c r="G7265" t="s">
        <v>16299</v>
      </c>
      <c r="H7265" t="s">
        <v>16299</v>
      </c>
      <c r="I7265" t="s">
        <v>16382</v>
      </c>
      <c r="J7265" t="s">
        <v>16385</v>
      </c>
      <c r="K7265">
        <v>0.151</v>
      </c>
      <c r="L7265">
        <v>6597</v>
      </c>
      <c r="M7265">
        <v>1539</v>
      </c>
      <c r="N7265" t="s">
        <v>16393</v>
      </c>
      <c r="O7265" s="4">
        <v>49124</v>
      </c>
      <c r="P7265" s="4">
        <v>60481</v>
      </c>
      <c r="Q7265" s="4">
        <v>109605</v>
      </c>
      <c r="R7265" s="4">
        <v>328815</v>
      </c>
      <c r="S7265" t="s">
        <v>23413</v>
      </c>
      <c r="T7265" s="6">
        <v>43374</v>
      </c>
      <c r="U7265" s="4">
        <v>297500</v>
      </c>
      <c r="V7265" t="s">
        <v>23739</v>
      </c>
      <c r="W7265" t="s">
        <v>27697</v>
      </c>
      <c r="X7265" t="s">
        <v>3</v>
      </c>
      <c r="AA7265" s="5" t="str">
        <f>HYPERLINK("https://www.zillow.com/homes/6612-FOXTREE-AVE-WOODRIDGE-IL-605171729_rb/","check listing")</f>
        <v>check listing</v>
      </c>
      <c r="AB7265" s="5" t="str">
        <f>HYPERLINK("https://propertylookup.dupagecounty.gov/Datalets/Datalet.aspx?UseSearch=no&amp;mode=sales&amp;pin=0824204007","sales record")</f>
        <v>sales record</v>
      </c>
      <c r="AC7265" t="s">
        <v>3</v>
      </c>
      <c r="AD7265">
        <v>41.766093</v>
      </c>
      <c r="AE7265">
        <v>-88.040786</v>
      </c>
      <c r="AF7265" s="5" t="str">
        <f>HYPERLINK("https://www.google.com/maps/search/?api=1&amp;query=41.766093,-88.040786","map")</f>
        <v>map</v>
      </c>
    </row>
    <row r="7266" spans="1:32">
      <c r="A7266" t="s">
        <v>7316</v>
      </c>
      <c r="B7266" t="s">
        <v>14768</v>
      </c>
      <c r="C7266" t="s">
        <v>15323</v>
      </c>
      <c r="D7266" t="s">
        <v>16215</v>
      </c>
      <c r="E7266" t="s">
        <v>16218</v>
      </c>
      <c r="F7266" t="s">
        <v>16220</v>
      </c>
      <c r="G7266" t="s">
        <v>16299</v>
      </c>
      <c r="H7266" t="s">
        <v>16299</v>
      </c>
      <c r="I7266" t="s">
        <v>16382</v>
      </c>
      <c r="J7266" t="s">
        <v>16385</v>
      </c>
      <c r="K7266">
        <v>0.151</v>
      </c>
      <c r="L7266">
        <v>6595</v>
      </c>
      <c r="M7266">
        <v>2530</v>
      </c>
      <c r="N7266" t="s">
        <v>16393</v>
      </c>
      <c r="O7266" s="4">
        <v>57651</v>
      </c>
      <c r="P7266" s="4">
        <v>72348</v>
      </c>
      <c r="Q7266" s="4">
        <v>129999</v>
      </c>
      <c r="R7266" s="4">
        <v>389997</v>
      </c>
      <c r="S7266" t="s">
        <v>23414</v>
      </c>
      <c r="T7266" s="6">
        <v>31017</v>
      </c>
      <c r="U7266" s="4">
        <v>90000</v>
      </c>
      <c r="X7266" t="s">
        <v>3</v>
      </c>
      <c r="AA7266" s="5" t="str">
        <f>HYPERLINK("https://www.zillow.com/homes/6929-SUN-DROP-AVE-WOODRIDGE-IL-60517_rb/","check listing")</f>
        <v>check listing</v>
      </c>
      <c r="AB7266" s="5" t="str">
        <f>HYPERLINK("https://propertylookup.dupagecounty.gov/Datalets/Datalet.aspx?UseSearch=no&amp;mode=sales&amp;pin=0824309011","sales record")</f>
        <v>sales record</v>
      </c>
      <c r="AC7266" t="s">
        <v>3</v>
      </c>
      <c r="AD7266">
        <v>41.76014</v>
      </c>
      <c r="AE7266">
        <v>-88.049391</v>
      </c>
      <c r="AF7266" s="5" t="str">
        <f>HYPERLINK("https://www.google.com/maps/search/?api=1&amp;query=41.76014,-88.049391","map")</f>
        <v>map</v>
      </c>
    </row>
    <row r="7267" spans="1:32">
      <c r="A7267" t="s">
        <v>7317</v>
      </c>
      <c r="B7267" t="s">
        <v>14769</v>
      </c>
      <c r="C7267" t="s">
        <v>15323</v>
      </c>
      <c r="D7267" t="s">
        <v>16215</v>
      </c>
      <c r="E7267" t="s">
        <v>16218</v>
      </c>
      <c r="F7267" t="s">
        <v>16220</v>
      </c>
      <c r="G7267" t="s">
        <v>16299</v>
      </c>
      <c r="H7267" t="s">
        <v>16299</v>
      </c>
      <c r="I7267" t="s">
        <v>16382</v>
      </c>
      <c r="J7267" t="s">
        <v>16385</v>
      </c>
      <c r="K7267">
        <v>0.151</v>
      </c>
      <c r="L7267">
        <v>6591</v>
      </c>
      <c r="M7267">
        <v>1973</v>
      </c>
      <c r="N7267" t="s">
        <v>16393</v>
      </c>
      <c r="O7267" s="4">
        <v>54797</v>
      </c>
      <c r="P7267" s="4">
        <v>84561</v>
      </c>
      <c r="Q7267" s="4">
        <v>139358</v>
      </c>
      <c r="R7267" s="4">
        <v>418074</v>
      </c>
      <c r="S7267" t="s">
        <v>23415</v>
      </c>
      <c r="T7267" s="6">
        <v>36739</v>
      </c>
      <c r="U7267" s="4">
        <v>181000</v>
      </c>
      <c r="V7267" t="s">
        <v>23739</v>
      </c>
      <c r="W7267" t="s">
        <v>27698</v>
      </c>
      <c r="X7267" t="s">
        <v>3</v>
      </c>
      <c r="AA7267" s="5" t="str">
        <f>HYPERLINK("https://www.zillow.com/homes/6680-FOX-TREE-AVE-WOODRIDGE-IL-60517_rb/","check listing")</f>
        <v>check listing</v>
      </c>
      <c r="AB7267" s="5" t="str">
        <f>HYPERLINK("https://propertylookup.dupagecounty.gov/Datalets/Datalet.aspx?UseSearch=no&amp;mode=sales&amp;pin=0824109004","sales record")</f>
        <v>sales record</v>
      </c>
      <c r="AC7267" t="s">
        <v>3</v>
      </c>
      <c r="AD7267">
        <v>41.766411</v>
      </c>
      <c r="AE7267">
        <v>-88.045154</v>
      </c>
      <c r="AF7267" s="5" t="str">
        <f>HYPERLINK("https://www.google.com/maps/search/?api=1&amp;query=41.766411,-88.045154","map")</f>
        <v>map</v>
      </c>
    </row>
    <row r="7268" spans="1:32">
      <c r="A7268" t="s">
        <v>7318</v>
      </c>
      <c r="B7268" t="s">
        <v>14770</v>
      </c>
      <c r="C7268" t="s">
        <v>16173</v>
      </c>
      <c r="D7268" t="s">
        <v>16215</v>
      </c>
      <c r="E7268" t="s">
        <v>16218</v>
      </c>
      <c r="F7268" t="s">
        <v>16220</v>
      </c>
      <c r="G7268" t="s">
        <v>16299</v>
      </c>
      <c r="H7268" t="s">
        <v>16299</v>
      </c>
      <c r="I7268" t="s">
        <v>16382</v>
      </c>
      <c r="J7268" t="s">
        <v>16385</v>
      </c>
      <c r="K7268">
        <v>0.151</v>
      </c>
      <c r="L7268">
        <v>6584</v>
      </c>
      <c r="M7268">
        <v>1901</v>
      </c>
      <c r="N7268" t="s">
        <v>16393</v>
      </c>
      <c r="O7268" s="4">
        <v>54797</v>
      </c>
      <c r="P7268" s="4">
        <v>79341</v>
      </c>
      <c r="Q7268" s="4">
        <v>134138</v>
      </c>
      <c r="R7268" s="4">
        <v>402414</v>
      </c>
      <c r="S7268" t="s">
        <v>23416</v>
      </c>
      <c r="X7268" t="s">
        <v>3</v>
      </c>
      <c r="AA7268" s="5" t="str">
        <f>HYPERLINK("https://www.zillow.com/homes/6697-FOXTREE-AVE-WOODRIDGE-IL-605171705_rb/","check listing")</f>
        <v>check listing</v>
      </c>
      <c r="AB7268" s="5" t="str">
        <f>HYPERLINK("https://propertylookup.dupagecounty.gov/Datalets/Datalet.aspx?UseSearch=no&amp;mode=sales&amp;pin=0824111002","sales record")</f>
        <v>sales record</v>
      </c>
      <c r="AC7268" t="s">
        <v>3</v>
      </c>
      <c r="AD7268">
        <v>41.765157</v>
      </c>
      <c r="AE7268">
        <v>-88.045174</v>
      </c>
      <c r="AF7268" s="5" t="str">
        <f>HYPERLINK("https://www.google.com/maps/search/?api=1&amp;query=41.765157,-88.045174","map")</f>
        <v>map</v>
      </c>
    </row>
    <row r="7269" spans="1:32">
      <c r="A7269" t="s">
        <v>7319</v>
      </c>
      <c r="B7269" t="s">
        <v>14771</v>
      </c>
      <c r="C7269" t="s">
        <v>15323</v>
      </c>
      <c r="D7269" t="s">
        <v>16215</v>
      </c>
      <c r="E7269" t="s">
        <v>16218</v>
      </c>
      <c r="F7269" t="s">
        <v>16220</v>
      </c>
      <c r="G7269" t="s">
        <v>16299</v>
      </c>
      <c r="H7269" t="s">
        <v>16299</v>
      </c>
      <c r="I7269" t="s">
        <v>16382</v>
      </c>
      <c r="J7269" t="s">
        <v>16385</v>
      </c>
      <c r="K7269">
        <v>0.151</v>
      </c>
      <c r="L7269">
        <v>6579</v>
      </c>
      <c r="M7269">
        <v>883</v>
      </c>
      <c r="N7269" t="s">
        <v>16393</v>
      </c>
      <c r="O7269" s="4">
        <v>49124</v>
      </c>
      <c r="P7269" s="4">
        <v>55819</v>
      </c>
      <c r="Q7269" s="4">
        <v>104943</v>
      </c>
      <c r="R7269" s="4">
        <v>314829</v>
      </c>
      <c r="S7269" t="s">
        <v>23417</v>
      </c>
      <c r="T7269" s="6">
        <v>30773</v>
      </c>
      <c r="U7269" s="4">
        <v>78000</v>
      </c>
      <c r="X7269" t="s">
        <v>3</v>
      </c>
      <c r="AA7269" s="5" t="str">
        <f>HYPERLINK("https://www.zillow.com/homes/6857-REDWING-DR-WOODRIDGE-IL-60517_rb/","check listing")</f>
        <v>check listing</v>
      </c>
      <c r="AB7269" s="5" t="str">
        <f>HYPERLINK("https://propertylookup.dupagecounty.gov/Datalets/Datalet.aspx?UseSearch=no&amp;mode=sales&amp;pin=0824404026","sales record")</f>
        <v>sales record</v>
      </c>
      <c r="AC7269" t="s">
        <v>3</v>
      </c>
      <c r="AD7269">
        <v>41.762316</v>
      </c>
      <c r="AE7269">
        <v>-88.037459</v>
      </c>
      <c r="AF7269" s="5" t="str">
        <f>HYPERLINK("https://www.google.com/maps/search/?api=1&amp;query=41.762316,-88.037459","map")</f>
        <v>map</v>
      </c>
    </row>
    <row r="7270" spans="1:32">
      <c r="A7270" t="s">
        <v>7320</v>
      </c>
      <c r="B7270" t="s">
        <v>14772</v>
      </c>
      <c r="C7270" t="s">
        <v>15323</v>
      </c>
      <c r="D7270" t="s">
        <v>16215</v>
      </c>
      <c r="E7270" t="s">
        <v>16218</v>
      </c>
      <c r="F7270" t="s">
        <v>16220</v>
      </c>
      <c r="G7270" t="s">
        <v>16299</v>
      </c>
      <c r="H7270" t="s">
        <v>16299</v>
      </c>
      <c r="I7270" t="s">
        <v>16382</v>
      </c>
      <c r="J7270" t="s">
        <v>16385</v>
      </c>
      <c r="K7270">
        <v>0.151</v>
      </c>
      <c r="L7270">
        <v>6567</v>
      </c>
      <c r="M7270">
        <v>2468</v>
      </c>
      <c r="N7270" t="s">
        <v>16393</v>
      </c>
      <c r="O7270" s="4">
        <v>49124</v>
      </c>
      <c r="P7270" s="4">
        <v>55177</v>
      </c>
      <c r="Q7270" s="4">
        <v>104301</v>
      </c>
      <c r="R7270" s="4">
        <v>312903</v>
      </c>
      <c r="S7270" t="s">
        <v>23418</v>
      </c>
      <c r="T7270" s="6">
        <v>43344</v>
      </c>
      <c r="U7270" s="4">
        <v>192000</v>
      </c>
      <c r="V7270" t="s">
        <v>23739</v>
      </c>
      <c r="W7270" t="s">
        <v>27699</v>
      </c>
      <c r="X7270" t="s">
        <v>3</v>
      </c>
      <c r="AA7270" s="5" t="str">
        <f>HYPERLINK("https://www.zillow.com/homes/6636-FOX-TREE-AVE-WOODRIDGE-IL-60517_rb/","check listing")</f>
        <v>check listing</v>
      </c>
      <c r="AB7270" s="5" t="str">
        <f>HYPERLINK("https://propertylookup.dupagecounty.gov/Datalets/Datalet.aspx?UseSearch=no&amp;mode=sales&amp;pin=0824109017","sales record")</f>
        <v>sales record</v>
      </c>
      <c r="AC7270" t="s">
        <v>3</v>
      </c>
      <c r="AD7270">
        <v>41.766643</v>
      </c>
      <c r="AE7270">
        <v>-88.042007</v>
      </c>
      <c r="AF7270" s="5" t="str">
        <f>HYPERLINK("https://www.google.com/maps/search/?api=1&amp;query=41.766643,-88.042007","map")</f>
        <v>map</v>
      </c>
    </row>
    <row r="7271" spans="1:32">
      <c r="A7271" t="s">
        <v>7321</v>
      </c>
      <c r="B7271" t="s">
        <v>14773</v>
      </c>
      <c r="C7271" t="s">
        <v>15323</v>
      </c>
      <c r="D7271" t="s">
        <v>16215</v>
      </c>
      <c r="E7271" t="s">
        <v>16218</v>
      </c>
      <c r="F7271" t="s">
        <v>16220</v>
      </c>
      <c r="G7271" t="s">
        <v>16299</v>
      </c>
      <c r="H7271" t="s">
        <v>16299</v>
      </c>
      <c r="I7271" t="s">
        <v>16382</v>
      </c>
      <c r="J7271" t="s">
        <v>16385</v>
      </c>
      <c r="K7271">
        <v>0.151</v>
      </c>
      <c r="L7271">
        <v>6566</v>
      </c>
      <c r="M7271">
        <v>1880</v>
      </c>
      <c r="N7271" t="s">
        <v>16393</v>
      </c>
      <c r="O7271" s="4">
        <v>54797</v>
      </c>
      <c r="P7271" s="4">
        <v>59779</v>
      </c>
      <c r="Q7271" s="4">
        <v>114576</v>
      </c>
      <c r="R7271" s="4">
        <v>343728</v>
      </c>
      <c r="S7271" t="s">
        <v>23419</v>
      </c>
      <c r="T7271" s="6">
        <v>36982</v>
      </c>
      <c r="U7271" s="4">
        <v>188500</v>
      </c>
      <c r="V7271" t="s">
        <v>23739</v>
      </c>
      <c r="W7271" t="s">
        <v>27700</v>
      </c>
      <c r="X7271" t="s">
        <v>3</v>
      </c>
      <c r="AA7271" s="5" t="str">
        <f>HYPERLINK("https://www.zillow.com/homes/2512-YELLOW-STAR-ST-WOODRIDGE-IL-60517_rb/","check listing")</f>
        <v>check listing</v>
      </c>
      <c r="AB7271" s="5" t="str">
        <f>HYPERLINK("https://propertylookup.dupagecounty.gov/Datalets/Datalet.aspx?UseSearch=no&amp;mode=sales&amp;pin=0824302020","sales record")</f>
        <v>sales record</v>
      </c>
      <c r="AC7271" t="s">
        <v>3</v>
      </c>
      <c r="AD7271">
        <v>41.764695</v>
      </c>
      <c r="AE7271">
        <v>-88.046425</v>
      </c>
      <c r="AF7271" s="5" t="str">
        <f>HYPERLINK("https://www.google.com/maps/search/?api=1&amp;query=41.764695,-88.046425","map")</f>
        <v>map</v>
      </c>
    </row>
    <row r="7272" spans="1:32">
      <c r="A7272" t="s">
        <v>7322</v>
      </c>
      <c r="B7272" t="s">
        <v>14774</v>
      </c>
      <c r="C7272" t="s">
        <v>16162</v>
      </c>
      <c r="D7272" t="s">
        <v>16215</v>
      </c>
      <c r="E7272" t="s">
        <v>16218</v>
      </c>
      <c r="F7272" t="s">
        <v>16220</v>
      </c>
      <c r="G7272" t="s">
        <v>16299</v>
      </c>
      <c r="H7272" t="s">
        <v>16299</v>
      </c>
      <c r="I7272" t="s">
        <v>16382</v>
      </c>
      <c r="J7272" t="s">
        <v>16385</v>
      </c>
      <c r="K7272">
        <v>0.151</v>
      </c>
      <c r="L7272">
        <v>6556</v>
      </c>
      <c r="M7272">
        <v>2112</v>
      </c>
      <c r="N7272" t="s">
        <v>16393</v>
      </c>
      <c r="O7272" s="4">
        <v>57651</v>
      </c>
      <c r="P7272" s="4">
        <v>76440</v>
      </c>
      <c r="Q7272" s="4">
        <v>134091</v>
      </c>
      <c r="R7272" s="4">
        <v>402273</v>
      </c>
      <c r="S7272" t="s">
        <v>21854</v>
      </c>
      <c r="T7272" s="6">
        <v>44501</v>
      </c>
      <c r="U7272" s="4">
        <v>310000</v>
      </c>
      <c r="V7272" t="s">
        <v>23740</v>
      </c>
      <c r="W7272" t="s">
        <v>27701</v>
      </c>
      <c r="X7272" t="s">
        <v>3</v>
      </c>
      <c r="AA7272" s="5" t="str">
        <f>HYPERLINK("https://www.zillow.com/homes/6933-SUN-DROP-AVE-WOODRIDGE-IL-605172004_rb/","check listing")</f>
        <v>check listing</v>
      </c>
      <c r="AB7272" s="5" t="str">
        <f>HYPERLINK("https://propertylookup.dupagecounty.gov/Datalets/Datalet.aspx?UseSearch=no&amp;mode=sales&amp;pin=0824309012","sales record")</f>
        <v>sales record</v>
      </c>
      <c r="AC7272" t="s">
        <v>3</v>
      </c>
      <c r="AD7272">
        <v>41.759934</v>
      </c>
      <c r="AE7272">
        <v>-88.049346</v>
      </c>
      <c r="AF7272" s="5" t="str">
        <f>HYPERLINK("https://www.google.com/maps/search/?api=1&amp;query=41.759934,-88.049346","map")</f>
        <v>map</v>
      </c>
    </row>
    <row r="7273" spans="1:32">
      <c r="A7273" t="s">
        <v>7323</v>
      </c>
      <c r="B7273" t="s">
        <v>14775</v>
      </c>
      <c r="C7273" t="s">
        <v>15323</v>
      </c>
      <c r="D7273" t="s">
        <v>16215</v>
      </c>
      <c r="E7273" t="s">
        <v>16218</v>
      </c>
      <c r="F7273" t="s">
        <v>16220</v>
      </c>
      <c r="G7273" t="s">
        <v>16299</v>
      </c>
      <c r="H7273" t="s">
        <v>16299</v>
      </c>
      <c r="I7273" t="s">
        <v>16382</v>
      </c>
      <c r="J7273" t="s">
        <v>16385</v>
      </c>
      <c r="K7273">
        <v>0.15</v>
      </c>
      <c r="L7273">
        <v>6555</v>
      </c>
      <c r="M7273">
        <v>1719</v>
      </c>
      <c r="N7273" t="s">
        <v>16393</v>
      </c>
      <c r="O7273" s="4">
        <v>49124</v>
      </c>
      <c r="P7273" s="4">
        <v>52478</v>
      </c>
      <c r="Q7273" s="4">
        <v>101602</v>
      </c>
      <c r="R7273" s="4">
        <v>304806</v>
      </c>
      <c r="S7273" t="s">
        <v>23420</v>
      </c>
      <c r="T7273" s="6">
        <v>45877</v>
      </c>
      <c r="U7273" s="4">
        <v>350000</v>
      </c>
      <c r="V7273" t="s">
        <v>23739</v>
      </c>
      <c r="W7273" t="s">
        <v>27702</v>
      </c>
      <c r="X7273" t="s">
        <v>3</v>
      </c>
      <c r="AA7273" s="5" t="str">
        <f>HYPERLINK("https://www.zillow.com/homes/6853-REDWING-DR-WOODRIDGE-IL-60517_rb/","check listing")</f>
        <v>check listing</v>
      </c>
      <c r="AB7273" s="5" t="str">
        <f>HYPERLINK("https://propertylookup.dupagecounty.gov/Datalets/Datalet.aspx?UseSearch=no&amp;mode=sales&amp;pin=0824404025","sales record")</f>
        <v>sales record</v>
      </c>
      <c r="AC7273" t="s">
        <v>3</v>
      </c>
      <c r="AD7273">
        <v>41.76244</v>
      </c>
      <c r="AE7273">
        <v>-88.037536</v>
      </c>
      <c r="AF7273" s="5" t="str">
        <f>HYPERLINK("https://www.google.com/maps/search/?api=1&amp;query=41.76244,-88.037536","map")</f>
        <v>map</v>
      </c>
    </row>
    <row r="7274" spans="1:32">
      <c r="A7274" t="s">
        <v>7324</v>
      </c>
      <c r="B7274" t="s">
        <v>14776</v>
      </c>
      <c r="C7274" t="s">
        <v>15323</v>
      </c>
      <c r="D7274" t="s">
        <v>16215</v>
      </c>
      <c r="E7274" t="s">
        <v>16218</v>
      </c>
      <c r="F7274" t="s">
        <v>16220</v>
      </c>
      <c r="G7274" t="s">
        <v>16299</v>
      </c>
      <c r="H7274" t="s">
        <v>16299</v>
      </c>
      <c r="I7274" t="s">
        <v>16382</v>
      </c>
      <c r="J7274" t="s">
        <v>16385</v>
      </c>
      <c r="K7274">
        <v>0.15</v>
      </c>
      <c r="L7274">
        <v>6550</v>
      </c>
      <c r="M7274">
        <v>2021</v>
      </c>
      <c r="N7274" t="s">
        <v>16393</v>
      </c>
      <c r="O7274" s="4">
        <v>54797</v>
      </c>
      <c r="P7274" s="4">
        <v>65439</v>
      </c>
      <c r="Q7274" s="4">
        <v>120236</v>
      </c>
      <c r="R7274" s="4">
        <v>360708</v>
      </c>
      <c r="S7274" t="s">
        <v>23421</v>
      </c>
      <c r="T7274" s="6">
        <v>38565</v>
      </c>
      <c r="U7274" s="4">
        <v>255000</v>
      </c>
      <c r="V7274" t="s">
        <v>23739</v>
      </c>
      <c r="W7274" t="s">
        <v>23421</v>
      </c>
      <c r="X7274" t="s">
        <v>3</v>
      </c>
      <c r="AA7274" s="5" t="str">
        <f>HYPERLINK("https://www.zillow.com/homes/2516-YELLOW-STAR-ST-WOODRIDGE-IL-60517_rb/","check listing")</f>
        <v>check listing</v>
      </c>
      <c r="AB7274" s="5" t="str">
        <f>HYPERLINK("https://propertylookup.dupagecounty.gov/Datalets/Datalet.aspx?UseSearch=no&amp;mode=sales&amp;pin=0824302019","sales record")</f>
        <v>sales record</v>
      </c>
      <c r="AC7274" t="s">
        <v>3</v>
      </c>
      <c r="AD7274">
        <v>41.764687</v>
      </c>
      <c r="AE7274">
        <v>-88.04667999999999</v>
      </c>
      <c r="AF7274" s="5" t="str">
        <f>HYPERLINK("https://www.google.com/maps/search/?api=1&amp;query=41.764687,-88.04668","map")</f>
        <v>map</v>
      </c>
    </row>
    <row r="7275" spans="1:32">
      <c r="A7275" t="s">
        <v>7325</v>
      </c>
      <c r="B7275" t="s">
        <v>14777</v>
      </c>
      <c r="C7275" t="s">
        <v>16163</v>
      </c>
      <c r="D7275" t="s">
        <v>16215</v>
      </c>
      <c r="E7275" t="s">
        <v>16218</v>
      </c>
      <c r="F7275" t="s">
        <v>16220</v>
      </c>
      <c r="G7275" t="s">
        <v>16299</v>
      </c>
      <c r="H7275" t="s">
        <v>16299</v>
      </c>
      <c r="I7275" t="s">
        <v>16382</v>
      </c>
      <c r="J7275" t="s">
        <v>16385</v>
      </c>
      <c r="K7275">
        <v>0.15</v>
      </c>
      <c r="L7275">
        <v>6547</v>
      </c>
      <c r="M7275">
        <v>2031</v>
      </c>
      <c r="N7275" t="s">
        <v>16393</v>
      </c>
      <c r="O7275" s="4">
        <v>54797</v>
      </c>
      <c r="P7275" s="4">
        <v>63989</v>
      </c>
      <c r="Q7275" s="4">
        <v>118786</v>
      </c>
      <c r="R7275" s="4">
        <v>356358</v>
      </c>
      <c r="S7275" t="s">
        <v>23422</v>
      </c>
      <c r="T7275" s="6">
        <v>35096</v>
      </c>
      <c r="U7275" s="4">
        <v>128000</v>
      </c>
      <c r="X7275" t="s">
        <v>3</v>
      </c>
      <c r="AA7275" s="5" t="str">
        <f>HYPERLINK("https://www.zillow.com/homes/2552-YELLOW-STAR-ST-WOODRIDGE-IL-605171710_rb/","check listing")</f>
        <v>check listing</v>
      </c>
      <c r="AB7275" s="5" t="str">
        <f>HYPERLINK("https://propertylookup.dupagecounty.gov/Datalets/Datalet.aspx?UseSearch=no&amp;mode=sales&amp;pin=0824302006","sales record")</f>
        <v>sales record</v>
      </c>
      <c r="AC7275" t="s">
        <v>3</v>
      </c>
      <c r="AD7275">
        <v>41.764302</v>
      </c>
      <c r="AE7275">
        <v>-88.048412</v>
      </c>
      <c r="AF7275" s="5" t="str">
        <f>HYPERLINK("https://www.google.com/maps/search/?api=1&amp;query=41.764302,-88.048412","map")</f>
        <v>map</v>
      </c>
    </row>
    <row r="7276" spans="1:32">
      <c r="A7276" t="s">
        <v>7326</v>
      </c>
      <c r="B7276" t="s">
        <v>14778</v>
      </c>
      <c r="C7276" t="s">
        <v>16174</v>
      </c>
      <c r="D7276" t="s">
        <v>16215</v>
      </c>
      <c r="E7276" t="s">
        <v>16218</v>
      </c>
      <c r="F7276" t="s">
        <v>16220</v>
      </c>
      <c r="G7276" t="s">
        <v>16299</v>
      </c>
      <c r="H7276" t="s">
        <v>16299</v>
      </c>
      <c r="I7276" t="s">
        <v>16382</v>
      </c>
      <c r="J7276" t="s">
        <v>16385</v>
      </c>
      <c r="K7276">
        <v>0.15</v>
      </c>
      <c r="L7276">
        <v>6535</v>
      </c>
      <c r="M7276">
        <v>1795</v>
      </c>
      <c r="N7276" t="s">
        <v>16393</v>
      </c>
      <c r="O7276" s="4">
        <v>49124</v>
      </c>
      <c r="P7276" s="4">
        <v>54464</v>
      </c>
      <c r="Q7276" s="4">
        <v>103588</v>
      </c>
      <c r="R7276" s="4">
        <v>310764</v>
      </c>
      <c r="S7276" t="s">
        <v>23423</v>
      </c>
      <c r="T7276" s="6">
        <v>31382</v>
      </c>
      <c r="U7276" s="4">
        <v>73000</v>
      </c>
      <c r="X7276" t="s">
        <v>3</v>
      </c>
      <c r="AA7276" s="5" t="str">
        <f>HYPERLINK("https://www.zillow.com/homes/6849-RED-WING-DR-WOODRIDGE-IL-605171846_rb/","check listing")</f>
        <v>check listing</v>
      </c>
      <c r="AB7276" s="5" t="str">
        <f>HYPERLINK("https://propertylookup.dupagecounty.gov/Datalets/Datalet.aspx?UseSearch=no&amp;mode=sales&amp;pin=0824404024","sales record")</f>
        <v>sales record</v>
      </c>
      <c r="AC7276" t="s">
        <v>3</v>
      </c>
      <c r="AD7276">
        <v>41.762564</v>
      </c>
      <c r="AE7276">
        <v>-88.037614</v>
      </c>
      <c r="AF7276" s="5" t="str">
        <f>HYPERLINK("https://www.google.com/maps/search/?api=1&amp;query=41.762564,-88.037614","map")</f>
        <v>map</v>
      </c>
    </row>
    <row r="7277" spans="1:32">
      <c r="A7277" t="s">
        <v>7327</v>
      </c>
      <c r="B7277" t="s">
        <v>14779</v>
      </c>
      <c r="C7277" t="s">
        <v>16169</v>
      </c>
      <c r="D7277" t="s">
        <v>16215</v>
      </c>
      <c r="E7277" t="s">
        <v>16218</v>
      </c>
      <c r="F7277" t="s">
        <v>16220</v>
      </c>
      <c r="G7277" t="s">
        <v>16299</v>
      </c>
      <c r="H7277" t="s">
        <v>16299</v>
      </c>
      <c r="I7277" t="s">
        <v>16382</v>
      </c>
      <c r="J7277" t="s">
        <v>16385</v>
      </c>
      <c r="K7277">
        <v>0.15</v>
      </c>
      <c r="L7277">
        <v>6534</v>
      </c>
      <c r="M7277">
        <v>2472</v>
      </c>
      <c r="N7277" t="s">
        <v>16393</v>
      </c>
      <c r="O7277" s="4">
        <v>57651</v>
      </c>
      <c r="P7277" s="4">
        <v>80673</v>
      </c>
      <c r="Q7277" s="4">
        <v>138324</v>
      </c>
      <c r="R7277" s="4">
        <v>414972</v>
      </c>
      <c r="S7277" t="s">
        <v>23424</v>
      </c>
      <c r="T7277" s="6">
        <v>42917</v>
      </c>
      <c r="U7277" s="4">
        <v>351000</v>
      </c>
      <c r="V7277" t="s">
        <v>23739</v>
      </c>
      <c r="W7277" t="s">
        <v>27703</v>
      </c>
      <c r="X7277" t="s">
        <v>3</v>
      </c>
      <c r="AA7277" s="5" t="str">
        <f>HYPERLINK("https://www.zillow.com/homes/2737-WILD-PLUM-ST-WOODRIDGE-IL-605172002_rb/","check listing")</f>
        <v>check listing</v>
      </c>
      <c r="AB7277" s="5" t="str">
        <f>HYPERLINK("https://propertylookup.dupagecounty.gov/Datalets/Datalet.aspx?UseSearch=no&amp;mode=sales&amp;pin=0823414050","sales record")</f>
        <v>sales record</v>
      </c>
      <c r="AC7277" t="s">
        <v>3</v>
      </c>
      <c r="AD7277">
        <v>41.758848</v>
      </c>
      <c r="AE7277">
        <v>-88.05130800000001</v>
      </c>
      <c r="AF7277" s="5" t="str">
        <f>HYPERLINK("https://www.google.com/maps/search/?api=1&amp;query=41.758848,-88.051308","map")</f>
        <v>map</v>
      </c>
    </row>
    <row r="7278" spans="1:32">
      <c r="A7278" t="s">
        <v>7328</v>
      </c>
      <c r="B7278" t="s">
        <v>14780</v>
      </c>
      <c r="C7278" t="s">
        <v>15323</v>
      </c>
      <c r="D7278" t="s">
        <v>16215</v>
      </c>
      <c r="E7278" t="s">
        <v>16218</v>
      </c>
      <c r="F7278" t="s">
        <v>16220</v>
      </c>
      <c r="G7278" t="s">
        <v>16299</v>
      </c>
      <c r="H7278" t="s">
        <v>16299</v>
      </c>
      <c r="I7278" t="s">
        <v>16382</v>
      </c>
      <c r="J7278" t="s">
        <v>16385</v>
      </c>
      <c r="K7278">
        <v>0.15</v>
      </c>
      <c r="L7278">
        <v>6533</v>
      </c>
      <c r="M7278">
        <v>982</v>
      </c>
      <c r="N7278" t="s">
        <v>16393</v>
      </c>
      <c r="O7278" s="4">
        <v>54797</v>
      </c>
      <c r="P7278" s="4">
        <v>66463</v>
      </c>
      <c r="Q7278" s="4">
        <v>121260</v>
      </c>
      <c r="R7278" s="4">
        <v>363780</v>
      </c>
      <c r="S7278" t="s">
        <v>23425</v>
      </c>
      <c r="T7278" s="6">
        <v>35521</v>
      </c>
      <c r="U7278" s="4">
        <v>147000</v>
      </c>
      <c r="X7278" t="s">
        <v>3</v>
      </c>
      <c r="AA7278" s="5" t="str">
        <f>HYPERLINK("https://www.zillow.com/homes/2520-YELLOWSTAR-ST-WOODRIDGE-IL-60517_rb/","check listing")</f>
        <v>check listing</v>
      </c>
      <c r="AB7278" s="5" t="str">
        <f>HYPERLINK("https://propertylookup.dupagecounty.gov/Datalets/Datalet.aspx?UseSearch=no&amp;mode=sales&amp;pin=0824302018","sales record")</f>
        <v>sales record</v>
      </c>
      <c r="AC7278" t="s">
        <v>3</v>
      </c>
      <c r="AD7278">
        <v>41.764678</v>
      </c>
      <c r="AE7278">
        <v>-88.04693399999999</v>
      </c>
      <c r="AF7278" s="5" t="str">
        <f>HYPERLINK("https://www.google.com/maps/search/?api=1&amp;query=41.764678,-88.046934","map")</f>
        <v>map</v>
      </c>
    </row>
    <row r="7279" spans="1:32">
      <c r="A7279" t="s">
        <v>7329</v>
      </c>
      <c r="B7279" t="s">
        <v>14781</v>
      </c>
      <c r="C7279" t="s">
        <v>15323</v>
      </c>
      <c r="D7279" t="s">
        <v>16215</v>
      </c>
      <c r="E7279" t="s">
        <v>16218</v>
      </c>
      <c r="F7279" t="s">
        <v>16220</v>
      </c>
      <c r="G7279" t="s">
        <v>16299</v>
      </c>
      <c r="H7279" t="s">
        <v>16299</v>
      </c>
      <c r="I7279" t="s">
        <v>16382</v>
      </c>
      <c r="J7279" t="s">
        <v>16385</v>
      </c>
      <c r="K7279">
        <v>0.15</v>
      </c>
      <c r="L7279">
        <v>6528</v>
      </c>
      <c r="M7279">
        <v>1662</v>
      </c>
      <c r="N7279" t="s">
        <v>16393</v>
      </c>
      <c r="O7279" s="4">
        <v>54797</v>
      </c>
      <c r="P7279" s="4">
        <v>63989</v>
      </c>
      <c r="Q7279" s="4">
        <v>118786</v>
      </c>
      <c r="R7279" s="4">
        <v>356358</v>
      </c>
      <c r="S7279" t="s">
        <v>23426</v>
      </c>
      <c r="T7279" s="6">
        <v>38078</v>
      </c>
      <c r="U7279" s="4">
        <v>245000</v>
      </c>
      <c r="V7279" t="s">
        <v>23739</v>
      </c>
      <c r="W7279" t="s">
        <v>27704</v>
      </c>
      <c r="X7279" t="s">
        <v>3</v>
      </c>
      <c r="AA7279" s="5" t="str">
        <f>HYPERLINK("https://www.zillow.com/homes/6-SWALLOW-CT-WOODRIDGE-IL-60517_rb/","check listing")</f>
        <v>check listing</v>
      </c>
      <c r="AB7279" s="5" t="str">
        <f>HYPERLINK("https://propertylookup.dupagecounty.gov/Datalets/Datalet.aspx?UseSearch=no&amp;mode=sales&amp;pin=0824317010","sales record")</f>
        <v>sales record</v>
      </c>
      <c r="AC7279" t="s">
        <v>3</v>
      </c>
      <c r="AD7279">
        <v>41.76394</v>
      </c>
      <c r="AE7279">
        <v>-88.044455</v>
      </c>
      <c r="AF7279" s="5" t="str">
        <f>HYPERLINK("https://www.google.com/maps/search/?api=1&amp;query=41.76394,-88.044455","map")</f>
        <v>map</v>
      </c>
    </row>
    <row r="7280" spans="1:32">
      <c r="A7280" t="s">
        <v>7330</v>
      </c>
      <c r="B7280" t="s">
        <v>14782</v>
      </c>
      <c r="C7280" t="s">
        <v>16174</v>
      </c>
      <c r="D7280" t="s">
        <v>16215</v>
      </c>
      <c r="E7280" t="s">
        <v>16218</v>
      </c>
      <c r="F7280" t="s">
        <v>16220</v>
      </c>
      <c r="G7280" t="s">
        <v>16299</v>
      </c>
      <c r="H7280" t="s">
        <v>16299</v>
      </c>
      <c r="I7280" t="s">
        <v>16382</v>
      </c>
      <c r="J7280" t="s">
        <v>16385</v>
      </c>
      <c r="K7280">
        <v>0.15</v>
      </c>
      <c r="L7280">
        <v>6517</v>
      </c>
      <c r="M7280">
        <v>1596</v>
      </c>
      <c r="N7280" t="s">
        <v>16393</v>
      </c>
      <c r="O7280" s="4">
        <v>49124</v>
      </c>
      <c r="P7280" s="4">
        <v>52323</v>
      </c>
      <c r="Q7280" s="4">
        <v>101447</v>
      </c>
      <c r="R7280" s="4">
        <v>304341</v>
      </c>
      <c r="S7280" t="s">
        <v>23427</v>
      </c>
      <c r="T7280" s="6">
        <v>43405</v>
      </c>
      <c r="U7280" s="4">
        <v>220000</v>
      </c>
      <c r="V7280" t="s">
        <v>23739</v>
      </c>
      <c r="W7280" t="s">
        <v>23427</v>
      </c>
      <c r="X7280" t="s">
        <v>3</v>
      </c>
      <c r="AA7280" s="5" t="str">
        <f>HYPERLINK("https://www.zillow.com/homes/6845-RED-WING-DR-WOODRIDGE-IL-605171846_rb/","check listing")</f>
        <v>check listing</v>
      </c>
      <c r="AB7280" s="5" t="str">
        <f>HYPERLINK("https://propertylookup.dupagecounty.gov/Datalets/Datalet.aspx?UseSearch=no&amp;mode=sales&amp;pin=0824404023","sales record")</f>
        <v>sales record</v>
      </c>
      <c r="AC7280" t="s">
        <v>3</v>
      </c>
      <c r="AD7280">
        <v>41.762687</v>
      </c>
      <c r="AE7280">
        <v>-88.037693</v>
      </c>
      <c r="AF7280" s="5" t="str">
        <f>HYPERLINK("https://www.google.com/maps/search/?api=1&amp;query=41.762687,-88.037693","map")</f>
        <v>map</v>
      </c>
    </row>
    <row r="7281" spans="1:32">
      <c r="A7281" t="s">
        <v>7331</v>
      </c>
      <c r="B7281" t="s">
        <v>14783</v>
      </c>
      <c r="C7281" t="s">
        <v>15323</v>
      </c>
      <c r="D7281" t="s">
        <v>16215</v>
      </c>
      <c r="E7281" t="s">
        <v>16218</v>
      </c>
      <c r="F7281" t="s">
        <v>16220</v>
      </c>
      <c r="G7281" t="s">
        <v>16299</v>
      </c>
      <c r="H7281" t="s">
        <v>16299</v>
      </c>
      <c r="I7281" t="s">
        <v>16382</v>
      </c>
      <c r="J7281" t="s">
        <v>16385</v>
      </c>
      <c r="K7281">
        <v>0.15</v>
      </c>
      <c r="L7281">
        <v>6516</v>
      </c>
      <c r="M7281">
        <v>1696</v>
      </c>
      <c r="N7281" t="s">
        <v>16393</v>
      </c>
      <c r="O7281" s="4">
        <v>54797</v>
      </c>
      <c r="P7281" s="4">
        <v>63442</v>
      </c>
      <c r="Q7281" s="4">
        <v>118239</v>
      </c>
      <c r="R7281" s="4">
        <v>354717</v>
      </c>
      <c r="S7281" t="s">
        <v>23428</v>
      </c>
      <c r="T7281" s="6">
        <v>31533</v>
      </c>
      <c r="U7281" s="4">
        <v>88000</v>
      </c>
      <c r="X7281" t="s">
        <v>3</v>
      </c>
      <c r="AA7281" s="5" t="str">
        <f>HYPERLINK("https://www.zillow.com/homes/2524-YELLOW-STAR-ST-WOODRIDGE-IL-60517_rb/","check listing")</f>
        <v>check listing</v>
      </c>
      <c r="AB7281" s="5" t="str">
        <f>HYPERLINK("https://propertylookup.dupagecounty.gov/Datalets/Datalet.aspx?UseSearch=no&amp;mode=sales&amp;pin=0824302017","sales record")</f>
        <v>sales record</v>
      </c>
      <c r="AC7281" t="s">
        <v>3</v>
      </c>
      <c r="AD7281">
        <v>41.764669</v>
      </c>
      <c r="AE7281">
        <v>-88.04718800000001</v>
      </c>
      <c r="AF7281" s="5" t="str">
        <f>HYPERLINK("https://www.google.com/maps/search/?api=1&amp;query=41.764669,-88.047188","map")</f>
        <v>map</v>
      </c>
    </row>
    <row r="7282" spans="1:32">
      <c r="A7282" t="s">
        <v>7332</v>
      </c>
      <c r="B7282" t="s">
        <v>14784</v>
      </c>
      <c r="C7282" t="s">
        <v>16175</v>
      </c>
      <c r="D7282" t="s">
        <v>16215</v>
      </c>
      <c r="E7282" t="s">
        <v>16218</v>
      </c>
      <c r="F7282" t="s">
        <v>16220</v>
      </c>
      <c r="G7282" t="s">
        <v>16299</v>
      </c>
      <c r="H7282" t="s">
        <v>16299</v>
      </c>
      <c r="I7282" t="s">
        <v>16382</v>
      </c>
      <c r="J7282" t="s">
        <v>16385</v>
      </c>
      <c r="K7282">
        <v>0.15</v>
      </c>
      <c r="L7282">
        <v>6515</v>
      </c>
      <c r="M7282">
        <v>1249</v>
      </c>
      <c r="N7282" t="s">
        <v>16393</v>
      </c>
      <c r="O7282" s="4">
        <v>54797</v>
      </c>
      <c r="P7282" s="4">
        <v>58126</v>
      </c>
      <c r="Q7282" s="4">
        <v>112923</v>
      </c>
      <c r="R7282" s="4">
        <v>338769</v>
      </c>
      <c r="S7282" t="s">
        <v>23429</v>
      </c>
      <c r="T7282" s="6">
        <v>40787</v>
      </c>
      <c r="U7282" s="4">
        <v>182500</v>
      </c>
      <c r="V7282" t="s">
        <v>23739</v>
      </c>
      <c r="W7282" t="s">
        <v>27705</v>
      </c>
      <c r="X7282" t="s">
        <v>3</v>
      </c>
      <c r="AA7282" s="5" t="str">
        <f>HYPERLINK("https://www.zillow.com/homes/6851-DOVE-AVE-WOODRIDGE-IL-605171859_rb/","check listing")</f>
        <v>check listing</v>
      </c>
      <c r="AB7282" s="5" t="str">
        <f>HYPERLINK("https://propertylookup.dupagecounty.gov/Datalets/Datalet.aspx?UseSearch=no&amp;mode=sales&amp;pin=0824406008","sales record")</f>
        <v>sales record</v>
      </c>
      <c r="AC7282" t="s">
        <v>3</v>
      </c>
      <c r="AD7282">
        <v>41.762176</v>
      </c>
      <c r="AE7282">
        <v>-88.038567</v>
      </c>
      <c r="AF7282" s="5" t="str">
        <f>HYPERLINK("https://www.google.com/maps/search/?api=1&amp;query=41.762176,-88.038567","map")</f>
        <v>map</v>
      </c>
    </row>
    <row r="7283" spans="1:32">
      <c r="A7283" t="s">
        <v>7333</v>
      </c>
      <c r="B7283" t="s">
        <v>14785</v>
      </c>
      <c r="C7283" t="s">
        <v>16174</v>
      </c>
      <c r="D7283" t="s">
        <v>16215</v>
      </c>
      <c r="E7283" t="s">
        <v>16218</v>
      </c>
      <c r="F7283" t="s">
        <v>16220</v>
      </c>
      <c r="G7283" t="s">
        <v>16299</v>
      </c>
      <c r="H7283" t="s">
        <v>16299</v>
      </c>
      <c r="I7283" t="s">
        <v>16382</v>
      </c>
      <c r="J7283" t="s">
        <v>16385</v>
      </c>
      <c r="K7283">
        <v>0.149</v>
      </c>
      <c r="L7283">
        <v>6507</v>
      </c>
      <c r="M7283">
        <v>1204</v>
      </c>
      <c r="N7283" t="s">
        <v>16393</v>
      </c>
      <c r="O7283" s="4">
        <v>49124</v>
      </c>
      <c r="P7283" s="4">
        <v>58685</v>
      </c>
      <c r="Q7283" s="4">
        <v>107809</v>
      </c>
      <c r="R7283" s="4">
        <v>323427</v>
      </c>
      <c r="S7283" t="s">
        <v>23430</v>
      </c>
      <c r="T7283" s="6">
        <v>37469</v>
      </c>
      <c r="U7283" s="4">
        <v>187000</v>
      </c>
      <c r="V7283" t="s">
        <v>23739</v>
      </c>
      <c r="W7283" t="s">
        <v>27706</v>
      </c>
      <c r="X7283" t="s">
        <v>3</v>
      </c>
      <c r="AA7283" s="5" t="str">
        <f>HYPERLINK("https://www.zillow.com/homes/6841-RED-WING-DR-WOODRIDGE-IL-605171846_rb/","check listing")</f>
        <v>check listing</v>
      </c>
      <c r="AB7283" s="5" t="str">
        <f>HYPERLINK("https://propertylookup.dupagecounty.gov/Datalets/Datalet.aspx?UseSearch=no&amp;mode=sales&amp;pin=0824404022","sales record")</f>
        <v>sales record</v>
      </c>
      <c r="AC7283" t="s">
        <v>3</v>
      </c>
      <c r="AD7283">
        <v>41.762808</v>
      </c>
      <c r="AE7283">
        <v>-88.037779</v>
      </c>
      <c r="AF7283" s="5" t="str">
        <f>HYPERLINK("https://www.google.com/maps/search/?api=1&amp;query=41.762808,-88.037779","map")</f>
        <v>map</v>
      </c>
    </row>
    <row r="7284" spans="1:32">
      <c r="A7284" t="s">
        <v>7334</v>
      </c>
      <c r="B7284" t="s">
        <v>14786</v>
      </c>
      <c r="C7284" t="s">
        <v>16174</v>
      </c>
      <c r="D7284" t="s">
        <v>16215</v>
      </c>
      <c r="E7284" t="s">
        <v>16218</v>
      </c>
      <c r="F7284" t="s">
        <v>16220</v>
      </c>
      <c r="G7284" t="s">
        <v>16299</v>
      </c>
      <c r="H7284" t="s">
        <v>16299</v>
      </c>
      <c r="I7284" t="s">
        <v>16382</v>
      </c>
      <c r="J7284" t="s">
        <v>16385</v>
      </c>
      <c r="K7284">
        <v>0.149</v>
      </c>
      <c r="L7284">
        <v>6505</v>
      </c>
      <c r="M7284">
        <v>1654</v>
      </c>
      <c r="N7284" t="s">
        <v>16393</v>
      </c>
      <c r="O7284" s="4">
        <v>49124</v>
      </c>
      <c r="P7284" s="4">
        <v>62562</v>
      </c>
      <c r="Q7284" s="4">
        <v>111686</v>
      </c>
      <c r="R7284" s="4">
        <v>335058</v>
      </c>
      <c r="S7284" t="s">
        <v>23431</v>
      </c>
      <c r="T7284" s="6">
        <v>41791</v>
      </c>
      <c r="U7284" s="4">
        <v>174000</v>
      </c>
      <c r="V7284" t="s">
        <v>23739</v>
      </c>
      <c r="W7284" t="s">
        <v>27707</v>
      </c>
      <c r="X7284" t="s">
        <v>3</v>
      </c>
      <c r="AA7284" s="5" t="str">
        <f>HYPERLINK("https://www.zillow.com/homes/6833-RED-WING-DR-WOODRIDGE-IL-605171846_rb/","check listing")</f>
        <v>check listing</v>
      </c>
      <c r="AB7284" s="5" t="str">
        <f>HYPERLINK("https://propertylookup.dupagecounty.gov/Datalets/Datalet.aspx?UseSearch=no&amp;mode=sales&amp;pin=0824404020","sales record")</f>
        <v>sales record</v>
      </c>
      <c r="AC7284" t="s">
        <v>3</v>
      </c>
      <c r="AD7284">
        <v>41.763061</v>
      </c>
      <c r="AE7284">
        <v>-88.03793899999999</v>
      </c>
      <c r="AF7284" s="5" t="str">
        <f>HYPERLINK("https://www.google.com/maps/search/?api=1&amp;query=41.763061,-88.037939","map")</f>
        <v>map</v>
      </c>
    </row>
    <row r="7285" spans="1:32">
      <c r="A7285" t="s">
        <v>7335</v>
      </c>
      <c r="B7285" t="s">
        <v>14787</v>
      </c>
      <c r="C7285" t="s">
        <v>15323</v>
      </c>
      <c r="D7285" t="s">
        <v>16215</v>
      </c>
      <c r="E7285" t="s">
        <v>16218</v>
      </c>
      <c r="F7285" t="s">
        <v>16220</v>
      </c>
      <c r="G7285" t="s">
        <v>16299</v>
      </c>
      <c r="H7285" t="s">
        <v>16299</v>
      </c>
      <c r="I7285" t="s">
        <v>16382</v>
      </c>
      <c r="J7285" t="s">
        <v>16385</v>
      </c>
      <c r="K7285">
        <v>0.149</v>
      </c>
      <c r="L7285">
        <v>6503</v>
      </c>
      <c r="M7285">
        <v>1157</v>
      </c>
      <c r="N7285" t="s">
        <v>16393</v>
      </c>
      <c r="O7285" s="4">
        <v>54797</v>
      </c>
      <c r="P7285" s="4">
        <v>72931</v>
      </c>
      <c r="Q7285" s="4">
        <v>127728</v>
      </c>
      <c r="R7285" s="4">
        <v>383184</v>
      </c>
      <c r="S7285" t="s">
        <v>23432</v>
      </c>
      <c r="T7285" s="6">
        <v>30011</v>
      </c>
      <c r="U7285" s="4">
        <v>84500</v>
      </c>
      <c r="X7285" t="s">
        <v>3</v>
      </c>
      <c r="AA7285" s="5" t="str">
        <f>HYPERLINK("https://www.zillow.com/homes/2588-YELLOW-STAR-ST-WOODRIDGE-IL-60517_rb/","check listing")</f>
        <v>check listing</v>
      </c>
      <c r="AB7285" s="5" t="str">
        <f>HYPERLINK("https://propertylookup.dupagecounty.gov/Datalets/Datalet.aspx?UseSearch=no&amp;mode=sales&amp;pin=0824303036","sales record")</f>
        <v>sales record</v>
      </c>
      <c r="AC7285" t="s">
        <v>27873</v>
      </c>
      <c r="AD7285">
        <v>41.762819</v>
      </c>
      <c r="AE7285">
        <v>-88.04843200000001</v>
      </c>
      <c r="AF7285" s="5" t="str">
        <f>HYPERLINK("https://www.google.com/maps/search/?api=1&amp;query=41.762819,-88.048432","map")</f>
        <v>map</v>
      </c>
    </row>
    <row r="7286" spans="1:32">
      <c r="A7286" t="s">
        <v>7336</v>
      </c>
      <c r="B7286" t="s">
        <v>14788</v>
      </c>
      <c r="C7286" t="s">
        <v>16129</v>
      </c>
      <c r="D7286" t="s">
        <v>16215</v>
      </c>
      <c r="E7286" t="s">
        <v>16218</v>
      </c>
      <c r="F7286" t="s">
        <v>16220</v>
      </c>
      <c r="G7286" t="s">
        <v>16299</v>
      </c>
      <c r="H7286" t="s">
        <v>16299</v>
      </c>
      <c r="I7286" t="s">
        <v>16382</v>
      </c>
      <c r="J7286" t="s">
        <v>16385</v>
      </c>
      <c r="K7286">
        <v>0.149</v>
      </c>
      <c r="L7286">
        <v>6500</v>
      </c>
      <c r="M7286">
        <v>1631</v>
      </c>
      <c r="N7286" t="s">
        <v>16393</v>
      </c>
      <c r="O7286" s="4">
        <v>54797</v>
      </c>
      <c r="P7286" s="4">
        <v>64465</v>
      </c>
      <c r="Q7286" s="4">
        <v>119262</v>
      </c>
      <c r="R7286" s="4">
        <v>357786</v>
      </c>
      <c r="S7286" t="s">
        <v>23433</v>
      </c>
      <c r="T7286" s="6">
        <v>43952</v>
      </c>
      <c r="U7286" s="4">
        <v>271000</v>
      </c>
      <c r="V7286" t="s">
        <v>23739</v>
      </c>
      <c r="W7286" t="s">
        <v>23433</v>
      </c>
      <c r="X7286" t="s">
        <v>3</v>
      </c>
      <c r="AA7286" s="5" t="str">
        <f>HYPERLINK("https://www.zillow.com/homes/6644-WHEATFIELD-ST-WOODRIDGE-IL-605171714_rb/","check listing")</f>
        <v>check listing</v>
      </c>
      <c r="AB7286" s="5" t="str">
        <f>HYPERLINK("https://propertylookup.dupagecounty.gov/Datalets/Datalet.aspx?UseSearch=no&amp;mode=sales&amp;pin=0824110016","sales record")</f>
        <v>sales record</v>
      </c>
      <c r="AC7286" t="s">
        <v>3</v>
      </c>
      <c r="AD7286">
        <v>41.765858</v>
      </c>
      <c r="AE7286">
        <v>-88.043316</v>
      </c>
      <c r="AF7286" s="5" t="str">
        <f>HYPERLINK("https://www.google.com/maps/search/?api=1&amp;query=41.765858,-88.043316","map")</f>
        <v>map</v>
      </c>
    </row>
    <row r="7287" spans="1:32">
      <c r="A7287" t="s">
        <v>7337</v>
      </c>
      <c r="B7287" t="s">
        <v>14789</v>
      </c>
      <c r="C7287" t="s">
        <v>15323</v>
      </c>
      <c r="D7287" t="s">
        <v>16215</v>
      </c>
      <c r="E7287" t="s">
        <v>16218</v>
      </c>
      <c r="F7287" t="s">
        <v>16220</v>
      </c>
      <c r="G7287" t="s">
        <v>16299</v>
      </c>
      <c r="H7287" t="s">
        <v>16299</v>
      </c>
      <c r="I7287" t="s">
        <v>16382</v>
      </c>
      <c r="J7287" t="s">
        <v>16385</v>
      </c>
      <c r="K7287">
        <v>0.149</v>
      </c>
      <c r="L7287">
        <v>6500</v>
      </c>
      <c r="M7287">
        <v>1894</v>
      </c>
      <c r="N7287" t="s">
        <v>16393</v>
      </c>
      <c r="O7287" s="4">
        <v>54797</v>
      </c>
      <c r="P7287" s="4">
        <v>81981</v>
      </c>
      <c r="Q7287" s="4">
        <v>136778</v>
      </c>
      <c r="R7287" s="4">
        <v>410334</v>
      </c>
      <c r="S7287" t="s">
        <v>23434</v>
      </c>
      <c r="X7287" t="s">
        <v>3</v>
      </c>
      <c r="AA7287" s="5" t="str">
        <f>HYPERLINK("https://www.zillow.com/homes/6640-WHEATFIELD-ST-WOODRIDGE-IL-60517_rb/","check listing")</f>
        <v>check listing</v>
      </c>
      <c r="AB7287" s="5" t="str">
        <f>HYPERLINK("https://propertylookup.dupagecounty.gov/Datalets/Datalet.aspx?UseSearch=no&amp;mode=sales&amp;pin=0824110015","sales record")</f>
        <v>sales record</v>
      </c>
      <c r="AC7287" t="s">
        <v>3</v>
      </c>
      <c r="AD7287">
        <v>41.766077</v>
      </c>
      <c r="AE7287">
        <v>-88.043329</v>
      </c>
      <c r="AF7287" s="5" t="str">
        <f>HYPERLINK("https://www.google.com/maps/search/?api=1&amp;query=41.766077,-88.043329","map")</f>
        <v>map</v>
      </c>
    </row>
    <row r="7288" spans="1:32">
      <c r="A7288" t="s">
        <v>7338</v>
      </c>
      <c r="B7288" t="s">
        <v>14790</v>
      </c>
      <c r="C7288" t="s">
        <v>15323</v>
      </c>
      <c r="D7288" t="s">
        <v>16215</v>
      </c>
      <c r="E7288" t="s">
        <v>16218</v>
      </c>
      <c r="F7288" t="s">
        <v>16220</v>
      </c>
      <c r="G7288" t="s">
        <v>16299</v>
      </c>
      <c r="H7288" t="s">
        <v>16299</v>
      </c>
      <c r="I7288" t="s">
        <v>16382</v>
      </c>
      <c r="J7288" t="s">
        <v>16385</v>
      </c>
      <c r="K7288">
        <v>0.149</v>
      </c>
      <c r="L7288">
        <v>6499</v>
      </c>
      <c r="M7288">
        <v>1305</v>
      </c>
      <c r="N7288" t="s">
        <v>16393</v>
      </c>
      <c r="O7288" s="4">
        <v>54797</v>
      </c>
      <c r="P7288" s="4">
        <v>60790</v>
      </c>
      <c r="Q7288" s="4">
        <v>115587</v>
      </c>
      <c r="R7288" s="4">
        <v>346761</v>
      </c>
      <c r="S7288" t="s">
        <v>23435</v>
      </c>
      <c r="T7288" s="6">
        <v>35370</v>
      </c>
      <c r="U7288" s="4">
        <v>136500</v>
      </c>
      <c r="X7288" t="s">
        <v>3</v>
      </c>
      <c r="AA7288" s="5" t="str">
        <f>HYPERLINK("https://www.zillow.com/homes/1-OWL-CT-WOODRIDGE-IL-60517_rb/","check listing")</f>
        <v>check listing</v>
      </c>
      <c r="AB7288" s="5" t="str">
        <f>HYPERLINK("https://propertylookup.dupagecounty.gov/Datalets/Datalet.aspx?UseSearch=no&amp;mode=sales&amp;pin=0824404004","sales record")</f>
        <v>sales record</v>
      </c>
      <c r="AC7288" t="s">
        <v>3</v>
      </c>
      <c r="AD7288">
        <v>41.764418</v>
      </c>
      <c r="AE7288">
        <v>-88.040057</v>
      </c>
      <c r="AF7288" s="5" t="str">
        <f>HYPERLINK("https://www.google.com/maps/search/?api=1&amp;query=41.764418,-88.040057","map")</f>
        <v>map</v>
      </c>
    </row>
    <row r="7289" spans="1:32">
      <c r="A7289" t="s">
        <v>7339</v>
      </c>
      <c r="B7289" t="s">
        <v>14791</v>
      </c>
      <c r="C7289" t="s">
        <v>15323</v>
      </c>
      <c r="D7289" t="s">
        <v>16215</v>
      </c>
      <c r="E7289" t="s">
        <v>16218</v>
      </c>
      <c r="F7289" t="s">
        <v>16220</v>
      </c>
      <c r="G7289" t="s">
        <v>16299</v>
      </c>
      <c r="H7289" t="s">
        <v>16299</v>
      </c>
      <c r="I7289" t="s">
        <v>16382</v>
      </c>
      <c r="J7289" t="s">
        <v>16385</v>
      </c>
      <c r="K7289">
        <v>0.149</v>
      </c>
      <c r="L7289">
        <v>6499</v>
      </c>
      <c r="M7289">
        <v>1687</v>
      </c>
      <c r="N7289" t="s">
        <v>16393</v>
      </c>
      <c r="O7289" s="4">
        <v>54797</v>
      </c>
      <c r="P7289" s="4">
        <v>53691</v>
      </c>
      <c r="Q7289" s="4">
        <v>108488</v>
      </c>
      <c r="R7289" s="4">
        <v>325464</v>
      </c>
      <c r="S7289" t="s">
        <v>23436</v>
      </c>
      <c r="T7289" s="6">
        <v>34090</v>
      </c>
      <c r="U7289" s="4">
        <v>108000</v>
      </c>
      <c r="X7289" t="s">
        <v>3</v>
      </c>
      <c r="AA7289" s="5" t="str">
        <f>HYPERLINK("https://www.zillow.com/homes/9-ORIOLE-CT-WOODRIDGE-IL-60517_rb/","check listing")</f>
        <v>check listing</v>
      </c>
      <c r="AB7289" s="5" t="str">
        <f>HYPERLINK("https://propertylookup.dupagecounty.gov/Datalets/Datalet.aspx?UseSearch=no&amp;mode=sales&amp;pin=0824319036","sales record")</f>
        <v>sales record</v>
      </c>
      <c r="AC7289" t="s">
        <v>3</v>
      </c>
      <c r="AD7289">
        <v>41.762032</v>
      </c>
      <c r="AE7289">
        <v>-88.041217</v>
      </c>
      <c r="AF7289" s="5" t="str">
        <f>HYPERLINK("https://www.google.com/maps/search/?api=1&amp;query=41.762032,-88.041217","map")</f>
        <v>map</v>
      </c>
    </row>
    <row r="7290" spans="1:32">
      <c r="A7290" t="s">
        <v>7340</v>
      </c>
      <c r="B7290" t="s">
        <v>14792</v>
      </c>
      <c r="C7290" t="s">
        <v>16136</v>
      </c>
      <c r="D7290" t="s">
        <v>16215</v>
      </c>
      <c r="E7290" t="s">
        <v>16218</v>
      </c>
      <c r="F7290" t="s">
        <v>16220</v>
      </c>
      <c r="G7290" t="s">
        <v>16299</v>
      </c>
      <c r="H7290" t="s">
        <v>16299</v>
      </c>
      <c r="I7290" t="s">
        <v>16382</v>
      </c>
      <c r="J7290" t="s">
        <v>16385</v>
      </c>
      <c r="K7290">
        <v>0.149</v>
      </c>
      <c r="L7290">
        <v>6496</v>
      </c>
      <c r="M7290">
        <v>1913</v>
      </c>
      <c r="N7290" t="s">
        <v>16393</v>
      </c>
      <c r="O7290" s="4">
        <v>54797</v>
      </c>
      <c r="P7290" s="4">
        <v>67557</v>
      </c>
      <c r="Q7290" s="4">
        <v>122354</v>
      </c>
      <c r="R7290" s="4">
        <v>367062</v>
      </c>
      <c r="S7290" t="s">
        <v>23437</v>
      </c>
      <c r="T7290" s="6">
        <v>38473</v>
      </c>
      <c r="U7290" s="4">
        <v>269000</v>
      </c>
      <c r="V7290" t="s">
        <v>23739</v>
      </c>
      <c r="W7290" t="s">
        <v>27708</v>
      </c>
      <c r="X7290" t="s">
        <v>3</v>
      </c>
      <c r="AA7290" s="5" t="str">
        <f>HYPERLINK("https://www.zillow.com/homes/6674-FOXTREE-AVE-WOODRIDGE-IL-605171729_rb/","check listing")</f>
        <v>check listing</v>
      </c>
      <c r="AB7290" s="5" t="str">
        <f>HYPERLINK("https://propertylookup.dupagecounty.gov/Datalets/Datalet.aspx?UseSearch=no&amp;mode=sales&amp;pin=0824109007","sales record")</f>
        <v>sales record</v>
      </c>
      <c r="AC7290" t="s">
        <v>3</v>
      </c>
      <c r="AD7290">
        <v>41.766556</v>
      </c>
      <c r="AE7290">
        <v>-88.04453100000001</v>
      </c>
      <c r="AF7290" s="5" t="str">
        <f>HYPERLINK("https://www.google.com/maps/search/?api=1&amp;query=41.766556,-88.044531","map")</f>
        <v>map</v>
      </c>
    </row>
    <row r="7291" spans="1:32">
      <c r="A7291" t="s">
        <v>7341</v>
      </c>
      <c r="B7291" t="s">
        <v>14793</v>
      </c>
      <c r="C7291" t="s">
        <v>15323</v>
      </c>
      <c r="D7291" t="s">
        <v>16215</v>
      </c>
      <c r="E7291" t="s">
        <v>16218</v>
      </c>
      <c r="F7291" t="s">
        <v>16220</v>
      </c>
      <c r="G7291" t="s">
        <v>16299</v>
      </c>
      <c r="H7291" t="s">
        <v>16299</v>
      </c>
      <c r="I7291" t="s">
        <v>16382</v>
      </c>
      <c r="J7291" t="s">
        <v>16385</v>
      </c>
      <c r="K7291">
        <v>0.149</v>
      </c>
      <c r="L7291">
        <v>6495</v>
      </c>
      <c r="M7291">
        <v>1128</v>
      </c>
      <c r="N7291" t="s">
        <v>16393</v>
      </c>
      <c r="O7291" s="4">
        <v>54797</v>
      </c>
      <c r="P7291" s="4">
        <v>78437</v>
      </c>
      <c r="Q7291" s="4">
        <v>133234</v>
      </c>
      <c r="R7291" s="4">
        <v>399702</v>
      </c>
      <c r="S7291" t="s">
        <v>23438</v>
      </c>
      <c r="T7291" s="6">
        <v>42491</v>
      </c>
      <c r="U7291" s="4">
        <v>259900</v>
      </c>
      <c r="V7291" t="s">
        <v>23739</v>
      </c>
      <c r="W7291" t="s">
        <v>27709</v>
      </c>
      <c r="X7291" t="s">
        <v>3</v>
      </c>
      <c r="AA7291" s="5" t="str">
        <f>HYPERLINK("https://www.zillow.com/homes/2536-YELLOW-STAR-ST-WOODRIDGE-IL-60517_rb/","check listing")</f>
        <v>check listing</v>
      </c>
      <c r="AB7291" s="5" t="str">
        <f>HYPERLINK("https://propertylookup.dupagecounty.gov/Datalets/Datalet.aspx?UseSearch=no&amp;mode=sales&amp;pin=0824302015","sales record")</f>
        <v>sales record</v>
      </c>
      <c r="AC7291" t="s">
        <v>3</v>
      </c>
      <c r="AD7291">
        <v>41.764659</v>
      </c>
      <c r="AE7291">
        <v>-88.04749700000001</v>
      </c>
      <c r="AF7291" s="5" t="str">
        <f>HYPERLINK("https://www.google.com/maps/search/?api=1&amp;query=41.764659,-88.047497","map")</f>
        <v>map</v>
      </c>
    </row>
    <row r="7292" spans="1:32">
      <c r="A7292" t="s">
        <v>7342</v>
      </c>
      <c r="B7292" t="s">
        <v>14794</v>
      </c>
      <c r="C7292" t="s">
        <v>15323</v>
      </c>
      <c r="D7292" t="s">
        <v>16215</v>
      </c>
      <c r="E7292" t="s">
        <v>16218</v>
      </c>
      <c r="F7292" t="s">
        <v>16220</v>
      </c>
      <c r="G7292" t="s">
        <v>16299</v>
      </c>
      <c r="H7292" t="s">
        <v>16299</v>
      </c>
      <c r="I7292" t="s">
        <v>16382</v>
      </c>
      <c r="J7292" t="s">
        <v>16385</v>
      </c>
      <c r="K7292">
        <v>0.149</v>
      </c>
      <c r="L7292">
        <v>6493</v>
      </c>
      <c r="M7292">
        <v>2365</v>
      </c>
      <c r="N7292" t="s">
        <v>16393</v>
      </c>
      <c r="O7292" s="4">
        <v>54797</v>
      </c>
      <c r="P7292" s="4">
        <v>74121</v>
      </c>
      <c r="Q7292" s="4">
        <v>128918</v>
      </c>
      <c r="R7292" s="4">
        <v>386754</v>
      </c>
      <c r="S7292" t="s">
        <v>23439</v>
      </c>
      <c r="T7292" s="6">
        <v>30926</v>
      </c>
      <c r="U7292" s="4">
        <v>75000</v>
      </c>
      <c r="X7292" t="s">
        <v>3</v>
      </c>
      <c r="AA7292" s="5" t="str">
        <f>HYPERLINK("https://www.zillow.com/homes/6643-WHEATFIELD-ST-WOODRIDGE-IL-60517_rb/","check listing")</f>
        <v>check listing</v>
      </c>
      <c r="AB7292" s="5" t="str">
        <f>HYPERLINK("https://propertylookup.dupagecounty.gov/Datalets/Datalet.aspx?UseSearch=no&amp;mode=sales&amp;pin=0824111015","sales record")</f>
        <v>sales record</v>
      </c>
      <c r="AC7292" t="s">
        <v>3</v>
      </c>
      <c r="AD7292">
        <v>41.765775</v>
      </c>
      <c r="AE7292">
        <v>-88.042743</v>
      </c>
      <c r="AF7292" s="5" t="str">
        <f>HYPERLINK("https://www.google.com/maps/search/?api=1&amp;query=41.765775,-88.042743","map")</f>
        <v>map</v>
      </c>
    </row>
    <row r="7293" spans="1:32">
      <c r="A7293" t="s">
        <v>7343</v>
      </c>
      <c r="B7293" t="s">
        <v>14795</v>
      </c>
      <c r="C7293" t="s">
        <v>15323</v>
      </c>
      <c r="D7293" t="s">
        <v>16215</v>
      </c>
      <c r="E7293" t="s">
        <v>16218</v>
      </c>
      <c r="F7293" t="s">
        <v>16220</v>
      </c>
      <c r="G7293" t="s">
        <v>16299</v>
      </c>
      <c r="H7293" t="s">
        <v>16299</v>
      </c>
      <c r="I7293" t="s">
        <v>16382</v>
      </c>
      <c r="J7293" t="s">
        <v>16385</v>
      </c>
      <c r="K7293">
        <v>0.149</v>
      </c>
      <c r="L7293">
        <v>6489</v>
      </c>
      <c r="M7293">
        <v>2107</v>
      </c>
      <c r="N7293" t="s">
        <v>16393</v>
      </c>
      <c r="O7293" s="4">
        <v>54797</v>
      </c>
      <c r="P7293" s="4">
        <v>65986</v>
      </c>
      <c r="Q7293" s="4">
        <v>120783</v>
      </c>
      <c r="R7293" s="4">
        <v>362349</v>
      </c>
      <c r="S7293" t="s">
        <v>23440</v>
      </c>
      <c r="T7293" s="6">
        <v>44256</v>
      </c>
      <c r="U7293" s="4">
        <v>295000</v>
      </c>
      <c r="V7293" t="s">
        <v>23739</v>
      </c>
      <c r="W7293" t="s">
        <v>27710</v>
      </c>
      <c r="X7293" t="s">
        <v>3</v>
      </c>
      <c r="AA7293" s="5" t="str">
        <f>HYPERLINK("https://www.zillow.com/homes/2540-YELLOW-STAR-ST-WOODRIDGE-IL-60517_rb/","check listing")</f>
        <v>check listing</v>
      </c>
      <c r="AB7293" s="5" t="str">
        <f>HYPERLINK("https://propertylookup.dupagecounty.gov/Datalets/Datalet.aspx?UseSearch=no&amp;mode=sales&amp;pin=0824302014","sales record")</f>
        <v>sales record</v>
      </c>
      <c r="AC7293" t="s">
        <v>3</v>
      </c>
      <c r="AD7293">
        <v>41.76465</v>
      </c>
      <c r="AE7293">
        <v>-88.04775100000001</v>
      </c>
      <c r="AF7293" s="5" t="str">
        <f>HYPERLINK("https://www.google.com/maps/search/?api=1&amp;query=41.76465,-88.047751","map")</f>
        <v>map</v>
      </c>
    </row>
    <row r="7294" spans="1:32">
      <c r="A7294" t="s">
        <v>7344</v>
      </c>
      <c r="B7294" t="s">
        <v>14796</v>
      </c>
      <c r="C7294" t="s">
        <v>15323</v>
      </c>
      <c r="D7294" t="s">
        <v>16215</v>
      </c>
      <c r="E7294" t="s">
        <v>16218</v>
      </c>
      <c r="F7294" t="s">
        <v>16220</v>
      </c>
      <c r="G7294" t="s">
        <v>16299</v>
      </c>
      <c r="H7294" t="s">
        <v>16299</v>
      </c>
      <c r="I7294" t="s">
        <v>16382</v>
      </c>
      <c r="J7294" t="s">
        <v>16385</v>
      </c>
      <c r="K7294">
        <v>0.149</v>
      </c>
      <c r="L7294">
        <v>6489</v>
      </c>
      <c r="M7294">
        <v>1912</v>
      </c>
      <c r="N7294" t="s">
        <v>16393</v>
      </c>
      <c r="O7294" s="4">
        <v>54797</v>
      </c>
      <c r="P7294" s="4">
        <v>53238</v>
      </c>
      <c r="Q7294" s="4">
        <v>108035</v>
      </c>
      <c r="R7294" s="4">
        <v>324105</v>
      </c>
      <c r="S7294" t="s">
        <v>23441</v>
      </c>
      <c r="T7294" s="6">
        <v>35551</v>
      </c>
      <c r="U7294" s="4">
        <v>120000</v>
      </c>
      <c r="X7294" t="s">
        <v>3</v>
      </c>
      <c r="AA7294" s="5" t="str">
        <f>HYPERLINK("https://www.zillow.com/homes/11-WREN-CT-WOODRIDGE-IL-60517_rb/","check listing")</f>
        <v>check listing</v>
      </c>
      <c r="AB7294" s="5" t="str">
        <f>HYPERLINK("https://propertylookup.dupagecounty.gov/Datalets/Datalet.aspx?UseSearch=no&amp;mode=sales&amp;pin=0824405018","sales record")</f>
        <v>sales record</v>
      </c>
      <c r="AC7294" t="s">
        <v>3</v>
      </c>
      <c r="AD7294">
        <v>41.763026</v>
      </c>
      <c r="AE7294">
        <v>-88.040188</v>
      </c>
      <c r="AF7294" s="5" t="str">
        <f>HYPERLINK("https://www.google.com/maps/search/?api=1&amp;query=41.763026,-88.040188","map")</f>
        <v>map</v>
      </c>
    </row>
    <row r="7295" spans="1:32">
      <c r="A7295" t="s">
        <v>7345</v>
      </c>
      <c r="B7295" t="s">
        <v>14797</v>
      </c>
      <c r="C7295" t="s">
        <v>15323</v>
      </c>
      <c r="D7295" t="s">
        <v>16215</v>
      </c>
      <c r="E7295" t="s">
        <v>16218</v>
      </c>
      <c r="F7295" t="s">
        <v>16220</v>
      </c>
      <c r="G7295" t="s">
        <v>16299</v>
      </c>
      <c r="H7295" t="s">
        <v>16299</v>
      </c>
      <c r="I7295" t="s">
        <v>16382</v>
      </c>
      <c r="J7295" t="s">
        <v>16385</v>
      </c>
      <c r="K7295">
        <v>0.149</v>
      </c>
      <c r="L7295">
        <v>6487</v>
      </c>
      <c r="M7295">
        <v>1702</v>
      </c>
      <c r="N7295" t="s">
        <v>16393</v>
      </c>
      <c r="O7295" s="4">
        <v>54797</v>
      </c>
      <c r="P7295" s="4">
        <v>73977</v>
      </c>
      <c r="Q7295" s="4">
        <v>128774</v>
      </c>
      <c r="R7295" s="4">
        <v>386322</v>
      </c>
      <c r="S7295" t="s">
        <v>23442</v>
      </c>
      <c r="T7295" s="6">
        <v>34790</v>
      </c>
      <c r="U7295" s="4">
        <v>145500</v>
      </c>
      <c r="X7295" t="s">
        <v>3</v>
      </c>
      <c r="AA7295" s="5" t="str">
        <f>HYPERLINK("https://www.zillow.com/homes/6639-WHEATFIELD-ST-WOODRIDGE-IL-60517_rb/","check listing")</f>
        <v>check listing</v>
      </c>
      <c r="AB7295" s="5" t="str">
        <f>HYPERLINK("https://propertylookup.dupagecounty.gov/Datalets/Datalet.aspx?UseSearch=no&amp;mode=sales&amp;pin=0824111014","sales record")</f>
        <v>sales record</v>
      </c>
      <c r="AC7295" t="s">
        <v>3</v>
      </c>
      <c r="AD7295">
        <v>41.765988</v>
      </c>
      <c r="AE7295">
        <v>-88.042756</v>
      </c>
      <c r="AF7295" s="5" t="str">
        <f>HYPERLINK("https://www.google.com/maps/search/?api=1&amp;query=41.765988,-88.042756","map")</f>
        <v>map</v>
      </c>
    </row>
    <row r="7296" spans="1:32">
      <c r="A7296" t="s">
        <v>7346</v>
      </c>
      <c r="B7296" t="s">
        <v>14798</v>
      </c>
      <c r="C7296" t="s">
        <v>15323</v>
      </c>
      <c r="D7296" t="s">
        <v>16215</v>
      </c>
      <c r="E7296" t="s">
        <v>16218</v>
      </c>
      <c r="F7296" t="s">
        <v>16220</v>
      </c>
      <c r="G7296" t="s">
        <v>16299</v>
      </c>
      <c r="H7296" t="s">
        <v>16299</v>
      </c>
      <c r="I7296" t="s">
        <v>16382</v>
      </c>
      <c r="J7296" t="s">
        <v>16385</v>
      </c>
      <c r="K7296">
        <v>0.149</v>
      </c>
      <c r="L7296">
        <v>6484</v>
      </c>
      <c r="M7296">
        <v>1236</v>
      </c>
      <c r="N7296" t="s">
        <v>16393</v>
      </c>
      <c r="O7296" s="4">
        <v>54797</v>
      </c>
      <c r="P7296" s="4">
        <v>62812</v>
      </c>
      <c r="Q7296" s="4">
        <v>117609</v>
      </c>
      <c r="R7296" s="4">
        <v>352827</v>
      </c>
      <c r="S7296" t="s">
        <v>23443</v>
      </c>
      <c r="T7296" s="6">
        <v>40269</v>
      </c>
      <c r="U7296" s="4">
        <v>193500</v>
      </c>
      <c r="V7296" t="s">
        <v>23739</v>
      </c>
      <c r="W7296" t="s">
        <v>27711</v>
      </c>
      <c r="X7296" t="s">
        <v>3</v>
      </c>
      <c r="AA7296" s="5" t="str">
        <f>HYPERLINK("https://www.zillow.com/homes/4-ORIOLE-CT-WOODRIDGE-IL-60517_rb/","check listing")</f>
        <v>check listing</v>
      </c>
      <c r="AB7296" s="5" t="str">
        <f>HYPERLINK("https://propertylookup.dupagecounty.gov/Datalets/Datalet.aspx?UseSearch=no&amp;mode=sales&amp;pin=0824319031","sales record")</f>
        <v>sales record</v>
      </c>
      <c r="AC7296" t="s">
        <v>3</v>
      </c>
      <c r="AD7296">
        <v>41.761855</v>
      </c>
      <c r="AE7296">
        <v>-88.042007</v>
      </c>
      <c r="AF7296" s="5" t="str">
        <f>HYPERLINK("https://www.google.com/maps/search/?api=1&amp;query=41.761855,-88.042007","map")</f>
        <v>map</v>
      </c>
    </row>
    <row r="7297" spans="1:32">
      <c r="A7297" t="s">
        <v>7347</v>
      </c>
      <c r="B7297" t="s">
        <v>14799</v>
      </c>
      <c r="C7297" t="s">
        <v>15323</v>
      </c>
      <c r="D7297" t="s">
        <v>16215</v>
      </c>
      <c r="E7297" t="s">
        <v>16218</v>
      </c>
      <c r="F7297" t="s">
        <v>16220</v>
      </c>
      <c r="G7297" t="s">
        <v>16299</v>
      </c>
      <c r="H7297" t="s">
        <v>16299</v>
      </c>
      <c r="I7297" t="s">
        <v>16382</v>
      </c>
      <c r="J7297" t="s">
        <v>16385</v>
      </c>
      <c r="K7297">
        <v>0.148</v>
      </c>
      <c r="L7297">
        <v>6463</v>
      </c>
      <c r="M7297">
        <v>1570</v>
      </c>
      <c r="N7297" t="s">
        <v>16393</v>
      </c>
      <c r="O7297" s="4">
        <v>49124</v>
      </c>
      <c r="P7297" s="4">
        <v>49303</v>
      </c>
      <c r="Q7297" s="4">
        <v>98427</v>
      </c>
      <c r="R7297" s="4">
        <v>295281</v>
      </c>
      <c r="S7297" t="s">
        <v>23444</v>
      </c>
      <c r="X7297" t="s">
        <v>3</v>
      </c>
      <c r="AA7297" s="5" t="str">
        <f>HYPERLINK("https://www.zillow.com/homes/6829-REDWING-DR-WOODRIDGE-IL-60517_rb/","check listing")</f>
        <v>check listing</v>
      </c>
      <c r="AB7297" s="5" t="str">
        <f>HYPERLINK("https://propertylookup.dupagecounty.gov/Datalets/Datalet.aspx?UseSearch=no&amp;mode=sales&amp;pin=0824404019","sales record")</f>
        <v>sales record</v>
      </c>
      <c r="AC7297" t="s">
        <v>3</v>
      </c>
      <c r="AD7297">
        <v>41.763176</v>
      </c>
      <c r="AE7297">
        <v>-88.03804</v>
      </c>
      <c r="AF7297" s="5" t="str">
        <f>HYPERLINK("https://www.google.com/maps/search/?api=1&amp;query=41.763176,-88.03804","map")</f>
        <v>map</v>
      </c>
    </row>
    <row r="7298" spans="1:32">
      <c r="A7298" t="s">
        <v>7348</v>
      </c>
      <c r="B7298" t="s">
        <v>14800</v>
      </c>
      <c r="C7298" t="s">
        <v>16156</v>
      </c>
      <c r="D7298" t="s">
        <v>16215</v>
      </c>
      <c r="E7298" t="s">
        <v>16218</v>
      </c>
      <c r="F7298" t="s">
        <v>16220</v>
      </c>
      <c r="G7298" t="s">
        <v>16299</v>
      </c>
      <c r="H7298" t="s">
        <v>16299</v>
      </c>
      <c r="I7298" t="s">
        <v>16382</v>
      </c>
      <c r="J7298" t="s">
        <v>16385</v>
      </c>
      <c r="K7298">
        <v>0.148</v>
      </c>
      <c r="L7298">
        <v>6460</v>
      </c>
      <c r="M7298">
        <v>1869</v>
      </c>
      <c r="N7298" t="s">
        <v>16393</v>
      </c>
      <c r="O7298" s="4">
        <v>54797</v>
      </c>
      <c r="P7298" s="4">
        <v>81981</v>
      </c>
      <c r="Q7298" s="4">
        <v>136778</v>
      </c>
      <c r="R7298" s="4">
        <v>410334</v>
      </c>
      <c r="S7298" t="s">
        <v>23445</v>
      </c>
      <c r="T7298" s="6">
        <v>42826</v>
      </c>
      <c r="U7298" s="4">
        <v>292000</v>
      </c>
      <c r="V7298" t="s">
        <v>23739</v>
      </c>
      <c r="W7298" t="s">
        <v>23445</v>
      </c>
      <c r="X7298" t="s">
        <v>3</v>
      </c>
      <c r="AA7298" s="5" t="str">
        <f>HYPERLINK("https://www.zillow.com/homes/6671-WHEATFIELD-ST-WOODRIDGE-IL-605171715_rb/","check listing")</f>
        <v>check listing</v>
      </c>
      <c r="AB7298" s="5" t="str">
        <f>HYPERLINK("https://propertylookup.dupagecounty.gov/Datalets/Datalet.aspx?UseSearch=no&amp;mode=sales&amp;pin=0824111008","sales record")</f>
        <v>sales record</v>
      </c>
      <c r="AC7298" t="s">
        <v>3</v>
      </c>
      <c r="AD7298">
        <v>41.765276</v>
      </c>
      <c r="AE7298">
        <v>-88.04379900000001</v>
      </c>
      <c r="AF7298" s="5" t="str">
        <f>HYPERLINK("https://www.google.com/maps/search/?api=1&amp;query=41.765276,-88.043799","map")</f>
        <v>map</v>
      </c>
    </row>
    <row r="7299" spans="1:32">
      <c r="A7299" t="s">
        <v>7349</v>
      </c>
      <c r="B7299" t="s">
        <v>14801</v>
      </c>
      <c r="C7299" t="s">
        <v>16156</v>
      </c>
      <c r="D7299" t="s">
        <v>16215</v>
      </c>
      <c r="E7299" t="s">
        <v>16218</v>
      </c>
      <c r="F7299" t="s">
        <v>16220</v>
      </c>
      <c r="G7299" t="s">
        <v>16299</v>
      </c>
      <c r="H7299" t="s">
        <v>16299</v>
      </c>
      <c r="I7299" t="s">
        <v>16382</v>
      </c>
      <c r="J7299" t="s">
        <v>16385</v>
      </c>
      <c r="K7299">
        <v>0.148</v>
      </c>
      <c r="L7299">
        <v>6460</v>
      </c>
      <c r="M7299">
        <v>1677</v>
      </c>
      <c r="N7299" t="s">
        <v>16393</v>
      </c>
      <c r="O7299" s="4">
        <v>54713</v>
      </c>
      <c r="P7299" s="4">
        <v>71409</v>
      </c>
      <c r="Q7299" s="4">
        <v>126122</v>
      </c>
      <c r="R7299" s="4">
        <v>378366</v>
      </c>
      <c r="S7299" t="s">
        <v>23446</v>
      </c>
      <c r="T7299" s="6">
        <v>42491</v>
      </c>
      <c r="U7299" s="4">
        <v>260000</v>
      </c>
      <c r="V7299" t="s">
        <v>23739</v>
      </c>
      <c r="W7299" t="s">
        <v>27712</v>
      </c>
      <c r="X7299" t="s">
        <v>3</v>
      </c>
      <c r="AA7299" s="5" t="str">
        <f>HYPERLINK("https://www.zillow.com/homes/6667-WHEATFIELD-ST-WOODRIDGE-IL-605171715_rb/","check listing")</f>
        <v>check listing</v>
      </c>
      <c r="AB7299" s="5" t="str">
        <f>HYPERLINK("https://propertylookup.dupagecounty.gov/Datalets/Datalet.aspx?UseSearch=no&amp;mode=sales&amp;pin=0824111009","sales record")</f>
        <v>sales record</v>
      </c>
      <c r="AC7299" t="s">
        <v>3</v>
      </c>
      <c r="AD7299">
        <v>41.765284</v>
      </c>
      <c r="AE7299">
        <v>-88.04355</v>
      </c>
      <c r="AF7299" s="5" t="str">
        <f>HYPERLINK("https://www.google.com/maps/search/?api=1&amp;query=41.765284,-88.04355","map")</f>
        <v>map</v>
      </c>
    </row>
    <row r="7300" spans="1:32">
      <c r="A7300" t="s">
        <v>7350</v>
      </c>
      <c r="B7300" t="s">
        <v>14802</v>
      </c>
      <c r="C7300" t="s">
        <v>16156</v>
      </c>
      <c r="D7300" t="s">
        <v>16215</v>
      </c>
      <c r="E7300" t="s">
        <v>16218</v>
      </c>
      <c r="F7300" t="s">
        <v>16220</v>
      </c>
      <c r="G7300" t="s">
        <v>16299</v>
      </c>
      <c r="H7300" t="s">
        <v>16299</v>
      </c>
      <c r="I7300" t="s">
        <v>16382</v>
      </c>
      <c r="J7300" t="s">
        <v>16385</v>
      </c>
      <c r="K7300">
        <v>0.148</v>
      </c>
      <c r="L7300">
        <v>6460</v>
      </c>
      <c r="M7300">
        <v>2707</v>
      </c>
      <c r="N7300" t="s">
        <v>16393</v>
      </c>
      <c r="O7300" s="4">
        <v>54797</v>
      </c>
      <c r="P7300" s="4">
        <v>80293</v>
      </c>
      <c r="Q7300" s="4">
        <v>135090</v>
      </c>
      <c r="R7300" s="4">
        <v>405270</v>
      </c>
      <c r="S7300" t="s">
        <v>23447</v>
      </c>
      <c r="T7300" s="6">
        <v>45084</v>
      </c>
      <c r="U7300" s="4">
        <v>385000</v>
      </c>
      <c r="V7300" t="s">
        <v>23739</v>
      </c>
      <c r="W7300" t="s">
        <v>27713</v>
      </c>
      <c r="X7300" t="s">
        <v>3</v>
      </c>
      <c r="AA7300" s="5" t="str">
        <f>HYPERLINK("https://www.zillow.com/homes/6675-WHEATFIELD-ST-WOODRIDGE-IL-605171715_rb/","check listing")</f>
        <v>check listing</v>
      </c>
      <c r="AB7300" s="5" t="str">
        <f>HYPERLINK("https://propertylookup.dupagecounty.gov/Datalets/Datalet.aspx?UseSearch=no&amp;mode=sales&amp;pin=0824111006","sales record")</f>
        <v>sales record</v>
      </c>
      <c r="AC7300" t="s">
        <v>3</v>
      </c>
      <c r="AD7300">
        <v>41.765265</v>
      </c>
      <c r="AE7300">
        <v>-88.04410300000001</v>
      </c>
      <c r="AF7300" s="5" t="str">
        <f>HYPERLINK("https://www.google.com/maps/search/?api=1&amp;query=41.765265,-88.044103","map")</f>
        <v>map</v>
      </c>
    </row>
    <row r="7301" spans="1:32">
      <c r="A7301" t="s">
        <v>7351</v>
      </c>
      <c r="B7301" t="s">
        <v>14803</v>
      </c>
      <c r="C7301" t="s">
        <v>16137</v>
      </c>
      <c r="D7301" t="s">
        <v>16215</v>
      </c>
      <c r="E7301" t="s">
        <v>16218</v>
      </c>
      <c r="F7301" t="s">
        <v>16220</v>
      </c>
      <c r="G7301" t="s">
        <v>16299</v>
      </c>
      <c r="H7301" t="s">
        <v>16299</v>
      </c>
      <c r="I7301" t="s">
        <v>16382</v>
      </c>
      <c r="J7301" t="s">
        <v>16385</v>
      </c>
      <c r="K7301">
        <v>0.148</v>
      </c>
      <c r="L7301">
        <v>6459</v>
      </c>
      <c r="M7301">
        <v>2556</v>
      </c>
      <c r="N7301" t="s">
        <v>16393</v>
      </c>
      <c r="O7301" s="4">
        <v>57651</v>
      </c>
      <c r="P7301" s="4">
        <v>72206</v>
      </c>
      <c r="Q7301" s="4">
        <v>129857</v>
      </c>
      <c r="R7301" s="4">
        <v>389571</v>
      </c>
      <c r="S7301" t="s">
        <v>23448</v>
      </c>
      <c r="T7301" s="6">
        <v>44409</v>
      </c>
      <c r="U7301" s="4">
        <v>300000</v>
      </c>
      <c r="V7301" t="s">
        <v>23739</v>
      </c>
      <c r="W7301" t="s">
        <v>27714</v>
      </c>
      <c r="X7301" t="s">
        <v>3</v>
      </c>
      <c r="AA7301" s="5" t="str">
        <f>HYPERLINK("https://www.zillow.com/homes/6940-SUN-DROP-AVE-WOODRIDGE-IL-605172003_rb/","check listing")</f>
        <v>check listing</v>
      </c>
      <c r="AB7301" s="5" t="str">
        <f>HYPERLINK("https://propertylookup.dupagecounty.gov/Datalets/Datalet.aspx?UseSearch=no&amp;mode=sales&amp;pin=0824310013","sales record")</f>
        <v>sales record</v>
      </c>
      <c r="AC7301" t="s">
        <v>3</v>
      </c>
      <c r="AD7301">
        <v>41.759603</v>
      </c>
      <c r="AE7301">
        <v>-88.049935</v>
      </c>
      <c r="AF7301" s="5" t="str">
        <f>HYPERLINK("https://www.google.com/maps/search/?api=1&amp;query=41.759603,-88.049935","map")</f>
        <v>map</v>
      </c>
    </row>
    <row r="7302" spans="1:32">
      <c r="A7302" t="s">
        <v>7352</v>
      </c>
      <c r="B7302" t="s">
        <v>14804</v>
      </c>
      <c r="C7302" t="s">
        <v>15323</v>
      </c>
      <c r="D7302" t="s">
        <v>16215</v>
      </c>
      <c r="E7302" t="s">
        <v>16218</v>
      </c>
      <c r="F7302" t="s">
        <v>16220</v>
      </c>
      <c r="G7302" t="s">
        <v>16299</v>
      </c>
      <c r="H7302" t="s">
        <v>16299</v>
      </c>
      <c r="I7302" t="s">
        <v>16382</v>
      </c>
      <c r="J7302" t="s">
        <v>16385</v>
      </c>
      <c r="K7302">
        <v>0.148</v>
      </c>
      <c r="L7302">
        <v>6457</v>
      </c>
      <c r="M7302">
        <v>2357</v>
      </c>
      <c r="N7302" t="s">
        <v>16393</v>
      </c>
      <c r="O7302" s="4">
        <v>54785</v>
      </c>
      <c r="P7302" s="4">
        <v>64357</v>
      </c>
      <c r="Q7302" s="4">
        <v>119142</v>
      </c>
      <c r="R7302" s="4">
        <v>357426</v>
      </c>
      <c r="S7302" t="s">
        <v>22773</v>
      </c>
      <c r="T7302" s="6">
        <v>39965</v>
      </c>
      <c r="U7302" s="4">
        <v>240000</v>
      </c>
      <c r="V7302" t="s">
        <v>23739</v>
      </c>
      <c r="W7302" t="s">
        <v>24124</v>
      </c>
      <c r="X7302" t="s">
        <v>3</v>
      </c>
      <c r="AA7302" s="5" t="str">
        <f>HYPERLINK("https://www.zillow.com/homes/6663-WHEATFIELD-ST-WOODRIDGE-IL-60517_rb/","check listing")</f>
        <v>check listing</v>
      </c>
      <c r="AB7302" s="5" t="str">
        <f>HYPERLINK("https://propertylookup.dupagecounty.gov/Datalets/Datalet.aspx?UseSearch=no&amp;mode=sales&amp;pin=0824111010","sales record")</f>
        <v>sales record</v>
      </c>
      <c r="AC7302" t="s">
        <v>3</v>
      </c>
      <c r="AD7302">
        <v>41.765293</v>
      </c>
      <c r="AE7302">
        <v>-88.043301</v>
      </c>
      <c r="AF7302" s="5" t="str">
        <f>HYPERLINK("https://www.google.com/maps/search/?api=1&amp;query=41.765293,-88.043301","map")</f>
        <v>map</v>
      </c>
    </row>
    <row r="7303" spans="1:32">
      <c r="A7303" t="s">
        <v>7353</v>
      </c>
      <c r="B7303" t="s">
        <v>14805</v>
      </c>
      <c r="C7303" t="s">
        <v>15323</v>
      </c>
      <c r="D7303" t="s">
        <v>16215</v>
      </c>
      <c r="E7303" t="s">
        <v>16218</v>
      </c>
      <c r="F7303" t="s">
        <v>16220</v>
      </c>
      <c r="G7303" t="s">
        <v>16299</v>
      </c>
      <c r="H7303" t="s">
        <v>16299</v>
      </c>
      <c r="I7303" t="s">
        <v>16382</v>
      </c>
      <c r="J7303" t="s">
        <v>16385</v>
      </c>
      <c r="K7303">
        <v>0.148</v>
      </c>
      <c r="L7303">
        <v>6454</v>
      </c>
      <c r="M7303">
        <v>2206</v>
      </c>
      <c r="N7303" t="s">
        <v>16393</v>
      </c>
      <c r="O7303" s="4">
        <v>54797</v>
      </c>
      <c r="P7303" s="4">
        <v>65535</v>
      </c>
      <c r="Q7303" s="4">
        <v>120332</v>
      </c>
      <c r="R7303" s="4">
        <v>360996</v>
      </c>
      <c r="S7303" t="s">
        <v>23449</v>
      </c>
      <c r="T7303" s="6">
        <v>41883</v>
      </c>
      <c r="U7303" s="4">
        <v>201000</v>
      </c>
      <c r="V7303" t="s">
        <v>23739</v>
      </c>
      <c r="W7303" t="s">
        <v>27715</v>
      </c>
      <c r="X7303" t="s">
        <v>3</v>
      </c>
      <c r="AA7303" s="5" t="str">
        <f>HYPERLINK("https://www.zillow.com/homes/10-LORRAINE-CT-WOODRIDGE-IL-60517_rb/","check listing")</f>
        <v>check listing</v>
      </c>
      <c r="AB7303" s="5" t="str">
        <f>HYPERLINK("https://propertylookup.dupagecounty.gov/Datalets/Datalet.aspx?UseSearch=no&amp;mode=sales&amp;pin=0824111035","sales record")</f>
        <v>sales record</v>
      </c>
      <c r="AC7303" t="s">
        <v>3</v>
      </c>
      <c r="AD7303">
        <v>41.765353</v>
      </c>
      <c r="AE7303">
        <v>-88.04176099999999</v>
      </c>
      <c r="AF7303" s="5" t="str">
        <f>HYPERLINK("https://www.google.com/maps/search/?api=1&amp;query=41.765353,-88.041761","map")</f>
        <v>map</v>
      </c>
    </row>
    <row r="7304" spans="1:32">
      <c r="A7304" t="s">
        <v>7354</v>
      </c>
      <c r="B7304" t="s">
        <v>14806</v>
      </c>
      <c r="C7304" t="s">
        <v>15323</v>
      </c>
      <c r="D7304" t="s">
        <v>16215</v>
      </c>
      <c r="E7304" t="s">
        <v>16218</v>
      </c>
      <c r="F7304" t="s">
        <v>16220</v>
      </c>
      <c r="G7304" t="s">
        <v>16299</v>
      </c>
      <c r="H7304" t="s">
        <v>16299</v>
      </c>
      <c r="I7304" t="s">
        <v>16382</v>
      </c>
      <c r="J7304" t="s">
        <v>16385</v>
      </c>
      <c r="K7304">
        <v>0.148</v>
      </c>
      <c r="L7304">
        <v>6451</v>
      </c>
      <c r="M7304">
        <v>1281</v>
      </c>
      <c r="N7304" t="s">
        <v>16393</v>
      </c>
      <c r="O7304" s="4">
        <v>54797</v>
      </c>
      <c r="P7304" s="4">
        <v>64976</v>
      </c>
      <c r="Q7304" s="4">
        <v>119773</v>
      </c>
      <c r="R7304" s="4">
        <v>359319</v>
      </c>
      <c r="S7304" t="s">
        <v>23450</v>
      </c>
      <c r="T7304" s="6">
        <v>45825</v>
      </c>
      <c r="U7304" s="4">
        <v>427500</v>
      </c>
      <c r="V7304" t="s">
        <v>23739</v>
      </c>
      <c r="W7304" t="s">
        <v>27716</v>
      </c>
      <c r="X7304" t="s">
        <v>3</v>
      </c>
      <c r="AA7304" s="5" t="str">
        <f>HYPERLINK("https://www.zillow.com/homes/8-PLOVER-CT-WOODRIDGE-IL-60517_rb/","check listing")</f>
        <v>check listing</v>
      </c>
      <c r="AB7304" s="5" t="str">
        <f>HYPERLINK("https://propertylookup.dupagecounty.gov/Datalets/Datalet.aspx?UseSearch=no&amp;mode=sales&amp;pin=0824403001","sales record")</f>
        <v>sales record</v>
      </c>
      <c r="AC7304" t="s">
        <v>3</v>
      </c>
      <c r="AD7304">
        <v>41.763417</v>
      </c>
      <c r="AE7304">
        <v>-88.041102</v>
      </c>
      <c r="AF7304" s="5" t="str">
        <f>HYPERLINK("https://www.google.com/maps/search/?api=1&amp;query=41.763417,-88.041102","map")</f>
        <v>map</v>
      </c>
    </row>
    <row r="7305" spans="1:32">
      <c r="A7305" t="s">
        <v>7355</v>
      </c>
      <c r="B7305" t="s">
        <v>14807</v>
      </c>
      <c r="C7305" t="s">
        <v>15323</v>
      </c>
      <c r="D7305" t="s">
        <v>16215</v>
      </c>
      <c r="E7305" t="s">
        <v>16218</v>
      </c>
      <c r="F7305" t="s">
        <v>16220</v>
      </c>
      <c r="G7305" t="s">
        <v>16299</v>
      </c>
      <c r="H7305" t="s">
        <v>16299</v>
      </c>
      <c r="I7305" t="s">
        <v>16382</v>
      </c>
      <c r="J7305" t="s">
        <v>16385</v>
      </c>
      <c r="K7305">
        <v>0.148</v>
      </c>
      <c r="L7305">
        <v>6437</v>
      </c>
      <c r="M7305">
        <v>1979</v>
      </c>
      <c r="N7305" t="s">
        <v>16393</v>
      </c>
      <c r="O7305" s="4">
        <v>57651</v>
      </c>
      <c r="P7305" s="4">
        <v>81196</v>
      </c>
      <c r="Q7305" s="4">
        <v>138847</v>
      </c>
      <c r="R7305" s="4">
        <v>416541</v>
      </c>
      <c r="S7305" t="s">
        <v>23451</v>
      </c>
      <c r="T7305" s="6">
        <v>37681</v>
      </c>
      <c r="U7305" s="4">
        <v>197000</v>
      </c>
      <c r="V7305" t="s">
        <v>23739</v>
      </c>
      <c r="W7305" t="s">
        <v>27717</v>
      </c>
      <c r="X7305" t="s">
        <v>3</v>
      </c>
      <c r="AA7305" s="5" t="str">
        <f>HYPERLINK("https://www.zillow.com/homes/6921-SUN-DROP-AVE-WOODRIDGE-IL-60517_rb/","check listing")</f>
        <v>check listing</v>
      </c>
      <c r="AB7305" s="5" t="str">
        <f>HYPERLINK("https://propertylookup.dupagecounty.gov/Datalets/Datalet.aspx?UseSearch=no&amp;mode=sales&amp;pin=0824309009","sales record")</f>
        <v>sales record</v>
      </c>
      <c r="AC7305" t="s">
        <v>3</v>
      </c>
      <c r="AD7305">
        <v>41.760473</v>
      </c>
      <c r="AE7305">
        <v>-88.04953999999999</v>
      </c>
      <c r="AF7305" s="5" t="str">
        <f>HYPERLINK("https://www.google.com/maps/search/?api=1&amp;query=41.760473,-88.04954","map")</f>
        <v>map</v>
      </c>
    </row>
    <row r="7306" spans="1:32">
      <c r="A7306" t="s">
        <v>7356</v>
      </c>
      <c r="B7306" t="s">
        <v>14808</v>
      </c>
      <c r="C7306" t="s">
        <v>15323</v>
      </c>
      <c r="D7306" t="s">
        <v>16215</v>
      </c>
      <c r="E7306" t="s">
        <v>16218</v>
      </c>
      <c r="F7306" t="s">
        <v>16220</v>
      </c>
      <c r="G7306" t="s">
        <v>16299</v>
      </c>
      <c r="H7306" t="s">
        <v>16299</v>
      </c>
      <c r="I7306" t="s">
        <v>16382</v>
      </c>
      <c r="J7306" t="s">
        <v>16385</v>
      </c>
      <c r="K7306">
        <v>0.148</v>
      </c>
      <c r="L7306">
        <v>6437</v>
      </c>
      <c r="M7306">
        <v>1648</v>
      </c>
      <c r="N7306" t="s">
        <v>16393</v>
      </c>
      <c r="O7306" s="4">
        <v>54797</v>
      </c>
      <c r="P7306" s="4">
        <v>56509</v>
      </c>
      <c r="Q7306" s="4">
        <v>111306</v>
      </c>
      <c r="R7306" s="4">
        <v>333918</v>
      </c>
      <c r="S7306" t="s">
        <v>23452</v>
      </c>
      <c r="T7306" s="6">
        <v>29738</v>
      </c>
      <c r="U7306" s="4">
        <v>64000</v>
      </c>
      <c r="X7306" t="s">
        <v>3</v>
      </c>
      <c r="AA7306" s="5" t="str">
        <f>HYPERLINK("https://www.zillow.com/homes/8-ORIOLE-CT-WOODRIDGE-IL-60517_rb/","check listing")</f>
        <v>check listing</v>
      </c>
      <c r="AB7306" s="5" t="str">
        <f>HYPERLINK("https://propertylookup.dupagecounty.gov/Datalets/Datalet.aspx?UseSearch=no&amp;mode=sales&amp;pin=0824319035","sales record")</f>
        <v>sales record</v>
      </c>
      <c r="AC7306" t="s">
        <v>3</v>
      </c>
      <c r="AD7306">
        <v>41.761846</v>
      </c>
      <c r="AE7306">
        <v>-88.041192</v>
      </c>
      <c r="AF7306" s="5" t="str">
        <f>HYPERLINK("https://www.google.com/maps/search/?api=1&amp;query=41.761846,-88.041192","map")</f>
        <v>map</v>
      </c>
    </row>
    <row r="7307" spans="1:32">
      <c r="A7307" t="s">
        <v>7357</v>
      </c>
      <c r="B7307" t="s">
        <v>14809</v>
      </c>
      <c r="C7307" t="s">
        <v>15323</v>
      </c>
      <c r="D7307" t="s">
        <v>16215</v>
      </c>
      <c r="E7307" t="s">
        <v>16218</v>
      </c>
      <c r="F7307" t="s">
        <v>16220</v>
      </c>
      <c r="G7307" t="s">
        <v>16299</v>
      </c>
      <c r="H7307" t="s">
        <v>16299</v>
      </c>
      <c r="I7307" t="s">
        <v>16382</v>
      </c>
      <c r="J7307" t="s">
        <v>16385</v>
      </c>
      <c r="K7307">
        <v>0.148</v>
      </c>
      <c r="L7307">
        <v>6435</v>
      </c>
      <c r="M7307">
        <v>1653</v>
      </c>
      <c r="N7307" t="s">
        <v>16393</v>
      </c>
      <c r="O7307" s="4">
        <v>54713</v>
      </c>
      <c r="P7307" s="4">
        <v>66355</v>
      </c>
      <c r="Q7307" s="4">
        <v>121068</v>
      </c>
      <c r="R7307" s="4">
        <v>363204</v>
      </c>
      <c r="S7307" t="s">
        <v>23453</v>
      </c>
      <c r="T7307" s="6">
        <v>34394</v>
      </c>
      <c r="U7307" s="4">
        <v>125500</v>
      </c>
      <c r="X7307" t="s">
        <v>3</v>
      </c>
      <c r="AA7307" s="5" t="str">
        <f>HYPERLINK("https://www.zillow.com/homes/6800-S-REDWING-DR-WOODRIDGE-IL-60517_rb/","check listing")</f>
        <v>check listing</v>
      </c>
      <c r="AB7307" s="5" t="str">
        <f>HYPERLINK("https://propertylookup.dupagecounty.gov/Datalets/Datalet.aspx?UseSearch=no&amp;mode=sales&amp;pin=0824405007","sales record")</f>
        <v>sales record</v>
      </c>
      <c r="AC7307" t="s">
        <v>3</v>
      </c>
      <c r="AD7307">
        <v>41.763755</v>
      </c>
      <c r="AE7307">
        <v>-88.039114</v>
      </c>
      <c r="AF7307" s="5" t="str">
        <f>HYPERLINK("https://www.google.com/maps/search/?api=1&amp;query=41.763755,-88.039114","map")</f>
        <v>map</v>
      </c>
    </row>
    <row r="7308" spans="1:32">
      <c r="A7308" t="s">
        <v>7358</v>
      </c>
      <c r="B7308" t="s">
        <v>14810</v>
      </c>
      <c r="C7308" t="s">
        <v>16176</v>
      </c>
      <c r="D7308" t="s">
        <v>16215</v>
      </c>
      <c r="E7308" t="s">
        <v>16218</v>
      </c>
      <c r="F7308" t="s">
        <v>16220</v>
      </c>
      <c r="G7308" t="s">
        <v>16299</v>
      </c>
      <c r="H7308" t="s">
        <v>16299</v>
      </c>
      <c r="I7308" t="s">
        <v>16382</v>
      </c>
      <c r="J7308" t="s">
        <v>16385</v>
      </c>
      <c r="K7308">
        <v>0.148</v>
      </c>
      <c r="L7308">
        <v>6428</v>
      </c>
      <c r="M7308">
        <v>1789</v>
      </c>
      <c r="N7308" t="s">
        <v>16393</v>
      </c>
      <c r="O7308" s="4">
        <v>54797</v>
      </c>
      <c r="P7308" s="4">
        <v>59031</v>
      </c>
      <c r="Q7308" s="4">
        <v>113828</v>
      </c>
      <c r="R7308" s="4">
        <v>341484</v>
      </c>
      <c r="S7308" t="s">
        <v>23454</v>
      </c>
      <c r="T7308" s="6">
        <v>44940</v>
      </c>
      <c r="U7308" s="4">
        <v>395000</v>
      </c>
      <c r="V7308" t="s">
        <v>23739</v>
      </c>
      <c r="W7308" t="s">
        <v>27718</v>
      </c>
      <c r="X7308" t="s">
        <v>3</v>
      </c>
      <c r="AA7308" s="5" t="str">
        <f>HYPERLINK("https://www.zillow.com/homes/2317-VISTA-DR-WOODRIDGE-IL-605171842_rb/","check listing")</f>
        <v>check listing</v>
      </c>
      <c r="AB7308" s="5" t="str">
        <f>HYPERLINK("https://propertylookup.dupagecounty.gov/Datalets/Datalet.aspx?UseSearch=no&amp;mode=sales&amp;pin=0824419013","sales record")</f>
        <v>sales record</v>
      </c>
      <c r="AC7308" t="s">
        <v>3</v>
      </c>
      <c r="AD7308">
        <v>41.760681</v>
      </c>
      <c r="AE7308">
        <v>-88.037229</v>
      </c>
      <c r="AF7308" s="5" t="str">
        <f>HYPERLINK("https://www.google.com/maps/search/?api=1&amp;query=41.760681,-88.037229","map")</f>
        <v>map</v>
      </c>
    </row>
    <row r="7309" spans="1:32">
      <c r="A7309" t="s">
        <v>7359</v>
      </c>
      <c r="B7309" t="s">
        <v>14811</v>
      </c>
      <c r="C7309" t="s">
        <v>15323</v>
      </c>
      <c r="D7309" t="s">
        <v>16215</v>
      </c>
      <c r="E7309" t="s">
        <v>16218</v>
      </c>
      <c r="F7309" t="s">
        <v>16220</v>
      </c>
      <c r="G7309" t="s">
        <v>16299</v>
      </c>
      <c r="H7309" t="s">
        <v>16299</v>
      </c>
      <c r="I7309" t="s">
        <v>16382</v>
      </c>
      <c r="J7309" t="s">
        <v>16385</v>
      </c>
      <c r="K7309">
        <v>0.147</v>
      </c>
      <c r="L7309">
        <v>6415</v>
      </c>
      <c r="M7309">
        <v>1882</v>
      </c>
      <c r="N7309" t="s">
        <v>16393</v>
      </c>
      <c r="O7309" s="4">
        <v>54797</v>
      </c>
      <c r="P7309" s="4">
        <v>64560</v>
      </c>
      <c r="Q7309" s="4">
        <v>119357</v>
      </c>
      <c r="R7309" s="4">
        <v>358071</v>
      </c>
      <c r="S7309" t="s">
        <v>23455</v>
      </c>
      <c r="T7309" s="6">
        <v>38473</v>
      </c>
      <c r="U7309" s="4">
        <v>240000</v>
      </c>
      <c r="V7309" t="s">
        <v>23739</v>
      </c>
      <c r="W7309" t="s">
        <v>27719</v>
      </c>
      <c r="X7309" t="s">
        <v>3</v>
      </c>
      <c r="AA7309" s="5" t="str">
        <f>HYPERLINK("https://www.zillow.com/homes/10-PHEASANT-CT-WOODRIDGE-IL-60517_rb/","check listing")</f>
        <v>check listing</v>
      </c>
      <c r="AB7309" s="5" t="str">
        <f>HYPERLINK("https://propertylookup.dupagecounty.gov/Datalets/Datalet.aspx?UseSearch=no&amp;mode=sales&amp;pin=0824317025","sales record")</f>
        <v>sales record</v>
      </c>
      <c r="AC7309" t="s">
        <v>3</v>
      </c>
      <c r="AD7309">
        <v>41.764384</v>
      </c>
      <c r="AE7309">
        <v>-88.042756</v>
      </c>
      <c r="AF7309" s="5" t="str">
        <f>HYPERLINK("https://www.google.com/maps/search/?api=1&amp;query=41.764384,-88.042756","map")</f>
        <v>map</v>
      </c>
    </row>
    <row r="7310" spans="1:32">
      <c r="A7310" t="s">
        <v>7360</v>
      </c>
      <c r="B7310" t="s">
        <v>14812</v>
      </c>
      <c r="C7310" t="s">
        <v>15323</v>
      </c>
      <c r="D7310" t="s">
        <v>16215</v>
      </c>
      <c r="E7310" t="s">
        <v>16218</v>
      </c>
      <c r="F7310" t="s">
        <v>16220</v>
      </c>
      <c r="G7310" t="s">
        <v>16299</v>
      </c>
      <c r="H7310" t="s">
        <v>16299</v>
      </c>
      <c r="I7310" t="s">
        <v>16382</v>
      </c>
      <c r="J7310" t="s">
        <v>16385</v>
      </c>
      <c r="K7310">
        <v>0.147</v>
      </c>
      <c r="L7310">
        <v>6415</v>
      </c>
      <c r="M7310">
        <v>1583</v>
      </c>
      <c r="N7310" t="s">
        <v>16393</v>
      </c>
      <c r="O7310" s="4">
        <v>57651</v>
      </c>
      <c r="P7310" s="4">
        <v>74121</v>
      </c>
      <c r="Q7310" s="4">
        <v>131772</v>
      </c>
      <c r="R7310" s="4">
        <v>395316</v>
      </c>
      <c r="S7310" t="s">
        <v>23456</v>
      </c>
      <c r="T7310" s="6">
        <v>37377</v>
      </c>
      <c r="U7310" s="4">
        <v>204900</v>
      </c>
      <c r="V7310" t="s">
        <v>23739</v>
      </c>
      <c r="W7310" t="s">
        <v>27720</v>
      </c>
      <c r="X7310" t="s">
        <v>3</v>
      </c>
      <c r="AA7310" s="5" t="str">
        <f>HYPERLINK("https://www.zillow.com/homes/6925-SUN-DROP-AVE-WOODRIDGE-IL-60517_rb/","check listing")</f>
        <v>check listing</v>
      </c>
      <c r="AB7310" s="5" t="str">
        <f>HYPERLINK("https://propertylookup.dupagecounty.gov/Datalets/Datalet.aspx?UseSearch=no&amp;mode=sales&amp;pin=0824309010","sales record")</f>
        <v>sales record</v>
      </c>
      <c r="AC7310" t="s">
        <v>3</v>
      </c>
      <c r="AD7310">
        <v>41.760274</v>
      </c>
      <c r="AE7310">
        <v>-88.049454</v>
      </c>
      <c r="AF7310" s="5" t="str">
        <f>HYPERLINK("https://www.google.com/maps/search/?api=1&amp;query=41.760274,-88.049454","map")</f>
        <v>map</v>
      </c>
    </row>
    <row r="7311" spans="1:32">
      <c r="A7311" t="s">
        <v>7361</v>
      </c>
      <c r="B7311" t="s">
        <v>14813</v>
      </c>
      <c r="C7311" t="s">
        <v>15323</v>
      </c>
      <c r="D7311" t="s">
        <v>16215</v>
      </c>
      <c r="E7311" t="s">
        <v>16218</v>
      </c>
      <c r="F7311" t="s">
        <v>16220</v>
      </c>
      <c r="G7311" t="s">
        <v>16299</v>
      </c>
      <c r="H7311" t="s">
        <v>16299</v>
      </c>
      <c r="I7311" t="s">
        <v>16382</v>
      </c>
      <c r="J7311" t="s">
        <v>16385</v>
      </c>
      <c r="K7311">
        <v>0.147</v>
      </c>
      <c r="L7311">
        <v>6410</v>
      </c>
      <c r="M7311">
        <v>1502</v>
      </c>
      <c r="N7311" t="s">
        <v>16393</v>
      </c>
      <c r="O7311" s="4">
        <v>54761</v>
      </c>
      <c r="P7311" s="4">
        <v>89758</v>
      </c>
      <c r="Q7311" s="4">
        <v>144519</v>
      </c>
      <c r="R7311" s="4">
        <v>433557</v>
      </c>
      <c r="S7311" t="s">
        <v>23457</v>
      </c>
      <c r="T7311" s="6">
        <v>41974</v>
      </c>
      <c r="U7311" s="4">
        <v>269000</v>
      </c>
      <c r="V7311" t="s">
        <v>23739</v>
      </c>
      <c r="W7311" t="s">
        <v>27721</v>
      </c>
      <c r="X7311" t="s">
        <v>3</v>
      </c>
      <c r="AA7311" s="5" t="str">
        <f>HYPERLINK("https://www.zillow.com/homes/9-PHEASANT-CT-WOODRIDGE-IL-60517_rb/","check listing")</f>
        <v>check listing</v>
      </c>
      <c r="AB7311" s="5" t="str">
        <f>HYPERLINK("https://propertylookup.dupagecounty.gov/Datalets/Datalet.aspx?UseSearch=no&amp;mode=sales&amp;pin=0824317026","sales record")</f>
        <v>sales record</v>
      </c>
      <c r="AC7311" t="s">
        <v>3</v>
      </c>
      <c r="AD7311">
        <v>41.764375</v>
      </c>
      <c r="AE7311">
        <v>-88.04298900000001</v>
      </c>
      <c r="AF7311" s="5" t="str">
        <f>HYPERLINK("https://www.google.com/maps/search/?api=1&amp;query=41.764375,-88.042989","map")</f>
        <v>map</v>
      </c>
    </row>
    <row r="7312" spans="1:32">
      <c r="A7312" t="s">
        <v>7362</v>
      </c>
      <c r="B7312" t="s">
        <v>14814</v>
      </c>
      <c r="C7312" t="s">
        <v>15323</v>
      </c>
      <c r="D7312" t="s">
        <v>16215</v>
      </c>
      <c r="E7312" t="s">
        <v>16218</v>
      </c>
      <c r="F7312" t="s">
        <v>16220</v>
      </c>
      <c r="G7312" t="s">
        <v>16299</v>
      </c>
      <c r="H7312" t="s">
        <v>16299</v>
      </c>
      <c r="I7312" t="s">
        <v>16382</v>
      </c>
      <c r="J7312" t="s">
        <v>16385</v>
      </c>
      <c r="K7312">
        <v>0.147</v>
      </c>
      <c r="L7312">
        <v>6396</v>
      </c>
      <c r="M7312">
        <v>1324</v>
      </c>
      <c r="N7312" t="s">
        <v>16393</v>
      </c>
      <c r="O7312" s="4">
        <v>49124</v>
      </c>
      <c r="P7312" s="4">
        <v>53013</v>
      </c>
      <c r="Q7312" s="4">
        <v>102137</v>
      </c>
      <c r="R7312" s="4">
        <v>306411</v>
      </c>
      <c r="S7312" t="s">
        <v>23458</v>
      </c>
      <c r="T7312" s="6">
        <v>37347</v>
      </c>
      <c r="U7312" s="4">
        <v>173000</v>
      </c>
      <c r="V7312" t="s">
        <v>23739</v>
      </c>
      <c r="W7312" t="s">
        <v>27722</v>
      </c>
      <c r="X7312" t="s">
        <v>3</v>
      </c>
      <c r="AA7312" s="5" t="str">
        <f>HYPERLINK("https://www.zillow.com/homes/2314-VISTA-DR-WOODRIDGE-IL-60517_rb/","check listing")</f>
        <v>check listing</v>
      </c>
      <c r="AB7312" s="5" t="str">
        <f>HYPERLINK("https://propertylookup.dupagecounty.gov/Datalets/Datalet.aspx?UseSearch=no&amp;mode=sales&amp;pin=0824408040","sales record")</f>
        <v>sales record</v>
      </c>
      <c r="AC7312" t="s">
        <v>3</v>
      </c>
      <c r="AD7312">
        <v>41.760646</v>
      </c>
      <c r="AE7312">
        <v>-88.03663400000001</v>
      </c>
      <c r="AF7312" s="5" t="str">
        <f>HYPERLINK("https://www.google.com/maps/search/?api=1&amp;query=41.760646,-88.036634","map")</f>
        <v>map</v>
      </c>
    </row>
    <row r="7313" spans="1:32">
      <c r="A7313" t="s">
        <v>7363</v>
      </c>
      <c r="B7313" t="s">
        <v>14815</v>
      </c>
      <c r="C7313" t="s">
        <v>15323</v>
      </c>
      <c r="D7313" t="s">
        <v>16215</v>
      </c>
      <c r="E7313" t="s">
        <v>16218</v>
      </c>
      <c r="F7313" t="s">
        <v>16220</v>
      </c>
      <c r="G7313" t="s">
        <v>16299</v>
      </c>
      <c r="H7313" t="s">
        <v>16299</v>
      </c>
      <c r="I7313" t="s">
        <v>16382</v>
      </c>
      <c r="J7313" t="s">
        <v>16385</v>
      </c>
      <c r="K7313">
        <v>0.147</v>
      </c>
      <c r="L7313">
        <v>6388</v>
      </c>
      <c r="M7313">
        <v>1365</v>
      </c>
      <c r="N7313" t="s">
        <v>16393</v>
      </c>
      <c r="O7313" s="4">
        <v>49124</v>
      </c>
      <c r="P7313" s="4">
        <v>66272</v>
      </c>
      <c r="Q7313" s="4">
        <v>115396</v>
      </c>
      <c r="R7313" s="4">
        <v>346188</v>
      </c>
      <c r="S7313" t="s">
        <v>23459</v>
      </c>
      <c r="X7313" t="s">
        <v>3</v>
      </c>
      <c r="AA7313" s="5" t="str">
        <f>HYPERLINK("https://www.zillow.com/homes/6825-REDWING-DR-WOODRIDGE-IL-60517_rb/","check listing")</f>
        <v>check listing</v>
      </c>
      <c r="AB7313" s="5" t="str">
        <f>HYPERLINK("https://propertylookup.dupagecounty.gov/Datalets/Datalet.aspx?UseSearch=no&amp;mode=sales&amp;pin=0824404018","sales record")</f>
        <v>sales record</v>
      </c>
      <c r="AC7313" t="s">
        <v>3</v>
      </c>
      <c r="AD7313">
        <v>41.763297</v>
      </c>
      <c r="AE7313">
        <v>-88.038129</v>
      </c>
      <c r="AF7313" s="5" t="str">
        <f>HYPERLINK("https://www.google.com/maps/search/?api=1&amp;query=41.763297,-88.038129","map")</f>
        <v>map</v>
      </c>
    </row>
    <row r="7314" spans="1:32">
      <c r="A7314" t="s">
        <v>7364</v>
      </c>
      <c r="B7314" t="s">
        <v>14816</v>
      </c>
      <c r="C7314" t="s">
        <v>15323</v>
      </c>
      <c r="D7314" t="s">
        <v>16215</v>
      </c>
      <c r="E7314" t="s">
        <v>16218</v>
      </c>
      <c r="F7314" t="s">
        <v>16220</v>
      </c>
      <c r="G7314" t="s">
        <v>16299</v>
      </c>
      <c r="H7314" t="s">
        <v>16299</v>
      </c>
      <c r="I7314" t="s">
        <v>16382</v>
      </c>
      <c r="J7314" t="s">
        <v>16385</v>
      </c>
      <c r="K7314">
        <v>0.147</v>
      </c>
      <c r="L7314">
        <v>6385</v>
      </c>
      <c r="M7314">
        <v>1437</v>
      </c>
      <c r="N7314" t="s">
        <v>16393</v>
      </c>
      <c r="O7314" s="4">
        <v>54797</v>
      </c>
      <c r="P7314" s="4">
        <v>62812</v>
      </c>
      <c r="Q7314" s="4">
        <v>117609</v>
      </c>
      <c r="R7314" s="4">
        <v>352827</v>
      </c>
      <c r="S7314" t="s">
        <v>23460</v>
      </c>
      <c r="T7314" s="6">
        <v>40026</v>
      </c>
      <c r="U7314" s="4">
        <v>169900</v>
      </c>
      <c r="V7314" t="s">
        <v>16232</v>
      </c>
      <c r="W7314" t="s">
        <v>23460</v>
      </c>
      <c r="X7314" t="s">
        <v>3</v>
      </c>
      <c r="AA7314" s="5" t="str">
        <f>HYPERLINK("https://www.zillow.com/homes/6843-DOVE-AVE-WOODRIDGE-IL-60517_rb/","check listing")</f>
        <v>check listing</v>
      </c>
      <c r="AB7314" s="5" t="str">
        <f>HYPERLINK("https://propertylookup.dupagecounty.gov/Datalets/Datalet.aspx?UseSearch=no&amp;mode=sales&amp;pin=0824406006","sales record")</f>
        <v>sales record</v>
      </c>
      <c r="AC7314" t="s">
        <v>3</v>
      </c>
      <c r="AD7314">
        <v>41.762472</v>
      </c>
      <c r="AE7314">
        <v>-88.038684</v>
      </c>
      <c r="AF7314" s="5" t="str">
        <f>HYPERLINK("https://www.google.com/maps/search/?api=1&amp;query=41.762472,-88.038684","map")</f>
        <v>map</v>
      </c>
    </row>
    <row r="7315" spans="1:32">
      <c r="A7315" t="s">
        <v>7365</v>
      </c>
      <c r="B7315" t="s">
        <v>14817</v>
      </c>
      <c r="C7315" t="s">
        <v>15323</v>
      </c>
      <c r="D7315" t="s">
        <v>16215</v>
      </c>
      <c r="E7315" t="s">
        <v>16218</v>
      </c>
      <c r="F7315" t="s">
        <v>16220</v>
      </c>
      <c r="G7315" t="s">
        <v>16299</v>
      </c>
      <c r="H7315" t="s">
        <v>16299</v>
      </c>
      <c r="I7315" t="s">
        <v>16382</v>
      </c>
      <c r="J7315" t="s">
        <v>16385</v>
      </c>
      <c r="K7315">
        <v>0.146</v>
      </c>
      <c r="L7315">
        <v>6381</v>
      </c>
      <c r="M7315">
        <v>2131</v>
      </c>
      <c r="N7315" t="s">
        <v>16393</v>
      </c>
      <c r="O7315" s="4">
        <v>54797</v>
      </c>
      <c r="P7315" s="4">
        <v>64738</v>
      </c>
      <c r="Q7315" s="4">
        <v>119535</v>
      </c>
      <c r="R7315" s="4">
        <v>358605</v>
      </c>
      <c r="S7315" t="s">
        <v>23461</v>
      </c>
      <c r="T7315" s="6">
        <v>44869</v>
      </c>
      <c r="U7315" s="4">
        <v>315000</v>
      </c>
      <c r="V7315" t="s">
        <v>23739</v>
      </c>
      <c r="W7315" t="s">
        <v>27723</v>
      </c>
      <c r="X7315" t="s">
        <v>3</v>
      </c>
      <c r="AA7315" s="5" t="str">
        <f>HYPERLINK("https://www.zillow.com/homes/6-LORRAINE-AVE-WOODRIDGE-IL-60517_rb/","check listing")</f>
        <v>check listing</v>
      </c>
      <c r="AB7315" s="5" t="str">
        <f>HYPERLINK("https://propertylookup.dupagecounty.gov/Datalets/Datalet.aspx?UseSearch=no&amp;mode=sales&amp;pin=0824111031","sales record")</f>
        <v>sales record</v>
      </c>
      <c r="AC7315" t="s">
        <v>3</v>
      </c>
      <c r="AD7315">
        <v>41.765712</v>
      </c>
      <c r="AE7315">
        <v>-88.042389</v>
      </c>
      <c r="AF7315" s="5" t="str">
        <f>HYPERLINK("https://www.google.com/maps/search/?api=1&amp;query=41.765712,-88.042389","map")</f>
        <v>map</v>
      </c>
    </row>
    <row r="7316" spans="1:32">
      <c r="A7316" t="s">
        <v>7366</v>
      </c>
      <c r="B7316" t="s">
        <v>14818</v>
      </c>
      <c r="C7316" t="s">
        <v>15323</v>
      </c>
      <c r="D7316" t="s">
        <v>16215</v>
      </c>
      <c r="E7316" t="s">
        <v>16218</v>
      </c>
      <c r="F7316" t="s">
        <v>16220</v>
      </c>
      <c r="G7316" t="s">
        <v>16299</v>
      </c>
      <c r="H7316" t="s">
        <v>16299</v>
      </c>
      <c r="I7316" t="s">
        <v>16382</v>
      </c>
      <c r="J7316" t="s">
        <v>16385</v>
      </c>
      <c r="K7316">
        <v>0.146</v>
      </c>
      <c r="L7316">
        <v>6381</v>
      </c>
      <c r="M7316">
        <v>2450</v>
      </c>
      <c r="N7316" t="s">
        <v>16393</v>
      </c>
      <c r="O7316" s="4">
        <v>57651</v>
      </c>
      <c r="P7316" s="4">
        <v>78794</v>
      </c>
      <c r="Q7316" s="4">
        <v>136445</v>
      </c>
      <c r="R7316" s="4">
        <v>409335</v>
      </c>
      <c r="S7316" t="s">
        <v>23462</v>
      </c>
      <c r="T7316" s="6">
        <v>35247</v>
      </c>
      <c r="U7316" s="4">
        <v>144200</v>
      </c>
      <c r="X7316" t="s">
        <v>3</v>
      </c>
      <c r="AA7316" s="5" t="str">
        <f>HYPERLINK("https://www.zillow.com/homes/2724-WILD-PLUM-DR-WOODRIDGE-IL-60517_rb/","check listing")</f>
        <v>check listing</v>
      </c>
      <c r="AB7316" s="5" t="str">
        <f>HYPERLINK("https://propertylookup.dupagecounty.gov/Datalets/Datalet.aspx?UseSearch=no&amp;mode=sales&amp;pin=0824310016","sales record")</f>
        <v>sales record</v>
      </c>
      <c r="AC7316" t="s">
        <v>3</v>
      </c>
      <c r="AD7316">
        <v>41.759091</v>
      </c>
      <c r="AE7316">
        <v>-88.05055</v>
      </c>
      <c r="AF7316" s="5" t="str">
        <f>HYPERLINK("https://www.google.com/maps/search/?api=1&amp;query=41.759091,-88.05055","map")</f>
        <v>map</v>
      </c>
    </row>
    <row r="7317" spans="1:32">
      <c r="A7317" t="s">
        <v>7367</v>
      </c>
      <c r="B7317" t="s">
        <v>14819</v>
      </c>
      <c r="C7317" t="s">
        <v>15323</v>
      </c>
      <c r="D7317" t="s">
        <v>16215</v>
      </c>
      <c r="E7317" t="s">
        <v>16218</v>
      </c>
      <c r="F7317" t="s">
        <v>16220</v>
      </c>
      <c r="G7317" t="s">
        <v>16299</v>
      </c>
      <c r="H7317" t="s">
        <v>16299</v>
      </c>
      <c r="I7317" t="s">
        <v>16382</v>
      </c>
      <c r="J7317" t="s">
        <v>16385</v>
      </c>
      <c r="K7317">
        <v>0.146</v>
      </c>
      <c r="L7317">
        <v>6374</v>
      </c>
      <c r="M7317">
        <v>1393</v>
      </c>
      <c r="N7317" t="s">
        <v>16393</v>
      </c>
      <c r="O7317" s="4">
        <v>54797</v>
      </c>
      <c r="P7317" s="4">
        <v>84585</v>
      </c>
      <c r="Q7317" s="4">
        <v>139382</v>
      </c>
      <c r="R7317" s="4">
        <v>418146</v>
      </c>
      <c r="S7317" t="s">
        <v>23463</v>
      </c>
      <c r="T7317" s="6">
        <v>33664</v>
      </c>
      <c r="U7317" s="4">
        <v>142000</v>
      </c>
      <c r="X7317" t="s">
        <v>3</v>
      </c>
      <c r="AA7317" s="5" t="str">
        <f>HYPERLINK("https://www.zillow.com/homes/7-PHEASANT-CT-WOODRIDGE-IL-60517_rb/","check listing")</f>
        <v>check listing</v>
      </c>
      <c r="AB7317" s="5" t="str">
        <f>HYPERLINK("https://propertylookup.dupagecounty.gov/Datalets/Datalet.aspx?UseSearch=no&amp;mode=sales&amp;pin=0824317028","sales record")</f>
        <v>sales record</v>
      </c>
      <c r="AC7317" t="s">
        <v>3</v>
      </c>
      <c r="AD7317">
        <v>41.764359</v>
      </c>
      <c r="AE7317">
        <v>-88.043543</v>
      </c>
      <c r="AF7317" s="5" t="str">
        <f>HYPERLINK("https://www.google.com/maps/search/?api=1&amp;query=41.764359,-88.043543","map")</f>
        <v>map</v>
      </c>
    </row>
    <row r="7318" spans="1:32">
      <c r="A7318" t="s">
        <v>7368</v>
      </c>
      <c r="B7318" t="s">
        <v>14820</v>
      </c>
      <c r="C7318" t="s">
        <v>16177</v>
      </c>
      <c r="D7318" t="s">
        <v>16215</v>
      </c>
      <c r="E7318" t="s">
        <v>16218</v>
      </c>
      <c r="F7318" t="s">
        <v>16220</v>
      </c>
      <c r="G7318" t="s">
        <v>16299</v>
      </c>
      <c r="H7318" t="s">
        <v>16299</v>
      </c>
      <c r="I7318" t="s">
        <v>16382</v>
      </c>
      <c r="J7318" t="s">
        <v>16385</v>
      </c>
      <c r="K7318">
        <v>0.146</v>
      </c>
      <c r="L7318">
        <v>6369</v>
      </c>
      <c r="M7318">
        <v>994</v>
      </c>
      <c r="N7318" t="s">
        <v>16393</v>
      </c>
      <c r="O7318" s="4">
        <v>49124</v>
      </c>
      <c r="P7318" s="4">
        <v>52371</v>
      </c>
      <c r="Q7318" s="4">
        <v>101495</v>
      </c>
      <c r="R7318" s="4">
        <v>304485</v>
      </c>
      <c r="S7318" t="s">
        <v>23464</v>
      </c>
      <c r="T7318" s="6">
        <v>43374</v>
      </c>
      <c r="U7318" s="4">
        <v>212000</v>
      </c>
      <c r="V7318" t="s">
        <v>23739</v>
      </c>
      <c r="W7318" t="s">
        <v>27724</v>
      </c>
      <c r="X7318" t="s">
        <v>3</v>
      </c>
      <c r="AA7318" s="5" t="str">
        <f>HYPERLINK("https://www.zillow.com/homes/2303-SUNNYDALE-DR-WOODRIDGE-IL-605171844_rb/","check listing")</f>
        <v>check listing</v>
      </c>
      <c r="AB7318" s="5" t="str">
        <f>HYPERLINK("https://propertylookup.dupagecounty.gov/Datalets/Datalet.aspx?UseSearch=no&amp;mode=sales&amp;pin=0824420022","sales record")</f>
        <v>sales record</v>
      </c>
      <c r="AC7318" t="s">
        <v>3</v>
      </c>
      <c r="AD7318">
        <v>41.760236</v>
      </c>
      <c r="AE7318">
        <v>-88.036449</v>
      </c>
      <c r="AF7318" s="5" t="str">
        <f>HYPERLINK("https://www.google.com/maps/search/?api=1&amp;query=41.760236,-88.036449","map")</f>
        <v>map</v>
      </c>
    </row>
    <row r="7319" spans="1:32">
      <c r="A7319" t="s">
        <v>7369</v>
      </c>
      <c r="B7319" t="s">
        <v>14821</v>
      </c>
      <c r="C7319" t="s">
        <v>15323</v>
      </c>
      <c r="D7319" t="s">
        <v>16215</v>
      </c>
      <c r="E7319" t="s">
        <v>16218</v>
      </c>
      <c r="F7319" t="s">
        <v>16220</v>
      </c>
      <c r="G7319" t="s">
        <v>16299</v>
      </c>
      <c r="H7319" t="s">
        <v>16299</v>
      </c>
      <c r="I7319" t="s">
        <v>16382</v>
      </c>
      <c r="J7319" t="s">
        <v>16385</v>
      </c>
      <c r="K7319">
        <v>0.146</v>
      </c>
      <c r="L7319">
        <v>6367</v>
      </c>
      <c r="M7319">
        <v>761</v>
      </c>
      <c r="N7319" t="s">
        <v>16393</v>
      </c>
      <c r="O7319" s="4">
        <v>54797</v>
      </c>
      <c r="P7319" s="4">
        <v>69495</v>
      </c>
      <c r="Q7319" s="4">
        <v>124292</v>
      </c>
      <c r="R7319" s="4">
        <v>372876</v>
      </c>
      <c r="S7319" t="s">
        <v>23465</v>
      </c>
      <c r="T7319" s="6">
        <v>37653</v>
      </c>
      <c r="U7319" s="4">
        <v>189900</v>
      </c>
      <c r="V7319" t="s">
        <v>23739</v>
      </c>
      <c r="W7319" t="s">
        <v>27725</v>
      </c>
      <c r="X7319" t="s">
        <v>3</v>
      </c>
      <c r="AA7319" s="5" t="str">
        <f>HYPERLINK("https://www.zillow.com/homes/6847-DOVE-AVE-WOODRIDGE-IL-60517_rb/","check listing")</f>
        <v>check listing</v>
      </c>
      <c r="AB7319" s="5" t="str">
        <f>HYPERLINK("https://propertylookup.dupagecounty.gov/Datalets/Datalet.aspx?UseSearch=no&amp;mode=sales&amp;pin=0824406007","sales record")</f>
        <v>sales record</v>
      </c>
      <c r="AC7319" t="s">
        <v>3</v>
      </c>
      <c r="AD7319">
        <v>41.762307</v>
      </c>
      <c r="AE7319">
        <v>-88.03861000000001</v>
      </c>
      <c r="AF7319" s="5" t="str">
        <f>HYPERLINK("https://www.google.com/maps/search/?api=1&amp;query=41.762307,-88.03861","map")</f>
        <v>map</v>
      </c>
    </row>
    <row r="7320" spans="1:32">
      <c r="A7320" t="s">
        <v>7370</v>
      </c>
      <c r="B7320" t="s">
        <v>14822</v>
      </c>
      <c r="C7320" t="s">
        <v>15323</v>
      </c>
      <c r="D7320" t="s">
        <v>16215</v>
      </c>
      <c r="E7320" t="s">
        <v>16218</v>
      </c>
      <c r="F7320" t="s">
        <v>16220</v>
      </c>
      <c r="G7320" t="s">
        <v>16299</v>
      </c>
      <c r="H7320" t="s">
        <v>16299</v>
      </c>
      <c r="I7320" t="s">
        <v>16382</v>
      </c>
      <c r="J7320" t="s">
        <v>16385</v>
      </c>
      <c r="K7320">
        <v>0.146</v>
      </c>
      <c r="L7320">
        <v>6361</v>
      </c>
      <c r="M7320">
        <v>1725</v>
      </c>
      <c r="N7320" t="s">
        <v>16393</v>
      </c>
      <c r="O7320" s="4">
        <v>54797</v>
      </c>
      <c r="P7320" s="4">
        <v>57544</v>
      </c>
      <c r="Q7320" s="4">
        <v>112341</v>
      </c>
      <c r="R7320" s="4">
        <v>337023</v>
      </c>
      <c r="S7320" t="s">
        <v>23466</v>
      </c>
      <c r="T7320" s="6">
        <v>37226</v>
      </c>
      <c r="U7320" s="4">
        <v>165000</v>
      </c>
      <c r="V7320" t="s">
        <v>23739</v>
      </c>
      <c r="W7320" t="s">
        <v>27726</v>
      </c>
      <c r="X7320" t="s">
        <v>3</v>
      </c>
      <c r="AA7320" s="5" t="str">
        <f>HYPERLINK("https://www.zillow.com/homes/6848-REDWING-DR-WOODRIDGE-IL-60517_rb/","check listing")</f>
        <v>check listing</v>
      </c>
      <c r="AB7320" s="5" t="str">
        <f>HYPERLINK("https://propertylookup.dupagecounty.gov/Datalets/Datalet.aspx?UseSearch=no&amp;mode=sales&amp;pin=0824406017","sales record")</f>
        <v>sales record</v>
      </c>
      <c r="AC7320" t="s">
        <v>3</v>
      </c>
      <c r="AD7320">
        <v>41.762399</v>
      </c>
      <c r="AE7320">
        <v>-88.038113</v>
      </c>
      <c r="AF7320" s="5" t="str">
        <f>HYPERLINK("https://www.google.com/maps/search/?api=1&amp;query=41.762399,-88.038113","map")</f>
        <v>map</v>
      </c>
    </row>
    <row r="7321" spans="1:32">
      <c r="A7321" t="s">
        <v>7371</v>
      </c>
      <c r="B7321" t="s">
        <v>14823</v>
      </c>
      <c r="C7321" t="s">
        <v>15323</v>
      </c>
      <c r="D7321" t="s">
        <v>16215</v>
      </c>
      <c r="E7321" t="s">
        <v>16218</v>
      </c>
      <c r="F7321" t="s">
        <v>16220</v>
      </c>
      <c r="G7321" t="s">
        <v>16299</v>
      </c>
      <c r="H7321" t="s">
        <v>16299</v>
      </c>
      <c r="I7321" t="s">
        <v>16382</v>
      </c>
      <c r="J7321" t="s">
        <v>16385</v>
      </c>
      <c r="K7321">
        <v>0.146</v>
      </c>
      <c r="L7321">
        <v>6360</v>
      </c>
      <c r="M7321">
        <v>1636</v>
      </c>
      <c r="N7321" t="s">
        <v>16393</v>
      </c>
      <c r="O7321" s="4">
        <v>52739</v>
      </c>
      <c r="P7321" s="4">
        <v>69400</v>
      </c>
      <c r="Q7321" s="4">
        <v>122139</v>
      </c>
      <c r="R7321" s="4">
        <v>366417</v>
      </c>
      <c r="S7321" t="s">
        <v>23467</v>
      </c>
      <c r="X7321" t="s">
        <v>3</v>
      </c>
      <c r="AA7321" s="5" t="str">
        <f>HYPERLINK("https://www.zillow.com/homes/2644-LUZERN-CT-WOODRIDGE-IL-60517_rb/","check listing")</f>
        <v>check listing</v>
      </c>
      <c r="AB7321" s="5" t="str">
        <f>HYPERLINK("https://propertylookup.dupagecounty.gov/Datalets/Datalet.aspx?UseSearch=no&amp;mode=sales&amp;pin=0836103019","sales record")</f>
        <v>sales record</v>
      </c>
      <c r="AC7321" t="s">
        <v>3</v>
      </c>
      <c r="AD7321">
        <v>41.736708</v>
      </c>
      <c r="AE7321">
        <v>-88.04606099999999</v>
      </c>
      <c r="AF7321" s="5" t="str">
        <f>HYPERLINK("https://www.google.com/maps/search/?api=1&amp;query=41.736708,-88.046061","map")</f>
        <v>map</v>
      </c>
    </row>
    <row r="7322" spans="1:32">
      <c r="A7322" t="s">
        <v>7372</v>
      </c>
      <c r="B7322" t="s">
        <v>14824</v>
      </c>
      <c r="C7322" t="s">
        <v>15323</v>
      </c>
      <c r="D7322" t="s">
        <v>16215</v>
      </c>
      <c r="E7322" t="s">
        <v>16218</v>
      </c>
      <c r="F7322" t="s">
        <v>16220</v>
      </c>
      <c r="G7322" t="s">
        <v>16299</v>
      </c>
      <c r="H7322" t="s">
        <v>16299</v>
      </c>
      <c r="I7322" t="s">
        <v>16382</v>
      </c>
      <c r="J7322" t="s">
        <v>16385</v>
      </c>
      <c r="K7322">
        <v>0.146</v>
      </c>
      <c r="L7322">
        <v>6355</v>
      </c>
      <c r="M7322">
        <v>1715</v>
      </c>
      <c r="N7322" t="s">
        <v>16393</v>
      </c>
      <c r="O7322" s="4">
        <v>57651</v>
      </c>
      <c r="P7322" s="4">
        <v>71635</v>
      </c>
      <c r="Q7322" s="4">
        <v>129286</v>
      </c>
      <c r="R7322" s="4">
        <v>387858</v>
      </c>
      <c r="S7322" t="s">
        <v>23468</v>
      </c>
      <c r="T7322" s="6">
        <v>31594</v>
      </c>
      <c r="U7322" s="4">
        <v>89000</v>
      </c>
      <c r="X7322" t="s">
        <v>3</v>
      </c>
      <c r="AA7322" s="5" t="str">
        <f>HYPERLINK("https://www.zillow.com/homes/6941-SUN-DROP-AVE-WOODRIDGE-IL-60517_rb/","check listing")</f>
        <v>check listing</v>
      </c>
      <c r="AB7322" s="5" t="str">
        <f>HYPERLINK("https://propertylookup.dupagecounty.gov/Datalets/Datalet.aspx?UseSearch=no&amp;mode=sales&amp;pin=0824309014","sales record")</f>
        <v>sales record</v>
      </c>
      <c r="AC7322" t="s">
        <v>3</v>
      </c>
      <c r="AD7322">
        <v>41.759551</v>
      </c>
      <c r="AE7322">
        <v>-88.04937700000001</v>
      </c>
      <c r="AF7322" s="5" t="str">
        <f>HYPERLINK("https://www.google.com/maps/search/?api=1&amp;query=41.759551,-88.049377","map")</f>
        <v>map</v>
      </c>
    </row>
    <row r="7323" spans="1:32">
      <c r="A7323" t="s">
        <v>7373</v>
      </c>
      <c r="B7323" t="s">
        <v>14825</v>
      </c>
      <c r="C7323" t="s">
        <v>16172</v>
      </c>
      <c r="D7323" t="s">
        <v>16215</v>
      </c>
      <c r="E7323" t="s">
        <v>16218</v>
      </c>
      <c r="F7323" t="s">
        <v>16220</v>
      </c>
      <c r="G7323" t="s">
        <v>16299</v>
      </c>
      <c r="H7323" t="s">
        <v>16299</v>
      </c>
      <c r="I7323" t="s">
        <v>16382</v>
      </c>
      <c r="J7323" t="s">
        <v>16385</v>
      </c>
      <c r="K7323">
        <v>0.146</v>
      </c>
      <c r="L7323">
        <v>6354</v>
      </c>
      <c r="M7323">
        <v>1618</v>
      </c>
      <c r="N7323" t="s">
        <v>16393</v>
      </c>
      <c r="O7323" s="4">
        <v>54797</v>
      </c>
      <c r="P7323" s="4">
        <v>64084</v>
      </c>
      <c r="Q7323" s="4">
        <v>118881</v>
      </c>
      <c r="R7323" s="4">
        <v>356643</v>
      </c>
      <c r="S7323" t="s">
        <v>23469</v>
      </c>
      <c r="T7323" s="6">
        <v>43282</v>
      </c>
      <c r="U7323" s="4">
        <v>245000</v>
      </c>
      <c r="V7323" t="s">
        <v>23739</v>
      </c>
      <c r="W7323" t="s">
        <v>27727</v>
      </c>
      <c r="X7323" t="s">
        <v>3</v>
      </c>
      <c r="AA7323" s="5" t="str">
        <f>HYPERLINK("https://www.zillow.com/homes/1-LORRAINE-AVE-WOODRIDGE-IL-605171725_rb/","check listing")</f>
        <v>check listing</v>
      </c>
      <c r="AB7323" s="5" t="str">
        <f>HYPERLINK("https://propertylookup.dupagecounty.gov/Datalets/Datalet.aspx?UseSearch=no&amp;mode=sales&amp;pin=0824111026","sales record")</f>
        <v>sales record</v>
      </c>
      <c r="AC7323" t="s">
        <v>3</v>
      </c>
      <c r="AD7323">
        <v>41.765774</v>
      </c>
      <c r="AE7323">
        <v>-88.041661</v>
      </c>
      <c r="AF7323" s="5" t="str">
        <f>HYPERLINK("https://www.google.com/maps/search/?api=1&amp;query=41.765774,-88.041661","map")</f>
        <v>map</v>
      </c>
    </row>
    <row r="7324" spans="1:32">
      <c r="A7324" t="s">
        <v>7374</v>
      </c>
      <c r="B7324" t="s">
        <v>14826</v>
      </c>
      <c r="C7324" t="s">
        <v>15323</v>
      </c>
      <c r="D7324" t="s">
        <v>16215</v>
      </c>
      <c r="E7324" t="s">
        <v>16218</v>
      </c>
      <c r="F7324" t="s">
        <v>16220</v>
      </c>
      <c r="G7324" t="s">
        <v>16299</v>
      </c>
      <c r="H7324" t="s">
        <v>16299</v>
      </c>
      <c r="I7324" t="s">
        <v>16382</v>
      </c>
      <c r="J7324" t="s">
        <v>16385</v>
      </c>
      <c r="K7324">
        <v>0.146</v>
      </c>
      <c r="L7324">
        <v>6349</v>
      </c>
      <c r="M7324">
        <v>1622</v>
      </c>
      <c r="N7324" t="s">
        <v>16393</v>
      </c>
      <c r="O7324" s="4">
        <v>54797</v>
      </c>
      <c r="P7324" s="4">
        <v>69019</v>
      </c>
      <c r="Q7324" s="4">
        <v>123816</v>
      </c>
      <c r="R7324" s="4">
        <v>371448</v>
      </c>
      <c r="S7324" t="s">
        <v>23470</v>
      </c>
      <c r="T7324" s="6">
        <v>34578</v>
      </c>
      <c r="U7324" s="4">
        <v>132250</v>
      </c>
      <c r="X7324" t="s">
        <v>3</v>
      </c>
      <c r="AA7324" s="5" t="str">
        <f>HYPERLINK("https://www.zillow.com/homes/6823-DOVE-AVE-WOODRIDGE-IL-60517_rb/","check listing")</f>
        <v>check listing</v>
      </c>
      <c r="AB7324" s="5" t="str">
        <f>HYPERLINK("https://propertylookup.dupagecounty.gov/Datalets/Datalet.aspx?UseSearch=no&amp;mode=sales&amp;pin=0824406001","sales record")</f>
        <v>sales record</v>
      </c>
      <c r="AC7324" t="s">
        <v>3</v>
      </c>
      <c r="AD7324">
        <v>41.76311</v>
      </c>
      <c r="AE7324">
        <v>-88.03912699999999</v>
      </c>
      <c r="AF7324" s="5" t="str">
        <f>HYPERLINK("https://www.google.com/maps/search/?api=1&amp;query=41.76311,-88.039127","map")</f>
        <v>map</v>
      </c>
    </row>
    <row r="7325" spans="1:32">
      <c r="A7325" t="s">
        <v>7375</v>
      </c>
      <c r="B7325" t="s">
        <v>14827</v>
      </c>
      <c r="C7325" t="s">
        <v>16171</v>
      </c>
      <c r="D7325" t="s">
        <v>16215</v>
      </c>
      <c r="E7325" t="s">
        <v>16218</v>
      </c>
      <c r="F7325" t="s">
        <v>16220</v>
      </c>
      <c r="G7325" t="s">
        <v>16299</v>
      </c>
      <c r="H7325" t="s">
        <v>16299</v>
      </c>
      <c r="I7325" t="s">
        <v>16382</v>
      </c>
      <c r="J7325" t="s">
        <v>16385</v>
      </c>
      <c r="K7325">
        <v>0.146</v>
      </c>
      <c r="L7325">
        <v>6346</v>
      </c>
      <c r="M7325">
        <v>1709</v>
      </c>
      <c r="N7325" t="s">
        <v>16393</v>
      </c>
      <c r="O7325" s="4">
        <v>54797</v>
      </c>
      <c r="P7325" s="4">
        <v>64916</v>
      </c>
      <c r="Q7325" s="4">
        <v>119713</v>
      </c>
      <c r="R7325" s="4">
        <v>359139</v>
      </c>
      <c r="S7325" t="s">
        <v>23471</v>
      </c>
      <c r="T7325" s="6">
        <v>43525</v>
      </c>
      <c r="U7325" s="4">
        <v>300000</v>
      </c>
      <c r="V7325" t="s">
        <v>23739</v>
      </c>
      <c r="W7325" t="s">
        <v>23471</v>
      </c>
      <c r="X7325" t="s">
        <v>3</v>
      </c>
      <c r="AA7325" s="5" t="str">
        <f>HYPERLINK("https://www.zillow.com/homes/2399-KILDEER-ST-WOODRIDGE-IL-605171855_rb/","check listing")</f>
        <v>check listing</v>
      </c>
      <c r="AB7325" s="5" t="str">
        <f>HYPERLINK("https://propertylookup.dupagecounty.gov/Datalets/Datalet.aspx?UseSearch=no&amp;mode=sales&amp;pin=0824407001","sales record")</f>
        <v>sales record</v>
      </c>
      <c r="AC7325" t="s">
        <v>3</v>
      </c>
      <c r="AD7325">
        <v>41.762265</v>
      </c>
      <c r="AE7325">
        <v>-88.040511</v>
      </c>
      <c r="AF7325" s="5" t="str">
        <f>HYPERLINK("https://www.google.com/maps/search/?api=1&amp;query=41.762265,-88.040511","map")</f>
        <v>map</v>
      </c>
    </row>
    <row r="7326" spans="1:32">
      <c r="A7326" t="s">
        <v>7376</v>
      </c>
      <c r="B7326" t="s">
        <v>14828</v>
      </c>
      <c r="C7326" t="s">
        <v>15323</v>
      </c>
      <c r="D7326" t="s">
        <v>16215</v>
      </c>
      <c r="E7326" t="s">
        <v>16218</v>
      </c>
      <c r="F7326" t="s">
        <v>16220</v>
      </c>
      <c r="G7326" t="s">
        <v>16299</v>
      </c>
      <c r="H7326" t="s">
        <v>16299</v>
      </c>
      <c r="I7326" t="s">
        <v>16382</v>
      </c>
      <c r="J7326" t="s">
        <v>16385</v>
      </c>
      <c r="K7326">
        <v>0.145</v>
      </c>
      <c r="L7326">
        <v>6336</v>
      </c>
      <c r="M7326">
        <v>2548</v>
      </c>
      <c r="N7326" t="s">
        <v>16393</v>
      </c>
      <c r="O7326" s="4">
        <v>54797</v>
      </c>
      <c r="P7326" s="4">
        <v>77866</v>
      </c>
      <c r="Q7326" s="4">
        <v>132663</v>
      </c>
      <c r="R7326" s="4">
        <v>397989</v>
      </c>
      <c r="S7326" t="s">
        <v>23472</v>
      </c>
      <c r="T7326" s="6">
        <v>34578</v>
      </c>
      <c r="U7326" s="4">
        <v>145000</v>
      </c>
      <c r="X7326" t="s">
        <v>3</v>
      </c>
      <c r="AA7326" s="5" t="str">
        <f>HYPERLINK("https://www.zillow.com/homes/2409-PHEASANT-ST-WOODRIDGE-IL-60517_rb/","check listing")</f>
        <v>check listing</v>
      </c>
      <c r="AB7326" s="5" t="str">
        <f>HYPERLINK("https://propertylookup.dupagecounty.gov/Datalets/Datalet.aspx?UseSearch=no&amp;mode=sales&amp;pin=0824402001","sales record")</f>
        <v>sales record</v>
      </c>
      <c r="AC7326" t="s">
        <v>3</v>
      </c>
      <c r="AD7326">
        <v>41.764447</v>
      </c>
      <c r="AE7326">
        <v>-88.04108600000001</v>
      </c>
      <c r="AF7326" s="5" t="str">
        <f>HYPERLINK("https://www.google.com/maps/search/?api=1&amp;query=41.764447,-88.041086","map")</f>
        <v>map</v>
      </c>
    </row>
    <row r="7327" spans="1:32">
      <c r="A7327" t="s">
        <v>7377</v>
      </c>
      <c r="B7327" t="s">
        <v>14829</v>
      </c>
      <c r="C7327" t="s">
        <v>15323</v>
      </c>
      <c r="D7327" t="s">
        <v>16215</v>
      </c>
      <c r="E7327" t="s">
        <v>16218</v>
      </c>
      <c r="F7327" t="s">
        <v>16220</v>
      </c>
      <c r="G7327" t="s">
        <v>16299</v>
      </c>
      <c r="H7327" t="s">
        <v>16299</v>
      </c>
      <c r="I7327" t="s">
        <v>16382</v>
      </c>
      <c r="J7327" t="s">
        <v>16385</v>
      </c>
      <c r="K7327">
        <v>0.145</v>
      </c>
      <c r="L7327">
        <v>6322</v>
      </c>
      <c r="M7327">
        <v>1892</v>
      </c>
      <c r="N7327" t="s">
        <v>16393</v>
      </c>
      <c r="O7327" s="4">
        <v>54797</v>
      </c>
      <c r="P7327" s="4">
        <v>84407</v>
      </c>
      <c r="Q7327" s="4">
        <v>139204</v>
      </c>
      <c r="R7327" s="4">
        <v>417612</v>
      </c>
      <c r="S7327" t="s">
        <v>23473</v>
      </c>
      <c r="T7327" s="6">
        <v>34121</v>
      </c>
      <c r="U7327" s="4">
        <v>148000</v>
      </c>
      <c r="X7327" t="s">
        <v>3</v>
      </c>
      <c r="AA7327" s="5" t="str">
        <f>HYPERLINK("https://www.zillow.com/homes/11-PHEASANT-CT-WOODRIDGE-IL-60517_rb/","check listing")</f>
        <v>check listing</v>
      </c>
      <c r="AB7327" s="5" t="str">
        <f>HYPERLINK("https://propertylookup.dupagecounty.gov/Datalets/Datalet.aspx?UseSearch=no&amp;mode=sales&amp;pin=0824317024","sales record")</f>
        <v>sales record</v>
      </c>
      <c r="AC7327" t="s">
        <v>3</v>
      </c>
      <c r="AD7327">
        <v>41.764392</v>
      </c>
      <c r="AE7327">
        <v>-88.042525</v>
      </c>
      <c r="AF7327" s="5" t="str">
        <f>HYPERLINK("https://www.google.com/maps/search/?api=1&amp;query=41.764392,-88.042525","map")</f>
        <v>map</v>
      </c>
    </row>
    <row r="7328" spans="1:32">
      <c r="A7328" t="s">
        <v>7378</v>
      </c>
      <c r="B7328" t="s">
        <v>14830</v>
      </c>
      <c r="C7328" t="s">
        <v>15323</v>
      </c>
      <c r="D7328" t="s">
        <v>16215</v>
      </c>
      <c r="E7328" t="s">
        <v>16218</v>
      </c>
      <c r="F7328" t="s">
        <v>16220</v>
      </c>
      <c r="G7328" t="s">
        <v>16299</v>
      </c>
      <c r="H7328" t="s">
        <v>16299</v>
      </c>
      <c r="I7328" t="s">
        <v>16382</v>
      </c>
      <c r="J7328" t="s">
        <v>16385</v>
      </c>
      <c r="K7328">
        <v>0.145</v>
      </c>
      <c r="L7328">
        <v>6312</v>
      </c>
      <c r="M7328">
        <v>2258</v>
      </c>
      <c r="N7328" t="s">
        <v>16393</v>
      </c>
      <c r="O7328" s="4">
        <v>49243</v>
      </c>
      <c r="P7328" s="4">
        <v>67794</v>
      </c>
      <c r="Q7328" s="4">
        <v>117037</v>
      </c>
      <c r="R7328" s="4">
        <v>351111</v>
      </c>
      <c r="S7328" t="s">
        <v>23474</v>
      </c>
      <c r="T7328" s="6">
        <v>36678</v>
      </c>
      <c r="U7328" s="4">
        <v>148000</v>
      </c>
      <c r="V7328" t="s">
        <v>23739</v>
      </c>
      <c r="W7328" t="s">
        <v>27728</v>
      </c>
      <c r="X7328" t="s">
        <v>3</v>
      </c>
      <c r="AA7328" s="5" t="str">
        <f>HYPERLINK("https://www.zillow.com/homes/2416-PHEASANT-ST-WOODRIDGE-IL-60517_rb/","check listing")</f>
        <v>check listing</v>
      </c>
      <c r="AB7328" s="5" t="str">
        <f>HYPERLINK("https://propertylookup.dupagecounty.gov/Datalets/Datalet.aspx?UseSearch=no&amp;mode=sales&amp;pin=0824317039","sales record")</f>
        <v>sales record</v>
      </c>
      <c r="AC7328" t="s">
        <v>3</v>
      </c>
      <c r="AD7328">
        <v>41.764865</v>
      </c>
      <c r="AE7328">
        <v>-88.04142400000001</v>
      </c>
      <c r="AF7328" s="5" t="str">
        <f>HYPERLINK("https://www.google.com/maps/search/?api=1&amp;query=41.764865,-88.041424","map")</f>
        <v>map</v>
      </c>
    </row>
    <row r="7329" spans="1:32">
      <c r="A7329" t="s">
        <v>7379</v>
      </c>
      <c r="B7329" t="s">
        <v>14831</v>
      </c>
      <c r="C7329" t="s">
        <v>15323</v>
      </c>
      <c r="D7329" t="s">
        <v>16215</v>
      </c>
      <c r="E7329" t="s">
        <v>16218</v>
      </c>
      <c r="F7329" t="s">
        <v>16220</v>
      </c>
      <c r="G7329" t="s">
        <v>16299</v>
      </c>
      <c r="H7329" t="s">
        <v>16299</v>
      </c>
      <c r="I7329" t="s">
        <v>16382</v>
      </c>
      <c r="J7329" t="s">
        <v>16385</v>
      </c>
      <c r="K7329">
        <v>0.145</v>
      </c>
      <c r="L7329">
        <v>6307</v>
      </c>
      <c r="M7329">
        <v>1673</v>
      </c>
      <c r="N7329" t="s">
        <v>16393</v>
      </c>
      <c r="O7329" s="4">
        <v>54713</v>
      </c>
      <c r="P7329" s="4">
        <v>55748</v>
      </c>
      <c r="Q7329" s="4">
        <v>110461</v>
      </c>
      <c r="R7329" s="4">
        <v>331383</v>
      </c>
      <c r="S7329" t="s">
        <v>23475</v>
      </c>
      <c r="X7329" t="s">
        <v>3</v>
      </c>
      <c r="AA7329" s="5" t="str">
        <f>HYPERLINK("https://www.zillow.com/homes/6820-REDWING-DR-WOODRIDGE-IL-60517_rb/","check listing")</f>
        <v>check listing</v>
      </c>
      <c r="AB7329" s="5" t="str">
        <f>HYPERLINK("https://propertylookup.dupagecounty.gov/Datalets/Datalet.aspx?UseSearch=no&amp;mode=sales&amp;pin=0824406010","sales record")</f>
        <v>sales record</v>
      </c>
      <c r="AC7329" t="s">
        <v>3</v>
      </c>
      <c r="AD7329">
        <v>41.763215</v>
      </c>
      <c r="AE7329">
        <v>-88.038781</v>
      </c>
      <c r="AF7329" s="5" t="str">
        <f>HYPERLINK("https://www.google.com/maps/search/?api=1&amp;query=41.763215,-88.038781","map")</f>
        <v>map</v>
      </c>
    </row>
    <row r="7330" spans="1:32">
      <c r="A7330" t="s">
        <v>7380</v>
      </c>
      <c r="B7330" t="s">
        <v>14832</v>
      </c>
      <c r="C7330" t="s">
        <v>16150</v>
      </c>
      <c r="D7330" t="s">
        <v>16215</v>
      </c>
      <c r="E7330" t="s">
        <v>16218</v>
      </c>
      <c r="F7330" t="s">
        <v>16220</v>
      </c>
      <c r="G7330" t="s">
        <v>16299</v>
      </c>
      <c r="H7330" t="s">
        <v>16299</v>
      </c>
      <c r="I7330" t="s">
        <v>16382</v>
      </c>
      <c r="J7330" t="s">
        <v>16385</v>
      </c>
      <c r="K7330">
        <v>0.145</v>
      </c>
      <c r="L7330">
        <v>6306</v>
      </c>
      <c r="M7330">
        <v>1513</v>
      </c>
      <c r="N7330" t="s">
        <v>16393</v>
      </c>
      <c r="O7330" s="4">
        <v>49243</v>
      </c>
      <c r="P7330" s="4">
        <v>68591</v>
      </c>
      <c r="Q7330" s="4">
        <v>117834</v>
      </c>
      <c r="R7330" s="4">
        <v>353502</v>
      </c>
      <c r="S7330" t="s">
        <v>23476</v>
      </c>
      <c r="T7330" s="6">
        <v>41365</v>
      </c>
      <c r="U7330" s="4">
        <v>252000</v>
      </c>
      <c r="V7330" t="s">
        <v>23739</v>
      </c>
      <c r="W7330" t="s">
        <v>23476</v>
      </c>
      <c r="X7330" t="s">
        <v>3</v>
      </c>
      <c r="AA7330" s="5" t="str">
        <f>HYPERLINK("https://www.zillow.com/homes/2420-PHEASANT-ST-WOODRIDGE-IL-605171704_rb/","check listing")</f>
        <v>check listing</v>
      </c>
      <c r="AB7330" s="5" t="str">
        <f>HYPERLINK("https://propertylookup.dupagecounty.gov/Datalets/Datalet.aspx?UseSearch=no&amp;mode=sales&amp;pin=0824317038","sales record")</f>
        <v>sales record</v>
      </c>
      <c r="AC7330" t="s">
        <v>3</v>
      </c>
      <c r="AD7330">
        <v>41.764857</v>
      </c>
      <c r="AE7330">
        <v>-88.041656</v>
      </c>
      <c r="AF7330" s="5" t="str">
        <f>HYPERLINK("https://www.google.com/maps/search/?api=1&amp;query=41.764857,-88.041656","map")</f>
        <v>map</v>
      </c>
    </row>
    <row r="7331" spans="1:32">
      <c r="A7331" t="s">
        <v>7381</v>
      </c>
      <c r="B7331" t="s">
        <v>14833</v>
      </c>
      <c r="C7331" t="s">
        <v>15323</v>
      </c>
      <c r="D7331" t="s">
        <v>16215</v>
      </c>
      <c r="E7331" t="s">
        <v>16218</v>
      </c>
      <c r="F7331" t="s">
        <v>16220</v>
      </c>
      <c r="G7331" t="s">
        <v>16299</v>
      </c>
      <c r="H7331" t="s">
        <v>16299</v>
      </c>
      <c r="I7331" t="s">
        <v>16382</v>
      </c>
      <c r="J7331" t="s">
        <v>16385</v>
      </c>
      <c r="K7331">
        <v>0.145</v>
      </c>
      <c r="L7331">
        <v>6299</v>
      </c>
      <c r="M7331">
        <v>1489</v>
      </c>
      <c r="N7331" t="s">
        <v>16393</v>
      </c>
      <c r="O7331" s="4">
        <v>54797</v>
      </c>
      <c r="P7331" s="4">
        <v>84110</v>
      </c>
      <c r="Q7331" s="4">
        <v>138907</v>
      </c>
      <c r="R7331" s="4">
        <v>416721</v>
      </c>
      <c r="S7331" t="s">
        <v>23477</v>
      </c>
      <c r="T7331" s="6">
        <v>45877</v>
      </c>
      <c r="U7331" s="4">
        <v>380000</v>
      </c>
      <c r="V7331" t="s">
        <v>23739</v>
      </c>
      <c r="W7331" t="s">
        <v>27729</v>
      </c>
      <c r="X7331" t="s">
        <v>3</v>
      </c>
      <c r="AA7331" s="5" t="str">
        <f>HYPERLINK("https://www.zillow.com/homes/3-LORRAINE-AVE-WOODRIDGE-IL-60517_rb/","check listing")</f>
        <v>check listing</v>
      </c>
      <c r="AB7331" s="5" t="str">
        <f>HYPERLINK("https://propertylookup.dupagecounty.gov/Datalets/Datalet.aspx?UseSearch=no&amp;mode=sales&amp;pin=0824111028","sales record")</f>
        <v>sales record</v>
      </c>
      <c r="AC7331" t="s">
        <v>3</v>
      </c>
      <c r="AD7331">
        <v>41.76593</v>
      </c>
      <c r="AE7331">
        <v>-88.041973</v>
      </c>
      <c r="AF7331" s="5" t="str">
        <f>HYPERLINK("https://www.google.com/maps/search/?api=1&amp;query=41.76593,-88.041973","map")</f>
        <v>map</v>
      </c>
    </row>
    <row r="7332" spans="1:32">
      <c r="A7332" t="s">
        <v>7382</v>
      </c>
      <c r="B7332" t="s">
        <v>14834</v>
      </c>
      <c r="C7332" t="s">
        <v>16150</v>
      </c>
      <c r="D7332" t="s">
        <v>16215</v>
      </c>
      <c r="E7332" t="s">
        <v>16218</v>
      </c>
      <c r="F7332" t="s">
        <v>16220</v>
      </c>
      <c r="G7332" t="s">
        <v>16299</v>
      </c>
      <c r="H7332" t="s">
        <v>16299</v>
      </c>
      <c r="I7332" t="s">
        <v>16382</v>
      </c>
      <c r="J7332" t="s">
        <v>16385</v>
      </c>
      <c r="K7332">
        <v>0.145</v>
      </c>
      <c r="L7332">
        <v>6296</v>
      </c>
      <c r="M7332">
        <v>2308</v>
      </c>
      <c r="N7332" t="s">
        <v>16393</v>
      </c>
      <c r="O7332" s="4">
        <v>49243</v>
      </c>
      <c r="P7332" s="4">
        <v>65678</v>
      </c>
      <c r="Q7332" s="4">
        <v>114921</v>
      </c>
      <c r="R7332" s="4">
        <v>344763</v>
      </c>
      <c r="S7332" t="s">
        <v>23478</v>
      </c>
      <c r="X7332" t="s">
        <v>3</v>
      </c>
      <c r="AA7332" s="5" t="str">
        <f>HYPERLINK("https://www.zillow.com/homes/2424-PHEASANT-ST-WOODRIDGE-IL-605171704_rb/","check listing")</f>
        <v>check listing</v>
      </c>
      <c r="AB7332" s="5" t="str">
        <f>HYPERLINK("https://propertylookup.dupagecounty.gov/Datalets/Datalet.aspx?UseSearch=no&amp;mode=sales&amp;pin=0824317037","sales record")</f>
        <v>sales record</v>
      </c>
      <c r="AC7332" t="s">
        <v>3</v>
      </c>
      <c r="AD7332">
        <v>41.764849</v>
      </c>
      <c r="AE7332">
        <v>-88.041887</v>
      </c>
      <c r="AF7332" s="5" t="str">
        <f>HYPERLINK("https://www.google.com/maps/search/?api=1&amp;query=41.764849,-88.041887","map")</f>
        <v>map</v>
      </c>
    </row>
    <row r="7333" spans="1:32">
      <c r="A7333" t="s">
        <v>7383</v>
      </c>
      <c r="B7333" t="s">
        <v>14835</v>
      </c>
      <c r="C7333" t="s">
        <v>15323</v>
      </c>
      <c r="D7333" t="s">
        <v>16215</v>
      </c>
      <c r="E7333" t="s">
        <v>16218</v>
      </c>
      <c r="F7333" t="s">
        <v>16220</v>
      </c>
      <c r="G7333" t="s">
        <v>16299</v>
      </c>
      <c r="H7333" t="s">
        <v>16299</v>
      </c>
      <c r="I7333" t="s">
        <v>16382</v>
      </c>
      <c r="J7333" t="s">
        <v>16385</v>
      </c>
      <c r="K7333">
        <v>0.144</v>
      </c>
      <c r="L7333">
        <v>6289</v>
      </c>
      <c r="M7333">
        <v>1475</v>
      </c>
      <c r="N7333" t="s">
        <v>16393</v>
      </c>
      <c r="O7333" s="4">
        <v>49243</v>
      </c>
      <c r="P7333" s="4">
        <v>81981</v>
      </c>
      <c r="Q7333" s="4">
        <v>131224</v>
      </c>
      <c r="R7333" s="4">
        <v>393672</v>
      </c>
      <c r="S7333" t="s">
        <v>23479</v>
      </c>
      <c r="T7333" s="6">
        <v>45422</v>
      </c>
      <c r="U7333" s="4">
        <v>410000</v>
      </c>
      <c r="V7333" t="s">
        <v>23739</v>
      </c>
      <c r="W7333" t="s">
        <v>27730</v>
      </c>
      <c r="X7333" t="s">
        <v>3</v>
      </c>
      <c r="AA7333" s="5" t="str">
        <f>HYPERLINK("https://www.zillow.com/homes/2428-PHEASANT-ST-WOODRIDGE-IL-60517_rb/","check listing")</f>
        <v>check listing</v>
      </c>
      <c r="AB7333" s="5" t="str">
        <f>HYPERLINK("https://propertylookup.dupagecounty.gov/Datalets/Datalet.aspx?UseSearch=no&amp;mode=sales&amp;pin=0824317036","sales record")</f>
        <v>sales record</v>
      </c>
      <c r="AC7333" t="s">
        <v>3</v>
      </c>
      <c r="AD7333">
        <v>41.764841</v>
      </c>
      <c r="AE7333">
        <v>-88.042118</v>
      </c>
      <c r="AF7333" s="5" t="str">
        <f>HYPERLINK("https://www.google.com/maps/search/?api=1&amp;query=41.764841,-88.042118","map")</f>
        <v>map</v>
      </c>
    </row>
    <row r="7334" spans="1:32">
      <c r="A7334" t="s">
        <v>7384</v>
      </c>
      <c r="B7334" t="s">
        <v>14836</v>
      </c>
      <c r="C7334" t="s">
        <v>15323</v>
      </c>
      <c r="D7334" t="s">
        <v>16215</v>
      </c>
      <c r="E7334" t="s">
        <v>16218</v>
      </c>
      <c r="F7334" t="s">
        <v>16220</v>
      </c>
      <c r="G7334" t="s">
        <v>16299</v>
      </c>
      <c r="H7334" t="s">
        <v>16299</v>
      </c>
      <c r="I7334" t="s">
        <v>16382</v>
      </c>
      <c r="J7334" t="s">
        <v>16385</v>
      </c>
      <c r="K7334">
        <v>0.144</v>
      </c>
      <c r="L7334">
        <v>6287</v>
      </c>
      <c r="M7334">
        <v>1697</v>
      </c>
      <c r="N7334" t="s">
        <v>16393</v>
      </c>
      <c r="O7334" s="4">
        <v>54797</v>
      </c>
      <c r="P7334" s="4">
        <v>65832</v>
      </c>
      <c r="Q7334" s="4">
        <v>120629</v>
      </c>
      <c r="R7334" s="4">
        <v>361887</v>
      </c>
      <c r="S7334" t="s">
        <v>23480</v>
      </c>
      <c r="T7334" s="6">
        <v>38534</v>
      </c>
      <c r="U7334" s="4">
        <v>258000</v>
      </c>
      <c r="V7334" t="s">
        <v>23739</v>
      </c>
      <c r="W7334" t="s">
        <v>27731</v>
      </c>
      <c r="X7334" t="s">
        <v>3</v>
      </c>
      <c r="AA7334" s="5" t="str">
        <f>HYPERLINK("https://www.zillow.com/homes/9-WREN-CT-WOODRIDGE-IL-60517_rb/","check listing")</f>
        <v>check listing</v>
      </c>
      <c r="AB7334" s="5" t="str">
        <f>HYPERLINK("https://propertylookup.dupagecounty.gov/Datalets/Datalet.aspx?UseSearch=no&amp;mode=sales&amp;pin=0824405016","sales record")</f>
        <v>sales record</v>
      </c>
      <c r="AC7334" t="s">
        <v>3</v>
      </c>
      <c r="AD7334">
        <v>41.763145</v>
      </c>
      <c r="AE7334">
        <v>-88.040513</v>
      </c>
      <c r="AF7334" s="5" t="str">
        <f>HYPERLINK("https://www.google.com/maps/search/?api=1&amp;query=41.763145,-88.040513","map")</f>
        <v>map</v>
      </c>
    </row>
    <row r="7335" spans="1:32">
      <c r="A7335" t="s">
        <v>7385</v>
      </c>
      <c r="B7335" t="s">
        <v>14837</v>
      </c>
      <c r="C7335" t="s">
        <v>15323</v>
      </c>
      <c r="D7335" t="s">
        <v>16215</v>
      </c>
      <c r="E7335" t="s">
        <v>16218</v>
      </c>
      <c r="F7335" t="s">
        <v>16220</v>
      </c>
      <c r="G7335" t="s">
        <v>16299</v>
      </c>
      <c r="H7335" t="s">
        <v>16299</v>
      </c>
      <c r="I7335" t="s">
        <v>16382</v>
      </c>
      <c r="J7335" t="s">
        <v>16385</v>
      </c>
      <c r="K7335">
        <v>0.144</v>
      </c>
      <c r="L7335">
        <v>6285</v>
      </c>
      <c r="M7335">
        <v>2400</v>
      </c>
      <c r="N7335" t="s">
        <v>16393</v>
      </c>
      <c r="O7335" s="4">
        <v>57651</v>
      </c>
      <c r="P7335" s="4">
        <v>82611</v>
      </c>
      <c r="Q7335" s="4">
        <v>140262</v>
      </c>
      <c r="R7335" s="4">
        <v>420786</v>
      </c>
      <c r="S7335" t="s">
        <v>23481</v>
      </c>
      <c r="T7335" s="6">
        <v>36647</v>
      </c>
      <c r="U7335" s="4">
        <v>192400</v>
      </c>
      <c r="V7335" t="s">
        <v>23739</v>
      </c>
      <c r="W7335" t="s">
        <v>27732</v>
      </c>
      <c r="X7335" t="s">
        <v>3</v>
      </c>
      <c r="AA7335" s="5" t="str">
        <f>HYPERLINK("https://www.zillow.com/homes/6945-SUN-DROP-AVE-WOODRIDGE-IL-60517_rb/","check listing")</f>
        <v>check listing</v>
      </c>
      <c r="AB7335" s="5" t="str">
        <f>HYPERLINK("https://propertylookup.dupagecounty.gov/Datalets/Datalet.aspx?UseSearch=no&amp;mode=sales&amp;pin=0824309015","sales record")</f>
        <v>sales record</v>
      </c>
      <c r="AC7335" t="s">
        <v>3</v>
      </c>
      <c r="AD7335">
        <v>41.759403</v>
      </c>
      <c r="AE7335">
        <v>-88.049378</v>
      </c>
      <c r="AF7335" s="5" t="str">
        <f>HYPERLINK("https://www.google.com/maps/search/?api=1&amp;query=41.759403,-88.049378","map")</f>
        <v>map</v>
      </c>
    </row>
    <row r="7336" spans="1:32">
      <c r="A7336" t="s">
        <v>7386</v>
      </c>
      <c r="B7336" t="s">
        <v>14838</v>
      </c>
      <c r="C7336" t="s">
        <v>15323</v>
      </c>
      <c r="D7336" t="s">
        <v>16215</v>
      </c>
      <c r="E7336" t="s">
        <v>16218</v>
      </c>
      <c r="F7336" t="s">
        <v>16220</v>
      </c>
      <c r="G7336" t="s">
        <v>16299</v>
      </c>
      <c r="H7336" t="s">
        <v>16299</v>
      </c>
      <c r="I7336" t="s">
        <v>16382</v>
      </c>
      <c r="J7336" t="s">
        <v>16385</v>
      </c>
      <c r="K7336">
        <v>0.144</v>
      </c>
      <c r="L7336">
        <v>6285</v>
      </c>
      <c r="M7336">
        <v>1773</v>
      </c>
      <c r="N7336" t="s">
        <v>16393</v>
      </c>
      <c r="O7336" s="4">
        <v>49243</v>
      </c>
      <c r="P7336" s="4">
        <v>83551</v>
      </c>
      <c r="Q7336" s="4">
        <v>132794</v>
      </c>
      <c r="R7336" s="4">
        <v>398382</v>
      </c>
      <c r="S7336" t="s">
        <v>23482</v>
      </c>
      <c r="T7336" s="6">
        <v>33055</v>
      </c>
      <c r="U7336" s="4">
        <v>141000</v>
      </c>
      <c r="X7336" t="s">
        <v>3</v>
      </c>
      <c r="AA7336" s="5" t="str">
        <f>HYPERLINK("https://www.zillow.com/homes/2432-PHEASANT-ST-WOODRIDGE-IL-60517_rb/","check listing")</f>
        <v>check listing</v>
      </c>
      <c r="AB7336" s="5" t="str">
        <f>HYPERLINK("https://propertylookup.dupagecounty.gov/Datalets/Datalet.aspx?UseSearch=no&amp;mode=sales&amp;pin=0824317035","sales record")</f>
        <v>sales record</v>
      </c>
      <c r="AC7336" t="s">
        <v>3</v>
      </c>
      <c r="AD7336">
        <v>41.764833</v>
      </c>
      <c r="AE7336">
        <v>-88.04235</v>
      </c>
      <c r="AF7336" s="5" t="str">
        <f>HYPERLINK("https://www.google.com/maps/search/?api=1&amp;query=41.764833,-88.04235","map")</f>
        <v>map</v>
      </c>
    </row>
    <row r="7337" spans="1:32">
      <c r="A7337" t="s">
        <v>7387</v>
      </c>
      <c r="B7337" t="s">
        <v>14839</v>
      </c>
      <c r="C7337" t="s">
        <v>15323</v>
      </c>
      <c r="D7337" t="s">
        <v>16215</v>
      </c>
      <c r="E7337" t="s">
        <v>16218</v>
      </c>
      <c r="F7337" t="s">
        <v>16220</v>
      </c>
      <c r="G7337" t="s">
        <v>16299</v>
      </c>
      <c r="H7337" t="s">
        <v>16299</v>
      </c>
      <c r="I7337" t="s">
        <v>16382</v>
      </c>
      <c r="J7337" t="s">
        <v>16385</v>
      </c>
      <c r="K7337">
        <v>0.144</v>
      </c>
      <c r="L7337">
        <v>6282</v>
      </c>
      <c r="M7337">
        <v>1795</v>
      </c>
      <c r="N7337" t="s">
        <v>16393</v>
      </c>
      <c r="O7337" s="4">
        <v>49124</v>
      </c>
      <c r="P7337" s="4">
        <v>60171</v>
      </c>
      <c r="Q7337" s="4">
        <v>109295</v>
      </c>
      <c r="R7337" s="4">
        <v>327885</v>
      </c>
      <c r="S7337" t="s">
        <v>23483</v>
      </c>
      <c r="T7337" s="6">
        <v>35156</v>
      </c>
      <c r="U7337" s="4">
        <v>137000</v>
      </c>
      <c r="X7337" t="s">
        <v>3</v>
      </c>
      <c r="AA7337" s="5" t="str">
        <f>HYPERLINK("https://www.zillow.com/homes/6821-REDWING-DR-WOODRIDGE-IL-60517_rb/","check listing")</f>
        <v>check listing</v>
      </c>
      <c r="AB7337" s="5" t="str">
        <f>HYPERLINK("https://propertylookup.dupagecounty.gov/Datalets/Datalet.aspx?UseSearch=no&amp;mode=sales&amp;pin=0824404017","sales record")</f>
        <v>sales record</v>
      </c>
      <c r="AC7337" t="s">
        <v>3</v>
      </c>
      <c r="AD7337">
        <v>41.763416</v>
      </c>
      <c r="AE7337">
        <v>-88.038219</v>
      </c>
      <c r="AF7337" s="5" t="str">
        <f>HYPERLINK("https://www.google.com/maps/search/?api=1&amp;query=41.763416,-88.038219","map")</f>
        <v>map</v>
      </c>
    </row>
    <row r="7338" spans="1:32">
      <c r="A7338" t="s">
        <v>7388</v>
      </c>
      <c r="B7338" t="s">
        <v>14840</v>
      </c>
      <c r="C7338" t="s">
        <v>15323</v>
      </c>
      <c r="D7338" t="s">
        <v>16215</v>
      </c>
      <c r="E7338" t="s">
        <v>16218</v>
      </c>
      <c r="F7338" t="s">
        <v>16220</v>
      </c>
      <c r="G7338" t="s">
        <v>16299</v>
      </c>
      <c r="H7338" t="s">
        <v>16299</v>
      </c>
      <c r="I7338" t="s">
        <v>16382</v>
      </c>
      <c r="J7338" t="s">
        <v>16385</v>
      </c>
      <c r="K7338">
        <v>0.144</v>
      </c>
      <c r="L7338">
        <v>6279</v>
      </c>
      <c r="M7338">
        <v>2313</v>
      </c>
      <c r="N7338" t="s">
        <v>16393</v>
      </c>
      <c r="O7338" s="4">
        <v>50064</v>
      </c>
      <c r="P7338" s="4">
        <v>68174</v>
      </c>
      <c r="Q7338" s="4">
        <v>118238</v>
      </c>
      <c r="R7338" s="4">
        <v>354714</v>
      </c>
      <c r="S7338" t="s">
        <v>23484</v>
      </c>
      <c r="T7338" s="6">
        <v>33878</v>
      </c>
      <c r="U7338" s="4">
        <v>63000</v>
      </c>
      <c r="X7338" t="s">
        <v>3</v>
      </c>
      <c r="AA7338" s="5" t="str">
        <f>HYPERLINK("https://www.zillow.com/homes/2633-ZURICH-CT-WOODRIDGE-IL-60517_rb/","check listing")</f>
        <v>check listing</v>
      </c>
      <c r="AB7338" s="5" t="str">
        <f>HYPERLINK("https://propertylookup.dupagecounty.gov/Datalets/Datalet.aspx?UseSearch=no&amp;mode=sales&amp;pin=0836103006","sales record")</f>
        <v>sales record</v>
      </c>
      <c r="AC7338" t="s">
        <v>3</v>
      </c>
      <c r="AD7338">
        <v>41.737026</v>
      </c>
      <c r="AE7338">
        <v>-88.045723</v>
      </c>
      <c r="AF7338" s="5" t="str">
        <f>HYPERLINK("https://www.google.com/maps/search/?api=1&amp;query=41.737026,-88.045723","map")</f>
        <v>map</v>
      </c>
    </row>
    <row r="7339" spans="1:32">
      <c r="A7339" t="s">
        <v>7389</v>
      </c>
      <c r="B7339" t="s">
        <v>14841</v>
      </c>
      <c r="C7339" t="s">
        <v>16178</v>
      </c>
      <c r="D7339" t="s">
        <v>16215</v>
      </c>
      <c r="E7339" t="s">
        <v>16218</v>
      </c>
      <c r="F7339" t="s">
        <v>16220</v>
      </c>
      <c r="G7339" t="s">
        <v>16299</v>
      </c>
      <c r="H7339" t="s">
        <v>16299</v>
      </c>
      <c r="I7339" t="s">
        <v>16382</v>
      </c>
      <c r="J7339" t="s">
        <v>16385</v>
      </c>
      <c r="K7339">
        <v>0.144</v>
      </c>
      <c r="L7339">
        <v>6277</v>
      </c>
      <c r="M7339">
        <v>2886</v>
      </c>
      <c r="N7339" t="s">
        <v>16393</v>
      </c>
      <c r="O7339" s="4">
        <v>49243</v>
      </c>
      <c r="P7339" s="4">
        <v>77498</v>
      </c>
      <c r="Q7339" s="4">
        <v>126741</v>
      </c>
      <c r="R7339" s="4">
        <v>380223</v>
      </c>
      <c r="S7339" t="s">
        <v>23485</v>
      </c>
      <c r="T7339" s="6">
        <v>44013</v>
      </c>
      <c r="U7339" s="4">
        <v>210000</v>
      </c>
      <c r="V7339" t="s">
        <v>23739</v>
      </c>
      <c r="W7339" t="s">
        <v>23485</v>
      </c>
      <c r="X7339" t="s">
        <v>3</v>
      </c>
      <c r="AA7339" s="5" t="str">
        <f>HYPERLINK("https://www.zillow.com/homes/1-PHEASANT-CT-WOODRIDGE-IL-605171723_rb/","check listing")</f>
        <v>check listing</v>
      </c>
      <c r="AB7339" s="5" t="str">
        <f>HYPERLINK("https://propertylookup.dupagecounty.gov/Datalets/Datalet.aspx?UseSearch=no&amp;mode=sales&amp;pin=0824317034","sales record")</f>
        <v>sales record</v>
      </c>
      <c r="AC7339" t="s">
        <v>3</v>
      </c>
      <c r="AD7339">
        <v>41.764825</v>
      </c>
      <c r="AE7339">
        <v>-88.042581</v>
      </c>
      <c r="AF7339" s="5" t="str">
        <f>HYPERLINK("https://www.google.com/maps/search/?api=1&amp;query=41.764825,-88.042581","map")</f>
        <v>map</v>
      </c>
    </row>
    <row r="7340" spans="1:32">
      <c r="A7340" t="s">
        <v>7390</v>
      </c>
      <c r="B7340" t="s">
        <v>14842</v>
      </c>
      <c r="C7340" t="s">
        <v>16178</v>
      </c>
      <c r="D7340" t="s">
        <v>16215</v>
      </c>
      <c r="E7340" t="s">
        <v>16218</v>
      </c>
      <c r="F7340" t="s">
        <v>16220</v>
      </c>
      <c r="G7340" t="s">
        <v>16299</v>
      </c>
      <c r="H7340" t="s">
        <v>16299</v>
      </c>
      <c r="I7340" t="s">
        <v>16382</v>
      </c>
      <c r="J7340" t="s">
        <v>16385</v>
      </c>
      <c r="K7340">
        <v>0.144</v>
      </c>
      <c r="L7340">
        <v>6271</v>
      </c>
      <c r="M7340">
        <v>2081</v>
      </c>
      <c r="N7340" t="s">
        <v>16393</v>
      </c>
      <c r="O7340" s="4">
        <v>49243</v>
      </c>
      <c r="P7340" s="4">
        <v>83598</v>
      </c>
      <c r="Q7340" s="4">
        <v>132841</v>
      </c>
      <c r="R7340" s="4">
        <v>398523</v>
      </c>
      <c r="S7340" t="s">
        <v>23486</v>
      </c>
      <c r="T7340" s="6">
        <v>44197</v>
      </c>
      <c r="U7340" s="4">
        <v>300000</v>
      </c>
      <c r="V7340" t="s">
        <v>23739</v>
      </c>
      <c r="W7340" t="s">
        <v>23486</v>
      </c>
      <c r="X7340" t="s">
        <v>3</v>
      </c>
      <c r="AA7340" s="5" t="str">
        <f>HYPERLINK("https://www.zillow.com/homes/2-PHEASANT-CT-WOODRIDGE-IL-605171723_rb/","check listing")</f>
        <v>check listing</v>
      </c>
      <c r="AB7340" s="5" t="str">
        <f>HYPERLINK("https://propertylookup.dupagecounty.gov/Datalets/Datalet.aspx?UseSearch=no&amp;mode=sales&amp;pin=0824317033","sales record")</f>
        <v>sales record</v>
      </c>
      <c r="AC7340" t="s">
        <v>3</v>
      </c>
      <c r="AD7340">
        <v>41.764817</v>
      </c>
      <c r="AE7340">
        <v>-88.042812</v>
      </c>
      <c r="AF7340" s="5" t="str">
        <f>HYPERLINK("https://www.google.com/maps/search/?api=1&amp;query=41.764817,-88.042812","map")</f>
        <v>map</v>
      </c>
    </row>
    <row r="7341" spans="1:32">
      <c r="A7341" t="s">
        <v>7391</v>
      </c>
      <c r="B7341" t="s">
        <v>14843</v>
      </c>
      <c r="C7341" t="s">
        <v>15323</v>
      </c>
      <c r="D7341" t="s">
        <v>16215</v>
      </c>
      <c r="E7341" t="s">
        <v>16218</v>
      </c>
      <c r="F7341" t="s">
        <v>16220</v>
      </c>
      <c r="G7341" t="s">
        <v>16299</v>
      </c>
      <c r="H7341" t="s">
        <v>16299</v>
      </c>
      <c r="I7341" t="s">
        <v>16382</v>
      </c>
      <c r="J7341" t="s">
        <v>16385</v>
      </c>
      <c r="K7341">
        <v>0.144</v>
      </c>
      <c r="L7341">
        <v>6263</v>
      </c>
      <c r="M7341">
        <v>2229</v>
      </c>
      <c r="N7341" t="s">
        <v>16393</v>
      </c>
      <c r="O7341" s="4">
        <v>49243</v>
      </c>
      <c r="P7341" s="4">
        <v>80375</v>
      </c>
      <c r="Q7341" s="4">
        <v>129618</v>
      </c>
      <c r="R7341" s="4">
        <v>388854</v>
      </c>
      <c r="S7341" t="s">
        <v>23487</v>
      </c>
      <c r="T7341" s="6">
        <v>35855</v>
      </c>
      <c r="U7341" s="4">
        <v>140000</v>
      </c>
      <c r="X7341" t="s">
        <v>3</v>
      </c>
      <c r="AA7341" s="5" t="str">
        <f>HYPERLINK("https://www.zillow.com/homes/3-PHEASANT-CT-WOODRIDGE-IL-60517_rb/","check listing")</f>
        <v>check listing</v>
      </c>
      <c r="AB7341" s="5" t="str">
        <f>HYPERLINK("https://propertylookup.dupagecounty.gov/Datalets/Datalet.aspx?UseSearch=no&amp;mode=sales&amp;pin=0824317032","sales record")</f>
        <v>sales record</v>
      </c>
      <c r="AC7341" t="s">
        <v>3</v>
      </c>
      <c r="AD7341">
        <v>41.764809</v>
      </c>
      <c r="AE7341">
        <v>-88.043043</v>
      </c>
      <c r="AF7341" s="5" t="str">
        <f>HYPERLINK("https://www.google.com/maps/search/?api=1&amp;query=41.764809,-88.043043","map")</f>
        <v>map</v>
      </c>
    </row>
    <row r="7342" spans="1:32">
      <c r="A7342" t="s">
        <v>7392</v>
      </c>
      <c r="B7342" t="s">
        <v>14844</v>
      </c>
      <c r="C7342" t="s">
        <v>16179</v>
      </c>
      <c r="D7342" t="s">
        <v>16215</v>
      </c>
      <c r="E7342" t="s">
        <v>16218</v>
      </c>
      <c r="F7342" t="s">
        <v>16220</v>
      </c>
      <c r="G7342" t="s">
        <v>16299</v>
      </c>
      <c r="H7342" t="s">
        <v>16299</v>
      </c>
      <c r="I7342" t="s">
        <v>16382</v>
      </c>
      <c r="J7342" t="s">
        <v>16385</v>
      </c>
      <c r="K7342">
        <v>0.144</v>
      </c>
      <c r="L7342">
        <v>6259</v>
      </c>
      <c r="M7342">
        <v>1658</v>
      </c>
      <c r="N7342" t="s">
        <v>16393</v>
      </c>
      <c r="O7342" s="4">
        <v>54797</v>
      </c>
      <c r="P7342" s="4">
        <v>70113</v>
      </c>
      <c r="Q7342" s="4">
        <v>124910</v>
      </c>
      <c r="R7342" s="4">
        <v>374730</v>
      </c>
      <c r="S7342" t="s">
        <v>23488</v>
      </c>
      <c r="T7342" s="6">
        <v>39904</v>
      </c>
      <c r="U7342" s="4">
        <v>168000</v>
      </c>
      <c r="V7342" t="s">
        <v>16232</v>
      </c>
      <c r="W7342" t="s">
        <v>23488</v>
      </c>
      <c r="X7342" t="s">
        <v>3</v>
      </c>
      <c r="AA7342" s="5" t="str">
        <f>HYPERLINK("https://www.zillow.com/homes/8-BLUE-JAY-CT-WOODRIDGE-IL-605171735_rb/","check listing")</f>
        <v>check listing</v>
      </c>
      <c r="AB7342" s="5" t="str">
        <f>HYPERLINK("https://propertylookup.dupagecounty.gov/Datalets/Datalet.aspx?UseSearch=no&amp;mode=sales&amp;pin=0824319008","sales record")</f>
        <v>sales record</v>
      </c>
      <c r="AC7342" t="s">
        <v>3</v>
      </c>
      <c r="AD7342">
        <v>41.762854</v>
      </c>
      <c r="AE7342">
        <v>-88.043398</v>
      </c>
      <c r="AF7342" s="5" t="str">
        <f>HYPERLINK("https://www.google.com/maps/search/?api=1&amp;query=41.762854,-88.043398","map")</f>
        <v>map</v>
      </c>
    </row>
    <row r="7343" spans="1:32">
      <c r="A7343" t="s">
        <v>7393</v>
      </c>
      <c r="B7343" t="s">
        <v>14845</v>
      </c>
      <c r="C7343" t="s">
        <v>15323</v>
      </c>
      <c r="D7343" t="s">
        <v>16215</v>
      </c>
      <c r="E7343" t="s">
        <v>16218</v>
      </c>
      <c r="F7343" t="s">
        <v>16220</v>
      </c>
      <c r="G7343" t="s">
        <v>16299</v>
      </c>
      <c r="H7343" t="s">
        <v>16299</v>
      </c>
      <c r="I7343" t="s">
        <v>16382</v>
      </c>
      <c r="J7343" t="s">
        <v>16385</v>
      </c>
      <c r="K7343">
        <v>0.144</v>
      </c>
      <c r="L7343">
        <v>6254</v>
      </c>
      <c r="M7343">
        <v>2254</v>
      </c>
      <c r="N7343" t="s">
        <v>16393</v>
      </c>
      <c r="O7343" s="4">
        <v>54797</v>
      </c>
      <c r="P7343" s="4">
        <v>59744</v>
      </c>
      <c r="Q7343" s="4">
        <v>114541</v>
      </c>
      <c r="R7343" s="4">
        <v>343623</v>
      </c>
      <c r="S7343" t="s">
        <v>23489</v>
      </c>
      <c r="T7343" s="6">
        <v>44470</v>
      </c>
      <c r="U7343" s="4">
        <v>300000</v>
      </c>
      <c r="V7343" t="s">
        <v>23739</v>
      </c>
      <c r="W7343" t="s">
        <v>27733</v>
      </c>
      <c r="X7343" t="s">
        <v>3</v>
      </c>
      <c r="AA7343" s="5" t="str">
        <f>HYPERLINK("https://www.zillow.com/homes/8-PHEASANT-CT-WOODRIDGE-IL-60517_rb/","check listing")</f>
        <v>check listing</v>
      </c>
      <c r="AB7343" s="5" t="str">
        <f>HYPERLINK("https://propertylookup.dupagecounty.gov/Datalets/Datalet.aspx?UseSearch=no&amp;mode=sales&amp;pin=0824317027","sales record")</f>
        <v>sales record</v>
      </c>
      <c r="AC7343" t="s">
        <v>3</v>
      </c>
      <c r="AD7343">
        <v>41.764346</v>
      </c>
      <c r="AE7343">
        <v>-88.043232</v>
      </c>
      <c r="AF7343" s="5" t="str">
        <f>HYPERLINK("https://www.google.com/maps/search/?api=1&amp;query=41.764346,-88.043232","map")</f>
        <v>map</v>
      </c>
    </row>
    <row r="7344" spans="1:32">
      <c r="A7344" t="s">
        <v>7394</v>
      </c>
      <c r="B7344" t="s">
        <v>14846</v>
      </c>
      <c r="C7344" t="s">
        <v>16156</v>
      </c>
      <c r="D7344" t="s">
        <v>16215</v>
      </c>
      <c r="E7344" t="s">
        <v>16218</v>
      </c>
      <c r="F7344" t="s">
        <v>16220</v>
      </c>
      <c r="G7344" t="s">
        <v>16299</v>
      </c>
      <c r="H7344" t="s">
        <v>16299</v>
      </c>
      <c r="I7344" t="s">
        <v>16382</v>
      </c>
      <c r="J7344" t="s">
        <v>16385</v>
      </c>
      <c r="K7344">
        <v>0.144</v>
      </c>
      <c r="L7344">
        <v>6251</v>
      </c>
      <c r="M7344">
        <v>1912</v>
      </c>
      <c r="N7344" t="s">
        <v>16393</v>
      </c>
      <c r="O7344" s="4">
        <v>54713</v>
      </c>
      <c r="P7344" s="4">
        <v>79257</v>
      </c>
      <c r="Q7344" s="4">
        <v>133970</v>
      </c>
      <c r="R7344" s="4">
        <v>401910</v>
      </c>
      <c r="S7344" t="s">
        <v>23490</v>
      </c>
      <c r="T7344" s="6">
        <v>44044</v>
      </c>
      <c r="U7344" s="4">
        <v>270000</v>
      </c>
      <c r="V7344" t="s">
        <v>23739</v>
      </c>
      <c r="W7344" t="s">
        <v>27734</v>
      </c>
      <c r="X7344" t="s">
        <v>3</v>
      </c>
      <c r="AA7344" s="5" t="str">
        <f>HYPERLINK("https://www.zillow.com/homes/6647-WHEATFIELD-ST-WOODRIDGE-IL-605171715_rb/","check listing")</f>
        <v>check listing</v>
      </c>
      <c r="AB7344" s="5" t="str">
        <f>HYPERLINK("https://propertylookup.dupagecounty.gov/Datalets/Datalet.aspx?UseSearch=no&amp;mode=sales&amp;pin=0824111016","sales record")</f>
        <v>sales record</v>
      </c>
      <c r="AC7344" t="s">
        <v>3</v>
      </c>
      <c r="AD7344">
        <v>41.765662</v>
      </c>
      <c r="AE7344">
        <v>-88.042736</v>
      </c>
      <c r="AF7344" s="5" t="str">
        <f>HYPERLINK("https://www.google.com/maps/search/?api=1&amp;query=41.765662,-88.042736","map")</f>
        <v>map</v>
      </c>
    </row>
    <row r="7345" spans="1:32">
      <c r="A7345" t="s">
        <v>7395</v>
      </c>
      <c r="B7345" t="s">
        <v>14847</v>
      </c>
      <c r="C7345" t="s">
        <v>16136</v>
      </c>
      <c r="D7345" t="s">
        <v>16215</v>
      </c>
      <c r="E7345" t="s">
        <v>16218</v>
      </c>
      <c r="F7345" t="s">
        <v>16220</v>
      </c>
      <c r="G7345" t="s">
        <v>16299</v>
      </c>
      <c r="H7345" t="s">
        <v>16299</v>
      </c>
      <c r="I7345" t="s">
        <v>16382</v>
      </c>
      <c r="J7345" t="s">
        <v>16385</v>
      </c>
      <c r="K7345">
        <v>0.143</v>
      </c>
      <c r="L7345">
        <v>6244</v>
      </c>
      <c r="M7345">
        <v>1730</v>
      </c>
      <c r="N7345" t="s">
        <v>16393</v>
      </c>
      <c r="O7345" s="4">
        <v>49124</v>
      </c>
      <c r="P7345" s="4">
        <v>66557</v>
      </c>
      <c r="Q7345" s="4">
        <v>115681</v>
      </c>
      <c r="R7345" s="4">
        <v>347043</v>
      </c>
      <c r="S7345" t="s">
        <v>23491</v>
      </c>
      <c r="T7345" s="6">
        <v>33817</v>
      </c>
      <c r="U7345" s="4">
        <v>126000</v>
      </c>
      <c r="X7345" t="s">
        <v>3</v>
      </c>
      <c r="AA7345" s="5" t="str">
        <f>HYPERLINK("https://www.zillow.com/homes/6620-FOXTREE-AVE-WOODRIDGE-IL-605171729_rb/","check listing")</f>
        <v>check listing</v>
      </c>
      <c r="AB7345" s="5" t="str">
        <f>HYPERLINK("https://propertylookup.dupagecounty.gov/Datalets/Datalet.aspx?UseSearch=no&amp;mode=sales&amp;pin=0824204005","sales record")</f>
        <v>sales record</v>
      </c>
      <c r="AC7345" t="s">
        <v>3</v>
      </c>
      <c r="AD7345">
        <v>41.766301</v>
      </c>
      <c r="AE7345">
        <v>-88.041122</v>
      </c>
      <c r="AF7345" s="5" t="str">
        <f>HYPERLINK("https://www.google.com/maps/search/?api=1&amp;query=41.766301,-88.041122","map")</f>
        <v>map</v>
      </c>
    </row>
    <row r="7346" spans="1:32">
      <c r="A7346" t="s">
        <v>7396</v>
      </c>
      <c r="B7346" t="s">
        <v>14848</v>
      </c>
      <c r="C7346" t="s">
        <v>16180</v>
      </c>
      <c r="D7346" t="s">
        <v>16215</v>
      </c>
      <c r="E7346" t="s">
        <v>16218</v>
      </c>
      <c r="F7346" t="s">
        <v>16220</v>
      </c>
      <c r="G7346" t="s">
        <v>16299</v>
      </c>
      <c r="H7346" t="s">
        <v>16299</v>
      </c>
      <c r="I7346" t="s">
        <v>16382</v>
      </c>
      <c r="J7346" t="s">
        <v>16385</v>
      </c>
      <c r="K7346">
        <v>0.143</v>
      </c>
      <c r="L7346">
        <v>6232</v>
      </c>
      <c r="M7346">
        <v>1896</v>
      </c>
      <c r="N7346" t="s">
        <v>16393</v>
      </c>
      <c r="O7346" s="4">
        <v>54797</v>
      </c>
      <c r="P7346" s="4">
        <v>81981</v>
      </c>
      <c r="Q7346" s="4">
        <v>136778</v>
      </c>
      <c r="R7346" s="4">
        <v>410334</v>
      </c>
      <c r="S7346" t="s">
        <v>23492</v>
      </c>
      <c r="T7346" s="6">
        <v>42887</v>
      </c>
      <c r="U7346" s="4">
        <v>305000</v>
      </c>
      <c r="V7346" t="s">
        <v>23739</v>
      </c>
      <c r="W7346" t="s">
        <v>27735</v>
      </c>
      <c r="X7346" t="s">
        <v>3</v>
      </c>
      <c r="AA7346" s="5" t="str">
        <f>HYPERLINK("https://www.zillow.com/homes/6708-AUDUBON-AVE-WOODRIDGE-IL-605171737_rb/","check listing")</f>
        <v>check listing</v>
      </c>
      <c r="AB7346" s="5" t="str">
        <f>HYPERLINK("https://propertylookup.dupagecounty.gov/Datalets/Datalet.aspx?UseSearch=no&amp;mode=sales&amp;pin=0824317023","sales record")</f>
        <v>sales record</v>
      </c>
      <c r="AC7346" t="s">
        <v>3</v>
      </c>
      <c r="AD7346">
        <v>41.76416</v>
      </c>
      <c r="AE7346">
        <v>-88.04257699999999</v>
      </c>
      <c r="AF7346" s="5" t="str">
        <f>HYPERLINK("https://www.google.com/maps/search/?api=1&amp;query=41.76416,-88.042577","map")</f>
        <v>map</v>
      </c>
    </row>
    <row r="7347" spans="1:32">
      <c r="A7347" t="s">
        <v>7397</v>
      </c>
      <c r="B7347" t="s">
        <v>14849</v>
      </c>
      <c r="C7347" t="s">
        <v>15323</v>
      </c>
      <c r="D7347" t="s">
        <v>16215</v>
      </c>
      <c r="E7347" t="s">
        <v>16218</v>
      </c>
      <c r="F7347" t="s">
        <v>16220</v>
      </c>
      <c r="G7347" t="s">
        <v>16299</v>
      </c>
      <c r="H7347" t="s">
        <v>16299</v>
      </c>
      <c r="I7347" t="s">
        <v>16382</v>
      </c>
      <c r="J7347" t="s">
        <v>16385</v>
      </c>
      <c r="K7347">
        <v>0.143</v>
      </c>
      <c r="L7347">
        <v>6218</v>
      </c>
      <c r="M7347">
        <v>1826</v>
      </c>
      <c r="N7347" t="s">
        <v>16393</v>
      </c>
      <c r="O7347" s="4">
        <v>54797</v>
      </c>
      <c r="P7347" s="4">
        <v>55629</v>
      </c>
      <c r="Q7347" s="4">
        <v>110426</v>
      </c>
      <c r="R7347" s="4">
        <v>331278</v>
      </c>
      <c r="S7347" t="s">
        <v>23493</v>
      </c>
      <c r="T7347" s="6">
        <v>35065</v>
      </c>
      <c r="U7347" s="4">
        <v>113000</v>
      </c>
      <c r="X7347" t="s">
        <v>3</v>
      </c>
      <c r="AA7347" s="5" t="str">
        <f>HYPERLINK("https://www.zillow.com/homes/2345-GOLDFINCH-ST-WOODRIDGE-IL-60517_rb/","check listing")</f>
        <v>check listing</v>
      </c>
      <c r="AB7347" s="5" t="str">
        <f>HYPERLINK("https://propertylookup.dupagecounty.gov/Datalets/Datalet.aspx?UseSearch=no&amp;mode=sales&amp;pin=0824408014","sales record")</f>
        <v>sales record</v>
      </c>
      <c r="AC7347" t="s">
        <v>3</v>
      </c>
      <c r="AD7347">
        <v>41.76167</v>
      </c>
      <c r="AE7347">
        <v>-88.037814</v>
      </c>
      <c r="AF7347" s="5" t="str">
        <f>HYPERLINK("https://www.google.com/maps/search/?api=1&amp;query=41.76167,-88.037814","map")</f>
        <v>map</v>
      </c>
    </row>
    <row r="7348" spans="1:32">
      <c r="A7348" t="s">
        <v>7398</v>
      </c>
      <c r="B7348" t="s">
        <v>14850</v>
      </c>
      <c r="C7348" t="s">
        <v>15323</v>
      </c>
      <c r="D7348" t="s">
        <v>16215</v>
      </c>
      <c r="E7348" t="s">
        <v>16218</v>
      </c>
      <c r="F7348" t="s">
        <v>16220</v>
      </c>
      <c r="G7348" t="s">
        <v>16299</v>
      </c>
      <c r="H7348" t="s">
        <v>16299</v>
      </c>
      <c r="I7348" t="s">
        <v>16382</v>
      </c>
      <c r="J7348" t="s">
        <v>16385</v>
      </c>
      <c r="K7348">
        <v>0.143</v>
      </c>
      <c r="L7348">
        <v>6214</v>
      </c>
      <c r="M7348">
        <v>989</v>
      </c>
      <c r="N7348" t="s">
        <v>16393</v>
      </c>
      <c r="O7348" s="4">
        <v>54797</v>
      </c>
      <c r="P7348" s="4">
        <v>56533</v>
      </c>
      <c r="Q7348" s="4">
        <v>111330</v>
      </c>
      <c r="R7348" s="4">
        <v>333990</v>
      </c>
      <c r="S7348" t="s">
        <v>23494</v>
      </c>
      <c r="T7348" s="6">
        <v>36100</v>
      </c>
      <c r="U7348" s="4">
        <v>126000</v>
      </c>
      <c r="X7348" t="s">
        <v>3</v>
      </c>
      <c r="AA7348" s="5" t="str">
        <f>HYPERLINK("https://www.zillow.com/homes/10-ORIOLE-CT-WOODRIDGE-IL-60517_rb/","check listing")</f>
        <v>check listing</v>
      </c>
      <c r="AB7348" s="5" t="str">
        <f>HYPERLINK("https://propertylookup.dupagecounty.gov/Datalets/Datalet.aspx?UseSearch=no&amp;mode=sales&amp;pin=0824319037","sales record")</f>
        <v>sales record</v>
      </c>
      <c r="AC7348" t="s">
        <v>3</v>
      </c>
      <c r="AD7348">
        <v>41.762169</v>
      </c>
      <c r="AE7348">
        <v>-88.041237</v>
      </c>
      <c r="AF7348" s="5" t="str">
        <f>HYPERLINK("https://www.google.com/maps/search/?api=1&amp;query=41.762169,-88.041237","map")</f>
        <v>map</v>
      </c>
    </row>
    <row r="7349" spans="1:32">
      <c r="A7349" t="s">
        <v>7399</v>
      </c>
      <c r="B7349" t="s">
        <v>14851</v>
      </c>
      <c r="C7349" t="s">
        <v>16167</v>
      </c>
      <c r="D7349" t="s">
        <v>16215</v>
      </c>
      <c r="E7349" t="s">
        <v>16218</v>
      </c>
      <c r="F7349" t="s">
        <v>16220</v>
      </c>
      <c r="G7349" t="s">
        <v>16299</v>
      </c>
      <c r="H7349" t="s">
        <v>16299</v>
      </c>
      <c r="I7349" t="s">
        <v>16382</v>
      </c>
      <c r="J7349" t="s">
        <v>16385</v>
      </c>
      <c r="K7349">
        <v>0.143</v>
      </c>
      <c r="L7349">
        <v>6213</v>
      </c>
      <c r="M7349">
        <v>1484</v>
      </c>
      <c r="N7349" t="s">
        <v>16393</v>
      </c>
      <c r="O7349" s="4">
        <v>54797</v>
      </c>
      <c r="P7349" s="4">
        <v>61183</v>
      </c>
      <c r="Q7349" s="4">
        <v>115980</v>
      </c>
      <c r="R7349" s="4">
        <v>347940</v>
      </c>
      <c r="S7349" t="s">
        <v>23495</v>
      </c>
      <c r="T7349" s="6">
        <v>45898</v>
      </c>
      <c r="U7349" s="4">
        <v>381000</v>
      </c>
      <c r="V7349" t="s">
        <v>23739</v>
      </c>
      <c r="W7349" t="s">
        <v>27736</v>
      </c>
      <c r="X7349" t="s">
        <v>3</v>
      </c>
      <c r="AA7349" s="5" t="str">
        <f>HYPERLINK("https://www.zillow.com/homes/1-RED-WING-CT-WOODRIDGE-IL-605171849_rb/","check listing")</f>
        <v>check listing</v>
      </c>
      <c r="AB7349" s="5" t="str">
        <f>HYPERLINK("https://propertylookup.dupagecounty.gov/Datalets/Datalet.aspx?UseSearch=no&amp;mode=sales&amp;pin=0824408015","sales record")</f>
        <v>sales record</v>
      </c>
      <c r="AC7349" t="s">
        <v>3</v>
      </c>
      <c r="AD7349">
        <v>41.761654</v>
      </c>
      <c r="AE7349">
        <v>-88.03762500000001</v>
      </c>
      <c r="AF7349" s="5" t="str">
        <f>HYPERLINK("https://www.google.com/maps/search/?api=1&amp;query=41.761654,-88.037625","map")</f>
        <v>map</v>
      </c>
    </row>
    <row r="7350" spans="1:32">
      <c r="A7350" t="s">
        <v>7400</v>
      </c>
      <c r="B7350" t="s">
        <v>14852</v>
      </c>
      <c r="C7350" t="s">
        <v>16136</v>
      </c>
      <c r="D7350" t="s">
        <v>16215</v>
      </c>
      <c r="E7350" t="s">
        <v>16218</v>
      </c>
      <c r="F7350" t="s">
        <v>16220</v>
      </c>
      <c r="G7350" t="s">
        <v>16299</v>
      </c>
      <c r="H7350" t="s">
        <v>16299</v>
      </c>
      <c r="I7350" t="s">
        <v>16382</v>
      </c>
      <c r="J7350" t="s">
        <v>16385</v>
      </c>
      <c r="K7350">
        <v>0.143</v>
      </c>
      <c r="L7350">
        <v>6208</v>
      </c>
      <c r="M7350">
        <v>2345</v>
      </c>
      <c r="N7350" t="s">
        <v>16393</v>
      </c>
      <c r="O7350" s="4">
        <v>54797</v>
      </c>
      <c r="P7350" s="4">
        <v>63049</v>
      </c>
      <c r="Q7350" s="4">
        <v>117846</v>
      </c>
      <c r="R7350" s="4">
        <v>353538</v>
      </c>
      <c r="S7350" t="s">
        <v>23496</v>
      </c>
      <c r="T7350" s="6">
        <v>45772</v>
      </c>
      <c r="U7350" s="4">
        <v>350000</v>
      </c>
      <c r="V7350" t="s">
        <v>23741</v>
      </c>
      <c r="W7350" t="s">
        <v>27737</v>
      </c>
      <c r="X7350" t="s">
        <v>3</v>
      </c>
      <c r="AA7350" s="5" t="str">
        <f>HYPERLINK("https://www.zillow.com/homes/6688-FOXTREE-AVE-WOODRIDGE-IL-605171729_rb/","check listing")</f>
        <v>check listing</v>
      </c>
      <c r="AB7350" s="5" t="str">
        <f>HYPERLINK("https://propertylookup.dupagecounty.gov/Datalets/Datalet.aspx?UseSearch=no&amp;mode=sales&amp;pin=0824109002","sales record")</f>
        <v>sales record</v>
      </c>
      <c r="AC7350" t="s">
        <v>3</v>
      </c>
      <c r="AD7350">
        <v>41.766077</v>
      </c>
      <c r="AE7350">
        <v>-88.045349</v>
      </c>
      <c r="AF7350" s="5" t="str">
        <f>HYPERLINK("https://www.google.com/maps/search/?api=1&amp;query=41.766077,-88.045349","map")</f>
        <v>map</v>
      </c>
    </row>
    <row r="7351" spans="1:32">
      <c r="A7351" t="s">
        <v>7401</v>
      </c>
      <c r="B7351" t="s">
        <v>14853</v>
      </c>
      <c r="C7351" t="s">
        <v>16137</v>
      </c>
      <c r="D7351" t="s">
        <v>16215</v>
      </c>
      <c r="E7351" t="s">
        <v>16218</v>
      </c>
      <c r="F7351" t="s">
        <v>16220</v>
      </c>
      <c r="G7351" t="s">
        <v>16299</v>
      </c>
      <c r="H7351" t="s">
        <v>16299</v>
      </c>
      <c r="I7351" t="s">
        <v>16382</v>
      </c>
      <c r="J7351" t="s">
        <v>16385</v>
      </c>
      <c r="K7351">
        <v>0.142</v>
      </c>
      <c r="L7351">
        <v>6202</v>
      </c>
      <c r="M7351">
        <v>2374</v>
      </c>
      <c r="N7351" t="s">
        <v>16393</v>
      </c>
      <c r="O7351" s="4">
        <v>57651</v>
      </c>
      <c r="P7351" s="4">
        <v>96964</v>
      </c>
      <c r="Q7351" s="4">
        <v>154615</v>
      </c>
      <c r="R7351" s="4">
        <v>463845</v>
      </c>
      <c r="S7351" t="s">
        <v>23497</v>
      </c>
      <c r="T7351" s="6">
        <v>38838</v>
      </c>
      <c r="U7351" s="4">
        <v>365000</v>
      </c>
      <c r="V7351" t="s">
        <v>23739</v>
      </c>
      <c r="W7351" t="s">
        <v>27738</v>
      </c>
      <c r="X7351" t="s">
        <v>3</v>
      </c>
      <c r="AA7351" s="5" t="str">
        <f>HYPERLINK("https://www.zillow.com/homes/6944-SUN-DROP-AVE-WOODRIDGE-IL-605172003_rb/","check listing")</f>
        <v>check listing</v>
      </c>
      <c r="AB7351" s="5" t="str">
        <f>HYPERLINK("https://propertylookup.dupagecounty.gov/Datalets/Datalet.aspx?UseSearch=no&amp;mode=sales&amp;pin=0824310014","sales record")</f>
        <v>sales record</v>
      </c>
      <c r="AC7351" t="s">
        <v>3</v>
      </c>
      <c r="AD7351">
        <v>41.759417</v>
      </c>
      <c r="AE7351">
        <v>-88.04993399999999</v>
      </c>
      <c r="AF7351" s="5" t="str">
        <f>HYPERLINK("https://www.google.com/maps/search/?api=1&amp;query=41.759417,-88.049934","map")</f>
        <v>map</v>
      </c>
    </row>
    <row r="7352" spans="1:32">
      <c r="A7352" t="s">
        <v>7402</v>
      </c>
      <c r="B7352" t="s">
        <v>14854</v>
      </c>
      <c r="C7352" t="s">
        <v>15323</v>
      </c>
      <c r="D7352" t="s">
        <v>16215</v>
      </c>
      <c r="E7352" t="s">
        <v>16218</v>
      </c>
      <c r="F7352" t="s">
        <v>16220</v>
      </c>
      <c r="G7352" t="s">
        <v>16299</v>
      </c>
      <c r="H7352" t="s">
        <v>16299</v>
      </c>
      <c r="I7352" t="s">
        <v>16382</v>
      </c>
      <c r="J7352" t="s">
        <v>16385</v>
      </c>
      <c r="K7352">
        <v>0.142</v>
      </c>
      <c r="L7352">
        <v>6197</v>
      </c>
      <c r="M7352">
        <v>1775</v>
      </c>
      <c r="N7352" t="s">
        <v>16393</v>
      </c>
      <c r="O7352" s="4">
        <v>49124</v>
      </c>
      <c r="P7352" s="4">
        <v>69566</v>
      </c>
      <c r="Q7352" s="4">
        <v>118690</v>
      </c>
      <c r="R7352" s="4">
        <v>356070</v>
      </c>
      <c r="S7352" t="s">
        <v>23498</v>
      </c>
      <c r="T7352" s="6">
        <v>36008</v>
      </c>
      <c r="U7352" s="4">
        <v>141000</v>
      </c>
      <c r="X7352" t="s">
        <v>3</v>
      </c>
      <c r="AA7352" s="5" t="str">
        <f>HYPERLINK("https://www.zillow.com/homes/6616-FOXTREE-AVE-WOODRIDGE-IL-60517_rb/","check listing")</f>
        <v>check listing</v>
      </c>
      <c r="AB7352" s="5" t="str">
        <f>HYPERLINK("https://propertylookup.dupagecounty.gov/Datalets/Datalet.aspx?UseSearch=no&amp;mode=sales&amp;pin=0824204006","sales record")</f>
        <v>sales record</v>
      </c>
      <c r="AC7352" t="s">
        <v>3</v>
      </c>
      <c r="AD7352">
        <v>41.766162</v>
      </c>
      <c r="AE7352">
        <v>-88.04097299999999</v>
      </c>
      <c r="AF7352" s="5" t="str">
        <f>HYPERLINK("https://www.google.com/maps/search/?api=1&amp;query=41.766162,-88.040973","map")</f>
        <v>map</v>
      </c>
    </row>
    <row r="7353" spans="1:32">
      <c r="A7353" t="s">
        <v>7403</v>
      </c>
      <c r="B7353" t="s">
        <v>14855</v>
      </c>
      <c r="C7353" t="s">
        <v>15323</v>
      </c>
      <c r="D7353" t="s">
        <v>16215</v>
      </c>
      <c r="E7353" t="s">
        <v>16218</v>
      </c>
      <c r="F7353" t="s">
        <v>16220</v>
      </c>
      <c r="G7353" t="s">
        <v>16299</v>
      </c>
      <c r="H7353" t="s">
        <v>16299</v>
      </c>
      <c r="I7353" t="s">
        <v>16382</v>
      </c>
      <c r="J7353" t="s">
        <v>16385</v>
      </c>
      <c r="K7353">
        <v>0.142</v>
      </c>
      <c r="L7353">
        <v>6189</v>
      </c>
      <c r="M7353">
        <v>1582</v>
      </c>
      <c r="N7353" t="s">
        <v>16393</v>
      </c>
      <c r="O7353" s="4">
        <v>57651</v>
      </c>
      <c r="P7353" s="4">
        <v>80816</v>
      </c>
      <c r="Q7353" s="4">
        <v>138467</v>
      </c>
      <c r="R7353" s="4">
        <v>415401</v>
      </c>
      <c r="S7353" t="s">
        <v>23499</v>
      </c>
      <c r="T7353" s="6">
        <v>34881</v>
      </c>
      <c r="U7353" s="4">
        <v>139500</v>
      </c>
      <c r="X7353" t="s">
        <v>3</v>
      </c>
      <c r="AA7353" s="5" t="str">
        <f>HYPERLINK("https://www.zillow.com/homes/6937-SUN-DROP-AVE-WOODRIDGE-IL-60517_rb/","check listing")</f>
        <v>check listing</v>
      </c>
      <c r="AB7353" s="5" t="str">
        <f>HYPERLINK("https://propertylookup.dupagecounty.gov/Datalets/Datalet.aspx?UseSearch=no&amp;mode=sales&amp;pin=0824309013","sales record")</f>
        <v>sales record</v>
      </c>
      <c r="AC7353" t="s">
        <v>3</v>
      </c>
      <c r="AD7353">
        <v>41.759771</v>
      </c>
      <c r="AE7353">
        <v>-88.04935399999999</v>
      </c>
      <c r="AF7353" s="5" t="str">
        <f>HYPERLINK("https://www.google.com/maps/search/?api=1&amp;query=41.759771,-88.049354","map")</f>
        <v>map</v>
      </c>
    </row>
    <row r="7354" spans="1:32">
      <c r="A7354" t="s">
        <v>7404</v>
      </c>
      <c r="B7354" t="s">
        <v>14856</v>
      </c>
      <c r="C7354" t="s">
        <v>15323</v>
      </c>
      <c r="D7354" t="s">
        <v>16215</v>
      </c>
      <c r="E7354" t="s">
        <v>16218</v>
      </c>
      <c r="F7354" t="s">
        <v>16220</v>
      </c>
      <c r="G7354" t="s">
        <v>16299</v>
      </c>
      <c r="H7354" t="s">
        <v>16299</v>
      </c>
      <c r="I7354" t="s">
        <v>16382</v>
      </c>
      <c r="J7354" t="s">
        <v>16385</v>
      </c>
      <c r="K7354">
        <v>0.142</v>
      </c>
      <c r="L7354">
        <v>6184</v>
      </c>
      <c r="M7354">
        <v>1608</v>
      </c>
      <c r="N7354" t="s">
        <v>16393</v>
      </c>
      <c r="O7354" s="4">
        <v>51954</v>
      </c>
      <c r="P7354" s="4">
        <v>51978</v>
      </c>
      <c r="Q7354" s="4">
        <v>103932</v>
      </c>
      <c r="R7354" s="4">
        <v>311796</v>
      </c>
      <c r="S7354" t="s">
        <v>23500</v>
      </c>
      <c r="T7354" s="6">
        <v>43983</v>
      </c>
      <c r="U7354" s="4">
        <v>234900</v>
      </c>
      <c r="V7354" t="s">
        <v>23739</v>
      </c>
      <c r="W7354" t="s">
        <v>23500</v>
      </c>
      <c r="X7354" t="s">
        <v>3</v>
      </c>
      <c r="AA7354" s="5" t="str">
        <f>HYPERLINK("https://www.zillow.com/homes/2338-VISTA-DR-WOODRIDGE-IL-60517_rb/","check listing")</f>
        <v>check listing</v>
      </c>
      <c r="AB7354" s="5" t="str">
        <f>HYPERLINK("https://propertylookup.dupagecounty.gov/Datalets/Datalet.aspx?UseSearch=no&amp;mode=sales&amp;pin=0824408034","sales record")</f>
        <v>sales record</v>
      </c>
      <c r="AC7354" t="s">
        <v>3</v>
      </c>
      <c r="AD7354">
        <v>41.761393</v>
      </c>
      <c r="AE7354">
        <v>-88.037228</v>
      </c>
      <c r="AF7354" s="5" t="str">
        <f>HYPERLINK("https://www.google.com/maps/search/?api=1&amp;query=41.761393,-88.037228","map")</f>
        <v>map</v>
      </c>
    </row>
    <row r="7355" spans="1:32">
      <c r="A7355" t="s">
        <v>7405</v>
      </c>
      <c r="B7355" t="s">
        <v>14857</v>
      </c>
      <c r="C7355" t="s">
        <v>16181</v>
      </c>
      <c r="D7355" t="s">
        <v>16215</v>
      </c>
      <c r="E7355" t="s">
        <v>16218</v>
      </c>
      <c r="F7355" t="s">
        <v>16220</v>
      </c>
      <c r="G7355" t="s">
        <v>16299</v>
      </c>
      <c r="H7355" t="s">
        <v>16299</v>
      </c>
      <c r="I7355" t="s">
        <v>16382</v>
      </c>
      <c r="J7355" t="s">
        <v>16385</v>
      </c>
      <c r="K7355">
        <v>0.142</v>
      </c>
      <c r="L7355">
        <v>6184</v>
      </c>
      <c r="M7355">
        <v>1122</v>
      </c>
      <c r="N7355" t="s">
        <v>16393</v>
      </c>
      <c r="O7355" s="4">
        <v>54797</v>
      </c>
      <c r="P7355" s="4">
        <v>70256</v>
      </c>
      <c r="Q7355" s="4">
        <v>125053</v>
      </c>
      <c r="R7355" s="4">
        <v>375159</v>
      </c>
      <c r="S7355" t="s">
        <v>23501</v>
      </c>
      <c r="T7355" s="6">
        <v>37773</v>
      </c>
      <c r="U7355" s="4">
        <v>195500</v>
      </c>
      <c r="V7355" t="s">
        <v>23739</v>
      </c>
      <c r="W7355" t="s">
        <v>23501</v>
      </c>
      <c r="X7355" t="s">
        <v>3</v>
      </c>
      <c r="AA7355" s="5" t="str">
        <f>HYPERLINK("https://www.zillow.com/homes/8-WREN-CT-WOODRIDGE-IL-605171838_rb/","check listing")</f>
        <v>check listing</v>
      </c>
      <c r="AB7355" s="5" t="str">
        <f>HYPERLINK("https://propertylookup.dupagecounty.gov/Datalets/Datalet.aspx?UseSearch=no&amp;mode=sales&amp;pin=0824405015","sales record")</f>
        <v>sales record</v>
      </c>
      <c r="AC7355" t="s">
        <v>3</v>
      </c>
      <c r="AD7355">
        <v>41.763458</v>
      </c>
      <c r="AE7355">
        <v>-88.04042800000001</v>
      </c>
      <c r="AF7355" s="5" t="str">
        <f>HYPERLINK("https://www.google.com/maps/search/?api=1&amp;query=41.763458,-88.040428","map")</f>
        <v>map</v>
      </c>
    </row>
    <row r="7356" spans="1:32">
      <c r="A7356" t="s">
        <v>7406</v>
      </c>
      <c r="B7356" t="s">
        <v>14858</v>
      </c>
      <c r="C7356" t="s">
        <v>16156</v>
      </c>
      <c r="D7356" t="s">
        <v>16215</v>
      </c>
      <c r="E7356" t="s">
        <v>16218</v>
      </c>
      <c r="F7356" t="s">
        <v>16220</v>
      </c>
      <c r="G7356" t="s">
        <v>16299</v>
      </c>
      <c r="H7356" t="s">
        <v>16299</v>
      </c>
      <c r="I7356" t="s">
        <v>16382</v>
      </c>
      <c r="J7356" t="s">
        <v>16385</v>
      </c>
      <c r="K7356">
        <v>0.142</v>
      </c>
      <c r="L7356">
        <v>6175</v>
      </c>
      <c r="M7356">
        <v>1152</v>
      </c>
      <c r="N7356" t="s">
        <v>16393</v>
      </c>
      <c r="O7356" s="4">
        <v>54797</v>
      </c>
      <c r="P7356" s="4">
        <v>70042</v>
      </c>
      <c r="Q7356" s="4">
        <v>124839</v>
      </c>
      <c r="R7356" s="4">
        <v>374517</v>
      </c>
      <c r="S7356" t="s">
        <v>23502</v>
      </c>
      <c r="T7356" s="6">
        <v>34151</v>
      </c>
      <c r="U7356" s="4">
        <v>138500</v>
      </c>
      <c r="X7356" t="s">
        <v>3</v>
      </c>
      <c r="AA7356" s="5" t="str">
        <f>HYPERLINK("https://www.zillow.com/homes/6679-WHEATFIELD-ST-WOODRIDGE-IL-605171715_rb/","check listing")</f>
        <v>check listing</v>
      </c>
      <c r="AB7356" s="5" t="str">
        <f>HYPERLINK("https://propertylookup.dupagecounty.gov/Datalets/Datalet.aspx?UseSearch=no&amp;mode=sales&amp;pin=0824111005","sales record")</f>
        <v>sales record</v>
      </c>
      <c r="AC7356" t="s">
        <v>3</v>
      </c>
      <c r="AD7356">
        <v>41.765256</v>
      </c>
      <c r="AE7356">
        <v>-88.044346</v>
      </c>
      <c r="AF7356" s="5" t="str">
        <f>HYPERLINK("https://www.google.com/maps/search/?api=1&amp;query=41.765256,-88.044346","map")</f>
        <v>map</v>
      </c>
    </row>
    <row r="7357" spans="1:32">
      <c r="A7357" t="s">
        <v>7407</v>
      </c>
      <c r="B7357" t="s">
        <v>14859</v>
      </c>
      <c r="C7357" t="s">
        <v>15323</v>
      </c>
      <c r="D7357" t="s">
        <v>16215</v>
      </c>
      <c r="E7357" t="s">
        <v>16218</v>
      </c>
      <c r="F7357" t="s">
        <v>16220</v>
      </c>
      <c r="G7357" t="s">
        <v>16299</v>
      </c>
      <c r="H7357" t="s">
        <v>16299</v>
      </c>
      <c r="I7357" t="s">
        <v>16382</v>
      </c>
      <c r="J7357" t="s">
        <v>16385</v>
      </c>
      <c r="K7357">
        <v>0.142</v>
      </c>
      <c r="L7357">
        <v>6173</v>
      </c>
      <c r="M7357">
        <v>1551</v>
      </c>
      <c r="N7357" t="s">
        <v>16393</v>
      </c>
      <c r="O7357" s="4">
        <v>51954</v>
      </c>
      <c r="P7357" s="4">
        <v>57781</v>
      </c>
      <c r="Q7357" s="4">
        <v>109735</v>
      </c>
      <c r="R7357" s="4">
        <v>329205</v>
      </c>
      <c r="S7357" t="s">
        <v>23503</v>
      </c>
      <c r="T7357" s="6">
        <v>39417</v>
      </c>
      <c r="U7357" s="4">
        <v>275000</v>
      </c>
      <c r="V7357" t="s">
        <v>23739</v>
      </c>
      <c r="W7357" t="s">
        <v>27739</v>
      </c>
      <c r="X7357" t="s">
        <v>3</v>
      </c>
      <c r="AA7357" s="5" t="str">
        <f>HYPERLINK("https://www.zillow.com/homes/6644-FOXTREE-AVE-WOODRIDGE-IL-60517_rb/","check listing")</f>
        <v>check listing</v>
      </c>
      <c r="AB7357" s="5" t="str">
        <f>HYPERLINK("https://propertylookup.dupagecounty.gov/Datalets/Datalet.aspx?UseSearch=no&amp;mode=sales&amp;pin=0824109015","sales record")</f>
        <v>sales record</v>
      </c>
      <c r="AC7357" t="s">
        <v>3</v>
      </c>
      <c r="AD7357">
        <v>41.766629</v>
      </c>
      <c r="AE7357">
        <v>-88.042489</v>
      </c>
      <c r="AF7357" s="5" t="str">
        <f>HYPERLINK("https://www.google.com/maps/search/?api=1&amp;query=41.766629,-88.042489","map")</f>
        <v>map</v>
      </c>
    </row>
    <row r="7358" spans="1:32">
      <c r="A7358" t="s">
        <v>7408</v>
      </c>
      <c r="B7358" t="s">
        <v>14860</v>
      </c>
      <c r="C7358" t="s">
        <v>16182</v>
      </c>
      <c r="D7358" t="s">
        <v>16215</v>
      </c>
      <c r="E7358" t="s">
        <v>16218</v>
      </c>
      <c r="F7358" t="s">
        <v>16220</v>
      </c>
      <c r="G7358" t="s">
        <v>16299</v>
      </c>
      <c r="H7358" t="s">
        <v>16299</v>
      </c>
      <c r="I7358" t="s">
        <v>16382</v>
      </c>
      <c r="J7358" t="s">
        <v>16385</v>
      </c>
      <c r="K7358">
        <v>0.142</v>
      </c>
      <c r="L7358">
        <v>6171</v>
      </c>
      <c r="N7358" t="s">
        <v>16393</v>
      </c>
      <c r="O7358" s="4">
        <v>57651</v>
      </c>
      <c r="P7358" s="4">
        <v>82611</v>
      </c>
      <c r="Q7358" s="4">
        <v>140262</v>
      </c>
      <c r="R7358" s="4">
        <v>420786</v>
      </c>
      <c r="S7358" t="s">
        <v>23504</v>
      </c>
      <c r="T7358" s="6">
        <v>42826</v>
      </c>
      <c r="U7358" s="4">
        <v>341250</v>
      </c>
      <c r="V7358" t="s">
        <v>23739</v>
      </c>
      <c r="W7358" t="s">
        <v>23504</v>
      </c>
      <c r="X7358" t="s">
        <v>3</v>
      </c>
      <c r="AA7358" s="5" t="str">
        <f>HYPERLINK("https://www.zillow.com/homes/2728-WILD-PLUM-ST-WOODRIDGE-IL-605172001_rb/","check listing")</f>
        <v>check listing</v>
      </c>
      <c r="AB7358" s="5" t="str">
        <f>HYPERLINK("https://propertylookup.dupagecounty.gov/Datalets/Datalet.aspx?UseSearch=no&amp;mode=sales&amp;pin=0823413003","sales record")</f>
        <v>sales record</v>
      </c>
      <c r="AC7358" t="s">
        <v>3</v>
      </c>
      <c r="AD7358">
        <v>41.759083</v>
      </c>
      <c r="AE7358">
        <v>-88.050831</v>
      </c>
      <c r="AF7358" s="5" t="str">
        <f>HYPERLINK("https://www.google.com/maps/search/?api=1&amp;query=41.759083,-88.050831","map")</f>
        <v>map</v>
      </c>
    </row>
    <row r="7359" spans="1:32">
      <c r="A7359" t="s">
        <v>7409</v>
      </c>
      <c r="B7359" t="s">
        <v>14861</v>
      </c>
      <c r="C7359" t="s">
        <v>15323</v>
      </c>
      <c r="D7359" t="s">
        <v>16215</v>
      </c>
      <c r="E7359" t="s">
        <v>16218</v>
      </c>
      <c r="F7359" t="s">
        <v>16220</v>
      </c>
      <c r="G7359" t="s">
        <v>16299</v>
      </c>
      <c r="H7359" t="s">
        <v>16299</v>
      </c>
      <c r="I7359" t="s">
        <v>16382</v>
      </c>
      <c r="J7359" t="s">
        <v>16385</v>
      </c>
      <c r="K7359">
        <v>0.142</v>
      </c>
      <c r="L7359">
        <v>6170</v>
      </c>
      <c r="M7359">
        <v>2025</v>
      </c>
      <c r="N7359" t="s">
        <v>16393</v>
      </c>
      <c r="O7359" s="4">
        <v>54797</v>
      </c>
      <c r="P7359" s="4">
        <v>63989</v>
      </c>
      <c r="Q7359" s="4">
        <v>118786</v>
      </c>
      <c r="R7359" s="4">
        <v>356358</v>
      </c>
      <c r="S7359" t="s">
        <v>23505</v>
      </c>
      <c r="T7359" s="6">
        <v>40878</v>
      </c>
      <c r="U7359" s="4">
        <v>150000</v>
      </c>
      <c r="V7359" t="s">
        <v>23739</v>
      </c>
      <c r="W7359" t="s">
        <v>23505</v>
      </c>
      <c r="X7359" t="s">
        <v>3</v>
      </c>
      <c r="AA7359" s="5" t="str">
        <f>HYPERLINK("https://www.zillow.com/homes/6621-FOX-TREE-AVE-WOODRIDGE-IL-60517_rb/","check listing")</f>
        <v>check listing</v>
      </c>
      <c r="AB7359" s="5" t="str">
        <f>HYPERLINK("https://propertylookup.dupagecounty.gov/Datalets/Datalet.aspx?UseSearch=no&amp;mode=sales&amp;pin=0824111023","sales record")</f>
        <v>sales record</v>
      </c>
      <c r="AC7359" t="s">
        <v>3</v>
      </c>
      <c r="AD7359">
        <v>41.766086</v>
      </c>
      <c r="AE7359">
        <v>-88.04160299999999</v>
      </c>
      <c r="AF7359" s="5" t="str">
        <f>HYPERLINK("https://www.google.com/maps/search/?api=1&amp;query=41.766086,-88.041603","map")</f>
        <v>map</v>
      </c>
    </row>
    <row r="7360" spans="1:32">
      <c r="A7360" t="s">
        <v>7410</v>
      </c>
      <c r="B7360" t="s">
        <v>14862</v>
      </c>
      <c r="C7360" t="s">
        <v>15323</v>
      </c>
      <c r="D7360" t="s">
        <v>16215</v>
      </c>
      <c r="E7360" t="s">
        <v>16218</v>
      </c>
      <c r="F7360" t="s">
        <v>16220</v>
      </c>
      <c r="G7360" t="s">
        <v>16299</v>
      </c>
      <c r="H7360" t="s">
        <v>16299</v>
      </c>
      <c r="I7360" t="s">
        <v>16382</v>
      </c>
      <c r="J7360" t="s">
        <v>16385</v>
      </c>
      <c r="K7360">
        <v>0.141</v>
      </c>
      <c r="L7360">
        <v>6163</v>
      </c>
      <c r="M7360">
        <v>1207</v>
      </c>
      <c r="N7360" t="s">
        <v>16393</v>
      </c>
      <c r="O7360" s="4">
        <v>54797</v>
      </c>
      <c r="P7360" s="4">
        <v>70613</v>
      </c>
      <c r="Q7360" s="4">
        <v>125410</v>
      </c>
      <c r="R7360" s="4">
        <v>376230</v>
      </c>
      <c r="S7360" t="s">
        <v>23506</v>
      </c>
      <c r="X7360" t="s">
        <v>3</v>
      </c>
      <c r="AA7360" s="5" t="str">
        <f>HYPERLINK("https://www.zillow.com/homes/6909-RED-BUD-LN-WOODRIDGE-IL-60517_rb/","check listing")</f>
        <v>check listing</v>
      </c>
      <c r="AB7360" s="5" t="str">
        <f>HYPERLINK("https://propertylookup.dupagecounty.gov/Datalets/Datalet.aspx?UseSearch=no&amp;mode=sales&amp;pin=0824306036","sales record")</f>
        <v>sales record</v>
      </c>
      <c r="AC7360" t="s">
        <v>3</v>
      </c>
      <c r="AD7360">
        <v>41.761401</v>
      </c>
      <c r="AE7360">
        <v>-88.047166</v>
      </c>
      <c r="AF7360" s="5" t="str">
        <f>HYPERLINK("https://www.google.com/maps/search/?api=1&amp;query=41.761401,-88.047166","map")</f>
        <v>map</v>
      </c>
    </row>
    <row r="7361" spans="1:32">
      <c r="A7361" t="s">
        <v>7411</v>
      </c>
      <c r="B7361" t="s">
        <v>14863</v>
      </c>
      <c r="C7361" t="s">
        <v>16136</v>
      </c>
      <c r="D7361" t="s">
        <v>16215</v>
      </c>
      <c r="E7361" t="s">
        <v>16218</v>
      </c>
      <c r="F7361" t="s">
        <v>16220</v>
      </c>
      <c r="G7361" t="s">
        <v>16299</v>
      </c>
      <c r="H7361" t="s">
        <v>16299</v>
      </c>
      <c r="I7361" t="s">
        <v>16382</v>
      </c>
      <c r="J7361" t="s">
        <v>16385</v>
      </c>
      <c r="K7361">
        <v>0.141</v>
      </c>
      <c r="L7361">
        <v>6162</v>
      </c>
      <c r="M7361">
        <v>1802</v>
      </c>
      <c r="N7361" t="s">
        <v>16393</v>
      </c>
      <c r="O7361" s="4">
        <v>51919</v>
      </c>
      <c r="P7361" s="4">
        <v>67830</v>
      </c>
      <c r="Q7361" s="4">
        <v>119749</v>
      </c>
      <c r="R7361" s="4">
        <v>359247</v>
      </c>
      <c r="S7361" t="s">
        <v>23507</v>
      </c>
      <c r="T7361" s="6">
        <v>43891</v>
      </c>
      <c r="U7361" s="4">
        <v>242000</v>
      </c>
      <c r="V7361" t="s">
        <v>23739</v>
      </c>
      <c r="W7361" t="s">
        <v>27740</v>
      </c>
      <c r="X7361" t="s">
        <v>3</v>
      </c>
      <c r="AA7361" s="5" t="str">
        <f>HYPERLINK("https://www.zillow.com/homes/6640-FOXTREE-AVE-WOODRIDGE-IL-605171729_rb/","check listing")</f>
        <v>check listing</v>
      </c>
      <c r="AB7361" s="5" t="str">
        <f>HYPERLINK("https://propertylookup.dupagecounty.gov/Datalets/Datalet.aspx?UseSearch=no&amp;mode=sales&amp;pin=0824109016","sales record")</f>
        <v>sales record</v>
      </c>
      <c r="AC7361" t="s">
        <v>3</v>
      </c>
      <c r="AD7361">
        <v>41.766637</v>
      </c>
      <c r="AE7361">
        <v>-88.04225099999999</v>
      </c>
      <c r="AF7361" s="5" t="str">
        <f>HYPERLINK("https://www.google.com/maps/search/?api=1&amp;query=41.766637,-88.042251","map")</f>
        <v>map</v>
      </c>
    </row>
    <row r="7362" spans="1:32">
      <c r="A7362" t="s">
        <v>7412</v>
      </c>
      <c r="B7362" t="s">
        <v>14864</v>
      </c>
      <c r="C7362" t="s">
        <v>15323</v>
      </c>
      <c r="D7362" t="s">
        <v>16215</v>
      </c>
      <c r="E7362" t="s">
        <v>16218</v>
      </c>
      <c r="F7362" t="s">
        <v>16220</v>
      </c>
      <c r="G7362" t="s">
        <v>16299</v>
      </c>
      <c r="H7362" t="s">
        <v>16299</v>
      </c>
      <c r="I7362" t="s">
        <v>16382</v>
      </c>
      <c r="J7362" t="s">
        <v>16385</v>
      </c>
      <c r="K7362">
        <v>0.141</v>
      </c>
      <c r="L7362">
        <v>6151</v>
      </c>
      <c r="M7362">
        <v>1772</v>
      </c>
      <c r="N7362" t="s">
        <v>16393</v>
      </c>
      <c r="O7362" s="4">
        <v>54797</v>
      </c>
      <c r="P7362" s="4">
        <v>53250</v>
      </c>
      <c r="Q7362" s="4">
        <v>108047</v>
      </c>
      <c r="R7362" s="4">
        <v>324141</v>
      </c>
      <c r="S7362" t="s">
        <v>23508</v>
      </c>
      <c r="T7362" s="6">
        <v>42826</v>
      </c>
      <c r="U7362" s="4">
        <v>179000</v>
      </c>
      <c r="V7362" t="s">
        <v>23740</v>
      </c>
      <c r="W7362" t="s">
        <v>23508</v>
      </c>
      <c r="X7362" t="s">
        <v>3</v>
      </c>
      <c r="AA7362" s="5" t="str">
        <f>HYPERLINK("https://www.zillow.com/homes/1-ORIOLE-CT-WOODRIDGE-IL-60517_rb/","check listing")</f>
        <v>check listing</v>
      </c>
      <c r="AB7362" s="5" t="str">
        <f>HYPERLINK("https://propertylookup.dupagecounty.gov/Datalets/Datalet.aspx?UseSearch=no&amp;mode=sales&amp;pin=0824319028","sales record")</f>
        <v>sales record</v>
      </c>
      <c r="AC7362" t="s">
        <v>3</v>
      </c>
      <c r="AD7362">
        <v>41.76231</v>
      </c>
      <c r="AE7362">
        <v>-88.04183</v>
      </c>
      <c r="AF7362" s="5" t="str">
        <f>HYPERLINK("https://www.google.com/maps/search/?api=1&amp;query=41.76231,-88.04183","map")</f>
        <v>map</v>
      </c>
    </row>
    <row r="7363" spans="1:32">
      <c r="A7363" t="s">
        <v>7413</v>
      </c>
      <c r="B7363" t="s">
        <v>14865</v>
      </c>
      <c r="C7363" t="s">
        <v>16163</v>
      </c>
      <c r="D7363" t="s">
        <v>16215</v>
      </c>
      <c r="E7363" t="s">
        <v>16218</v>
      </c>
      <c r="F7363" t="s">
        <v>16220</v>
      </c>
      <c r="G7363" t="s">
        <v>16299</v>
      </c>
      <c r="H7363" t="s">
        <v>16299</v>
      </c>
      <c r="I7363" t="s">
        <v>16382</v>
      </c>
      <c r="J7363" t="s">
        <v>16385</v>
      </c>
      <c r="K7363">
        <v>0.141</v>
      </c>
      <c r="L7363">
        <v>6148</v>
      </c>
      <c r="M7363">
        <v>1933</v>
      </c>
      <c r="N7363" t="s">
        <v>16393</v>
      </c>
      <c r="O7363" s="4">
        <v>54797</v>
      </c>
      <c r="P7363" s="4">
        <v>69601</v>
      </c>
      <c r="Q7363" s="4">
        <v>124398</v>
      </c>
      <c r="R7363" s="4">
        <v>373194</v>
      </c>
      <c r="S7363" t="s">
        <v>23509</v>
      </c>
      <c r="T7363" s="6">
        <v>44378</v>
      </c>
      <c r="U7363" s="4">
        <v>302000</v>
      </c>
      <c r="V7363" t="s">
        <v>23739</v>
      </c>
      <c r="W7363" t="s">
        <v>23509</v>
      </c>
      <c r="X7363" t="s">
        <v>3</v>
      </c>
      <c r="AA7363" s="5" t="str">
        <f>HYPERLINK("https://www.zillow.com/homes/2592-YELLOW-STAR-ST-WOODRIDGE-IL-605171710_rb/","check listing")</f>
        <v>check listing</v>
      </c>
      <c r="AB7363" s="5" t="str">
        <f>HYPERLINK("https://propertylookup.dupagecounty.gov/Datalets/Datalet.aspx?UseSearch=no&amp;mode=sales&amp;pin=0824303037","sales record")</f>
        <v>sales record</v>
      </c>
      <c r="AC7363" t="s">
        <v>27873</v>
      </c>
      <c r="AD7363">
        <v>41.762754</v>
      </c>
      <c r="AE7363">
        <v>-88.048192</v>
      </c>
      <c r="AF7363" s="5" t="str">
        <f>HYPERLINK("https://www.google.com/maps/search/?api=1&amp;query=41.762754,-88.048192","map")</f>
        <v>map</v>
      </c>
    </row>
    <row r="7364" spans="1:32">
      <c r="A7364" t="s">
        <v>7414</v>
      </c>
      <c r="B7364" t="s">
        <v>14866</v>
      </c>
      <c r="C7364" t="s">
        <v>15323</v>
      </c>
      <c r="D7364" t="s">
        <v>16215</v>
      </c>
      <c r="E7364" t="s">
        <v>16218</v>
      </c>
      <c r="F7364" t="s">
        <v>16220</v>
      </c>
      <c r="G7364" t="s">
        <v>16299</v>
      </c>
      <c r="H7364" t="s">
        <v>16299</v>
      </c>
      <c r="I7364" t="s">
        <v>16382</v>
      </c>
      <c r="J7364" t="s">
        <v>16385</v>
      </c>
      <c r="K7364">
        <v>0.141</v>
      </c>
      <c r="L7364">
        <v>6144</v>
      </c>
      <c r="M7364">
        <v>1947</v>
      </c>
      <c r="N7364" t="s">
        <v>16393</v>
      </c>
      <c r="O7364" s="4">
        <v>49124</v>
      </c>
      <c r="P7364" s="4">
        <v>77534</v>
      </c>
      <c r="Q7364" s="4">
        <v>126658</v>
      </c>
      <c r="R7364" s="4">
        <v>379974</v>
      </c>
      <c r="S7364" t="s">
        <v>23510</v>
      </c>
      <c r="T7364" s="6">
        <v>38139</v>
      </c>
      <c r="U7364" s="4">
        <v>251370</v>
      </c>
      <c r="V7364" t="s">
        <v>23739</v>
      </c>
      <c r="W7364" t="s">
        <v>23510</v>
      </c>
      <c r="X7364" t="s">
        <v>3</v>
      </c>
      <c r="AA7364" s="5" t="str">
        <f>HYPERLINK("https://www.zillow.com/homes/6817-REDWING-DR-WOODRIDGE-IL-60517_rb/","check listing")</f>
        <v>check listing</v>
      </c>
      <c r="AB7364" s="5" t="str">
        <f>HYPERLINK("https://propertylookup.dupagecounty.gov/Datalets/Datalet.aspx?UseSearch=no&amp;mode=sales&amp;pin=0824404016","sales record")</f>
        <v>sales record</v>
      </c>
      <c r="AC7364" t="s">
        <v>3</v>
      </c>
      <c r="AD7364">
        <v>41.763536</v>
      </c>
      <c r="AE7364">
        <v>-88.03831</v>
      </c>
      <c r="AF7364" s="5" t="str">
        <f>HYPERLINK("https://www.google.com/maps/search/?api=1&amp;query=41.763536,-88.03831","map")</f>
        <v>map</v>
      </c>
    </row>
    <row r="7365" spans="1:32">
      <c r="A7365" t="s">
        <v>7415</v>
      </c>
      <c r="B7365" t="s">
        <v>14867</v>
      </c>
      <c r="C7365" t="s">
        <v>15323</v>
      </c>
      <c r="D7365" t="s">
        <v>16215</v>
      </c>
      <c r="E7365" t="s">
        <v>16218</v>
      </c>
      <c r="F7365" t="s">
        <v>16220</v>
      </c>
      <c r="G7365" t="s">
        <v>16299</v>
      </c>
      <c r="H7365" t="s">
        <v>16299</v>
      </c>
      <c r="I7365" t="s">
        <v>16382</v>
      </c>
      <c r="J7365" t="s">
        <v>16385</v>
      </c>
      <c r="K7365">
        <v>0.141</v>
      </c>
      <c r="L7365">
        <v>6142</v>
      </c>
      <c r="M7365">
        <v>1565</v>
      </c>
      <c r="N7365" t="s">
        <v>16393</v>
      </c>
      <c r="O7365" s="4">
        <v>54797</v>
      </c>
      <c r="P7365" s="4">
        <v>79983</v>
      </c>
      <c r="Q7365" s="4">
        <v>134780</v>
      </c>
      <c r="R7365" s="4">
        <v>404340</v>
      </c>
      <c r="S7365" t="s">
        <v>23511</v>
      </c>
      <c r="T7365" s="6">
        <v>40483</v>
      </c>
      <c r="U7365" s="4">
        <v>247000</v>
      </c>
      <c r="V7365" t="s">
        <v>23739</v>
      </c>
      <c r="W7365" t="s">
        <v>27741</v>
      </c>
      <c r="X7365" t="s">
        <v>3</v>
      </c>
      <c r="AA7365" s="5" t="str">
        <f>HYPERLINK("https://www.zillow.com/homes/7-QUAIL-CT-WOODRIDGE-IL-60517_rb/","check listing")</f>
        <v>check listing</v>
      </c>
      <c r="AB7365" s="5" t="str">
        <f>HYPERLINK("https://propertylookup.dupagecounty.gov/Datalets/Datalet.aspx?UseSearch=no&amp;mode=sales&amp;pin=0824318008","sales record")</f>
        <v>sales record</v>
      </c>
      <c r="AC7365" t="s">
        <v>3</v>
      </c>
      <c r="AD7365">
        <v>41.7638</v>
      </c>
      <c r="AE7365">
        <v>-88.041651</v>
      </c>
      <c r="AF7365" s="5" t="str">
        <f>HYPERLINK("https://www.google.com/maps/search/?api=1&amp;query=41.7638,-88.041651","map")</f>
        <v>map</v>
      </c>
    </row>
    <row r="7366" spans="1:32">
      <c r="A7366" t="s">
        <v>7416</v>
      </c>
      <c r="B7366" t="s">
        <v>14868</v>
      </c>
      <c r="C7366" t="s">
        <v>15323</v>
      </c>
      <c r="D7366" t="s">
        <v>16215</v>
      </c>
      <c r="E7366" t="s">
        <v>16218</v>
      </c>
      <c r="F7366" t="s">
        <v>16220</v>
      </c>
      <c r="G7366" t="s">
        <v>16299</v>
      </c>
      <c r="H7366" t="s">
        <v>16299</v>
      </c>
      <c r="I7366" t="s">
        <v>16382</v>
      </c>
      <c r="J7366" t="s">
        <v>16385</v>
      </c>
      <c r="K7366">
        <v>0.14</v>
      </c>
      <c r="L7366">
        <v>6119</v>
      </c>
      <c r="M7366">
        <v>1680</v>
      </c>
      <c r="N7366" t="s">
        <v>16393</v>
      </c>
      <c r="O7366" s="4">
        <v>54713</v>
      </c>
      <c r="P7366" s="4">
        <v>65119</v>
      </c>
      <c r="Q7366" s="4">
        <v>119832</v>
      </c>
      <c r="R7366" s="4">
        <v>359496</v>
      </c>
      <c r="S7366" t="s">
        <v>23512</v>
      </c>
      <c r="T7366" s="6">
        <v>38200</v>
      </c>
      <c r="U7366" s="4">
        <v>242000</v>
      </c>
      <c r="V7366" t="s">
        <v>23739</v>
      </c>
      <c r="W7366" t="s">
        <v>23512</v>
      </c>
      <c r="X7366" t="s">
        <v>3</v>
      </c>
      <c r="AA7366" s="5" t="str">
        <f>HYPERLINK("https://www.zillow.com/homes/11-KILDEER-CT-WOODRIDGE-IL-60517_rb/","check listing")</f>
        <v>check listing</v>
      </c>
      <c r="AB7366" s="5" t="str">
        <f>HYPERLINK("https://propertylookup.dupagecounty.gov/Datalets/Datalet.aspx?UseSearch=no&amp;mode=sales&amp;pin=0824319024","sales record")</f>
        <v>sales record</v>
      </c>
      <c r="AC7366" t="s">
        <v>3</v>
      </c>
      <c r="AD7366">
        <v>41.762197</v>
      </c>
      <c r="AE7366">
        <v>-88.04274599999999</v>
      </c>
      <c r="AF7366" s="5" t="str">
        <f>HYPERLINK("https://www.google.com/maps/search/?api=1&amp;query=41.762197,-88.042746","map")</f>
        <v>map</v>
      </c>
    </row>
    <row r="7367" spans="1:32">
      <c r="A7367" t="s">
        <v>7417</v>
      </c>
      <c r="B7367" t="s">
        <v>14869</v>
      </c>
      <c r="C7367" t="s">
        <v>15323</v>
      </c>
      <c r="D7367" t="s">
        <v>16215</v>
      </c>
      <c r="E7367" t="s">
        <v>16218</v>
      </c>
      <c r="F7367" t="s">
        <v>16220</v>
      </c>
      <c r="G7367" t="s">
        <v>16299</v>
      </c>
      <c r="H7367" t="s">
        <v>16299</v>
      </c>
      <c r="I7367" t="s">
        <v>16382</v>
      </c>
      <c r="J7367" t="s">
        <v>16385</v>
      </c>
      <c r="K7367">
        <v>0.14</v>
      </c>
      <c r="L7367">
        <v>6112</v>
      </c>
      <c r="M7367">
        <v>2308</v>
      </c>
      <c r="N7367" t="s">
        <v>16393</v>
      </c>
      <c r="O7367" s="4">
        <v>57651</v>
      </c>
      <c r="P7367" s="4">
        <v>73240</v>
      </c>
      <c r="Q7367" s="4">
        <v>130891</v>
      </c>
      <c r="R7367" s="4">
        <v>392673</v>
      </c>
      <c r="S7367" t="s">
        <v>23513</v>
      </c>
      <c r="T7367" s="6">
        <v>35916</v>
      </c>
      <c r="U7367" s="4">
        <v>149000</v>
      </c>
      <c r="X7367" t="s">
        <v>3</v>
      </c>
      <c r="AA7367" s="5" t="str">
        <f>HYPERLINK("https://www.zillow.com/homes/2717-WILD-PLUM-DR-WOODRIDGE-IL-60517_rb/","check listing")</f>
        <v>check listing</v>
      </c>
      <c r="AB7367" s="5" t="str">
        <f>HYPERLINK("https://propertylookup.dupagecounty.gov/Datalets/Datalet.aspx?UseSearch=no&amp;mode=sales&amp;pin=0824311003","sales record")</f>
        <v>sales record</v>
      </c>
      <c r="AC7367" t="s">
        <v>3</v>
      </c>
      <c r="AD7367">
        <v>41.758656</v>
      </c>
      <c r="AE7367">
        <v>-88.05014799999999</v>
      </c>
      <c r="AF7367" s="5" t="str">
        <f>HYPERLINK("https://www.google.com/maps/search/?api=1&amp;query=41.758656,-88.050148","map")</f>
        <v>map</v>
      </c>
    </row>
    <row r="7368" spans="1:32">
      <c r="A7368" t="s">
        <v>7418</v>
      </c>
      <c r="B7368" t="s">
        <v>14870</v>
      </c>
      <c r="C7368" t="s">
        <v>16137</v>
      </c>
      <c r="D7368" t="s">
        <v>16215</v>
      </c>
      <c r="E7368" t="s">
        <v>16218</v>
      </c>
      <c r="F7368" t="s">
        <v>16220</v>
      </c>
      <c r="G7368" t="s">
        <v>16299</v>
      </c>
      <c r="H7368" t="s">
        <v>16299</v>
      </c>
      <c r="I7368" t="s">
        <v>16382</v>
      </c>
      <c r="J7368" t="s">
        <v>16385</v>
      </c>
      <c r="K7368">
        <v>0.14</v>
      </c>
      <c r="L7368">
        <v>6108</v>
      </c>
      <c r="M7368">
        <v>2321</v>
      </c>
      <c r="N7368" t="s">
        <v>16393</v>
      </c>
      <c r="O7368" s="4">
        <v>57651</v>
      </c>
      <c r="P7368" s="4">
        <v>77712</v>
      </c>
      <c r="Q7368" s="4">
        <v>135363</v>
      </c>
      <c r="R7368" s="4">
        <v>406089</v>
      </c>
      <c r="S7368" t="s">
        <v>23514</v>
      </c>
      <c r="T7368" s="6">
        <v>43009</v>
      </c>
      <c r="U7368" s="4">
        <v>340000</v>
      </c>
      <c r="V7368" t="s">
        <v>23739</v>
      </c>
      <c r="W7368" t="s">
        <v>23514</v>
      </c>
      <c r="X7368" t="s">
        <v>3</v>
      </c>
      <c r="AA7368" s="5" t="str">
        <f>HYPERLINK("https://www.zillow.com/homes/6948-SUN-DROP-AVE-WOODRIDGE-IL-605172003_rb/","check listing")</f>
        <v>check listing</v>
      </c>
      <c r="AB7368" s="5" t="str">
        <f>HYPERLINK("https://propertylookup.dupagecounty.gov/Datalets/Datalet.aspx?UseSearch=no&amp;mode=sales&amp;pin=0824310015","sales record")</f>
        <v>sales record</v>
      </c>
      <c r="AC7368" t="s">
        <v>3</v>
      </c>
      <c r="AD7368">
        <v>41.759278</v>
      </c>
      <c r="AE7368">
        <v>-88.04992799999999</v>
      </c>
      <c r="AF7368" s="5" t="str">
        <f>HYPERLINK("https://www.google.com/maps/search/?api=1&amp;query=41.759278,-88.049928","map")</f>
        <v>map</v>
      </c>
    </row>
    <row r="7369" spans="1:32">
      <c r="A7369" t="s">
        <v>7419</v>
      </c>
      <c r="B7369" t="s">
        <v>14871</v>
      </c>
      <c r="C7369" t="s">
        <v>15323</v>
      </c>
      <c r="D7369" t="s">
        <v>16215</v>
      </c>
      <c r="E7369" t="s">
        <v>16218</v>
      </c>
      <c r="F7369" t="s">
        <v>16220</v>
      </c>
      <c r="G7369" t="s">
        <v>16299</v>
      </c>
      <c r="H7369" t="s">
        <v>16299</v>
      </c>
      <c r="I7369" t="s">
        <v>16382</v>
      </c>
      <c r="J7369" t="s">
        <v>16385</v>
      </c>
      <c r="K7369">
        <v>0.14</v>
      </c>
      <c r="L7369">
        <v>6096</v>
      </c>
      <c r="M7369">
        <v>2027</v>
      </c>
      <c r="N7369" t="s">
        <v>16393</v>
      </c>
      <c r="O7369" s="4">
        <v>54797</v>
      </c>
      <c r="P7369" s="4">
        <v>67259</v>
      </c>
      <c r="Q7369" s="4">
        <v>122056</v>
      </c>
      <c r="R7369" s="4">
        <v>366168</v>
      </c>
      <c r="S7369" t="s">
        <v>23515</v>
      </c>
      <c r="T7369" s="6">
        <v>42095</v>
      </c>
      <c r="U7369" s="4">
        <v>259900</v>
      </c>
      <c r="V7369" t="s">
        <v>23739</v>
      </c>
      <c r="W7369" t="s">
        <v>27742</v>
      </c>
      <c r="X7369" t="s">
        <v>3</v>
      </c>
      <c r="AA7369" s="5" t="str">
        <f>HYPERLINK("https://www.zillow.com/homes/5-CARDINAL-CT-WOODRIDGE-IL-60517_rb/","check listing")</f>
        <v>check listing</v>
      </c>
      <c r="AB7369" s="5" t="str">
        <f>HYPERLINK("https://propertylookup.dupagecounty.gov/Datalets/Datalet.aspx?UseSearch=no&amp;mode=sales&amp;pin=0824317016","sales record")</f>
        <v>sales record</v>
      </c>
      <c r="AC7369" t="s">
        <v>3</v>
      </c>
      <c r="AD7369">
        <v>41.763759</v>
      </c>
      <c r="AE7369">
        <v>-88.04351200000001</v>
      </c>
      <c r="AF7369" s="5" t="str">
        <f>HYPERLINK("https://www.google.com/maps/search/?api=1&amp;query=41.763759,-88.043512","map")</f>
        <v>map</v>
      </c>
    </row>
    <row r="7370" spans="1:32">
      <c r="A7370" t="s">
        <v>7420</v>
      </c>
      <c r="B7370" t="s">
        <v>14872</v>
      </c>
      <c r="C7370" t="s">
        <v>15323</v>
      </c>
      <c r="D7370" t="s">
        <v>16215</v>
      </c>
      <c r="E7370" t="s">
        <v>16218</v>
      </c>
      <c r="F7370" t="s">
        <v>16220</v>
      </c>
      <c r="G7370" t="s">
        <v>16299</v>
      </c>
      <c r="H7370" t="s">
        <v>16299</v>
      </c>
      <c r="I7370" t="s">
        <v>16382</v>
      </c>
      <c r="J7370" t="s">
        <v>16385</v>
      </c>
      <c r="K7370">
        <v>0.14</v>
      </c>
      <c r="L7370">
        <v>6092</v>
      </c>
      <c r="M7370">
        <v>2474</v>
      </c>
      <c r="N7370" t="s">
        <v>16393</v>
      </c>
      <c r="O7370" s="4">
        <v>57651</v>
      </c>
      <c r="P7370" s="4">
        <v>74715</v>
      </c>
      <c r="Q7370" s="4">
        <v>132366</v>
      </c>
      <c r="R7370" s="4">
        <v>397098</v>
      </c>
      <c r="S7370" t="s">
        <v>23516</v>
      </c>
      <c r="T7370" s="6">
        <v>33178</v>
      </c>
      <c r="U7370" s="4">
        <v>132200</v>
      </c>
      <c r="X7370" t="s">
        <v>3</v>
      </c>
      <c r="AA7370" s="5" t="str">
        <f>HYPERLINK("https://www.zillow.com/homes/6949-SUN-DROP-AVE-WOODRIDGE-IL-60517_rb/","check listing")</f>
        <v>check listing</v>
      </c>
      <c r="AB7370" s="5" t="str">
        <f>HYPERLINK("https://propertylookup.dupagecounty.gov/Datalets/Datalet.aspx?UseSearch=no&amp;mode=sales&amp;pin=0824309016","sales record")</f>
        <v>sales record</v>
      </c>
      <c r="AC7370" t="s">
        <v>3</v>
      </c>
      <c r="AD7370">
        <v>41.759225</v>
      </c>
      <c r="AE7370">
        <v>-88.04936600000001</v>
      </c>
      <c r="AF7370" s="5" t="str">
        <f>HYPERLINK("https://www.google.com/maps/search/?api=1&amp;query=41.759225,-88.049366","map")</f>
        <v>map</v>
      </c>
    </row>
    <row r="7371" spans="1:32">
      <c r="A7371" t="s">
        <v>7421</v>
      </c>
      <c r="B7371" t="s">
        <v>14873</v>
      </c>
      <c r="C7371" t="s">
        <v>15323</v>
      </c>
      <c r="D7371" t="s">
        <v>16215</v>
      </c>
      <c r="E7371" t="s">
        <v>16218</v>
      </c>
      <c r="F7371" t="s">
        <v>16220</v>
      </c>
      <c r="G7371" t="s">
        <v>16299</v>
      </c>
      <c r="H7371" t="s">
        <v>16299</v>
      </c>
      <c r="I7371" t="s">
        <v>16382</v>
      </c>
      <c r="J7371" t="s">
        <v>16385</v>
      </c>
      <c r="K7371">
        <v>0.14</v>
      </c>
      <c r="L7371">
        <v>6092</v>
      </c>
      <c r="M7371">
        <v>1817</v>
      </c>
      <c r="N7371" t="s">
        <v>16393</v>
      </c>
      <c r="O7371" s="4">
        <v>54797</v>
      </c>
      <c r="P7371" s="4">
        <v>69175</v>
      </c>
      <c r="Q7371" s="4">
        <v>123972</v>
      </c>
      <c r="R7371" s="4">
        <v>371916</v>
      </c>
      <c r="S7371" t="s">
        <v>23517</v>
      </c>
      <c r="T7371" s="6">
        <v>45455</v>
      </c>
      <c r="U7371" s="4">
        <v>415000</v>
      </c>
      <c r="V7371" t="s">
        <v>23739</v>
      </c>
      <c r="W7371" t="s">
        <v>27743</v>
      </c>
      <c r="X7371" t="s">
        <v>3</v>
      </c>
      <c r="AA7371" s="5" t="str">
        <f>HYPERLINK("https://www.zillow.com/homes/6659-WHEATFIELD-ST-WOODRIDGE-IL-60517_rb/","check listing")</f>
        <v>check listing</v>
      </c>
      <c r="AB7371" s="5" t="str">
        <f>HYPERLINK("https://propertylookup.dupagecounty.gov/Datalets/Datalet.aspx?UseSearch=no&amp;mode=sales&amp;pin=0824111011","sales record")</f>
        <v>sales record</v>
      </c>
      <c r="AC7371" t="s">
        <v>3</v>
      </c>
      <c r="AD7371">
        <v>41.765286</v>
      </c>
      <c r="AE7371">
        <v>-88.04304500000001</v>
      </c>
      <c r="AF7371" s="5" t="str">
        <f>HYPERLINK("https://www.google.com/maps/search/?api=1&amp;query=41.765286,-88.043045","map")</f>
        <v>map</v>
      </c>
    </row>
    <row r="7372" spans="1:32">
      <c r="A7372" t="s">
        <v>7422</v>
      </c>
      <c r="B7372" t="s">
        <v>14874</v>
      </c>
      <c r="C7372" t="s">
        <v>16183</v>
      </c>
      <c r="D7372" t="s">
        <v>16215</v>
      </c>
      <c r="E7372" t="s">
        <v>16218</v>
      </c>
      <c r="F7372" t="s">
        <v>16220</v>
      </c>
      <c r="G7372" t="s">
        <v>16299</v>
      </c>
      <c r="H7372" t="s">
        <v>16299</v>
      </c>
      <c r="I7372" t="s">
        <v>16382</v>
      </c>
      <c r="J7372" t="s">
        <v>16385</v>
      </c>
      <c r="K7372">
        <v>0.14</v>
      </c>
      <c r="L7372">
        <v>6087</v>
      </c>
      <c r="M7372">
        <v>1303</v>
      </c>
      <c r="N7372" t="s">
        <v>16393</v>
      </c>
      <c r="O7372" s="4">
        <v>54797</v>
      </c>
      <c r="P7372" s="4">
        <v>60136</v>
      </c>
      <c r="Q7372" s="4">
        <v>114933</v>
      </c>
      <c r="R7372" s="4">
        <v>344799</v>
      </c>
      <c r="S7372" t="s">
        <v>23518</v>
      </c>
      <c r="T7372" s="6">
        <v>42614</v>
      </c>
      <c r="U7372" s="4">
        <v>175000</v>
      </c>
      <c r="V7372" t="s">
        <v>23739</v>
      </c>
      <c r="W7372" t="s">
        <v>23518</v>
      </c>
      <c r="X7372" t="s">
        <v>3</v>
      </c>
      <c r="AA7372" s="5" t="str">
        <f>HYPERLINK("https://www.zillow.com/homes/2416-KILDEER-ST-WOODRIDGE-IL-605171852_rb/","check listing")</f>
        <v>check listing</v>
      </c>
      <c r="AB7372" s="5" t="str">
        <f>HYPERLINK("https://propertylookup.dupagecounty.gov/Datalets/Datalet.aspx?UseSearch=no&amp;mode=sales&amp;pin=0824320011","sales record")</f>
        <v>sales record</v>
      </c>
      <c r="AC7372" t="s">
        <v>3</v>
      </c>
      <c r="AD7372">
        <v>41.762683</v>
      </c>
      <c r="AE7372">
        <v>-88.042044</v>
      </c>
      <c r="AF7372" s="5" t="str">
        <f>HYPERLINK("https://www.google.com/maps/search/?api=1&amp;query=41.762683,-88.042044","map")</f>
        <v>map</v>
      </c>
    </row>
    <row r="7373" spans="1:32">
      <c r="A7373" t="s">
        <v>7423</v>
      </c>
      <c r="B7373" t="s">
        <v>14875</v>
      </c>
      <c r="C7373" t="s">
        <v>16170</v>
      </c>
      <c r="D7373" t="s">
        <v>16215</v>
      </c>
      <c r="E7373" t="s">
        <v>16218</v>
      </c>
      <c r="F7373" t="s">
        <v>16220</v>
      </c>
      <c r="G7373" t="s">
        <v>16299</v>
      </c>
      <c r="H7373" t="s">
        <v>16299</v>
      </c>
      <c r="I7373" t="s">
        <v>16382</v>
      </c>
      <c r="J7373" t="s">
        <v>16385</v>
      </c>
      <c r="K7373">
        <v>0.139</v>
      </c>
      <c r="L7373">
        <v>6057</v>
      </c>
      <c r="M7373">
        <v>1703</v>
      </c>
      <c r="N7373" t="s">
        <v>16393</v>
      </c>
      <c r="O7373" s="4">
        <v>57651</v>
      </c>
      <c r="P7373" s="4">
        <v>89961</v>
      </c>
      <c r="Q7373" s="4">
        <v>147612</v>
      </c>
      <c r="R7373" s="4">
        <v>442836</v>
      </c>
      <c r="S7373" t="s">
        <v>23519</v>
      </c>
      <c r="T7373" s="6">
        <v>34213</v>
      </c>
      <c r="U7373" s="4">
        <v>149000</v>
      </c>
      <c r="X7373" t="s">
        <v>3</v>
      </c>
      <c r="AA7373" s="5" t="str">
        <f>HYPERLINK("https://www.zillow.com/homes/6946-BLUE-FLAG-AVE-WOODRIDGE-IL-605172006_rb/","check listing")</f>
        <v>check listing</v>
      </c>
      <c r="AB7373" s="5" t="str">
        <f>HYPERLINK("https://propertylookup.dupagecounty.gov/Datalets/Datalet.aspx?UseSearch=no&amp;mode=sales&amp;pin=0823414046","sales record")</f>
        <v>sales record</v>
      </c>
      <c r="AC7373" t="s">
        <v>3</v>
      </c>
      <c r="AD7373">
        <v>41.759633</v>
      </c>
      <c r="AE7373">
        <v>-88.05131299999999</v>
      </c>
      <c r="AF7373" s="5" t="str">
        <f>HYPERLINK("https://www.google.com/maps/search/?api=1&amp;query=41.759633,-88.051313","map")</f>
        <v>map</v>
      </c>
    </row>
    <row r="7374" spans="1:32">
      <c r="A7374" t="s">
        <v>7424</v>
      </c>
      <c r="B7374" t="s">
        <v>14876</v>
      </c>
      <c r="C7374" t="s">
        <v>16179</v>
      </c>
      <c r="D7374" t="s">
        <v>16215</v>
      </c>
      <c r="E7374" t="s">
        <v>16218</v>
      </c>
      <c r="F7374" t="s">
        <v>16220</v>
      </c>
      <c r="G7374" t="s">
        <v>16299</v>
      </c>
      <c r="H7374" t="s">
        <v>16299</v>
      </c>
      <c r="I7374" t="s">
        <v>16382</v>
      </c>
      <c r="J7374" t="s">
        <v>16385</v>
      </c>
      <c r="K7374">
        <v>0.139</v>
      </c>
      <c r="L7374">
        <v>6053</v>
      </c>
      <c r="M7374">
        <v>1197</v>
      </c>
      <c r="N7374" t="s">
        <v>16393</v>
      </c>
      <c r="O7374" s="4">
        <v>54797</v>
      </c>
      <c r="P7374" s="4">
        <v>83004</v>
      </c>
      <c r="Q7374" s="4">
        <v>137801</v>
      </c>
      <c r="R7374" s="4">
        <v>413403</v>
      </c>
      <c r="S7374" t="s">
        <v>23520</v>
      </c>
      <c r="T7374" s="6">
        <v>43831</v>
      </c>
      <c r="U7374" s="4">
        <v>270000</v>
      </c>
      <c r="V7374" t="s">
        <v>23739</v>
      </c>
      <c r="W7374" t="s">
        <v>27744</v>
      </c>
      <c r="X7374" t="s">
        <v>3</v>
      </c>
      <c r="AA7374" s="5" t="str">
        <f>HYPERLINK("https://www.zillow.com/homes/6-BLUE-JAY-CT-WOODRIDGE-IL-605171735_rb/","check listing")</f>
        <v>check listing</v>
      </c>
      <c r="AB7374" s="5" t="str">
        <f>HYPERLINK("https://propertylookup.dupagecounty.gov/Datalets/Datalet.aspx?UseSearch=no&amp;mode=sales&amp;pin=0824319001","sales record")</f>
        <v>sales record</v>
      </c>
      <c r="AC7374" t="s">
        <v>3</v>
      </c>
      <c r="AD7374">
        <v>41.763399</v>
      </c>
      <c r="AE7374">
        <v>-88.043413</v>
      </c>
      <c r="AF7374" s="5" t="str">
        <f>HYPERLINK("https://www.google.com/maps/search/?api=1&amp;query=41.763399,-88.043413","map")</f>
        <v>map</v>
      </c>
    </row>
    <row r="7375" spans="1:32">
      <c r="A7375" t="s">
        <v>7425</v>
      </c>
      <c r="B7375" t="s">
        <v>14877</v>
      </c>
      <c r="C7375" t="s">
        <v>16183</v>
      </c>
      <c r="D7375" t="s">
        <v>16215</v>
      </c>
      <c r="E7375" t="s">
        <v>16218</v>
      </c>
      <c r="F7375" t="s">
        <v>16220</v>
      </c>
      <c r="G7375" t="s">
        <v>16299</v>
      </c>
      <c r="H7375" t="s">
        <v>16299</v>
      </c>
      <c r="I7375" t="s">
        <v>16382</v>
      </c>
      <c r="J7375" t="s">
        <v>16385</v>
      </c>
      <c r="K7375">
        <v>0.139</v>
      </c>
      <c r="L7375">
        <v>6052</v>
      </c>
      <c r="M7375">
        <v>1773</v>
      </c>
      <c r="N7375" t="s">
        <v>16393</v>
      </c>
      <c r="O7375" s="4">
        <v>54797</v>
      </c>
      <c r="P7375" s="4">
        <v>74368</v>
      </c>
      <c r="Q7375" s="4">
        <v>129165</v>
      </c>
      <c r="R7375" s="4">
        <v>387495</v>
      </c>
      <c r="S7375" t="s">
        <v>23521</v>
      </c>
      <c r="T7375" s="6">
        <v>43617</v>
      </c>
      <c r="U7375" s="4">
        <v>285000</v>
      </c>
      <c r="V7375" t="s">
        <v>23739</v>
      </c>
      <c r="W7375" t="s">
        <v>27745</v>
      </c>
      <c r="X7375" t="s">
        <v>3</v>
      </c>
      <c r="AA7375" s="5" t="str">
        <f>HYPERLINK("https://www.zillow.com/homes/2412-KILDEER-ST-WOODRIDGE-IL-605171852_rb/","check listing")</f>
        <v>check listing</v>
      </c>
      <c r="AB7375" s="5" t="str">
        <f>HYPERLINK("https://propertylookup.dupagecounty.gov/Datalets/Datalet.aspx?UseSearch=no&amp;mode=sales&amp;pin=0824320012","sales record")</f>
        <v>sales record</v>
      </c>
      <c r="AC7375" t="s">
        <v>3</v>
      </c>
      <c r="AD7375">
        <v>41.762688</v>
      </c>
      <c r="AE7375">
        <v>-88.04182400000001</v>
      </c>
      <c r="AF7375" s="5" t="str">
        <f>HYPERLINK("https://www.google.com/maps/search/?api=1&amp;query=41.762688,-88.041824","map")</f>
        <v>map</v>
      </c>
    </row>
    <row r="7376" spans="1:32">
      <c r="A7376" t="s">
        <v>7426</v>
      </c>
      <c r="B7376" t="s">
        <v>14878</v>
      </c>
      <c r="C7376" t="s">
        <v>15323</v>
      </c>
      <c r="D7376" t="s">
        <v>16215</v>
      </c>
      <c r="E7376" t="s">
        <v>16218</v>
      </c>
      <c r="F7376" t="s">
        <v>16220</v>
      </c>
      <c r="G7376" t="s">
        <v>16299</v>
      </c>
      <c r="H7376" t="s">
        <v>16299</v>
      </c>
      <c r="I7376" t="s">
        <v>16382</v>
      </c>
      <c r="J7376" t="s">
        <v>16385</v>
      </c>
      <c r="K7376">
        <v>0.139</v>
      </c>
      <c r="L7376">
        <v>6043</v>
      </c>
      <c r="M7376">
        <v>2214</v>
      </c>
      <c r="N7376" t="s">
        <v>16393</v>
      </c>
      <c r="O7376" s="4">
        <v>57651</v>
      </c>
      <c r="P7376" s="4">
        <v>81125</v>
      </c>
      <c r="Q7376" s="4">
        <v>138776</v>
      </c>
      <c r="R7376" s="4">
        <v>416328</v>
      </c>
      <c r="S7376" t="s">
        <v>23522</v>
      </c>
      <c r="X7376" t="s">
        <v>3</v>
      </c>
      <c r="AA7376" s="5" t="str">
        <f>HYPERLINK("https://www.zillow.com/homes/3-BLUE-FLAG-CT-WOODRIDGE-IL-60517_rb/","check listing")</f>
        <v>check listing</v>
      </c>
      <c r="AB7376" s="5" t="str">
        <f>HYPERLINK("https://propertylookup.dupagecounty.gov/Datalets/Datalet.aspx?UseSearch=no&amp;mode=sales&amp;pin=0824310006","sales record")</f>
        <v>sales record</v>
      </c>
      <c r="AC7376" t="s">
        <v>3</v>
      </c>
      <c r="AD7376">
        <v>41.759642</v>
      </c>
      <c r="AE7376">
        <v>-88.05026100000001</v>
      </c>
      <c r="AF7376" s="5" t="str">
        <f>HYPERLINK("https://www.google.com/maps/search/?api=1&amp;query=41.759642,-88.050261","map")</f>
        <v>map</v>
      </c>
    </row>
    <row r="7377" spans="1:32">
      <c r="A7377" t="s">
        <v>7427</v>
      </c>
      <c r="B7377" t="s">
        <v>14879</v>
      </c>
      <c r="C7377" t="s">
        <v>16184</v>
      </c>
      <c r="D7377" t="s">
        <v>16215</v>
      </c>
      <c r="E7377" t="s">
        <v>16218</v>
      </c>
      <c r="F7377" t="s">
        <v>16220</v>
      </c>
      <c r="G7377" t="s">
        <v>16299</v>
      </c>
      <c r="H7377" t="s">
        <v>16299</v>
      </c>
      <c r="I7377" t="s">
        <v>16382</v>
      </c>
      <c r="J7377" t="s">
        <v>16385</v>
      </c>
      <c r="K7377">
        <v>0.139</v>
      </c>
      <c r="L7377">
        <v>6043</v>
      </c>
      <c r="M7377">
        <v>1579</v>
      </c>
      <c r="N7377" t="s">
        <v>16393</v>
      </c>
      <c r="O7377" s="4">
        <v>54797</v>
      </c>
      <c r="P7377" s="4">
        <v>70054</v>
      </c>
      <c r="Q7377" s="4">
        <v>124851</v>
      </c>
      <c r="R7377" s="4">
        <v>374553</v>
      </c>
      <c r="S7377" t="s">
        <v>23214</v>
      </c>
      <c r="T7377" s="6">
        <v>42917</v>
      </c>
      <c r="U7377" s="4">
        <v>275000</v>
      </c>
      <c r="V7377" t="s">
        <v>23739</v>
      </c>
      <c r="W7377" t="s">
        <v>27746</v>
      </c>
      <c r="X7377" t="s">
        <v>3</v>
      </c>
      <c r="AA7377" s="5" t="str">
        <f>HYPERLINK("https://www.zillow.com/homes/6850-DOVE-AVE-WOODRIDGE-IL-605171863_rb/","check listing")</f>
        <v>check listing</v>
      </c>
      <c r="AB7377" s="5" t="str">
        <f>HYPERLINK("https://propertylookup.dupagecounty.gov/Datalets/Datalet.aspx?UseSearch=no&amp;mode=sales&amp;pin=0824407016","sales record")</f>
        <v>sales record</v>
      </c>
      <c r="AC7377" t="s">
        <v>3</v>
      </c>
      <c r="AD7377">
        <v>41.761963</v>
      </c>
      <c r="AE7377">
        <v>-88.039153</v>
      </c>
      <c r="AF7377" s="5" t="str">
        <f>HYPERLINK("https://www.google.com/maps/search/?api=1&amp;query=41.761963,-88.039153","map")</f>
        <v>map</v>
      </c>
    </row>
    <row r="7378" spans="1:32">
      <c r="A7378" t="s">
        <v>7428</v>
      </c>
      <c r="B7378" t="s">
        <v>14880</v>
      </c>
      <c r="C7378" t="s">
        <v>15323</v>
      </c>
      <c r="D7378" t="s">
        <v>16215</v>
      </c>
      <c r="E7378" t="s">
        <v>16218</v>
      </c>
      <c r="F7378" t="s">
        <v>16220</v>
      </c>
      <c r="G7378" t="s">
        <v>16299</v>
      </c>
      <c r="H7378" t="s">
        <v>16299</v>
      </c>
      <c r="I7378" t="s">
        <v>16382</v>
      </c>
      <c r="J7378" t="s">
        <v>16385</v>
      </c>
      <c r="K7378">
        <v>0.138</v>
      </c>
      <c r="L7378">
        <v>6016</v>
      </c>
      <c r="M7378">
        <v>1677</v>
      </c>
      <c r="N7378" t="s">
        <v>16393</v>
      </c>
      <c r="O7378" s="4">
        <v>51954</v>
      </c>
      <c r="P7378" s="4">
        <v>52014</v>
      </c>
      <c r="Q7378" s="4">
        <v>103968</v>
      </c>
      <c r="R7378" s="4">
        <v>311904</v>
      </c>
      <c r="S7378" t="s">
        <v>23523</v>
      </c>
      <c r="T7378" s="6">
        <v>45107</v>
      </c>
      <c r="U7378" s="4">
        <v>318000</v>
      </c>
      <c r="V7378" t="s">
        <v>23739</v>
      </c>
      <c r="W7378" t="s">
        <v>27747</v>
      </c>
      <c r="X7378" t="s">
        <v>3</v>
      </c>
      <c r="AA7378" s="5" t="str">
        <f>HYPERLINK("https://www.zillow.com/homes/2-OWL-CT-WOODRIDGE-IL-60517_rb/","check listing")</f>
        <v>check listing</v>
      </c>
      <c r="AB7378" s="5" t="str">
        <f>HYPERLINK("https://propertylookup.dupagecounty.gov/Datalets/Datalet.aspx?UseSearch=no&amp;mode=sales&amp;pin=0824404005","sales record")</f>
        <v>sales record</v>
      </c>
      <c r="AC7378" t="s">
        <v>3</v>
      </c>
      <c r="AD7378">
        <v>41.764436</v>
      </c>
      <c r="AE7378">
        <v>-88.03982000000001</v>
      </c>
      <c r="AF7378" s="5" t="str">
        <f>HYPERLINK("https://www.google.com/maps/search/?api=1&amp;query=41.764436,-88.03982","map")</f>
        <v>map</v>
      </c>
    </row>
    <row r="7379" spans="1:32">
      <c r="A7379" t="s">
        <v>7429</v>
      </c>
      <c r="B7379" t="s">
        <v>14881</v>
      </c>
      <c r="C7379" t="s">
        <v>15323</v>
      </c>
      <c r="D7379" t="s">
        <v>16215</v>
      </c>
      <c r="E7379" t="s">
        <v>16218</v>
      </c>
      <c r="F7379" t="s">
        <v>16220</v>
      </c>
      <c r="G7379" t="s">
        <v>16299</v>
      </c>
      <c r="H7379" t="s">
        <v>16299</v>
      </c>
      <c r="I7379" t="s">
        <v>16382</v>
      </c>
      <c r="J7379" t="s">
        <v>16385</v>
      </c>
      <c r="K7379">
        <v>0.138</v>
      </c>
      <c r="L7379">
        <v>5990</v>
      </c>
      <c r="M7379">
        <v>1647</v>
      </c>
      <c r="N7379" t="s">
        <v>16393</v>
      </c>
      <c r="O7379" s="4">
        <v>54797</v>
      </c>
      <c r="P7379" s="4">
        <v>69495</v>
      </c>
      <c r="Q7379" s="4">
        <v>124292</v>
      </c>
      <c r="R7379" s="4">
        <v>372876</v>
      </c>
      <c r="S7379" t="s">
        <v>23524</v>
      </c>
      <c r="T7379" s="6">
        <v>45806</v>
      </c>
      <c r="U7379" s="4">
        <v>385000</v>
      </c>
      <c r="V7379" t="s">
        <v>23741</v>
      </c>
      <c r="W7379" t="s">
        <v>27748</v>
      </c>
      <c r="X7379" t="s">
        <v>3</v>
      </c>
      <c r="AA7379" s="5" t="str">
        <f>HYPERLINK("https://www.zillow.com/homes/3-WREN-CT-WOODRIDGE-IL-60517_rb/","check listing")</f>
        <v>check listing</v>
      </c>
      <c r="AB7379" s="5" t="str">
        <f>HYPERLINK("https://propertylookup.dupagecounty.gov/Datalets/Datalet.aspx?UseSearch=no&amp;mode=sales&amp;pin=0824405010","sales record")</f>
        <v>sales record</v>
      </c>
      <c r="AC7379" t="s">
        <v>3</v>
      </c>
      <c r="AD7379">
        <v>41.763487</v>
      </c>
      <c r="AE7379">
        <v>-88.039383</v>
      </c>
      <c r="AF7379" s="5" t="str">
        <f>HYPERLINK("https://www.google.com/maps/search/?api=1&amp;query=41.763487,-88.039383","map")</f>
        <v>map</v>
      </c>
    </row>
    <row r="7380" spans="1:32">
      <c r="A7380" t="s">
        <v>7430</v>
      </c>
      <c r="B7380" t="s">
        <v>14882</v>
      </c>
      <c r="C7380" t="s">
        <v>15323</v>
      </c>
      <c r="D7380" t="s">
        <v>16215</v>
      </c>
      <c r="E7380" t="s">
        <v>16218</v>
      </c>
      <c r="F7380" t="s">
        <v>16220</v>
      </c>
      <c r="G7380" t="s">
        <v>16299</v>
      </c>
      <c r="H7380" t="s">
        <v>16299</v>
      </c>
      <c r="I7380" t="s">
        <v>16382</v>
      </c>
      <c r="J7380" t="s">
        <v>16385</v>
      </c>
      <c r="K7380">
        <v>0.137</v>
      </c>
      <c r="L7380">
        <v>5986</v>
      </c>
      <c r="M7380">
        <v>1733</v>
      </c>
      <c r="N7380" t="s">
        <v>16393</v>
      </c>
      <c r="O7380" s="4">
        <v>54797</v>
      </c>
      <c r="P7380" s="4">
        <v>52180</v>
      </c>
      <c r="Q7380" s="4">
        <v>106977</v>
      </c>
      <c r="R7380" s="4">
        <v>320931</v>
      </c>
      <c r="S7380" t="s">
        <v>23525</v>
      </c>
      <c r="T7380" s="6">
        <v>38718</v>
      </c>
      <c r="U7380" s="4">
        <v>220000</v>
      </c>
      <c r="V7380" t="s">
        <v>23739</v>
      </c>
      <c r="W7380" t="s">
        <v>23525</v>
      </c>
      <c r="X7380" t="s">
        <v>3</v>
      </c>
      <c r="AA7380" s="5" t="str">
        <f>HYPERLINK("https://www.zillow.com/homes/2408-KILDEER-ST-WOODRIDGE-IL-60517_rb/","check listing")</f>
        <v>check listing</v>
      </c>
      <c r="AB7380" s="5" t="str">
        <f>HYPERLINK("https://propertylookup.dupagecounty.gov/Datalets/Datalet.aspx?UseSearch=no&amp;mode=sales&amp;pin=0824320013","sales record")</f>
        <v>sales record</v>
      </c>
      <c r="AC7380" t="s">
        <v>3</v>
      </c>
      <c r="AD7380">
        <v>41.762693</v>
      </c>
      <c r="AE7380">
        <v>-88.04160400000001</v>
      </c>
      <c r="AF7380" s="5" t="str">
        <f>HYPERLINK("https://www.google.com/maps/search/?api=1&amp;query=41.762693,-88.041604","map")</f>
        <v>map</v>
      </c>
    </row>
    <row r="7381" spans="1:32">
      <c r="A7381" t="s">
        <v>7431</v>
      </c>
      <c r="B7381" t="s">
        <v>14883</v>
      </c>
      <c r="C7381" t="s">
        <v>15323</v>
      </c>
      <c r="D7381" t="s">
        <v>16215</v>
      </c>
      <c r="E7381" t="s">
        <v>16218</v>
      </c>
      <c r="F7381" t="s">
        <v>16220</v>
      </c>
      <c r="G7381" t="s">
        <v>16299</v>
      </c>
      <c r="H7381" t="s">
        <v>16299</v>
      </c>
      <c r="I7381" t="s">
        <v>16382</v>
      </c>
      <c r="J7381" t="s">
        <v>16385</v>
      </c>
      <c r="K7381">
        <v>0.137</v>
      </c>
      <c r="L7381">
        <v>5981</v>
      </c>
      <c r="M7381">
        <v>2249</v>
      </c>
      <c r="N7381" t="s">
        <v>16393</v>
      </c>
      <c r="O7381" s="4">
        <v>50064</v>
      </c>
      <c r="P7381" s="4">
        <v>61016</v>
      </c>
      <c r="Q7381" s="4">
        <v>111080</v>
      </c>
      <c r="R7381" s="4">
        <v>333240</v>
      </c>
      <c r="S7381" t="s">
        <v>23526</v>
      </c>
      <c r="T7381" s="6">
        <v>41944</v>
      </c>
      <c r="U7381" s="4">
        <v>170000</v>
      </c>
      <c r="V7381" t="s">
        <v>23739</v>
      </c>
      <c r="W7381" t="s">
        <v>23526</v>
      </c>
      <c r="X7381" t="s">
        <v>3</v>
      </c>
      <c r="AA7381" s="5" t="str">
        <f>HYPERLINK("https://www.zillow.com/homes/2648-LUZERN-CT-WOODRIDGE-IL-60517_rb/","check listing")</f>
        <v>check listing</v>
      </c>
      <c r="AB7381" s="5" t="str">
        <f>HYPERLINK("https://propertylookup.dupagecounty.gov/Datalets/Datalet.aspx?UseSearch=no&amp;mode=sales&amp;pin=0836103018","sales record")</f>
        <v>sales record</v>
      </c>
      <c r="AC7381" t="s">
        <v>3</v>
      </c>
      <c r="AD7381">
        <v>41.736699</v>
      </c>
      <c r="AE7381">
        <v>-88.04625799999999</v>
      </c>
      <c r="AF7381" s="5" t="str">
        <f>HYPERLINK("https://www.google.com/maps/search/?api=1&amp;query=41.736699,-88.046258","map")</f>
        <v>map</v>
      </c>
    </row>
    <row r="7382" spans="1:32">
      <c r="A7382" t="s">
        <v>7432</v>
      </c>
      <c r="B7382" t="s">
        <v>14884</v>
      </c>
      <c r="C7382" t="s">
        <v>15323</v>
      </c>
      <c r="D7382" t="s">
        <v>16215</v>
      </c>
      <c r="E7382" t="s">
        <v>16218</v>
      </c>
      <c r="F7382" t="s">
        <v>16220</v>
      </c>
      <c r="G7382" t="s">
        <v>16299</v>
      </c>
      <c r="H7382" t="s">
        <v>16299</v>
      </c>
      <c r="I7382" t="s">
        <v>16382</v>
      </c>
      <c r="J7382" t="s">
        <v>16385</v>
      </c>
      <c r="K7382">
        <v>0.137</v>
      </c>
      <c r="L7382">
        <v>5973</v>
      </c>
      <c r="M7382">
        <v>1419</v>
      </c>
      <c r="N7382" t="s">
        <v>16393</v>
      </c>
      <c r="O7382" s="4">
        <v>54797</v>
      </c>
      <c r="P7382" s="4">
        <v>67366</v>
      </c>
      <c r="Q7382" s="4">
        <v>122163</v>
      </c>
      <c r="R7382" s="4">
        <v>366489</v>
      </c>
      <c r="S7382" t="s">
        <v>23527</v>
      </c>
      <c r="T7382" s="6">
        <v>37408</v>
      </c>
      <c r="U7382" s="4">
        <v>189000</v>
      </c>
      <c r="V7382" t="s">
        <v>23740</v>
      </c>
      <c r="W7382" t="s">
        <v>27749</v>
      </c>
      <c r="X7382" t="s">
        <v>3</v>
      </c>
      <c r="AA7382" s="5" t="str">
        <f>HYPERLINK("https://www.zillow.com/homes/7-WREN-CT-WOODRIDGE-IL-60517_rb/","check listing")</f>
        <v>check listing</v>
      </c>
      <c r="AB7382" s="5" t="str">
        <f>HYPERLINK("https://propertylookup.dupagecounty.gov/Datalets/Datalet.aspx?UseSearch=no&amp;mode=sales&amp;pin=0824405014","sales record")</f>
        <v>sales record</v>
      </c>
      <c r="AC7382" t="s">
        <v>3</v>
      </c>
      <c r="AD7382">
        <v>41.763431</v>
      </c>
      <c r="AE7382">
        <v>-88.04018499999999</v>
      </c>
      <c r="AF7382" s="5" t="str">
        <f>HYPERLINK("https://www.google.com/maps/search/?api=1&amp;query=41.763431,-88.040185","map")</f>
        <v>map</v>
      </c>
    </row>
    <row r="7383" spans="1:32">
      <c r="A7383" t="s">
        <v>7433</v>
      </c>
      <c r="B7383" t="s">
        <v>14885</v>
      </c>
      <c r="C7383" t="s">
        <v>16174</v>
      </c>
      <c r="D7383" t="s">
        <v>16215</v>
      </c>
      <c r="E7383" t="s">
        <v>16218</v>
      </c>
      <c r="F7383" t="s">
        <v>16220</v>
      </c>
      <c r="G7383" t="s">
        <v>16299</v>
      </c>
      <c r="H7383" t="s">
        <v>16299</v>
      </c>
      <c r="I7383" t="s">
        <v>16382</v>
      </c>
      <c r="J7383" t="s">
        <v>16385</v>
      </c>
      <c r="K7383">
        <v>0.137</v>
      </c>
      <c r="L7383">
        <v>5967</v>
      </c>
      <c r="M7383">
        <v>1156</v>
      </c>
      <c r="N7383" t="s">
        <v>16393</v>
      </c>
      <c r="O7383" s="4">
        <v>49124</v>
      </c>
      <c r="P7383" s="4">
        <v>53845</v>
      </c>
      <c r="Q7383" s="4">
        <v>102969</v>
      </c>
      <c r="R7383" s="4">
        <v>308907</v>
      </c>
      <c r="S7383" t="s">
        <v>23528</v>
      </c>
      <c r="T7383" s="6">
        <v>42552</v>
      </c>
      <c r="U7383" s="4">
        <v>190000</v>
      </c>
      <c r="V7383" t="s">
        <v>23739</v>
      </c>
      <c r="W7383" t="s">
        <v>27750</v>
      </c>
      <c r="X7383" t="s">
        <v>3</v>
      </c>
      <c r="AA7383" s="5" t="str">
        <f>HYPERLINK("https://www.zillow.com/homes/6813-RED-WING-DR-WOODRIDGE-IL-605171846_rb/","check listing")</f>
        <v>check listing</v>
      </c>
      <c r="AB7383" s="5" t="str">
        <f>HYPERLINK("https://propertylookup.dupagecounty.gov/Datalets/Datalet.aspx?UseSearch=no&amp;mode=sales&amp;pin=0824404015","sales record")</f>
        <v>sales record</v>
      </c>
      <c r="AC7383" t="s">
        <v>3</v>
      </c>
      <c r="AD7383">
        <v>41.763655</v>
      </c>
      <c r="AE7383">
        <v>-88.038402</v>
      </c>
      <c r="AF7383" s="5" t="str">
        <f>HYPERLINK("https://www.google.com/maps/search/?api=1&amp;query=41.763655,-88.038402","map")</f>
        <v>map</v>
      </c>
    </row>
    <row r="7384" spans="1:32">
      <c r="A7384" t="s">
        <v>7434</v>
      </c>
      <c r="B7384" t="s">
        <v>14886</v>
      </c>
      <c r="C7384" t="s">
        <v>15323</v>
      </c>
      <c r="D7384" t="s">
        <v>16215</v>
      </c>
      <c r="E7384" t="s">
        <v>16218</v>
      </c>
      <c r="F7384" t="s">
        <v>16220</v>
      </c>
      <c r="G7384" t="s">
        <v>16299</v>
      </c>
      <c r="H7384" t="s">
        <v>16299</v>
      </c>
      <c r="I7384" t="s">
        <v>16382</v>
      </c>
      <c r="J7384" t="s">
        <v>16385</v>
      </c>
      <c r="K7384">
        <v>0.137</v>
      </c>
      <c r="L7384">
        <v>5961</v>
      </c>
      <c r="M7384">
        <v>1769</v>
      </c>
      <c r="N7384" t="s">
        <v>16393</v>
      </c>
      <c r="O7384" s="4">
        <v>57651</v>
      </c>
      <c r="P7384" s="4">
        <v>69447</v>
      </c>
      <c r="Q7384" s="4">
        <v>127098</v>
      </c>
      <c r="R7384" s="4">
        <v>381294</v>
      </c>
      <c r="S7384" t="s">
        <v>23529</v>
      </c>
      <c r="T7384" s="6">
        <v>36770</v>
      </c>
      <c r="U7384" s="4">
        <v>158000</v>
      </c>
      <c r="V7384" t="s">
        <v>23739</v>
      </c>
      <c r="W7384" t="s">
        <v>27751</v>
      </c>
      <c r="X7384" t="s">
        <v>3</v>
      </c>
      <c r="AA7384" s="5" t="str">
        <f>HYPERLINK("https://www.zillow.com/homes/2705-WILD-PLUM-DR-WOODRIDGE-IL-60517_rb/","check listing")</f>
        <v>check listing</v>
      </c>
      <c r="AB7384" s="5" t="str">
        <f>HYPERLINK("https://propertylookup.dupagecounty.gov/Datalets/Datalet.aspx?UseSearch=no&amp;mode=sales&amp;pin=0824311007","sales record")</f>
        <v>sales record</v>
      </c>
      <c r="AC7384" t="s">
        <v>3</v>
      </c>
      <c r="AD7384">
        <v>41.758678</v>
      </c>
      <c r="AE7384">
        <v>-88.049404</v>
      </c>
      <c r="AF7384" s="5" t="str">
        <f>HYPERLINK("https://www.google.com/maps/search/?api=1&amp;query=41.758678,-88.049404","map")</f>
        <v>map</v>
      </c>
    </row>
    <row r="7385" spans="1:32">
      <c r="A7385" t="s">
        <v>7435</v>
      </c>
      <c r="B7385" t="s">
        <v>14887</v>
      </c>
      <c r="C7385" t="s">
        <v>15323</v>
      </c>
      <c r="D7385" t="s">
        <v>16215</v>
      </c>
      <c r="E7385" t="s">
        <v>16218</v>
      </c>
      <c r="F7385" t="s">
        <v>16220</v>
      </c>
      <c r="G7385" t="s">
        <v>16299</v>
      </c>
      <c r="H7385" t="s">
        <v>16299</v>
      </c>
      <c r="I7385" t="s">
        <v>16382</v>
      </c>
      <c r="J7385" t="s">
        <v>16385</v>
      </c>
      <c r="K7385">
        <v>0.136</v>
      </c>
      <c r="L7385">
        <v>5936</v>
      </c>
      <c r="M7385">
        <v>1638</v>
      </c>
      <c r="N7385" t="s">
        <v>16393</v>
      </c>
      <c r="O7385" s="4">
        <v>51990</v>
      </c>
      <c r="P7385" s="4">
        <v>53048</v>
      </c>
      <c r="Q7385" s="4">
        <v>105038</v>
      </c>
      <c r="R7385" s="4">
        <v>315114</v>
      </c>
      <c r="S7385" t="s">
        <v>23530</v>
      </c>
      <c r="T7385" s="6">
        <v>37408</v>
      </c>
      <c r="U7385" s="4">
        <v>165000</v>
      </c>
      <c r="V7385" t="s">
        <v>23739</v>
      </c>
      <c r="W7385" t="s">
        <v>23530</v>
      </c>
      <c r="X7385" t="s">
        <v>3</v>
      </c>
      <c r="AA7385" s="5" t="str">
        <f>HYPERLINK("https://www.zillow.com/homes/6795-REDWING-DR-WOODRIDGE-IL-60517_rb/","check listing")</f>
        <v>check listing</v>
      </c>
      <c r="AB7385" s="5" t="str">
        <f>HYPERLINK("https://propertylookup.dupagecounty.gov/Datalets/Datalet.aspx?UseSearch=no&amp;mode=sales&amp;pin=0824404010","sales record")</f>
        <v>sales record</v>
      </c>
      <c r="AC7385" t="s">
        <v>3</v>
      </c>
      <c r="AD7385">
        <v>41.764184</v>
      </c>
      <c r="AE7385">
        <v>-88.039417</v>
      </c>
      <c r="AF7385" s="5" t="str">
        <f>HYPERLINK("https://www.google.com/maps/search/?api=1&amp;query=41.764184,-88.039417","map")</f>
        <v>map</v>
      </c>
    </row>
    <row r="7386" spans="1:32">
      <c r="A7386" t="s">
        <v>7436</v>
      </c>
      <c r="B7386" t="s">
        <v>14888</v>
      </c>
      <c r="C7386" t="s">
        <v>16135</v>
      </c>
      <c r="D7386" t="s">
        <v>16215</v>
      </c>
      <c r="E7386" t="s">
        <v>16218</v>
      </c>
      <c r="F7386" t="s">
        <v>16220</v>
      </c>
      <c r="G7386" t="s">
        <v>16299</v>
      </c>
      <c r="H7386" t="s">
        <v>16299</v>
      </c>
      <c r="I7386" t="s">
        <v>16382</v>
      </c>
      <c r="J7386" t="s">
        <v>16385</v>
      </c>
      <c r="K7386">
        <v>0.136</v>
      </c>
      <c r="L7386">
        <v>5930</v>
      </c>
      <c r="M7386">
        <v>1756</v>
      </c>
      <c r="N7386" t="s">
        <v>16393</v>
      </c>
      <c r="O7386" s="4">
        <v>54797</v>
      </c>
      <c r="P7386" s="4">
        <v>72158</v>
      </c>
      <c r="Q7386" s="4">
        <v>126955</v>
      </c>
      <c r="R7386" s="4">
        <v>380865</v>
      </c>
      <c r="S7386" t="s">
        <v>23531</v>
      </c>
      <c r="T7386" s="6">
        <v>44166</v>
      </c>
      <c r="U7386" s="4">
        <v>322000</v>
      </c>
      <c r="V7386" t="s">
        <v>23739</v>
      </c>
      <c r="W7386" t="s">
        <v>27752</v>
      </c>
      <c r="X7386" t="s">
        <v>3</v>
      </c>
      <c r="AA7386" s="5" t="str">
        <f>HYPERLINK("https://www.zillow.com/homes/7-SWALLOW-CT-WOODRIDGE-IL-605171717_rb/","check listing")</f>
        <v>check listing</v>
      </c>
      <c r="AB7386" s="5" t="str">
        <f>HYPERLINK("https://propertylookup.dupagecounty.gov/Datalets/Datalet.aspx?UseSearch=no&amp;mode=sales&amp;pin=0824317011","sales record")</f>
        <v>sales record</v>
      </c>
      <c r="AC7386" t="s">
        <v>3</v>
      </c>
      <c r="AD7386">
        <v>41.763723</v>
      </c>
      <c r="AE7386">
        <v>-88.044377</v>
      </c>
      <c r="AF7386" s="5" t="str">
        <f>HYPERLINK("https://www.google.com/maps/search/?api=1&amp;query=41.763723,-88.044377","map")</f>
        <v>map</v>
      </c>
    </row>
    <row r="7387" spans="1:32">
      <c r="A7387" t="s">
        <v>7437</v>
      </c>
      <c r="B7387" t="s">
        <v>14889</v>
      </c>
      <c r="C7387" t="s">
        <v>16183</v>
      </c>
      <c r="D7387" t="s">
        <v>16215</v>
      </c>
      <c r="E7387" t="s">
        <v>16218</v>
      </c>
      <c r="F7387" t="s">
        <v>16220</v>
      </c>
      <c r="G7387" t="s">
        <v>16299</v>
      </c>
      <c r="H7387" t="s">
        <v>16299</v>
      </c>
      <c r="I7387" t="s">
        <v>16382</v>
      </c>
      <c r="J7387" t="s">
        <v>16385</v>
      </c>
      <c r="K7387">
        <v>0.136</v>
      </c>
      <c r="L7387">
        <v>5929</v>
      </c>
      <c r="M7387">
        <v>1331</v>
      </c>
      <c r="N7387" t="s">
        <v>16393</v>
      </c>
      <c r="O7387" s="4">
        <v>54797</v>
      </c>
      <c r="P7387" s="4">
        <v>60125</v>
      </c>
      <c r="Q7387" s="4">
        <v>114922</v>
      </c>
      <c r="R7387" s="4">
        <v>344766</v>
      </c>
      <c r="S7387" t="s">
        <v>23532</v>
      </c>
      <c r="X7387" t="s">
        <v>3</v>
      </c>
      <c r="AA7387" s="5" t="str">
        <f>HYPERLINK("https://www.zillow.com/homes/2404-KILDEER-ST-WOODRIDGE-IL-605171852_rb/","check listing")</f>
        <v>check listing</v>
      </c>
      <c r="AB7387" s="5" t="str">
        <f>HYPERLINK("https://propertylookup.dupagecounty.gov/Datalets/Datalet.aspx?UseSearch=no&amp;mode=sales&amp;pin=0824320014","sales record")</f>
        <v>sales record</v>
      </c>
      <c r="AC7387" t="s">
        <v>3</v>
      </c>
      <c r="AD7387">
        <v>41.762696</v>
      </c>
      <c r="AE7387">
        <v>-88.041387</v>
      </c>
      <c r="AF7387" s="5" t="str">
        <f>HYPERLINK("https://www.google.com/maps/search/?api=1&amp;query=41.762696,-88.041387","map")</f>
        <v>map</v>
      </c>
    </row>
    <row r="7388" spans="1:32">
      <c r="A7388" t="s">
        <v>7438</v>
      </c>
      <c r="B7388" t="s">
        <v>14890</v>
      </c>
      <c r="C7388" t="s">
        <v>16169</v>
      </c>
      <c r="D7388" t="s">
        <v>16215</v>
      </c>
      <c r="E7388" t="s">
        <v>16218</v>
      </c>
      <c r="F7388" t="s">
        <v>16220</v>
      </c>
      <c r="G7388" t="s">
        <v>16299</v>
      </c>
      <c r="H7388" t="s">
        <v>16299</v>
      </c>
      <c r="I7388" t="s">
        <v>16382</v>
      </c>
      <c r="J7388" t="s">
        <v>16385</v>
      </c>
      <c r="K7388">
        <v>0.135</v>
      </c>
      <c r="L7388">
        <v>5897</v>
      </c>
      <c r="M7388">
        <v>1841</v>
      </c>
      <c r="N7388" t="s">
        <v>16393</v>
      </c>
      <c r="O7388" s="4">
        <v>57651</v>
      </c>
      <c r="P7388" s="4">
        <v>69447</v>
      </c>
      <c r="Q7388" s="4">
        <v>127098</v>
      </c>
      <c r="R7388" s="4">
        <v>381294</v>
      </c>
      <c r="S7388" t="s">
        <v>23533</v>
      </c>
      <c r="T7388" s="6">
        <v>43313</v>
      </c>
      <c r="U7388" s="4">
        <v>220000</v>
      </c>
      <c r="V7388" t="s">
        <v>16232</v>
      </c>
      <c r="W7388" t="s">
        <v>27753</v>
      </c>
      <c r="X7388" t="s">
        <v>3</v>
      </c>
      <c r="AA7388" s="5" t="str">
        <f>HYPERLINK("https://www.zillow.com/homes/2709-WILD-PLUM-ST-WOODRIDGE-IL-605172002_rb/","check listing")</f>
        <v>check listing</v>
      </c>
      <c r="AB7388" s="5" t="str">
        <f>HYPERLINK("https://propertylookup.dupagecounty.gov/Datalets/Datalet.aspx?UseSearch=no&amp;mode=sales&amp;pin=0824311005","sales record")</f>
        <v>sales record</v>
      </c>
      <c r="AC7388" t="s">
        <v>3</v>
      </c>
      <c r="AD7388">
        <v>41.758669</v>
      </c>
      <c r="AE7388">
        <v>-88.04968599999999</v>
      </c>
      <c r="AF7388" s="5" t="str">
        <f>HYPERLINK("https://www.google.com/maps/search/?api=1&amp;query=41.758669,-88.049686","map")</f>
        <v>map</v>
      </c>
    </row>
    <row r="7389" spans="1:32">
      <c r="A7389" t="s">
        <v>7439</v>
      </c>
      <c r="B7389" t="s">
        <v>14891</v>
      </c>
      <c r="C7389" t="s">
        <v>15323</v>
      </c>
      <c r="D7389" t="s">
        <v>16215</v>
      </c>
      <c r="E7389" t="s">
        <v>16218</v>
      </c>
      <c r="F7389" t="s">
        <v>16220</v>
      </c>
      <c r="G7389" t="s">
        <v>16299</v>
      </c>
      <c r="H7389" t="s">
        <v>16299</v>
      </c>
      <c r="I7389" t="s">
        <v>16382</v>
      </c>
      <c r="J7389" t="s">
        <v>16385</v>
      </c>
      <c r="K7389">
        <v>0.135</v>
      </c>
      <c r="L7389">
        <v>5895</v>
      </c>
      <c r="M7389">
        <v>1827</v>
      </c>
      <c r="N7389" t="s">
        <v>16393</v>
      </c>
      <c r="O7389" s="4">
        <v>54797</v>
      </c>
      <c r="P7389" s="4">
        <v>53013</v>
      </c>
      <c r="Q7389" s="4">
        <v>107810</v>
      </c>
      <c r="R7389" s="4">
        <v>323430</v>
      </c>
      <c r="S7389" t="s">
        <v>23534</v>
      </c>
      <c r="T7389" s="6">
        <v>45455</v>
      </c>
      <c r="U7389" s="4">
        <v>330000</v>
      </c>
      <c r="V7389" t="s">
        <v>23739</v>
      </c>
      <c r="W7389" t="s">
        <v>27754</v>
      </c>
      <c r="X7389" t="s">
        <v>3</v>
      </c>
      <c r="AA7389" s="5" t="str">
        <f>HYPERLINK("https://www.zillow.com/homes/2395-KILDEER-ST-WOODRIDGE-IL-60517_rb/","check listing")</f>
        <v>check listing</v>
      </c>
      <c r="AB7389" s="5" t="str">
        <f>HYPERLINK("https://propertylookup.dupagecounty.gov/Datalets/Datalet.aspx?UseSearch=no&amp;mode=sales&amp;pin=0824407002","sales record")</f>
        <v>sales record</v>
      </c>
      <c r="AC7389" t="s">
        <v>3</v>
      </c>
      <c r="AD7389">
        <v>41.762231</v>
      </c>
      <c r="AE7389">
        <v>-88.040302</v>
      </c>
      <c r="AF7389" s="5" t="str">
        <f>HYPERLINK("https://www.google.com/maps/search/?api=1&amp;query=41.762231,-88.040302","map")</f>
        <v>map</v>
      </c>
    </row>
    <row r="7390" spans="1:32">
      <c r="A7390" t="s">
        <v>7440</v>
      </c>
      <c r="B7390" t="s">
        <v>14892</v>
      </c>
      <c r="C7390" t="s">
        <v>15323</v>
      </c>
      <c r="D7390" t="s">
        <v>16215</v>
      </c>
      <c r="E7390" t="s">
        <v>16218</v>
      </c>
      <c r="F7390" t="s">
        <v>16220</v>
      </c>
      <c r="G7390" t="s">
        <v>16299</v>
      </c>
      <c r="H7390" t="s">
        <v>16299</v>
      </c>
      <c r="I7390" t="s">
        <v>16382</v>
      </c>
      <c r="J7390" t="s">
        <v>16385</v>
      </c>
      <c r="K7390">
        <v>0.135</v>
      </c>
      <c r="L7390">
        <v>5891</v>
      </c>
      <c r="M7390">
        <v>1930</v>
      </c>
      <c r="N7390" t="s">
        <v>16393</v>
      </c>
      <c r="O7390" s="4">
        <v>57651</v>
      </c>
      <c r="P7390" s="4">
        <v>87927</v>
      </c>
      <c r="Q7390" s="4">
        <v>145578</v>
      </c>
      <c r="R7390" s="4">
        <v>436734</v>
      </c>
      <c r="S7390" t="s">
        <v>23535</v>
      </c>
      <c r="T7390" s="6">
        <v>42795</v>
      </c>
      <c r="U7390" s="4">
        <v>320000</v>
      </c>
      <c r="V7390" t="s">
        <v>23739</v>
      </c>
      <c r="W7390" t="s">
        <v>27755</v>
      </c>
      <c r="X7390" t="s">
        <v>3</v>
      </c>
      <c r="AA7390" s="5" t="str">
        <f>HYPERLINK("https://www.zillow.com/homes/2713-WILD-PLUM-DR-WOODRIDGE-IL-60517_rb/","check listing")</f>
        <v>check listing</v>
      </c>
      <c r="AB7390" s="5" t="str">
        <f>HYPERLINK("https://propertylookup.dupagecounty.gov/Datalets/Datalet.aspx?UseSearch=no&amp;mode=sales&amp;pin=0824311004","sales record")</f>
        <v>sales record</v>
      </c>
      <c r="AC7390" t="s">
        <v>3</v>
      </c>
      <c r="AD7390">
        <v>41.758663</v>
      </c>
      <c r="AE7390">
        <v>-88.049915</v>
      </c>
      <c r="AF7390" s="5" t="str">
        <f>HYPERLINK("https://www.google.com/maps/search/?api=1&amp;query=41.758663,-88.049915","map")</f>
        <v>map</v>
      </c>
    </row>
    <row r="7391" spans="1:32">
      <c r="A7391" t="s">
        <v>7441</v>
      </c>
      <c r="B7391" t="s">
        <v>14893</v>
      </c>
      <c r="C7391" t="s">
        <v>15323</v>
      </c>
      <c r="D7391" t="s">
        <v>16215</v>
      </c>
      <c r="E7391" t="s">
        <v>16218</v>
      </c>
      <c r="F7391" t="s">
        <v>16220</v>
      </c>
      <c r="G7391" t="s">
        <v>16299</v>
      </c>
      <c r="H7391" t="s">
        <v>16299</v>
      </c>
      <c r="I7391" t="s">
        <v>16382</v>
      </c>
      <c r="J7391" t="s">
        <v>16385</v>
      </c>
      <c r="K7391">
        <v>0.135</v>
      </c>
      <c r="L7391">
        <v>5865</v>
      </c>
      <c r="M7391">
        <v>1767</v>
      </c>
      <c r="N7391" t="s">
        <v>16393</v>
      </c>
      <c r="O7391" s="4">
        <v>54797</v>
      </c>
      <c r="P7391" s="4">
        <v>54452</v>
      </c>
      <c r="Q7391" s="4">
        <v>109249</v>
      </c>
      <c r="R7391" s="4">
        <v>327747</v>
      </c>
      <c r="S7391" t="s">
        <v>23536</v>
      </c>
      <c r="T7391" s="6">
        <v>43191</v>
      </c>
      <c r="U7391" s="4">
        <v>154600</v>
      </c>
      <c r="V7391" t="s">
        <v>16232</v>
      </c>
      <c r="W7391" t="s">
        <v>27756</v>
      </c>
      <c r="X7391" t="s">
        <v>3</v>
      </c>
      <c r="AA7391" s="5" t="str">
        <f>HYPERLINK("https://www.zillow.com/homes/6779-REDWING-DR-WOODRIDGE-IL-60517_rb/","check listing")</f>
        <v>check listing</v>
      </c>
      <c r="AB7391" s="5" t="str">
        <f>HYPERLINK("https://propertylookup.dupagecounty.gov/Datalets/Datalet.aspx?UseSearch=no&amp;mode=sales&amp;pin=0824404006","sales record")</f>
        <v>sales record</v>
      </c>
      <c r="AC7391" t="s">
        <v>3</v>
      </c>
      <c r="AD7391">
        <v>41.764179</v>
      </c>
      <c r="AE7391">
        <v>-88.040184</v>
      </c>
      <c r="AF7391" s="5" t="str">
        <f>HYPERLINK("https://www.google.com/maps/search/?api=1&amp;query=41.764179,-88.040184","map")</f>
        <v>map</v>
      </c>
    </row>
    <row r="7392" spans="1:32">
      <c r="A7392" t="s">
        <v>7442</v>
      </c>
      <c r="B7392" t="s">
        <v>14894</v>
      </c>
      <c r="C7392" t="s">
        <v>16185</v>
      </c>
      <c r="D7392" t="s">
        <v>16215</v>
      </c>
      <c r="E7392" t="s">
        <v>16218</v>
      </c>
      <c r="F7392" t="s">
        <v>16220</v>
      </c>
      <c r="G7392" t="s">
        <v>16299</v>
      </c>
      <c r="H7392" t="s">
        <v>16299</v>
      </c>
      <c r="I7392" t="s">
        <v>16382</v>
      </c>
      <c r="J7392" t="s">
        <v>16385</v>
      </c>
      <c r="K7392">
        <v>0.134</v>
      </c>
      <c r="L7392">
        <v>5830</v>
      </c>
      <c r="M7392">
        <v>964</v>
      </c>
      <c r="N7392" t="s">
        <v>16393</v>
      </c>
      <c r="O7392" s="4">
        <v>54797</v>
      </c>
      <c r="P7392" s="4">
        <v>63121</v>
      </c>
      <c r="Q7392" s="4">
        <v>117918</v>
      </c>
      <c r="R7392" s="4">
        <v>353754</v>
      </c>
      <c r="S7392" t="s">
        <v>23537</v>
      </c>
      <c r="T7392" s="6">
        <v>44075</v>
      </c>
      <c r="U7392" s="4">
        <v>257000</v>
      </c>
      <c r="V7392" t="s">
        <v>23739</v>
      </c>
      <c r="W7392" t="s">
        <v>23537</v>
      </c>
      <c r="X7392" t="s">
        <v>3</v>
      </c>
      <c r="AA7392" s="5" t="str">
        <f>HYPERLINK("https://www.zillow.com/homes/10-KILDEER-CT-WOODRIDGE-IL-605171726_rb/","check listing")</f>
        <v>check listing</v>
      </c>
      <c r="AB7392" s="5" t="str">
        <f>HYPERLINK("https://propertylookup.dupagecounty.gov/Datalets/Datalet.aspx?UseSearch=no&amp;mode=sales&amp;pin=0824319023","sales record")</f>
        <v>sales record</v>
      </c>
      <c r="AC7392" t="s">
        <v>3</v>
      </c>
      <c r="AD7392">
        <v>41.7621</v>
      </c>
      <c r="AE7392">
        <v>-88.042928</v>
      </c>
      <c r="AF7392" s="5" t="str">
        <f>HYPERLINK("https://www.google.com/maps/search/?api=1&amp;query=41.7621,-88.042928","map")</f>
        <v>map</v>
      </c>
    </row>
    <row r="7393" spans="1:32">
      <c r="A7393" t="s">
        <v>7443</v>
      </c>
      <c r="B7393" t="s">
        <v>14895</v>
      </c>
      <c r="C7393" t="s">
        <v>15323</v>
      </c>
      <c r="D7393" t="s">
        <v>16215</v>
      </c>
      <c r="E7393" t="s">
        <v>16218</v>
      </c>
      <c r="F7393" t="s">
        <v>16220</v>
      </c>
      <c r="G7393" t="s">
        <v>16299</v>
      </c>
      <c r="H7393" t="s">
        <v>16299</v>
      </c>
      <c r="I7393" t="s">
        <v>16382</v>
      </c>
      <c r="J7393" t="s">
        <v>16385</v>
      </c>
      <c r="K7393">
        <v>0.134</v>
      </c>
      <c r="L7393">
        <v>5821</v>
      </c>
      <c r="M7393">
        <v>1352</v>
      </c>
      <c r="N7393" t="s">
        <v>16393</v>
      </c>
      <c r="O7393" s="4">
        <v>54797</v>
      </c>
      <c r="P7393" s="4">
        <v>62907</v>
      </c>
      <c r="Q7393" s="4">
        <v>117704</v>
      </c>
      <c r="R7393" s="4">
        <v>353112</v>
      </c>
      <c r="S7393" t="s">
        <v>23538</v>
      </c>
      <c r="T7393" s="6">
        <v>35886</v>
      </c>
      <c r="U7393" s="4">
        <v>137000</v>
      </c>
      <c r="X7393" t="s">
        <v>3</v>
      </c>
      <c r="AA7393" s="5" t="str">
        <f>HYPERLINK("https://www.zillow.com/homes/2383-VISTA-DR-WOODRIDGE-IL-60517_rb/","check listing")</f>
        <v>check listing</v>
      </c>
      <c r="AB7393" s="5" t="str">
        <f>HYPERLINK("https://propertylookup.dupagecounty.gov/Datalets/Datalet.aspx?UseSearch=no&amp;mode=sales&amp;pin=0824419001","sales record")</f>
        <v>sales record</v>
      </c>
      <c r="AC7393" t="s">
        <v>3</v>
      </c>
      <c r="AD7393">
        <v>41.760918</v>
      </c>
      <c r="AE7393">
        <v>-88.039253</v>
      </c>
      <c r="AF7393" s="5" t="str">
        <f>HYPERLINK("https://www.google.com/maps/search/?api=1&amp;query=41.760918,-88.039253","map")</f>
        <v>map</v>
      </c>
    </row>
    <row r="7394" spans="1:32">
      <c r="A7394" t="s">
        <v>7444</v>
      </c>
      <c r="B7394" t="s">
        <v>14896</v>
      </c>
      <c r="C7394" t="s">
        <v>16168</v>
      </c>
      <c r="D7394" t="s">
        <v>16215</v>
      </c>
      <c r="E7394" t="s">
        <v>16218</v>
      </c>
      <c r="F7394" t="s">
        <v>16220</v>
      </c>
      <c r="G7394" t="s">
        <v>16299</v>
      </c>
      <c r="H7394" t="s">
        <v>16299</v>
      </c>
      <c r="I7394" t="s">
        <v>16382</v>
      </c>
      <c r="J7394" t="s">
        <v>16385</v>
      </c>
      <c r="K7394">
        <v>0.134</v>
      </c>
      <c r="L7394">
        <v>5817</v>
      </c>
      <c r="M7394">
        <v>1798</v>
      </c>
      <c r="N7394" t="s">
        <v>16393</v>
      </c>
      <c r="O7394" s="4">
        <v>54797</v>
      </c>
      <c r="P7394" s="4">
        <v>69495</v>
      </c>
      <c r="Q7394" s="4">
        <v>124292</v>
      </c>
      <c r="R7394" s="4">
        <v>372876</v>
      </c>
      <c r="S7394" t="s">
        <v>23539</v>
      </c>
      <c r="T7394" s="6">
        <v>44044</v>
      </c>
      <c r="U7394" s="4">
        <v>280000</v>
      </c>
      <c r="V7394" t="s">
        <v>23739</v>
      </c>
      <c r="W7394" t="s">
        <v>27757</v>
      </c>
      <c r="X7394" t="s">
        <v>3</v>
      </c>
      <c r="AA7394" s="5" t="str">
        <f>HYPERLINK("https://www.zillow.com/homes/2392-GOLDFINCH-ST-WOODRIDGE-IL-605171856_rb/","check listing")</f>
        <v>check listing</v>
      </c>
      <c r="AB7394" s="5" t="str">
        <f>HYPERLINK("https://propertylookup.dupagecounty.gov/Datalets/Datalet.aspx?UseSearch=no&amp;mode=sales&amp;pin=0824407008","sales record")</f>
        <v>sales record</v>
      </c>
      <c r="AC7394" t="s">
        <v>3</v>
      </c>
      <c r="AD7394">
        <v>41.762009</v>
      </c>
      <c r="AE7394">
        <v>-88.04019</v>
      </c>
      <c r="AF7394" s="5" t="str">
        <f>HYPERLINK("https://www.google.com/maps/search/?api=1&amp;query=41.762009,-88.04019","map")</f>
        <v>map</v>
      </c>
    </row>
    <row r="7395" spans="1:32">
      <c r="A7395" t="s">
        <v>7445</v>
      </c>
      <c r="B7395" t="s">
        <v>14897</v>
      </c>
      <c r="C7395" t="s">
        <v>15323</v>
      </c>
      <c r="D7395" t="s">
        <v>16215</v>
      </c>
      <c r="E7395" t="s">
        <v>16218</v>
      </c>
      <c r="F7395" t="s">
        <v>16220</v>
      </c>
      <c r="G7395" t="s">
        <v>16299</v>
      </c>
      <c r="H7395" t="s">
        <v>16299</v>
      </c>
      <c r="I7395" t="s">
        <v>16382</v>
      </c>
      <c r="J7395" t="s">
        <v>16385</v>
      </c>
      <c r="K7395">
        <v>0.133</v>
      </c>
      <c r="L7395">
        <v>5795</v>
      </c>
      <c r="M7395">
        <v>1739</v>
      </c>
      <c r="N7395" t="s">
        <v>16393</v>
      </c>
      <c r="O7395" s="4">
        <v>50064</v>
      </c>
      <c r="P7395" s="4">
        <v>60897</v>
      </c>
      <c r="Q7395" s="4">
        <v>110961</v>
      </c>
      <c r="R7395" s="4">
        <v>332883</v>
      </c>
      <c r="S7395" t="s">
        <v>23540</v>
      </c>
      <c r="T7395" s="6">
        <v>38200</v>
      </c>
      <c r="U7395" s="4">
        <v>240000</v>
      </c>
      <c r="V7395" t="s">
        <v>23739</v>
      </c>
      <c r="W7395" t="s">
        <v>23540</v>
      </c>
      <c r="X7395" t="s">
        <v>3</v>
      </c>
      <c r="AA7395" s="5" t="str">
        <f>HYPERLINK("https://www.zillow.com/homes/2652-LUZERN-CT-WOODRIDGE-IL-60517_rb/","check listing")</f>
        <v>check listing</v>
      </c>
      <c r="AB7395" s="5" t="str">
        <f>HYPERLINK("https://propertylookup.dupagecounty.gov/Datalets/Datalet.aspx?UseSearch=no&amp;mode=sales&amp;pin=0836103017","sales record")</f>
        <v>sales record</v>
      </c>
      <c r="AC7395" t="s">
        <v>3</v>
      </c>
      <c r="AD7395">
        <v>41.736694</v>
      </c>
      <c r="AE7395">
        <v>-88.04644500000001</v>
      </c>
      <c r="AF7395" s="5" t="str">
        <f>HYPERLINK("https://www.google.com/maps/search/?api=1&amp;query=41.736694,-88.046445","map")</f>
        <v>map</v>
      </c>
    </row>
    <row r="7396" spans="1:32">
      <c r="A7396" t="s">
        <v>7446</v>
      </c>
      <c r="B7396" t="s">
        <v>14898</v>
      </c>
      <c r="C7396" t="s">
        <v>15323</v>
      </c>
      <c r="D7396" t="s">
        <v>16215</v>
      </c>
      <c r="E7396" t="s">
        <v>16218</v>
      </c>
      <c r="F7396" t="s">
        <v>16220</v>
      </c>
      <c r="G7396" t="s">
        <v>16299</v>
      </c>
      <c r="H7396" t="s">
        <v>16299</v>
      </c>
      <c r="I7396" t="s">
        <v>16382</v>
      </c>
      <c r="J7396" t="s">
        <v>16385</v>
      </c>
      <c r="K7396">
        <v>0.133</v>
      </c>
      <c r="L7396">
        <v>5785</v>
      </c>
      <c r="M7396">
        <v>1600</v>
      </c>
      <c r="N7396" t="s">
        <v>16393</v>
      </c>
      <c r="O7396" s="4">
        <v>54797</v>
      </c>
      <c r="P7396" s="4">
        <v>65832</v>
      </c>
      <c r="Q7396" s="4">
        <v>120629</v>
      </c>
      <c r="R7396" s="4">
        <v>361887</v>
      </c>
      <c r="S7396" t="s">
        <v>23541</v>
      </c>
      <c r="T7396" s="6">
        <v>33359</v>
      </c>
      <c r="U7396" s="4">
        <v>115000</v>
      </c>
      <c r="X7396" t="s">
        <v>3</v>
      </c>
      <c r="AA7396" s="5" t="str">
        <f>HYPERLINK("https://www.zillow.com/homes/12-WREN-CT-WOODRIDGE-IL-60517_rb/","check listing")</f>
        <v>check listing</v>
      </c>
      <c r="AB7396" s="5" t="str">
        <f>HYPERLINK("https://propertylookup.dupagecounty.gov/Datalets/Datalet.aspx?UseSearch=no&amp;mode=sales&amp;pin=0824405019","sales record")</f>
        <v>sales record</v>
      </c>
      <c r="AC7396" t="s">
        <v>3</v>
      </c>
      <c r="AD7396">
        <v>41.763071</v>
      </c>
      <c r="AE7396">
        <v>-88.039981</v>
      </c>
      <c r="AF7396" s="5" t="str">
        <f>HYPERLINK("https://www.google.com/maps/search/?api=1&amp;query=41.763071,-88.039981","map")</f>
        <v>map</v>
      </c>
    </row>
    <row r="7397" spans="1:32">
      <c r="A7397" t="s">
        <v>7447</v>
      </c>
      <c r="B7397" t="s">
        <v>14899</v>
      </c>
      <c r="C7397" t="s">
        <v>15323</v>
      </c>
      <c r="D7397" t="s">
        <v>16215</v>
      </c>
      <c r="E7397" t="s">
        <v>16218</v>
      </c>
      <c r="F7397" t="s">
        <v>16220</v>
      </c>
      <c r="G7397" t="s">
        <v>16299</v>
      </c>
      <c r="H7397" t="s">
        <v>16299</v>
      </c>
      <c r="I7397" t="s">
        <v>16382</v>
      </c>
      <c r="J7397" t="s">
        <v>16385</v>
      </c>
      <c r="K7397">
        <v>0.133</v>
      </c>
      <c r="L7397">
        <v>5783</v>
      </c>
      <c r="M7397">
        <v>1780</v>
      </c>
      <c r="N7397" t="s">
        <v>16393</v>
      </c>
      <c r="O7397" s="4">
        <v>54797</v>
      </c>
      <c r="P7397" s="4">
        <v>60861</v>
      </c>
      <c r="Q7397" s="4">
        <v>115658</v>
      </c>
      <c r="R7397" s="4">
        <v>346974</v>
      </c>
      <c r="S7397" t="s">
        <v>23542</v>
      </c>
      <c r="T7397" s="6">
        <v>41183</v>
      </c>
      <c r="U7397" s="4">
        <v>168500</v>
      </c>
      <c r="V7397" t="s">
        <v>23739</v>
      </c>
      <c r="W7397" t="s">
        <v>27758</v>
      </c>
      <c r="X7397" t="s">
        <v>3</v>
      </c>
      <c r="AA7397" s="5" t="str">
        <f>HYPERLINK("https://www.zillow.com/homes/7-KILDEER-CT-WOODRIDGE-IL-60517_rb/","check listing")</f>
        <v>check listing</v>
      </c>
      <c r="AB7397" s="5" t="str">
        <f>HYPERLINK("https://propertylookup.dupagecounty.gov/Datalets/Datalet.aspx?UseSearch=no&amp;mode=sales&amp;pin=0824319020","sales record")</f>
        <v>sales record</v>
      </c>
      <c r="AC7397" t="s">
        <v>3</v>
      </c>
      <c r="AD7397">
        <v>41.762354</v>
      </c>
      <c r="AE7397">
        <v>-88.04333</v>
      </c>
      <c r="AF7397" s="5" t="str">
        <f>HYPERLINK("https://www.google.com/maps/search/?api=1&amp;query=41.762354,-88.04333","map")</f>
        <v>map</v>
      </c>
    </row>
    <row r="7398" spans="1:32">
      <c r="A7398" t="s">
        <v>7448</v>
      </c>
      <c r="B7398" t="s">
        <v>14900</v>
      </c>
      <c r="C7398" t="s">
        <v>15323</v>
      </c>
      <c r="D7398" t="s">
        <v>16215</v>
      </c>
      <c r="E7398" t="s">
        <v>16218</v>
      </c>
      <c r="F7398" t="s">
        <v>16220</v>
      </c>
      <c r="G7398" t="s">
        <v>16299</v>
      </c>
      <c r="H7398" t="s">
        <v>16299</v>
      </c>
      <c r="I7398" t="s">
        <v>16382</v>
      </c>
      <c r="J7398" t="s">
        <v>16385</v>
      </c>
      <c r="K7398">
        <v>0.133</v>
      </c>
      <c r="L7398">
        <v>5780</v>
      </c>
      <c r="M7398">
        <v>1791</v>
      </c>
      <c r="N7398" t="s">
        <v>16393</v>
      </c>
      <c r="O7398" s="4">
        <v>54797</v>
      </c>
      <c r="P7398" s="4">
        <v>55915</v>
      </c>
      <c r="Q7398" s="4">
        <v>110712</v>
      </c>
      <c r="R7398" s="4">
        <v>332136</v>
      </c>
      <c r="S7398" t="s">
        <v>23543</v>
      </c>
      <c r="T7398" s="6">
        <v>33420</v>
      </c>
      <c r="U7398" s="4">
        <v>107000</v>
      </c>
      <c r="X7398" t="s">
        <v>3</v>
      </c>
      <c r="AA7398" s="5" t="str">
        <f>HYPERLINK("https://www.zillow.com/homes/6842-DOVE-AVE-WOODRIDGE-IL-60517_rb/","check listing")</f>
        <v>check listing</v>
      </c>
      <c r="AB7398" s="5" t="str">
        <f>HYPERLINK("https://propertylookup.dupagecounty.gov/Datalets/Datalet.aspx?UseSearch=no&amp;mode=sales&amp;pin=0824407014","sales record")</f>
        <v>sales record</v>
      </c>
      <c r="AC7398" t="s">
        <v>3</v>
      </c>
      <c r="AD7398">
        <v>41.762265</v>
      </c>
      <c r="AE7398">
        <v>-88.039204</v>
      </c>
      <c r="AF7398" s="5" t="str">
        <f>HYPERLINK("https://www.google.com/maps/search/?api=1&amp;query=41.762265,-88.039204","map")</f>
        <v>map</v>
      </c>
    </row>
    <row r="7399" spans="1:32">
      <c r="A7399" t="s">
        <v>7449</v>
      </c>
      <c r="B7399" t="s">
        <v>14901</v>
      </c>
      <c r="C7399" t="s">
        <v>16174</v>
      </c>
      <c r="D7399" t="s">
        <v>16215</v>
      </c>
      <c r="E7399" t="s">
        <v>16218</v>
      </c>
      <c r="F7399" t="s">
        <v>16220</v>
      </c>
      <c r="G7399" t="s">
        <v>16299</v>
      </c>
      <c r="H7399" t="s">
        <v>16299</v>
      </c>
      <c r="I7399" t="s">
        <v>16382</v>
      </c>
      <c r="J7399" t="s">
        <v>16385</v>
      </c>
      <c r="K7399">
        <v>0.132</v>
      </c>
      <c r="L7399">
        <v>5762</v>
      </c>
      <c r="M7399">
        <v>876</v>
      </c>
      <c r="N7399" t="s">
        <v>16393</v>
      </c>
      <c r="O7399" s="4">
        <v>49124</v>
      </c>
      <c r="P7399" s="4">
        <v>52323</v>
      </c>
      <c r="Q7399" s="4">
        <v>101447</v>
      </c>
      <c r="R7399" s="4">
        <v>304341</v>
      </c>
      <c r="S7399" t="s">
        <v>23544</v>
      </c>
      <c r="T7399" s="6">
        <v>44593</v>
      </c>
      <c r="U7399" s="4">
        <v>322000</v>
      </c>
      <c r="V7399" t="s">
        <v>23739</v>
      </c>
      <c r="W7399" t="s">
        <v>27759</v>
      </c>
      <c r="X7399" t="s">
        <v>3</v>
      </c>
      <c r="AA7399" s="5" t="str">
        <f>HYPERLINK("https://www.zillow.com/homes/6809-RED-WING-DR-WOODRIDGE-IL-605171846_rb/","check listing")</f>
        <v>check listing</v>
      </c>
      <c r="AB7399" s="5" t="str">
        <f>HYPERLINK("https://propertylookup.dupagecounty.gov/Datalets/Datalet.aspx?UseSearch=no&amp;mode=sales&amp;pin=0824404014","sales record")</f>
        <v>sales record</v>
      </c>
      <c r="AC7399" t="s">
        <v>3</v>
      </c>
      <c r="AD7399">
        <v>41.763773</v>
      </c>
      <c r="AE7399">
        <v>-88.038495</v>
      </c>
      <c r="AF7399" s="5" t="str">
        <f>HYPERLINK("https://www.google.com/maps/search/?api=1&amp;query=41.763773,-88.038495","map")</f>
        <v>map</v>
      </c>
    </row>
    <row r="7400" spans="1:32">
      <c r="A7400" t="s">
        <v>7450</v>
      </c>
      <c r="B7400" t="s">
        <v>14902</v>
      </c>
      <c r="C7400" t="s">
        <v>15323</v>
      </c>
      <c r="D7400" t="s">
        <v>16215</v>
      </c>
      <c r="E7400" t="s">
        <v>16218</v>
      </c>
      <c r="F7400" t="s">
        <v>16220</v>
      </c>
      <c r="G7400" t="s">
        <v>16299</v>
      </c>
      <c r="H7400" t="s">
        <v>16299</v>
      </c>
      <c r="I7400" t="s">
        <v>16382</v>
      </c>
      <c r="J7400" t="s">
        <v>16385</v>
      </c>
      <c r="K7400">
        <v>0.132</v>
      </c>
      <c r="L7400">
        <v>5759</v>
      </c>
      <c r="M7400">
        <v>1859</v>
      </c>
      <c r="N7400" t="s">
        <v>16393</v>
      </c>
      <c r="O7400" s="4">
        <v>50064</v>
      </c>
      <c r="P7400" s="4">
        <v>73324</v>
      </c>
      <c r="Q7400" s="4">
        <v>123388</v>
      </c>
      <c r="R7400" s="4">
        <v>370164</v>
      </c>
      <c r="S7400" t="s">
        <v>23545</v>
      </c>
      <c r="T7400" s="6">
        <v>39052</v>
      </c>
      <c r="U7400" s="4">
        <v>340000</v>
      </c>
      <c r="V7400" t="s">
        <v>23739</v>
      </c>
      <c r="W7400" t="s">
        <v>27760</v>
      </c>
      <c r="X7400" t="s">
        <v>3</v>
      </c>
      <c r="AA7400" s="5" t="str">
        <f>HYPERLINK("https://www.zillow.com/homes/2645-ZURICH-CT-WOODRIDGE-IL-60517_rb/","check listing")</f>
        <v>check listing</v>
      </c>
      <c r="AB7400" s="5" t="str">
        <f>HYPERLINK("https://propertylookup.dupagecounty.gov/Datalets/Datalet.aspx?UseSearch=no&amp;mode=sales&amp;pin=0836103003","sales record")</f>
        <v>sales record</v>
      </c>
      <c r="AC7400" t="s">
        <v>3</v>
      </c>
      <c r="AD7400">
        <v>41.737015</v>
      </c>
      <c r="AE7400">
        <v>-88.046274</v>
      </c>
      <c r="AF7400" s="5" t="str">
        <f>HYPERLINK("https://www.google.com/maps/search/?api=1&amp;query=41.737015,-88.046274","map")</f>
        <v>map</v>
      </c>
    </row>
    <row r="7401" spans="1:32">
      <c r="A7401" t="s">
        <v>7451</v>
      </c>
      <c r="B7401" t="s">
        <v>14903</v>
      </c>
      <c r="C7401" t="s">
        <v>15323</v>
      </c>
      <c r="D7401" t="s">
        <v>16215</v>
      </c>
      <c r="E7401" t="s">
        <v>16218</v>
      </c>
      <c r="F7401" t="s">
        <v>16220</v>
      </c>
      <c r="G7401" t="s">
        <v>16299</v>
      </c>
      <c r="H7401" t="s">
        <v>16299</v>
      </c>
      <c r="I7401" t="s">
        <v>16382</v>
      </c>
      <c r="J7401" t="s">
        <v>16385</v>
      </c>
      <c r="K7401">
        <v>0.132</v>
      </c>
      <c r="L7401">
        <v>5758</v>
      </c>
      <c r="M7401">
        <v>995</v>
      </c>
      <c r="N7401" t="s">
        <v>16393</v>
      </c>
      <c r="O7401" s="4">
        <v>54797</v>
      </c>
      <c r="P7401" s="4">
        <v>61872</v>
      </c>
      <c r="Q7401" s="4">
        <v>116669</v>
      </c>
      <c r="R7401" s="4">
        <v>350007</v>
      </c>
      <c r="S7401" t="s">
        <v>23546</v>
      </c>
      <c r="T7401" s="6">
        <v>35034</v>
      </c>
      <c r="U7401" s="4">
        <v>132900</v>
      </c>
      <c r="X7401" t="s">
        <v>3</v>
      </c>
      <c r="AA7401" s="5" t="str">
        <f>HYPERLINK("https://www.zillow.com/homes/13-PLOVER-CT-WOODRIDGE-IL-60517_rb/","check listing")</f>
        <v>check listing</v>
      </c>
      <c r="AB7401" s="5" t="str">
        <f>HYPERLINK("https://propertylookup.dupagecounty.gov/Datalets/Datalet.aspx?UseSearch=no&amp;mode=sales&amp;pin=0824320001","sales record")</f>
        <v>sales record</v>
      </c>
      <c r="AC7401" t="s">
        <v>3</v>
      </c>
      <c r="AD7401">
        <v>41.763377</v>
      </c>
      <c r="AE7401">
        <v>-88.04207</v>
      </c>
      <c r="AF7401" s="5" t="str">
        <f>HYPERLINK("https://www.google.com/maps/search/?api=1&amp;query=41.763377,-88.04207","map")</f>
        <v>map</v>
      </c>
    </row>
    <row r="7402" spans="1:32">
      <c r="A7402" t="s">
        <v>7452</v>
      </c>
      <c r="B7402" t="s">
        <v>14904</v>
      </c>
      <c r="C7402" t="s">
        <v>15323</v>
      </c>
      <c r="D7402" t="s">
        <v>16215</v>
      </c>
      <c r="E7402" t="s">
        <v>16218</v>
      </c>
      <c r="F7402" t="s">
        <v>16220</v>
      </c>
      <c r="G7402" t="s">
        <v>16299</v>
      </c>
      <c r="H7402" t="s">
        <v>16299</v>
      </c>
      <c r="I7402" t="s">
        <v>16382</v>
      </c>
      <c r="J7402" t="s">
        <v>16385</v>
      </c>
      <c r="K7402">
        <v>0.132</v>
      </c>
      <c r="L7402">
        <v>5757</v>
      </c>
      <c r="M7402">
        <v>2397</v>
      </c>
      <c r="N7402" t="s">
        <v>16393</v>
      </c>
      <c r="O7402" s="4">
        <v>50064</v>
      </c>
      <c r="P7402" s="4">
        <v>83194</v>
      </c>
      <c r="Q7402" s="4">
        <v>133258</v>
      </c>
      <c r="R7402" s="4">
        <v>399774</v>
      </c>
      <c r="S7402" t="s">
        <v>23547</v>
      </c>
      <c r="T7402" s="6">
        <v>32994</v>
      </c>
      <c r="U7402" s="4">
        <v>153000</v>
      </c>
      <c r="X7402" t="s">
        <v>3</v>
      </c>
      <c r="AA7402" s="5" t="str">
        <f>HYPERLINK("https://www.zillow.com/homes/2649-ZURICH-CT-WOODRIDGE-IL-60517_rb/","check listing")</f>
        <v>check listing</v>
      </c>
      <c r="AB7402" s="5" t="str">
        <f>HYPERLINK("https://propertylookup.dupagecounty.gov/Datalets/Datalet.aspx?UseSearch=no&amp;mode=sales&amp;pin=0836103002","sales record")</f>
        <v>sales record</v>
      </c>
      <c r="AC7402" t="s">
        <v>3</v>
      </c>
      <c r="AD7402">
        <v>41.73701</v>
      </c>
      <c r="AE7402">
        <v>-88.046457</v>
      </c>
      <c r="AF7402" s="5" t="str">
        <f>HYPERLINK("https://www.google.com/maps/search/?api=1&amp;query=41.73701,-88.046457","map")</f>
        <v>map</v>
      </c>
    </row>
    <row r="7403" spans="1:32">
      <c r="A7403" t="s">
        <v>7453</v>
      </c>
      <c r="B7403" t="s">
        <v>14905</v>
      </c>
      <c r="C7403" t="s">
        <v>15323</v>
      </c>
      <c r="D7403" t="s">
        <v>16215</v>
      </c>
      <c r="E7403" t="s">
        <v>16218</v>
      </c>
      <c r="F7403" t="s">
        <v>16220</v>
      </c>
      <c r="G7403" t="s">
        <v>16299</v>
      </c>
      <c r="H7403" t="s">
        <v>16299</v>
      </c>
      <c r="I7403" t="s">
        <v>16382</v>
      </c>
      <c r="J7403" t="s">
        <v>16385</v>
      </c>
      <c r="K7403">
        <v>0.132</v>
      </c>
      <c r="L7403">
        <v>5757</v>
      </c>
      <c r="M7403">
        <v>1974</v>
      </c>
      <c r="N7403" t="s">
        <v>16393</v>
      </c>
      <c r="O7403" s="4">
        <v>50064</v>
      </c>
      <c r="P7403" s="4">
        <v>95514</v>
      </c>
      <c r="Q7403" s="4">
        <v>145578</v>
      </c>
      <c r="R7403" s="4">
        <v>436734</v>
      </c>
      <c r="S7403" t="s">
        <v>23548</v>
      </c>
      <c r="X7403" t="s">
        <v>3</v>
      </c>
      <c r="AA7403" s="5" t="str">
        <f>HYPERLINK("https://www.zillow.com/homes/2641-ZURICH-CT-WOODRIDGE-IL-60517_rb/","check listing")</f>
        <v>check listing</v>
      </c>
      <c r="AB7403" s="5" t="str">
        <f>HYPERLINK("https://propertylookup.dupagecounty.gov/Datalets/Datalet.aspx?UseSearch=no&amp;mode=sales&amp;pin=0836103004","sales record")</f>
        <v>sales record</v>
      </c>
      <c r="AC7403" t="s">
        <v>3</v>
      </c>
      <c r="AD7403">
        <v>41.73702</v>
      </c>
      <c r="AE7403">
        <v>-88.04609000000001</v>
      </c>
      <c r="AF7403" s="5" t="str">
        <f>HYPERLINK("https://www.google.com/maps/search/?api=1&amp;query=41.73702,-88.04609","map")</f>
        <v>map</v>
      </c>
    </row>
    <row r="7404" spans="1:32">
      <c r="A7404" t="s">
        <v>7454</v>
      </c>
      <c r="B7404" t="s">
        <v>14906</v>
      </c>
      <c r="C7404" t="s">
        <v>15323</v>
      </c>
      <c r="D7404" t="s">
        <v>16215</v>
      </c>
      <c r="E7404" t="s">
        <v>16218</v>
      </c>
      <c r="F7404" t="s">
        <v>16220</v>
      </c>
      <c r="G7404" t="s">
        <v>16299</v>
      </c>
      <c r="H7404" t="s">
        <v>16299</v>
      </c>
      <c r="I7404" t="s">
        <v>16382</v>
      </c>
      <c r="J7404" t="s">
        <v>16385</v>
      </c>
      <c r="K7404">
        <v>0.132</v>
      </c>
      <c r="L7404">
        <v>5756</v>
      </c>
      <c r="M7404">
        <v>1633</v>
      </c>
      <c r="N7404" t="s">
        <v>16393</v>
      </c>
      <c r="O7404" s="4">
        <v>50064</v>
      </c>
      <c r="P7404" s="4">
        <v>74358</v>
      </c>
      <c r="Q7404" s="4">
        <v>124422</v>
      </c>
      <c r="R7404" s="4">
        <v>373266</v>
      </c>
      <c r="S7404" t="s">
        <v>23549</v>
      </c>
      <c r="X7404" t="s">
        <v>3</v>
      </c>
      <c r="AA7404" s="5" t="str">
        <f>HYPERLINK("https://www.zillow.com/homes/2637-ZURICH-CT-WOODRIDGE-IL-60517_rb/","check listing")</f>
        <v>check listing</v>
      </c>
      <c r="AB7404" s="5" t="str">
        <f>HYPERLINK("https://propertylookup.dupagecounty.gov/Datalets/Datalet.aspx?UseSearch=no&amp;mode=sales&amp;pin=0836103005","sales record")</f>
        <v>sales record</v>
      </c>
      <c r="AC7404" t="s">
        <v>3</v>
      </c>
      <c r="AD7404">
        <v>41.737024</v>
      </c>
      <c r="AE7404">
        <v>-88.045907</v>
      </c>
      <c r="AF7404" s="5" t="str">
        <f>HYPERLINK("https://www.google.com/maps/search/?api=1&amp;query=41.737024,-88.045907","map")</f>
        <v>map</v>
      </c>
    </row>
    <row r="7405" spans="1:32">
      <c r="A7405" t="s">
        <v>7455</v>
      </c>
      <c r="B7405" t="s">
        <v>14907</v>
      </c>
      <c r="C7405" t="s">
        <v>15323</v>
      </c>
      <c r="D7405" t="s">
        <v>16215</v>
      </c>
      <c r="E7405" t="s">
        <v>16218</v>
      </c>
      <c r="F7405" t="s">
        <v>16220</v>
      </c>
      <c r="G7405" t="s">
        <v>16299</v>
      </c>
      <c r="H7405" t="s">
        <v>16299</v>
      </c>
      <c r="I7405" t="s">
        <v>16382</v>
      </c>
      <c r="J7405" t="s">
        <v>16385</v>
      </c>
      <c r="K7405">
        <v>0.132</v>
      </c>
      <c r="L7405">
        <v>5730</v>
      </c>
      <c r="M7405">
        <v>1357</v>
      </c>
      <c r="N7405" t="s">
        <v>16393</v>
      </c>
      <c r="O7405" s="4">
        <v>54797</v>
      </c>
      <c r="P7405" s="4">
        <v>58126</v>
      </c>
      <c r="Q7405" s="4">
        <v>112923</v>
      </c>
      <c r="R7405" s="4">
        <v>338769</v>
      </c>
      <c r="S7405" t="s">
        <v>23550</v>
      </c>
      <c r="T7405" s="6">
        <v>44798</v>
      </c>
      <c r="U7405" s="4">
        <v>300000</v>
      </c>
      <c r="V7405" t="s">
        <v>23739</v>
      </c>
      <c r="W7405" t="s">
        <v>27761</v>
      </c>
      <c r="X7405" t="s">
        <v>3</v>
      </c>
      <c r="AA7405" s="5" t="str">
        <f>HYPERLINK("https://www.zillow.com/homes/2400-KILDEER-ST-WOODRIDGE-IL-60517_rb/","check listing")</f>
        <v>check listing</v>
      </c>
      <c r="AB7405" s="5" t="str">
        <f>HYPERLINK("https://propertylookup.dupagecounty.gov/Datalets/Datalet.aspx?UseSearch=no&amp;mode=sales&amp;pin=0824403004","sales record")</f>
        <v>sales record</v>
      </c>
      <c r="AC7405" t="s">
        <v>3</v>
      </c>
      <c r="AD7405">
        <v>41.762678</v>
      </c>
      <c r="AE7405">
        <v>-88.04117599999999</v>
      </c>
      <c r="AF7405" s="5" t="str">
        <f>HYPERLINK("https://www.google.com/maps/search/?api=1&amp;query=41.762678,-88.041176","map")</f>
        <v>map</v>
      </c>
    </row>
    <row r="7406" spans="1:32">
      <c r="A7406" t="s">
        <v>7456</v>
      </c>
      <c r="B7406" t="s">
        <v>14908</v>
      </c>
      <c r="C7406" t="s">
        <v>15323</v>
      </c>
      <c r="D7406" t="s">
        <v>16215</v>
      </c>
      <c r="E7406" t="s">
        <v>16218</v>
      </c>
      <c r="F7406" t="s">
        <v>16220</v>
      </c>
      <c r="G7406" t="s">
        <v>16299</v>
      </c>
      <c r="H7406" t="s">
        <v>16299</v>
      </c>
      <c r="I7406" t="s">
        <v>16382</v>
      </c>
      <c r="J7406" t="s">
        <v>16385</v>
      </c>
      <c r="K7406">
        <v>0.131</v>
      </c>
      <c r="L7406">
        <v>5721</v>
      </c>
      <c r="M7406">
        <v>1658</v>
      </c>
      <c r="N7406" t="s">
        <v>16393</v>
      </c>
      <c r="O7406" s="4">
        <v>54797</v>
      </c>
      <c r="P7406" s="4">
        <v>56759</v>
      </c>
      <c r="Q7406" s="4">
        <v>111556</v>
      </c>
      <c r="R7406" s="4">
        <v>334668</v>
      </c>
      <c r="S7406" t="s">
        <v>23551</v>
      </c>
      <c r="T7406" s="6">
        <v>37257</v>
      </c>
      <c r="U7406" s="4">
        <v>171500</v>
      </c>
      <c r="V7406" t="s">
        <v>23739</v>
      </c>
      <c r="W7406" t="s">
        <v>27762</v>
      </c>
      <c r="X7406" t="s">
        <v>3</v>
      </c>
      <c r="AA7406" s="5" t="str">
        <f>HYPERLINK("https://www.zillow.com/homes/6839-DOVE-AVE-WOODRIDGE-IL-60517_rb/","check listing")</f>
        <v>check listing</v>
      </c>
      <c r="AB7406" s="5" t="str">
        <f>HYPERLINK("https://propertylookup.dupagecounty.gov/Datalets/Datalet.aspx?UseSearch=no&amp;mode=sales&amp;pin=0824406005","sales record")</f>
        <v>sales record</v>
      </c>
      <c r="AC7406" t="s">
        <v>3</v>
      </c>
      <c r="AD7406">
        <v>41.762623</v>
      </c>
      <c r="AE7406">
        <v>-88.038771</v>
      </c>
      <c r="AF7406" s="5" t="str">
        <f>HYPERLINK("https://www.google.com/maps/search/?api=1&amp;query=41.762623,-88.038771","map")</f>
        <v>map</v>
      </c>
    </row>
    <row r="7407" spans="1:32">
      <c r="A7407" t="s">
        <v>7457</v>
      </c>
      <c r="B7407" t="s">
        <v>14909</v>
      </c>
      <c r="C7407" t="s">
        <v>16117</v>
      </c>
      <c r="D7407" t="s">
        <v>16215</v>
      </c>
      <c r="E7407" t="s">
        <v>16218</v>
      </c>
      <c r="F7407" t="s">
        <v>16220</v>
      </c>
      <c r="G7407" t="s">
        <v>16299</v>
      </c>
      <c r="H7407" t="s">
        <v>16299</v>
      </c>
      <c r="I7407" t="s">
        <v>16382</v>
      </c>
      <c r="J7407" t="s">
        <v>16385</v>
      </c>
      <c r="K7407">
        <v>0.131</v>
      </c>
      <c r="L7407">
        <v>5720</v>
      </c>
      <c r="M7407">
        <v>2489</v>
      </c>
      <c r="N7407" t="s">
        <v>16393</v>
      </c>
      <c r="O7407" s="4">
        <v>47507</v>
      </c>
      <c r="P7407" s="4">
        <v>79079</v>
      </c>
      <c r="Q7407" s="4">
        <v>126586</v>
      </c>
      <c r="R7407" s="4">
        <v>379758</v>
      </c>
      <c r="S7407" t="s">
        <v>23552</v>
      </c>
      <c r="T7407" s="6">
        <v>34366</v>
      </c>
      <c r="U7407" s="4">
        <v>157000</v>
      </c>
      <c r="X7407" t="s">
        <v>3</v>
      </c>
      <c r="AA7407" s="5" t="str">
        <f>HYPERLINK("https://www.zillow.com/homes/2612-ZURICH-CT-WOODRIDGE-IL-605174506_rb/","check listing")</f>
        <v>check listing</v>
      </c>
      <c r="AB7407" s="5" t="str">
        <f>HYPERLINK("https://propertylookup.dupagecounty.gov/Datalets/Datalet.aspx?UseSearch=no&amp;mode=sales&amp;pin=0836102012","sales record")</f>
        <v>sales record</v>
      </c>
      <c r="AC7407" t="s">
        <v>3</v>
      </c>
      <c r="AD7407">
        <v>41.737553</v>
      </c>
      <c r="AE7407">
        <v>-88.044657</v>
      </c>
      <c r="AF7407" s="5" t="str">
        <f>HYPERLINK("https://www.google.com/maps/search/?api=1&amp;query=41.737553,-88.044657","map")</f>
        <v>map</v>
      </c>
    </row>
    <row r="7408" spans="1:32">
      <c r="A7408" t="s">
        <v>7458</v>
      </c>
      <c r="B7408" t="s">
        <v>14910</v>
      </c>
      <c r="C7408" t="s">
        <v>16179</v>
      </c>
      <c r="D7408" t="s">
        <v>16215</v>
      </c>
      <c r="E7408" t="s">
        <v>16218</v>
      </c>
      <c r="F7408" t="s">
        <v>16220</v>
      </c>
      <c r="G7408" t="s">
        <v>16299</v>
      </c>
      <c r="H7408" t="s">
        <v>16299</v>
      </c>
      <c r="I7408" t="s">
        <v>16382</v>
      </c>
      <c r="J7408" t="s">
        <v>16385</v>
      </c>
      <c r="K7408">
        <v>0.131</v>
      </c>
      <c r="L7408">
        <v>5714</v>
      </c>
      <c r="M7408">
        <v>1301</v>
      </c>
      <c r="N7408" t="s">
        <v>16393</v>
      </c>
      <c r="O7408" s="4">
        <v>54797</v>
      </c>
      <c r="P7408" s="4">
        <v>58780</v>
      </c>
      <c r="Q7408" s="4">
        <v>113577</v>
      </c>
      <c r="R7408" s="4">
        <v>340731</v>
      </c>
      <c r="S7408" t="s">
        <v>23553</v>
      </c>
      <c r="T7408" s="6">
        <v>43800</v>
      </c>
      <c r="U7408" s="4">
        <v>243000</v>
      </c>
      <c r="V7408" t="s">
        <v>23739</v>
      </c>
      <c r="W7408" t="s">
        <v>27763</v>
      </c>
      <c r="X7408" t="s">
        <v>3</v>
      </c>
      <c r="AA7408" s="5" t="str">
        <f>HYPERLINK("https://www.zillow.com/homes/1-BLUE-JAY-CT-WOODRIDGE-IL-605171735_rb/","check listing")</f>
        <v>check listing</v>
      </c>
      <c r="AB7408" s="5" t="str">
        <f>HYPERLINK("https://propertylookup.dupagecounty.gov/Datalets/Datalet.aspx?UseSearch=no&amp;mode=sales&amp;pin=0824319006","sales record")</f>
        <v>sales record</v>
      </c>
      <c r="AC7408" t="s">
        <v>3</v>
      </c>
      <c r="AD7408">
        <v>41.763365</v>
      </c>
      <c r="AE7408">
        <v>-88.04246999999999</v>
      </c>
      <c r="AF7408" s="5" t="str">
        <f>HYPERLINK("https://www.google.com/maps/search/?api=1&amp;query=41.763365,-88.04247","map")</f>
        <v>map</v>
      </c>
    </row>
    <row r="7409" spans="1:32">
      <c r="A7409" t="s">
        <v>7459</v>
      </c>
      <c r="B7409" t="s">
        <v>14911</v>
      </c>
      <c r="C7409" t="s">
        <v>15323</v>
      </c>
      <c r="D7409" t="s">
        <v>16215</v>
      </c>
      <c r="E7409" t="s">
        <v>16218</v>
      </c>
      <c r="F7409" t="s">
        <v>16220</v>
      </c>
      <c r="G7409" t="s">
        <v>16299</v>
      </c>
      <c r="H7409" t="s">
        <v>16299</v>
      </c>
      <c r="I7409" t="s">
        <v>16382</v>
      </c>
      <c r="J7409" t="s">
        <v>16385</v>
      </c>
      <c r="K7409">
        <v>0.131</v>
      </c>
      <c r="L7409">
        <v>5711</v>
      </c>
      <c r="M7409">
        <v>1732</v>
      </c>
      <c r="N7409" t="s">
        <v>16393</v>
      </c>
      <c r="O7409" s="4">
        <v>50064</v>
      </c>
      <c r="P7409" s="4">
        <v>69566</v>
      </c>
      <c r="Q7409" s="4">
        <v>119630</v>
      </c>
      <c r="R7409" s="4">
        <v>358890</v>
      </c>
      <c r="S7409" t="s">
        <v>23554</v>
      </c>
      <c r="T7409" s="6">
        <v>37895</v>
      </c>
      <c r="U7409" s="4">
        <v>215000</v>
      </c>
      <c r="V7409" t="s">
        <v>23739</v>
      </c>
      <c r="W7409" t="s">
        <v>27764</v>
      </c>
      <c r="X7409" t="s">
        <v>3</v>
      </c>
      <c r="AA7409" s="5" t="str">
        <f>HYPERLINK("https://www.zillow.com/homes/2648-ZURICH-CT-WOODRIDGE-IL-60517_rb/","check listing")</f>
        <v>check listing</v>
      </c>
      <c r="AB7409" s="5" t="str">
        <f>HYPERLINK("https://propertylookup.dupagecounty.gov/Datalets/Datalet.aspx?UseSearch=no&amp;mode=sales&amp;pin=0836102003","sales record")</f>
        <v>sales record</v>
      </c>
      <c r="AC7409" t="s">
        <v>3</v>
      </c>
      <c r="AD7409">
        <v>41.737511</v>
      </c>
      <c r="AE7409">
        <v>-88.04629300000001</v>
      </c>
      <c r="AF7409" s="5" t="str">
        <f>HYPERLINK("https://www.google.com/maps/search/?api=1&amp;query=41.737511,-88.046293","map")</f>
        <v>map</v>
      </c>
    </row>
    <row r="7410" spans="1:32">
      <c r="A7410" t="s">
        <v>7460</v>
      </c>
      <c r="B7410" t="s">
        <v>14912</v>
      </c>
      <c r="C7410" t="s">
        <v>16117</v>
      </c>
      <c r="D7410" t="s">
        <v>16215</v>
      </c>
      <c r="E7410" t="s">
        <v>16218</v>
      </c>
      <c r="F7410" t="s">
        <v>16220</v>
      </c>
      <c r="G7410" t="s">
        <v>16299</v>
      </c>
      <c r="H7410" t="s">
        <v>16299</v>
      </c>
      <c r="I7410" t="s">
        <v>16382</v>
      </c>
      <c r="J7410" t="s">
        <v>16385</v>
      </c>
      <c r="K7410">
        <v>0.131</v>
      </c>
      <c r="L7410">
        <v>5710</v>
      </c>
      <c r="M7410">
        <v>1407</v>
      </c>
      <c r="N7410" t="s">
        <v>16393</v>
      </c>
      <c r="O7410" s="4">
        <v>50064</v>
      </c>
      <c r="P7410" s="4">
        <v>81053</v>
      </c>
      <c r="Q7410" s="4">
        <v>131117</v>
      </c>
      <c r="R7410" s="4">
        <v>393351</v>
      </c>
      <c r="S7410" t="s">
        <v>23555</v>
      </c>
      <c r="T7410" s="6">
        <v>44317</v>
      </c>
      <c r="U7410" s="4">
        <v>387500</v>
      </c>
      <c r="V7410" t="s">
        <v>23740</v>
      </c>
      <c r="W7410" t="s">
        <v>27765</v>
      </c>
      <c r="X7410" t="s">
        <v>3</v>
      </c>
      <c r="AA7410" s="5" t="str">
        <f>HYPERLINK("https://www.zillow.com/homes/2652-ZURICH-CT-WOODRIDGE-IL-605174506_rb/","check listing")</f>
        <v>check listing</v>
      </c>
      <c r="AB7410" s="5" t="str">
        <f>HYPERLINK("https://propertylookup.dupagecounty.gov/Datalets/Datalet.aspx?UseSearch=no&amp;mode=sales&amp;pin=0836102002","sales record")</f>
        <v>sales record</v>
      </c>
      <c r="AC7410" t="s">
        <v>3</v>
      </c>
      <c r="AD7410">
        <v>41.737507</v>
      </c>
      <c r="AE7410">
        <v>-88.046475</v>
      </c>
      <c r="AF7410" s="5" t="str">
        <f>HYPERLINK("https://www.google.com/maps/search/?api=1&amp;query=41.737507,-88.046475","map")</f>
        <v>map</v>
      </c>
    </row>
    <row r="7411" spans="1:32">
      <c r="A7411" t="s">
        <v>7461</v>
      </c>
      <c r="B7411" t="s">
        <v>14913</v>
      </c>
      <c r="C7411" t="s">
        <v>15323</v>
      </c>
      <c r="D7411" t="s">
        <v>16215</v>
      </c>
      <c r="E7411" t="s">
        <v>16218</v>
      </c>
      <c r="F7411" t="s">
        <v>16220</v>
      </c>
      <c r="G7411" t="s">
        <v>16299</v>
      </c>
      <c r="H7411" t="s">
        <v>16299</v>
      </c>
      <c r="I7411" t="s">
        <v>16382</v>
      </c>
      <c r="J7411" t="s">
        <v>16385</v>
      </c>
      <c r="K7411">
        <v>0.131</v>
      </c>
      <c r="L7411">
        <v>5710</v>
      </c>
      <c r="M7411">
        <v>1546</v>
      </c>
      <c r="N7411" t="s">
        <v>16393</v>
      </c>
      <c r="O7411" s="4">
        <v>47507</v>
      </c>
      <c r="P7411" s="4">
        <v>75584</v>
      </c>
      <c r="Q7411" s="4">
        <v>123091</v>
      </c>
      <c r="R7411" s="4">
        <v>369273</v>
      </c>
      <c r="S7411" t="s">
        <v>23556</v>
      </c>
      <c r="T7411" s="6">
        <v>38534</v>
      </c>
      <c r="U7411" s="4">
        <v>304000</v>
      </c>
      <c r="V7411" t="s">
        <v>23739</v>
      </c>
      <c r="W7411" t="s">
        <v>27766</v>
      </c>
      <c r="X7411" t="s">
        <v>3</v>
      </c>
      <c r="AA7411" s="5" t="str">
        <f>HYPERLINK("https://www.zillow.com/homes/2624-ZURICH-CT-WOODRIDGE-IL-60517_rb/","check listing")</f>
        <v>check listing</v>
      </c>
      <c r="AB7411" s="5" t="str">
        <f>HYPERLINK("https://propertylookup.dupagecounty.gov/Datalets/Datalet.aspx?UseSearch=no&amp;mode=sales&amp;pin=0836102009","sales record")</f>
        <v>sales record</v>
      </c>
      <c r="AC7411" t="s">
        <v>3</v>
      </c>
      <c r="AD7411">
        <v>41.737539</v>
      </c>
      <c r="AE7411">
        <v>-88.045203</v>
      </c>
      <c r="AF7411" s="5" t="str">
        <f>HYPERLINK("https://www.google.com/maps/search/?api=1&amp;query=41.737539,-88.045203","map")</f>
        <v>map</v>
      </c>
    </row>
    <row r="7412" spans="1:32">
      <c r="A7412" t="s">
        <v>7462</v>
      </c>
      <c r="B7412" t="s">
        <v>14914</v>
      </c>
      <c r="C7412" t="s">
        <v>16117</v>
      </c>
      <c r="D7412" t="s">
        <v>16215</v>
      </c>
      <c r="E7412" t="s">
        <v>16218</v>
      </c>
      <c r="F7412" t="s">
        <v>16220</v>
      </c>
      <c r="G7412" t="s">
        <v>16299</v>
      </c>
      <c r="H7412" t="s">
        <v>16299</v>
      </c>
      <c r="I7412" t="s">
        <v>16382</v>
      </c>
      <c r="J7412" t="s">
        <v>16385</v>
      </c>
      <c r="K7412">
        <v>0.131</v>
      </c>
      <c r="L7412">
        <v>5710</v>
      </c>
      <c r="M7412">
        <v>1923</v>
      </c>
      <c r="N7412" t="s">
        <v>16393</v>
      </c>
      <c r="O7412" s="4">
        <v>50064</v>
      </c>
      <c r="P7412" s="4">
        <v>82171</v>
      </c>
      <c r="Q7412" s="4">
        <v>132235</v>
      </c>
      <c r="R7412" s="4">
        <v>396705</v>
      </c>
      <c r="S7412" t="s">
        <v>23557</v>
      </c>
      <c r="T7412" s="6">
        <v>45106</v>
      </c>
      <c r="U7412" s="4">
        <v>445900</v>
      </c>
      <c r="V7412" t="s">
        <v>23741</v>
      </c>
      <c r="W7412" t="s">
        <v>27767</v>
      </c>
      <c r="X7412" t="s">
        <v>3</v>
      </c>
      <c r="AA7412" s="5" t="str">
        <f>HYPERLINK("https://www.zillow.com/homes/2632-ZURICH-CT-WOODRIDGE-IL-605174506_rb/","check listing")</f>
        <v>check listing</v>
      </c>
      <c r="AB7412" s="5" t="str">
        <f>HYPERLINK("https://propertylookup.dupagecounty.gov/Datalets/Datalet.aspx?UseSearch=no&amp;mode=sales&amp;pin=0836102007","sales record")</f>
        <v>sales record</v>
      </c>
      <c r="AC7412" t="s">
        <v>3</v>
      </c>
      <c r="AD7412">
        <v>41.73753</v>
      </c>
      <c r="AE7412">
        <v>-88.04556599999999</v>
      </c>
      <c r="AF7412" s="5" t="str">
        <f>HYPERLINK("https://www.google.com/maps/search/?api=1&amp;query=41.73753,-88.045566","map")</f>
        <v>map</v>
      </c>
    </row>
    <row r="7413" spans="1:32">
      <c r="A7413" t="s">
        <v>7463</v>
      </c>
      <c r="B7413" t="s">
        <v>14915</v>
      </c>
      <c r="C7413" t="s">
        <v>15323</v>
      </c>
      <c r="D7413" t="s">
        <v>16215</v>
      </c>
      <c r="E7413" t="s">
        <v>16218</v>
      </c>
      <c r="F7413" t="s">
        <v>16220</v>
      </c>
      <c r="G7413" t="s">
        <v>16299</v>
      </c>
      <c r="H7413" t="s">
        <v>16299</v>
      </c>
      <c r="I7413" t="s">
        <v>16382</v>
      </c>
      <c r="J7413" t="s">
        <v>16385</v>
      </c>
      <c r="K7413">
        <v>0.131</v>
      </c>
      <c r="L7413">
        <v>5710</v>
      </c>
      <c r="M7413">
        <v>1414</v>
      </c>
      <c r="N7413" t="s">
        <v>16393</v>
      </c>
      <c r="O7413" s="4">
        <v>50064</v>
      </c>
      <c r="P7413" s="4">
        <v>73811</v>
      </c>
      <c r="Q7413" s="4">
        <v>123875</v>
      </c>
      <c r="R7413" s="4">
        <v>371625</v>
      </c>
      <c r="S7413" t="s">
        <v>23558</v>
      </c>
      <c r="T7413" s="6">
        <v>34943</v>
      </c>
      <c r="U7413" s="4">
        <v>161000</v>
      </c>
      <c r="X7413" t="s">
        <v>3</v>
      </c>
      <c r="AA7413" s="5" t="str">
        <f>HYPERLINK("https://www.zillow.com/homes/2640-ZURICH-CT-WOODRIDGE-IL-60517_rb/","check listing")</f>
        <v>check listing</v>
      </c>
      <c r="AB7413" s="5" t="str">
        <f>HYPERLINK("https://propertylookup.dupagecounty.gov/Datalets/Datalet.aspx?UseSearch=no&amp;mode=sales&amp;pin=0836102005","sales record")</f>
        <v>sales record</v>
      </c>
      <c r="AC7413" t="s">
        <v>27873</v>
      </c>
      <c r="AD7413">
        <v>41.73752</v>
      </c>
      <c r="AE7413">
        <v>-88.04593</v>
      </c>
      <c r="AF7413" s="5" t="str">
        <f>HYPERLINK("https://www.google.com/maps/search/?api=1&amp;query=41.73752,-88.04593","map")</f>
        <v>map</v>
      </c>
    </row>
    <row r="7414" spans="1:32">
      <c r="A7414" t="s">
        <v>7464</v>
      </c>
      <c r="B7414" t="s">
        <v>14916</v>
      </c>
      <c r="C7414" t="s">
        <v>15323</v>
      </c>
      <c r="D7414" t="s">
        <v>16215</v>
      </c>
      <c r="E7414" t="s">
        <v>16218</v>
      </c>
      <c r="F7414" t="s">
        <v>16220</v>
      </c>
      <c r="G7414" t="s">
        <v>16299</v>
      </c>
      <c r="H7414" t="s">
        <v>16299</v>
      </c>
      <c r="I7414" t="s">
        <v>16382</v>
      </c>
      <c r="J7414" t="s">
        <v>16385</v>
      </c>
      <c r="K7414">
        <v>0.131</v>
      </c>
      <c r="L7414">
        <v>5710</v>
      </c>
      <c r="M7414">
        <v>2290</v>
      </c>
      <c r="N7414" t="s">
        <v>16393</v>
      </c>
      <c r="O7414" s="4">
        <v>50064</v>
      </c>
      <c r="P7414" s="4">
        <v>78390</v>
      </c>
      <c r="Q7414" s="4">
        <v>128454</v>
      </c>
      <c r="R7414" s="4">
        <v>385362</v>
      </c>
      <c r="S7414" t="s">
        <v>23559</v>
      </c>
      <c r="T7414" s="6">
        <v>45916</v>
      </c>
      <c r="U7414" s="4">
        <v>410000</v>
      </c>
      <c r="V7414" t="s">
        <v>23739</v>
      </c>
      <c r="W7414" t="s">
        <v>27768</v>
      </c>
      <c r="X7414" t="s">
        <v>3</v>
      </c>
      <c r="AA7414" s="5" t="str">
        <f>HYPERLINK("https://www.zillow.com/homes/2644-ZURICH-CT-WOODRIDGE-IL-60517_rb/","check listing")</f>
        <v>check listing</v>
      </c>
      <c r="AB7414" s="5" t="str">
        <f>HYPERLINK("https://propertylookup.dupagecounty.gov/Datalets/Datalet.aspx?UseSearch=no&amp;mode=sales&amp;pin=0836102004","sales record")</f>
        <v>sales record</v>
      </c>
      <c r="AC7414" t="s">
        <v>3</v>
      </c>
      <c r="AD7414">
        <v>41.737516</v>
      </c>
      <c r="AE7414">
        <v>-88.04611199999999</v>
      </c>
      <c r="AF7414" s="5" t="str">
        <f>HYPERLINK("https://www.google.com/maps/search/?api=1&amp;query=41.737516,-88.046112","map")</f>
        <v>map</v>
      </c>
    </row>
    <row r="7415" spans="1:32">
      <c r="A7415" t="s">
        <v>7465</v>
      </c>
      <c r="B7415" t="s">
        <v>14917</v>
      </c>
      <c r="C7415" t="s">
        <v>15323</v>
      </c>
      <c r="D7415" t="s">
        <v>16215</v>
      </c>
      <c r="E7415" t="s">
        <v>16218</v>
      </c>
      <c r="F7415" t="s">
        <v>16220</v>
      </c>
      <c r="G7415" t="s">
        <v>16299</v>
      </c>
      <c r="H7415" t="s">
        <v>16299</v>
      </c>
      <c r="I7415" t="s">
        <v>16382</v>
      </c>
      <c r="J7415" t="s">
        <v>16385</v>
      </c>
      <c r="K7415">
        <v>0.131</v>
      </c>
      <c r="L7415">
        <v>5709</v>
      </c>
      <c r="M7415">
        <v>2275</v>
      </c>
      <c r="N7415" t="s">
        <v>16393</v>
      </c>
      <c r="O7415" s="4">
        <v>50064</v>
      </c>
      <c r="P7415" s="4">
        <v>75584</v>
      </c>
      <c r="Q7415" s="4">
        <v>125648</v>
      </c>
      <c r="R7415" s="4">
        <v>376944</v>
      </c>
      <c r="S7415" t="s">
        <v>23560</v>
      </c>
      <c r="T7415" s="6">
        <v>38292</v>
      </c>
      <c r="U7415" s="4">
        <v>253500</v>
      </c>
      <c r="V7415" t="s">
        <v>23739</v>
      </c>
      <c r="W7415" t="s">
        <v>27769</v>
      </c>
      <c r="X7415" t="s">
        <v>3</v>
      </c>
      <c r="AA7415" s="5" t="str">
        <f>HYPERLINK("https://www.zillow.com/homes/2628-ZURICH-CT-WOODRIDGE-IL-60517_rb/","check listing")</f>
        <v>check listing</v>
      </c>
      <c r="AB7415" s="5" t="str">
        <f>HYPERLINK("https://propertylookup.dupagecounty.gov/Datalets/Datalet.aspx?UseSearch=no&amp;mode=sales&amp;pin=0836102008","sales record")</f>
        <v>sales record</v>
      </c>
      <c r="AC7415" t="s">
        <v>3</v>
      </c>
      <c r="AD7415">
        <v>41.737534</v>
      </c>
      <c r="AE7415">
        <v>-88.045385</v>
      </c>
      <c r="AF7415" s="5" t="str">
        <f>HYPERLINK("https://www.google.com/maps/search/?api=1&amp;query=41.737534,-88.045385","map")</f>
        <v>map</v>
      </c>
    </row>
    <row r="7416" spans="1:32">
      <c r="A7416" t="s">
        <v>7466</v>
      </c>
      <c r="B7416" t="s">
        <v>14918</v>
      </c>
      <c r="C7416" t="s">
        <v>15323</v>
      </c>
      <c r="D7416" t="s">
        <v>16215</v>
      </c>
      <c r="E7416" t="s">
        <v>16218</v>
      </c>
      <c r="F7416" t="s">
        <v>16220</v>
      </c>
      <c r="G7416" t="s">
        <v>16299</v>
      </c>
      <c r="H7416" t="s">
        <v>16299</v>
      </c>
      <c r="I7416" t="s">
        <v>16382</v>
      </c>
      <c r="J7416" t="s">
        <v>16385</v>
      </c>
      <c r="K7416">
        <v>0.131</v>
      </c>
      <c r="L7416">
        <v>5708</v>
      </c>
      <c r="M7416">
        <v>2050</v>
      </c>
      <c r="N7416" t="s">
        <v>16393</v>
      </c>
      <c r="O7416" s="4">
        <v>47507</v>
      </c>
      <c r="P7416" s="4">
        <v>68294</v>
      </c>
      <c r="Q7416" s="4">
        <v>115801</v>
      </c>
      <c r="R7416" s="4">
        <v>347403</v>
      </c>
      <c r="S7416" t="s">
        <v>23561</v>
      </c>
      <c r="T7416" s="6">
        <v>41487</v>
      </c>
      <c r="U7416" s="4">
        <v>200225</v>
      </c>
      <c r="V7416" t="s">
        <v>16232</v>
      </c>
      <c r="W7416" t="s">
        <v>27770</v>
      </c>
      <c r="X7416" t="s">
        <v>3</v>
      </c>
      <c r="AA7416" s="5" t="str">
        <f>HYPERLINK("https://www.zillow.com/homes/2616-ZURICH-CT-WOODRIDGE-IL-60517_rb/","check listing")</f>
        <v>check listing</v>
      </c>
      <c r="AB7416" s="5" t="str">
        <f>HYPERLINK("https://propertylookup.dupagecounty.gov/Datalets/Datalet.aspx?UseSearch=no&amp;mode=sales&amp;pin=0836102011","sales record")</f>
        <v>sales record</v>
      </c>
      <c r="AC7416" t="s">
        <v>3</v>
      </c>
      <c r="AD7416">
        <v>41.737548</v>
      </c>
      <c r="AE7416">
        <v>-88.044839</v>
      </c>
      <c r="AF7416" s="5" t="str">
        <f>HYPERLINK("https://www.google.com/maps/search/?api=1&amp;query=41.737548,-88.044839","map")</f>
        <v>map</v>
      </c>
    </row>
    <row r="7417" spans="1:32">
      <c r="A7417" t="s">
        <v>7467</v>
      </c>
      <c r="B7417" t="s">
        <v>14919</v>
      </c>
      <c r="C7417" t="s">
        <v>16117</v>
      </c>
      <c r="D7417" t="s">
        <v>16215</v>
      </c>
      <c r="E7417" t="s">
        <v>16218</v>
      </c>
      <c r="F7417" t="s">
        <v>16220</v>
      </c>
      <c r="G7417" t="s">
        <v>16299</v>
      </c>
      <c r="H7417" t="s">
        <v>16299</v>
      </c>
      <c r="I7417" t="s">
        <v>16382</v>
      </c>
      <c r="J7417" t="s">
        <v>16385</v>
      </c>
      <c r="K7417">
        <v>0.131</v>
      </c>
      <c r="L7417">
        <v>5708</v>
      </c>
      <c r="M7417">
        <v>2043</v>
      </c>
      <c r="N7417" t="s">
        <v>16393</v>
      </c>
      <c r="O7417" s="4">
        <v>50064</v>
      </c>
      <c r="P7417" s="4">
        <v>93017</v>
      </c>
      <c r="Q7417" s="4">
        <v>143081</v>
      </c>
      <c r="R7417" s="4">
        <v>429243</v>
      </c>
      <c r="S7417" t="s">
        <v>23562</v>
      </c>
      <c r="T7417" s="6">
        <v>44136</v>
      </c>
      <c r="U7417" s="4">
        <v>292000</v>
      </c>
      <c r="V7417" t="s">
        <v>23739</v>
      </c>
      <c r="W7417" t="s">
        <v>23562</v>
      </c>
      <c r="X7417" t="s">
        <v>3</v>
      </c>
      <c r="AA7417" s="5" t="str">
        <f>HYPERLINK("https://www.zillow.com/homes/2636-ZURICH-CT-WOODRIDGE-IL-605174506_rb/","check listing")</f>
        <v>check listing</v>
      </c>
      <c r="AB7417" s="5" t="str">
        <f>HYPERLINK("https://propertylookup.dupagecounty.gov/Datalets/Datalet.aspx?UseSearch=no&amp;mode=sales&amp;pin=0836102006","sales record")</f>
        <v>sales record</v>
      </c>
      <c r="AC7417" t="s">
        <v>27873</v>
      </c>
      <c r="AD7417">
        <v>41.737525</v>
      </c>
      <c r="AE7417">
        <v>-88.045748</v>
      </c>
      <c r="AF7417" s="5" t="str">
        <f>HYPERLINK("https://www.google.com/maps/search/?api=1&amp;query=41.737525,-88.045748","map")</f>
        <v>map</v>
      </c>
    </row>
    <row r="7418" spans="1:32">
      <c r="A7418" t="s">
        <v>7468</v>
      </c>
      <c r="B7418" t="s">
        <v>14920</v>
      </c>
      <c r="C7418" t="s">
        <v>15323</v>
      </c>
      <c r="D7418" t="s">
        <v>16215</v>
      </c>
      <c r="E7418" t="s">
        <v>16218</v>
      </c>
      <c r="F7418" t="s">
        <v>16220</v>
      </c>
      <c r="G7418" t="s">
        <v>16299</v>
      </c>
      <c r="H7418" t="s">
        <v>16299</v>
      </c>
      <c r="I7418" t="s">
        <v>16382</v>
      </c>
      <c r="J7418" t="s">
        <v>16385</v>
      </c>
      <c r="K7418">
        <v>0.131</v>
      </c>
      <c r="L7418">
        <v>5706</v>
      </c>
      <c r="M7418">
        <v>2368</v>
      </c>
      <c r="N7418" t="s">
        <v>16393</v>
      </c>
      <c r="O7418" s="4">
        <v>47507</v>
      </c>
      <c r="P7418" s="4">
        <v>78163</v>
      </c>
      <c r="Q7418" s="4">
        <v>125670</v>
      </c>
      <c r="R7418" s="4">
        <v>377010</v>
      </c>
      <c r="S7418" t="s">
        <v>23563</v>
      </c>
      <c r="T7418" s="6">
        <v>35278</v>
      </c>
      <c r="U7418" s="4">
        <v>160500</v>
      </c>
      <c r="X7418" t="s">
        <v>3</v>
      </c>
      <c r="AA7418" s="5" t="str">
        <f>HYPERLINK("https://www.zillow.com/homes/2620-ZURICH-CT-WOODRIDGE-IL-60517_rb/","check listing")</f>
        <v>check listing</v>
      </c>
      <c r="AB7418" s="5" t="str">
        <f>HYPERLINK("https://propertylookup.dupagecounty.gov/Datalets/Datalet.aspx?UseSearch=no&amp;mode=sales&amp;pin=0836102010","sales record")</f>
        <v>sales record</v>
      </c>
      <c r="AC7418" t="s">
        <v>3</v>
      </c>
      <c r="AD7418">
        <v>41.737544</v>
      </c>
      <c r="AE7418">
        <v>-88.04502100000001</v>
      </c>
      <c r="AF7418" s="5" t="str">
        <f>HYPERLINK("https://www.google.com/maps/search/?api=1&amp;query=41.737544,-88.045021","map")</f>
        <v>map</v>
      </c>
    </row>
    <row r="7419" spans="1:32">
      <c r="A7419" t="s">
        <v>7469</v>
      </c>
      <c r="B7419" t="s">
        <v>14921</v>
      </c>
      <c r="C7419" t="s">
        <v>16117</v>
      </c>
      <c r="D7419" t="s">
        <v>16215</v>
      </c>
      <c r="E7419" t="s">
        <v>16218</v>
      </c>
      <c r="F7419" t="s">
        <v>16220</v>
      </c>
      <c r="G7419" t="s">
        <v>16299</v>
      </c>
      <c r="H7419" t="s">
        <v>16299</v>
      </c>
      <c r="I7419" t="s">
        <v>16382</v>
      </c>
      <c r="J7419" t="s">
        <v>16385</v>
      </c>
      <c r="K7419">
        <v>0.131</v>
      </c>
      <c r="L7419">
        <v>5703</v>
      </c>
      <c r="M7419">
        <v>2033</v>
      </c>
      <c r="N7419" t="s">
        <v>16393</v>
      </c>
      <c r="O7419" s="4">
        <v>50064</v>
      </c>
      <c r="P7419" s="4">
        <v>64524</v>
      </c>
      <c r="Q7419" s="4">
        <v>114588</v>
      </c>
      <c r="R7419" s="4">
        <v>343764</v>
      </c>
      <c r="S7419" t="s">
        <v>23564</v>
      </c>
      <c r="T7419" s="6">
        <v>42856</v>
      </c>
      <c r="U7419" s="4">
        <v>199900</v>
      </c>
      <c r="V7419" t="s">
        <v>16232</v>
      </c>
      <c r="W7419" t="s">
        <v>27771</v>
      </c>
      <c r="X7419" t="s">
        <v>3</v>
      </c>
      <c r="AA7419" s="5" t="str">
        <f>HYPERLINK("https://www.zillow.com/homes/2609-ZURICH-CT-WOODRIDGE-IL-605174506_rb/","check listing")</f>
        <v>check listing</v>
      </c>
      <c r="AB7419" s="5" t="str">
        <f>HYPERLINK("https://propertylookup.dupagecounty.gov/Datalets/Datalet.aspx?UseSearch=no&amp;mode=sales&amp;pin=0836103012","sales record")</f>
        <v>sales record</v>
      </c>
      <c r="AC7419" t="s">
        <v>3</v>
      </c>
      <c r="AD7419">
        <v>41.736934</v>
      </c>
      <c r="AE7419">
        <v>-88.044613</v>
      </c>
      <c r="AF7419" s="5" t="str">
        <f>HYPERLINK("https://www.google.com/maps/search/?api=1&amp;query=41.736934,-88.044613","map")</f>
        <v>map</v>
      </c>
    </row>
    <row r="7420" spans="1:32">
      <c r="A7420" t="s">
        <v>7470</v>
      </c>
      <c r="B7420" t="s">
        <v>14922</v>
      </c>
      <c r="C7420" t="s">
        <v>15323</v>
      </c>
      <c r="D7420" t="s">
        <v>16215</v>
      </c>
      <c r="E7420" t="s">
        <v>16218</v>
      </c>
      <c r="F7420" t="s">
        <v>16220</v>
      </c>
      <c r="G7420" t="s">
        <v>16299</v>
      </c>
      <c r="H7420" t="s">
        <v>16299</v>
      </c>
      <c r="I7420" t="s">
        <v>16382</v>
      </c>
      <c r="J7420" t="s">
        <v>16385</v>
      </c>
      <c r="K7420">
        <v>0.131</v>
      </c>
      <c r="L7420">
        <v>5701</v>
      </c>
      <c r="M7420">
        <v>1634</v>
      </c>
      <c r="N7420" t="s">
        <v>16393</v>
      </c>
      <c r="O7420" s="4">
        <v>49243</v>
      </c>
      <c r="P7420" s="4">
        <v>74144</v>
      </c>
      <c r="Q7420" s="4">
        <v>123387</v>
      </c>
      <c r="R7420" s="4">
        <v>370161</v>
      </c>
      <c r="S7420" t="s">
        <v>23565</v>
      </c>
      <c r="T7420" s="6">
        <v>39326</v>
      </c>
      <c r="U7420" s="4">
        <v>292000</v>
      </c>
      <c r="V7420" t="s">
        <v>23739</v>
      </c>
      <c r="W7420" t="s">
        <v>27772</v>
      </c>
      <c r="X7420" t="s">
        <v>3</v>
      </c>
      <c r="AA7420" s="5" t="str">
        <f>HYPERLINK("https://www.zillow.com/homes/4-PHEASANT-CT-WOODRIDGE-IL-60517_rb/","check listing")</f>
        <v>check listing</v>
      </c>
      <c r="AB7420" s="5" t="str">
        <f>HYPERLINK("https://propertylookup.dupagecounty.gov/Datalets/Datalet.aspx?UseSearch=no&amp;mode=sales&amp;pin=0824317031","sales record")</f>
        <v>sales record</v>
      </c>
      <c r="AC7420" t="s">
        <v>3</v>
      </c>
      <c r="AD7420">
        <v>41.76476</v>
      </c>
      <c r="AE7420">
        <v>-88.04327000000001</v>
      </c>
      <c r="AF7420" s="5" t="str">
        <f>HYPERLINK("https://www.google.com/maps/search/?api=1&amp;query=41.76476,-88.04327","map")</f>
        <v>map</v>
      </c>
    </row>
    <row r="7421" spans="1:32">
      <c r="A7421" t="s">
        <v>7471</v>
      </c>
      <c r="B7421" t="s">
        <v>14923</v>
      </c>
      <c r="C7421" t="s">
        <v>16186</v>
      </c>
      <c r="D7421" t="s">
        <v>16215</v>
      </c>
      <c r="E7421" t="s">
        <v>16218</v>
      </c>
      <c r="F7421" t="s">
        <v>16220</v>
      </c>
      <c r="G7421" t="s">
        <v>16299</v>
      </c>
      <c r="H7421" t="s">
        <v>16299</v>
      </c>
      <c r="I7421" t="s">
        <v>16382</v>
      </c>
      <c r="J7421" t="s">
        <v>16385</v>
      </c>
      <c r="K7421">
        <v>0.131</v>
      </c>
      <c r="L7421">
        <v>5687</v>
      </c>
      <c r="M7421">
        <v>1575</v>
      </c>
      <c r="N7421" t="s">
        <v>16393</v>
      </c>
      <c r="O7421" s="4">
        <v>54797</v>
      </c>
      <c r="P7421" s="4">
        <v>69495</v>
      </c>
      <c r="Q7421" s="4">
        <v>124292</v>
      </c>
      <c r="R7421" s="4">
        <v>372876</v>
      </c>
      <c r="S7421" t="s">
        <v>23566</v>
      </c>
      <c r="T7421" s="6">
        <v>44531</v>
      </c>
      <c r="U7421" s="4">
        <v>310000</v>
      </c>
      <c r="V7421" t="s">
        <v>23739</v>
      </c>
      <c r="W7421" t="s">
        <v>27773</v>
      </c>
      <c r="X7421" t="s">
        <v>3</v>
      </c>
      <c r="AA7421" s="5" t="str">
        <f>HYPERLINK("https://www.zillow.com/homes/2397-GOLDFINCH-ST-WOODRIDGE-IL-605171857_rb/","check listing")</f>
        <v>check listing</v>
      </c>
      <c r="AB7421" s="5" t="str">
        <f>HYPERLINK("https://propertylookup.dupagecounty.gov/Datalets/Datalet.aspx?UseSearch=no&amp;mode=sales&amp;pin=0824408001","sales record")</f>
        <v>sales record</v>
      </c>
      <c r="AC7421" t="s">
        <v>3</v>
      </c>
      <c r="AD7421">
        <v>41.761621</v>
      </c>
      <c r="AE7421">
        <v>-88.040249</v>
      </c>
      <c r="AF7421" s="5" t="str">
        <f>HYPERLINK("https://www.google.com/maps/search/?api=1&amp;query=41.761621,-88.040249","map")</f>
        <v>map</v>
      </c>
    </row>
    <row r="7422" spans="1:32">
      <c r="A7422" t="s">
        <v>7472</v>
      </c>
      <c r="B7422" t="s">
        <v>14924</v>
      </c>
      <c r="C7422" t="s">
        <v>16185</v>
      </c>
      <c r="D7422" t="s">
        <v>16215</v>
      </c>
      <c r="E7422" t="s">
        <v>16218</v>
      </c>
      <c r="F7422" t="s">
        <v>16220</v>
      </c>
      <c r="G7422" t="s">
        <v>16299</v>
      </c>
      <c r="H7422" t="s">
        <v>16299</v>
      </c>
      <c r="I7422" t="s">
        <v>16382</v>
      </c>
      <c r="J7422" t="s">
        <v>16385</v>
      </c>
      <c r="K7422">
        <v>0.13</v>
      </c>
      <c r="L7422">
        <v>5684</v>
      </c>
      <c r="M7422">
        <v>1681</v>
      </c>
      <c r="N7422" t="s">
        <v>16393</v>
      </c>
      <c r="O7422" s="4">
        <v>54797</v>
      </c>
      <c r="P7422" s="4">
        <v>53156</v>
      </c>
      <c r="Q7422" s="4">
        <v>107953</v>
      </c>
      <c r="R7422" s="4">
        <v>323859</v>
      </c>
      <c r="S7422" t="s">
        <v>23567</v>
      </c>
      <c r="T7422" s="6">
        <v>37257</v>
      </c>
      <c r="U7422" s="4">
        <v>162000</v>
      </c>
      <c r="V7422" t="s">
        <v>23739</v>
      </c>
      <c r="W7422" t="s">
        <v>27774</v>
      </c>
      <c r="X7422" t="s">
        <v>3</v>
      </c>
      <c r="AA7422" s="5" t="str">
        <f>HYPERLINK("https://www.zillow.com/homes/13-KILDEER-CT-WOODRIDGE-IL-605171726_rb/","check listing")</f>
        <v>check listing</v>
      </c>
      <c r="AB7422" s="5" t="str">
        <f>HYPERLINK("https://propertylookup.dupagecounty.gov/Datalets/Datalet.aspx?UseSearch=no&amp;mode=sales&amp;pin=0824319026","sales record")</f>
        <v>sales record</v>
      </c>
      <c r="AC7422" t="s">
        <v>3</v>
      </c>
      <c r="AD7422">
        <v>41.762219</v>
      </c>
      <c r="AE7422">
        <v>-88.04237999999999</v>
      </c>
      <c r="AF7422" s="5" t="str">
        <f>HYPERLINK("https://www.google.com/maps/search/?api=1&amp;query=41.762219,-88.04238","map")</f>
        <v>map</v>
      </c>
    </row>
    <row r="7423" spans="1:32">
      <c r="A7423" t="s">
        <v>7473</v>
      </c>
      <c r="B7423" t="s">
        <v>14925</v>
      </c>
      <c r="C7423" t="s">
        <v>16156</v>
      </c>
      <c r="D7423" t="s">
        <v>16215</v>
      </c>
      <c r="E7423" t="s">
        <v>16218</v>
      </c>
      <c r="F7423" t="s">
        <v>16220</v>
      </c>
      <c r="G7423" t="s">
        <v>16299</v>
      </c>
      <c r="H7423" t="s">
        <v>16299</v>
      </c>
      <c r="I7423" t="s">
        <v>16382</v>
      </c>
      <c r="J7423" t="s">
        <v>16385</v>
      </c>
      <c r="K7423">
        <v>0.13</v>
      </c>
      <c r="L7423">
        <v>5674</v>
      </c>
      <c r="M7423">
        <v>1491</v>
      </c>
      <c r="N7423" t="s">
        <v>16393</v>
      </c>
      <c r="O7423" s="4">
        <v>54797</v>
      </c>
      <c r="P7423" s="4">
        <v>62431</v>
      </c>
      <c r="Q7423" s="4">
        <v>117228</v>
      </c>
      <c r="R7423" s="4">
        <v>351684</v>
      </c>
      <c r="S7423" t="s">
        <v>23568</v>
      </c>
      <c r="T7423" s="6">
        <v>36404</v>
      </c>
      <c r="U7423" s="4">
        <v>160001</v>
      </c>
      <c r="X7423" t="s">
        <v>3</v>
      </c>
      <c r="AA7423" s="5" t="str">
        <f>HYPERLINK("https://www.zillow.com/homes/6651-WHEATFIELD-ST-WOODRIDGE-IL-605171715_rb/","check listing")</f>
        <v>check listing</v>
      </c>
      <c r="AB7423" s="5" t="str">
        <f>HYPERLINK("https://propertylookup.dupagecounty.gov/Datalets/Datalet.aspx?UseSearch=no&amp;mode=sales&amp;pin=0824111017","sales record")</f>
        <v>sales record</v>
      </c>
      <c r="AC7423" t="s">
        <v>3</v>
      </c>
      <c r="AD7423">
        <v>41.765457</v>
      </c>
      <c r="AE7423">
        <v>-88.042709</v>
      </c>
      <c r="AF7423" s="5" t="str">
        <f>HYPERLINK("https://www.google.com/maps/search/?api=1&amp;query=41.765457,-88.042709","map")</f>
        <v>map</v>
      </c>
    </row>
    <row r="7424" spans="1:32">
      <c r="A7424" t="s">
        <v>7474</v>
      </c>
      <c r="B7424" t="s">
        <v>14926</v>
      </c>
      <c r="C7424" t="s">
        <v>15323</v>
      </c>
      <c r="D7424" t="s">
        <v>16215</v>
      </c>
      <c r="E7424" t="s">
        <v>16218</v>
      </c>
      <c r="F7424" t="s">
        <v>16220</v>
      </c>
      <c r="G7424" t="s">
        <v>16299</v>
      </c>
      <c r="H7424" t="s">
        <v>16299</v>
      </c>
      <c r="I7424" t="s">
        <v>16382</v>
      </c>
      <c r="J7424" t="s">
        <v>16385</v>
      </c>
      <c r="K7424">
        <v>0.129</v>
      </c>
      <c r="L7424">
        <v>5622</v>
      </c>
      <c r="M7424">
        <v>1768</v>
      </c>
      <c r="N7424" t="s">
        <v>16393</v>
      </c>
      <c r="O7424" s="4">
        <v>54797</v>
      </c>
      <c r="P7424" s="4">
        <v>66854</v>
      </c>
      <c r="Q7424" s="4">
        <v>121651</v>
      </c>
      <c r="R7424" s="4">
        <v>364953</v>
      </c>
      <c r="S7424" t="s">
        <v>23569</v>
      </c>
      <c r="T7424" s="6">
        <v>40695</v>
      </c>
      <c r="U7424" s="4">
        <v>215800</v>
      </c>
      <c r="V7424" t="s">
        <v>23739</v>
      </c>
      <c r="W7424" t="s">
        <v>23569</v>
      </c>
      <c r="X7424" t="s">
        <v>3</v>
      </c>
      <c r="AA7424" s="5" t="str">
        <f>HYPERLINK("https://www.zillow.com/homes/6818-DOVE-AVE-WOODRIDGE-IL-60517_rb/","check listing")</f>
        <v>check listing</v>
      </c>
      <c r="AB7424" s="5" t="str">
        <f>HYPERLINK("https://propertylookup.dupagecounty.gov/Datalets/Datalet.aspx?UseSearch=no&amp;mode=sales&amp;pin=0824405020","sales record")</f>
        <v>sales record</v>
      </c>
      <c r="AC7424" t="s">
        <v>3</v>
      </c>
      <c r="AD7424">
        <v>41.763118</v>
      </c>
      <c r="AE7424">
        <v>-88.039721</v>
      </c>
      <c r="AF7424" s="5" t="str">
        <f>HYPERLINK("https://www.google.com/maps/search/?api=1&amp;query=41.763118,-88.039721","map")</f>
        <v>map</v>
      </c>
    </row>
    <row r="7425" spans="1:32">
      <c r="A7425" t="s">
        <v>7475</v>
      </c>
      <c r="B7425" t="s">
        <v>14927</v>
      </c>
      <c r="C7425" t="s">
        <v>15323</v>
      </c>
      <c r="D7425" t="s">
        <v>16215</v>
      </c>
      <c r="E7425" t="s">
        <v>16218</v>
      </c>
      <c r="F7425" t="s">
        <v>16220</v>
      </c>
      <c r="G7425" t="s">
        <v>16299</v>
      </c>
      <c r="H7425" t="s">
        <v>16299</v>
      </c>
      <c r="I7425" t="s">
        <v>16382</v>
      </c>
      <c r="J7425" t="s">
        <v>16385</v>
      </c>
      <c r="K7425">
        <v>0.129</v>
      </c>
      <c r="L7425">
        <v>5616</v>
      </c>
      <c r="M7425">
        <v>2757</v>
      </c>
      <c r="N7425" t="s">
        <v>16393</v>
      </c>
      <c r="O7425" s="4">
        <v>57651</v>
      </c>
      <c r="P7425" s="4">
        <v>72206</v>
      </c>
      <c r="Q7425" s="4">
        <v>129857</v>
      </c>
      <c r="R7425" s="4">
        <v>389571</v>
      </c>
      <c r="S7425" t="s">
        <v>23570</v>
      </c>
      <c r="T7425" s="6">
        <v>34669</v>
      </c>
      <c r="U7425" s="4">
        <v>136235</v>
      </c>
      <c r="X7425" t="s">
        <v>3</v>
      </c>
      <c r="AA7425" s="5" t="str">
        <f>HYPERLINK("https://www.zillow.com/homes/6922-BLUE-FLAG-AVE-WOODRIDGE-IL-60517_rb/","check listing")</f>
        <v>check listing</v>
      </c>
      <c r="AB7425" s="5" t="str">
        <f>HYPERLINK("https://propertylookup.dupagecounty.gov/Datalets/Datalet.aspx?UseSearch=no&amp;mode=sales&amp;pin=0824309003","sales record")</f>
        <v>sales record</v>
      </c>
      <c r="AC7425" t="s">
        <v>3</v>
      </c>
      <c r="AD7425">
        <v>41.760531</v>
      </c>
      <c r="AE7425">
        <v>-88.050738</v>
      </c>
      <c r="AF7425" s="5" t="str">
        <f>HYPERLINK("https://www.google.com/maps/search/?api=1&amp;query=41.760531,-88.050738","map")</f>
        <v>map</v>
      </c>
    </row>
    <row r="7426" spans="1:32">
      <c r="A7426" t="s">
        <v>7476</v>
      </c>
      <c r="B7426" t="s">
        <v>14928</v>
      </c>
      <c r="C7426" t="s">
        <v>15323</v>
      </c>
      <c r="D7426" t="s">
        <v>16215</v>
      </c>
      <c r="E7426" t="s">
        <v>16218</v>
      </c>
      <c r="F7426" t="s">
        <v>16220</v>
      </c>
      <c r="G7426" t="s">
        <v>16299</v>
      </c>
      <c r="H7426" t="s">
        <v>16299</v>
      </c>
      <c r="I7426" t="s">
        <v>16382</v>
      </c>
      <c r="J7426" t="s">
        <v>16385</v>
      </c>
      <c r="K7426">
        <v>0.129</v>
      </c>
      <c r="L7426">
        <v>5605</v>
      </c>
      <c r="M7426">
        <v>1607</v>
      </c>
      <c r="N7426" t="s">
        <v>16393</v>
      </c>
      <c r="O7426" s="4">
        <v>54797</v>
      </c>
      <c r="P7426" s="4">
        <v>60540</v>
      </c>
      <c r="Q7426" s="4">
        <v>115337</v>
      </c>
      <c r="R7426" s="4">
        <v>346011</v>
      </c>
      <c r="S7426" t="s">
        <v>23571</v>
      </c>
      <c r="T7426" s="6">
        <v>45951</v>
      </c>
      <c r="U7426" s="4">
        <v>360000</v>
      </c>
      <c r="V7426" t="s">
        <v>16232</v>
      </c>
      <c r="W7426" t="s">
        <v>27775</v>
      </c>
      <c r="X7426" t="s">
        <v>3</v>
      </c>
      <c r="AA7426" s="5" t="str">
        <f>HYPERLINK("https://www.zillow.com/homes/14-KILDEER-CT-WOODRIDGE-IL-60517_rb/","check listing")</f>
        <v>check listing</v>
      </c>
      <c r="AB7426" s="5" t="str">
        <f>HYPERLINK("https://propertylookup.dupagecounty.gov/Datalets/Datalet.aspx?UseSearch=no&amp;mode=sales&amp;pin=0824319027","sales record")</f>
        <v>sales record</v>
      </c>
      <c r="AC7426" t="s">
        <v>3</v>
      </c>
      <c r="AD7426">
        <v>41.762303</v>
      </c>
      <c r="AE7426">
        <v>-88.042107</v>
      </c>
      <c r="AF7426" s="5" t="str">
        <f>HYPERLINK("https://www.google.com/maps/search/?api=1&amp;query=41.762303,-88.042107","map")</f>
        <v>map</v>
      </c>
    </row>
    <row r="7427" spans="1:32">
      <c r="A7427" t="s">
        <v>7477</v>
      </c>
      <c r="B7427" t="s">
        <v>14929</v>
      </c>
      <c r="C7427" t="s">
        <v>16177</v>
      </c>
      <c r="D7427" t="s">
        <v>16215</v>
      </c>
      <c r="E7427" t="s">
        <v>16218</v>
      </c>
      <c r="F7427" t="s">
        <v>16220</v>
      </c>
      <c r="G7427" t="s">
        <v>16299</v>
      </c>
      <c r="H7427" t="s">
        <v>16299</v>
      </c>
      <c r="I7427" t="s">
        <v>16382</v>
      </c>
      <c r="J7427" t="s">
        <v>16385</v>
      </c>
      <c r="K7427">
        <v>0.129</v>
      </c>
      <c r="L7427">
        <v>5605</v>
      </c>
      <c r="M7427">
        <v>825</v>
      </c>
      <c r="N7427" t="s">
        <v>16393</v>
      </c>
      <c r="O7427" s="4">
        <v>54713</v>
      </c>
      <c r="P7427" s="4">
        <v>55034</v>
      </c>
      <c r="Q7427" s="4">
        <v>109747</v>
      </c>
      <c r="R7427" s="4">
        <v>329241</v>
      </c>
      <c r="S7427" t="s">
        <v>23572</v>
      </c>
      <c r="T7427" s="6">
        <v>43831</v>
      </c>
      <c r="U7427" s="4">
        <v>255000</v>
      </c>
      <c r="V7427" t="s">
        <v>23739</v>
      </c>
      <c r="W7427" t="s">
        <v>27776</v>
      </c>
      <c r="X7427" t="s">
        <v>3</v>
      </c>
      <c r="AA7427" s="5" t="str">
        <f>HYPERLINK("https://www.zillow.com/homes/2363-SUNNYDALE-DR-WOODRIDGE-IL-605171844_rb/","check listing")</f>
        <v>check listing</v>
      </c>
      <c r="AB7427" s="5" t="str">
        <f>HYPERLINK("https://propertylookup.dupagecounty.gov/Datalets/Datalet.aspx?UseSearch=no&amp;mode=sales&amp;pin=0824420007","sales record")</f>
        <v>sales record</v>
      </c>
      <c r="AC7427" t="s">
        <v>3</v>
      </c>
      <c r="AD7427">
        <v>41.760232</v>
      </c>
      <c r="AE7427">
        <v>-88.039248</v>
      </c>
      <c r="AF7427" s="5" t="str">
        <f>HYPERLINK("https://www.google.com/maps/search/?api=1&amp;query=41.760232,-88.039248","map")</f>
        <v>map</v>
      </c>
    </row>
    <row r="7428" spans="1:32">
      <c r="A7428" t="s">
        <v>7478</v>
      </c>
      <c r="B7428" t="s">
        <v>14930</v>
      </c>
      <c r="C7428" t="s">
        <v>15323</v>
      </c>
      <c r="D7428" t="s">
        <v>16215</v>
      </c>
      <c r="E7428" t="s">
        <v>16218</v>
      </c>
      <c r="F7428" t="s">
        <v>16220</v>
      </c>
      <c r="G7428" t="s">
        <v>16299</v>
      </c>
      <c r="H7428" t="s">
        <v>16299</v>
      </c>
      <c r="I7428" t="s">
        <v>16382</v>
      </c>
      <c r="J7428" t="s">
        <v>16385</v>
      </c>
      <c r="K7428">
        <v>0.127</v>
      </c>
      <c r="L7428">
        <v>5552</v>
      </c>
      <c r="M7428">
        <v>1752</v>
      </c>
      <c r="N7428" t="s">
        <v>16393</v>
      </c>
      <c r="O7428" s="4">
        <v>54797</v>
      </c>
      <c r="P7428" s="4">
        <v>69495</v>
      </c>
      <c r="Q7428" s="4">
        <v>124292</v>
      </c>
      <c r="R7428" s="4">
        <v>372876</v>
      </c>
      <c r="S7428" t="s">
        <v>23573</v>
      </c>
      <c r="T7428" s="6">
        <v>42887</v>
      </c>
      <c r="U7428" s="4">
        <v>289000</v>
      </c>
      <c r="V7428" t="s">
        <v>23739</v>
      </c>
      <c r="W7428" t="s">
        <v>27777</v>
      </c>
      <c r="X7428" t="s">
        <v>3</v>
      </c>
      <c r="AA7428" s="5" t="str">
        <f>HYPERLINK("https://www.zillow.com/homes/1-KILDEER-CT-WOODRIDGE-IL-60517_rb/","check listing")</f>
        <v>check listing</v>
      </c>
      <c r="AB7428" s="5" t="str">
        <f>HYPERLINK("https://propertylookup.dupagecounty.gov/Datalets/Datalet.aspx?UseSearch=no&amp;mode=sales&amp;pin=0824319014","sales record")</f>
        <v>sales record</v>
      </c>
      <c r="AC7428" t="s">
        <v>3</v>
      </c>
      <c r="AD7428">
        <v>41.762674</v>
      </c>
      <c r="AE7428">
        <v>-88.042455</v>
      </c>
      <c r="AF7428" s="5" t="str">
        <f>HYPERLINK("https://www.google.com/maps/search/?api=1&amp;query=41.762674,-88.042455","map")</f>
        <v>map</v>
      </c>
    </row>
    <row r="7429" spans="1:32">
      <c r="A7429" t="s">
        <v>7479</v>
      </c>
      <c r="B7429" t="s">
        <v>14931</v>
      </c>
      <c r="C7429" t="s">
        <v>16161</v>
      </c>
      <c r="D7429" t="s">
        <v>16215</v>
      </c>
      <c r="E7429" t="s">
        <v>16218</v>
      </c>
      <c r="F7429" t="s">
        <v>16220</v>
      </c>
      <c r="G7429" t="s">
        <v>16299</v>
      </c>
      <c r="H7429" t="s">
        <v>16299</v>
      </c>
      <c r="I7429" t="s">
        <v>16382</v>
      </c>
      <c r="J7429" t="s">
        <v>16385</v>
      </c>
      <c r="K7429">
        <v>0.127</v>
      </c>
      <c r="L7429">
        <v>5551</v>
      </c>
      <c r="M7429">
        <v>1306</v>
      </c>
      <c r="N7429" t="s">
        <v>16393</v>
      </c>
      <c r="O7429" s="4">
        <v>54797</v>
      </c>
      <c r="P7429" s="4">
        <v>59756</v>
      </c>
      <c r="Q7429" s="4">
        <v>114553</v>
      </c>
      <c r="R7429" s="4">
        <v>343659</v>
      </c>
      <c r="S7429" t="s">
        <v>23574</v>
      </c>
      <c r="T7429" s="6">
        <v>42979</v>
      </c>
      <c r="U7429" s="4">
        <v>251500</v>
      </c>
      <c r="V7429" t="s">
        <v>23739</v>
      </c>
      <c r="W7429" t="s">
        <v>27778</v>
      </c>
      <c r="X7429" t="s">
        <v>3</v>
      </c>
      <c r="AA7429" s="5" t="str">
        <f>HYPERLINK("https://www.zillow.com/homes/5-ORIOLE-CT-WOODRIDGE-IL-605171851_rb/","check listing")</f>
        <v>check listing</v>
      </c>
      <c r="AB7429" s="5" t="str">
        <f>HYPERLINK("https://propertylookup.dupagecounty.gov/Datalets/Datalet.aspx?UseSearch=no&amp;mode=sales&amp;pin=0824319032","sales record")</f>
        <v>sales record</v>
      </c>
      <c r="AC7429" t="s">
        <v>3</v>
      </c>
      <c r="AD7429">
        <v>41.761783</v>
      </c>
      <c r="AE7429">
        <v>-88.041838</v>
      </c>
      <c r="AF7429" s="5" t="str">
        <f>HYPERLINK("https://www.google.com/maps/search/?api=1&amp;query=41.761783,-88.041838","map")</f>
        <v>map</v>
      </c>
    </row>
    <row r="7430" spans="1:32">
      <c r="A7430" t="s">
        <v>7480</v>
      </c>
      <c r="B7430" t="s">
        <v>14932</v>
      </c>
      <c r="C7430" t="s">
        <v>15323</v>
      </c>
      <c r="D7430" t="s">
        <v>16215</v>
      </c>
      <c r="E7430" t="s">
        <v>16218</v>
      </c>
      <c r="F7430" t="s">
        <v>16220</v>
      </c>
      <c r="G7430" t="s">
        <v>16299</v>
      </c>
      <c r="H7430" t="s">
        <v>16299</v>
      </c>
      <c r="I7430" t="s">
        <v>16382</v>
      </c>
      <c r="J7430" t="s">
        <v>16385</v>
      </c>
      <c r="K7430">
        <v>0.127</v>
      </c>
      <c r="L7430">
        <v>5538</v>
      </c>
      <c r="M7430">
        <v>916</v>
      </c>
      <c r="N7430" t="s">
        <v>16393</v>
      </c>
      <c r="O7430" s="4">
        <v>54797</v>
      </c>
      <c r="P7430" s="4">
        <v>66748</v>
      </c>
      <c r="Q7430" s="4">
        <v>121545</v>
      </c>
      <c r="R7430" s="4">
        <v>364635</v>
      </c>
      <c r="S7430" t="s">
        <v>23575</v>
      </c>
      <c r="T7430" s="6">
        <v>43221</v>
      </c>
      <c r="U7430" s="4">
        <v>237500</v>
      </c>
      <c r="V7430" t="s">
        <v>23739</v>
      </c>
      <c r="W7430" t="s">
        <v>27779</v>
      </c>
      <c r="X7430" t="s">
        <v>3</v>
      </c>
      <c r="AA7430" s="5" t="str">
        <f>HYPERLINK("https://www.zillow.com/homes/2366-SUNNYDALE-DR-WOODRIDGE-IL-60517_rb/","check listing")</f>
        <v>check listing</v>
      </c>
      <c r="AB7430" s="5" t="str">
        <f>HYPERLINK("https://propertylookup.dupagecounty.gov/Datalets/Datalet.aspx?UseSearch=no&amp;mode=sales&amp;pin=0824419023","sales record")</f>
        <v>sales record</v>
      </c>
      <c r="AC7430" t="s">
        <v>3</v>
      </c>
      <c r="AD7430">
        <v>41.760686</v>
      </c>
      <c r="AE7430">
        <v>-88.03919500000001</v>
      </c>
      <c r="AF7430" s="5" t="str">
        <f>HYPERLINK("https://www.google.com/maps/search/?api=1&amp;query=41.760686,-88.039195","map")</f>
        <v>map</v>
      </c>
    </row>
    <row r="7431" spans="1:32">
      <c r="A7431" t="s">
        <v>7481</v>
      </c>
      <c r="B7431" t="s">
        <v>14933</v>
      </c>
      <c r="C7431" t="s">
        <v>15323</v>
      </c>
      <c r="D7431" t="s">
        <v>16215</v>
      </c>
      <c r="E7431" t="s">
        <v>16218</v>
      </c>
      <c r="F7431" t="s">
        <v>16220</v>
      </c>
      <c r="G7431" t="s">
        <v>16299</v>
      </c>
      <c r="H7431" t="s">
        <v>16299</v>
      </c>
      <c r="I7431" t="s">
        <v>16382</v>
      </c>
      <c r="J7431" t="s">
        <v>16385</v>
      </c>
      <c r="K7431">
        <v>0.127</v>
      </c>
      <c r="L7431">
        <v>5526</v>
      </c>
      <c r="M7431">
        <v>2018</v>
      </c>
      <c r="N7431" t="s">
        <v>16393</v>
      </c>
      <c r="O7431" s="4">
        <v>49124</v>
      </c>
      <c r="P7431" s="4">
        <v>60588</v>
      </c>
      <c r="Q7431" s="4">
        <v>109712</v>
      </c>
      <c r="R7431" s="4">
        <v>329136</v>
      </c>
      <c r="S7431" t="s">
        <v>23576</v>
      </c>
      <c r="T7431" s="6">
        <v>36434</v>
      </c>
      <c r="U7431" s="4">
        <v>146000</v>
      </c>
      <c r="X7431" t="s">
        <v>3</v>
      </c>
      <c r="AA7431" s="5" t="str">
        <f>HYPERLINK("https://www.zillow.com/homes/6805-REDWING-DR-WOODRIDGE-IL-60517_rb/","check listing")</f>
        <v>check listing</v>
      </c>
      <c r="AB7431" s="5" t="str">
        <f>HYPERLINK("https://propertylookup.dupagecounty.gov/Datalets/Datalet.aspx?UseSearch=no&amp;mode=sales&amp;pin=0824404013","sales record")</f>
        <v>sales record</v>
      </c>
      <c r="AC7431" t="s">
        <v>3</v>
      </c>
      <c r="AD7431">
        <v>41.763891</v>
      </c>
      <c r="AE7431">
        <v>-88.038589</v>
      </c>
      <c r="AF7431" s="5" t="str">
        <f>HYPERLINK("https://www.google.com/maps/search/?api=1&amp;query=41.763891,-88.038589","map")</f>
        <v>map</v>
      </c>
    </row>
    <row r="7432" spans="1:32">
      <c r="A7432" t="s">
        <v>7482</v>
      </c>
      <c r="B7432" t="s">
        <v>14934</v>
      </c>
      <c r="C7432" t="s">
        <v>16181</v>
      </c>
      <c r="D7432" t="s">
        <v>16215</v>
      </c>
      <c r="E7432" t="s">
        <v>16218</v>
      </c>
      <c r="F7432" t="s">
        <v>16220</v>
      </c>
      <c r="G7432" t="s">
        <v>16299</v>
      </c>
      <c r="H7432" t="s">
        <v>16299</v>
      </c>
      <c r="I7432" t="s">
        <v>16382</v>
      </c>
      <c r="J7432" t="s">
        <v>16385</v>
      </c>
      <c r="K7432">
        <v>0.127</v>
      </c>
      <c r="L7432">
        <v>5524</v>
      </c>
      <c r="M7432">
        <v>1589</v>
      </c>
      <c r="N7432" t="s">
        <v>16393</v>
      </c>
      <c r="O7432" s="4">
        <v>54797</v>
      </c>
      <c r="P7432" s="4">
        <v>67354</v>
      </c>
      <c r="Q7432" s="4">
        <v>122151</v>
      </c>
      <c r="R7432" s="4">
        <v>366453</v>
      </c>
      <c r="S7432" t="s">
        <v>23577</v>
      </c>
      <c r="T7432" s="6">
        <v>43191</v>
      </c>
      <c r="U7432" s="4">
        <v>263000</v>
      </c>
      <c r="V7432" t="s">
        <v>23739</v>
      </c>
      <c r="W7432" t="s">
        <v>27780</v>
      </c>
      <c r="X7432" t="s">
        <v>3</v>
      </c>
      <c r="AA7432" s="5" t="str">
        <f>HYPERLINK("https://www.zillow.com/homes/5-WREN-CT-WOODRIDGE-IL-605171838_rb/","check listing")</f>
        <v>check listing</v>
      </c>
      <c r="AB7432" s="5" t="str">
        <f>HYPERLINK("https://propertylookup.dupagecounty.gov/Datalets/Datalet.aspx?UseSearch=no&amp;mode=sales&amp;pin=0824405012","sales record")</f>
        <v>sales record</v>
      </c>
      <c r="AC7432" t="s">
        <v>3</v>
      </c>
      <c r="AD7432">
        <v>41.763476</v>
      </c>
      <c r="AE7432">
        <v>-88.039777</v>
      </c>
      <c r="AF7432" s="5" t="str">
        <f>HYPERLINK("https://www.google.com/maps/search/?api=1&amp;query=41.763476,-88.039777","map")</f>
        <v>map</v>
      </c>
    </row>
    <row r="7433" spans="1:32">
      <c r="A7433" t="s">
        <v>7483</v>
      </c>
      <c r="B7433" t="s">
        <v>14935</v>
      </c>
      <c r="C7433" t="s">
        <v>16187</v>
      </c>
      <c r="D7433" t="s">
        <v>16215</v>
      </c>
      <c r="E7433" t="s">
        <v>16218</v>
      </c>
      <c r="F7433" t="s">
        <v>16220</v>
      </c>
      <c r="G7433" t="s">
        <v>16299</v>
      </c>
      <c r="H7433" t="s">
        <v>16299</v>
      </c>
      <c r="I7433" t="s">
        <v>16382</v>
      </c>
      <c r="J7433" t="s">
        <v>16385</v>
      </c>
      <c r="K7433">
        <v>0.126</v>
      </c>
      <c r="L7433">
        <v>5509</v>
      </c>
      <c r="M7433">
        <v>1491</v>
      </c>
      <c r="N7433" t="s">
        <v>16393</v>
      </c>
      <c r="O7433" s="4">
        <v>54797</v>
      </c>
      <c r="P7433" s="4">
        <v>60672</v>
      </c>
      <c r="Q7433" s="4">
        <v>115469</v>
      </c>
      <c r="R7433" s="4">
        <v>346407</v>
      </c>
      <c r="S7433" t="s">
        <v>23578</v>
      </c>
      <c r="T7433" s="6">
        <v>44378</v>
      </c>
      <c r="U7433" s="4">
        <v>320000</v>
      </c>
      <c r="V7433" t="s">
        <v>23739</v>
      </c>
      <c r="W7433" t="s">
        <v>23578</v>
      </c>
      <c r="X7433" t="s">
        <v>3</v>
      </c>
      <c r="AA7433" s="5" t="str">
        <f>HYPERLINK("https://www.zillow.com/homes/11-PLOVER-CT-WOODRIDGE-IL-605171722_rb/","check listing")</f>
        <v>check listing</v>
      </c>
      <c r="AB7433" s="5" t="str">
        <f>HYPERLINK("https://propertylookup.dupagecounty.gov/Datalets/Datalet.aspx?UseSearch=no&amp;mode=sales&amp;pin=0824320003","sales record")</f>
        <v>sales record</v>
      </c>
      <c r="AC7433" t="s">
        <v>3</v>
      </c>
      <c r="AD7433">
        <v>41.763385</v>
      </c>
      <c r="AE7433">
        <v>-88.041695</v>
      </c>
      <c r="AF7433" s="5" t="str">
        <f>HYPERLINK("https://www.google.com/maps/search/?api=1&amp;query=41.763385,-88.041695","map")</f>
        <v>map</v>
      </c>
    </row>
    <row r="7434" spans="1:32">
      <c r="A7434" t="s">
        <v>7484</v>
      </c>
      <c r="B7434" t="s">
        <v>14936</v>
      </c>
      <c r="C7434" t="s">
        <v>15323</v>
      </c>
      <c r="D7434" t="s">
        <v>16215</v>
      </c>
      <c r="E7434" t="s">
        <v>16218</v>
      </c>
      <c r="F7434" t="s">
        <v>16220</v>
      </c>
      <c r="G7434" t="s">
        <v>16299</v>
      </c>
      <c r="H7434" t="s">
        <v>16299</v>
      </c>
      <c r="I7434" t="s">
        <v>16382</v>
      </c>
      <c r="J7434" t="s">
        <v>16385</v>
      </c>
      <c r="K7434">
        <v>0.126</v>
      </c>
      <c r="L7434">
        <v>5499</v>
      </c>
      <c r="M7434">
        <v>1767</v>
      </c>
      <c r="N7434" t="s">
        <v>16393</v>
      </c>
      <c r="O7434" s="4">
        <v>54797</v>
      </c>
      <c r="P7434" s="4">
        <v>55011</v>
      </c>
      <c r="Q7434" s="4">
        <v>109808</v>
      </c>
      <c r="R7434" s="4">
        <v>329424</v>
      </c>
      <c r="S7434" t="s">
        <v>23579</v>
      </c>
      <c r="T7434" s="6">
        <v>33298</v>
      </c>
      <c r="U7434" s="4">
        <v>104900</v>
      </c>
      <c r="X7434" t="s">
        <v>3</v>
      </c>
      <c r="AA7434" s="5" t="str">
        <f>HYPERLINK("https://www.zillow.com/homes/2-WREN-CT-WOODRIDGE-IL-60517_rb/","check listing")</f>
        <v>check listing</v>
      </c>
      <c r="AB7434" s="5" t="str">
        <f>HYPERLINK("https://propertylookup.dupagecounty.gov/Datalets/Datalet.aspx?UseSearch=no&amp;mode=sales&amp;pin=0824405009","sales record")</f>
        <v>sales record</v>
      </c>
      <c r="AC7434" t="s">
        <v>3</v>
      </c>
      <c r="AD7434">
        <v>41.76351</v>
      </c>
      <c r="AE7434">
        <v>-88.03917199999999</v>
      </c>
      <c r="AF7434" s="5" t="str">
        <f>HYPERLINK("https://www.google.com/maps/search/?api=1&amp;query=41.76351,-88.039172","map")</f>
        <v>map</v>
      </c>
    </row>
    <row r="7435" spans="1:32">
      <c r="A7435" t="s">
        <v>7485</v>
      </c>
      <c r="B7435" t="s">
        <v>14937</v>
      </c>
      <c r="C7435" t="s">
        <v>15323</v>
      </c>
      <c r="D7435" t="s">
        <v>16215</v>
      </c>
      <c r="E7435" t="s">
        <v>16218</v>
      </c>
      <c r="F7435" t="s">
        <v>16220</v>
      </c>
      <c r="G7435" t="s">
        <v>16299</v>
      </c>
      <c r="H7435" t="s">
        <v>16299</v>
      </c>
      <c r="I7435" t="s">
        <v>16382</v>
      </c>
      <c r="J7435" t="s">
        <v>16385</v>
      </c>
      <c r="K7435">
        <v>0.126</v>
      </c>
      <c r="L7435">
        <v>5494</v>
      </c>
      <c r="M7435">
        <v>1215</v>
      </c>
      <c r="N7435" t="s">
        <v>16393</v>
      </c>
      <c r="O7435" s="4">
        <v>54797</v>
      </c>
      <c r="P7435" s="4">
        <v>61730</v>
      </c>
      <c r="Q7435" s="4">
        <v>116527</v>
      </c>
      <c r="R7435" s="4">
        <v>349581</v>
      </c>
      <c r="S7435" t="s">
        <v>23580</v>
      </c>
      <c r="X7435" t="s">
        <v>3</v>
      </c>
      <c r="AA7435" s="5" t="str">
        <f>HYPERLINK("https://www.zillow.com/homes/6822-DOVE-AVE-WOODRIDGE-IL-60517_rb/","check listing")</f>
        <v>check listing</v>
      </c>
      <c r="AB7435" s="5" t="str">
        <f>HYPERLINK("https://propertylookup.dupagecounty.gov/Datalets/Datalet.aspx?UseSearch=no&amp;mode=sales&amp;pin=0824405021","sales record")</f>
        <v>sales record</v>
      </c>
      <c r="AC7435" t="s">
        <v>3</v>
      </c>
      <c r="AD7435">
        <v>41.76296</v>
      </c>
      <c r="AE7435">
        <v>-88.039638</v>
      </c>
      <c r="AF7435" s="5" t="str">
        <f>HYPERLINK("https://www.google.com/maps/search/?api=1&amp;query=41.76296,-88.039638","map")</f>
        <v>map</v>
      </c>
    </row>
    <row r="7436" spans="1:32">
      <c r="A7436" t="s">
        <v>7486</v>
      </c>
      <c r="B7436" t="s">
        <v>14938</v>
      </c>
      <c r="C7436" t="s">
        <v>16181</v>
      </c>
      <c r="D7436" t="s">
        <v>16215</v>
      </c>
      <c r="E7436" t="s">
        <v>16218</v>
      </c>
      <c r="F7436" t="s">
        <v>16220</v>
      </c>
      <c r="G7436" t="s">
        <v>16299</v>
      </c>
      <c r="H7436" t="s">
        <v>16299</v>
      </c>
      <c r="I7436" t="s">
        <v>16382</v>
      </c>
      <c r="J7436" t="s">
        <v>16385</v>
      </c>
      <c r="K7436">
        <v>0.126</v>
      </c>
      <c r="L7436">
        <v>5491</v>
      </c>
      <c r="M7436">
        <v>1272</v>
      </c>
      <c r="N7436" t="s">
        <v>16393</v>
      </c>
      <c r="O7436" s="4">
        <v>54797</v>
      </c>
      <c r="P7436" s="4">
        <v>58126</v>
      </c>
      <c r="Q7436" s="4">
        <v>112923</v>
      </c>
      <c r="R7436" s="4">
        <v>338769</v>
      </c>
      <c r="S7436" t="s">
        <v>23581</v>
      </c>
      <c r="T7436" s="6">
        <v>44713</v>
      </c>
      <c r="U7436" s="4">
        <v>330000</v>
      </c>
      <c r="V7436" t="s">
        <v>23739</v>
      </c>
      <c r="W7436" t="s">
        <v>23581</v>
      </c>
      <c r="X7436" t="s">
        <v>3</v>
      </c>
      <c r="AA7436" s="5" t="str">
        <f>HYPERLINK("https://www.zillow.com/homes/6-WREN-CT-WOODRIDGE-IL-605171838_rb/","check listing")</f>
        <v>check listing</v>
      </c>
      <c r="AB7436" s="5" t="str">
        <f>HYPERLINK("https://propertylookup.dupagecounty.gov/Datalets/Datalet.aspx?UseSearch=no&amp;mode=sales&amp;pin=0824405013","sales record")</f>
        <v>sales record</v>
      </c>
      <c r="AC7436" t="s">
        <v>3</v>
      </c>
      <c r="AD7436">
        <v>41.76343</v>
      </c>
      <c r="AE7436">
        <v>-88.039978</v>
      </c>
      <c r="AF7436" s="5" t="str">
        <f>HYPERLINK("https://www.google.com/maps/search/?api=1&amp;query=41.76343,-88.039978","map")</f>
        <v>map</v>
      </c>
    </row>
    <row r="7437" spans="1:32">
      <c r="A7437" t="s">
        <v>7487</v>
      </c>
      <c r="B7437" t="s">
        <v>14939</v>
      </c>
      <c r="C7437" t="s">
        <v>15323</v>
      </c>
      <c r="D7437" t="s">
        <v>16215</v>
      </c>
      <c r="E7437" t="s">
        <v>16218</v>
      </c>
      <c r="F7437" t="s">
        <v>16220</v>
      </c>
      <c r="G7437" t="s">
        <v>16299</v>
      </c>
      <c r="H7437" t="s">
        <v>16299</v>
      </c>
      <c r="I7437" t="s">
        <v>16382</v>
      </c>
      <c r="J7437" t="s">
        <v>16385</v>
      </c>
      <c r="K7437">
        <v>0.126</v>
      </c>
      <c r="L7437">
        <v>5475</v>
      </c>
      <c r="M7437">
        <v>1029</v>
      </c>
      <c r="N7437" t="s">
        <v>16393</v>
      </c>
      <c r="O7437" s="4">
        <v>49124</v>
      </c>
      <c r="P7437" s="4">
        <v>50373</v>
      </c>
      <c r="Q7437" s="4">
        <v>99497</v>
      </c>
      <c r="R7437" s="4">
        <v>298491</v>
      </c>
      <c r="S7437" t="s">
        <v>23582</v>
      </c>
      <c r="T7437" s="6">
        <v>40756</v>
      </c>
      <c r="U7437" s="4">
        <v>158000</v>
      </c>
      <c r="V7437" t="s">
        <v>16232</v>
      </c>
      <c r="W7437" t="s">
        <v>23582</v>
      </c>
      <c r="X7437" t="s">
        <v>3</v>
      </c>
      <c r="AA7437" s="5" t="str">
        <f>HYPERLINK("https://www.zillow.com/homes/6801-REDWING-DR-WOODRIDGE-IL-60517_rb/","check listing")</f>
        <v>check listing</v>
      </c>
      <c r="AB7437" s="5" t="str">
        <f>HYPERLINK("https://propertylookup.dupagecounty.gov/Datalets/Datalet.aspx?UseSearch=no&amp;mode=sales&amp;pin=0824404012","sales record")</f>
        <v>sales record</v>
      </c>
      <c r="AC7437" t="s">
        <v>3</v>
      </c>
      <c r="AD7437">
        <v>41.764</v>
      </c>
      <c r="AE7437">
        <v>-88.038706</v>
      </c>
      <c r="AF7437" s="5" t="str">
        <f>HYPERLINK("https://www.google.com/maps/search/?api=1&amp;query=41.764,-88.038706","map")</f>
        <v>map</v>
      </c>
    </row>
    <row r="7438" spans="1:32">
      <c r="A7438" t="s">
        <v>7488</v>
      </c>
      <c r="B7438" t="s">
        <v>14940</v>
      </c>
      <c r="C7438" t="s">
        <v>15323</v>
      </c>
      <c r="D7438" t="s">
        <v>16215</v>
      </c>
      <c r="E7438" t="s">
        <v>16218</v>
      </c>
      <c r="F7438" t="s">
        <v>16220</v>
      </c>
      <c r="G7438" t="s">
        <v>16299</v>
      </c>
      <c r="H7438" t="s">
        <v>16299</v>
      </c>
      <c r="I7438" t="s">
        <v>16382</v>
      </c>
      <c r="J7438" t="s">
        <v>16385</v>
      </c>
      <c r="K7438">
        <v>0.126</v>
      </c>
      <c r="L7438">
        <v>5467</v>
      </c>
      <c r="M7438">
        <v>1682</v>
      </c>
      <c r="N7438" t="s">
        <v>16393</v>
      </c>
      <c r="O7438" s="4">
        <v>54797</v>
      </c>
      <c r="P7438" s="4">
        <v>53250</v>
      </c>
      <c r="Q7438" s="4">
        <v>108047</v>
      </c>
      <c r="R7438" s="4">
        <v>324141</v>
      </c>
      <c r="S7438" t="s">
        <v>23583</v>
      </c>
      <c r="X7438" t="s">
        <v>3</v>
      </c>
      <c r="AA7438" s="5" t="str">
        <f>HYPERLINK("https://www.zillow.com/homes/12-KILDEER-CT-WOODRIDGE-IL-60517_rb/","check listing")</f>
        <v>check listing</v>
      </c>
      <c r="AB7438" s="5" t="str">
        <f>HYPERLINK("https://propertylookup.dupagecounty.gov/Datalets/Datalet.aspx?UseSearch=no&amp;mode=sales&amp;pin=0824319025","sales record")</f>
        <v>sales record</v>
      </c>
      <c r="AC7438" t="s">
        <v>3</v>
      </c>
      <c r="AD7438">
        <v>41.762208</v>
      </c>
      <c r="AE7438">
        <v>-88.042565</v>
      </c>
      <c r="AF7438" s="5" t="str">
        <f>HYPERLINK("https://www.google.com/maps/search/?api=1&amp;query=41.762208,-88.042565","map")</f>
        <v>map</v>
      </c>
    </row>
    <row r="7439" spans="1:32">
      <c r="A7439" t="s">
        <v>7489</v>
      </c>
      <c r="B7439" t="s">
        <v>14941</v>
      </c>
      <c r="C7439" t="s">
        <v>15323</v>
      </c>
      <c r="D7439" t="s">
        <v>16215</v>
      </c>
      <c r="E7439" t="s">
        <v>16218</v>
      </c>
      <c r="F7439" t="s">
        <v>16220</v>
      </c>
      <c r="G7439" t="s">
        <v>16299</v>
      </c>
      <c r="H7439" t="s">
        <v>16299</v>
      </c>
      <c r="I7439" t="s">
        <v>16382</v>
      </c>
      <c r="J7439" t="s">
        <v>16385</v>
      </c>
      <c r="K7439">
        <v>0.125</v>
      </c>
      <c r="L7439">
        <v>5462</v>
      </c>
      <c r="M7439">
        <v>1552</v>
      </c>
      <c r="N7439" t="s">
        <v>16393</v>
      </c>
      <c r="O7439" s="4">
        <v>54797</v>
      </c>
      <c r="P7439" s="4">
        <v>58530</v>
      </c>
      <c r="Q7439" s="4">
        <v>113327</v>
      </c>
      <c r="R7439" s="4">
        <v>339981</v>
      </c>
      <c r="S7439" t="s">
        <v>23584</v>
      </c>
      <c r="T7439" s="6">
        <v>28915</v>
      </c>
      <c r="U7439" s="4">
        <v>63481</v>
      </c>
      <c r="X7439" t="s">
        <v>3</v>
      </c>
      <c r="AA7439" s="5" t="str">
        <f>HYPERLINK("https://www.zillow.com/homes/2358-VISTA-DR-WOODRIDGE-IL-60517_rb/","check listing")</f>
        <v>check listing</v>
      </c>
      <c r="AB7439" s="5" t="str">
        <f>HYPERLINK("https://propertylookup.dupagecounty.gov/Datalets/Datalet.aspx?UseSearch=no&amp;mode=sales&amp;pin=0824408029","sales record")</f>
        <v>sales record</v>
      </c>
      <c r="AC7439" t="s">
        <v>3</v>
      </c>
      <c r="AD7439">
        <v>41.761366</v>
      </c>
      <c r="AE7439">
        <v>-88.038174</v>
      </c>
      <c r="AF7439" s="5" t="str">
        <f>HYPERLINK("https://www.google.com/maps/search/?api=1&amp;query=41.761366,-88.038174","map")</f>
        <v>map</v>
      </c>
    </row>
    <row r="7440" spans="1:32">
      <c r="A7440" t="s">
        <v>7490</v>
      </c>
      <c r="B7440" t="s">
        <v>14942</v>
      </c>
      <c r="C7440" t="s">
        <v>15323</v>
      </c>
      <c r="D7440" t="s">
        <v>16215</v>
      </c>
      <c r="E7440" t="s">
        <v>16218</v>
      </c>
      <c r="F7440" t="s">
        <v>16220</v>
      </c>
      <c r="G7440" t="s">
        <v>16299</v>
      </c>
      <c r="H7440" t="s">
        <v>16299</v>
      </c>
      <c r="I7440" t="s">
        <v>16382</v>
      </c>
      <c r="J7440" t="s">
        <v>16385</v>
      </c>
      <c r="K7440">
        <v>0.125</v>
      </c>
      <c r="L7440">
        <v>5449</v>
      </c>
      <c r="M7440">
        <v>1723</v>
      </c>
      <c r="N7440" t="s">
        <v>16393</v>
      </c>
      <c r="O7440" s="4">
        <v>54797</v>
      </c>
      <c r="P7440" s="4">
        <v>54809</v>
      </c>
      <c r="Q7440" s="4">
        <v>109606</v>
      </c>
      <c r="R7440" s="4">
        <v>328818</v>
      </c>
      <c r="S7440" t="s">
        <v>23585</v>
      </c>
      <c r="T7440" s="6">
        <v>43191</v>
      </c>
      <c r="U7440" s="4">
        <v>200000</v>
      </c>
      <c r="V7440" t="s">
        <v>23738</v>
      </c>
      <c r="W7440" t="s">
        <v>23585</v>
      </c>
      <c r="X7440" t="s">
        <v>3</v>
      </c>
      <c r="AA7440" s="5" t="str">
        <f>HYPERLINK("https://www.zillow.com/homes/2382-KILDEER-CT-WOODRIDGE-IL-60517_rb/","check listing")</f>
        <v>check listing</v>
      </c>
      <c r="AB7440" s="5" t="str">
        <f>HYPERLINK("https://propertylookup.dupagecounty.gov/Datalets/Datalet.aspx?UseSearch=no&amp;mode=sales&amp;pin=0824405028","sales record")</f>
        <v>sales record</v>
      </c>
      <c r="AC7440" t="s">
        <v>3</v>
      </c>
      <c r="AD7440">
        <v>41.762778</v>
      </c>
      <c r="AE7440">
        <v>-88.039799</v>
      </c>
      <c r="AF7440" s="5" t="str">
        <f>HYPERLINK("https://www.google.com/maps/search/?api=1&amp;query=41.762778,-88.039799","map")</f>
        <v>map</v>
      </c>
    </row>
    <row r="7441" spans="1:32">
      <c r="A7441" t="s">
        <v>7491</v>
      </c>
      <c r="B7441" t="s">
        <v>14943</v>
      </c>
      <c r="C7441" t="s">
        <v>15323</v>
      </c>
      <c r="D7441" t="s">
        <v>16215</v>
      </c>
      <c r="E7441" t="s">
        <v>16218</v>
      </c>
      <c r="F7441" t="s">
        <v>16220</v>
      </c>
      <c r="G7441" t="s">
        <v>16299</v>
      </c>
      <c r="H7441" t="s">
        <v>16299</v>
      </c>
      <c r="I7441" t="s">
        <v>16382</v>
      </c>
      <c r="J7441" t="s">
        <v>16385</v>
      </c>
      <c r="K7441">
        <v>0.125</v>
      </c>
      <c r="L7441">
        <v>5436</v>
      </c>
      <c r="M7441">
        <v>1629</v>
      </c>
      <c r="N7441" t="s">
        <v>16393</v>
      </c>
      <c r="O7441" s="4">
        <v>51954</v>
      </c>
      <c r="P7441" s="4">
        <v>65297</v>
      </c>
      <c r="Q7441" s="4">
        <v>117251</v>
      </c>
      <c r="R7441" s="4">
        <v>351753</v>
      </c>
      <c r="S7441" t="s">
        <v>23586</v>
      </c>
      <c r="T7441" s="6">
        <v>35612</v>
      </c>
      <c r="U7441" s="4">
        <v>136500</v>
      </c>
      <c r="X7441" t="s">
        <v>3</v>
      </c>
      <c r="AA7441" s="5" t="str">
        <f>HYPERLINK("https://www.zillow.com/homes/2-REDWING-CT-WOODRIDGE-IL-60517_rb/","check listing")</f>
        <v>check listing</v>
      </c>
      <c r="AB7441" s="5" t="str">
        <f>HYPERLINK("https://propertylookup.dupagecounty.gov/Datalets/Datalet.aspx?UseSearch=no&amp;mode=sales&amp;pin=0824408016","sales record")</f>
        <v>sales record</v>
      </c>
      <c r="AC7441" t="s">
        <v>3</v>
      </c>
      <c r="AD7441">
        <v>41.761633</v>
      </c>
      <c r="AE7441">
        <v>-88.03741100000001</v>
      </c>
      <c r="AF7441" s="5" t="str">
        <f>HYPERLINK("https://www.google.com/maps/search/?api=1&amp;query=41.761633,-88.037411","map")</f>
        <v>map</v>
      </c>
    </row>
    <row r="7442" spans="1:32">
      <c r="A7442" t="s">
        <v>7492</v>
      </c>
      <c r="B7442" t="s">
        <v>14944</v>
      </c>
      <c r="C7442" t="s">
        <v>16188</v>
      </c>
      <c r="D7442" t="s">
        <v>16215</v>
      </c>
      <c r="E7442" t="s">
        <v>16218</v>
      </c>
      <c r="F7442" t="s">
        <v>16220</v>
      </c>
      <c r="G7442" t="s">
        <v>16299</v>
      </c>
      <c r="H7442" t="s">
        <v>16299</v>
      </c>
      <c r="I7442" t="s">
        <v>16382</v>
      </c>
      <c r="J7442" t="s">
        <v>16385</v>
      </c>
      <c r="K7442">
        <v>0.124</v>
      </c>
      <c r="L7442">
        <v>5423</v>
      </c>
      <c r="M7442">
        <v>1281</v>
      </c>
      <c r="N7442" t="s">
        <v>16393</v>
      </c>
      <c r="O7442" s="4">
        <v>54797</v>
      </c>
      <c r="P7442" s="4">
        <v>73787</v>
      </c>
      <c r="Q7442" s="4">
        <v>128584</v>
      </c>
      <c r="R7442" s="4">
        <v>385752</v>
      </c>
      <c r="S7442" t="s">
        <v>23587</v>
      </c>
      <c r="T7442" s="6">
        <v>43770</v>
      </c>
      <c r="U7442" s="4">
        <v>265000</v>
      </c>
      <c r="V7442" t="s">
        <v>23739</v>
      </c>
      <c r="W7442" t="s">
        <v>27781</v>
      </c>
      <c r="X7442" t="s">
        <v>3</v>
      </c>
      <c r="AA7442" s="5" t="str">
        <f>HYPERLINK("https://www.zillow.com/homes/6901-RED-BUD-LN-WOODRIDGE-IL-605171720_rb/","check listing")</f>
        <v>check listing</v>
      </c>
      <c r="AB7442" s="5" t="str">
        <f>HYPERLINK("https://propertylookup.dupagecounty.gov/Datalets/Datalet.aspx?UseSearch=no&amp;mode=sales&amp;pin=0824306011","sales record")</f>
        <v>sales record</v>
      </c>
      <c r="AC7442" t="s">
        <v>3</v>
      </c>
      <c r="AD7442">
        <v>41.761608</v>
      </c>
      <c r="AE7442">
        <v>-88.047151</v>
      </c>
      <c r="AF7442" s="5" t="str">
        <f>HYPERLINK("https://www.google.com/maps/search/?api=1&amp;query=41.761608,-88.047151","map")</f>
        <v>map</v>
      </c>
    </row>
    <row r="7443" spans="1:32">
      <c r="A7443" t="s">
        <v>7493</v>
      </c>
      <c r="B7443" t="s">
        <v>14945</v>
      </c>
      <c r="C7443" t="s">
        <v>16185</v>
      </c>
      <c r="D7443" t="s">
        <v>16215</v>
      </c>
      <c r="E7443" t="s">
        <v>16218</v>
      </c>
      <c r="F7443" t="s">
        <v>16220</v>
      </c>
      <c r="G7443" t="s">
        <v>16299</v>
      </c>
      <c r="H7443" t="s">
        <v>16299</v>
      </c>
      <c r="I7443" t="s">
        <v>16382</v>
      </c>
      <c r="J7443" t="s">
        <v>16385</v>
      </c>
      <c r="K7443">
        <v>0.124</v>
      </c>
      <c r="L7443">
        <v>5417</v>
      </c>
      <c r="M7443">
        <v>1549</v>
      </c>
      <c r="N7443" t="s">
        <v>16393</v>
      </c>
      <c r="O7443" s="4">
        <v>54797</v>
      </c>
      <c r="P7443" s="4">
        <v>67557</v>
      </c>
      <c r="Q7443" s="4">
        <v>122354</v>
      </c>
      <c r="R7443" s="4">
        <v>367062</v>
      </c>
      <c r="S7443" t="s">
        <v>23588</v>
      </c>
      <c r="T7443" s="6">
        <v>44378</v>
      </c>
      <c r="U7443" s="4">
        <v>309900</v>
      </c>
      <c r="V7443" t="s">
        <v>23739</v>
      </c>
      <c r="W7443" t="s">
        <v>23588</v>
      </c>
      <c r="X7443" t="s">
        <v>3</v>
      </c>
      <c r="AA7443" s="5" t="str">
        <f>HYPERLINK("https://www.zillow.com/homes/9-KILDEER-CT-WOODRIDGE-IL-605171726_rb/","check listing")</f>
        <v>check listing</v>
      </c>
      <c r="AB7443" s="5" t="str">
        <f>HYPERLINK("https://propertylookup.dupagecounty.gov/Datalets/Datalet.aspx?UseSearch=no&amp;mode=sales&amp;pin=0824319022","sales record")</f>
        <v>sales record</v>
      </c>
      <c r="AC7443" t="s">
        <v>3</v>
      </c>
      <c r="AD7443">
        <v>41.762034</v>
      </c>
      <c r="AE7443">
        <v>-88.04312299999999</v>
      </c>
      <c r="AF7443" s="5" t="str">
        <f>HYPERLINK("https://www.google.com/maps/search/?api=1&amp;query=41.762034,-88.043123","map")</f>
        <v>map</v>
      </c>
    </row>
    <row r="7444" spans="1:32">
      <c r="A7444" t="s">
        <v>7494</v>
      </c>
      <c r="B7444" t="s">
        <v>14946</v>
      </c>
      <c r="C7444" t="s">
        <v>15323</v>
      </c>
      <c r="D7444" t="s">
        <v>16215</v>
      </c>
      <c r="E7444" t="s">
        <v>16218</v>
      </c>
      <c r="F7444" t="s">
        <v>16220</v>
      </c>
      <c r="G7444" t="s">
        <v>16299</v>
      </c>
      <c r="H7444" t="s">
        <v>16299</v>
      </c>
      <c r="I7444" t="s">
        <v>16382</v>
      </c>
      <c r="J7444" t="s">
        <v>16385</v>
      </c>
      <c r="K7444">
        <v>0.124</v>
      </c>
      <c r="L7444">
        <v>5403</v>
      </c>
      <c r="M7444">
        <v>1360</v>
      </c>
      <c r="N7444" t="s">
        <v>16393</v>
      </c>
      <c r="O7444" s="4">
        <v>54785</v>
      </c>
      <c r="P7444" s="4">
        <v>54333</v>
      </c>
      <c r="Q7444" s="4">
        <v>109118</v>
      </c>
      <c r="R7444" s="4">
        <v>327354</v>
      </c>
      <c r="S7444" t="s">
        <v>23589</v>
      </c>
      <c r="T7444" s="6">
        <v>32448</v>
      </c>
      <c r="U7444" s="4">
        <v>108000</v>
      </c>
      <c r="X7444" t="s">
        <v>3</v>
      </c>
      <c r="AA7444" s="5" t="str">
        <f>HYPERLINK("https://www.zillow.com/homes/1-PLOVER-CT-WOODRIDGE-IL-60517_rb/","check listing")</f>
        <v>check listing</v>
      </c>
      <c r="AB7444" s="5" t="str">
        <f>HYPERLINK("https://propertylookup.dupagecounty.gov/Datalets/Datalet.aspx?UseSearch=no&amp;mode=sales&amp;pin=0824320006","sales record")</f>
        <v>sales record</v>
      </c>
      <c r="AC7444" t="s">
        <v>3</v>
      </c>
      <c r="AD7444">
        <v>41.762959</v>
      </c>
      <c r="AE7444">
        <v>-88.04205899999999</v>
      </c>
      <c r="AF7444" s="5" t="str">
        <f>HYPERLINK("https://www.google.com/maps/search/?api=1&amp;query=41.762959,-88.042059","map")</f>
        <v>map</v>
      </c>
    </row>
    <row r="7445" spans="1:32">
      <c r="A7445" t="s">
        <v>7495</v>
      </c>
      <c r="B7445" t="s">
        <v>14947</v>
      </c>
      <c r="C7445" t="s">
        <v>16187</v>
      </c>
      <c r="D7445" t="s">
        <v>16215</v>
      </c>
      <c r="E7445" t="s">
        <v>16218</v>
      </c>
      <c r="F7445" t="s">
        <v>16220</v>
      </c>
      <c r="G7445" t="s">
        <v>16299</v>
      </c>
      <c r="H7445" t="s">
        <v>16299</v>
      </c>
      <c r="I7445" t="s">
        <v>16382</v>
      </c>
      <c r="J7445" t="s">
        <v>16385</v>
      </c>
      <c r="K7445">
        <v>0.124</v>
      </c>
      <c r="L7445">
        <v>5384</v>
      </c>
      <c r="M7445">
        <v>1904</v>
      </c>
      <c r="N7445" t="s">
        <v>16393</v>
      </c>
      <c r="O7445" s="4">
        <v>54797</v>
      </c>
      <c r="P7445" s="4">
        <v>54915</v>
      </c>
      <c r="Q7445" s="4">
        <v>109712</v>
      </c>
      <c r="R7445" s="4">
        <v>329136</v>
      </c>
      <c r="S7445" t="s">
        <v>23590</v>
      </c>
      <c r="T7445" s="6">
        <v>44531</v>
      </c>
      <c r="U7445" s="4">
        <v>275000</v>
      </c>
      <c r="V7445" t="s">
        <v>23739</v>
      </c>
      <c r="W7445" t="s">
        <v>27782</v>
      </c>
      <c r="X7445" t="s">
        <v>3</v>
      </c>
      <c r="AA7445" s="5" t="str">
        <f>HYPERLINK("https://www.zillow.com/homes/12-PLOVER-CT-WOODRIDGE-IL-605171722_rb/","check listing")</f>
        <v>check listing</v>
      </c>
      <c r="AB7445" s="5" t="str">
        <f>HYPERLINK("https://propertylookup.dupagecounty.gov/Datalets/Datalet.aspx?UseSearch=no&amp;mode=sales&amp;pin=0824320002","sales record")</f>
        <v>sales record</v>
      </c>
      <c r="AC7445" t="s">
        <v>3</v>
      </c>
      <c r="AD7445">
        <v>41.763381</v>
      </c>
      <c r="AE7445">
        <v>-88.04188000000001</v>
      </c>
      <c r="AF7445" s="5" t="str">
        <f>HYPERLINK("https://www.google.com/maps/search/?api=1&amp;query=41.763381,-88.04188","map")</f>
        <v>map</v>
      </c>
    </row>
    <row r="7446" spans="1:32">
      <c r="A7446" t="s">
        <v>7496</v>
      </c>
      <c r="B7446" t="s">
        <v>14948</v>
      </c>
      <c r="C7446" t="s">
        <v>15323</v>
      </c>
      <c r="D7446" t="s">
        <v>16215</v>
      </c>
      <c r="E7446" t="s">
        <v>16218</v>
      </c>
      <c r="F7446" t="s">
        <v>16220</v>
      </c>
      <c r="G7446" t="s">
        <v>16299</v>
      </c>
      <c r="H7446" t="s">
        <v>16299</v>
      </c>
      <c r="I7446" t="s">
        <v>16382</v>
      </c>
      <c r="J7446" t="s">
        <v>16385</v>
      </c>
      <c r="K7446">
        <v>0.124</v>
      </c>
      <c r="L7446">
        <v>5382</v>
      </c>
      <c r="M7446">
        <v>1558</v>
      </c>
      <c r="N7446" t="s">
        <v>16393</v>
      </c>
      <c r="O7446" s="4">
        <v>54797</v>
      </c>
      <c r="P7446" s="4">
        <v>64298</v>
      </c>
      <c r="Q7446" s="4">
        <v>119095</v>
      </c>
      <c r="R7446" s="4">
        <v>357285</v>
      </c>
      <c r="S7446" t="s">
        <v>23591</v>
      </c>
      <c r="T7446" s="6">
        <v>42156</v>
      </c>
      <c r="U7446" s="4">
        <v>223000</v>
      </c>
      <c r="V7446" t="s">
        <v>23739</v>
      </c>
      <c r="W7446" t="s">
        <v>27783</v>
      </c>
      <c r="X7446" t="s">
        <v>3</v>
      </c>
      <c r="AA7446" s="5" t="str">
        <f>HYPERLINK("https://www.zillow.com/homes/2386-KILDEER-ST-WOODRIDGE-IL-60517_rb/","check listing")</f>
        <v>check listing</v>
      </c>
      <c r="AB7446" s="5" t="str">
        <f>HYPERLINK("https://propertylookup.dupagecounty.gov/Datalets/Datalet.aspx?UseSearch=no&amp;mode=sales&amp;pin=0824405027","sales record")</f>
        <v>sales record</v>
      </c>
      <c r="AC7446" t="s">
        <v>3</v>
      </c>
      <c r="AD7446">
        <v>41.762791</v>
      </c>
      <c r="AE7446">
        <v>-88.03997200000001</v>
      </c>
      <c r="AF7446" s="5" t="str">
        <f>HYPERLINK("https://www.google.com/maps/search/?api=1&amp;query=41.762791,-88.039972","map")</f>
        <v>map</v>
      </c>
    </row>
    <row r="7447" spans="1:32">
      <c r="A7447" t="s">
        <v>7497</v>
      </c>
      <c r="B7447" t="s">
        <v>14949</v>
      </c>
      <c r="C7447" t="s">
        <v>16187</v>
      </c>
      <c r="D7447" t="s">
        <v>16215</v>
      </c>
      <c r="E7447" t="s">
        <v>16218</v>
      </c>
      <c r="F7447" t="s">
        <v>16220</v>
      </c>
      <c r="G7447" t="s">
        <v>16299</v>
      </c>
      <c r="H7447" t="s">
        <v>16299</v>
      </c>
      <c r="I7447" t="s">
        <v>16382</v>
      </c>
      <c r="J7447" t="s">
        <v>16385</v>
      </c>
      <c r="K7447">
        <v>0.123</v>
      </c>
      <c r="L7447">
        <v>5377</v>
      </c>
      <c r="M7447">
        <v>1691</v>
      </c>
      <c r="N7447" t="s">
        <v>16393</v>
      </c>
      <c r="O7447" s="4">
        <v>54713</v>
      </c>
      <c r="P7447" s="4">
        <v>77426</v>
      </c>
      <c r="Q7447" s="4">
        <v>132139</v>
      </c>
      <c r="R7447" s="4">
        <v>396417</v>
      </c>
      <c r="S7447" t="s">
        <v>23592</v>
      </c>
      <c r="T7447" s="6">
        <v>45867</v>
      </c>
      <c r="U7447" s="4">
        <v>452000</v>
      </c>
      <c r="V7447" t="s">
        <v>23739</v>
      </c>
      <c r="W7447" t="s">
        <v>27784</v>
      </c>
      <c r="X7447" t="s">
        <v>3</v>
      </c>
      <c r="AA7447" s="5" t="str">
        <f>HYPERLINK("https://www.zillow.com/homes/6-PLOVER-CT-WOODRIDGE-IL-605171722_rb/","check listing")</f>
        <v>check listing</v>
      </c>
      <c r="AB7447" s="5" t="str">
        <f>HYPERLINK("https://propertylookup.dupagecounty.gov/Datalets/Datalet.aspx?UseSearch=no&amp;mode=sales&amp;pin=0824403003","sales record")</f>
        <v>sales record</v>
      </c>
      <c r="AC7447" t="s">
        <v>3</v>
      </c>
      <c r="AD7447">
        <v>41.763004</v>
      </c>
      <c r="AE7447">
        <v>-88.041146</v>
      </c>
      <c r="AF7447" s="5" t="str">
        <f>HYPERLINK("https://www.google.com/maps/search/?api=1&amp;query=41.763004,-88.041146","map")</f>
        <v>map</v>
      </c>
    </row>
    <row r="7448" spans="1:32">
      <c r="A7448" t="s">
        <v>7498</v>
      </c>
      <c r="B7448" t="s">
        <v>14950</v>
      </c>
      <c r="C7448" t="s">
        <v>15323</v>
      </c>
      <c r="D7448" t="s">
        <v>16215</v>
      </c>
      <c r="E7448" t="s">
        <v>16218</v>
      </c>
      <c r="F7448" t="s">
        <v>16220</v>
      </c>
      <c r="G7448" t="s">
        <v>16299</v>
      </c>
      <c r="H7448" t="s">
        <v>16299</v>
      </c>
      <c r="I7448" t="s">
        <v>16382</v>
      </c>
      <c r="J7448" t="s">
        <v>16385</v>
      </c>
      <c r="K7448">
        <v>0.123</v>
      </c>
      <c r="L7448">
        <v>5376</v>
      </c>
      <c r="M7448">
        <v>1231</v>
      </c>
      <c r="N7448" t="s">
        <v>16393</v>
      </c>
      <c r="O7448" s="4">
        <v>54797</v>
      </c>
      <c r="P7448" s="4">
        <v>62562</v>
      </c>
      <c r="Q7448" s="4">
        <v>117359</v>
      </c>
      <c r="R7448" s="4">
        <v>352077</v>
      </c>
      <c r="S7448" t="s">
        <v>23593</v>
      </c>
      <c r="T7448" s="6">
        <v>45182</v>
      </c>
      <c r="U7448" s="4">
        <v>350000</v>
      </c>
      <c r="V7448" t="s">
        <v>23739</v>
      </c>
      <c r="W7448" t="s">
        <v>27785</v>
      </c>
      <c r="X7448" t="s">
        <v>3</v>
      </c>
      <c r="AA7448" s="5" t="str">
        <f>HYPERLINK("https://www.zillow.com/homes/13-BLUE-JAY-CT-WOODRIDGE-IL-60517_rb/","check listing")</f>
        <v>check listing</v>
      </c>
      <c r="AB7448" s="5" t="str">
        <f>HYPERLINK("https://propertylookup.dupagecounty.gov/Datalets/Datalet.aspx?UseSearch=no&amp;mode=sales&amp;pin=0824319013","sales record")</f>
        <v>sales record</v>
      </c>
      <c r="AC7448" t="s">
        <v>3</v>
      </c>
      <c r="AD7448">
        <v>41.76295</v>
      </c>
      <c r="AE7448">
        <v>-88.042461</v>
      </c>
      <c r="AF7448" s="5" t="str">
        <f>HYPERLINK("https://www.google.com/maps/search/?api=1&amp;query=41.76295,-88.042461","map")</f>
        <v>map</v>
      </c>
    </row>
    <row r="7449" spans="1:32">
      <c r="A7449" t="s">
        <v>7499</v>
      </c>
      <c r="B7449" t="s">
        <v>14951</v>
      </c>
      <c r="C7449" t="s">
        <v>15323</v>
      </c>
      <c r="D7449" t="s">
        <v>16215</v>
      </c>
      <c r="E7449" t="s">
        <v>16218</v>
      </c>
      <c r="F7449" t="s">
        <v>16220</v>
      </c>
      <c r="G7449" t="s">
        <v>16299</v>
      </c>
      <c r="H7449" t="s">
        <v>16299</v>
      </c>
      <c r="I7449" t="s">
        <v>16382</v>
      </c>
      <c r="J7449" t="s">
        <v>16385</v>
      </c>
      <c r="K7449">
        <v>0.123</v>
      </c>
      <c r="L7449">
        <v>5368</v>
      </c>
      <c r="M7449">
        <v>1587</v>
      </c>
      <c r="N7449" t="s">
        <v>16393</v>
      </c>
      <c r="O7449" s="4">
        <v>54797</v>
      </c>
      <c r="P7449" s="4">
        <v>64916</v>
      </c>
      <c r="Q7449" s="4">
        <v>119713</v>
      </c>
      <c r="R7449" s="4">
        <v>359139</v>
      </c>
      <c r="S7449" t="s">
        <v>23594</v>
      </c>
      <c r="X7449" t="s">
        <v>3</v>
      </c>
      <c r="AA7449" s="5" t="str">
        <f>HYPERLINK("https://www.zillow.com/homes/6830-DOVE-AVE-WOODRIDGE-IL-60517_rb/","check listing")</f>
        <v>check listing</v>
      </c>
      <c r="AB7449" s="5" t="str">
        <f>HYPERLINK("https://propertylookup.dupagecounty.gov/Datalets/Datalet.aspx?UseSearch=no&amp;mode=sales&amp;pin=0824405023","sales record")</f>
        <v>sales record</v>
      </c>
      <c r="AC7449" t="s">
        <v>3</v>
      </c>
      <c r="AD7449">
        <v>41.762692</v>
      </c>
      <c r="AE7449">
        <v>-88.039461</v>
      </c>
      <c r="AF7449" s="5" t="str">
        <f>HYPERLINK("https://www.google.com/maps/search/?api=1&amp;query=41.762692,-88.039461","map")</f>
        <v>map</v>
      </c>
    </row>
    <row r="7450" spans="1:32">
      <c r="A7450" t="s">
        <v>7500</v>
      </c>
      <c r="B7450" t="s">
        <v>14952</v>
      </c>
      <c r="C7450" t="s">
        <v>16165</v>
      </c>
      <c r="D7450" t="s">
        <v>16215</v>
      </c>
      <c r="E7450" t="s">
        <v>16218</v>
      </c>
      <c r="F7450" t="s">
        <v>16220</v>
      </c>
      <c r="G7450" t="s">
        <v>16299</v>
      </c>
      <c r="H7450" t="s">
        <v>16299</v>
      </c>
      <c r="I7450" t="s">
        <v>16382</v>
      </c>
      <c r="J7450" t="s">
        <v>16385</v>
      </c>
      <c r="K7450">
        <v>0.123</v>
      </c>
      <c r="L7450">
        <v>5338</v>
      </c>
      <c r="M7450">
        <v>1768</v>
      </c>
      <c r="N7450" t="s">
        <v>16393</v>
      </c>
      <c r="O7450" s="4">
        <v>54797</v>
      </c>
      <c r="P7450" s="4">
        <v>56497</v>
      </c>
      <c r="Q7450" s="4">
        <v>111294</v>
      </c>
      <c r="R7450" s="4">
        <v>333882</v>
      </c>
      <c r="S7450" t="s">
        <v>23595</v>
      </c>
      <c r="T7450" s="6">
        <v>43466</v>
      </c>
      <c r="U7450" s="4">
        <v>207500</v>
      </c>
      <c r="V7450" t="s">
        <v>23739</v>
      </c>
      <c r="W7450" t="s">
        <v>27786</v>
      </c>
      <c r="X7450" t="s">
        <v>3</v>
      </c>
      <c r="AA7450" s="5" t="str">
        <f>HYPERLINK("https://www.zillow.com/homes/2394-VISTA-DR-WOODRIDGE-IL-605171841_rb/","check listing")</f>
        <v>check listing</v>
      </c>
      <c r="AB7450" s="5" t="str">
        <f>HYPERLINK("https://propertylookup.dupagecounty.gov/Datalets/Datalet.aspx?UseSearch=no&amp;mode=sales&amp;pin=0824408020","sales record")</f>
        <v>sales record</v>
      </c>
      <c r="AC7450" t="s">
        <v>3</v>
      </c>
      <c r="AD7450">
        <v>41.761328</v>
      </c>
      <c r="AE7450">
        <v>-88.03983100000001</v>
      </c>
      <c r="AF7450" s="5" t="str">
        <f>HYPERLINK("https://www.google.com/maps/search/?api=1&amp;query=41.761328,-88.039831","map")</f>
        <v>map</v>
      </c>
    </row>
    <row r="7451" spans="1:32">
      <c r="A7451" t="s">
        <v>7501</v>
      </c>
      <c r="B7451" t="s">
        <v>14849</v>
      </c>
      <c r="C7451" t="s">
        <v>15323</v>
      </c>
      <c r="D7451" t="s">
        <v>16215</v>
      </c>
      <c r="E7451" t="s">
        <v>16218</v>
      </c>
      <c r="F7451" t="s">
        <v>16220</v>
      </c>
      <c r="G7451" t="s">
        <v>16299</v>
      </c>
      <c r="H7451" t="s">
        <v>16299</v>
      </c>
      <c r="I7451" t="s">
        <v>16382</v>
      </c>
      <c r="J7451" t="s">
        <v>16385</v>
      </c>
      <c r="K7451">
        <v>0.122</v>
      </c>
      <c r="L7451">
        <v>5329</v>
      </c>
      <c r="M7451">
        <v>1596</v>
      </c>
      <c r="N7451" t="s">
        <v>16393</v>
      </c>
      <c r="O7451" s="4">
        <v>54797</v>
      </c>
      <c r="P7451" s="4">
        <v>67557</v>
      </c>
      <c r="Q7451" s="4">
        <v>122354</v>
      </c>
      <c r="R7451" s="4">
        <v>367062</v>
      </c>
      <c r="S7451" t="s">
        <v>23596</v>
      </c>
      <c r="T7451" s="6">
        <v>31898</v>
      </c>
      <c r="U7451" s="4">
        <v>95000</v>
      </c>
      <c r="X7451" t="s">
        <v>3</v>
      </c>
      <c r="AA7451" s="5" t="str">
        <f>HYPERLINK("https://www.zillow.com/homes/2345-GOLDFINCH-ST-WOODRIDGE-IL-60517_rb/","check listing")</f>
        <v>check listing</v>
      </c>
      <c r="AB7451" s="5" t="str">
        <f>HYPERLINK("https://propertylookup.dupagecounty.gov/Datalets/Datalet.aspx?UseSearch=no&amp;mode=sales&amp;pin=0824408012","sales record")</f>
        <v>sales record</v>
      </c>
      <c r="AC7451" t="s">
        <v>3</v>
      </c>
      <c r="AD7451">
        <v>41.761645</v>
      </c>
      <c r="AE7451">
        <v>-88.03818699999999</v>
      </c>
      <c r="AF7451" s="5" t="str">
        <f>HYPERLINK("https://www.google.com/maps/search/?api=1&amp;query=41.761645,-88.038187","map")</f>
        <v>map</v>
      </c>
    </row>
    <row r="7452" spans="1:32">
      <c r="A7452" t="s">
        <v>7502</v>
      </c>
      <c r="B7452" t="s">
        <v>14953</v>
      </c>
      <c r="C7452" t="s">
        <v>15323</v>
      </c>
      <c r="D7452" t="s">
        <v>16215</v>
      </c>
      <c r="E7452" t="s">
        <v>16218</v>
      </c>
      <c r="F7452" t="s">
        <v>16220</v>
      </c>
      <c r="G7452" t="s">
        <v>16299</v>
      </c>
      <c r="H7452" t="s">
        <v>16299</v>
      </c>
      <c r="I7452" t="s">
        <v>16382</v>
      </c>
      <c r="J7452" t="s">
        <v>16385</v>
      </c>
      <c r="K7452">
        <v>0.121</v>
      </c>
      <c r="L7452">
        <v>5282</v>
      </c>
      <c r="M7452">
        <v>1233</v>
      </c>
      <c r="N7452" t="s">
        <v>16393</v>
      </c>
      <c r="O7452" s="4">
        <v>54797</v>
      </c>
      <c r="P7452" s="4">
        <v>60125</v>
      </c>
      <c r="Q7452" s="4">
        <v>114922</v>
      </c>
      <c r="R7452" s="4">
        <v>344766</v>
      </c>
      <c r="S7452" t="s">
        <v>23597</v>
      </c>
      <c r="T7452" s="6">
        <v>44013</v>
      </c>
      <c r="U7452" s="4">
        <v>260000</v>
      </c>
      <c r="V7452" t="s">
        <v>23739</v>
      </c>
      <c r="W7452" t="s">
        <v>23597</v>
      </c>
      <c r="X7452" t="s">
        <v>3</v>
      </c>
      <c r="AA7452" s="5" t="str">
        <f>HYPERLINK("https://www.zillow.com/homes/6846-DOVE-AVE-WOODRIDGE-IL-60517_rb/","check listing")</f>
        <v>check listing</v>
      </c>
      <c r="AB7452" s="5" t="str">
        <f>HYPERLINK("https://propertylookup.dupagecounty.gov/Datalets/Datalet.aspx?UseSearch=no&amp;mode=sales&amp;pin=0824407015","sales record")</f>
        <v>sales record</v>
      </c>
      <c r="AC7452" t="s">
        <v>3</v>
      </c>
      <c r="AD7452">
        <v>41.762113</v>
      </c>
      <c r="AE7452">
        <v>-88.03916700000001</v>
      </c>
      <c r="AF7452" s="5" t="str">
        <f>HYPERLINK("https://www.google.com/maps/search/?api=1&amp;query=41.762113,-88.039167","map")</f>
        <v>map</v>
      </c>
    </row>
    <row r="7453" spans="1:32">
      <c r="A7453" t="s">
        <v>7503</v>
      </c>
      <c r="B7453" t="s">
        <v>14954</v>
      </c>
      <c r="C7453" t="s">
        <v>16189</v>
      </c>
      <c r="D7453" t="s">
        <v>16215</v>
      </c>
      <c r="E7453" t="s">
        <v>16218</v>
      </c>
      <c r="F7453" t="s">
        <v>16220</v>
      </c>
      <c r="G7453" t="s">
        <v>16299</v>
      </c>
      <c r="H7453" t="s">
        <v>16299</v>
      </c>
      <c r="I7453" t="s">
        <v>16382</v>
      </c>
      <c r="J7453" t="s">
        <v>16385</v>
      </c>
      <c r="K7453">
        <v>0.121</v>
      </c>
      <c r="L7453">
        <v>5277</v>
      </c>
      <c r="M7453">
        <v>1761</v>
      </c>
      <c r="N7453" t="s">
        <v>16393</v>
      </c>
      <c r="O7453" s="4">
        <v>54797</v>
      </c>
      <c r="P7453" s="4">
        <v>49267</v>
      </c>
      <c r="Q7453" s="4">
        <v>104064</v>
      </c>
      <c r="R7453" s="4">
        <v>312192</v>
      </c>
      <c r="S7453" t="s">
        <v>23598</v>
      </c>
      <c r="T7453" s="6">
        <v>44409</v>
      </c>
      <c r="U7453" s="4">
        <v>262501</v>
      </c>
      <c r="V7453" t="s">
        <v>23739</v>
      </c>
      <c r="W7453" t="s">
        <v>23598</v>
      </c>
      <c r="X7453" t="s">
        <v>3</v>
      </c>
      <c r="AA7453" s="5" t="str">
        <f>HYPERLINK("https://www.zillow.com/homes/2394-KILDEER-ST-WOODRIDGE-IL-605171854_rb/","check listing")</f>
        <v>check listing</v>
      </c>
      <c r="AB7453" s="5" t="str">
        <f>HYPERLINK("https://propertylookup.dupagecounty.gov/Datalets/Datalet.aspx?UseSearch=no&amp;mode=sales&amp;pin=0824405025","sales record")</f>
        <v>sales record</v>
      </c>
      <c r="AC7453" t="s">
        <v>3</v>
      </c>
      <c r="AD7453">
        <v>41.762721</v>
      </c>
      <c r="AE7453">
        <v>-88.040335</v>
      </c>
      <c r="AF7453" s="5" t="str">
        <f>HYPERLINK("https://www.google.com/maps/search/?api=1&amp;query=41.762721,-88.040335","map")</f>
        <v>map</v>
      </c>
    </row>
    <row r="7454" spans="1:32">
      <c r="A7454" t="s">
        <v>7504</v>
      </c>
      <c r="B7454" t="s">
        <v>14955</v>
      </c>
      <c r="C7454" t="s">
        <v>16185</v>
      </c>
      <c r="D7454" t="s">
        <v>16215</v>
      </c>
      <c r="E7454" t="s">
        <v>16218</v>
      </c>
      <c r="F7454" t="s">
        <v>16220</v>
      </c>
      <c r="G7454" t="s">
        <v>16299</v>
      </c>
      <c r="H7454" t="s">
        <v>16299</v>
      </c>
      <c r="I7454" t="s">
        <v>16382</v>
      </c>
      <c r="J7454" t="s">
        <v>16385</v>
      </c>
      <c r="K7454">
        <v>0.121</v>
      </c>
      <c r="L7454">
        <v>5276</v>
      </c>
      <c r="M7454">
        <v>1809</v>
      </c>
      <c r="N7454" t="s">
        <v>16393</v>
      </c>
      <c r="O7454" s="4">
        <v>54797</v>
      </c>
      <c r="P7454" s="4">
        <v>64976</v>
      </c>
      <c r="Q7454" s="4">
        <v>119773</v>
      </c>
      <c r="R7454" s="4">
        <v>359319</v>
      </c>
      <c r="S7454" t="s">
        <v>23599</v>
      </c>
      <c r="T7454" s="6">
        <v>43617</v>
      </c>
      <c r="U7454" s="4">
        <v>282000</v>
      </c>
      <c r="V7454" t="s">
        <v>23740</v>
      </c>
      <c r="W7454" t="s">
        <v>27787</v>
      </c>
      <c r="X7454" t="s">
        <v>3</v>
      </c>
      <c r="AA7454" s="5" t="str">
        <f>HYPERLINK("https://www.zillow.com/homes/4-KILDEER-CT-WOODRIDGE-IL-605171726_rb/","check listing")</f>
        <v>check listing</v>
      </c>
      <c r="AB7454" s="5" t="str">
        <f>HYPERLINK("https://propertylookup.dupagecounty.gov/Datalets/Datalet.aspx?UseSearch=no&amp;mode=sales&amp;pin=0824319017","sales record")</f>
        <v>sales record</v>
      </c>
      <c r="AC7454" t="s">
        <v>3</v>
      </c>
      <c r="AD7454">
        <v>41.762689</v>
      </c>
      <c r="AE7454">
        <v>-88.043013</v>
      </c>
      <c r="AF7454" s="5" t="str">
        <f>HYPERLINK("https://www.google.com/maps/search/?api=1&amp;query=41.762689,-88.043013","map")</f>
        <v>map</v>
      </c>
    </row>
    <row r="7455" spans="1:32">
      <c r="A7455" t="s">
        <v>7505</v>
      </c>
      <c r="B7455" t="s">
        <v>14956</v>
      </c>
      <c r="C7455" t="s">
        <v>15323</v>
      </c>
      <c r="D7455" t="s">
        <v>16215</v>
      </c>
      <c r="E7455" t="s">
        <v>16218</v>
      </c>
      <c r="F7455" t="s">
        <v>16220</v>
      </c>
      <c r="G7455" t="s">
        <v>16299</v>
      </c>
      <c r="H7455" t="s">
        <v>16299</v>
      </c>
      <c r="I7455" t="s">
        <v>16382</v>
      </c>
      <c r="J7455" t="s">
        <v>16385</v>
      </c>
      <c r="K7455">
        <v>0.121</v>
      </c>
      <c r="L7455">
        <v>5273</v>
      </c>
      <c r="M7455">
        <v>928</v>
      </c>
      <c r="N7455" t="s">
        <v>16393</v>
      </c>
      <c r="O7455" s="4">
        <v>49124</v>
      </c>
      <c r="P7455" s="4">
        <v>52323</v>
      </c>
      <c r="Q7455" s="4">
        <v>101447</v>
      </c>
      <c r="R7455" s="4">
        <v>304341</v>
      </c>
      <c r="S7455" t="s">
        <v>23600</v>
      </c>
      <c r="T7455" s="6">
        <v>33817</v>
      </c>
      <c r="U7455" s="4">
        <v>110125</v>
      </c>
      <c r="X7455" t="s">
        <v>3</v>
      </c>
      <c r="AA7455" s="5" t="str">
        <f>HYPERLINK("https://www.zillow.com/homes/2322-VISTA-DR-WOODRIDGE-IL-60517_rb/","check listing")</f>
        <v>check listing</v>
      </c>
      <c r="AB7455" s="5" t="str">
        <f>HYPERLINK("https://propertylookup.dupagecounty.gov/Datalets/Datalet.aspx?UseSearch=no&amp;mode=sales&amp;pin=0824408038","sales record")</f>
        <v>sales record</v>
      </c>
      <c r="AC7455" t="s">
        <v>3</v>
      </c>
      <c r="AD7455">
        <v>41.760948</v>
      </c>
      <c r="AE7455">
        <v>-88.036745</v>
      </c>
      <c r="AF7455" s="5" t="str">
        <f>HYPERLINK("https://www.google.com/maps/search/?api=1&amp;query=41.760948,-88.036745","map")</f>
        <v>map</v>
      </c>
    </row>
    <row r="7456" spans="1:32">
      <c r="A7456" t="s">
        <v>7506</v>
      </c>
      <c r="B7456" t="s">
        <v>14957</v>
      </c>
      <c r="C7456" t="s">
        <v>16184</v>
      </c>
      <c r="D7456" t="s">
        <v>16215</v>
      </c>
      <c r="E7456" t="s">
        <v>16218</v>
      </c>
      <c r="F7456" t="s">
        <v>16220</v>
      </c>
      <c r="G7456" t="s">
        <v>16299</v>
      </c>
      <c r="H7456" t="s">
        <v>16299</v>
      </c>
      <c r="I7456" t="s">
        <v>16382</v>
      </c>
      <c r="J7456" t="s">
        <v>16385</v>
      </c>
      <c r="K7456">
        <v>0.121</v>
      </c>
      <c r="L7456">
        <v>5251</v>
      </c>
      <c r="M7456">
        <v>1223</v>
      </c>
      <c r="N7456" t="s">
        <v>16393</v>
      </c>
      <c r="O7456" s="4">
        <v>54797</v>
      </c>
      <c r="P7456" s="4">
        <v>60742</v>
      </c>
      <c r="Q7456" s="4">
        <v>115539</v>
      </c>
      <c r="R7456" s="4">
        <v>346617</v>
      </c>
      <c r="S7456" t="s">
        <v>23601</v>
      </c>
      <c r="T7456" s="6">
        <v>42186</v>
      </c>
      <c r="U7456" s="4">
        <v>212500</v>
      </c>
      <c r="V7456" t="s">
        <v>23740</v>
      </c>
      <c r="W7456" t="s">
        <v>27788</v>
      </c>
      <c r="X7456" t="s">
        <v>3</v>
      </c>
      <c r="AA7456" s="5" t="str">
        <f>HYPERLINK("https://www.zillow.com/homes/6838-DOVE-AVE-WOODRIDGE-IL-605171863_rb/","check listing")</f>
        <v>check listing</v>
      </c>
      <c r="AB7456" s="5" t="str">
        <f>HYPERLINK("https://propertylookup.dupagecounty.gov/Datalets/Datalet.aspx?UseSearch=no&amp;mode=sales&amp;pin=0824407013","sales record")</f>
        <v>sales record</v>
      </c>
      <c r="AC7456" t="s">
        <v>3</v>
      </c>
      <c r="AD7456">
        <v>41.762418</v>
      </c>
      <c r="AE7456">
        <v>-88.039258</v>
      </c>
      <c r="AF7456" s="5" t="str">
        <f>HYPERLINK("https://www.google.com/maps/search/?api=1&amp;query=41.762418,-88.039258","map")</f>
        <v>map</v>
      </c>
    </row>
    <row r="7457" spans="1:32">
      <c r="A7457" t="s">
        <v>7507</v>
      </c>
      <c r="B7457" t="s">
        <v>14958</v>
      </c>
      <c r="C7457" t="s">
        <v>15323</v>
      </c>
      <c r="D7457" t="s">
        <v>16215</v>
      </c>
      <c r="E7457" t="s">
        <v>16218</v>
      </c>
      <c r="F7457" t="s">
        <v>16220</v>
      </c>
      <c r="G7457" t="s">
        <v>16299</v>
      </c>
      <c r="H7457" t="s">
        <v>16299</v>
      </c>
      <c r="I7457" t="s">
        <v>16382</v>
      </c>
      <c r="J7457" t="s">
        <v>16385</v>
      </c>
      <c r="K7457">
        <v>0.121</v>
      </c>
      <c r="L7457">
        <v>5251</v>
      </c>
      <c r="M7457">
        <v>1678</v>
      </c>
      <c r="N7457" t="s">
        <v>16393</v>
      </c>
      <c r="O7457" s="4">
        <v>49124</v>
      </c>
      <c r="P7457" s="4">
        <v>62562</v>
      </c>
      <c r="Q7457" s="4">
        <v>111686</v>
      </c>
      <c r="R7457" s="4">
        <v>335058</v>
      </c>
      <c r="S7457" t="s">
        <v>23602</v>
      </c>
      <c r="T7457" s="6">
        <v>35735</v>
      </c>
      <c r="U7457" s="4">
        <v>138800</v>
      </c>
      <c r="X7457" t="s">
        <v>3</v>
      </c>
      <c r="AA7457" s="5" t="str">
        <f>HYPERLINK("https://www.zillow.com/homes/2326-VISTA-DR-WOODRIDGE-IL-60517_rb/","check listing")</f>
        <v>check listing</v>
      </c>
      <c r="AB7457" s="5" t="str">
        <f>HYPERLINK("https://propertylookup.dupagecounty.gov/Datalets/Datalet.aspx?UseSearch=no&amp;mode=sales&amp;pin=0824408037","sales record")</f>
        <v>sales record</v>
      </c>
      <c r="AC7457" t="s">
        <v>3</v>
      </c>
      <c r="AD7457">
        <v>41.761069</v>
      </c>
      <c r="AE7457">
        <v>-88.036788</v>
      </c>
      <c r="AF7457" s="5" t="str">
        <f>HYPERLINK("https://www.google.com/maps/search/?api=1&amp;query=41.761069,-88.036788","map")</f>
        <v>map</v>
      </c>
    </row>
    <row r="7458" spans="1:32">
      <c r="A7458" t="s">
        <v>7508</v>
      </c>
      <c r="B7458" t="s">
        <v>14959</v>
      </c>
      <c r="C7458" t="s">
        <v>15323</v>
      </c>
      <c r="D7458" t="s">
        <v>16215</v>
      </c>
      <c r="E7458" t="s">
        <v>16218</v>
      </c>
      <c r="F7458" t="s">
        <v>16220</v>
      </c>
      <c r="G7458" t="s">
        <v>16299</v>
      </c>
      <c r="H7458" t="s">
        <v>16299</v>
      </c>
      <c r="I7458" t="s">
        <v>16382</v>
      </c>
      <c r="J7458" t="s">
        <v>16385</v>
      </c>
      <c r="K7458">
        <v>0.12</v>
      </c>
      <c r="L7458">
        <v>5245</v>
      </c>
      <c r="M7458">
        <v>1244</v>
      </c>
      <c r="N7458" t="s">
        <v>16393</v>
      </c>
      <c r="O7458" s="4">
        <v>54797</v>
      </c>
      <c r="P7458" s="4">
        <v>62812</v>
      </c>
      <c r="Q7458" s="4">
        <v>117609</v>
      </c>
      <c r="R7458" s="4">
        <v>352827</v>
      </c>
      <c r="S7458" t="s">
        <v>23603</v>
      </c>
      <c r="T7458" s="6">
        <v>41821</v>
      </c>
      <c r="U7458" s="4">
        <v>193000</v>
      </c>
      <c r="V7458" t="s">
        <v>23739</v>
      </c>
      <c r="W7458" t="s">
        <v>27789</v>
      </c>
      <c r="X7458" t="s">
        <v>3</v>
      </c>
      <c r="AA7458" s="5" t="str">
        <f>HYPERLINK("https://www.zillow.com/homes/2383-SUNNYDALE-DR-WOODRIDGE-IL-60517_rb/","check listing")</f>
        <v>check listing</v>
      </c>
      <c r="AB7458" s="5" t="str">
        <f>HYPERLINK("https://propertylookup.dupagecounty.gov/Datalets/Datalet.aspx?UseSearch=no&amp;mode=sales&amp;pin=0824420002","sales record")</f>
        <v>sales record</v>
      </c>
      <c r="AC7458" t="s">
        <v>3</v>
      </c>
      <c r="AD7458">
        <v>41.760791</v>
      </c>
      <c r="AE7458">
        <v>-88.039731</v>
      </c>
      <c r="AF7458" s="5" t="str">
        <f>HYPERLINK("https://www.google.com/maps/search/?api=1&amp;query=41.760791,-88.039731","map")</f>
        <v>map</v>
      </c>
    </row>
    <row r="7459" spans="1:32">
      <c r="A7459" t="s">
        <v>7509</v>
      </c>
      <c r="B7459" t="s">
        <v>14960</v>
      </c>
      <c r="C7459" t="s">
        <v>15323</v>
      </c>
      <c r="D7459" t="s">
        <v>16215</v>
      </c>
      <c r="E7459" t="s">
        <v>16218</v>
      </c>
      <c r="F7459" t="s">
        <v>16220</v>
      </c>
      <c r="G7459" t="s">
        <v>16299</v>
      </c>
      <c r="H7459" t="s">
        <v>16299</v>
      </c>
      <c r="I7459" t="s">
        <v>16382</v>
      </c>
      <c r="J7459" t="s">
        <v>16385</v>
      </c>
      <c r="K7459">
        <v>0.12</v>
      </c>
      <c r="L7459">
        <v>5233</v>
      </c>
      <c r="M7459">
        <v>1345</v>
      </c>
      <c r="N7459" t="s">
        <v>16393</v>
      </c>
      <c r="O7459" s="4">
        <v>54797</v>
      </c>
      <c r="P7459" s="4">
        <v>60695</v>
      </c>
      <c r="Q7459" s="4">
        <v>115492</v>
      </c>
      <c r="R7459" s="4">
        <v>346476</v>
      </c>
      <c r="S7459" t="s">
        <v>23604</v>
      </c>
      <c r="T7459" s="6">
        <v>45617</v>
      </c>
      <c r="U7459" s="4">
        <v>363000</v>
      </c>
      <c r="V7459" t="s">
        <v>23739</v>
      </c>
      <c r="W7459" t="s">
        <v>27790</v>
      </c>
      <c r="X7459" t="s">
        <v>3</v>
      </c>
      <c r="AA7459" s="5" t="str">
        <f>HYPERLINK("https://www.zillow.com/homes/3-KILDEER-CT-WOODRIDGE-IL-60517_rb/","check listing")</f>
        <v>check listing</v>
      </c>
      <c r="AB7459" s="5" t="str">
        <f>HYPERLINK("https://propertylookup.dupagecounty.gov/Datalets/Datalet.aspx?UseSearch=no&amp;mode=sales&amp;pin=0824319016","sales record")</f>
        <v>sales record</v>
      </c>
      <c r="AC7459" t="s">
        <v>3</v>
      </c>
      <c r="AD7459">
        <v>41.76265</v>
      </c>
      <c r="AE7459">
        <v>-88.042827</v>
      </c>
      <c r="AF7459" s="5" t="str">
        <f>HYPERLINK("https://www.google.com/maps/search/?api=1&amp;query=41.76265,-88.042827","map")</f>
        <v>map</v>
      </c>
    </row>
    <row r="7460" spans="1:32">
      <c r="A7460" t="s">
        <v>7510</v>
      </c>
      <c r="B7460" t="s">
        <v>14961</v>
      </c>
      <c r="C7460" t="s">
        <v>15323</v>
      </c>
      <c r="D7460" t="s">
        <v>16215</v>
      </c>
      <c r="E7460" t="s">
        <v>16218</v>
      </c>
      <c r="F7460" t="s">
        <v>16220</v>
      </c>
      <c r="G7460" t="s">
        <v>16299</v>
      </c>
      <c r="H7460" t="s">
        <v>16299</v>
      </c>
      <c r="I7460" t="s">
        <v>16382</v>
      </c>
      <c r="J7460" t="s">
        <v>16385</v>
      </c>
      <c r="K7460">
        <v>0.12</v>
      </c>
      <c r="L7460">
        <v>5229</v>
      </c>
      <c r="M7460">
        <v>1810</v>
      </c>
      <c r="N7460" t="s">
        <v>16393</v>
      </c>
      <c r="O7460" s="4">
        <v>54797</v>
      </c>
      <c r="P7460" s="4">
        <v>64916</v>
      </c>
      <c r="Q7460" s="4">
        <v>119713</v>
      </c>
      <c r="R7460" s="4">
        <v>359139</v>
      </c>
      <c r="S7460" t="s">
        <v>23605</v>
      </c>
      <c r="T7460" s="6">
        <v>41395</v>
      </c>
      <c r="U7460" s="4">
        <v>225000</v>
      </c>
      <c r="V7460" t="s">
        <v>23739</v>
      </c>
      <c r="W7460" t="s">
        <v>23605</v>
      </c>
      <c r="X7460" t="s">
        <v>3</v>
      </c>
      <c r="AA7460" s="5" t="str">
        <f>HYPERLINK("https://www.zillow.com/homes/2391-KILDEER-ST-WOODRIDGE-IL-60517_rb/","check listing")</f>
        <v>check listing</v>
      </c>
      <c r="AB7460" s="5" t="str">
        <f>HYPERLINK("https://propertylookup.dupagecounty.gov/Datalets/Datalet.aspx?UseSearch=no&amp;mode=sales&amp;pin=0824407003","sales record")</f>
        <v>sales record</v>
      </c>
      <c r="AC7460" t="s">
        <v>3</v>
      </c>
      <c r="AD7460">
        <v>41.76229</v>
      </c>
      <c r="AE7460">
        <v>-88.040108</v>
      </c>
      <c r="AF7460" s="5" t="str">
        <f>HYPERLINK("https://www.google.com/maps/search/?api=1&amp;query=41.76229,-88.040108","map")</f>
        <v>map</v>
      </c>
    </row>
    <row r="7461" spans="1:32">
      <c r="A7461" t="s">
        <v>7511</v>
      </c>
      <c r="B7461" t="s">
        <v>14962</v>
      </c>
      <c r="C7461" t="s">
        <v>15323</v>
      </c>
      <c r="D7461" t="s">
        <v>16215</v>
      </c>
      <c r="E7461" t="s">
        <v>16218</v>
      </c>
      <c r="F7461" t="s">
        <v>16220</v>
      </c>
      <c r="G7461" t="s">
        <v>16299</v>
      </c>
      <c r="H7461" t="s">
        <v>16299</v>
      </c>
      <c r="I7461" t="s">
        <v>16382</v>
      </c>
      <c r="J7461" t="s">
        <v>16385</v>
      </c>
      <c r="K7461">
        <v>0.12</v>
      </c>
      <c r="L7461">
        <v>5218</v>
      </c>
      <c r="M7461">
        <v>1922</v>
      </c>
      <c r="N7461" t="s">
        <v>16393</v>
      </c>
      <c r="O7461" s="4">
        <v>49124</v>
      </c>
      <c r="P7461" s="4">
        <v>50349</v>
      </c>
      <c r="Q7461" s="4">
        <v>99473</v>
      </c>
      <c r="R7461" s="4">
        <v>298419</v>
      </c>
      <c r="S7461" t="s">
        <v>23606</v>
      </c>
      <c r="T7461" s="6">
        <v>42644</v>
      </c>
      <c r="U7461" s="4">
        <v>195000</v>
      </c>
      <c r="V7461" t="s">
        <v>23739</v>
      </c>
      <c r="W7461" t="s">
        <v>27791</v>
      </c>
      <c r="X7461" t="s">
        <v>3</v>
      </c>
      <c r="AA7461" s="5" t="str">
        <f>HYPERLINK("https://www.zillow.com/homes/2318-VISTA-DR-WOODRIDGE-IL-60517_rb/","check listing")</f>
        <v>check listing</v>
      </c>
      <c r="AB7461" s="5" t="str">
        <f>HYPERLINK("https://propertylookup.dupagecounty.gov/Datalets/Datalet.aspx?UseSearch=no&amp;mode=sales&amp;pin=0824408039","sales record")</f>
        <v>sales record</v>
      </c>
      <c r="AC7461" t="s">
        <v>3</v>
      </c>
      <c r="AD7461">
        <v>41.760815</v>
      </c>
      <c r="AE7461">
        <v>-88.03669499999999</v>
      </c>
      <c r="AF7461" s="5" t="str">
        <f>HYPERLINK("https://www.google.com/maps/search/?api=1&amp;query=41.760815,-88.036695","map")</f>
        <v>map</v>
      </c>
    </row>
    <row r="7462" spans="1:32">
      <c r="A7462" t="s">
        <v>7512</v>
      </c>
      <c r="B7462" t="s">
        <v>14963</v>
      </c>
      <c r="C7462" t="s">
        <v>16190</v>
      </c>
      <c r="D7462" t="s">
        <v>16215</v>
      </c>
      <c r="E7462" t="s">
        <v>16218</v>
      </c>
      <c r="F7462" t="s">
        <v>16220</v>
      </c>
      <c r="G7462" t="s">
        <v>16299</v>
      </c>
      <c r="H7462" t="s">
        <v>16299</v>
      </c>
      <c r="I7462" t="s">
        <v>16382</v>
      </c>
      <c r="J7462" t="s">
        <v>16385</v>
      </c>
      <c r="K7462">
        <v>0.12</v>
      </c>
      <c r="L7462">
        <v>5216</v>
      </c>
      <c r="M7462">
        <v>1391</v>
      </c>
      <c r="N7462" t="s">
        <v>16393</v>
      </c>
      <c r="O7462" s="4">
        <v>54797</v>
      </c>
      <c r="P7462" s="4">
        <v>60695</v>
      </c>
      <c r="Q7462" s="4">
        <v>115492</v>
      </c>
      <c r="R7462" s="4">
        <v>346476</v>
      </c>
      <c r="S7462" t="s">
        <v>23242</v>
      </c>
      <c r="T7462" s="6">
        <v>33878</v>
      </c>
      <c r="U7462" s="4">
        <v>121000</v>
      </c>
      <c r="X7462" t="s">
        <v>3</v>
      </c>
      <c r="AA7462" s="5" t="str">
        <f>HYPERLINK("https://www.zillow.com/homes/2326-SUNNYDALE-DR-WOODRIDGE-IL-605171843_rb/","check listing")</f>
        <v>check listing</v>
      </c>
      <c r="AB7462" s="5" t="str">
        <f>HYPERLINK("https://propertylookup.dupagecounty.gov/Datalets/Datalet.aspx?UseSearch=no&amp;mode=sales&amp;pin=0824419014","sales record")</f>
        <v>sales record</v>
      </c>
      <c r="AC7462" t="s">
        <v>3</v>
      </c>
      <c r="AD7462">
        <v>41.760681</v>
      </c>
      <c r="AE7462">
        <v>-88.03751200000001</v>
      </c>
      <c r="AF7462" s="5" t="str">
        <f>HYPERLINK("https://www.google.com/maps/search/?api=1&amp;query=41.760681,-88.037512","map")</f>
        <v>map</v>
      </c>
    </row>
    <row r="7463" spans="1:32">
      <c r="A7463" t="s">
        <v>7513</v>
      </c>
      <c r="B7463" t="s">
        <v>14964</v>
      </c>
      <c r="C7463" t="s">
        <v>16154</v>
      </c>
      <c r="D7463" t="s">
        <v>16215</v>
      </c>
      <c r="E7463" t="s">
        <v>16218</v>
      </c>
      <c r="F7463" t="s">
        <v>16220</v>
      </c>
      <c r="G7463" t="s">
        <v>16299</v>
      </c>
      <c r="H7463" t="s">
        <v>16299</v>
      </c>
      <c r="I7463" t="s">
        <v>16382</v>
      </c>
      <c r="J7463" t="s">
        <v>16385</v>
      </c>
      <c r="K7463">
        <v>0.119</v>
      </c>
      <c r="L7463">
        <v>5190</v>
      </c>
      <c r="M7463">
        <v>870</v>
      </c>
      <c r="N7463" t="s">
        <v>16393</v>
      </c>
      <c r="O7463" s="4">
        <v>54797</v>
      </c>
      <c r="P7463" s="4">
        <v>60125</v>
      </c>
      <c r="Q7463" s="4">
        <v>114922</v>
      </c>
      <c r="R7463" s="4">
        <v>344766</v>
      </c>
      <c r="S7463" t="s">
        <v>23607</v>
      </c>
      <c r="T7463" s="6">
        <v>37956</v>
      </c>
      <c r="U7463" s="4">
        <v>197000</v>
      </c>
      <c r="V7463" t="s">
        <v>23739</v>
      </c>
      <c r="W7463" t="s">
        <v>27792</v>
      </c>
      <c r="X7463" t="s">
        <v>3</v>
      </c>
      <c r="AA7463" s="5" t="str">
        <f>HYPERLINK("https://www.zillow.com/homes/6844-RED-WING-DR-WOODRIDGE-IL-605171845_rb/","check listing")</f>
        <v>check listing</v>
      </c>
      <c r="AB7463" s="5" t="str">
        <f>HYPERLINK("https://propertylookup.dupagecounty.gov/Datalets/Datalet.aspx?UseSearch=no&amp;mode=sales&amp;pin=0824406016","sales record")</f>
        <v>sales record</v>
      </c>
      <c r="AC7463" t="s">
        <v>3</v>
      </c>
      <c r="AD7463">
        <v>41.762457</v>
      </c>
      <c r="AE7463">
        <v>-88.038253</v>
      </c>
      <c r="AF7463" s="5" t="str">
        <f>HYPERLINK("https://www.google.com/maps/search/?api=1&amp;query=41.762457,-88.038253","map")</f>
        <v>map</v>
      </c>
    </row>
    <row r="7464" spans="1:32">
      <c r="A7464" t="s">
        <v>7514</v>
      </c>
      <c r="B7464" t="s">
        <v>14965</v>
      </c>
      <c r="C7464" t="s">
        <v>15323</v>
      </c>
      <c r="D7464" t="s">
        <v>16215</v>
      </c>
      <c r="E7464" t="s">
        <v>16218</v>
      </c>
      <c r="F7464" t="s">
        <v>16220</v>
      </c>
      <c r="G7464" t="s">
        <v>16299</v>
      </c>
      <c r="H7464" t="s">
        <v>16299</v>
      </c>
      <c r="I7464" t="s">
        <v>16382</v>
      </c>
      <c r="J7464" t="s">
        <v>16385</v>
      </c>
      <c r="K7464">
        <v>0.119</v>
      </c>
      <c r="L7464">
        <v>5186</v>
      </c>
      <c r="M7464">
        <v>1668</v>
      </c>
      <c r="N7464" t="s">
        <v>16393</v>
      </c>
      <c r="O7464" s="4">
        <v>54797</v>
      </c>
      <c r="P7464" s="4">
        <v>53250</v>
      </c>
      <c r="Q7464" s="4">
        <v>108047</v>
      </c>
      <c r="R7464" s="4">
        <v>324141</v>
      </c>
      <c r="S7464" t="s">
        <v>23608</v>
      </c>
      <c r="T7464" s="6">
        <v>37043</v>
      </c>
      <c r="U7464" s="4">
        <v>158000</v>
      </c>
      <c r="V7464" t="s">
        <v>23739</v>
      </c>
      <c r="W7464" t="s">
        <v>27793</v>
      </c>
      <c r="X7464" t="s">
        <v>3</v>
      </c>
      <c r="AA7464" s="5" t="str">
        <f>HYPERLINK("https://www.zillow.com/homes/11-BLUE-JAY-CT-WOODRIDGE-IL-60517_rb/","check listing")</f>
        <v>check listing</v>
      </c>
      <c r="AB7464" s="5" t="str">
        <f>HYPERLINK("https://propertylookup.dupagecounty.gov/Datalets/Datalet.aspx?UseSearch=no&amp;mode=sales&amp;pin=0824319011","sales record")</f>
        <v>sales record</v>
      </c>
      <c r="AC7464" t="s">
        <v>3</v>
      </c>
      <c r="AD7464">
        <v>41.76293</v>
      </c>
      <c r="AE7464">
        <v>-88.04283100000001</v>
      </c>
      <c r="AF7464" s="5" t="str">
        <f>HYPERLINK("https://www.google.com/maps/search/?api=1&amp;query=41.76293,-88.042831","map")</f>
        <v>map</v>
      </c>
    </row>
    <row r="7465" spans="1:32">
      <c r="A7465" t="s">
        <v>7515</v>
      </c>
      <c r="B7465" t="s">
        <v>14966</v>
      </c>
      <c r="C7465" t="s">
        <v>15323</v>
      </c>
      <c r="D7465" t="s">
        <v>16215</v>
      </c>
      <c r="E7465" t="s">
        <v>16218</v>
      </c>
      <c r="F7465" t="s">
        <v>16220</v>
      </c>
      <c r="G7465" t="s">
        <v>16299</v>
      </c>
      <c r="H7465" t="s">
        <v>16299</v>
      </c>
      <c r="I7465" t="s">
        <v>16382</v>
      </c>
      <c r="J7465" t="s">
        <v>16385</v>
      </c>
      <c r="K7465">
        <v>0.119</v>
      </c>
      <c r="L7465">
        <v>5175</v>
      </c>
      <c r="M7465">
        <v>1721</v>
      </c>
      <c r="N7465" t="s">
        <v>16393</v>
      </c>
      <c r="O7465" s="4">
        <v>54797</v>
      </c>
      <c r="P7465" s="4">
        <v>66284</v>
      </c>
      <c r="Q7465" s="4">
        <v>121081</v>
      </c>
      <c r="R7465" s="4">
        <v>363243</v>
      </c>
      <c r="S7465" t="s">
        <v>23609</v>
      </c>
      <c r="T7465" s="6">
        <v>35674</v>
      </c>
      <c r="U7465" s="4">
        <v>136100</v>
      </c>
      <c r="X7465" t="s">
        <v>3</v>
      </c>
      <c r="AA7465" s="5" t="str">
        <f>HYPERLINK("https://www.zillow.com/homes/6840-REDWING-DR-WOODRIDGE-IL-60517_rb/","check listing")</f>
        <v>check listing</v>
      </c>
      <c r="AB7465" s="5" t="str">
        <f>HYPERLINK("https://propertylookup.dupagecounty.gov/Datalets/Datalet.aspx?UseSearch=no&amp;mode=sales&amp;pin=0824406015","sales record")</f>
        <v>sales record</v>
      </c>
      <c r="AC7465" t="s">
        <v>3</v>
      </c>
      <c r="AD7465">
        <v>41.762515</v>
      </c>
      <c r="AE7465">
        <v>-88.038402</v>
      </c>
      <c r="AF7465" s="5" t="str">
        <f>HYPERLINK("https://www.google.com/maps/search/?api=1&amp;query=41.762515,-88.038402","map")</f>
        <v>map</v>
      </c>
    </row>
    <row r="7466" spans="1:32">
      <c r="A7466" t="s">
        <v>7516</v>
      </c>
      <c r="B7466" t="s">
        <v>14967</v>
      </c>
      <c r="C7466" t="s">
        <v>15323</v>
      </c>
      <c r="D7466" t="s">
        <v>16215</v>
      </c>
      <c r="E7466" t="s">
        <v>16218</v>
      </c>
      <c r="F7466" t="s">
        <v>16220</v>
      </c>
      <c r="G7466" t="s">
        <v>16299</v>
      </c>
      <c r="H7466" t="s">
        <v>16299</v>
      </c>
      <c r="I7466" t="s">
        <v>16382</v>
      </c>
      <c r="J7466" t="s">
        <v>16385</v>
      </c>
      <c r="K7466">
        <v>0.119</v>
      </c>
      <c r="L7466">
        <v>5165</v>
      </c>
      <c r="M7466">
        <v>1260</v>
      </c>
      <c r="N7466" t="s">
        <v>16393</v>
      </c>
      <c r="O7466" s="4">
        <v>54797</v>
      </c>
      <c r="P7466" s="4">
        <v>60125</v>
      </c>
      <c r="Q7466" s="4">
        <v>114922</v>
      </c>
      <c r="R7466" s="4">
        <v>344766</v>
      </c>
      <c r="S7466" t="s">
        <v>23610</v>
      </c>
      <c r="T7466" s="6">
        <v>44893</v>
      </c>
      <c r="U7466" s="4">
        <v>290000</v>
      </c>
      <c r="V7466" t="s">
        <v>23741</v>
      </c>
      <c r="W7466" t="s">
        <v>27794</v>
      </c>
      <c r="X7466" t="s">
        <v>3</v>
      </c>
      <c r="AA7466" s="5" t="str">
        <f>HYPERLINK("https://www.zillow.com/homes/5-KILDEER-CT-WOODRIDGE-IL-60517_rb/","check listing")</f>
        <v>check listing</v>
      </c>
      <c r="AB7466" s="5" t="str">
        <f>HYPERLINK("https://propertylookup.dupagecounty.gov/Datalets/Datalet.aspx?UseSearch=no&amp;mode=sales&amp;pin=0824319018","sales record")</f>
        <v>sales record</v>
      </c>
      <c r="AC7466" t="s">
        <v>3</v>
      </c>
      <c r="AD7466">
        <v>41.762685</v>
      </c>
      <c r="AE7466">
        <v>-88.043201</v>
      </c>
      <c r="AF7466" s="5" t="str">
        <f>HYPERLINK("https://www.google.com/maps/search/?api=1&amp;query=41.762685,-88.043201","map")</f>
        <v>map</v>
      </c>
    </row>
    <row r="7467" spans="1:32">
      <c r="A7467" t="s">
        <v>7517</v>
      </c>
      <c r="B7467" t="s">
        <v>14968</v>
      </c>
      <c r="C7467" t="s">
        <v>15323</v>
      </c>
      <c r="D7467" t="s">
        <v>16215</v>
      </c>
      <c r="E7467" t="s">
        <v>16218</v>
      </c>
      <c r="F7467" t="s">
        <v>16220</v>
      </c>
      <c r="G7467" t="s">
        <v>16299</v>
      </c>
      <c r="H7467" t="s">
        <v>16299</v>
      </c>
      <c r="I7467" t="s">
        <v>16382</v>
      </c>
      <c r="J7467" t="s">
        <v>16385</v>
      </c>
      <c r="K7467">
        <v>0.118</v>
      </c>
      <c r="L7467">
        <v>5159</v>
      </c>
      <c r="M7467">
        <v>1533</v>
      </c>
      <c r="N7467" t="s">
        <v>16393</v>
      </c>
      <c r="O7467" s="4">
        <v>54797</v>
      </c>
      <c r="P7467" s="4">
        <v>60897</v>
      </c>
      <c r="Q7467" s="4">
        <v>115694</v>
      </c>
      <c r="R7467" s="4">
        <v>347082</v>
      </c>
      <c r="S7467" t="s">
        <v>23611</v>
      </c>
      <c r="T7467" s="6">
        <v>38596</v>
      </c>
      <c r="U7467" s="4">
        <v>250000</v>
      </c>
      <c r="V7467" t="s">
        <v>23739</v>
      </c>
      <c r="W7467" t="s">
        <v>23611</v>
      </c>
      <c r="X7467" t="s">
        <v>3</v>
      </c>
      <c r="AA7467" s="5" t="str">
        <f>HYPERLINK("https://www.zillow.com/homes/2-BLUE-JAY-CT-WOODRIDGE-IL-60517_rb/","check listing")</f>
        <v>check listing</v>
      </c>
      <c r="AB7467" s="5" t="str">
        <f>HYPERLINK("https://propertylookup.dupagecounty.gov/Datalets/Datalet.aspx?UseSearch=no&amp;mode=sales&amp;pin=0824319005","sales record")</f>
        <v>sales record</v>
      </c>
      <c r="AC7467" t="s">
        <v>3</v>
      </c>
      <c r="AD7467">
        <v>41.763359</v>
      </c>
      <c r="AE7467">
        <v>-88.042663</v>
      </c>
      <c r="AF7467" s="5" t="str">
        <f>HYPERLINK("https://www.google.com/maps/search/?api=1&amp;query=41.763359,-88.042663","map")</f>
        <v>map</v>
      </c>
    </row>
    <row r="7468" spans="1:32">
      <c r="A7468" t="s">
        <v>7518</v>
      </c>
      <c r="B7468" t="s">
        <v>14969</v>
      </c>
      <c r="C7468" t="s">
        <v>16172</v>
      </c>
      <c r="D7468" t="s">
        <v>16215</v>
      </c>
      <c r="E7468" t="s">
        <v>16218</v>
      </c>
      <c r="F7468" t="s">
        <v>16220</v>
      </c>
      <c r="G7468" t="s">
        <v>16299</v>
      </c>
      <c r="H7468" t="s">
        <v>16299</v>
      </c>
      <c r="I7468" t="s">
        <v>16382</v>
      </c>
      <c r="J7468" t="s">
        <v>16385</v>
      </c>
      <c r="K7468">
        <v>0.118</v>
      </c>
      <c r="L7468">
        <v>5155</v>
      </c>
      <c r="M7468">
        <v>1397</v>
      </c>
      <c r="N7468" t="s">
        <v>16393</v>
      </c>
      <c r="O7468" s="4">
        <v>54797</v>
      </c>
      <c r="P7468" s="4">
        <v>71801</v>
      </c>
      <c r="Q7468" s="4">
        <v>126598</v>
      </c>
      <c r="R7468" s="4">
        <v>379794</v>
      </c>
      <c r="S7468" t="s">
        <v>23612</v>
      </c>
      <c r="T7468" s="6">
        <v>43191</v>
      </c>
      <c r="U7468" s="4">
        <v>252000</v>
      </c>
      <c r="V7468" t="s">
        <v>23739</v>
      </c>
      <c r="W7468" t="s">
        <v>27795</v>
      </c>
      <c r="X7468" t="s">
        <v>3</v>
      </c>
      <c r="AA7468" s="5" t="str">
        <f>HYPERLINK("https://www.zillow.com/homes/2-LORRAINE-AVE-WOODRIDGE-IL-605171725_rb/","check listing")</f>
        <v>check listing</v>
      </c>
      <c r="AB7468" s="5" t="str">
        <f>HYPERLINK("https://propertylookup.dupagecounty.gov/Datalets/Datalet.aspx?UseSearch=no&amp;mode=sales&amp;pin=0824111027","sales record")</f>
        <v>sales record</v>
      </c>
      <c r="AC7468" t="s">
        <v>3</v>
      </c>
      <c r="AD7468">
        <v>41.765909</v>
      </c>
      <c r="AE7468">
        <v>-88.041757</v>
      </c>
      <c r="AF7468" s="5" t="str">
        <f>HYPERLINK("https://www.google.com/maps/search/?api=1&amp;query=41.765909,-88.041757","map")</f>
        <v>map</v>
      </c>
    </row>
    <row r="7469" spans="1:32">
      <c r="A7469" t="s">
        <v>7519</v>
      </c>
      <c r="B7469" t="s">
        <v>14970</v>
      </c>
      <c r="C7469" t="s">
        <v>15323</v>
      </c>
      <c r="D7469" t="s">
        <v>16215</v>
      </c>
      <c r="E7469" t="s">
        <v>16218</v>
      </c>
      <c r="F7469" t="s">
        <v>16220</v>
      </c>
      <c r="G7469" t="s">
        <v>16299</v>
      </c>
      <c r="H7469" t="s">
        <v>16299</v>
      </c>
      <c r="I7469" t="s">
        <v>16382</v>
      </c>
      <c r="J7469" t="s">
        <v>16385</v>
      </c>
      <c r="K7469">
        <v>0.118</v>
      </c>
      <c r="L7469">
        <v>5142</v>
      </c>
      <c r="M7469">
        <v>1668</v>
      </c>
      <c r="N7469" t="s">
        <v>16393</v>
      </c>
      <c r="O7469" s="4">
        <v>54797</v>
      </c>
      <c r="P7469" s="4">
        <v>53250</v>
      </c>
      <c r="Q7469" s="4">
        <v>108047</v>
      </c>
      <c r="R7469" s="4">
        <v>324141</v>
      </c>
      <c r="S7469" t="s">
        <v>23613</v>
      </c>
      <c r="T7469" s="6">
        <v>40238</v>
      </c>
      <c r="U7469" s="4">
        <v>169000</v>
      </c>
      <c r="V7469" t="s">
        <v>16232</v>
      </c>
      <c r="W7469" t="s">
        <v>23613</v>
      </c>
      <c r="X7469" t="s">
        <v>3</v>
      </c>
      <c r="AA7469" s="5" t="str">
        <f>HYPERLINK("https://www.zillow.com/homes/2-KILDEER-CT-WOODRIDGE-IL-60517_rb/","check listing")</f>
        <v>check listing</v>
      </c>
      <c r="AB7469" s="5" t="str">
        <f>HYPERLINK("https://propertylookup.dupagecounty.gov/Datalets/Datalet.aspx?UseSearch=no&amp;mode=sales&amp;pin=0824319015","sales record")</f>
        <v>sales record</v>
      </c>
      <c r="AC7469" t="s">
        <v>3</v>
      </c>
      <c r="AD7469">
        <v>41.762662</v>
      </c>
      <c r="AE7469">
        <v>-88.042646</v>
      </c>
      <c r="AF7469" s="5" t="str">
        <f>HYPERLINK("https://www.google.com/maps/search/?api=1&amp;query=41.762662,-88.042646","map")</f>
        <v>map</v>
      </c>
    </row>
    <row r="7470" spans="1:32">
      <c r="A7470" t="s">
        <v>7520</v>
      </c>
      <c r="B7470" t="s">
        <v>14971</v>
      </c>
      <c r="C7470" t="s">
        <v>15323</v>
      </c>
      <c r="D7470" t="s">
        <v>16215</v>
      </c>
      <c r="E7470" t="s">
        <v>16218</v>
      </c>
      <c r="F7470" t="s">
        <v>16220</v>
      </c>
      <c r="G7470" t="s">
        <v>16299</v>
      </c>
      <c r="H7470" t="s">
        <v>16299</v>
      </c>
      <c r="I7470" t="s">
        <v>16382</v>
      </c>
      <c r="J7470" t="s">
        <v>16385</v>
      </c>
      <c r="K7470">
        <v>0.117</v>
      </c>
      <c r="L7470">
        <v>5116</v>
      </c>
      <c r="M7470">
        <v>1213</v>
      </c>
      <c r="N7470" t="s">
        <v>16393</v>
      </c>
      <c r="O7470" s="4">
        <v>54797</v>
      </c>
      <c r="P7470" s="4">
        <v>61824</v>
      </c>
      <c r="Q7470" s="4">
        <v>116621</v>
      </c>
      <c r="R7470" s="4">
        <v>349863</v>
      </c>
      <c r="S7470" t="s">
        <v>23614</v>
      </c>
      <c r="T7470" s="6">
        <v>38261</v>
      </c>
      <c r="U7470" s="4">
        <v>220000</v>
      </c>
      <c r="V7470" t="s">
        <v>23739</v>
      </c>
      <c r="W7470" t="s">
        <v>27796</v>
      </c>
      <c r="X7470" t="s">
        <v>3</v>
      </c>
      <c r="AA7470" s="5" t="str">
        <f>HYPERLINK("https://www.zillow.com/homes/3-BLUE-JAY-CT-WOODRIDGE-IL-60517_rb/","check listing")</f>
        <v>check listing</v>
      </c>
      <c r="AB7470" s="5" t="str">
        <f>HYPERLINK("https://propertylookup.dupagecounty.gov/Datalets/Datalet.aspx?UseSearch=no&amp;mode=sales&amp;pin=0824319004","sales record")</f>
        <v>sales record</v>
      </c>
      <c r="AC7470" t="s">
        <v>27873</v>
      </c>
      <c r="AD7470">
        <v>41.763356</v>
      </c>
      <c r="AE7470">
        <v>-88.04284699999999</v>
      </c>
      <c r="AF7470" s="5" t="str">
        <f>HYPERLINK("https://www.google.com/maps/search/?api=1&amp;query=41.763356,-88.042847","map")</f>
        <v>map</v>
      </c>
    </row>
    <row r="7471" spans="1:32">
      <c r="A7471" t="s">
        <v>7521</v>
      </c>
      <c r="B7471" t="s">
        <v>14972</v>
      </c>
      <c r="C7471" t="s">
        <v>16177</v>
      </c>
      <c r="D7471" t="s">
        <v>16215</v>
      </c>
      <c r="E7471" t="s">
        <v>16218</v>
      </c>
      <c r="F7471" t="s">
        <v>16220</v>
      </c>
      <c r="G7471" t="s">
        <v>16299</v>
      </c>
      <c r="H7471" t="s">
        <v>16299</v>
      </c>
      <c r="I7471" t="s">
        <v>16382</v>
      </c>
      <c r="J7471" t="s">
        <v>16385</v>
      </c>
      <c r="K7471">
        <v>0.117</v>
      </c>
      <c r="L7471">
        <v>5115</v>
      </c>
      <c r="M7471">
        <v>1631</v>
      </c>
      <c r="N7471" t="s">
        <v>16393</v>
      </c>
      <c r="O7471" s="4">
        <v>54797</v>
      </c>
      <c r="P7471" s="4">
        <v>55915</v>
      </c>
      <c r="Q7471" s="4">
        <v>110712</v>
      </c>
      <c r="R7471" s="4">
        <v>332136</v>
      </c>
      <c r="S7471" t="s">
        <v>23615</v>
      </c>
      <c r="T7471" s="6">
        <v>44501</v>
      </c>
      <c r="U7471" s="4">
        <v>229900</v>
      </c>
      <c r="V7471" t="s">
        <v>23739</v>
      </c>
      <c r="W7471" t="s">
        <v>23615</v>
      </c>
      <c r="X7471" t="s">
        <v>3</v>
      </c>
      <c r="AA7471" s="5" t="str">
        <f>HYPERLINK("https://www.zillow.com/homes/2379-SUNNYDALE-DR-WOODRIDGE-IL-605171844_rb/","check listing")</f>
        <v>check listing</v>
      </c>
      <c r="AB7471" s="5" t="str">
        <f>HYPERLINK("https://propertylookup.dupagecounty.gov/Datalets/Datalet.aspx?UseSearch=no&amp;mode=sales&amp;pin=0824420003","sales record")</f>
        <v>sales record</v>
      </c>
      <c r="AC7471" t="s">
        <v>3</v>
      </c>
      <c r="AD7471">
        <v>41.76066</v>
      </c>
      <c r="AE7471">
        <v>-88.039694</v>
      </c>
      <c r="AF7471" s="5" t="str">
        <f>HYPERLINK("https://www.google.com/maps/search/?api=1&amp;query=41.76066,-88.039694","map")</f>
        <v>map</v>
      </c>
    </row>
    <row r="7472" spans="1:32">
      <c r="A7472" t="s">
        <v>7522</v>
      </c>
      <c r="B7472" t="s">
        <v>14973</v>
      </c>
      <c r="C7472" t="s">
        <v>15323</v>
      </c>
      <c r="D7472" t="s">
        <v>16215</v>
      </c>
      <c r="E7472" t="s">
        <v>16218</v>
      </c>
      <c r="F7472" t="s">
        <v>16220</v>
      </c>
      <c r="G7472" t="s">
        <v>16299</v>
      </c>
      <c r="H7472" t="s">
        <v>16299</v>
      </c>
      <c r="I7472" t="s">
        <v>16382</v>
      </c>
      <c r="J7472" t="s">
        <v>16385</v>
      </c>
      <c r="K7472">
        <v>0.117</v>
      </c>
      <c r="L7472">
        <v>5112</v>
      </c>
      <c r="M7472">
        <v>1616</v>
      </c>
      <c r="N7472" t="s">
        <v>16393</v>
      </c>
      <c r="O7472" s="4">
        <v>54797</v>
      </c>
      <c r="P7472" s="4">
        <v>53250</v>
      </c>
      <c r="Q7472" s="4">
        <v>108047</v>
      </c>
      <c r="R7472" s="4">
        <v>324141</v>
      </c>
      <c r="S7472" t="s">
        <v>23616</v>
      </c>
      <c r="T7472" s="6">
        <v>45898</v>
      </c>
      <c r="U7472" s="4">
        <v>305000</v>
      </c>
      <c r="V7472" t="s">
        <v>23739</v>
      </c>
      <c r="W7472" t="s">
        <v>27797</v>
      </c>
      <c r="X7472" t="s">
        <v>3</v>
      </c>
      <c r="AA7472" s="5" t="str">
        <f>HYPERLINK("https://www.zillow.com/homes/6784-RED-WING-DR-WOODRIDGE-IL-60517_rb/","check listing")</f>
        <v>check listing</v>
      </c>
      <c r="AB7472" s="5" t="str">
        <f>HYPERLINK("https://propertylookup.dupagecounty.gov/Datalets/Datalet.aspx?UseSearch=no&amp;mode=sales&amp;pin=0824405003","sales record")</f>
        <v>sales record</v>
      </c>
      <c r="AC7472" t="s">
        <v>3</v>
      </c>
      <c r="AD7472">
        <v>41.763747</v>
      </c>
      <c r="AE7472">
        <v>-88.03989199999999</v>
      </c>
      <c r="AF7472" s="5" t="str">
        <f>HYPERLINK("https://www.google.com/maps/search/?api=1&amp;query=41.763747,-88.039892","map")</f>
        <v>map</v>
      </c>
    </row>
    <row r="7473" spans="1:32">
      <c r="A7473" t="s">
        <v>7523</v>
      </c>
      <c r="B7473" t="s">
        <v>14974</v>
      </c>
      <c r="C7473" t="s">
        <v>15323</v>
      </c>
      <c r="D7473" t="s">
        <v>16215</v>
      </c>
      <c r="E7473" t="s">
        <v>16218</v>
      </c>
      <c r="F7473" t="s">
        <v>16220</v>
      </c>
      <c r="G7473" t="s">
        <v>16299</v>
      </c>
      <c r="H7473" t="s">
        <v>16299</v>
      </c>
      <c r="I7473" t="s">
        <v>16382</v>
      </c>
      <c r="J7473" t="s">
        <v>16385</v>
      </c>
      <c r="K7473">
        <v>0.117</v>
      </c>
      <c r="L7473">
        <v>5108</v>
      </c>
      <c r="M7473">
        <v>1537</v>
      </c>
      <c r="N7473" t="s">
        <v>16393</v>
      </c>
      <c r="O7473" s="4">
        <v>54797</v>
      </c>
      <c r="P7473" s="4">
        <v>63810</v>
      </c>
      <c r="Q7473" s="4">
        <v>118607</v>
      </c>
      <c r="R7473" s="4">
        <v>355821</v>
      </c>
      <c r="S7473" t="s">
        <v>23617</v>
      </c>
      <c r="T7473" s="6">
        <v>46073</v>
      </c>
      <c r="U7473" s="4">
        <v>312000</v>
      </c>
      <c r="V7473" t="s">
        <v>23738</v>
      </c>
      <c r="W7473" t="s">
        <v>27798</v>
      </c>
      <c r="X7473" t="s">
        <v>3</v>
      </c>
      <c r="AA7473" s="5" t="str">
        <f>HYPERLINK("https://www.zillow.com/homes/7-BLUE-JAY-CT-WOODRIDGE-IL-60517_rb/","check listing")</f>
        <v>check listing</v>
      </c>
      <c r="AB7473" s="5" t="str">
        <f>HYPERLINK("https://propertylookup.dupagecounty.gov/Datalets/Datalet.aspx?UseSearch=no&amp;mode=sales&amp;pin=0824319007","sales record")</f>
        <v>sales record</v>
      </c>
      <c r="AC7473" t="s">
        <v>3</v>
      </c>
      <c r="AD7473">
        <v>41.763128</v>
      </c>
      <c r="AE7473">
        <v>-88.043363</v>
      </c>
      <c r="AF7473" s="5" t="str">
        <f>HYPERLINK("https://www.google.com/maps/search/?api=1&amp;query=41.763128,-88.043363","map")</f>
        <v>map</v>
      </c>
    </row>
    <row r="7474" spans="1:32">
      <c r="A7474" t="s">
        <v>7524</v>
      </c>
      <c r="B7474" t="s">
        <v>14975</v>
      </c>
      <c r="C7474" t="s">
        <v>16187</v>
      </c>
      <c r="D7474" t="s">
        <v>16215</v>
      </c>
      <c r="E7474" t="s">
        <v>16218</v>
      </c>
      <c r="F7474" t="s">
        <v>16220</v>
      </c>
      <c r="G7474" t="s">
        <v>16299</v>
      </c>
      <c r="H7474" t="s">
        <v>16299</v>
      </c>
      <c r="I7474" t="s">
        <v>16382</v>
      </c>
      <c r="J7474" t="s">
        <v>16385</v>
      </c>
      <c r="K7474">
        <v>0.117</v>
      </c>
      <c r="L7474">
        <v>5102</v>
      </c>
      <c r="M7474">
        <v>1522</v>
      </c>
      <c r="N7474" t="s">
        <v>16393</v>
      </c>
      <c r="O7474" s="4">
        <v>54797</v>
      </c>
      <c r="P7474" s="4">
        <v>70124</v>
      </c>
      <c r="Q7474" s="4">
        <v>124921</v>
      </c>
      <c r="R7474" s="4">
        <v>374763</v>
      </c>
      <c r="S7474" t="s">
        <v>23618</v>
      </c>
      <c r="T7474" s="6">
        <v>45471</v>
      </c>
      <c r="U7474" s="4">
        <v>220000</v>
      </c>
      <c r="V7474" t="s">
        <v>23739</v>
      </c>
      <c r="W7474" t="s">
        <v>27799</v>
      </c>
      <c r="X7474" t="s">
        <v>3</v>
      </c>
      <c r="AA7474" s="5" t="str">
        <f>HYPERLINK("https://www.zillow.com/homes/3-PLOVER-CT-WOODRIDGE-IL-605171722_rb/","check listing")</f>
        <v>check listing</v>
      </c>
      <c r="AB7474" s="5" t="str">
        <f>HYPERLINK("https://propertylookup.dupagecounty.gov/Datalets/Datalet.aspx?UseSearch=no&amp;mode=sales&amp;pin=0824320008","sales record")</f>
        <v>sales record</v>
      </c>
      <c r="AC7474" t="s">
        <v>3</v>
      </c>
      <c r="AD7474">
        <v>41.762967</v>
      </c>
      <c r="AE7474">
        <v>-88.041685</v>
      </c>
      <c r="AF7474" s="5" t="str">
        <f>HYPERLINK("https://www.google.com/maps/search/?api=1&amp;query=41.762967,-88.041685","map")</f>
        <v>map</v>
      </c>
    </row>
    <row r="7475" spans="1:32">
      <c r="A7475" t="s">
        <v>7525</v>
      </c>
      <c r="B7475" t="s">
        <v>14976</v>
      </c>
      <c r="C7475" t="s">
        <v>15323</v>
      </c>
      <c r="D7475" t="s">
        <v>16215</v>
      </c>
      <c r="E7475" t="s">
        <v>16218</v>
      </c>
      <c r="F7475" t="s">
        <v>16220</v>
      </c>
      <c r="G7475" t="s">
        <v>16299</v>
      </c>
      <c r="H7475" t="s">
        <v>16299</v>
      </c>
      <c r="I7475" t="s">
        <v>16382</v>
      </c>
      <c r="J7475" t="s">
        <v>16385</v>
      </c>
      <c r="K7475">
        <v>0.117</v>
      </c>
      <c r="L7475">
        <v>5091</v>
      </c>
      <c r="M7475">
        <v>1176</v>
      </c>
      <c r="N7475" t="s">
        <v>16393</v>
      </c>
      <c r="O7475" s="4">
        <v>54797</v>
      </c>
      <c r="P7475" s="4">
        <v>62812</v>
      </c>
      <c r="Q7475" s="4">
        <v>117609</v>
      </c>
      <c r="R7475" s="4">
        <v>352827</v>
      </c>
      <c r="S7475" t="s">
        <v>23619</v>
      </c>
      <c r="T7475" s="6">
        <v>43313</v>
      </c>
      <c r="U7475" s="4">
        <v>249900</v>
      </c>
      <c r="V7475" t="s">
        <v>23739</v>
      </c>
      <c r="W7475" t="s">
        <v>27800</v>
      </c>
      <c r="X7475" t="s">
        <v>3</v>
      </c>
      <c r="AA7475" s="5" t="str">
        <f>HYPERLINK("https://www.zillow.com/homes/2349-GOLDFINCH-ST-WOODRIDGE-IL-60517_rb/","check listing")</f>
        <v>check listing</v>
      </c>
      <c r="AB7475" s="5" t="str">
        <f>HYPERLINK("https://propertylookup.dupagecounty.gov/Datalets/Datalet.aspx?UseSearch=no&amp;mode=sales&amp;pin=0824408013","sales record")</f>
        <v>sales record</v>
      </c>
      <c r="AC7475" t="s">
        <v>3</v>
      </c>
      <c r="AD7475">
        <v>41.76165</v>
      </c>
      <c r="AE7475">
        <v>-88.03799600000001</v>
      </c>
      <c r="AF7475" s="5" t="str">
        <f>HYPERLINK("https://www.google.com/maps/search/?api=1&amp;query=41.76165,-88.037996","map")</f>
        <v>map</v>
      </c>
    </row>
    <row r="7476" spans="1:32">
      <c r="A7476" t="s">
        <v>7526</v>
      </c>
      <c r="B7476" t="s">
        <v>14977</v>
      </c>
      <c r="C7476" t="s">
        <v>16177</v>
      </c>
      <c r="D7476" t="s">
        <v>16215</v>
      </c>
      <c r="E7476" t="s">
        <v>16218</v>
      </c>
      <c r="F7476" t="s">
        <v>16220</v>
      </c>
      <c r="G7476" t="s">
        <v>16299</v>
      </c>
      <c r="H7476" t="s">
        <v>16299</v>
      </c>
      <c r="I7476" t="s">
        <v>16382</v>
      </c>
      <c r="J7476" t="s">
        <v>16385</v>
      </c>
      <c r="K7476">
        <v>0.117</v>
      </c>
      <c r="L7476">
        <v>5086</v>
      </c>
      <c r="M7476">
        <v>1810</v>
      </c>
      <c r="N7476" t="s">
        <v>16393</v>
      </c>
      <c r="O7476" s="4">
        <v>54797</v>
      </c>
      <c r="P7476" s="4">
        <v>64976</v>
      </c>
      <c r="Q7476" s="4">
        <v>119773</v>
      </c>
      <c r="R7476" s="4">
        <v>359319</v>
      </c>
      <c r="S7476" t="s">
        <v>23620</v>
      </c>
      <c r="T7476" s="6">
        <v>44440</v>
      </c>
      <c r="U7476" s="4">
        <v>290000</v>
      </c>
      <c r="V7476" t="s">
        <v>23739</v>
      </c>
      <c r="W7476" t="s">
        <v>23620</v>
      </c>
      <c r="X7476" t="s">
        <v>3</v>
      </c>
      <c r="AA7476" s="5" t="str">
        <f>HYPERLINK("https://www.zillow.com/homes/2359-SUNNYDALE-DR-WOODRIDGE-IL-605171844_rb/","check listing")</f>
        <v>check listing</v>
      </c>
      <c r="AB7476" s="5" t="str">
        <f>HYPERLINK("https://propertylookup.dupagecounty.gov/Datalets/Datalet.aspx?UseSearch=no&amp;mode=sales&amp;pin=0824420008","sales record")</f>
        <v>sales record</v>
      </c>
      <c r="AC7476" t="s">
        <v>3</v>
      </c>
      <c r="AD7476">
        <v>41.760234</v>
      </c>
      <c r="AE7476">
        <v>-88.039055</v>
      </c>
      <c r="AF7476" s="5" t="str">
        <f>HYPERLINK("https://www.google.com/maps/search/?api=1&amp;query=41.760234,-88.039055","map")</f>
        <v>map</v>
      </c>
    </row>
    <row r="7477" spans="1:32">
      <c r="A7477" t="s">
        <v>7527</v>
      </c>
      <c r="B7477" t="s">
        <v>14978</v>
      </c>
      <c r="C7477" t="s">
        <v>15323</v>
      </c>
      <c r="D7477" t="s">
        <v>16215</v>
      </c>
      <c r="E7477" t="s">
        <v>16218</v>
      </c>
      <c r="F7477" t="s">
        <v>16220</v>
      </c>
      <c r="G7477" t="s">
        <v>16299</v>
      </c>
      <c r="H7477" t="s">
        <v>16299</v>
      </c>
      <c r="I7477" t="s">
        <v>16382</v>
      </c>
      <c r="J7477" t="s">
        <v>16385</v>
      </c>
      <c r="K7477">
        <v>0.117</v>
      </c>
      <c r="L7477">
        <v>5079</v>
      </c>
      <c r="M7477">
        <v>798</v>
      </c>
      <c r="N7477" t="s">
        <v>16393</v>
      </c>
      <c r="O7477" s="4">
        <v>54797</v>
      </c>
      <c r="P7477" s="4">
        <v>56628</v>
      </c>
      <c r="Q7477" s="4">
        <v>111425</v>
      </c>
      <c r="R7477" s="4">
        <v>334275</v>
      </c>
      <c r="S7477" t="s">
        <v>23621</v>
      </c>
      <c r="T7477" s="6">
        <v>43405</v>
      </c>
      <c r="U7477" s="4">
        <v>219000</v>
      </c>
      <c r="V7477" t="s">
        <v>23739</v>
      </c>
      <c r="W7477" t="s">
        <v>23621</v>
      </c>
      <c r="X7477" t="s">
        <v>3</v>
      </c>
      <c r="AA7477" s="5" t="str">
        <f>HYPERLINK("https://www.zillow.com/homes/2390-VISTA-DR-WOODRIDGE-IL-60517_rb/","check listing")</f>
        <v>check listing</v>
      </c>
      <c r="AB7477" s="5" t="str">
        <f>HYPERLINK("https://propertylookup.dupagecounty.gov/Datalets/Datalet.aspx?UseSearch=no&amp;mode=sales&amp;pin=0824408021","sales record")</f>
        <v>sales record</v>
      </c>
      <c r="AC7477" t="s">
        <v>3</v>
      </c>
      <c r="AD7477">
        <v>41.761336</v>
      </c>
      <c r="AE7477">
        <v>-88.039648</v>
      </c>
      <c r="AF7477" s="5" t="str">
        <f>HYPERLINK("https://www.google.com/maps/search/?api=1&amp;query=41.761336,-88.039648","map")</f>
        <v>map</v>
      </c>
    </row>
    <row r="7478" spans="1:32">
      <c r="A7478" t="s">
        <v>7528</v>
      </c>
      <c r="B7478" t="s">
        <v>14979</v>
      </c>
      <c r="C7478" t="s">
        <v>16168</v>
      </c>
      <c r="D7478" t="s">
        <v>16215</v>
      </c>
      <c r="E7478" t="s">
        <v>16218</v>
      </c>
      <c r="F7478" t="s">
        <v>16220</v>
      </c>
      <c r="G7478" t="s">
        <v>16299</v>
      </c>
      <c r="H7478" t="s">
        <v>16299</v>
      </c>
      <c r="I7478" t="s">
        <v>16382</v>
      </c>
      <c r="J7478" t="s">
        <v>16385</v>
      </c>
      <c r="K7478">
        <v>0.116</v>
      </c>
      <c r="L7478">
        <v>5074</v>
      </c>
      <c r="M7478">
        <v>954</v>
      </c>
      <c r="N7478" t="s">
        <v>16393</v>
      </c>
      <c r="O7478" s="4">
        <v>54797</v>
      </c>
      <c r="P7478" s="4">
        <v>60125</v>
      </c>
      <c r="Q7478" s="4">
        <v>114922</v>
      </c>
      <c r="R7478" s="4">
        <v>344766</v>
      </c>
      <c r="S7478" t="s">
        <v>23622</v>
      </c>
      <c r="T7478" s="6">
        <v>42522</v>
      </c>
      <c r="U7478" s="4">
        <v>220000</v>
      </c>
      <c r="V7478" t="s">
        <v>23739</v>
      </c>
      <c r="W7478" t="s">
        <v>27801</v>
      </c>
      <c r="X7478" t="s">
        <v>3</v>
      </c>
      <c r="AA7478" s="5" t="str">
        <f>HYPERLINK("https://www.zillow.com/homes/2388-GOLDFINCH-ST-WOODRIDGE-IL-605171856_rb/","check listing")</f>
        <v>check listing</v>
      </c>
      <c r="AB7478" s="5" t="str">
        <f>HYPERLINK("https://propertylookup.dupagecounty.gov/Datalets/Datalet.aspx?UseSearch=no&amp;mode=sales&amp;pin=0824407009","sales record")</f>
        <v>sales record</v>
      </c>
      <c r="AC7478" t="s">
        <v>3</v>
      </c>
      <c r="AD7478">
        <v>41.762019</v>
      </c>
      <c r="AE7478">
        <v>-88.039991</v>
      </c>
      <c r="AF7478" s="5" t="str">
        <f>HYPERLINK("https://www.google.com/maps/search/?api=1&amp;query=41.762019,-88.039991","map")</f>
        <v>map</v>
      </c>
    </row>
    <row r="7479" spans="1:32">
      <c r="A7479" t="s">
        <v>7529</v>
      </c>
      <c r="B7479" t="s">
        <v>14980</v>
      </c>
      <c r="C7479" t="s">
        <v>16161</v>
      </c>
      <c r="D7479" t="s">
        <v>16215</v>
      </c>
      <c r="E7479" t="s">
        <v>16218</v>
      </c>
      <c r="F7479" t="s">
        <v>16220</v>
      </c>
      <c r="G7479" t="s">
        <v>16299</v>
      </c>
      <c r="H7479" t="s">
        <v>16299</v>
      </c>
      <c r="I7479" t="s">
        <v>16382</v>
      </c>
      <c r="J7479" t="s">
        <v>16385</v>
      </c>
      <c r="K7479">
        <v>0.116</v>
      </c>
      <c r="L7479">
        <v>5061</v>
      </c>
      <c r="M7479">
        <v>1513</v>
      </c>
      <c r="N7479" t="s">
        <v>16393</v>
      </c>
      <c r="O7479" s="4">
        <v>54797</v>
      </c>
      <c r="P7479" s="4">
        <v>54809</v>
      </c>
      <c r="Q7479" s="4">
        <v>109606</v>
      </c>
      <c r="R7479" s="4">
        <v>328818</v>
      </c>
      <c r="S7479" t="s">
        <v>23623</v>
      </c>
      <c r="T7479" s="6">
        <v>44501</v>
      </c>
      <c r="U7479" s="4">
        <v>251000</v>
      </c>
      <c r="V7479" t="s">
        <v>23739</v>
      </c>
      <c r="W7479" t="s">
        <v>23623</v>
      </c>
      <c r="X7479" t="s">
        <v>3</v>
      </c>
      <c r="AA7479" s="5" t="str">
        <f>HYPERLINK("https://www.zillow.com/homes/3-ORIOLE-CT-WOODRIDGE-IL-605171851_rb/","check listing")</f>
        <v>check listing</v>
      </c>
      <c r="AB7479" s="5" t="str">
        <f>HYPERLINK("https://propertylookup.dupagecounty.gov/Datalets/Datalet.aspx?UseSearch=no&amp;mode=sales&amp;pin=0824319030","sales record")</f>
        <v>sales record</v>
      </c>
      <c r="AC7479" t="s">
        <v>3</v>
      </c>
      <c r="AD7479">
        <v>41.762027</v>
      </c>
      <c r="AE7479">
        <v>-88.04200299999999</v>
      </c>
      <c r="AF7479" s="5" t="str">
        <f>HYPERLINK("https://www.google.com/maps/search/?api=1&amp;query=41.762027,-88.042003","map")</f>
        <v>map</v>
      </c>
    </row>
    <row r="7480" spans="1:32">
      <c r="A7480" t="s">
        <v>7530</v>
      </c>
      <c r="B7480" t="s">
        <v>14981</v>
      </c>
      <c r="C7480" t="s">
        <v>16165</v>
      </c>
      <c r="D7480" t="s">
        <v>16215</v>
      </c>
      <c r="E7480" t="s">
        <v>16218</v>
      </c>
      <c r="F7480" t="s">
        <v>16220</v>
      </c>
      <c r="G7480" t="s">
        <v>16299</v>
      </c>
      <c r="H7480" t="s">
        <v>16299</v>
      </c>
      <c r="I7480" t="s">
        <v>16382</v>
      </c>
      <c r="J7480" t="s">
        <v>16385</v>
      </c>
      <c r="K7480">
        <v>0.116</v>
      </c>
      <c r="L7480">
        <v>5049</v>
      </c>
      <c r="M7480">
        <v>1928</v>
      </c>
      <c r="N7480" t="s">
        <v>16393</v>
      </c>
      <c r="O7480" s="4">
        <v>54797</v>
      </c>
      <c r="P7480" s="4">
        <v>57556</v>
      </c>
      <c r="Q7480" s="4">
        <v>112353</v>
      </c>
      <c r="R7480" s="4">
        <v>337059</v>
      </c>
      <c r="S7480" t="s">
        <v>23624</v>
      </c>
      <c r="T7480" s="6">
        <v>44531</v>
      </c>
      <c r="U7480" s="4">
        <v>185000</v>
      </c>
      <c r="V7480" t="s">
        <v>23739</v>
      </c>
      <c r="W7480" t="s">
        <v>23624</v>
      </c>
      <c r="X7480" t="s">
        <v>3</v>
      </c>
      <c r="AA7480" s="5" t="str">
        <f>HYPERLINK("https://www.zillow.com/homes/2386-VISTA-DR-WOODRIDGE-IL-605171841_rb/","check listing")</f>
        <v>check listing</v>
      </c>
      <c r="AB7480" s="5" t="str">
        <f>HYPERLINK("https://propertylookup.dupagecounty.gov/Datalets/Datalet.aspx?UseSearch=no&amp;mode=sales&amp;pin=0824408022","sales record")</f>
        <v>sales record</v>
      </c>
      <c r="AC7480" t="s">
        <v>3</v>
      </c>
      <c r="AD7480">
        <v>41.761341</v>
      </c>
      <c r="AE7480">
        <v>-88.03946500000001</v>
      </c>
      <c r="AF7480" s="5" t="str">
        <f>HYPERLINK("https://www.google.com/maps/search/?api=1&amp;query=41.761341,-88.039465","map")</f>
        <v>map</v>
      </c>
    </row>
    <row r="7481" spans="1:32">
      <c r="A7481" t="s">
        <v>7531</v>
      </c>
      <c r="B7481" t="s">
        <v>14982</v>
      </c>
      <c r="C7481" t="s">
        <v>15323</v>
      </c>
      <c r="D7481" t="s">
        <v>16215</v>
      </c>
      <c r="E7481" t="s">
        <v>16218</v>
      </c>
      <c r="F7481" t="s">
        <v>16220</v>
      </c>
      <c r="G7481" t="s">
        <v>16299</v>
      </c>
      <c r="H7481" t="s">
        <v>16299</v>
      </c>
      <c r="I7481" t="s">
        <v>16382</v>
      </c>
      <c r="J7481" t="s">
        <v>16385</v>
      </c>
      <c r="K7481">
        <v>0.116</v>
      </c>
      <c r="L7481">
        <v>5048</v>
      </c>
      <c r="M7481">
        <v>1247</v>
      </c>
      <c r="N7481" t="s">
        <v>16393</v>
      </c>
      <c r="O7481" s="4">
        <v>54797</v>
      </c>
      <c r="P7481" s="4">
        <v>56961</v>
      </c>
      <c r="Q7481" s="4">
        <v>111758</v>
      </c>
      <c r="R7481" s="4">
        <v>335274</v>
      </c>
      <c r="S7481" t="s">
        <v>23625</v>
      </c>
      <c r="T7481" s="6">
        <v>41275</v>
      </c>
      <c r="U7481" s="4">
        <v>145000</v>
      </c>
      <c r="V7481" t="s">
        <v>23739</v>
      </c>
      <c r="W7481" t="s">
        <v>27802</v>
      </c>
      <c r="X7481" t="s">
        <v>3</v>
      </c>
      <c r="AA7481" s="5" t="str">
        <f>HYPERLINK("https://www.zillow.com/homes/2342-VISTA-DR-WOODRIDGE-IL-60517_rb/","check listing")</f>
        <v>check listing</v>
      </c>
      <c r="AB7481" s="5" t="str">
        <f>HYPERLINK("https://propertylookup.dupagecounty.gov/Datalets/Datalet.aspx?UseSearch=no&amp;mode=sales&amp;pin=0824408033","sales record")</f>
        <v>sales record</v>
      </c>
      <c r="AC7481" t="s">
        <v>3</v>
      </c>
      <c r="AD7481">
        <v>41.761389</v>
      </c>
      <c r="AE7481">
        <v>-88.03743299999999</v>
      </c>
      <c r="AF7481" s="5" t="str">
        <f>HYPERLINK("https://www.google.com/maps/search/?api=1&amp;query=41.761389,-88.037433","map")</f>
        <v>map</v>
      </c>
    </row>
    <row r="7482" spans="1:32">
      <c r="A7482" t="s">
        <v>7532</v>
      </c>
      <c r="B7482" t="s">
        <v>14983</v>
      </c>
      <c r="C7482" t="s">
        <v>15323</v>
      </c>
      <c r="D7482" t="s">
        <v>16215</v>
      </c>
      <c r="E7482" t="s">
        <v>16218</v>
      </c>
      <c r="F7482" t="s">
        <v>16220</v>
      </c>
      <c r="G7482" t="s">
        <v>16299</v>
      </c>
      <c r="H7482" t="s">
        <v>16299</v>
      </c>
      <c r="I7482" t="s">
        <v>16382</v>
      </c>
      <c r="J7482" t="s">
        <v>16385</v>
      </c>
      <c r="K7482">
        <v>0.116</v>
      </c>
      <c r="L7482">
        <v>5043</v>
      </c>
      <c r="M7482">
        <v>1512</v>
      </c>
      <c r="N7482" t="s">
        <v>16393</v>
      </c>
      <c r="O7482" s="4">
        <v>54797</v>
      </c>
      <c r="P7482" s="4">
        <v>64096</v>
      </c>
      <c r="Q7482" s="4">
        <v>118893</v>
      </c>
      <c r="R7482" s="4">
        <v>356679</v>
      </c>
      <c r="S7482" t="s">
        <v>23626</v>
      </c>
      <c r="T7482" s="6">
        <v>36465</v>
      </c>
      <c r="U7482" s="4">
        <v>153000</v>
      </c>
      <c r="X7482" t="s">
        <v>3</v>
      </c>
      <c r="AA7482" s="5" t="str">
        <f>HYPERLINK("https://www.zillow.com/homes/2382-VISTA-DR-WOODRIDGE-IL-60517_rb/","check listing")</f>
        <v>check listing</v>
      </c>
      <c r="AB7482" s="5" t="str">
        <f>HYPERLINK("https://propertylookup.dupagecounty.gov/Datalets/Datalet.aspx?UseSearch=no&amp;mode=sales&amp;pin=0824408023","sales record")</f>
        <v>sales record</v>
      </c>
      <c r="AC7482" t="s">
        <v>3</v>
      </c>
      <c r="AD7482">
        <v>41.761341</v>
      </c>
      <c r="AE7482">
        <v>-88.039281</v>
      </c>
      <c r="AF7482" s="5" t="str">
        <f>HYPERLINK("https://www.google.com/maps/search/?api=1&amp;query=41.761341,-88.039281","map")</f>
        <v>map</v>
      </c>
    </row>
    <row r="7483" spans="1:32">
      <c r="A7483" t="s">
        <v>7533</v>
      </c>
      <c r="B7483" t="s">
        <v>14984</v>
      </c>
      <c r="C7483" t="s">
        <v>16165</v>
      </c>
      <c r="D7483" t="s">
        <v>16215</v>
      </c>
      <c r="E7483" t="s">
        <v>16218</v>
      </c>
      <c r="F7483" t="s">
        <v>16220</v>
      </c>
      <c r="G7483" t="s">
        <v>16299</v>
      </c>
      <c r="H7483" t="s">
        <v>16299</v>
      </c>
      <c r="I7483" t="s">
        <v>16382</v>
      </c>
      <c r="J7483" t="s">
        <v>16385</v>
      </c>
      <c r="K7483">
        <v>0.116</v>
      </c>
      <c r="L7483">
        <v>5034</v>
      </c>
      <c r="M7483">
        <v>1635</v>
      </c>
      <c r="N7483" t="s">
        <v>16393</v>
      </c>
      <c r="O7483" s="4">
        <v>54797</v>
      </c>
      <c r="P7483" s="4">
        <v>55915</v>
      </c>
      <c r="Q7483" s="4">
        <v>110712</v>
      </c>
      <c r="R7483" s="4">
        <v>332136</v>
      </c>
      <c r="S7483" t="s">
        <v>23627</v>
      </c>
      <c r="T7483" s="6">
        <v>45652</v>
      </c>
      <c r="U7483" s="4">
        <v>288000</v>
      </c>
      <c r="V7483" t="s">
        <v>16232</v>
      </c>
      <c r="W7483" t="s">
        <v>27803</v>
      </c>
      <c r="X7483" t="s">
        <v>3</v>
      </c>
      <c r="AA7483" s="5" t="str">
        <f>HYPERLINK("https://www.zillow.com/homes/2370-VISTA-DR-WOODRIDGE-IL-605171841_rb/","check listing")</f>
        <v>check listing</v>
      </c>
      <c r="AB7483" s="5" t="str">
        <f>HYPERLINK("https://propertylookup.dupagecounty.gov/Datalets/Datalet.aspx?UseSearch=no&amp;mode=sales&amp;pin=0824408026","sales record")</f>
        <v>sales record</v>
      </c>
      <c r="AC7483" t="s">
        <v>3</v>
      </c>
      <c r="AD7483">
        <v>41.761352</v>
      </c>
      <c r="AE7483">
        <v>-88.038732</v>
      </c>
      <c r="AF7483" s="5" t="str">
        <f>HYPERLINK("https://www.google.com/maps/search/?api=1&amp;query=41.761352,-88.038732","map")</f>
        <v>map</v>
      </c>
    </row>
    <row r="7484" spans="1:32">
      <c r="A7484" t="s">
        <v>7534</v>
      </c>
      <c r="B7484" t="s">
        <v>14985</v>
      </c>
      <c r="C7484" t="s">
        <v>15323</v>
      </c>
      <c r="D7484" t="s">
        <v>16215</v>
      </c>
      <c r="E7484" t="s">
        <v>16218</v>
      </c>
      <c r="F7484" t="s">
        <v>16220</v>
      </c>
      <c r="G7484" t="s">
        <v>16299</v>
      </c>
      <c r="H7484" t="s">
        <v>16299</v>
      </c>
      <c r="I7484" t="s">
        <v>16382</v>
      </c>
      <c r="J7484" t="s">
        <v>16385</v>
      </c>
      <c r="K7484">
        <v>0.116</v>
      </c>
      <c r="L7484">
        <v>5033</v>
      </c>
      <c r="M7484">
        <v>1081</v>
      </c>
      <c r="N7484" t="s">
        <v>16393</v>
      </c>
      <c r="O7484" s="4">
        <v>54797</v>
      </c>
      <c r="P7484" s="4">
        <v>61730</v>
      </c>
      <c r="Q7484" s="4">
        <v>116527</v>
      </c>
      <c r="R7484" s="4">
        <v>349581</v>
      </c>
      <c r="S7484" t="s">
        <v>23628</v>
      </c>
      <c r="T7484" s="6">
        <v>29252</v>
      </c>
      <c r="U7484" s="4">
        <v>69000</v>
      </c>
      <c r="X7484" t="s">
        <v>3</v>
      </c>
      <c r="AA7484" s="5" t="str">
        <f>HYPERLINK("https://www.zillow.com/homes/2374-VISTA-DR-WOODRIDGE-IL-60517_rb/","check listing")</f>
        <v>check listing</v>
      </c>
      <c r="AB7484" s="5" t="str">
        <f>HYPERLINK("https://propertylookup.dupagecounty.gov/Datalets/Datalet.aspx?UseSearch=no&amp;mode=sales&amp;pin=0824408025","sales record")</f>
        <v>sales record</v>
      </c>
      <c r="AC7484" t="s">
        <v>3</v>
      </c>
      <c r="AD7484">
        <v>41.761348</v>
      </c>
      <c r="AE7484">
        <v>-88.038915</v>
      </c>
      <c r="AF7484" s="5" t="str">
        <f>HYPERLINK("https://www.google.com/maps/search/?api=1&amp;query=41.761348,-88.038915","map")</f>
        <v>map</v>
      </c>
    </row>
    <row r="7485" spans="1:32">
      <c r="A7485" t="s">
        <v>7535</v>
      </c>
      <c r="B7485" t="s">
        <v>14986</v>
      </c>
      <c r="C7485" t="s">
        <v>16154</v>
      </c>
      <c r="D7485" t="s">
        <v>16215</v>
      </c>
      <c r="E7485" t="s">
        <v>16218</v>
      </c>
      <c r="F7485" t="s">
        <v>16220</v>
      </c>
      <c r="G7485" t="s">
        <v>16299</v>
      </c>
      <c r="H7485" t="s">
        <v>16299</v>
      </c>
      <c r="I7485" t="s">
        <v>16382</v>
      </c>
      <c r="J7485" t="s">
        <v>16385</v>
      </c>
      <c r="K7485">
        <v>0.116</v>
      </c>
      <c r="L7485">
        <v>5033</v>
      </c>
      <c r="M7485">
        <v>1555</v>
      </c>
      <c r="N7485" t="s">
        <v>16393</v>
      </c>
      <c r="O7485" s="4">
        <v>54797</v>
      </c>
      <c r="P7485" s="4">
        <v>54809</v>
      </c>
      <c r="Q7485" s="4">
        <v>109606</v>
      </c>
      <c r="R7485" s="4">
        <v>328818</v>
      </c>
      <c r="S7485" t="s">
        <v>23629</v>
      </c>
      <c r="T7485" s="6">
        <v>43525</v>
      </c>
      <c r="U7485" s="4">
        <v>219000</v>
      </c>
      <c r="V7485" t="s">
        <v>23739</v>
      </c>
      <c r="W7485" t="s">
        <v>17918</v>
      </c>
      <c r="X7485" t="s">
        <v>3</v>
      </c>
      <c r="AA7485" s="5" t="str">
        <f>HYPERLINK("https://www.zillow.com/homes/6836-RED-WING-DR-WOODRIDGE-IL-605171845_rb/","check listing")</f>
        <v>check listing</v>
      </c>
      <c r="AB7485" s="5" t="str">
        <f>HYPERLINK("https://propertylookup.dupagecounty.gov/Datalets/Datalet.aspx?UseSearch=no&amp;mode=sales&amp;pin=0824406014","sales record")</f>
        <v>sales record</v>
      </c>
      <c r="AC7485" t="s">
        <v>3</v>
      </c>
      <c r="AD7485">
        <v>41.762707</v>
      </c>
      <c r="AE7485">
        <v>-88.038408</v>
      </c>
      <c r="AF7485" s="5" t="str">
        <f>HYPERLINK("https://www.google.com/maps/search/?api=1&amp;query=41.762707,-88.038408","map")</f>
        <v>map</v>
      </c>
    </row>
    <row r="7486" spans="1:32">
      <c r="A7486" t="s">
        <v>7536</v>
      </c>
      <c r="B7486" t="s">
        <v>14987</v>
      </c>
      <c r="C7486" t="s">
        <v>16181</v>
      </c>
      <c r="D7486" t="s">
        <v>16215</v>
      </c>
      <c r="E7486" t="s">
        <v>16218</v>
      </c>
      <c r="F7486" t="s">
        <v>16220</v>
      </c>
      <c r="G7486" t="s">
        <v>16299</v>
      </c>
      <c r="H7486" t="s">
        <v>16299</v>
      </c>
      <c r="I7486" t="s">
        <v>16382</v>
      </c>
      <c r="J7486" t="s">
        <v>16385</v>
      </c>
      <c r="K7486">
        <v>0.115</v>
      </c>
      <c r="L7486">
        <v>5031</v>
      </c>
      <c r="M7486">
        <v>1628</v>
      </c>
      <c r="N7486" t="s">
        <v>16393</v>
      </c>
      <c r="O7486" s="4">
        <v>54797</v>
      </c>
      <c r="P7486" s="4">
        <v>58198</v>
      </c>
      <c r="Q7486" s="4">
        <v>112995</v>
      </c>
      <c r="R7486" s="4">
        <v>338985</v>
      </c>
      <c r="S7486" t="s">
        <v>23630</v>
      </c>
      <c r="T7486" s="6">
        <v>43252</v>
      </c>
      <c r="U7486" s="4">
        <v>160000</v>
      </c>
      <c r="V7486" t="s">
        <v>23740</v>
      </c>
      <c r="W7486" t="s">
        <v>23630</v>
      </c>
      <c r="X7486" t="s">
        <v>3</v>
      </c>
      <c r="AA7486" s="5" t="str">
        <f>HYPERLINK("https://www.zillow.com/homes/4-WREN-CT-WOODRIDGE-IL-605171838_rb/","check listing")</f>
        <v>check listing</v>
      </c>
      <c r="AB7486" s="5" t="str">
        <f>HYPERLINK("https://propertylookup.dupagecounty.gov/Datalets/Datalet.aspx?UseSearch=no&amp;mode=sales&amp;pin=0824405011","sales record")</f>
        <v>sales record</v>
      </c>
      <c r="AC7486" t="s">
        <v>3</v>
      </c>
      <c r="AD7486">
        <v>41.763481</v>
      </c>
      <c r="AE7486">
        <v>-88.039584</v>
      </c>
      <c r="AF7486" s="5" t="str">
        <f>HYPERLINK("https://www.google.com/maps/search/?api=1&amp;query=41.763481,-88.039584","map")</f>
        <v>map</v>
      </c>
    </row>
    <row r="7487" spans="1:32">
      <c r="A7487" t="s">
        <v>7537</v>
      </c>
      <c r="B7487" t="s">
        <v>14988</v>
      </c>
      <c r="C7487" t="s">
        <v>16165</v>
      </c>
      <c r="D7487" t="s">
        <v>16215</v>
      </c>
      <c r="E7487" t="s">
        <v>16218</v>
      </c>
      <c r="F7487" t="s">
        <v>16220</v>
      </c>
      <c r="G7487" t="s">
        <v>16299</v>
      </c>
      <c r="H7487" t="s">
        <v>16299</v>
      </c>
      <c r="I7487" t="s">
        <v>16382</v>
      </c>
      <c r="J7487" t="s">
        <v>16385</v>
      </c>
      <c r="K7487">
        <v>0.115</v>
      </c>
      <c r="L7487">
        <v>5031</v>
      </c>
      <c r="M7487">
        <v>1152</v>
      </c>
      <c r="N7487" t="s">
        <v>16393</v>
      </c>
      <c r="O7487" s="4">
        <v>54619</v>
      </c>
      <c r="P7487" s="4">
        <v>72218</v>
      </c>
      <c r="Q7487" s="4">
        <v>126837</v>
      </c>
      <c r="R7487" s="4">
        <v>380511</v>
      </c>
      <c r="S7487" t="s">
        <v>23631</v>
      </c>
      <c r="T7487" s="6">
        <v>44882</v>
      </c>
      <c r="U7487" s="4">
        <v>368500</v>
      </c>
      <c r="V7487" t="s">
        <v>23739</v>
      </c>
      <c r="W7487" t="s">
        <v>27804</v>
      </c>
      <c r="X7487" t="s">
        <v>3</v>
      </c>
      <c r="AA7487" s="5" t="str">
        <f>HYPERLINK("https://www.zillow.com/homes/2366-VISTA-DR-WOODRIDGE-IL-605171841_rb/","check listing")</f>
        <v>check listing</v>
      </c>
      <c r="AB7487" s="5" t="str">
        <f>HYPERLINK("https://propertylookup.dupagecounty.gov/Datalets/Datalet.aspx?UseSearch=no&amp;mode=sales&amp;pin=0824408027","sales record")</f>
        <v>sales record</v>
      </c>
      <c r="AC7487" t="s">
        <v>3</v>
      </c>
      <c r="AD7487">
        <v>41.761357</v>
      </c>
      <c r="AE7487">
        <v>-88.038549</v>
      </c>
      <c r="AF7487" s="5" t="str">
        <f>HYPERLINK("https://www.google.com/maps/search/?api=1&amp;query=41.761357,-88.038549","map")</f>
        <v>map</v>
      </c>
    </row>
    <row r="7488" spans="1:32">
      <c r="A7488" t="s">
        <v>7538</v>
      </c>
      <c r="B7488" t="s">
        <v>14989</v>
      </c>
      <c r="C7488" t="s">
        <v>15323</v>
      </c>
      <c r="D7488" t="s">
        <v>16215</v>
      </c>
      <c r="E7488" t="s">
        <v>16218</v>
      </c>
      <c r="F7488" t="s">
        <v>16220</v>
      </c>
      <c r="G7488" t="s">
        <v>16299</v>
      </c>
      <c r="H7488" t="s">
        <v>16299</v>
      </c>
      <c r="I7488" t="s">
        <v>16382</v>
      </c>
      <c r="J7488" t="s">
        <v>16385</v>
      </c>
      <c r="K7488">
        <v>0.115</v>
      </c>
      <c r="L7488">
        <v>5031</v>
      </c>
      <c r="M7488">
        <v>1015</v>
      </c>
      <c r="N7488" t="s">
        <v>16393</v>
      </c>
      <c r="O7488" s="4">
        <v>54797</v>
      </c>
      <c r="P7488" s="4">
        <v>63762</v>
      </c>
      <c r="Q7488" s="4">
        <v>118559</v>
      </c>
      <c r="R7488" s="4">
        <v>355677</v>
      </c>
      <c r="S7488" t="s">
        <v>23632</v>
      </c>
      <c r="T7488" s="6">
        <v>36069</v>
      </c>
      <c r="U7488" s="4">
        <v>144000</v>
      </c>
      <c r="X7488" t="s">
        <v>3</v>
      </c>
      <c r="AA7488" s="5" t="str">
        <f>HYPERLINK("https://www.zillow.com/homes/2375-SUNNYDALE-DR-WOODRIDGE-IL-60517_rb/","check listing")</f>
        <v>check listing</v>
      </c>
      <c r="AB7488" s="5" t="str">
        <f>HYPERLINK("https://propertylookup.dupagecounty.gov/Datalets/Datalet.aspx?UseSearch=no&amp;mode=sales&amp;pin=0824420004","sales record")</f>
        <v>sales record</v>
      </c>
      <c r="AC7488" t="s">
        <v>3</v>
      </c>
      <c r="AD7488">
        <v>41.760524</v>
      </c>
      <c r="AE7488">
        <v>-88.03966200000001</v>
      </c>
      <c r="AF7488" s="5" t="str">
        <f>HYPERLINK("https://www.google.com/maps/search/?api=1&amp;query=41.760524,-88.039662","map")</f>
        <v>map</v>
      </c>
    </row>
    <row r="7489" spans="1:32">
      <c r="A7489" t="s">
        <v>7539</v>
      </c>
      <c r="B7489" t="s">
        <v>14990</v>
      </c>
      <c r="C7489" t="s">
        <v>16165</v>
      </c>
      <c r="D7489" t="s">
        <v>16215</v>
      </c>
      <c r="E7489" t="s">
        <v>16218</v>
      </c>
      <c r="F7489" t="s">
        <v>16220</v>
      </c>
      <c r="G7489" t="s">
        <v>16299</v>
      </c>
      <c r="H7489" t="s">
        <v>16299</v>
      </c>
      <c r="I7489" t="s">
        <v>16382</v>
      </c>
      <c r="J7489" t="s">
        <v>16385</v>
      </c>
      <c r="K7489">
        <v>0.115</v>
      </c>
      <c r="L7489">
        <v>5028</v>
      </c>
      <c r="M7489">
        <v>1583</v>
      </c>
      <c r="N7489" t="s">
        <v>16393</v>
      </c>
      <c r="O7489" s="4">
        <v>54797</v>
      </c>
      <c r="P7489" s="4">
        <v>54797</v>
      </c>
      <c r="Q7489" s="4">
        <v>109594</v>
      </c>
      <c r="R7489" s="4">
        <v>328782</v>
      </c>
      <c r="S7489" t="s">
        <v>18431</v>
      </c>
      <c r="T7489" s="6">
        <v>41365</v>
      </c>
      <c r="U7489" s="4">
        <v>112500</v>
      </c>
      <c r="V7489" t="s">
        <v>16232</v>
      </c>
      <c r="W7489" t="s">
        <v>24735</v>
      </c>
      <c r="X7489" t="s">
        <v>3</v>
      </c>
      <c r="AA7489" s="5" t="str">
        <f>HYPERLINK("https://www.zillow.com/homes/2350-VISTA-DR-WOODRIDGE-IL-605171841_rb/","check listing")</f>
        <v>check listing</v>
      </c>
      <c r="AB7489" s="5" t="str">
        <f>HYPERLINK("https://propertylookup.dupagecounty.gov/Datalets/Datalet.aspx?UseSearch=no&amp;mode=sales&amp;pin=0824408031","sales record")</f>
        <v>sales record</v>
      </c>
      <c r="AC7489" t="s">
        <v>3</v>
      </c>
      <c r="AD7489">
        <v>41.761376</v>
      </c>
      <c r="AE7489">
        <v>-88.0378</v>
      </c>
      <c r="AF7489" s="5" t="str">
        <f>HYPERLINK("https://www.google.com/maps/search/?api=1&amp;query=41.761376,-88.0378","map")</f>
        <v>map</v>
      </c>
    </row>
    <row r="7490" spans="1:32">
      <c r="A7490" t="s">
        <v>7540</v>
      </c>
      <c r="B7490" t="s">
        <v>14991</v>
      </c>
      <c r="C7490" t="s">
        <v>15323</v>
      </c>
      <c r="D7490" t="s">
        <v>16215</v>
      </c>
      <c r="E7490" t="s">
        <v>16218</v>
      </c>
      <c r="F7490" t="s">
        <v>16220</v>
      </c>
      <c r="G7490" t="s">
        <v>16299</v>
      </c>
      <c r="H7490" t="s">
        <v>16299</v>
      </c>
      <c r="I7490" t="s">
        <v>16382</v>
      </c>
      <c r="J7490" t="s">
        <v>16385</v>
      </c>
      <c r="K7490">
        <v>0.115</v>
      </c>
      <c r="L7490">
        <v>5027</v>
      </c>
      <c r="M7490">
        <v>1256</v>
      </c>
      <c r="N7490" t="s">
        <v>16393</v>
      </c>
      <c r="O7490" s="4">
        <v>54797</v>
      </c>
      <c r="P7490" s="4">
        <v>63704</v>
      </c>
      <c r="Q7490" s="4">
        <v>118501</v>
      </c>
      <c r="R7490" s="4">
        <v>355503</v>
      </c>
      <c r="S7490" t="s">
        <v>23633</v>
      </c>
      <c r="T7490" s="6">
        <v>38169</v>
      </c>
      <c r="U7490" s="4">
        <v>230000</v>
      </c>
      <c r="V7490" t="s">
        <v>23739</v>
      </c>
      <c r="W7490" t="s">
        <v>27805</v>
      </c>
      <c r="X7490" t="s">
        <v>3</v>
      </c>
      <c r="AA7490" s="5" t="str">
        <f>HYPERLINK("https://www.zillow.com/homes/2362-VISTA-DR-WOODRIDGE-IL-60517_rb/","check listing")</f>
        <v>check listing</v>
      </c>
      <c r="AB7490" s="5" t="str">
        <f>HYPERLINK("https://propertylookup.dupagecounty.gov/Datalets/Datalet.aspx?UseSearch=no&amp;mode=sales&amp;pin=0824408028","sales record")</f>
        <v>sales record</v>
      </c>
      <c r="AC7490" t="s">
        <v>3</v>
      </c>
      <c r="AD7490">
        <v>41.761362</v>
      </c>
      <c r="AE7490">
        <v>-88.038365</v>
      </c>
      <c r="AF7490" s="5" t="str">
        <f>HYPERLINK("https://www.google.com/maps/search/?api=1&amp;query=41.761362,-88.038365","map")</f>
        <v>map</v>
      </c>
    </row>
    <row r="7491" spans="1:32">
      <c r="A7491" t="s">
        <v>7541</v>
      </c>
      <c r="B7491" t="s">
        <v>14992</v>
      </c>
      <c r="C7491" t="s">
        <v>15323</v>
      </c>
      <c r="D7491" t="s">
        <v>16215</v>
      </c>
      <c r="E7491" t="s">
        <v>16218</v>
      </c>
      <c r="F7491" t="s">
        <v>16220</v>
      </c>
      <c r="G7491" t="s">
        <v>16299</v>
      </c>
      <c r="H7491" t="s">
        <v>16299</v>
      </c>
      <c r="I7491" t="s">
        <v>16382</v>
      </c>
      <c r="J7491" t="s">
        <v>16385</v>
      </c>
      <c r="K7491">
        <v>0.115</v>
      </c>
      <c r="L7491">
        <v>5016</v>
      </c>
      <c r="M7491">
        <v>1235</v>
      </c>
      <c r="N7491" t="s">
        <v>16393</v>
      </c>
      <c r="O7491" s="4">
        <v>54797</v>
      </c>
      <c r="P7491" s="4">
        <v>59232</v>
      </c>
      <c r="Q7491" s="4">
        <v>114029</v>
      </c>
      <c r="R7491" s="4">
        <v>342087</v>
      </c>
      <c r="S7491" t="s">
        <v>23634</v>
      </c>
      <c r="T7491" s="6">
        <v>37104</v>
      </c>
      <c r="U7491" s="4">
        <v>165500</v>
      </c>
      <c r="V7491" t="s">
        <v>23739</v>
      </c>
      <c r="W7491" t="s">
        <v>23634</v>
      </c>
      <c r="X7491" t="s">
        <v>3</v>
      </c>
      <c r="AA7491" s="5" t="str">
        <f>HYPERLINK("https://www.zillow.com/homes/2346-VISTA-DR-WOODRIDGE-IL-60517_rb/","check listing")</f>
        <v>check listing</v>
      </c>
      <c r="AB7491" s="5" t="str">
        <f>HYPERLINK("https://propertylookup.dupagecounty.gov/Datalets/Datalet.aspx?UseSearch=no&amp;mode=sales&amp;pin=0824408032","sales record")</f>
        <v>sales record</v>
      </c>
      <c r="AC7491" t="s">
        <v>3</v>
      </c>
      <c r="AD7491">
        <v>41.76138</v>
      </c>
      <c r="AE7491">
        <v>-88.037617</v>
      </c>
      <c r="AF7491" s="5" t="str">
        <f>HYPERLINK("https://www.google.com/maps/search/?api=1&amp;query=41.76138,-88.037617","map")</f>
        <v>map</v>
      </c>
    </row>
    <row r="7492" spans="1:32">
      <c r="A7492" t="s">
        <v>7542</v>
      </c>
      <c r="B7492" t="s">
        <v>14993</v>
      </c>
      <c r="C7492" t="s">
        <v>16191</v>
      </c>
      <c r="D7492" t="s">
        <v>16215</v>
      </c>
      <c r="E7492" t="s">
        <v>16218</v>
      </c>
      <c r="F7492" t="s">
        <v>16220</v>
      </c>
      <c r="G7492" t="s">
        <v>16299</v>
      </c>
      <c r="H7492" t="s">
        <v>16299</v>
      </c>
      <c r="I7492" t="s">
        <v>16382</v>
      </c>
      <c r="J7492" t="s">
        <v>16385</v>
      </c>
      <c r="K7492">
        <v>0.115</v>
      </c>
      <c r="L7492">
        <v>5016</v>
      </c>
      <c r="M7492">
        <v>1654</v>
      </c>
      <c r="N7492" t="s">
        <v>16393</v>
      </c>
      <c r="O7492" s="4">
        <v>54797</v>
      </c>
      <c r="P7492" s="4">
        <v>56723</v>
      </c>
      <c r="Q7492" s="4">
        <v>111520</v>
      </c>
      <c r="R7492" s="4">
        <v>334560</v>
      </c>
      <c r="S7492" t="s">
        <v>23635</v>
      </c>
      <c r="T7492" s="6">
        <v>43160</v>
      </c>
      <c r="U7492" s="4">
        <v>225000</v>
      </c>
      <c r="V7492" t="s">
        <v>23739</v>
      </c>
      <c r="W7492" t="s">
        <v>27806</v>
      </c>
      <c r="X7492" t="s">
        <v>3</v>
      </c>
      <c r="AA7492" s="5" t="str">
        <f>HYPERLINK("https://www.zillow.com/homes/6788-RED-WING-DR-WOODRIDGE-IL-605171847_rb/","check listing")</f>
        <v>check listing</v>
      </c>
      <c r="AB7492" s="5" t="str">
        <f>HYPERLINK("https://propertylookup.dupagecounty.gov/Datalets/Datalet.aspx?UseSearch=no&amp;mode=sales&amp;pin=0824405004","sales record")</f>
        <v>sales record</v>
      </c>
      <c r="AC7492" t="s">
        <v>3</v>
      </c>
      <c r="AD7492">
        <v>41.763751</v>
      </c>
      <c r="AE7492">
        <v>-88.03970700000001</v>
      </c>
      <c r="AF7492" s="5" t="str">
        <f>HYPERLINK("https://www.google.com/maps/search/?api=1&amp;query=41.763751,-88.039707","map")</f>
        <v>map</v>
      </c>
    </row>
    <row r="7493" spans="1:32">
      <c r="A7493" t="s">
        <v>7543</v>
      </c>
      <c r="B7493" t="s">
        <v>14994</v>
      </c>
      <c r="C7493" t="s">
        <v>15323</v>
      </c>
      <c r="D7493" t="s">
        <v>16215</v>
      </c>
      <c r="E7493" t="s">
        <v>16218</v>
      </c>
      <c r="F7493" t="s">
        <v>16220</v>
      </c>
      <c r="G7493" t="s">
        <v>16299</v>
      </c>
      <c r="H7493" t="s">
        <v>16299</v>
      </c>
      <c r="I7493" t="s">
        <v>16382</v>
      </c>
      <c r="J7493" t="s">
        <v>16385</v>
      </c>
      <c r="K7493">
        <v>0.115</v>
      </c>
      <c r="L7493">
        <v>5010</v>
      </c>
      <c r="M7493">
        <v>2011</v>
      </c>
      <c r="N7493" t="s">
        <v>16393</v>
      </c>
      <c r="O7493" s="4">
        <v>54797</v>
      </c>
      <c r="P7493" s="4">
        <v>59268</v>
      </c>
      <c r="Q7493" s="4">
        <v>114065</v>
      </c>
      <c r="R7493" s="4">
        <v>342195</v>
      </c>
      <c r="S7493" t="s">
        <v>23636</v>
      </c>
      <c r="T7493" s="6">
        <v>34182</v>
      </c>
      <c r="U7493" s="4">
        <v>117900</v>
      </c>
      <c r="X7493" t="s">
        <v>3</v>
      </c>
      <c r="AA7493" s="5" t="str">
        <f>HYPERLINK("https://www.zillow.com/homes/6824-REDWING-DR-WOODRIDGE-IL-60517_rb/","check listing")</f>
        <v>check listing</v>
      </c>
      <c r="AB7493" s="5" t="str">
        <f>HYPERLINK("https://propertylookup.dupagecounty.gov/Datalets/Datalet.aspx?UseSearch=no&amp;mode=sales&amp;pin=0824406011","sales record")</f>
        <v>sales record</v>
      </c>
      <c r="AC7493" t="s">
        <v>3</v>
      </c>
      <c r="AD7493">
        <v>41.763071</v>
      </c>
      <c r="AE7493">
        <v>-88.03867</v>
      </c>
      <c r="AF7493" s="5" t="str">
        <f>HYPERLINK("https://www.google.com/maps/search/?api=1&amp;query=41.763071,-88.03867","map")</f>
        <v>map</v>
      </c>
    </row>
    <row r="7494" spans="1:32">
      <c r="A7494" t="s">
        <v>7544</v>
      </c>
      <c r="B7494" t="s">
        <v>14995</v>
      </c>
      <c r="C7494" t="s">
        <v>15323</v>
      </c>
      <c r="D7494" t="s">
        <v>16215</v>
      </c>
      <c r="E7494" t="s">
        <v>16218</v>
      </c>
      <c r="F7494" t="s">
        <v>16220</v>
      </c>
      <c r="G7494" t="s">
        <v>16299</v>
      </c>
      <c r="H7494" t="s">
        <v>16299</v>
      </c>
      <c r="I7494" t="s">
        <v>16382</v>
      </c>
      <c r="J7494" t="s">
        <v>16385</v>
      </c>
      <c r="K7494">
        <v>0.115</v>
      </c>
      <c r="L7494">
        <v>5009</v>
      </c>
      <c r="M7494">
        <v>645</v>
      </c>
      <c r="N7494" t="s">
        <v>16393</v>
      </c>
      <c r="O7494" s="4">
        <v>54797</v>
      </c>
      <c r="P7494" s="4">
        <v>58126</v>
      </c>
      <c r="Q7494" s="4">
        <v>112923</v>
      </c>
      <c r="R7494" s="4">
        <v>338769</v>
      </c>
      <c r="S7494" t="s">
        <v>23637</v>
      </c>
      <c r="T7494" s="6">
        <v>37653</v>
      </c>
      <c r="U7494" s="4">
        <v>180000</v>
      </c>
      <c r="V7494" t="s">
        <v>23739</v>
      </c>
      <c r="W7494" t="s">
        <v>27807</v>
      </c>
      <c r="X7494" t="s">
        <v>3</v>
      </c>
      <c r="AA7494" s="5" t="str">
        <f>HYPERLINK("https://www.zillow.com/homes/6827-DOVE-AVE-WOODRIDGE-IL-60517_rb/","check listing")</f>
        <v>check listing</v>
      </c>
      <c r="AB7494" s="5" t="str">
        <f>HYPERLINK("https://propertylookup.dupagecounty.gov/Datalets/Datalet.aspx?UseSearch=no&amp;mode=sales&amp;pin=0824406002","sales record")</f>
        <v>sales record</v>
      </c>
      <c r="AC7494" t="s">
        <v>3</v>
      </c>
      <c r="AD7494">
        <v>41.762991</v>
      </c>
      <c r="AE7494">
        <v>-88.039028</v>
      </c>
      <c r="AF7494" s="5" t="str">
        <f>HYPERLINK("https://www.google.com/maps/search/?api=1&amp;query=41.762991,-88.039028","map")</f>
        <v>map</v>
      </c>
    </row>
    <row r="7495" spans="1:32">
      <c r="A7495" t="s">
        <v>7545</v>
      </c>
      <c r="B7495" t="s">
        <v>14996</v>
      </c>
      <c r="C7495" t="s">
        <v>15323</v>
      </c>
      <c r="D7495" t="s">
        <v>16215</v>
      </c>
      <c r="E7495" t="s">
        <v>16218</v>
      </c>
      <c r="F7495" t="s">
        <v>16220</v>
      </c>
      <c r="G7495" t="s">
        <v>16299</v>
      </c>
      <c r="H7495" t="s">
        <v>16299</v>
      </c>
      <c r="I7495" t="s">
        <v>16382</v>
      </c>
      <c r="J7495" t="s">
        <v>16385</v>
      </c>
      <c r="K7495">
        <v>0.115</v>
      </c>
      <c r="L7495">
        <v>5008</v>
      </c>
      <c r="M7495">
        <v>1250</v>
      </c>
      <c r="N7495" t="s">
        <v>16393</v>
      </c>
      <c r="O7495" s="4">
        <v>54797</v>
      </c>
      <c r="P7495" s="4">
        <v>64846</v>
      </c>
      <c r="Q7495" s="4">
        <v>119643</v>
      </c>
      <c r="R7495" s="4">
        <v>358929</v>
      </c>
      <c r="S7495" t="s">
        <v>23638</v>
      </c>
      <c r="T7495" s="6">
        <v>35582</v>
      </c>
      <c r="U7495" s="4">
        <v>136000</v>
      </c>
      <c r="X7495" t="s">
        <v>3</v>
      </c>
      <c r="AA7495" s="5" t="str">
        <f>HYPERLINK("https://www.zillow.com/homes/6832-REDWING-DR-WOODRIDGE-IL-60517_rb/","check listing")</f>
        <v>check listing</v>
      </c>
      <c r="AB7495" s="5" t="str">
        <f>HYPERLINK("https://propertylookup.dupagecounty.gov/Datalets/Datalet.aspx?UseSearch=no&amp;mode=sales&amp;pin=0824406013","sales record")</f>
        <v>sales record</v>
      </c>
      <c r="AC7495" t="s">
        <v>3</v>
      </c>
      <c r="AD7495">
        <v>41.762829</v>
      </c>
      <c r="AE7495">
        <v>-88.038495</v>
      </c>
      <c r="AF7495" s="5" t="str">
        <f>HYPERLINK("https://www.google.com/maps/search/?api=1&amp;query=41.762829,-88.038495","map")</f>
        <v>map</v>
      </c>
    </row>
    <row r="7496" spans="1:32">
      <c r="A7496" t="s">
        <v>7546</v>
      </c>
      <c r="B7496" t="s">
        <v>14997</v>
      </c>
      <c r="C7496" t="s">
        <v>16175</v>
      </c>
      <c r="D7496" t="s">
        <v>16215</v>
      </c>
      <c r="E7496" t="s">
        <v>16218</v>
      </c>
      <c r="F7496" t="s">
        <v>16220</v>
      </c>
      <c r="G7496" t="s">
        <v>16299</v>
      </c>
      <c r="H7496" t="s">
        <v>16299</v>
      </c>
      <c r="I7496" t="s">
        <v>16382</v>
      </c>
      <c r="J7496" t="s">
        <v>16385</v>
      </c>
      <c r="K7496">
        <v>0.115</v>
      </c>
      <c r="L7496">
        <v>5008</v>
      </c>
      <c r="M7496">
        <v>1568</v>
      </c>
      <c r="N7496" t="s">
        <v>16393</v>
      </c>
      <c r="O7496" s="4">
        <v>54797</v>
      </c>
      <c r="P7496" s="4">
        <v>67557</v>
      </c>
      <c r="Q7496" s="4">
        <v>122354</v>
      </c>
      <c r="R7496" s="4">
        <v>367062</v>
      </c>
      <c r="S7496" t="s">
        <v>23639</v>
      </c>
      <c r="T7496" s="6">
        <v>45956</v>
      </c>
      <c r="U7496" s="4">
        <v>400000</v>
      </c>
      <c r="V7496" t="s">
        <v>23739</v>
      </c>
      <c r="W7496" t="s">
        <v>27808</v>
      </c>
      <c r="X7496" t="s">
        <v>3</v>
      </c>
      <c r="AA7496" s="5" t="str">
        <f>HYPERLINK("https://www.zillow.com/homes/6831-DOVE-AVE-WOODRIDGE-IL-605171859_rb/","check listing")</f>
        <v>check listing</v>
      </c>
      <c r="AB7496" s="5" t="str">
        <f>HYPERLINK("https://propertylookup.dupagecounty.gov/Datalets/Datalet.aspx?UseSearch=no&amp;mode=sales&amp;pin=0824406003","sales record")</f>
        <v>sales record</v>
      </c>
      <c r="AC7496" t="s">
        <v>3</v>
      </c>
      <c r="AD7496">
        <v>41.76287</v>
      </c>
      <c r="AE7496">
        <v>-88.03894200000001</v>
      </c>
      <c r="AF7496" s="5" t="str">
        <f>HYPERLINK("https://www.google.com/maps/search/?api=1&amp;query=41.76287,-88.038942","map")</f>
        <v>map</v>
      </c>
    </row>
    <row r="7497" spans="1:32">
      <c r="A7497" t="s">
        <v>7547</v>
      </c>
      <c r="B7497" t="s">
        <v>14998</v>
      </c>
      <c r="C7497" t="s">
        <v>15323</v>
      </c>
      <c r="D7497" t="s">
        <v>16215</v>
      </c>
      <c r="E7497" t="s">
        <v>16218</v>
      </c>
      <c r="F7497" t="s">
        <v>16220</v>
      </c>
      <c r="G7497" t="s">
        <v>16299</v>
      </c>
      <c r="H7497" t="s">
        <v>16299</v>
      </c>
      <c r="I7497" t="s">
        <v>16382</v>
      </c>
      <c r="J7497" t="s">
        <v>16385</v>
      </c>
      <c r="K7497">
        <v>0.115</v>
      </c>
      <c r="L7497">
        <v>5005</v>
      </c>
      <c r="M7497">
        <v>1766</v>
      </c>
      <c r="N7497" t="s">
        <v>16393</v>
      </c>
      <c r="O7497" s="4">
        <v>54797</v>
      </c>
      <c r="P7497" s="4">
        <v>58578</v>
      </c>
      <c r="Q7497" s="4">
        <v>113375</v>
      </c>
      <c r="R7497" s="4">
        <v>340125</v>
      </c>
      <c r="S7497" t="s">
        <v>23526</v>
      </c>
      <c r="T7497" s="6">
        <v>45439</v>
      </c>
      <c r="U7497" s="4">
        <v>285000</v>
      </c>
      <c r="V7497" t="s">
        <v>23741</v>
      </c>
      <c r="W7497" t="s">
        <v>27809</v>
      </c>
      <c r="X7497" t="s">
        <v>3</v>
      </c>
      <c r="AA7497" s="5" t="str">
        <f>HYPERLINK("https://www.zillow.com/homes/2380-GOLDFINCH-ST-WOODRIDGE-IL-60517_rb/","check listing")</f>
        <v>check listing</v>
      </c>
      <c r="AB7497" s="5" t="str">
        <f>HYPERLINK("https://propertylookup.dupagecounty.gov/Datalets/Datalet.aspx?UseSearch=no&amp;mode=sales&amp;pin=0824407011","sales record")</f>
        <v>sales record</v>
      </c>
      <c r="AC7497" t="s">
        <v>3</v>
      </c>
      <c r="AD7497">
        <v>41.76203</v>
      </c>
      <c r="AE7497">
        <v>-88.03962300000001</v>
      </c>
      <c r="AF7497" s="5" t="str">
        <f>HYPERLINK("https://www.google.com/maps/search/?api=1&amp;query=41.76203,-88.039623","map")</f>
        <v>map</v>
      </c>
    </row>
    <row r="7498" spans="1:32">
      <c r="A7498" t="s">
        <v>7548</v>
      </c>
      <c r="B7498" t="s">
        <v>14999</v>
      </c>
      <c r="C7498" t="s">
        <v>15323</v>
      </c>
      <c r="D7498" t="s">
        <v>16215</v>
      </c>
      <c r="E7498" t="s">
        <v>16218</v>
      </c>
      <c r="F7498" t="s">
        <v>16220</v>
      </c>
      <c r="G7498" t="s">
        <v>16299</v>
      </c>
      <c r="H7498" t="s">
        <v>16299</v>
      </c>
      <c r="I7498" t="s">
        <v>16382</v>
      </c>
      <c r="J7498" t="s">
        <v>16385</v>
      </c>
      <c r="K7498">
        <v>0.115</v>
      </c>
      <c r="L7498">
        <v>5005</v>
      </c>
      <c r="M7498">
        <v>1211</v>
      </c>
      <c r="N7498" t="s">
        <v>16393</v>
      </c>
      <c r="O7498" s="4">
        <v>54797</v>
      </c>
      <c r="P7498" s="4">
        <v>61754</v>
      </c>
      <c r="Q7498" s="4">
        <v>116551</v>
      </c>
      <c r="R7498" s="4">
        <v>349653</v>
      </c>
      <c r="S7498" t="s">
        <v>23640</v>
      </c>
      <c r="T7498" s="6">
        <v>35004</v>
      </c>
      <c r="U7498" s="4">
        <v>135000</v>
      </c>
      <c r="X7498" t="s">
        <v>3</v>
      </c>
      <c r="AA7498" s="5" t="str">
        <f>HYPERLINK("https://www.zillow.com/homes/6828-REDWING-DR-WOODRIDGE-IL-60517_rb/","check listing")</f>
        <v>check listing</v>
      </c>
      <c r="AB7498" s="5" t="str">
        <f>HYPERLINK("https://propertylookup.dupagecounty.gov/Datalets/Datalet.aspx?UseSearch=no&amp;mode=sales&amp;pin=0824406012","sales record")</f>
        <v>sales record</v>
      </c>
      <c r="AC7498" t="s">
        <v>3</v>
      </c>
      <c r="AD7498">
        <v>41.76295</v>
      </c>
      <c r="AE7498">
        <v>-88.038583</v>
      </c>
      <c r="AF7498" s="5" t="str">
        <f>HYPERLINK("https://www.google.com/maps/search/?api=1&amp;query=41.76295,-88.038583","map")</f>
        <v>map</v>
      </c>
    </row>
    <row r="7499" spans="1:32">
      <c r="A7499" t="s">
        <v>7549</v>
      </c>
      <c r="B7499" t="s">
        <v>15000</v>
      </c>
      <c r="C7499" t="s">
        <v>16190</v>
      </c>
      <c r="D7499" t="s">
        <v>16215</v>
      </c>
      <c r="E7499" t="s">
        <v>16218</v>
      </c>
      <c r="F7499" t="s">
        <v>16220</v>
      </c>
      <c r="G7499" t="s">
        <v>16299</v>
      </c>
      <c r="H7499" t="s">
        <v>16299</v>
      </c>
      <c r="I7499" t="s">
        <v>16382</v>
      </c>
      <c r="J7499" t="s">
        <v>16385</v>
      </c>
      <c r="K7499">
        <v>0.115</v>
      </c>
      <c r="L7499">
        <v>5004</v>
      </c>
      <c r="M7499">
        <v>1693</v>
      </c>
      <c r="N7499" t="s">
        <v>16393</v>
      </c>
      <c r="O7499" s="4">
        <v>54797</v>
      </c>
      <c r="P7499" s="4">
        <v>57448</v>
      </c>
      <c r="Q7499" s="4">
        <v>112245</v>
      </c>
      <c r="R7499" s="4">
        <v>336735</v>
      </c>
      <c r="S7499" t="s">
        <v>23641</v>
      </c>
      <c r="T7499" s="6">
        <v>35400</v>
      </c>
      <c r="U7499" s="4">
        <v>118000</v>
      </c>
      <c r="X7499" t="s">
        <v>3</v>
      </c>
      <c r="AA7499" s="5" t="str">
        <f>HYPERLINK("https://www.zillow.com/homes/2358-SUNNYDALE-DR-WOODRIDGE-IL-605171843_rb/","check listing")</f>
        <v>check listing</v>
      </c>
      <c r="AB7499" s="5" t="str">
        <f>HYPERLINK("https://propertylookup.dupagecounty.gov/Datalets/Datalet.aspx?UseSearch=no&amp;mode=sales&amp;pin=0824419022","sales record")</f>
        <v>sales record</v>
      </c>
      <c r="AC7499" t="s">
        <v>3</v>
      </c>
      <c r="AD7499">
        <v>41.76065</v>
      </c>
      <c r="AE7499">
        <v>-88.03899199999999</v>
      </c>
      <c r="AF7499" s="5" t="str">
        <f>HYPERLINK("https://www.google.com/maps/search/?api=1&amp;query=41.76065,-88.038992","map")</f>
        <v>map</v>
      </c>
    </row>
    <row r="7500" spans="1:32">
      <c r="A7500" t="s">
        <v>7550</v>
      </c>
      <c r="B7500" t="s">
        <v>15001</v>
      </c>
      <c r="C7500" t="s">
        <v>15323</v>
      </c>
      <c r="D7500" t="s">
        <v>16215</v>
      </c>
      <c r="E7500" t="s">
        <v>16218</v>
      </c>
      <c r="F7500" t="s">
        <v>16220</v>
      </c>
      <c r="G7500" t="s">
        <v>16299</v>
      </c>
      <c r="H7500" t="s">
        <v>16299</v>
      </c>
      <c r="I7500" t="s">
        <v>16382</v>
      </c>
      <c r="J7500" t="s">
        <v>16385</v>
      </c>
      <c r="K7500">
        <v>0.115</v>
      </c>
      <c r="L7500">
        <v>5004</v>
      </c>
      <c r="M7500">
        <v>1919</v>
      </c>
      <c r="N7500" t="s">
        <v>16393</v>
      </c>
      <c r="O7500" s="4">
        <v>54797</v>
      </c>
      <c r="P7500" s="4">
        <v>64976</v>
      </c>
      <c r="Q7500" s="4">
        <v>119773</v>
      </c>
      <c r="R7500" s="4">
        <v>359319</v>
      </c>
      <c r="S7500" t="s">
        <v>23642</v>
      </c>
      <c r="T7500" s="6">
        <v>38108</v>
      </c>
      <c r="U7500" s="4">
        <v>220000</v>
      </c>
      <c r="V7500" t="s">
        <v>23739</v>
      </c>
      <c r="W7500" t="s">
        <v>23642</v>
      </c>
      <c r="X7500" t="s">
        <v>3</v>
      </c>
      <c r="AA7500" s="5" t="str">
        <f>HYPERLINK("https://www.zillow.com/homes/2384-GOLDFINCH-ST-WOODRIDGE-IL-60517_rb/","check listing")</f>
        <v>check listing</v>
      </c>
      <c r="AB7500" s="5" t="str">
        <f>HYPERLINK("https://propertylookup.dupagecounty.gov/Datalets/Datalet.aspx?UseSearch=no&amp;mode=sales&amp;pin=0824407010","sales record")</f>
        <v>sales record</v>
      </c>
      <c r="AC7500" t="s">
        <v>3</v>
      </c>
      <c r="AD7500">
        <v>41.762025</v>
      </c>
      <c r="AE7500">
        <v>-88.039806</v>
      </c>
      <c r="AF7500" s="5" t="str">
        <f>HYPERLINK("https://www.google.com/maps/search/?api=1&amp;query=41.762025,-88.039806","map")</f>
        <v>map</v>
      </c>
    </row>
    <row r="7501" spans="1:32">
      <c r="A7501" t="s">
        <v>7551</v>
      </c>
      <c r="B7501" t="s">
        <v>15002</v>
      </c>
      <c r="C7501" t="s">
        <v>15323</v>
      </c>
      <c r="D7501" t="s">
        <v>16215</v>
      </c>
      <c r="E7501" t="s">
        <v>16218</v>
      </c>
      <c r="F7501" t="s">
        <v>16220</v>
      </c>
      <c r="G7501" t="s">
        <v>16299</v>
      </c>
      <c r="H7501" t="s">
        <v>16299</v>
      </c>
      <c r="I7501" t="s">
        <v>16382</v>
      </c>
      <c r="J7501" t="s">
        <v>16385</v>
      </c>
      <c r="K7501">
        <v>0.115</v>
      </c>
      <c r="L7501">
        <v>5003</v>
      </c>
      <c r="M7501">
        <v>1182</v>
      </c>
      <c r="N7501" t="s">
        <v>16393</v>
      </c>
      <c r="O7501" s="4">
        <v>54797</v>
      </c>
      <c r="P7501" s="4">
        <v>60790</v>
      </c>
      <c r="Q7501" s="4">
        <v>115587</v>
      </c>
      <c r="R7501" s="4">
        <v>346761</v>
      </c>
      <c r="S7501" t="s">
        <v>23643</v>
      </c>
      <c r="T7501" s="6">
        <v>35704</v>
      </c>
      <c r="U7501" s="4">
        <v>142000</v>
      </c>
      <c r="X7501" t="s">
        <v>3</v>
      </c>
      <c r="AA7501" s="5" t="str">
        <f>HYPERLINK("https://www.zillow.com/homes/2354-VISTA-DR-WOODRIDGE-IL-60517_rb/","check listing")</f>
        <v>check listing</v>
      </c>
      <c r="AB7501" s="5" t="str">
        <f>HYPERLINK("https://propertylookup.dupagecounty.gov/Datalets/Datalet.aspx?UseSearch=no&amp;mode=sales&amp;pin=0824408030","sales record")</f>
        <v>sales record</v>
      </c>
      <c r="AC7501" t="s">
        <v>3</v>
      </c>
      <c r="AD7501">
        <v>41.761371</v>
      </c>
      <c r="AE7501">
        <v>-88.037983</v>
      </c>
      <c r="AF7501" s="5" t="str">
        <f>HYPERLINK("https://www.google.com/maps/search/?api=1&amp;query=41.761371,-88.037983","map")</f>
        <v>map</v>
      </c>
    </row>
    <row r="7502" spans="1:32">
      <c r="A7502" t="s">
        <v>7552</v>
      </c>
      <c r="B7502" t="s">
        <v>15003</v>
      </c>
      <c r="C7502" t="s">
        <v>15323</v>
      </c>
      <c r="D7502" t="s">
        <v>16215</v>
      </c>
      <c r="E7502" t="s">
        <v>16218</v>
      </c>
      <c r="F7502" t="s">
        <v>16220</v>
      </c>
      <c r="G7502" t="s">
        <v>16299</v>
      </c>
      <c r="H7502" t="s">
        <v>16299</v>
      </c>
      <c r="I7502" t="s">
        <v>16382</v>
      </c>
      <c r="J7502" t="s">
        <v>16385</v>
      </c>
      <c r="K7502">
        <v>0.115</v>
      </c>
      <c r="L7502">
        <v>5003</v>
      </c>
      <c r="M7502">
        <v>1655</v>
      </c>
      <c r="N7502" t="s">
        <v>16393</v>
      </c>
      <c r="O7502" s="4">
        <v>54797</v>
      </c>
      <c r="P7502" s="4">
        <v>57436</v>
      </c>
      <c r="Q7502" s="4">
        <v>112233</v>
      </c>
      <c r="R7502" s="4">
        <v>336699</v>
      </c>
      <c r="S7502" t="s">
        <v>23644</v>
      </c>
      <c r="T7502" s="6">
        <v>44923</v>
      </c>
      <c r="U7502" s="4">
        <v>213900</v>
      </c>
      <c r="V7502" t="s">
        <v>23739</v>
      </c>
      <c r="W7502" t="s">
        <v>27810</v>
      </c>
      <c r="X7502" t="s">
        <v>3</v>
      </c>
      <c r="AA7502" s="5" t="str">
        <f>HYPERLINK("https://www.zillow.com/homes/2-PLOVER-CT-WOODRIDGE-IL-60517_rb/","check listing")</f>
        <v>check listing</v>
      </c>
      <c r="AB7502" s="5" t="str">
        <f>HYPERLINK("https://propertylookup.dupagecounty.gov/Datalets/Datalet.aspx?UseSearch=no&amp;mode=sales&amp;pin=0824320007","sales record")</f>
        <v>sales record</v>
      </c>
      <c r="AC7502" t="s">
        <v>3</v>
      </c>
      <c r="AD7502">
        <v>41.762963</v>
      </c>
      <c r="AE7502">
        <v>-88.04186900000001</v>
      </c>
      <c r="AF7502" s="5" t="str">
        <f>HYPERLINK("https://www.google.com/maps/search/?api=1&amp;query=41.762963,-88.041869","map")</f>
        <v>map</v>
      </c>
    </row>
    <row r="7503" spans="1:32">
      <c r="A7503" t="s">
        <v>7553</v>
      </c>
      <c r="B7503" t="s">
        <v>15004</v>
      </c>
      <c r="C7503" t="s">
        <v>15323</v>
      </c>
      <c r="D7503" t="s">
        <v>16215</v>
      </c>
      <c r="E7503" t="s">
        <v>16218</v>
      </c>
      <c r="F7503" t="s">
        <v>16220</v>
      </c>
      <c r="G7503" t="s">
        <v>16299</v>
      </c>
      <c r="H7503" t="s">
        <v>16299</v>
      </c>
      <c r="I7503" t="s">
        <v>16382</v>
      </c>
      <c r="J7503" t="s">
        <v>16385</v>
      </c>
      <c r="K7503">
        <v>0.115</v>
      </c>
      <c r="L7503">
        <v>4999</v>
      </c>
      <c r="M7503">
        <v>1710</v>
      </c>
      <c r="N7503" t="s">
        <v>16393</v>
      </c>
      <c r="O7503" s="4">
        <v>54797</v>
      </c>
      <c r="P7503" s="4">
        <v>52180</v>
      </c>
      <c r="Q7503" s="4">
        <v>106977</v>
      </c>
      <c r="R7503" s="4">
        <v>320931</v>
      </c>
      <c r="S7503" t="s">
        <v>23645</v>
      </c>
      <c r="T7503" s="6">
        <v>39387</v>
      </c>
      <c r="U7503" s="4">
        <v>211500</v>
      </c>
      <c r="V7503" t="s">
        <v>23739</v>
      </c>
      <c r="W7503" t="s">
        <v>27811</v>
      </c>
      <c r="X7503" t="s">
        <v>3</v>
      </c>
      <c r="AA7503" s="5" t="str">
        <f>HYPERLINK("https://www.zillow.com/homes/2349-VISTA-DR-WOODRIDGE-IL-60517_rb/","check listing")</f>
        <v>check listing</v>
      </c>
      <c r="AB7503" s="5" t="str">
        <f>HYPERLINK("https://propertylookup.dupagecounty.gov/Datalets/Datalet.aspx?UseSearch=no&amp;mode=sales&amp;pin=0824419009","sales record")</f>
        <v>sales record</v>
      </c>
      <c r="AC7503" t="s">
        <v>3</v>
      </c>
      <c r="AD7503">
        <v>41.760959</v>
      </c>
      <c r="AE7503">
        <v>-88.037773</v>
      </c>
      <c r="AF7503" s="5" t="str">
        <f>HYPERLINK("https://www.google.com/maps/search/?api=1&amp;query=41.760959,-88.037773","map")</f>
        <v>map</v>
      </c>
    </row>
    <row r="7504" spans="1:32">
      <c r="A7504" t="s">
        <v>7554</v>
      </c>
      <c r="B7504" t="s">
        <v>15005</v>
      </c>
      <c r="C7504" t="s">
        <v>16176</v>
      </c>
      <c r="D7504" t="s">
        <v>16215</v>
      </c>
      <c r="E7504" t="s">
        <v>16218</v>
      </c>
      <c r="F7504" t="s">
        <v>16220</v>
      </c>
      <c r="G7504" t="s">
        <v>16299</v>
      </c>
      <c r="H7504" t="s">
        <v>16299</v>
      </c>
      <c r="I7504" t="s">
        <v>16382</v>
      </c>
      <c r="J7504" t="s">
        <v>16385</v>
      </c>
      <c r="K7504">
        <v>0.115</v>
      </c>
      <c r="L7504">
        <v>4998</v>
      </c>
      <c r="M7504">
        <v>1744</v>
      </c>
      <c r="N7504" t="s">
        <v>16393</v>
      </c>
      <c r="O7504" s="4">
        <v>54761</v>
      </c>
      <c r="P7504" s="4">
        <v>55224</v>
      </c>
      <c r="Q7504" s="4">
        <v>109985</v>
      </c>
      <c r="R7504" s="4">
        <v>329955</v>
      </c>
      <c r="S7504" t="s">
        <v>23646</v>
      </c>
      <c r="T7504" s="6">
        <v>33270</v>
      </c>
      <c r="U7504" s="4">
        <v>95000</v>
      </c>
      <c r="X7504" t="s">
        <v>3</v>
      </c>
      <c r="AA7504" s="5" t="str">
        <f>HYPERLINK("https://www.zillow.com/homes/2357-VISTA-DR-WOODRIDGE-IL-605171842_rb/","check listing")</f>
        <v>check listing</v>
      </c>
      <c r="AB7504" s="5" t="str">
        <f>HYPERLINK("https://propertylookup.dupagecounty.gov/Datalets/Datalet.aspx?UseSearch=no&amp;mode=sales&amp;pin=0824419007","sales record")</f>
        <v>sales record</v>
      </c>
      <c r="AC7504" t="s">
        <v>3</v>
      </c>
      <c r="AD7504">
        <v>41.760949</v>
      </c>
      <c r="AE7504">
        <v>-88.038139</v>
      </c>
      <c r="AF7504" s="5" t="str">
        <f>HYPERLINK("https://www.google.com/maps/search/?api=1&amp;query=41.760949,-88.038139","map")</f>
        <v>map</v>
      </c>
    </row>
    <row r="7505" spans="1:32">
      <c r="A7505" t="s">
        <v>7555</v>
      </c>
      <c r="B7505" t="s">
        <v>15006</v>
      </c>
      <c r="C7505" t="s">
        <v>15323</v>
      </c>
      <c r="D7505" t="s">
        <v>16215</v>
      </c>
      <c r="E7505" t="s">
        <v>16218</v>
      </c>
      <c r="F7505" t="s">
        <v>16220</v>
      </c>
      <c r="G7505" t="s">
        <v>16299</v>
      </c>
      <c r="H7505" t="s">
        <v>16299</v>
      </c>
      <c r="I7505" t="s">
        <v>16382</v>
      </c>
      <c r="J7505" t="s">
        <v>16385</v>
      </c>
      <c r="K7505">
        <v>0.115</v>
      </c>
      <c r="L7505">
        <v>4998</v>
      </c>
      <c r="M7505">
        <v>1164</v>
      </c>
      <c r="N7505" t="s">
        <v>16393</v>
      </c>
      <c r="O7505" s="4">
        <v>54797</v>
      </c>
      <c r="P7505" s="4">
        <v>67425</v>
      </c>
      <c r="Q7505" s="4">
        <v>122222</v>
      </c>
      <c r="R7505" s="4">
        <v>366666</v>
      </c>
      <c r="S7505" t="s">
        <v>23647</v>
      </c>
      <c r="T7505" s="6">
        <v>37834</v>
      </c>
      <c r="U7505" s="4">
        <v>215000</v>
      </c>
      <c r="V7505" t="s">
        <v>23739</v>
      </c>
      <c r="W7505" t="s">
        <v>27812</v>
      </c>
      <c r="X7505" t="s">
        <v>3</v>
      </c>
      <c r="AA7505" s="5" t="str">
        <f>HYPERLINK("https://www.zillow.com/homes/2354-SUNNYDALE-DR-WOODRIDGE-IL-60517_rb/","check listing")</f>
        <v>check listing</v>
      </c>
      <c r="AB7505" s="5" t="str">
        <f>HYPERLINK("https://propertylookup.dupagecounty.gov/Datalets/Datalet.aspx?UseSearch=no&amp;mode=sales&amp;pin=0824419021","sales record")</f>
        <v>sales record</v>
      </c>
      <c r="AC7505" t="s">
        <v>3</v>
      </c>
      <c r="AD7505">
        <v>41.760655</v>
      </c>
      <c r="AE7505">
        <v>-88.038809</v>
      </c>
      <c r="AF7505" s="5" t="str">
        <f>HYPERLINK("https://www.google.com/maps/search/?api=1&amp;query=41.760655,-88.038809","map")</f>
        <v>map</v>
      </c>
    </row>
    <row r="7506" spans="1:32">
      <c r="A7506" t="s">
        <v>7556</v>
      </c>
      <c r="B7506" t="s">
        <v>15007</v>
      </c>
      <c r="C7506" t="s">
        <v>15323</v>
      </c>
      <c r="D7506" t="s">
        <v>16215</v>
      </c>
      <c r="E7506" t="s">
        <v>16218</v>
      </c>
      <c r="F7506" t="s">
        <v>16220</v>
      </c>
      <c r="G7506" t="s">
        <v>16299</v>
      </c>
      <c r="H7506" t="s">
        <v>16299</v>
      </c>
      <c r="I7506" t="s">
        <v>16382</v>
      </c>
      <c r="J7506" t="s">
        <v>16385</v>
      </c>
      <c r="K7506">
        <v>0.115</v>
      </c>
      <c r="L7506">
        <v>4997</v>
      </c>
      <c r="M7506">
        <v>1575</v>
      </c>
      <c r="N7506" t="s">
        <v>16393</v>
      </c>
      <c r="O7506" s="4">
        <v>54797</v>
      </c>
      <c r="P7506" s="4">
        <v>53238</v>
      </c>
      <c r="Q7506" s="4">
        <v>108035</v>
      </c>
      <c r="R7506" s="4">
        <v>324105</v>
      </c>
      <c r="S7506" t="s">
        <v>23648</v>
      </c>
      <c r="T7506" s="6">
        <v>38565</v>
      </c>
      <c r="U7506" s="4">
        <v>197000</v>
      </c>
      <c r="V7506" t="s">
        <v>23739</v>
      </c>
      <c r="W7506" t="s">
        <v>23648</v>
      </c>
      <c r="X7506" t="s">
        <v>3</v>
      </c>
      <c r="AA7506" s="5" t="str">
        <f>HYPERLINK("https://www.zillow.com/homes/2365-VISTA-DR-WOODRIDGE-IL-60517_rb/","check listing")</f>
        <v>check listing</v>
      </c>
      <c r="AB7506" s="5" t="str">
        <f>HYPERLINK("https://propertylookup.dupagecounty.gov/Datalets/Datalet.aspx?UseSearch=no&amp;mode=sales&amp;pin=0824419005","sales record")</f>
        <v>sales record</v>
      </c>
      <c r="AC7506" t="s">
        <v>3</v>
      </c>
      <c r="AD7506">
        <v>41.760939</v>
      </c>
      <c r="AE7506">
        <v>-88.038505</v>
      </c>
      <c r="AF7506" s="5" t="str">
        <f>HYPERLINK("https://www.google.com/maps/search/?api=1&amp;query=41.760939,-88.038505","map")</f>
        <v>map</v>
      </c>
    </row>
    <row r="7507" spans="1:32">
      <c r="A7507" t="s">
        <v>7557</v>
      </c>
      <c r="B7507" t="s">
        <v>15008</v>
      </c>
      <c r="C7507" t="s">
        <v>15323</v>
      </c>
      <c r="D7507" t="s">
        <v>16215</v>
      </c>
      <c r="E7507" t="s">
        <v>16218</v>
      </c>
      <c r="F7507" t="s">
        <v>16220</v>
      </c>
      <c r="G7507" t="s">
        <v>16299</v>
      </c>
      <c r="H7507" t="s">
        <v>16299</v>
      </c>
      <c r="I7507" t="s">
        <v>16382</v>
      </c>
      <c r="J7507" t="s">
        <v>16385</v>
      </c>
      <c r="K7507">
        <v>0.115</v>
      </c>
      <c r="L7507">
        <v>4996</v>
      </c>
      <c r="M7507">
        <v>1708</v>
      </c>
      <c r="N7507" t="s">
        <v>16393</v>
      </c>
      <c r="O7507" s="4">
        <v>54797</v>
      </c>
      <c r="P7507" s="4">
        <v>70637</v>
      </c>
      <c r="Q7507" s="4">
        <v>125434</v>
      </c>
      <c r="R7507" s="4">
        <v>376302</v>
      </c>
      <c r="S7507" t="s">
        <v>23649</v>
      </c>
      <c r="T7507" s="6">
        <v>33512</v>
      </c>
      <c r="U7507" s="4">
        <v>125000</v>
      </c>
      <c r="X7507" t="s">
        <v>3</v>
      </c>
      <c r="AA7507" s="5" t="str">
        <f>HYPERLINK("https://www.zillow.com/homes/2353-VISTA-DR-WOODRIDGE-IL-60517_rb/","check listing")</f>
        <v>check listing</v>
      </c>
      <c r="AB7507" s="5" t="str">
        <f>HYPERLINK("https://propertylookup.dupagecounty.gov/Datalets/Datalet.aspx?UseSearch=no&amp;mode=sales&amp;pin=0824419008","sales record")</f>
        <v>sales record</v>
      </c>
      <c r="AC7507" t="s">
        <v>3</v>
      </c>
      <c r="AD7507">
        <v>41.760956</v>
      </c>
      <c r="AE7507">
        <v>-88.03795599999999</v>
      </c>
      <c r="AF7507" s="5" t="str">
        <f>HYPERLINK("https://www.google.com/maps/search/?api=1&amp;query=41.760956,-88.037956","map")</f>
        <v>map</v>
      </c>
    </row>
    <row r="7508" spans="1:32">
      <c r="A7508" t="s">
        <v>7558</v>
      </c>
      <c r="B7508" t="s">
        <v>15009</v>
      </c>
      <c r="C7508" t="s">
        <v>15323</v>
      </c>
      <c r="D7508" t="s">
        <v>16215</v>
      </c>
      <c r="E7508" t="s">
        <v>16218</v>
      </c>
      <c r="F7508" t="s">
        <v>16220</v>
      </c>
      <c r="G7508" t="s">
        <v>16299</v>
      </c>
      <c r="H7508" t="s">
        <v>16299</v>
      </c>
      <c r="I7508" t="s">
        <v>16382</v>
      </c>
      <c r="J7508" t="s">
        <v>16385</v>
      </c>
      <c r="K7508">
        <v>0.115</v>
      </c>
      <c r="L7508">
        <v>4994</v>
      </c>
      <c r="M7508">
        <v>771</v>
      </c>
      <c r="N7508" t="s">
        <v>16393</v>
      </c>
      <c r="O7508" s="4">
        <v>54797</v>
      </c>
      <c r="P7508" s="4">
        <v>61754</v>
      </c>
      <c r="Q7508" s="4">
        <v>116551</v>
      </c>
      <c r="R7508" s="4">
        <v>349653</v>
      </c>
      <c r="S7508" t="s">
        <v>23650</v>
      </c>
      <c r="T7508" s="6">
        <v>38565</v>
      </c>
      <c r="U7508" s="4">
        <v>220000</v>
      </c>
      <c r="V7508" t="s">
        <v>23739</v>
      </c>
      <c r="W7508" t="s">
        <v>27813</v>
      </c>
      <c r="X7508" t="s">
        <v>3</v>
      </c>
      <c r="AA7508" s="5" t="str">
        <f>HYPERLINK("https://www.zillow.com/homes/2361-VISTA-DR-WOODRIDGE-IL-60517_rb/","check listing")</f>
        <v>check listing</v>
      </c>
      <c r="AB7508" s="5" t="str">
        <f>HYPERLINK("https://propertylookup.dupagecounty.gov/Datalets/Datalet.aspx?UseSearch=no&amp;mode=sales&amp;pin=0824419006","sales record")</f>
        <v>sales record</v>
      </c>
      <c r="AC7508" t="s">
        <v>3</v>
      </c>
      <c r="AD7508">
        <v>41.760944</v>
      </c>
      <c r="AE7508">
        <v>-88.03832199999999</v>
      </c>
      <c r="AF7508" s="5" t="str">
        <f>HYPERLINK("https://www.google.com/maps/search/?api=1&amp;query=41.760944,-88.038322","map")</f>
        <v>map</v>
      </c>
    </row>
    <row r="7509" spans="1:32">
      <c r="A7509" t="s">
        <v>7559</v>
      </c>
      <c r="B7509" t="s">
        <v>15010</v>
      </c>
      <c r="C7509" t="s">
        <v>15323</v>
      </c>
      <c r="D7509" t="s">
        <v>16215</v>
      </c>
      <c r="E7509" t="s">
        <v>16218</v>
      </c>
      <c r="F7509" t="s">
        <v>16220</v>
      </c>
      <c r="G7509" t="s">
        <v>16299</v>
      </c>
      <c r="H7509" t="s">
        <v>16299</v>
      </c>
      <c r="I7509" t="s">
        <v>16382</v>
      </c>
      <c r="J7509" t="s">
        <v>16385</v>
      </c>
      <c r="K7509">
        <v>0.115</v>
      </c>
      <c r="L7509">
        <v>4993</v>
      </c>
      <c r="M7509">
        <v>1566</v>
      </c>
      <c r="N7509" t="s">
        <v>16393</v>
      </c>
      <c r="O7509" s="4">
        <v>54797</v>
      </c>
      <c r="P7509" s="4">
        <v>54856</v>
      </c>
      <c r="Q7509" s="4">
        <v>109653</v>
      </c>
      <c r="R7509" s="4">
        <v>328959</v>
      </c>
      <c r="S7509" t="s">
        <v>23651</v>
      </c>
      <c r="T7509" s="6">
        <v>42125</v>
      </c>
      <c r="U7509" s="4">
        <v>192000</v>
      </c>
      <c r="V7509" t="s">
        <v>23740</v>
      </c>
      <c r="W7509" t="s">
        <v>23651</v>
      </c>
      <c r="X7509" t="s">
        <v>3</v>
      </c>
      <c r="AA7509" s="5" t="str">
        <f>HYPERLINK("https://www.zillow.com/homes/2373-VISTA-DR-WOODRIDGE-IL-60517_rb/","check listing")</f>
        <v>check listing</v>
      </c>
      <c r="AB7509" s="5" t="str">
        <f>HYPERLINK("https://propertylookup.dupagecounty.gov/Datalets/Datalet.aspx?UseSearch=no&amp;mode=sales&amp;pin=0824419003","sales record")</f>
        <v>sales record</v>
      </c>
      <c r="AC7509" t="s">
        <v>3</v>
      </c>
      <c r="AD7509">
        <v>41.760929</v>
      </c>
      <c r="AE7509">
        <v>-88.038871</v>
      </c>
      <c r="AF7509" s="5" t="str">
        <f>HYPERLINK("https://www.google.com/maps/search/?api=1&amp;query=41.760929,-88.038871","map")</f>
        <v>map</v>
      </c>
    </row>
    <row r="7510" spans="1:32">
      <c r="A7510" t="s">
        <v>7560</v>
      </c>
      <c r="B7510" t="s">
        <v>15011</v>
      </c>
      <c r="C7510" t="s">
        <v>16176</v>
      </c>
      <c r="D7510" t="s">
        <v>16215</v>
      </c>
      <c r="E7510" t="s">
        <v>16218</v>
      </c>
      <c r="F7510" t="s">
        <v>16220</v>
      </c>
      <c r="G7510" t="s">
        <v>16299</v>
      </c>
      <c r="H7510" t="s">
        <v>16299</v>
      </c>
      <c r="I7510" t="s">
        <v>16382</v>
      </c>
      <c r="J7510" t="s">
        <v>16385</v>
      </c>
      <c r="K7510">
        <v>0.115</v>
      </c>
      <c r="L7510">
        <v>4993</v>
      </c>
      <c r="M7510">
        <v>874</v>
      </c>
      <c r="N7510" t="s">
        <v>16393</v>
      </c>
      <c r="O7510" s="4">
        <v>54797</v>
      </c>
      <c r="P7510" s="4">
        <v>62812</v>
      </c>
      <c r="Q7510" s="4">
        <v>117609</v>
      </c>
      <c r="R7510" s="4">
        <v>352827</v>
      </c>
      <c r="S7510" t="s">
        <v>23652</v>
      </c>
      <c r="T7510" s="6">
        <v>44593</v>
      </c>
      <c r="U7510" s="4">
        <v>281500</v>
      </c>
      <c r="V7510" t="s">
        <v>23739</v>
      </c>
      <c r="W7510" t="s">
        <v>27814</v>
      </c>
      <c r="X7510" t="s">
        <v>3</v>
      </c>
      <c r="AA7510" s="5" t="str">
        <f>HYPERLINK("https://www.zillow.com/homes/2369-VISTA-DR-WOODRIDGE-IL-605171842_rb/","check listing")</f>
        <v>check listing</v>
      </c>
      <c r="AB7510" s="5" t="str">
        <f>HYPERLINK("https://propertylookup.dupagecounty.gov/Datalets/Datalet.aspx?UseSearch=no&amp;mode=sales&amp;pin=0824419004","sales record")</f>
        <v>sales record</v>
      </c>
      <c r="AC7510" t="s">
        <v>3</v>
      </c>
      <c r="AD7510">
        <v>41.760934</v>
      </c>
      <c r="AE7510">
        <v>-88.03868799999999</v>
      </c>
      <c r="AF7510" s="5" t="str">
        <f>HYPERLINK("https://www.google.com/maps/search/?api=1&amp;query=41.760934,-88.038688","map")</f>
        <v>map</v>
      </c>
    </row>
    <row r="7511" spans="1:32">
      <c r="A7511" t="s">
        <v>7561</v>
      </c>
      <c r="B7511" t="s">
        <v>15012</v>
      </c>
      <c r="C7511" t="s">
        <v>16176</v>
      </c>
      <c r="D7511" t="s">
        <v>16215</v>
      </c>
      <c r="E7511" t="s">
        <v>16218</v>
      </c>
      <c r="F7511" t="s">
        <v>16220</v>
      </c>
      <c r="G7511" t="s">
        <v>16299</v>
      </c>
      <c r="H7511" t="s">
        <v>16299</v>
      </c>
      <c r="I7511" t="s">
        <v>16382</v>
      </c>
      <c r="J7511" t="s">
        <v>16385</v>
      </c>
      <c r="K7511">
        <v>0.115</v>
      </c>
      <c r="L7511">
        <v>4992</v>
      </c>
      <c r="M7511">
        <v>918</v>
      </c>
      <c r="N7511" t="s">
        <v>16393</v>
      </c>
      <c r="O7511" s="4">
        <v>54797</v>
      </c>
      <c r="P7511" s="4">
        <v>60648</v>
      </c>
      <c r="Q7511" s="4">
        <v>115445</v>
      </c>
      <c r="R7511" s="4">
        <v>346335</v>
      </c>
      <c r="S7511" t="s">
        <v>23653</v>
      </c>
      <c r="T7511" s="6">
        <v>42887</v>
      </c>
      <c r="U7511" s="4">
        <v>233000</v>
      </c>
      <c r="V7511" t="s">
        <v>23739</v>
      </c>
      <c r="W7511" t="s">
        <v>27815</v>
      </c>
      <c r="X7511" t="s">
        <v>3</v>
      </c>
      <c r="AA7511" s="5" t="str">
        <f>HYPERLINK("https://www.zillow.com/homes/2377-VISTA-DR-WOODRIDGE-IL-605171842_rb/","check listing")</f>
        <v>check listing</v>
      </c>
      <c r="AB7511" s="5" t="str">
        <f>HYPERLINK("https://propertylookup.dupagecounty.gov/Datalets/Datalet.aspx?UseSearch=no&amp;mode=sales&amp;pin=0824419002","sales record")</f>
        <v>sales record</v>
      </c>
      <c r="AC7511" t="s">
        <v>3</v>
      </c>
      <c r="AD7511">
        <v>41.760924</v>
      </c>
      <c r="AE7511">
        <v>-88.039055</v>
      </c>
      <c r="AF7511" s="5" t="str">
        <f>HYPERLINK("https://www.google.com/maps/search/?api=1&amp;query=41.760924,-88.039055","map")</f>
        <v>map</v>
      </c>
    </row>
    <row r="7512" spans="1:32">
      <c r="A7512" t="s">
        <v>7562</v>
      </c>
      <c r="B7512" t="s">
        <v>15013</v>
      </c>
      <c r="C7512" t="s">
        <v>15323</v>
      </c>
      <c r="D7512" t="s">
        <v>16215</v>
      </c>
      <c r="E7512" t="s">
        <v>16218</v>
      </c>
      <c r="F7512" t="s">
        <v>16220</v>
      </c>
      <c r="G7512" t="s">
        <v>16299</v>
      </c>
      <c r="H7512" t="s">
        <v>16299</v>
      </c>
      <c r="I7512" t="s">
        <v>16382</v>
      </c>
      <c r="J7512" t="s">
        <v>16385</v>
      </c>
      <c r="K7512">
        <v>0.115</v>
      </c>
      <c r="L7512">
        <v>4992</v>
      </c>
      <c r="M7512">
        <v>1683</v>
      </c>
      <c r="N7512" t="s">
        <v>16393</v>
      </c>
      <c r="O7512" s="4">
        <v>54797</v>
      </c>
      <c r="P7512" s="4">
        <v>57544</v>
      </c>
      <c r="Q7512" s="4">
        <v>112341</v>
      </c>
      <c r="R7512" s="4">
        <v>337023</v>
      </c>
      <c r="S7512" t="s">
        <v>23654</v>
      </c>
      <c r="T7512" s="6">
        <v>34820</v>
      </c>
      <c r="U7512" s="4">
        <v>103500</v>
      </c>
      <c r="X7512" t="s">
        <v>3</v>
      </c>
      <c r="AA7512" s="5" t="str">
        <f>HYPERLINK("https://www.zillow.com/homes/2350-SUNNYDALE-DR-WOODRIDGE-IL-60517_rb/","check listing")</f>
        <v>check listing</v>
      </c>
      <c r="AB7512" s="5" t="str">
        <f>HYPERLINK("https://propertylookup.dupagecounty.gov/Datalets/Datalet.aspx?UseSearch=no&amp;mode=sales&amp;pin=0824419020","sales record")</f>
        <v>sales record</v>
      </c>
      <c r="AC7512" t="s">
        <v>3</v>
      </c>
      <c r="AD7512">
        <v>41.76066</v>
      </c>
      <c r="AE7512">
        <v>-88.038625</v>
      </c>
      <c r="AF7512" s="5" t="str">
        <f>HYPERLINK("https://www.google.com/maps/search/?api=1&amp;query=41.76066,-88.038625","map")</f>
        <v>map</v>
      </c>
    </row>
    <row r="7513" spans="1:32">
      <c r="A7513" t="s">
        <v>7563</v>
      </c>
      <c r="B7513" t="s">
        <v>15014</v>
      </c>
      <c r="C7513" t="s">
        <v>16190</v>
      </c>
      <c r="D7513" t="s">
        <v>16215</v>
      </c>
      <c r="E7513" t="s">
        <v>16218</v>
      </c>
      <c r="F7513" t="s">
        <v>16220</v>
      </c>
      <c r="G7513" t="s">
        <v>16299</v>
      </c>
      <c r="H7513" t="s">
        <v>16299</v>
      </c>
      <c r="I7513" t="s">
        <v>16382</v>
      </c>
      <c r="J7513" t="s">
        <v>16385</v>
      </c>
      <c r="K7513">
        <v>0.115</v>
      </c>
      <c r="L7513">
        <v>4990</v>
      </c>
      <c r="M7513">
        <v>1162</v>
      </c>
      <c r="N7513" t="s">
        <v>16393</v>
      </c>
      <c r="O7513" s="4">
        <v>54797</v>
      </c>
      <c r="P7513" s="4">
        <v>60648</v>
      </c>
      <c r="Q7513" s="4">
        <v>115445</v>
      </c>
      <c r="R7513" s="4">
        <v>346335</v>
      </c>
      <c r="S7513" t="s">
        <v>23214</v>
      </c>
      <c r="T7513" s="6">
        <v>43525</v>
      </c>
      <c r="U7513" s="4">
        <v>195000</v>
      </c>
      <c r="V7513" t="s">
        <v>23739</v>
      </c>
      <c r="W7513" t="s">
        <v>27596</v>
      </c>
      <c r="X7513" t="s">
        <v>3</v>
      </c>
      <c r="AA7513" s="5" t="str">
        <f>HYPERLINK("https://www.zillow.com/homes/2346-SUNNYDALE-DR-WOODRIDGE-IL-605171843_rb/","check listing")</f>
        <v>check listing</v>
      </c>
      <c r="AB7513" s="5" t="str">
        <f>HYPERLINK("https://propertylookup.dupagecounty.gov/Datalets/Datalet.aspx?UseSearch=no&amp;mode=sales&amp;pin=0824419019","sales record")</f>
        <v>sales record</v>
      </c>
      <c r="AC7513" t="s">
        <v>3</v>
      </c>
      <c r="AD7513">
        <v>41.760665</v>
      </c>
      <c r="AE7513">
        <v>-88.038442</v>
      </c>
      <c r="AF7513" s="5" t="str">
        <f>HYPERLINK("https://www.google.com/maps/search/?api=1&amp;query=41.760665,-88.038442","map")</f>
        <v>map</v>
      </c>
    </row>
    <row r="7514" spans="1:32">
      <c r="A7514" t="s">
        <v>7564</v>
      </c>
      <c r="B7514" t="s">
        <v>15015</v>
      </c>
      <c r="C7514" t="s">
        <v>15323</v>
      </c>
      <c r="D7514" t="s">
        <v>16215</v>
      </c>
      <c r="E7514" t="s">
        <v>16218</v>
      </c>
      <c r="F7514" t="s">
        <v>16220</v>
      </c>
      <c r="G7514" t="s">
        <v>16299</v>
      </c>
      <c r="H7514" t="s">
        <v>16299</v>
      </c>
      <c r="I7514" t="s">
        <v>16382</v>
      </c>
      <c r="J7514" t="s">
        <v>16385</v>
      </c>
      <c r="K7514">
        <v>0.114</v>
      </c>
      <c r="L7514">
        <v>4985</v>
      </c>
      <c r="M7514">
        <v>885</v>
      </c>
      <c r="N7514" t="s">
        <v>16393</v>
      </c>
      <c r="O7514" s="4">
        <v>54797</v>
      </c>
      <c r="P7514" s="4">
        <v>58126</v>
      </c>
      <c r="Q7514" s="4">
        <v>112923</v>
      </c>
      <c r="R7514" s="4">
        <v>338769</v>
      </c>
      <c r="S7514" t="s">
        <v>23655</v>
      </c>
      <c r="T7514" s="6">
        <v>41153</v>
      </c>
      <c r="U7514" s="4">
        <v>145000</v>
      </c>
      <c r="V7514" t="s">
        <v>23739</v>
      </c>
      <c r="W7514" t="s">
        <v>27816</v>
      </c>
      <c r="X7514" t="s">
        <v>3</v>
      </c>
      <c r="AA7514" s="5" t="str">
        <f>HYPERLINK("https://www.zillow.com/homes/2343-VISTA-DR-WOODRIDGE-IL-60517_rb/","check listing")</f>
        <v>check listing</v>
      </c>
      <c r="AB7514" s="5" t="str">
        <f>HYPERLINK("https://propertylookup.dupagecounty.gov/Datalets/Datalet.aspx?UseSearch=no&amp;mode=sales&amp;pin=0824419010","sales record")</f>
        <v>sales record</v>
      </c>
      <c r="AC7514" t="s">
        <v>3</v>
      </c>
      <c r="AD7514">
        <v>41.760963</v>
      </c>
      <c r="AE7514">
        <v>-88.03758999999999</v>
      </c>
      <c r="AF7514" s="5" t="str">
        <f>HYPERLINK("https://www.google.com/maps/search/?api=1&amp;query=41.760963,-88.03759","map")</f>
        <v>map</v>
      </c>
    </row>
    <row r="7515" spans="1:32">
      <c r="A7515" t="s">
        <v>7565</v>
      </c>
      <c r="B7515" t="s">
        <v>15016</v>
      </c>
      <c r="C7515" t="s">
        <v>16186</v>
      </c>
      <c r="D7515" t="s">
        <v>16215</v>
      </c>
      <c r="E7515" t="s">
        <v>16218</v>
      </c>
      <c r="F7515" t="s">
        <v>16220</v>
      </c>
      <c r="G7515" t="s">
        <v>16299</v>
      </c>
      <c r="H7515" t="s">
        <v>16299</v>
      </c>
      <c r="I7515" t="s">
        <v>16382</v>
      </c>
      <c r="J7515" t="s">
        <v>16385</v>
      </c>
      <c r="K7515">
        <v>0.114</v>
      </c>
      <c r="L7515">
        <v>4983</v>
      </c>
      <c r="M7515">
        <v>1765</v>
      </c>
      <c r="N7515" t="s">
        <v>16393</v>
      </c>
      <c r="O7515" s="4">
        <v>54797</v>
      </c>
      <c r="P7515" s="4">
        <v>55915</v>
      </c>
      <c r="Q7515" s="4">
        <v>110712</v>
      </c>
      <c r="R7515" s="4">
        <v>332136</v>
      </c>
      <c r="S7515" t="s">
        <v>23656</v>
      </c>
      <c r="T7515" s="6">
        <v>31717</v>
      </c>
      <c r="U7515" s="4">
        <v>78500</v>
      </c>
      <c r="X7515" t="s">
        <v>3</v>
      </c>
      <c r="AA7515" s="5" t="str">
        <f>HYPERLINK("https://www.zillow.com/homes/2393-GOLDFINCH-ST-WOODRIDGE-IL-605171857_rb/","check listing")</f>
        <v>check listing</v>
      </c>
      <c r="AB7515" s="5" t="str">
        <f>HYPERLINK("https://propertylookup.dupagecounty.gov/Datalets/Datalet.aspx?UseSearch=no&amp;mode=sales&amp;pin=0824408002","sales record")</f>
        <v>sales record</v>
      </c>
      <c r="AC7515" t="s">
        <v>3</v>
      </c>
      <c r="AD7515">
        <v>41.761596</v>
      </c>
      <c r="AE7515">
        <v>-88.04002800000001</v>
      </c>
      <c r="AF7515" s="5" t="str">
        <f>HYPERLINK("https://www.google.com/maps/search/?api=1&amp;query=41.761596,-88.040028","map")</f>
        <v>map</v>
      </c>
    </row>
    <row r="7516" spans="1:32">
      <c r="A7516" t="s">
        <v>7566</v>
      </c>
      <c r="B7516" t="s">
        <v>15017</v>
      </c>
      <c r="C7516" t="s">
        <v>15323</v>
      </c>
      <c r="D7516" t="s">
        <v>16215</v>
      </c>
      <c r="E7516" t="s">
        <v>16218</v>
      </c>
      <c r="F7516" t="s">
        <v>16220</v>
      </c>
      <c r="G7516" t="s">
        <v>16299</v>
      </c>
      <c r="H7516" t="s">
        <v>16299</v>
      </c>
      <c r="I7516" t="s">
        <v>16382</v>
      </c>
      <c r="J7516" t="s">
        <v>16385</v>
      </c>
      <c r="K7516">
        <v>0.114</v>
      </c>
      <c r="L7516">
        <v>4981</v>
      </c>
      <c r="M7516">
        <v>1267</v>
      </c>
      <c r="N7516" t="s">
        <v>16393</v>
      </c>
      <c r="O7516" s="4">
        <v>54797</v>
      </c>
      <c r="P7516" s="4">
        <v>58079</v>
      </c>
      <c r="Q7516" s="4">
        <v>112876</v>
      </c>
      <c r="R7516" s="4">
        <v>338628</v>
      </c>
      <c r="S7516" t="s">
        <v>23657</v>
      </c>
      <c r="T7516" s="6">
        <v>36312</v>
      </c>
      <c r="U7516" s="4">
        <v>152000</v>
      </c>
      <c r="X7516" t="s">
        <v>3</v>
      </c>
      <c r="AA7516" s="5" t="str">
        <f>HYPERLINK("https://www.zillow.com/homes/2342-SUNNYDALE-DR-WOODRIDGE-IL-60517_rb/","check listing")</f>
        <v>check listing</v>
      </c>
      <c r="AB7516" s="5" t="str">
        <f>HYPERLINK("https://propertylookup.dupagecounty.gov/Datalets/Datalet.aspx?UseSearch=no&amp;mode=sales&amp;pin=0824419018","sales record")</f>
        <v>sales record</v>
      </c>
      <c r="AC7516" t="s">
        <v>3</v>
      </c>
      <c r="AD7516">
        <v>41.76067</v>
      </c>
      <c r="AE7516">
        <v>-88.038259</v>
      </c>
      <c r="AF7516" s="5" t="str">
        <f>HYPERLINK("https://www.google.com/maps/search/?api=1&amp;query=41.76067,-88.038259","map")</f>
        <v>map</v>
      </c>
    </row>
    <row r="7517" spans="1:32">
      <c r="A7517" t="s">
        <v>7567</v>
      </c>
      <c r="B7517" t="s">
        <v>15018</v>
      </c>
      <c r="C7517" t="s">
        <v>16190</v>
      </c>
      <c r="D7517" t="s">
        <v>16215</v>
      </c>
      <c r="E7517" t="s">
        <v>16218</v>
      </c>
      <c r="F7517" t="s">
        <v>16220</v>
      </c>
      <c r="G7517" t="s">
        <v>16299</v>
      </c>
      <c r="H7517" t="s">
        <v>16299</v>
      </c>
      <c r="I7517" t="s">
        <v>16382</v>
      </c>
      <c r="J7517" t="s">
        <v>16385</v>
      </c>
      <c r="K7517">
        <v>0.114</v>
      </c>
      <c r="L7517">
        <v>4978</v>
      </c>
      <c r="M7517">
        <v>1638</v>
      </c>
      <c r="N7517" t="s">
        <v>16393</v>
      </c>
      <c r="O7517" s="4">
        <v>54797</v>
      </c>
      <c r="P7517" s="4">
        <v>51170</v>
      </c>
      <c r="Q7517" s="4">
        <v>105967</v>
      </c>
      <c r="R7517" s="4">
        <v>317901</v>
      </c>
      <c r="S7517" t="s">
        <v>23658</v>
      </c>
      <c r="T7517" s="6">
        <v>39569</v>
      </c>
      <c r="U7517" s="4">
        <v>202000</v>
      </c>
      <c r="V7517" t="s">
        <v>23739</v>
      </c>
      <c r="W7517" t="s">
        <v>27817</v>
      </c>
      <c r="X7517" t="s">
        <v>3</v>
      </c>
      <c r="AA7517" s="5" t="str">
        <f>HYPERLINK("https://www.zillow.com/homes/2338-SUNNYDALE-DR-WOODRIDGE-IL-605171843_rb/","check listing")</f>
        <v>check listing</v>
      </c>
      <c r="AB7517" s="5" t="str">
        <f>HYPERLINK("https://propertylookup.dupagecounty.gov/Datalets/Datalet.aspx?UseSearch=no&amp;mode=sales&amp;pin=0824419017","sales record")</f>
        <v>sales record</v>
      </c>
      <c r="AC7517" t="s">
        <v>3</v>
      </c>
      <c r="AD7517">
        <v>41.760675</v>
      </c>
      <c r="AE7517">
        <v>-88.038076</v>
      </c>
      <c r="AF7517" s="5" t="str">
        <f>HYPERLINK("https://www.google.com/maps/search/?api=1&amp;query=41.760675,-88.038076","map")</f>
        <v>map</v>
      </c>
    </row>
    <row r="7518" spans="1:32">
      <c r="A7518" t="s">
        <v>7568</v>
      </c>
      <c r="B7518" t="s">
        <v>15019</v>
      </c>
      <c r="C7518" t="s">
        <v>15323</v>
      </c>
      <c r="D7518" t="s">
        <v>16215</v>
      </c>
      <c r="E7518" t="s">
        <v>16218</v>
      </c>
      <c r="F7518" t="s">
        <v>16220</v>
      </c>
      <c r="G7518" t="s">
        <v>16299</v>
      </c>
      <c r="H7518" t="s">
        <v>16299</v>
      </c>
      <c r="I7518" t="s">
        <v>16382</v>
      </c>
      <c r="J7518" t="s">
        <v>16385</v>
      </c>
      <c r="K7518">
        <v>0.114</v>
      </c>
      <c r="L7518">
        <v>4978</v>
      </c>
      <c r="M7518">
        <v>963</v>
      </c>
      <c r="N7518" t="s">
        <v>16393</v>
      </c>
      <c r="O7518" s="4">
        <v>54797</v>
      </c>
      <c r="P7518" s="4">
        <v>63097</v>
      </c>
      <c r="Q7518" s="4">
        <v>117894</v>
      </c>
      <c r="R7518" s="4">
        <v>353682</v>
      </c>
      <c r="S7518" t="s">
        <v>23659</v>
      </c>
      <c r="T7518" s="6">
        <v>35004</v>
      </c>
      <c r="U7518" s="4">
        <v>136000</v>
      </c>
      <c r="X7518" t="s">
        <v>3</v>
      </c>
      <c r="AA7518" s="5" t="str">
        <f>HYPERLINK("https://www.zillow.com/homes/6792-REDWING-DR-WOODRIDGE-IL-60517_rb/","check listing")</f>
        <v>check listing</v>
      </c>
      <c r="AB7518" s="5" t="str">
        <f>HYPERLINK("https://propertylookup.dupagecounty.gov/Datalets/Datalet.aspx?UseSearch=no&amp;mode=sales&amp;pin=0824405005","sales record")</f>
        <v>sales record</v>
      </c>
      <c r="AC7518" t="s">
        <v>3</v>
      </c>
      <c r="AD7518">
        <v>41.763755</v>
      </c>
      <c r="AE7518">
        <v>-88.03954</v>
      </c>
      <c r="AF7518" s="5" t="str">
        <f>HYPERLINK("https://www.google.com/maps/search/?api=1&amp;query=41.763755,-88.03954","map")</f>
        <v>map</v>
      </c>
    </row>
    <row r="7519" spans="1:32">
      <c r="A7519" t="s">
        <v>7569</v>
      </c>
      <c r="B7519" t="s">
        <v>15020</v>
      </c>
      <c r="C7519" t="s">
        <v>15323</v>
      </c>
      <c r="D7519" t="s">
        <v>16215</v>
      </c>
      <c r="E7519" t="s">
        <v>16218</v>
      </c>
      <c r="F7519" t="s">
        <v>16220</v>
      </c>
      <c r="G7519" t="s">
        <v>16299</v>
      </c>
      <c r="H7519" t="s">
        <v>16299</v>
      </c>
      <c r="I7519" t="s">
        <v>16382</v>
      </c>
      <c r="J7519" t="s">
        <v>16385</v>
      </c>
      <c r="K7519">
        <v>0.114</v>
      </c>
      <c r="L7519">
        <v>4976</v>
      </c>
      <c r="M7519">
        <v>987</v>
      </c>
      <c r="N7519" t="s">
        <v>16393</v>
      </c>
      <c r="O7519" s="4">
        <v>54797</v>
      </c>
      <c r="P7519" s="4">
        <v>60125</v>
      </c>
      <c r="Q7519" s="4">
        <v>114922</v>
      </c>
      <c r="R7519" s="4">
        <v>344766</v>
      </c>
      <c r="S7519" t="s">
        <v>23660</v>
      </c>
      <c r="T7519" s="6">
        <v>46051</v>
      </c>
      <c r="U7519" s="4">
        <v>385000</v>
      </c>
      <c r="V7519" t="s">
        <v>23739</v>
      </c>
      <c r="W7519" t="s">
        <v>27818</v>
      </c>
      <c r="X7519" t="s">
        <v>3</v>
      </c>
      <c r="AA7519" s="5" t="str">
        <f>HYPERLINK("https://www.zillow.com/homes/6796-RED-WING-DR-WOODRIDGE-IL-60517_rb/","check listing")</f>
        <v>check listing</v>
      </c>
      <c r="AB7519" s="5" t="str">
        <f>HYPERLINK("https://propertylookup.dupagecounty.gov/Datalets/Datalet.aspx?UseSearch=no&amp;mode=sales&amp;pin=0824405006","sales record")</f>
        <v>sales record</v>
      </c>
      <c r="AC7519" t="s">
        <v>3</v>
      </c>
      <c r="AD7519">
        <v>41.76376</v>
      </c>
      <c r="AE7519">
        <v>-88.039357</v>
      </c>
      <c r="AF7519" s="5" t="str">
        <f>HYPERLINK("https://www.google.com/maps/search/?api=1&amp;query=41.76376,-88.039357","map")</f>
        <v>map</v>
      </c>
    </row>
    <row r="7520" spans="1:32">
      <c r="A7520" t="s">
        <v>7570</v>
      </c>
      <c r="B7520" t="s">
        <v>15021</v>
      </c>
      <c r="C7520" t="s">
        <v>15323</v>
      </c>
      <c r="D7520" t="s">
        <v>16215</v>
      </c>
      <c r="E7520" t="s">
        <v>16218</v>
      </c>
      <c r="F7520" t="s">
        <v>16220</v>
      </c>
      <c r="G7520" t="s">
        <v>16299</v>
      </c>
      <c r="H7520" t="s">
        <v>16299</v>
      </c>
      <c r="I7520" t="s">
        <v>16382</v>
      </c>
      <c r="J7520" t="s">
        <v>16385</v>
      </c>
      <c r="K7520">
        <v>0.114</v>
      </c>
      <c r="L7520">
        <v>4974</v>
      </c>
      <c r="M7520">
        <v>1635</v>
      </c>
      <c r="N7520" t="s">
        <v>16393</v>
      </c>
      <c r="O7520" s="4">
        <v>54797</v>
      </c>
      <c r="P7520" s="4">
        <v>53238</v>
      </c>
      <c r="Q7520" s="4">
        <v>108035</v>
      </c>
      <c r="R7520" s="4">
        <v>324105</v>
      </c>
      <c r="S7520" t="s">
        <v>23661</v>
      </c>
      <c r="T7520" s="6">
        <v>37408</v>
      </c>
      <c r="U7520" s="4">
        <v>167000</v>
      </c>
      <c r="V7520" t="s">
        <v>23739</v>
      </c>
      <c r="W7520" t="s">
        <v>27819</v>
      </c>
      <c r="X7520" t="s">
        <v>3</v>
      </c>
      <c r="AA7520" s="5" t="str">
        <f>HYPERLINK("https://www.zillow.com/homes/2355-SUNNYDALE-DR-WOODRIDGE-IL-60517_rb/","check listing")</f>
        <v>check listing</v>
      </c>
      <c r="AB7520" s="5" t="str">
        <f>HYPERLINK("https://propertylookup.dupagecounty.gov/Datalets/Datalet.aspx?UseSearch=no&amp;mode=sales&amp;pin=0824420009","sales record")</f>
        <v>sales record</v>
      </c>
      <c r="AC7520" t="s">
        <v>3</v>
      </c>
      <c r="AD7520">
        <v>41.760241</v>
      </c>
      <c r="AE7520">
        <v>-88.03886900000001</v>
      </c>
      <c r="AF7520" s="5" t="str">
        <f>HYPERLINK("https://www.google.com/maps/search/?api=1&amp;query=41.760241,-88.038869","map")</f>
        <v>map</v>
      </c>
    </row>
    <row r="7521" spans="1:32">
      <c r="A7521" t="s">
        <v>7571</v>
      </c>
      <c r="B7521" t="s">
        <v>15022</v>
      </c>
      <c r="C7521" t="s">
        <v>16190</v>
      </c>
      <c r="D7521" t="s">
        <v>16215</v>
      </c>
      <c r="E7521" t="s">
        <v>16218</v>
      </c>
      <c r="F7521" t="s">
        <v>16220</v>
      </c>
      <c r="G7521" t="s">
        <v>16299</v>
      </c>
      <c r="H7521" t="s">
        <v>16299</v>
      </c>
      <c r="I7521" t="s">
        <v>16382</v>
      </c>
      <c r="J7521" t="s">
        <v>16385</v>
      </c>
      <c r="K7521">
        <v>0.114</v>
      </c>
      <c r="L7521">
        <v>4973</v>
      </c>
      <c r="M7521">
        <v>1024</v>
      </c>
      <c r="N7521" t="s">
        <v>16393</v>
      </c>
      <c r="O7521" s="4">
        <v>54797</v>
      </c>
      <c r="P7521" s="4">
        <v>61706</v>
      </c>
      <c r="Q7521" s="4">
        <v>116503</v>
      </c>
      <c r="R7521" s="4">
        <v>349509</v>
      </c>
      <c r="S7521" t="s">
        <v>23662</v>
      </c>
      <c r="T7521" s="6">
        <v>44013</v>
      </c>
      <c r="U7521" s="4">
        <v>267500</v>
      </c>
      <c r="V7521" t="s">
        <v>23739</v>
      </c>
      <c r="W7521" t="s">
        <v>27820</v>
      </c>
      <c r="X7521" t="s">
        <v>3</v>
      </c>
      <c r="AA7521" s="5" t="str">
        <f>HYPERLINK("https://www.zillow.com/homes/2334-SUNNYDALE-DR-WOODRIDGE-IL-605171843_rb/","check listing")</f>
        <v>check listing</v>
      </c>
      <c r="AB7521" s="5" t="str">
        <f>HYPERLINK("https://propertylookup.dupagecounty.gov/Datalets/Datalet.aspx?UseSearch=no&amp;mode=sales&amp;pin=0824419016","sales record")</f>
        <v>sales record</v>
      </c>
      <c r="AC7521" t="s">
        <v>3</v>
      </c>
      <c r="AD7521">
        <v>41.760681</v>
      </c>
      <c r="AE7521">
        <v>-88.037893</v>
      </c>
      <c r="AF7521" s="5" t="str">
        <f>HYPERLINK("https://www.google.com/maps/search/?api=1&amp;query=41.760681,-88.037893","map")</f>
        <v>map</v>
      </c>
    </row>
    <row r="7522" spans="1:32">
      <c r="A7522" t="s">
        <v>7572</v>
      </c>
      <c r="B7522" t="s">
        <v>15023</v>
      </c>
      <c r="C7522" t="s">
        <v>15323</v>
      </c>
      <c r="D7522" t="s">
        <v>16215</v>
      </c>
      <c r="E7522" t="s">
        <v>16218</v>
      </c>
      <c r="F7522" t="s">
        <v>16220</v>
      </c>
      <c r="G7522" t="s">
        <v>16299</v>
      </c>
      <c r="H7522" t="s">
        <v>16299</v>
      </c>
      <c r="I7522" t="s">
        <v>16382</v>
      </c>
      <c r="J7522" t="s">
        <v>16385</v>
      </c>
      <c r="K7522">
        <v>0.114</v>
      </c>
      <c r="L7522">
        <v>4970</v>
      </c>
      <c r="M7522">
        <v>1318</v>
      </c>
      <c r="N7522" t="s">
        <v>16393</v>
      </c>
      <c r="O7522" s="4">
        <v>54797</v>
      </c>
      <c r="P7522" s="4">
        <v>58126</v>
      </c>
      <c r="Q7522" s="4">
        <v>112923</v>
      </c>
      <c r="R7522" s="4">
        <v>338769</v>
      </c>
      <c r="S7522" t="s">
        <v>23663</v>
      </c>
      <c r="T7522" s="6">
        <v>37104</v>
      </c>
      <c r="U7522" s="4">
        <v>167000</v>
      </c>
      <c r="V7522" t="s">
        <v>23739</v>
      </c>
      <c r="W7522" t="s">
        <v>27821</v>
      </c>
      <c r="X7522" t="s">
        <v>3</v>
      </c>
      <c r="AA7522" s="5" t="str">
        <f>HYPERLINK("https://www.zillow.com/homes/2351-SUNNYDALE-DR-WOODRIDGE-IL-60517_rb/","check listing")</f>
        <v>check listing</v>
      </c>
      <c r="AB7522" s="5" t="str">
        <f>HYPERLINK("https://propertylookup.dupagecounty.gov/Datalets/Datalet.aspx?UseSearch=no&amp;mode=sales&amp;pin=0824420010","sales record")</f>
        <v>sales record</v>
      </c>
      <c r="AC7522" t="s">
        <v>3</v>
      </c>
      <c r="AD7522">
        <v>41.760246</v>
      </c>
      <c r="AE7522">
        <v>-88.038686</v>
      </c>
      <c r="AF7522" s="5" t="str">
        <f>HYPERLINK("https://www.google.com/maps/search/?api=1&amp;query=41.760246,-88.038686","map")</f>
        <v>map</v>
      </c>
    </row>
    <row r="7523" spans="1:32">
      <c r="A7523" t="s">
        <v>7573</v>
      </c>
      <c r="B7523" t="s">
        <v>15024</v>
      </c>
      <c r="C7523" t="s">
        <v>15323</v>
      </c>
      <c r="D7523" t="s">
        <v>16215</v>
      </c>
      <c r="E7523" t="s">
        <v>16218</v>
      </c>
      <c r="F7523" t="s">
        <v>16220</v>
      </c>
      <c r="G7523" t="s">
        <v>16299</v>
      </c>
      <c r="H7523" t="s">
        <v>16299</v>
      </c>
      <c r="I7523" t="s">
        <v>16382</v>
      </c>
      <c r="J7523" t="s">
        <v>16385</v>
      </c>
      <c r="K7523">
        <v>0.114</v>
      </c>
      <c r="L7523">
        <v>4967</v>
      </c>
      <c r="M7523">
        <v>1886</v>
      </c>
      <c r="N7523" t="s">
        <v>16393</v>
      </c>
      <c r="O7523" s="4">
        <v>54785</v>
      </c>
      <c r="P7523" s="4">
        <v>55308</v>
      </c>
      <c r="Q7523" s="4">
        <v>110093</v>
      </c>
      <c r="R7523" s="4">
        <v>330279</v>
      </c>
      <c r="S7523" t="s">
        <v>23664</v>
      </c>
      <c r="T7523" s="6">
        <v>31837</v>
      </c>
      <c r="U7523" s="4">
        <v>83500</v>
      </c>
      <c r="X7523" t="s">
        <v>3</v>
      </c>
      <c r="AA7523" s="5" t="str">
        <f>HYPERLINK("https://www.zillow.com/homes/2330-SUNNYDALE-DR-WOODRIDGE-IL-60517_rb/","check listing")</f>
        <v>check listing</v>
      </c>
      <c r="AB7523" s="5" t="str">
        <f>HYPERLINK("https://propertylookup.dupagecounty.gov/Datalets/Datalet.aspx?UseSearch=no&amp;mode=sales&amp;pin=0824419015","sales record")</f>
        <v>sales record</v>
      </c>
      <c r="AC7523" t="s">
        <v>3</v>
      </c>
      <c r="AD7523">
        <v>41.760685</v>
      </c>
      <c r="AE7523">
        <v>-88.03771</v>
      </c>
      <c r="AF7523" s="5" t="str">
        <f>HYPERLINK("https://www.google.com/maps/search/?api=1&amp;query=41.760685,-88.03771","map")</f>
        <v>map</v>
      </c>
    </row>
    <row r="7524" spans="1:32">
      <c r="A7524" t="s">
        <v>7574</v>
      </c>
      <c r="B7524" t="s">
        <v>15025</v>
      </c>
      <c r="C7524" t="s">
        <v>15323</v>
      </c>
      <c r="D7524" t="s">
        <v>16215</v>
      </c>
      <c r="E7524" t="s">
        <v>16218</v>
      </c>
      <c r="F7524" t="s">
        <v>16220</v>
      </c>
      <c r="G7524" t="s">
        <v>16299</v>
      </c>
      <c r="H7524" t="s">
        <v>16299</v>
      </c>
      <c r="I7524" t="s">
        <v>16382</v>
      </c>
      <c r="J7524" t="s">
        <v>16385</v>
      </c>
      <c r="K7524">
        <v>0.114</v>
      </c>
      <c r="L7524">
        <v>4964</v>
      </c>
      <c r="M7524">
        <v>1714</v>
      </c>
      <c r="N7524" t="s">
        <v>16393</v>
      </c>
      <c r="O7524" s="4">
        <v>54797</v>
      </c>
      <c r="P7524" s="4">
        <v>54809</v>
      </c>
      <c r="Q7524" s="4">
        <v>109606</v>
      </c>
      <c r="R7524" s="4">
        <v>328818</v>
      </c>
      <c r="S7524" t="s">
        <v>23665</v>
      </c>
      <c r="T7524" s="6">
        <v>45603</v>
      </c>
      <c r="U7524" s="4">
        <v>271000</v>
      </c>
      <c r="V7524" t="s">
        <v>23739</v>
      </c>
      <c r="W7524" t="s">
        <v>27822</v>
      </c>
      <c r="X7524" t="s">
        <v>3</v>
      </c>
      <c r="AA7524" s="5" t="str">
        <f>HYPERLINK("https://www.zillow.com/homes/12-BLUE-JAY-CT-WOODRIDGE-IL-60517_rb/","check listing")</f>
        <v>check listing</v>
      </c>
      <c r="AB7524" s="5" t="str">
        <f>HYPERLINK("https://propertylookup.dupagecounty.gov/Datalets/Datalet.aspx?UseSearch=no&amp;mode=sales&amp;pin=0824319012","sales record")</f>
        <v>sales record</v>
      </c>
      <c r="AC7524" t="s">
        <v>3</v>
      </c>
      <c r="AD7524">
        <v>41.762943</v>
      </c>
      <c r="AE7524">
        <v>-88.042649</v>
      </c>
      <c r="AF7524" s="5" t="str">
        <f>HYPERLINK("https://www.google.com/maps/search/?api=1&amp;query=41.762943,-88.042649","map")</f>
        <v>map</v>
      </c>
    </row>
    <row r="7525" spans="1:32">
      <c r="A7525" t="s">
        <v>7575</v>
      </c>
      <c r="B7525" t="s">
        <v>15026</v>
      </c>
      <c r="C7525" t="s">
        <v>15323</v>
      </c>
      <c r="D7525" t="s">
        <v>16215</v>
      </c>
      <c r="E7525" t="s">
        <v>16218</v>
      </c>
      <c r="F7525" t="s">
        <v>16220</v>
      </c>
      <c r="G7525" t="s">
        <v>16299</v>
      </c>
      <c r="H7525" t="s">
        <v>16299</v>
      </c>
      <c r="I7525" t="s">
        <v>16382</v>
      </c>
      <c r="J7525" t="s">
        <v>16385</v>
      </c>
      <c r="K7525">
        <v>0.114</v>
      </c>
      <c r="L7525">
        <v>4963</v>
      </c>
      <c r="M7525">
        <v>1736</v>
      </c>
      <c r="N7525" t="s">
        <v>16393</v>
      </c>
      <c r="O7525" s="4">
        <v>54797</v>
      </c>
      <c r="P7525" s="4">
        <v>54809</v>
      </c>
      <c r="Q7525" s="4">
        <v>109606</v>
      </c>
      <c r="R7525" s="4">
        <v>328818</v>
      </c>
      <c r="S7525" t="s">
        <v>23666</v>
      </c>
      <c r="T7525" s="6">
        <v>30895</v>
      </c>
      <c r="U7525" s="4">
        <v>66000</v>
      </c>
      <c r="X7525" t="s">
        <v>3</v>
      </c>
      <c r="AA7525" s="5" t="str">
        <f>HYPERLINK("https://www.zillow.com/homes/2347-SUNNYDALE-DR-WOODRIDGE-IL-60517_rb/","check listing")</f>
        <v>check listing</v>
      </c>
      <c r="AB7525" s="5" t="str">
        <f>HYPERLINK("https://propertylookup.dupagecounty.gov/Datalets/Datalet.aspx?UseSearch=no&amp;mode=sales&amp;pin=0824420011","sales record")</f>
        <v>sales record</v>
      </c>
      <c r="AC7525" t="s">
        <v>3</v>
      </c>
      <c r="AD7525">
        <v>41.76025</v>
      </c>
      <c r="AE7525">
        <v>-88.03850300000001</v>
      </c>
      <c r="AF7525" s="5" t="str">
        <f>HYPERLINK("https://www.google.com/maps/search/?api=1&amp;query=41.76025,-88.038503","map")</f>
        <v>map</v>
      </c>
    </row>
    <row r="7526" spans="1:32">
      <c r="A7526" t="s">
        <v>7576</v>
      </c>
      <c r="B7526" t="s">
        <v>15027</v>
      </c>
      <c r="C7526" t="s">
        <v>15323</v>
      </c>
      <c r="D7526" t="s">
        <v>16215</v>
      </c>
      <c r="E7526" t="s">
        <v>16218</v>
      </c>
      <c r="F7526" t="s">
        <v>16220</v>
      </c>
      <c r="G7526" t="s">
        <v>16299</v>
      </c>
      <c r="H7526" t="s">
        <v>16299</v>
      </c>
      <c r="I7526" t="s">
        <v>16382</v>
      </c>
      <c r="J7526" t="s">
        <v>16385</v>
      </c>
      <c r="K7526">
        <v>0.114</v>
      </c>
      <c r="L7526">
        <v>4959</v>
      </c>
      <c r="M7526">
        <v>1473</v>
      </c>
      <c r="N7526" t="s">
        <v>16393</v>
      </c>
      <c r="O7526" s="4">
        <v>54797</v>
      </c>
      <c r="P7526" s="4">
        <v>63953</v>
      </c>
      <c r="Q7526" s="4">
        <v>118750</v>
      </c>
      <c r="R7526" s="4">
        <v>356250</v>
      </c>
      <c r="S7526" t="s">
        <v>23667</v>
      </c>
      <c r="T7526" s="6">
        <v>41456</v>
      </c>
      <c r="U7526" s="4">
        <v>180101</v>
      </c>
      <c r="V7526" t="s">
        <v>16232</v>
      </c>
      <c r="W7526" t="s">
        <v>23667</v>
      </c>
      <c r="X7526" t="s">
        <v>3</v>
      </c>
      <c r="AA7526" s="5" t="str">
        <f>HYPERLINK("https://www.zillow.com/homes/2343-SUNNYDALE-DR-WOODRIDGE-IL-60517_rb/","check listing")</f>
        <v>check listing</v>
      </c>
      <c r="AB7526" s="5" t="str">
        <f>HYPERLINK("https://propertylookup.dupagecounty.gov/Datalets/Datalet.aspx?UseSearch=no&amp;mode=sales&amp;pin=0824420012","sales record")</f>
        <v>sales record</v>
      </c>
      <c r="AC7526" t="s">
        <v>3</v>
      </c>
      <c r="AD7526">
        <v>41.760255</v>
      </c>
      <c r="AE7526">
        <v>-88.038319</v>
      </c>
      <c r="AF7526" s="5" t="str">
        <f>HYPERLINK("https://www.google.com/maps/search/?api=1&amp;query=41.760255,-88.038319","map")</f>
        <v>map</v>
      </c>
    </row>
    <row r="7527" spans="1:32">
      <c r="A7527" t="s">
        <v>7577</v>
      </c>
      <c r="B7527" t="s">
        <v>15028</v>
      </c>
      <c r="C7527" t="s">
        <v>15323</v>
      </c>
      <c r="D7527" t="s">
        <v>16215</v>
      </c>
      <c r="E7527" t="s">
        <v>16218</v>
      </c>
      <c r="F7527" t="s">
        <v>16220</v>
      </c>
      <c r="G7527" t="s">
        <v>16299</v>
      </c>
      <c r="H7527" t="s">
        <v>16299</v>
      </c>
      <c r="I7527" t="s">
        <v>16382</v>
      </c>
      <c r="J7527" t="s">
        <v>16385</v>
      </c>
      <c r="K7527">
        <v>0.114</v>
      </c>
      <c r="L7527">
        <v>4952</v>
      </c>
      <c r="M7527">
        <v>1675</v>
      </c>
      <c r="N7527" t="s">
        <v>16393</v>
      </c>
      <c r="O7527" s="4">
        <v>54797</v>
      </c>
      <c r="P7527" s="4">
        <v>55915</v>
      </c>
      <c r="Q7527" s="4">
        <v>110712</v>
      </c>
      <c r="R7527" s="4">
        <v>332136</v>
      </c>
      <c r="S7527" t="s">
        <v>23668</v>
      </c>
      <c r="T7527" s="6">
        <v>37956</v>
      </c>
      <c r="U7527" s="4">
        <v>182000</v>
      </c>
      <c r="V7527" t="s">
        <v>23739</v>
      </c>
      <c r="W7527" t="s">
        <v>23668</v>
      </c>
      <c r="X7527" t="s">
        <v>3</v>
      </c>
      <c r="AA7527" s="5" t="str">
        <f>HYPERLINK("https://www.zillow.com/homes/2339-SUNNYDALE-DR-WOODRIDGE-IL-60517_rb/","check listing")</f>
        <v>check listing</v>
      </c>
      <c r="AB7527" s="5" t="str">
        <f>HYPERLINK("https://propertylookup.dupagecounty.gov/Datalets/Datalet.aspx?UseSearch=no&amp;mode=sales&amp;pin=0824420013","sales record")</f>
        <v>sales record</v>
      </c>
      <c r="AC7527" t="s">
        <v>3</v>
      </c>
      <c r="AD7527">
        <v>41.760259</v>
      </c>
      <c r="AE7527">
        <v>-88.03813599999999</v>
      </c>
      <c r="AF7527" s="5" t="str">
        <f>HYPERLINK("https://www.google.com/maps/search/?api=1&amp;query=41.760259,-88.038136","map")</f>
        <v>map</v>
      </c>
    </row>
    <row r="7528" spans="1:32">
      <c r="A7528" t="s">
        <v>7578</v>
      </c>
      <c r="B7528" t="s">
        <v>15029</v>
      </c>
      <c r="C7528" t="s">
        <v>15323</v>
      </c>
      <c r="D7528" t="s">
        <v>16215</v>
      </c>
      <c r="E7528" t="s">
        <v>16218</v>
      </c>
      <c r="F7528" t="s">
        <v>16220</v>
      </c>
      <c r="G7528" t="s">
        <v>16299</v>
      </c>
      <c r="H7528" t="s">
        <v>16299</v>
      </c>
      <c r="I7528" t="s">
        <v>16382</v>
      </c>
      <c r="J7528" t="s">
        <v>16385</v>
      </c>
      <c r="K7528">
        <v>0.114</v>
      </c>
      <c r="L7528">
        <v>4949</v>
      </c>
      <c r="M7528">
        <v>1641</v>
      </c>
      <c r="N7528" t="s">
        <v>16393</v>
      </c>
      <c r="O7528" s="4">
        <v>54797</v>
      </c>
      <c r="P7528" s="4">
        <v>58103</v>
      </c>
      <c r="Q7528" s="4">
        <v>112900</v>
      </c>
      <c r="R7528" s="4">
        <v>338700</v>
      </c>
      <c r="S7528" t="s">
        <v>23669</v>
      </c>
      <c r="T7528" s="6">
        <v>43313</v>
      </c>
      <c r="U7528" s="4">
        <v>220000</v>
      </c>
      <c r="V7528" t="s">
        <v>23739</v>
      </c>
      <c r="W7528" t="s">
        <v>23669</v>
      </c>
      <c r="X7528" t="s">
        <v>3</v>
      </c>
      <c r="AA7528" s="5" t="str">
        <f>HYPERLINK("https://www.zillow.com/homes/6787-REDWING-DR-WOODRIDGE-IL-60517_rb/","check listing")</f>
        <v>check listing</v>
      </c>
      <c r="AB7528" s="5" t="str">
        <f>HYPERLINK("https://propertylookup.dupagecounty.gov/Datalets/Datalet.aspx?UseSearch=no&amp;mode=sales&amp;pin=0824404008","sales record")</f>
        <v>sales record</v>
      </c>
      <c r="AC7528" t="s">
        <v>3</v>
      </c>
      <c r="AD7528">
        <v>41.764175</v>
      </c>
      <c r="AE7528">
        <v>-88.03980199999999</v>
      </c>
      <c r="AF7528" s="5" t="str">
        <f>HYPERLINK("https://www.google.com/maps/search/?api=1&amp;query=41.764175,-88.039802","map")</f>
        <v>map</v>
      </c>
    </row>
    <row r="7529" spans="1:32">
      <c r="A7529" t="s">
        <v>7579</v>
      </c>
      <c r="B7529" t="s">
        <v>15030</v>
      </c>
      <c r="C7529" t="s">
        <v>16171</v>
      </c>
      <c r="D7529" t="s">
        <v>16215</v>
      </c>
      <c r="E7529" t="s">
        <v>16218</v>
      </c>
      <c r="F7529" t="s">
        <v>16220</v>
      </c>
      <c r="G7529" t="s">
        <v>16299</v>
      </c>
      <c r="H7529" t="s">
        <v>16299</v>
      </c>
      <c r="I7529" t="s">
        <v>16382</v>
      </c>
      <c r="J7529" t="s">
        <v>16385</v>
      </c>
      <c r="K7529">
        <v>0.114</v>
      </c>
      <c r="L7529">
        <v>4948</v>
      </c>
      <c r="M7529">
        <v>1427</v>
      </c>
      <c r="N7529" t="s">
        <v>16393</v>
      </c>
      <c r="O7529" s="4">
        <v>54797</v>
      </c>
      <c r="P7529" s="4">
        <v>66451</v>
      </c>
      <c r="Q7529" s="4">
        <v>121248</v>
      </c>
      <c r="R7529" s="4">
        <v>363744</v>
      </c>
      <c r="S7529" t="s">
        <v>23670</v>
      </c>
      <c r="T7529" s="6">
        <v>43678</v>
      </c>
      <c r="U7529" s="4">
        <v>262000</v>
      </c>
      <c r="V7529" t="s">
        <v>23739</v>
      </c>
      <c r="W7529" t="s">
        <v>27823</v>
      </c>
      <c r="X7529" t="s">
        <v>3</v>
      </c>
      <c r="AA7529" s="5" t="str">
        <f>HYPERLINK("https://www.zillow.com/homes/2383-KILDEER-ST-WOODRIDGE-IL-605171855_rb/","check listing")</f>
        <v>check listing</v>
      </c>
      <c r="AB7529" s="5" t="str">
        <f>HYPERLINK("https://propertylookup.dupagecounty.gov/Datalets/Datalet.aspx?UseSearch=no&amp;mode=sales&amp;pin=0824407005","sales record")</f>
        <v>sales record</v>
      </c>
      <c r="AC7529" t="s">
        <v>3</v>
      </c>
      <c r="AD7529">
        <v>41.762298</v>
      </c>
      <c r="AE7529">
        <v>-88.039744</v>
      </c>
      <c r="AF7529" s="5" t="str">
        <f>HYPERLINK("https://www.google.com/maps/search/?api=1&amp;query=41.762298,-88.039744","map")</f>
        <v>map</v>
      </c>
    </row>
    <row r="7530" spans="1:32">
      <c r="A7530" t="s">
        <v>7580</v>
      </c>
      <c r="B7530" t="s">
        <v>15031</v>
      </c>
      <c r="C7530" t="s">
        <v>15323</v>
      </c>
      <c r="D7530" t="s">
        <v>16215</v>
      </c>
      <c r="E7530" t="s">
        <v>16218</v>
      </c>
      <c r="F7530" t="s">
        <v>16220</v>
      </c>
      <c r="G7530" t="s">
        <v>16299</v>
      </c>
      <c r="H7530" t="s">
        <v>16299</v>
      </c>
      <c r="I7530" t="s">
        <v>16382</v>
      </c>
      <c r="J7530" t="s">
        <v>16385</v>
      </c>
      <c r="K7530">
        <v>0.114</v>
      </c>
      <c r="L7530">
        <v>4948</v>
      </c>
      <c r="M7530">
        <v>1067</v>
      </c>
      <c r="N7530" t="s">
        <v>16393</v>
      </c>
      <c r="O7530" s="4">
        <v>54797</v>
      </c>
      <c r="P7530" s="4">
        <v>60790</v>
      </c>
      <c r="Q7530" s="4">
        <v>115587</v>
      </c>
      <c r="R7530" s="4">
        <v>346761</v>
      </c>
      <c r="S7530" t="s">
        <v>23671</v>
      </c>
      <c r="T7530" s="6">
        <v>38169</v>
      </c>
      <c r="U7530" s="4">
        <v>215000</v>
      </c>
      <c r="V7530" t="s">
        <v>23739</v>
      </c>
      <c r="W7530" t="s">
        <v>27824</v>
      </c>
      <c r="X7530" t="s">
        <v>3</v>
      </c>
      <c r="AA7530" s="5" t="str">
        <f>HYPERLINK("https://www.zillow.com/homes/2335-SUNNYDALE-DR-WOODRIDGE-IL-60517_rb/","check listing")</f>
        <v>check listing</v>
      </c>
      <c r="AB7530" s="5" t="str">
        <f>HYPERLINK("https://propertylookup.dupagecounty.gov/Datalets/Datalet.aspx?UseSearch=no&amp;mode=sales&amp;pin=0824420014","sales record")</f>
        <v>sales record</v>
      </c>
      <c r="AC7530" t="s">
        <v>3</v>
      </c>
      <c r="AD7530">
        <v>41.760263</v>
      </c>
      <c r="AE7530">
        <v>-88.037953</v>
      </c>
      <c r="AF7530" s="5" t="str">
        <f>HYPERLINK("https://www.google.com/maps/search/?api=1&amp;query=41.760263,-88.037953","map")</f>
        <v>map</v>
      </c>
    </row>
    <row r="7531" spans="1:32">
      <c r="A7531" t="s">
        <v>7581</v>
      </c>
      <c r="B7531" t="s">
        <v>15032</v>
      </c>
      <c r="C7531" t="s">
        <v>15323</v>
      </c>
      <c r="D7531" t="s">
        <v>16215</v>
      </c>
      <c r="E7531" t="s">
        <v>16218</v>
      </c>
      <c r="F7531" t="s">
        <v>16220</v>
      </c>
      <c r="G7531" t="s">
        <v>16299</v>
      </c>
      <c r="H7531" t="s">
        <v>16299</v>
      </c>
      <c r="I7531" t="s">
        <v>16382</v>
      </c>
      <c r="J7531" t="s">
        <v>16385</v>
      </c>
      <c r="K7531">
        <v>0.114</v>
      </c>
      <c r="L7531">
        <v>4947</v>
      </c>
      <c r="M7531">
        <v>1791</v>
      </c>
      <c r="N7531" t="s">
        <v>16393</v>
      </c>
      <c r="O7531" s="4">
        <v>54797</v>
      </c>
      <c r="P7531" s="4">
        <v>59031</v>
      </c>
      <c r="Q7531" s="4">
        <v>113828</v>
      </c>
      <c r="R7531" s="4">
        <v>341484</v>
      </c>
      <c r="S7531" t="s">
        <v>23672</v>
      </c>
      <c r="T7531" s="6">
        <v>39965</v>
      </c>
      <c r="U7531" s="4">
        <v>208000</v>
      </c>
      <c r="V7531" t="s">
        <v>23739</v>
      </c>
      <c r="W7531" t="s">
        <v>27825</v>
      </c>
      <c r="X7531" t="s">
        <v>3</v>
      </c>
      <c r="AA7531" s="5" t="str">
        <f>HYPERLINK("https://www.zillow.com/homes/6783-REDWING-DR-WOODRIDGE-IL-60517_rb/","check listing")</f>
        <v>check listing</v>
      </c>
      <c r="AB7531" s="5" t="str">
        <f>HYPERLINK("https://propertylookup.dupagecounty.gov/Datalets/Datalet.aspx?UseSearch=no&amp;mode=sales&amp;pin=0824404007","sales record")</f>
        <v>sales record</v>
      </c>
      <c r="AC7531" t="s">
        <v>3</v>
      </c>
      <c r="AD7531">
        <v>41.764171</v>
      </c>
      <c r="AE7531">
        <v>-88.039985</v>
      </c>
      <c r="AF7531" s="5" t="str">
        <f>HYPERLINK("https://www.google.com/maps/search/?api=1&amp;query=41.764171,-88.039985","map")</f>
        <v>map</v>
      </c>
    </row>
    <row r="7532" spans="1:32">
      <c r="A7532" t="s">
        <v>7582</v>
      </c>
      <c r="B7532" t="s">
        <v>15033</v>
      </c>
      <c r="C7532" t="s">
        <v>16164</v>
      </c>
      <c r="D7532" t="s">
        <v>16215</v>
      </c>
      <c r="E7532" t="s">
        <v>16218</v>
      </c>
      <c r="F7532" t="s">
        <v>16220</v>
      </c>
      <c r="G7532" t="s">
        <v>16299</v>
      </c>
      <c r="H7532" t="s">
        <v>16299</v>
      </c>
      <c r="I7532" t="s">
        <v>16382</v>
      </c>
      <c r="J7532" t="s">
        <v>16385</v>
      </c>
      <c r="K7532">
        <v>0.114</v>
      </c>
      <c r="L7532">
        <v>4947</v>
      </c>
      <c r="M7532">
        <v>1470</v>
      </c>
      <c r="N7532" t="s">
        <v>16393</v>
      </c>
      <c r="O7532" s="4">
        <v>51990</v>
      </c>
      <c r="P7532" s="4">
        <v>65974</v>
      </c>
      <c r="Q7532" s="4">
        <v>117964</v>
      </c>
      <c r="R7532" s="4">
        <v>353892</v>
      </c>
      <c r="S7532" t="s">
        <v>18431</v>
      </c>
      <c r="T7532" s="6">
        <v>41395</v>
      </c>
      <c r="U7532" s="4">
        <v>142000</v>
      </c>
      <c r="V7532" t="s">
        <v>16232</v>
      </c>
      <c r="W7532" t="s">
        <v>27826</v>
      </c>
      <c r="X7532" t="s">
        <v>3</v>
      </c>
      <c r="AA7532" s="5" t="str">
        <f>HYPERLINK("https://www.zillow.com/homes/6791-RED-WING-DR-WOODRIDGE-IL-605171848_rb/","check listing")</f>
        <v>check listing</v>
      </c>
      <c r="AB7532" s="5" t="str">
        <f>HYPERLINK("https://propertylookup.dupagecounty.gov/Datalets/Datalet.aspx?UseSearch=no&amp;mode=sales&amp;pin=0824404009","sales record")</f>
        <v>sales record</v>
      </c>
      <c r="AC7532" t="s">
        <v>3</v>
      </c>
      <c r="AD7532">
        <v>41.76418</v>
      </c>
      <c r="AE7532">
        <v>-88.039618</v>
      </c>
      <c r="AF7532" s="5" t="str">
        <f>HYPERLINK("https://www.google.com/maps/search/?api=1&amp;query=41.76418,-88.039618","map")</f>
        <v>map</v>
      </c>
    </row>
    <row r="7533" spans="1:32">
      <c r="A7533" t="s">
        <v>7583</v>
      </c>
      <c r="B7533" t="s">
        <v>15034</v>
      </c>
      <c r="C7533" t="s">
        <v>16177</v>
      </c>
      <c r="D7533" t="s">
        <v>16215</v>
      </c>
      <c r="E7533" t="s">
        <v>16218</v>
      </c>
      <c r="F7533" t="s">
        <v>16220</v>
      </c>
      <c r="G7533" t="s">
        <v>16299</v>
      </c>
      <c r="H7533" t="s">
        <v>16299</v>
      </c>
      <c r="I7533" t="s">
        <v>16382</v>
      </c>
      <c r="J7533" t="s">
        <v>16385</v>
      </c>
      <c r="K7533">
        <v>0.113</v>
      </c>
      <c r="L7533">
        <v>4942</v>
      </c>
      <c r="M7533">
        <v>1814</v>
      </c>
      <c r="N7533" t="s">
        <v>16393</v>
      </c>
      <c r="O7533" s="4">
        <v>54713</v>
      </c>
      <c r="P7533" s="4">
        <v>49612</v>
      </c>
      <c r="Q7533" s="4">
        <v>104325</v>
      </c>
      <c r="R7533" s="4">
        <v>312975</v>
      </c>
      <c r="S7533" t="s">
        <v>23673</v>
      </c>
      <c r="T7533" s="6">
        <v>43922</v>
      </c>
      <c r="U7533" s="4">
        <v>223000</v>
      </c>
      <c r="V7533" t="s">
        <v>23739</v>
      </c>
      <c r="W7533" t="s">
        <v>27827</v>
      </c>
      <c r="X7533" t="s">
        <v>3</v>
      </c>
      <c r="AA7533" s="5" t="str">
        <f>HYPERLINK("https://www.zillow.com/homes/2331-SUNNYDALE-DR-WOODRIDGE-IL-605171844_rb/","check listing")</f>
        <v>check listing</v>
      </c>
      <c r="AB7533" s="5" t="str">
        <f>HYPERLINK("https://propertylookup.dupagecounty.gov/Datalets/Datalet.aspx?UseSearch=no&amp;mode=sales&amp;pin=0824420015","sales record")</f>
        <v>sales record</v>
      </c>
      <c r="AC7533" t="s">
        <v>3</v>
      </c>
      <c r="AD7533">
        <v>41.760268</v>
      </c>
      <c r="AE7533">
        <v>-88.03776999999999</v>
      </c>
      <c r="AF7533" s="5" t="str">
        <f>HYPERLINK("https://www.google.com/maps/search/?api=1&amp;query=41.760268,-88.03777","map")</f>
        <v>map</v>
      </c>
    </row>
    <row r="7534" spans="1:32">
      <c r="A7534" t="s">
        <v>7584</v>
      </c>
      <c r="B7534" t="s">
        <v>15035</v>
      </c>
      <c r="C7534" t="s">
        <v>15323</v>
      </c>
      <c r="D7534" t="s">
        <v>16215</v>
      </c>
      <c r="E7534" t="s">
        <v>16218</v>
      </c>
      <c r="F7534" t="s">
        <v>16220</v>
      </c>
      <c r="G7534" t="s">
        <v>16299</v>
      </c>
      <c r="H7534" t="s">
        <v>16299</v>
      </c>
      <c r="I7534" t="s">
        <v>16382</v>
      </c>
      <c r="J7534" t="s">
        <v>16385</v>
      </c>
      <c r="K7534">
        <v>0.113</v>
      </c>
      <c r="L7534">
        <v>4937</v>
      </c>
      <c r="M7534">
        <v>1521</v>
      </c>
      <c r="N7534" t="s">
        <v>16393</v>
      </c>
      <c r="O7534" s="4">
        <v>54797</v>
      </c>
      <c r="P7534" s="4">
        <v>66760</v>
      </c>
      <c r="Q7534" s="4">
        <v>121557</v>
      </c>
      <c r="R7534" s="4">
        <v>364671</v>
      </c>
      <c r="S7534" t="s">
        <v>23674</v>
      </c>
      <c r="T7534" s="6">
        <v>38869</v>
      </c>
      <c r="U7534" s="4">
        <v>265000</v>
      </c>
      <c r="V7534" t="s">
        <v>23739</v>
      </c>
      <c r="W7534" t="s">
        <v>27828</v>
      </c>
      <c r="X7534" t="s">
        <v>3</v>
      </c>
      <c r="AA7534" s="5" t="str">
        <f>HYPERLINK("https://www.zillow.com/homes/2327-SUNNYDALE-DR-WOODRIDGE-IL-60517_rb/","check listing")</f>
        <v>check listing</v>
      </c>
      <c r="AB7534" s="5" t="str">
        <f>HYPERLINK("https://propertylookup.dupagecounty.gov/Datalets/Datalet.aspx?UseSearch=no&amp;mode=sales&amp;pin=0824420016","sales record")</f>
        <v>sales record</v>
      </c>
      <c r="AC7534" t="s">
        <v>3</v>
      </c>
      <c r="AD7534">
        <v>41.760272</v>
      </c>
      <c r="AE7534">
        <v>-88.037586</v>
      </c>
      <c r="AF7534" s="5" t="str">
        <f>HYPERLINK("https://www.google.com/maps/search/?api=1&amp;query=41.760272,-88.037586","map")</f>
        <v>map</v>
      </c>
    </row>
    <row r="7535" spans="1:32">
      <c r="A7535" t="s">
        <v>7585</v>
      </c>
      <c r="B7535" t="s">
        <v>15036</v>
      </c>
      <c r="C7535" t="s">
        <v>15323</v>
      </c>
      <c r="D7535" t="s">
        <v>16215</v>
      </c>
      <c r="E7535" t="s">
        <v>16218</v>
      </c>
      <c r="F7535" t="s">
        <v>16220</v>
      </c>
      <c r="G7535" t="s">
        <v>16299</v>
      </c>
      <c r="H7535" t="s">
        <v>16299</v>
      </c>
      <c r="I7535" t="s">
        <v>16382</v>
      </c>
      <c r="J7535" t="s">
        <v>16385</v>
      </c>
      <c r="K7535">
        <v>0.113</v>
      </c>
      <c r="L7535">
        <v>4929</v>
      </c>
      <c r="M7535">
        <v>1719</v>
      </c>
      <c r="N7535" t="s">
        <v>16393</v>
      </c>
      <c r="O7535" s="4">
        <v>54797</v>
      </c>
      <c r="P7535" s="4">
        <v>55915</v>
      </c>
      <c r="Q7535" s="4">
        <v>110712</v>
      </c>
      <c r="R7535" s="4">
        <v>332136</v>
      </c>
      <c r="S7535" t="s">
        <v>23675</v>
      </c>
      <c r="T7535" s="6">
        <v>45632</v>
      </c>
      <c r="U7535" s="4">
        <v>325000</v>
      </c>
      <c r="V7535" t="s">
        <v>23739</v>
      </c>
      <c r="W7535" t="s">
        <v>27829</v>
      </c>
      <c r="X7535" t="s">
        <v>3</v>
      </c>
      <c r="AA7535" s="5" t="str">
        <f>HYPERLINK("https://www.zillow.com/homes/2323-SUNNYDALE-DR-WOODRIDGE-IL-60517_rb/","check listing")</f>
        <v>check listing</v>
      </c>
      <c r="AB7535" s="5" t="str">
        <f>HYPERLINK("https://propertylookup.dupagecounty.gov/Datalets/Datalet.aspx?UseSearch=no&amp;mode=sales&amp;pin=0824420017","sales record")</f>
        <v>sales record</v>
      </c>
      <c r="AC7535" t="s">
        <v>3</v>
      </c>
      <c r="AD7535">
        <v>41.760276</v>
      </c>
      <c r="AE7535">
        <v>-88.037403</v>
      </c>
      <c r="AF7535" s="5" t="str">
        <f>HYPERLINK("https://www.google.com/maps/search/?api=1&amp;query=41.760276,-88.037403","map")</f>
        <v>map</v>
      </c>
    </row>
    <row r="7536" spans="1:32">
      <c r="A7536" t="s">
        <v>7586</v>
      </c>
      <c r="B7536" t="s">
        <v>15037</v>
      </c>
      <c r="C7536" t="s">
        <v>15323</v>
      </c>
      <c r="D7536" t="s">
        <v>16215</v>
      </c>
      <c r="E7536" t="s">
        <v>16218</v>
      </c>
      <c r="F7536" t="s">
        <v>16220</v>
      </c>
      <c r="G7536" t="s">
        <v>16299</v>
      </c>
      <c r="H7536" t="s">
        <v>16299</v>
      </c>
      <c r="I7536" t="s">
        <v>16382</v>
      </c>
      <c r="J7536" t="s">
        <v>16385</v>
      </c>
      <c r="K7536">
        <v>0.113</v>
      </c>
      <c r="L7536">
        <v>4927</v>
      </c>
      <c r="M7536">
        <v>1281</v>
      </c>
      <c r="N7536" t="s">
        <v>16393</v>
      </c>
      <c r="O7536" s="4">
        <v>54797</v>
      </c>
      <c r="P7536" s="4">
        <v>60125</v>
      </c>
      <c r="Q7536" s="4">
        <v>114922</v>
      </c>
      <c r="R7536" s="4">
        <v>344766</v>
      </c>
      <c r="S7536" t="s">
        <v>23676</v>
      </c>
      <c r="T7536" s="6">
        <v>41913</v>
      </c>
      <c r="U7536" s="4">
        <v>194500</v>
      </c>
      <c r="V7536" t="s">
        <v>23739</v>
      </c>
      <c r="W7536" t="s">
        <v>27830</v>
      </c>
      <c r="X7536" t="s">
        <v>3</v>
      </c>
      <c r="AA7536" s="5" t="str">
        <f>HYPERLINK("https://www.zillow.com/homes/6780-REDWING-DR-WOODRIDGE-IL-60517_rb/","check listing")</f>
        <v>check listing</v>
      </c>
      <c r="AB7536" s="5" t="str">
        <f>HYPERLINK("https://propertylookup.dupagecounty.gov/Datalets/Datalet.aspx?UseSearch=no&amp;mode=sales&amp;pin=0824405002","sales record")</f>
        <v>sales record</v>
      </c>
      <c r="AC7536" t="s">
        <v>3</v>
      </c>
      <c r="AD7536">
        <v>41.763742</v>
      </c>
      <c r="AE7536">
        <v>-88.040074</v>
      </c>
      <c r="AF7536" s="5" t="str">
        <f>HYPERLINK("https://www.google.com/maps/search/?api=1&amp;query=41.763742,-88.040074","map")</f>
        <v>map</v>
      </c>
    </row>
    <row r="7537" spans="1:32">
      <c r="A7537" t="s">
        <v>7587</v>
      </c>
      <c r="B7537" t="s">
        <v>15038</v>
      </c>
      <c r="C7537" t="s">
        <v>16177</v>
      </c>
      <c r="D7537" t="s">
        <v>16215</v>
      </c>
      <c r="E7537" t="s">
        <v>16218</v>
      </c>
      <c r="F7537" t="s">
        <v>16220</v>
      </c>
      <c r="G7537" t="s">
        <v>16299</v>
      </c>
      <c r="H7537" t="s">
        <v>16299</v>
      </c>
      <c r="I7537" t="s">
        <v>16382</v>
      </c>
      <c r="J7537" t="s">
        <v>16385</v>
      </c>
      <c r="K7537">
        <v>0.113</v>
      </c>
      <c r="L7537">
        <v>4927</v>
      </c>
      <c r="M7537">
        <v>1257</v>
      </c>
      <c r="N7537" t="s">
        <v>16393</v>
      </c>
      <c r="O7537" s="4">
        <v>54797</v>
      </c>
      <c r="P7537" s="4">
        <v>58126</v>
      </c>
      <c r="Q7537" s="4">
        <v>112923</v>
      </c>
      <c r="R7537" s="4">
        <v>338769</v>
      </c>
      <c r="S7537" t="s">
        <v>23677</v>
      </c>
      <c r="T7537" s="6">
        <v>42979</v>
      </c>
      <c r="U7537" s="4">
        <v>215000</v>
      </c>
      <c r="V7537" t="s">
        <v>23739</v>
      </c>
      <c r="W7537" t="s">
        <v>27831</v>
      </c>
      <c r="X7537" t="s">
        <v>3</v>
      </c>
      <c r="AA7537" s="5" t="str">
        <f>HYPERLINK("https://www.zillow.com/homes/2319-SUNNYDALE-DR-WOODRIDGE-IL-605171844_rb/","check listing")</f>
        <v>check listing</v>
      </c>
      <c r="AB7537" s="5" t="str">
        <f>HYPERLINK("https://propertylookup.dupagecounty.gov/Datalets/Datalet.aspx?UseSearch=no&amp;mode=sales&amp;pin=0824420018","sales record")</f>
        <v>sales record</v>
      </c>
      <c r="AC7537" t="s">
        <v>3</v>
      </c>
      <c r="AD7537">
        <v>41.760281</v>
      </c>
      <c r="AE7537">
        <v>-88.03722</v>
      </c>
      <c r="AF7537" s="5" t="str">
        <f>HYPERLINK("https://www.google.com/maps/search/?api=1&amp;query=41.760281,-88.03722","map")</f>
        <v>map</v>
      </c>
    </row>
    <row r="7538" spans="1:32">
      <c r="A7538" t="s">
        <v>7588</v>
      </c>
      <c r="B7538" t="s">
        <v>15039</v>
      </c>
      <c r="C7538" t="s">
        <v>15323</v>
      </c>
      <c r="D7538" t="s">
        <v>16215</v>
      </c>
      <c r="E7538" t="s">
        <v>16218</v>
      </c>
      <c r="F7538" t="s">
        <v>16220</v>
      </c>
      <c r="G7538" t="s">
        <v>16299</v>
      </c>
      <c r="H7538" t="s">
        <v>16299</v>
      </c>
      <c r="I7538" t="s">
        <v>16382</v>
      </c>
      <c r="J7538" t="s">
        <v>16385</v>
      </c>
      <c r="K7538">
        <v>0.113</v>
      </c>
      <c r="L7538">
        <v>4919</v>
      </c>
      <c r="M7538">
        <v>1857</v>
      </c>
      <c r="N7538" t="s">
        <v>16393</v>
      </c>
      <c r="O7538" s="4">
        <v>54797</v>
      </c>
      <c r="P7538" s="4">
        <v>56877</v>
      </c>
      <c r="Q7538" s="4">
        <v>111674</v>
      </c>
      <c r="R7538" s="4">
        <v>335022</v>
      </c>
      <c r="S7538" t="s">
        <v>23678</v>
      </c>
      <c r="T7538" s="6">
        <v>34973</v>
      </c>
      <c r="U7538" s="4">
        <v>118500</v>
      </c>
      <c r="X7538" t="s">
        <v>3</v>
      </c>
      <c r="AA7538" s="5" t="str">
        <f>HYPERLINK("https://www.zillow.com/homes/2315-SUNNYDALE-DR-WOODRIDGE-IL-60517_rb/","check listing")</f>
        <v>check listing</v>
      </c>
      <c r="AB7538" s="5" t="str">
        <f>HYPERLINK("https://propertylookup.dupagecounty.gov/Datalets/Datalet.aspx?UseSearch=no&amp;mode=sales&amp;pin=0824420019","sales record")</f>
        <v>sales record</v>
      </c>
      <c r="AC7538" t="s">
        <v>3</v>
      </c>
      <c r="AD7538">
        <v>41.760285</v>
      </c>
      <c r="AE7538">
        <v>-88.037036</v>
      </c>
      <c r="AF7538" s="5" t="str">
        <f>HYPERLINK("https://www.google.com/maps/search/?api=1&amp;query=41.760285,-88.037036","map")</f>
        <v>map</v>
      </c>
    </row>
    <row r="7539" spans="1:32">
      <c r="A7539" t="s">
        <v>7589</v>
      </c>
      <c r="B7539" t="s">
        <v>15040</v>
      </c>
      <c r="C7539" t="s">
        <v>16168</v>
      </c>
      <c r="D7539" t="s">
        <v>16215</v>
      </c>
      <c r="E7539" t="s">
        <v>16218</v>
      </c>
      <c r="F7539" t="s">
        <v>16220</v>
      </c>
      <c r="G7539" t="s">
        <v>16299</v>
      </c>
      <c r="H7539" t="s">
        <v>16299</v>
      </c>
      <c r="I7539" t="s">
        <v>16382</v>
      </c>
      <c r="J7539" t="s">
        <v>16385</v>
      </c>
      <c r="K7539">
        <v>0.113</v>
      </c>
      <c r="L7539">
        <v>4916</v>
      </c>
      <c r="M7539">
        <v>712</v>
      </c>
      <c r="N7539" t="s">
        <v>16393</v>
      </c>
      <c r="O7539" s="4">
        <v>54797</v>
      </c>
      <c r="P7539" s="4">
        <v>62812</v>
      </c>
      <c r="Q7539" s="4">
        <v>117609</v>
      </c>
      <c r="R7539" s="4">
        <v>352827</v>
      </c>
      <c r="S7539" t="s">
        <v>23679</v>
      </c>
      <c r="T7539" s="6">
        <v>44501</v>
      </c>
      <c r="U7539" s="4">
        <v>284000</v>
      </c>
      <c r="V7539" t="s">
        <v>23740</v>
      </c>
      <c r="W7539" t="s">
        <v>27832</v>
      </c>
      <c r="X7539" t="s">
        <v>3</v>
      </c>
      <c r="AA7539" s="5" t="str">
        <f>HYPERLINK("https://www.zillow.com/homes/2376-GOLDFINCH-ST-WOODRIDGE-IL-605171856_rb/","check listing")</f>
        <v>check listing</v>
      </c>
      <c r="AB7539" s="5" t="str">
        <f>HYPERLINK("https://propertylookup.dupagecounty.gov/Datalets/Datalet.aspx?UseSearch=no&amp;mode=sales&amp;pin=0824407012","sales record")</f>
        <v>sales record</v>
      </c>
      <c r="AC7539" t="s">
        <v>3</v>
      </c>
      <c r="AD7539">
        <v>41.761975</v>
      </c>
      <c r="AE7539">
        <v>-88.03943700000001</v>
      </c>
      <c r="AF7539" s="5" t="str">
        <f>HYPERLINK("https://www.google.com/maps/search/?api=1&amp;query=41.761975,-88.039437","map")</f>
        <v>map</v>
      </c>
    </row>
    <row r="7540" spans="1:32">
      <c r="A7540" t="s">
        <v>7590</v>
      </c>
      <c r="B7540" t="s">
        <v>15041</v>
      </c>
      <c r="C7540" t="s">
        <v>15323</v>
      </c>
      <c r="D7540" t="s">
        <v>16215</v>
      </c>
      <c r="E7540" t="s">
        <v>16218</v>
      </c>
      <c r="F7540" t="s">
        <v>16220</v>
      </c>
      <c r="G7540" t="s">
        <v>16299</v>
      </c>
      <c r="H7540" t="s">
        <v>16299</v>
      </c>
      <c r="I7540" t="s">
        <v>16382</v>
      </c>
      <c r="J7540" t="s">
        <v>16385</v>
      </c>
      <c r="K7540">
        <v>0.113</v>
      </c>
      <c r="L7540">
        <v>4913</v>
      </c>
      <c r="M7540">
        <v>1752</v>
      </c>
      <c r="N7540" t="s">
        <v>16393</v>
      </c>
      <c r="O7540" s="4">
        <v>51990</v>
      </c>
      <c r="P7540" s="4">
        <v>63537</v>
      </c>
      <c r="Q7540" s="4">
        <v>115527</v>
      </c>
      <c r="R7540" s="4">
        <v>346581</v>
      </c>
      <c r="S7540" t="s">
        <v>23680</v>
      </c>
      <c r="T7540" s="6">
        <v>45602</v>
      </c>
      <c r="U7540" s="4">
        <v>435000</v>
      </c>
      <c r="V7540" t="s">
        <v>23739</v>
      </c>
      <c r="W7540" t="s">
        <v>27833</v>
      </c>
      <c r="X7540" t="s">
        <v>3</v>
      </c>
      <c r="AA7540" s="5" t="str">
        <f>HYPERLINK("https://www.zillow.com/homes/2311-SUNNYDALE-DR-WOODRIDGE-IL-60517_rb/","check listing")</f>
        <v>check listing</v>
      </c>
      <c r="AB7540" s="5" t="str">
        <f>HYPERLINK("https://propertylookup.dupagecounty.gov/Datalets/Datalet.aspx?UseSearch=no&amp;mode=sales&amp;pin=0824420020","sales record")</f>
        <v>sales record</v>
      </c>
      <c r="AC7540" t="s">
        <v>3</v>
      </c>
      <c r="AD7540">
        <v>41.760287</v>
      </c>
      <c r="AE7540">
        <v>-88.03685299999999</v>
      </c>
      <c r="AF7540" s="5" t="str">
        <f>HYPERLINK("https://www.google.com/maps/search/?api=1&amp;query=41.760287,-88.036853","map")</f>
        <v>map</v>
      </c>
    </row>
    <row r="7541" spans="1:32">
      <c r="A7541" t="s">
        <v>7591</v>
      </c>
      <c r="B7541" t="s">
        <v>15042</v>
      </c>
      <c r="C7541" t="s">
        <v>15323</v>
      </c>
      <c r="D7541" t="s">
        <v>16215</v>
      </c>
      <c r="E7541" t="s">
        <v>16218</v>
      </c>
      <c r="F7541" t="s">
        <v>16220</v>
      </c>
      <c r="G7541" t="s">
        <v>16299</v>
      </c>
      <c r="H7541" t="s">
        <v>16299</v>
      </c>
      <c r="I7541" t="s">
        <v>16382</v>
      </c>
      <c r="J7541" t="s">
        <v>16385</v>
      </c>
      <c r="K7541">
        <v>0.113</v>
      </c>
      <c r="L7541">
        <v>4907</v>
      </c>
      <c r="M7541">
        <v>892</v>
      </c>
      <c r="N7541" t="s">
        <v>16393</v>
      </c>
      <c r="O7541" s="4">
        <v>54713</v>
      </c>
      <c r="P7541" s="4">
        <v>60065</v>
      </c>
      <c r="Q7541" s="4">
        <v>114778</v>
      </c>
      <c r="R7541" s="4">
        <v>344334</v>
      </c>
      <c r="S7541" t="s">
        <v>23681</v>
      </c>
      <c r="T7541" s="6">
        <v>29099</v>
      </c>
      <c r="U7541" s="4">
        <v>68500</v>
      </c>
      <c r="X7541" t="s">
        <v>3</v>
      </c>
      <c r="AA7541" s="5" t="str">
        <f>HYPERLINK("https://www.zillow.com/homes/2357-GOLDFINCH-ST-WOODRIDGE-IL-60517_rb/","check listing")</f>
        <v>check listing</v>
      </c>
      <c r="AB7541" s="5" t="str">
        <f>HYPERLINK("https://propertylookup.dupagecounty.gov/Datalets/Datalet.aspx?UseSearch=no&amp;mode=sales&amp;pin=0824408011","sales record")</f>
        <v>sales record</v>
      </c>
      <c r="AC7541" t="s">
        <v>3</v>
      </c>
      <c r="AD7541">
        <v>41.761639</v>
      </c>
      <c r="AE7541">
        <v>-88.03837799999999</v>
      </c>
      <c r="AF7541" s="5" t="str">
        <f>HYPERLINK("https://www.google.com/maps/search/?api=1&amp;query=41.761639,-88.038378","map")</f>
        <v>map</v>
      </c>
    </row>
    <row r="7542" spans="1:32">
      <c r="A7542" t="s">
        <v>7592</v>
      </c>
      <c r="B7542" t="s">
        <v>15043</v>
      </c>
      <c r="C7542" t="s">
        <v>15323</v>
      </c>
      <c r="D7542" t="s">
        <v>16215</v>
      </c>
      <c r="E7542" t="s">
        <v>16218</v>
      </c>
      <c r="F7542" t="s">
        <v>16220</v>
      </c>
      <c r="G7542" t="s">
        <v>16299</v>
      </c>
      <c r="H7542" t="s">
        <v>16299</v>
      </c>
      <c r="I7542" t="s">
        <v>16382</v>
      </c>
      <c r="J7542" t="s">
        <v>16385</v>
      </c>
      <c r="K7542">
        <v>0.113</v>
      </c>
      <c r="L7542">
        <v>4907</v>
      </c>
      <c r="M7542">
        <v>1723</v>
      </c>
      <c r="N7542" t="s">
        <v>16393</v>
      </c>
      <c r="O7542" s="4">
        <v>51990</v>
      </c>
      <c r="P7542" s="4">
        <v>50575</v>
      </c>
      <c r="Q7542" s="4">
        <v>102565</v>
      </c>
      <c r="R7542" s="4">
        <v>307695</v>
      </c>
      <c r="S7542" t="s">
        <v>23682</v>
      </c>
      <c r="T7542" s="6">
        <v>38108</v>
      </c>
      <c r="U7542" s="4">
        <v>209500</v>
      </c>
      <c r="V7542" t="s">
        <v>23739</v>
      </c>
      <c r="W7542" t="s">
        <v>23682</v>
      </c>
      <c r="X7542" t="s">
        <v>3</v>
      </c>
      <c r="AA7542" s="5" t="str">
        <f>HYPERLINK("https://www.zillow.com/homes/2307-SUNNYDALE-DR-WOODRIDGE-IL-60517_rb/","check listing")</f>
        <v>check listing</v>
      </c>
      <c r="AB7542" s="5" t="str">
        <f>HYPERLINK("https://propertylookup.dupagecounty.gov/Datalets/Datalet.aspx?UseSearch=no&amp;mode=sales&amp;pin=0824420021","sales record")</f>
        <v>sales record</v>
      </c>
      <c r="AC7542" t="s">
        <v>3</v>
      </c>
      <c r="AD7542">
        <v>41.760293</v>
      </c>
      <c r="AE7542">
        <v>-88.03667</v>
      </c>
      <c r="AF7542" s="5" t="str">
        <f>HYPERLINK("https://www.google.com/maps/search/?api=1&amp;query=41.760293,-88.03667","map")</f>
        <v>map</v>
      </c>
    </row>
    <row r="7543" spans="1:32">
      <c r="A7543" t="s">
        <v>7593</v>
      </c>
      <c r="B7543" t="s">
        <v>15044</v>
      </c>
      <c r="C7543" t="s">
        <v>15323</v>
      </c>
      <c r="D7543" t="s">
        <v>16215</v>
      </c>
      <c r="E7543" t="s">
        <v>16218</v>
      </c>
      <c r="F7543" t="s">
        <v>16220</v>
      </c>
      <c r="G7543" t="s">
        <v>16299</v>
      </c>
      <c r="H7543" t="s">
        <v>16299</v>
      </c>
      <c r="I7543" t="s">
        <v>16382</v>
      </c>
      <c r="J7543" t="s">
        <v>16385</v>
      </c>
      <c r="K7543">
        <v>0.113</v>
      </c>
      <c r="L7543">
        <v>4904</v>
      </c>
      <c r="M7543">
        <v>1373</v>
      </c>
      <c r="N7543" t="s">
        <v>16393</v>
      </c>
      <c r="O7543" s="4">
        <v>54797</v>
      </c>
      <c r="P7543" s="4">
        <v>64298</v>
      </c>
      <c r="Q7543" s="4">
        <v>119095</v>
      </c>
      <c r="R7543" s="4">
        <v>357285</v>
      </c>
      <c r="S7543" t="s">
        <v>23683</v>
      </c>
      <c r="T7543" s="6">
        <v>34608</v>
      </c>
      <c r="U7543" s="4">
        <v>136600</v>
      </c>
      <c r="X7543" t="s">
        <v>3</v>
      </c>
      <c r="AA7543" s="5" t="str">
        <f>HYPERLINK("https://www.zillow.com/homes/2361-GOLDFINCH-ST-WOODRIDGE-IL-60517_rb/","check listing")</f>
        <v>check listing</v>
      </c>
      <c r="AB7543" s="5" t="str">
        <f>HYPERLINK("https://propertylookup.dupagecounty.gov/Datalets/Datalet.aspx?UseSearch=no&amp;mode=sales&amp;pin=0824408010","sales record")</f>
        <v>sales record</v>
      </c>
      <c r="AC7543" t="s">
        <v>3</v>
      </c>
      <c r="AD7543">
        <v>41.761635</v>
      </c>
      <c r="AE7543">
        <v>-88.038561</v>
      </c>
      <c r="AF7543" s="5" t="str">
        <f>HYPERLINK("https://www.google.com/maps/search/?api=1&amp;query=41.761635,-88.038561","map")</f>
        <v>map</v>
      </c>
    </row>
    <row r="7544" spans="1:32">
      <c r="A7544" t="s">
        <v>7594</v>
      </c>
      <c r="B7544" t="s">
        <v>15045</v>
      </c>
      <c r="C7544" t="s">
        <v>16186</v>
      </c>
      <c r="D7544" t="s">
        <v>16215</v>
      </c>
      <c r="E7544" t="s">
        <v>16218</v>
      </c>
      <c r="F7544" t="s">
        <v>16220</v>
      </c>
      <c r="G7544" t="s">
        <v>16299</v>
      </c>
      <c r="H7544" t="s">
        <v>16299</v>
      </c>
      <c r="I7544" t="s">
        <v>16382</v>
      </c>
      <c r="J7544" t="s">
        <v>16385</v>
      </c>
      <c r="K7544">
        <v>0.112</v>
      </c>
      <c r="L7544">
        <v>4898</v>
      </c>
      <c r="M7544">
        <v>1698</v>
      </c>
      <c r="N7544" t="s">
        <v>16393</v>
      </c>
      <c r="O7544" s="4">
        <v>54797</v>
      </c>
      <c r="P7544" s="4">
        <v>53238</v>
      </c>
      <c r="Q7544" s="4">
        <v>108035</v>
      </c>
      <c r="R7544" s="4">
        <v>324105</v>
      </c>
      <c r="S7544" t="s">
        <v>23684</v>
      </c>
      <c r="T7544" s="6">
        <v>44728</v>
      </c>
      <c r="U7544" s="4">
        <v>230000</v>
      </c>
      <c r="V7544" t="s">
        <v>23739</v>
      </c>
      <c r="W7544" t="s">
        <v>27834</v>
      </c>
      <c r="X7544" t="s">
        <v>3</v>
      </c>
      <c r="AA7544" s="5" t="str">
        <f>HYPERLINK("https://www.zillow.com/homes/2365-GOLDFINCH-ST-WOODRIDGE-IL-605171857_rb/","check listing")</f>
        <v>check listing</v>
      </c>
      <c r="AB7544" s="5" t="str">
        <f>HYPERLINK("https://propertylookup.dupagecounty.gov/Datalets/Datalet.aspx?UseSearch=no&amp;mode=sales&amp;pin=0824408009","sales record")</f>
        <v>sales record</v>
      </c>
      <c r="AC7544" t="s">
        <v>3</v>
      </c>
      <c r="AD7544">
        <v>41.76163</v>
      </c>
      <c r="AE7544">
        <v>-88.03874399999999</v>
      </c>
      <c r="AF7544" s="5" t="str">
        <f>HYPERLINK("https://www.google.com/maps/search/?api=1&amp;query=41.76163,-88.038744","map")</f>
        <v>map</v>
      </c>
    </row>
    <row r="7545" spans="1:32">
      <c r="A7545" t="s">
        <v>7595</v>
      </c>
      <c r="B7545" t="s">
        <v>15046</v>
      </c>
      <c r="C7545" t="s">
        <v>15323</v>
      </c>
      <c r="D7545" t="s">
        <v>16215</v>
      </c>
      <c r="E7545" t="s">
        <v>16218</v>
      </c>
      <c r="F7545" t="s">
        <v>16220</v>
      </c>
      <c r="G7545" t="s">
        <v>16299</v>
      </c>
      <c r="H7545" t="s">
        <v>16299</v>
      </c>
      <c r="I7545" t="s">
        <v>16382</v>
      </c>
      <c r="J7545" t="s">
        <v>16385</v>
      </c>
      <c r="K7545">
        <v>0.112</v>
      </c>
      <c r="L7545">
        <v>4893</v>
      </c>
      <c r="M7545">
        <v>1705</v>
      </c>
      <c r="N7545" t="s">
        <v>16393</v>
      </c>
      <c r="O7545" s="4">
        <v>54797</v>
      </c>
      <c r="P7545" s="4">
        <v>69839</v>
      </c>
      <c r="Q7545" s="4">
        <v>124636</v>
      </c>
      <c r="R7545" s="4">
        <v>373908</v>
      </c>
      <c r="S7545" t="s">
        <v>23685</v>
      </c>
      <c r="T7545" s="6">
        <v>34213</v>
      </c>
      <c r="U7545" s="4">
        <v>130000</v>
      </c>
      <c r="X7545" t="s">
        <v>3</v>
      </c>
      <c r="AA7545" s="5" t="str">
        <f>HYPERLINK("https://www.zillow.com/homes/2369-GOLDFINCH-ST-WOODRIDGE-IL-60517_rb/","check listing")</f>
        <v>check listing</v>
      </c>
      <c r="AB7545" s="5" t="str">
        <f>HYPERLINK("https://propertylookup.dupagecounty.gov/Datalets/Datalet.aspx?UseSearch=no&amp;mode=sales&amp;pin=0824408008","sales record")</f>
        <v>sales record</v>
      </c>
      <c r="AC7545" t="s">
        <v>3</v>
      </c>
      <c r="AD7545">
        <v>41.761625</v>
      </c>
      <c r="AE7545">
        <v>-88.038927</v>
      </c>
      <c r="AF7545" s="5" t="str">
        <f>HYPERLINK("https://www.google.com/maps/search/?api=1&amp;query=41.761625,-88.038927","map")</f>
        <v>map</v>
      </c>
    </row>
    <row r="7546" spans="1:32">
      <c r="A7546" t="s">
        <v>7596</v>
      </c>
      <c r="B7546" t="s">
        <v>15047</v>
      </c>
      <c r="C7546" t="s">
        <v>16186</v>
      </c>
      <c r="D7546" t="s">
        <v>16215</v>
      </c>
      <c r="E7546" t="s">
        <v>16218</v>
      </c>
      <c r="F7546" t="s">
        <v>16220</v>
      </c>
      <c r="G7546" t="s">
        <v>16299</v>
      </c>
      <c r="H7546" t="s">
        <v>16299</v>
      </c>
      <c r="I7546" t="s">
        <v>16382</v>
      </c>
      <c r="J7546" t="s">
        <v>16385</v>
      </c>
      <c r="K7546">
        <v>0.112</v>
      </c>
      <c r="L7546">
        <v>4892</v>
      </c>
      <c r="M7546">
        <v>1725</v>
      </c>
      <c r="N7546" t="s">
        <v>16393</v>
      </c>
      <c r="O7546" s="4">
        <v>54797</v>
      </c>
      <c r="P7546" s="4">
        <v>51170</v>
      </c>
      <c r="Q7546" s="4">
        <v>105967</v>
      </c>
      <c r="R7546" s="4">
        <v>317901</v>
      </c>
      <c r="S7546" t="s">
        <v>23686</v>
      </c>
      <c r="T7546" s="6">
        <v>34366</v>
      </c>
      <c r="U7546" s="4">
        <v>107500</v>
      </c>
      <c r="X7546" t="s">
        <v>3</v>
      </c>
      <c r="AA7546" s="5" t="str">
        <f>HYPERLINK("https://www.zillow.com/homes/2373-GOLDFINCH-ST-WOODRIDGE-IL-605171857_rb/","check listing")</f>
        <v>check listing</v>
      </c>
      <c r="AB7546" s="5" t="str">
        <f>HYPERLINK("https://propertylookup.dupagecounty.gov/Datalets/Datalet.aspx?UseSearch=no&amp;mode=sales&amp;pin=0824408007","sales record")</f>
        <v>sales record</v>
      </c>
      <c r="AC7546" t="s">
        <v>3</v>
      </c>
      <c r="AD7546">
        <v>41.76162</v>
      </c>
      <c r="AE7546">
        <v>-88.03910999999999</v>
      </c>
      <c r="AF7546" s="5" t="str">
        <f>HYPERLINK("https://www.google.com/maps/search/?api=1&amp;query=41.76162,-88.03911","map")</f>
        <v>map</v>
      </c>
    </row>
    <row r="7547" spans="1:32">
      <c r="A7547" t="s">
        <v>7597</v>
      </c>
      <c r="B7547" t="s">
        <v>15048</v>
      </c>
      <c r="C7547" t="s">
        <v>16186</v>
      </c>
      <c r="D7547" t="s">
        <v>16215</v>
      </c>
      <c r="E7547" t="s">
        <v>16218</v>
      </c>
      <c r="F7547" t="s">
        <v>16220</v>
      </c>
      <c r="G7547" t="s">
        <v>16299</v>
      </c>
      <c r="H7547" t="s">
        <v>16299</v>
      </c>
      <c r="I7547" t="s">
        <v>16382</v>
      </c>
      <c r="J7547" t="s">
        <v>16385</v>
      </c>
      <c r="K7547">
        <v>0.112</v>
      </c>
      <c r="L7547">
        <v>4885</v>
      </c>
      <c r="M7547">
        <v>1825</v>
      </c>
      <c r="N7547" t="s">
        <v>16393</v>
      </c>
      <c r="O7547" s="4">
        <v>54797</v>
      </c>
      <c r="P7547" s="4">
        <v>61183</v>
      </c>
      <c r="Q7547" s="4">
        <v>115980</v>
      </c>
      <c r="R7547" s="4">
        <v>347940</v>
      </c>
      <c r="S7547" t="s">
        <v>23687</v>
      </c>
      <c r="T7547" s="6">
        <v>33848</v>
      </c>
      <c r="U7547" s="4">
        <v>123500</v>
      </c>
      <c r="X7547" t="s">
        <v>3</v>
      </c>
      <c r="AA7547" s="5" t="str">
        <f>HYPERLINK("https://www.zillow.com/homes/2377-GOLDFINCH-ST-WOODRIDGE-IL-605171857_rb/","check listing")</f>
        <v>check listing</v>
      </c>
      <c r="AB7547" s="5" t="str">
        <f>HYPERLINK("https://propertylookup.dupagecounty.gov/Datalets/Datalet.aspx?UseSearch=no&amp;mode=sales&amp;pin=0824408006","sales record")</f>
        <v>sales record</v>
      </c>
      <c r="AC7547" t="s">
        <v>3</v>
      </c>
      <c r="AD7547">
        <v>41.761615</v>
      </c>
      <c r="AE7547">
        <v>-88.039294</v>
      </c>
      <c r="AF7547" s="5" t="str">
        <f>HYPERLINK("https://www.google.com/maps/search/?api=1&amp;query=41.761615,-88.039294","map")</f>
        <v>map</v>
      </c>
    </row>
    <row r="7548" spans="1:32">
      <c r="A7548" t="s">
        <v>7598</v>
      </c>
      <c r="B7548" t="s">
        <v>15049</v>
      </c>
      <c r="C7548" t="s">
        <v>15323</v>
      </c>
      <c r="D7548" t="s">
        <v>16215</v>
      </c>
      <c r="E7548" t="s">
        <v>16218</v>
      </c>
      <c r="F7548" t="s">
        <v>16220</v>
      </c>
      <c r="G7548" t="s">
        <v>16299</v>
      </c>
      <c r="H7548" t="s">
        <v>16299</v>
      </c>
      <c r="I7548" t="s">
        <v>16382</v>
      </c>
      <c r="J7548" t="s">
        <v>16385</v>
      </c>
      <c r="K7548">
        <v>0.112</v>
      </c>
      <c r="L7548">
        <v>4883</v>
      </c>
      <c r="M7548">
        <v>1173</v>
      </c>
      <c r="N7548" t="s">
        <v>16393</v>
      </c>
      <c r="O7548" s="4">
        <v>54797</v>
      </c>
      <c r="P7548" s="4">
        <v>56628</v>
      </c>
      <c r="Q7548" s="4">
        <v>111425</v>
      </c>
      <c r="R7548" s="4">
        <v>334275</v>
      </c>
      <c r="S7548" t="s">
        <v>23688</v>
      </c>
      <c r="T7548" s="6">
        <v>41699</v>
      </c>
      <c r="U7548" s="4">
        <v>181900</v>
      </c>
      <c r="V7548" t="s">
        <v>23739</v>
      </c>
      <c r="W7548" t="s">
        <v>27835</v>
      </c>
      <c r="X7548" t="s">
        <v>3</v>
      </c>
      <c r="AA7548" s="5" t="str">
        <f>HYPERLINK("https://www.zillow.com/homes/2381-GOLDFINCH-ST-WOODRIDGE-IL-60517_rb/","check listing")</f>
        <v>check listing</v>
      </c>
      <c r="AB7548" s="5" t="str">
        <f>HYPERLINK("https://propertylookup.dupagecounty.gov/Datalets/Datalet.aspx?UseSearch=no&amp;mode=sales&amp;pin=0824408005","sales record")</f>
        <v>sales record</v>
      </c>
      <c r="AC7548" t="s">
        <v>3</v>
      </c>
      <c r="AD7548">
        <v>41.761609</v>
      </c>
      <c r="AE7548">
        <v>-88.03947700000001</v>
      </c>
      <c r="AF7548" s="5" t="str">
        <f>HYPERLINK("https://www.google.com/maps/search/?api=1&amp;query=41.761609,-88.039477","map")</f>
        <v>map</v>
      </c>
    </row>
    <row r="7549" spans="1:32">
      <c r="A7549" t="s">
        <v>7599</v>
      </c>
      <c r="B7549" t="s">
        <v>15050</v>
      </c>
      <c r="C7549" t="s">
        <v>16186</v>
      </c>
      <c r="D7549" t="s">
        <v>16215</v>
      </c>
      <c r="E7549" t="s">
        <v>16218</v>
      </c>
      <c r="F7549" t="s">
        <v>16220</v>
      </c>
      <c r="G7549" t="s">
        <v>16299</v>
      </c>
      <c r="H7549" t="s">
        <v>16299</v>
      </c>
      <c r="I7549" t="s">
        <v>16382</v>
      </c>
      <c r="J7549" t="s">
        <v>16385</v>
      </c>
      <c r="K7549">
        <v>0.112</v>
      </c>
      <c r="L7549">
        <v>4879</v>
      </c>
      <c r="M7549">
        <v>1687</v>
      </c>
      <c r="N7549" t="s">
        <v>16393</v>
      </c>
      <c r="O7549" s="4">
        <v>54797</v>
      </c>
      <c r="P7549" s="4">
        <v>67557</v>
      </c>
      <c r="Q7549" s="4">
        <v>122354</v>
      </c>
      <c r="R7549" s="4">
        <v>367062</v>
      </c>
      <c r="S7549" t="s">
        <v>23689</v>
      </c>
      <c r="T7549" s="6">
        <v>45868</v>
      </c>
      <c r="U7549" s="4">
        <v>363000</v>
      </c>
      <c r="V7549" t="s">
        <v>23739</v>
      </c>
      <c r="W7549" t="s">
        <v>27836</v>
      </c>
      <c r="X7549" t="s">
        <v>3</v>
      </c>
      <c r="AA7549" s="5" t="str">
        <f>HYPERLINK("https://www.zillow.com/homes/2385-GOLDFINCH-ST-WOODRIDGE-IL-605171857_rb/","check listing")</f>
        <v>check listing</v>
      </c>
      <c r="AB7549" s="5" t="str">
        <f>HYPERLINK("https://propertylookup.dupagecounty.gov/Datalets/Datalet.aspx?UseSearch=no&amp;mode=sales&amp;pin=0824408004","sales record")</f>
        <v>sales record</v>
      </c>
      <c r="AC7549" t="s">
        <v>3</v>
      </c>
      <c r="AD7549">
        <v>41.761604</v>
      </c>
      <c r="AE7549">
        <v>-88.03966</v>
      </c>
      <c r="AF7549" s="5" t="str">
        <f>HYPERLINK("https://www.google.com/maps/search/?api=1&amp;query=41.761604,-88.03966","map")</f>
        <v>map</v>
      </c>
    </row>
    <row r="7550" spans="1:32">
      <c r="A7550" t="s">
        <v>7600</v>
      </c>
      <c r="B7550" t="s">
        <v>15051</v>
      </c>
      <c r="C7550" t="s">
        <v>15323</v>
      </c>
      <c r="D7550" t="s">
        <v>16215</v>
      </c>
      <c r="E7550" t="s">
        <v>16218</v>
      </c>
      <c r="F7550" t="s">
        <v>16220</v>
      </c>
      <c r="G7550" t="s">
        <v>16299</v>
      </c>
      <c r="H7550" t="s">
        <v>16299</v>
      </c>
      <c r="I7550" t="s">
        <v>16382</v>
      </c>
      <c r="J7550" t="s">
        <v>16385</v>
      </c>
      <c r="K7550">
        <v>0.112</v>
      </c>
      <c r="L7550">
        <v>4874</v>
      </c>
      <c r="M7550">
        <v>1316</v>
      </c>
      <c r="N7550" t="s">
        <v>16393</v>
      </c>
      <c r="O7550" s="4">
        <v>54797</v>
      </c>
      <c r="P7550" s="4">
        <v>67557</v>
      </c>
      <c r="Q7550" s="4">
        <v>122354</v>
      </c>
      <c r="R7550" s="4">
        <v>367062</v>
      </c>
      <c r="S7550" t="s">
        <v>23690</v>
      </c>
      <c r="T7550" s="6">
        <v>36586</v>
      </c>
      <c r="U7550" s="4">
        <v>151500</v>
      </c>
      <c r="V7550" t="s">
        <v>23739</v>
      </c>
      <c r="W7550" t="s">
        <v>27837</v>
      </c>
      <c r="X7550" t="s">
        <v>3</v>
      </c>
      <c r="AA7550" s="5" t="str">
        <f>HYPERLINK("https://www.zillow.com/homes/2389-GOLDFINCH-ST-WOODRIDGE-IL-60517_rb/","check listing")</f>
        <v>check listing</v>
      </c>
      <c r="AB7550" s="5" t="str">
        <f>HYPERLINK("https://propertylookup.dupagecounty.gov/Datalets/Datalet.aspx?UseSearch=no&amp;mode=sales&amp;pin=0824408003","sales record")</f>
        <v>sales record</v>
      </c>
      <c r="AC7550" t="s">
        <v>3</v>
      </c>
      <c r="AD7550">
        <v>41.7616</v>
      </c>
      <c r="AE7550">
        <v>-88.039843</v>
      </c>
      <c r="AF7550" s="5" t="str">
        <f>HYPERLINK("https://www.google.com/maps/search/?api=1&amp;query=41.7616,-88.039843","map")</f>
        <v>map</v>
      </c>
    </row>
    <row r="7551" spans="1:32">
      <c r="A7551" t="s">
        <v>7601</v>
      </c>
      <c r="B7551" t="s">
        <v>15052</v>
      </c>
      <c r="C7551" t="s">
        <v>15323</v>
      </c>
      <c r="D7551" t="s">
        <v>16215</v>
      </c>
      <c r="E7551" t="s">
        <v>16218</v>
      </c>
      <c r="F7551" t="s">
        <v>16220</v>
      </c>
      <c r="G7551" t="s">
        <v>16299</v>
      </c>
      <c r="H7551" t="s">
        <v>16299</v>
      </c>
      <c r="I7551" t="s">
        <v>16382</v>
      </c>
      <c r="J7551" t="s">
        <v>16385</v>
      </c>
      <c r="K7551">
        <v>0.112</v>
      </c>
      <c r="L7551">
        <v>4874</v>
      </c>
      <c r="M7551">
        <v>1671</v>
      </c>
      <c r="N7551" t="s">
        <v>16393</v>
      </c>
      <c r="O7551" s="4">
        <v>54797</v>
      </c>
      <c r="P7551" s="4">
        <v>66962</v>
      </c>
      <c r="Q7551" s="4">
        <v>121759</v>
      </c>
      <c r="R7551" s="4">
        <v>365277</v>
      </c>
      <c r="S7551" t="s">
        <v>23691</v>
      </c>
      <c r="T7551" s="6">
        <v>41913</v>
      </c>
      <c r="U7551" s="4">
        <v>195000</v>
      </c>
      <c r="V7551" t="s">
        <v>23739</v>
      </c>
      <c r="W7551" t="s">
        <v>27838</v>
      </c>
      <c r="X7551" t="s">
        <v>3</v>
      </c>
      <c r="AA7551" s="5" t="str">
        <f>HYPERLINK("https://www.zillow.com/homes/2-ORIOLE-CT-WOODRIDGE-IL-60517_rb/","check listing")</f>
        <v>check listing</v>
      </c>
      <c r="AB7551" s="5" t="str">
        <f>HYPERLINK("https://propertylookup.dupagecounty.gov/Datalets/Datalet.aspx?UseSearch=no&amp;mode=sales&amp;pin=0824319029","sales record")</f>
        <v>sales record</v>
      </c>
      <c r="AC7551" t="s">
        <v>3</v>
      </c>
      <c r="AD7551">
        <v>41.762185</v>
      </c>
      <c r="AE7551">
        <v>-88.041827</v>
      </c>
      <c r="AF7551" s="5" t="str">
        <f>HYPERLINK("https://www.google.com/maps/search/?api=1&amp;query=41.762185,-88.041827","map")</f>
        <v>map</v>
      </c>
    </row>
    <row r="7552" spans="1:32">
      <c r="A7552" t="s">
        <v>7602</v>
      </c>
      <c r="B7552" t="s">
        <v>15053</v>
      </c>
      <c r="C7552" t="s">
        <v>15323</v>
      </c>
      <c r="D7552" t="s">
        <v>16215</v>
      </c>
      <c r="E7552" t="s">
        <v>16218</v>
      </c>
      <c r="F7552" t="s">
        <v>16220</v>
      </c>
      <c r="G7552" t="s">
        <v>16299</v>
      </c>
      <c r="H7552" t="s">
        <v>16299</v>
      </c>
      <c r="I7552" t="s">
        <v>16382</v>
      </c>
      <c r="J7552" t="s">
        <v>16385</v>
      </c>
      <c r="K7552">
        <v>0.112</v>
      </c>
      <c r="L7552">
        <v>4865</v>
      </c>
      <c r="M7552">
        <v>1347</v>
      </c>
      <c r="N7552" t="s">
        <v>16393</v>
      </c>
      <c r="O7552" s="4">
        <v>54797</v>
      </c>
      <c r="P7552" s="4">
        <v>58126</v>
      </c>
      <c r="Q7552" s="4">
        <v>112923</v>
      </c>
      <c r="R7552" s="4">
        <v>338769</v>
      </c>
      <c r="S7552" t="s">
        <v>23692</v>
      </c>
      <c r="T7552" s="6">
        <v>36220</v>
      </c>
      <c r="U7552" s="4">
        <v>136000</v>
      </c>
      <c r="X7552" t="s">
        <v>3</v>
      </c>
      <c r="AA7552" s="5" t="str">
        <f>HYPERLINK("https://www.zillow.com/homes/6835-DOVE-AVE-WOODRIDGE-IL-60517_rb/","check listing")</f>
        <v>check listing</v>
      </c>
      <c r="AB7552" s="5" t="str">
        <f>HYPERLINK("https://propertylookup.dupagecounty.gov/Datalets/Datalet.aspx?UseSearch=no&amp;mode=sales&amp;pin=0824406004","sales record")</f>
        <v>sales record</v>
      </c>
      <c r="AC7552" t="s">
        <v>3</v>
      </c>
      <c r="AD7552">
        <v>41.762749</v>
      </c>
      <c r="AE7552">
        <v>-88.038855</v>
      </c>
      <c r="AF7552" s="5" t="str">
        <f>HYPERLINK("https://www.google.com/maps/search/?api=1&amp;query=41.762749,-88.038855","map")</f>
        <v>map</v>
      </c>
    </row>
    <row r="7553" spans="1:32">
      <c r="A7553" t="s">
        <v>7603</v>
      </c>
      <c r="B7553" t="s">
        <v>15054</v>
      </c>
      <c r="C7553" t="s">
        <v>15323</v>
      </c>
      <c r="D7553" t="s">
        <v>16215</v>
      </c>
      <c r="E7553" t="s">
        <v>16218</v>
      </c>
      <c r="F7553" t="s">
        <v>16220</v>
      </c>
      <c r="G7553" t="s">
        <v>16299</v>
      </c>
      <c r="H7553" t="s">
        <v>16299</v>
      </c>
      <c r="I7553" t="s">
        <v>16382</v>
      </c>
      <c r="J7553" t="s">
        <v>16385</v>
      </c>
      <c r="K7553">
        <v>0.112</v>
      </c>
      <c r="L7553">
        <v>4858</v>
      </c>
      <c r="M7553">
        <v>1674</v>
      </c>
      <c r="N7553" t="s">
        <v>16393</v>
      </c>
      <c r="O7553" s="4">
        <v>54797</v>
      </c>
      <c r="P7553" s="4">
        <v>55962</v>
      </c>
      <c r="Q7553" s="4">
        <v>110759</v>
      </c>
      <c r="R7553" s="4">
        <v>332277</v>
      </c>
      <c r="S7553" t="s">
        <v>23693</v>
      </c>
      <c r="T7553" s="6">
        <v>33878</v>
      </c>
      <c r="U7553" s="4">
        <v>102000</v>
      </c>
      <c r="X7553" t="s">
        <v>3</v>
      </c>
      <c r="AA7553" s="5" t="str">
        <f>HYPERLINK("https://www.zillow.com/homes/6826-DOVE-AVE-WOODRIDGE-IL-60517_rb/","check listing")</f>
        <v>check listing</v>
      </c>
      <c r="AB7553" s="5" t="str">
        <f>HYPERLINK("https://propertylookup.dupagecounty.gov/Datalets/Datalet.aspx?UseSearch=no&amp;mode=sales&amp;pin=0824405022","sales record")</f>
        <v>sales record</v>
      </c>
      <c r="AC7553" t="s">
        <v>3</v>
      </c>
      <c r="AD7553">
        <v>41.76282</v>
      </c>
      <c r="AE7553">
        <v>-88.039548</v>
      </c>
      <c r="AF7553" s="5" t="str">
        <f>HYPERLINK("https://www.google.com/maps/search/?api=1&amp;query=41.76282,-88.039548","map")</f>
        <v>map</v>
      </c>
    </row>
    <row r="7554" spans="1:32">
      <c r="A7554" t="s">
        <v>7604</v>
      </c>
      <c r="B7554" t="s">
        <v>15055</v>
      </c>
      <c r="C7554" t="s">
        <v>16171</v>
      </c>
      <c r="D7554" t="s">
        <v>16215</v>
      </c>
      <c r="E7554" t="s">
        <v>16218</v>
      </c>
      <c r="F7554" t="s">
        <v>16220</v>
      </c>
      <c r="G7554" t="s">
        <v>16299</v>
      </c>
      <c r="H7554" t="s">
        <v>16299</v>
      </c>
      <c r="I7554" t="s">
        <v>16382</v>
      </c>
      <c r="J7554" t="s">
        <v>16385</v>
      </c>
      <c r="K7554">
        <v>0.111</v>
      </c>
      <c r="L7554">
        <v>4843</v>
      </c>
      <c r="M7554">
        <v>1666</v>
      </c>
      <c r="N7554" t="s">
        <v>16393</v>
      </c>
      <c r="O7554" s="4">
        <v>54797</v>
      </c>
      <c r="P7554" s="4">
        <v>53238</v>
      </c>
      <c r="Q7554" s="4">
        <v>108035</v>
      </c>
      <c r="R7554" s="4">
        <v>324105</v>
      </c>
      <c r="S7554" t="s">
        <v>23694</v>
      </c>
      <c r="T7554" s="6">
        <v>44460</v>
      </c>
      <c r="U7554" s="4">
        <v>220000</v>
      </c>
      <c r="V7554" t="s">
        <v>23739</v>
      </c>
      <c r="W7554" t="s">
        <v>27839</v>
      </c>
      <c r="X7554" t="s">
        <v>3</v>
      </c>
      <c r="AA7554" s="5" t="str">
        <f>HYPERLINK("https://www.zillow.com/homes/2387-KILDEER-ST-WOODRIDGE-IL-605171855_rb/","check listing")</f>
        <v>check listing</v>
      </c>
      <c r="AB7554" s="5" t="str">
        <f>HYPERLINK("https://propertylookup.dupagecounty.gov/Datalets/Datalet.aspx?UseSearch=no&amp;mode=sales&amp;pin=0824407004","sales record")</f>
        <v>sales record</v>
      </c>
      <c r="AC7554" t="s">
        <v>3</v>
      </c>
      <c r="AD7554">
        <v>41.762294</v>
      </c>
      <c r="AE7554">
        <v>-88.039924</v>
      </c>
      <c r="AF7554" s="5" t="str">
        <f>HYPERLINK("https://www.google.com/maps/search/?api=1&amp;query=41.762294,-88.039924","map")</f>
        <v>map</v>
      </c>
    </row>
    <row r="7555" spans="1:32">
      <c r="A7555" t="s">
        <v>7605</v>
      </c>
      <c r="B7555" t="s">
        <v>15056</v>
      </c>
      <c r="C7555" t="s">
        <v>16176</v>
      </c>
      <c r="D7555" t="s">
        <v>16215</v>
      </c>
      <c r="E7555" t="s">
        <v>16218</v>
      </c>
      <c r="F7555" t="s">
        <v>16220</v>
      </c>
      <c r="G7555" t="s">
        <v>16299</v>
      </c>
      <c r="H7555" t="s">
        <v>16299</v>
      </c>
      <c r="I7555" t="s">
        <v>16382</v>
      </c>
      <c r="J7555" t="s">
        <v>16385</v>
      </c>
      <c r="K7555">
        <v>0.109</v>
      </c>
      <c r="L7555">
        <v>4749</v>
      </c>
      <c r="M7555">
        <v>1378</v>
      </c>
      <c r="N7555" t="s">
        <v>16393</v>
      </c>
      <c r="O7555" s="4">
        <v>54797</v>
      </c>
      <c r="P7555" s="4">
        <v>58685</v>
      </c>
      <c r="Q7555" s="4">
        <v>113482</v>
      </c>
      <c r="R7555" s="4">
        <v>340446</v>
      </c>
      <c r="S7555" t="s">
        <v>23695</v>
      </c>
      <c r="T7555" s="6">
        <v>42917</v>
      </c>
      <c r="U7555" s="4">
        <v>238000</v>
      </c>
      <c r="V7555" t="s">
        <v>23739</v>
      </c>
      <c r="W7555" t="s">
        <v>27840</v>
      </c>
      <c r="X7555" t="s">
        <v>3</v>
      </c>
      <c r="AA7555" s="5" t="str">
        <f>HYPERLINK("https://www.zillow.com/homes/2325-VISTA-DR-WOODRIDGE-IL-605171842_rb/","check listing")</f>
        <v>check listing</v>
      </c>
      <c r="AB7555" s="5" t="str">
        <f>HYPERLINK("https://propertylookup.dupagecounty.gov/Datalets/Datalet.aspx?UseSearch=no&amp;mode=sales&amp;pin=0824419012","sales record")</f>
        <v>sales record</v>
      </c>
      <c r="AC7555" t="s">
        <v>3</v>
      </c>
      <c r="AD7555">
        <v>41.760801</v>
      </c>
      <c r="AE7555">
        <v>-88.03728599999999</v>
      </c>
      <c r="AF7555" s="5" t="str">
        <f>HYPERLINK("https://www.google.com/maps/search/?api=1&amp;query=41.760801,-88.037286","map")</f>
        <v>map</v>
      </c>
    </row>
    <row r="7556" spans="1:32">
      <c r="A7556" t="s">
        <v>7606</v>
      </c>
      <c r="B7556" t="s">
        <v>15057</v>
      </c>
      <c r="C7556" t="s">
        <v>16187</v>
      </c>
      <c r="D7556" t="s">
        <v>16215</v>
      </c>
      <c r="E7556" t="s">
        <v>16218</v>
      </c>
      <c r="F7556" t="s">
        <v>16220</v>
      </c>
      <c r="G7556" t="s">
        <v>16299</v>
      </c>
      <c r="H7556" t="s">
        <v>16299</v>
      </c>
      <c r="I7556" t="s">
        <v>16382</v>
      </c>
      <c r="J7556" t="s">
        <v>16385</v>
      </c>
      <c r="K7556">
        <v>0.105</v>
      </c>
      <c r="L7556">
        <v>4595</v>
      </c>
      <c r="M7556">
        <v>951</v>
      </c>
      <c r="N7556" t="s">
        <v>16393</v>
      </c>
      <c r="O7556" s="4">
        <v>54797</v>
      </c>
      <c r="P7556" s="4">
        <v>59756</v>
      </c>
      <c r="Q7556" s="4">
        <v>114553</v>
      </c>
      <c r="R7556" s="4">
        <v>343659</v>
      </c>
      <c r="S7556" t="s">
        <v>23696</v>
      </c>
      <c r="T7556" s="6">
        <v>38108</v>
      </c>
      <c r="U7556" s="4">
        <v>205000</v>
      </c>
      <c r="V7556" t="s">
        <v>23739</v>
      </c>
      <c r="W7556" t="s">
        <v>27841</v>
      </c>
      <c r="X7556" t="s">
        <v>3</v>
      </c>
      <c r="AA7556" s="5" t="str">
        <f>HYPERLINK("https://www.zillow.com/homes/10-PLOVER-CT-WOODRIDGE-IL-605171722_rb/","check listing")</f>
        <v>check listing</v>
      </c>
      <c r="AB7556" s="5" t="str">
        <f>HYPERLINK("https://propertylookup.dupagecounty.gov/Datalets/Datalet.aspx?UseSearch=no&amp;mode=sales&amp;pin=0824320004","sales record")</f>
        <v>sales record</v>
      </c>
      <c r="AC7556" t="s">
        <v>3</v>
      </c>
      <c r="AD7556">
        <v>41.763418</v>
      </c>
      <c r="AE7556">
        <v>-88.041512</v>
      </c>
      <c r="AF7556" s="5" t="str">
        <f>HYPERLINK("https://www.google.com/maps/search/?api=1&amp;query=41.763418,-88.041512","map")</f>
        <v>map</v>
      </c>
    </row>
    <row r="7557" spans="1:32">
      <c r="A7557" t="s">
        <v>7607</v>
      </c>
      <c r="B7557" t="s">
        <v>15058</v>
      </c>
      <c r="C7557" t="s">
        <v>15323</v>
      </c>
      <c r="D7557" t="s">
        <v>16215</v>
      </c>
      <c r="E7557" t="s">
        <v>16218</v>
      </c>
      <c r="F7557" t="s">
        <v>16220</v>
      </c>
      <c r="G7557" t="s">
        <v>16299</v>
      </c>
      <c r="H7557" t="s">
        <v>16299</v>
      </c>
      <c r="I7557" t="s">
        <v>16382</v>
      </c>
      <c r="J7557" t="s">
        <v>16385</v>
      </c>
      <c r="K7557">
        <v>0.103</v>
      </c>
      <c r="L7557">
        <v>4482</v>
      </c>
      <c r="M7557">
        <v>1311</v>
      </c>
      <c r="N7557" t="s">
        <v>16393</v>
      </c>
      <c r="O7557" s="4">
        <v>54797</v>
      </c>
      <c r="P7557" s="4">
        <v>58126</v>
      </c>
      <c r="Q7557" s="4">
        <v>112923</v>
      </c>
      <c r="R7557" s="4">
        <v>338769</v>
      </c>
      <c r="S7557" t="s">
        <v>23697</v>
      </c>
      <c r="T7557" s="6">
        <v>37469</v>
      </c>
      <c r="U7557" s="4">
        <v>197000</v>
      </c>
      <c r="V7557" t="s">
        <v>23739</v>
      </c>
      <c r="W7557" t="s">
        <v>27842</v>
      </c>
      <c r="X7557" t="s">
        <v>3</v>
      </c>
      <c r="AA7557" s="5" t="str">
        <f>HYPERLINK("https://www.zillow.com/homes/10-BLUE-JAY-CT-WOODRIDGE-IL-60517_rb/","check listing")</f>
        <v>check listing</v>
      </c>
      <c r="AB7557" s="5" t="str">
        <f>HYPERLINK("https://propertylookup.dupagecounty.gov/Datalets/Datalet.aspx?UseSearch=no&amp;mode=sales&amp;pin=0824319010","sales record")</f>
        <v>sales record</v>
      </c>
      <c r="AC7557" t="s">
        <v>3</v>
      </c>
      <c r="AD7557">
        <v>41.762861</v>
      </c>
      <c r="AE7557">
        <v>-88.043019</v>
      </c>
      <c r="AF7557" s="5" t="str">
        <f>HYPERLINK("https://www.google.com/maps/search/?api=1&amp;query=41.762861,-88.043019","map")</f>
        <v>map</v>
      </c>
    </row>
    <row r="7558" spans="1:32">
      <c r="A7558" t="s">
        <v>7608</v>
      </c>
      <c r="B7558" t="s">
        <v>15059</v>
      </c>
      <c r="C7558" t="s">
        <v>15323</v>
      </c>
      <c r="D7558" t="s">
        <v>16215</v>
      </c>
      <c r="E7558" t="s">
        <v>16218</v>
      </c>
      <c r="F7558" t="s">
        <v>16220</v>
      </c>
      <c r="G7558" t="s">
        <v>16299</v>
      </c>
      <c r="H7558" t="s">
        <v>16299</v>
      </c>
      <c r="I7558" t="s">
        <v>16382</v>
      </c>
      <c r="J7558" t="s">
        <v>16385</v>
      </c>
      <c r="K7558">
        <v>0.103</v>
      </c>
      <c r="L7558">
        <v>4480</v>
      </c>
      <c r="M7558">
        <v>1265</v>
      </c>
      <c r="N7558" t="s">
        <v>16393</v>
      </c>
      <c r="O7558" s="4">
        <v>54797</v>
      </c>
      <c r="P7558" s="4">
        <v>62479</v>
      </c>
      <c r="Q7558" s="4">
        <v>117276</v>
      </c>
      <c r="R7558" s="4">
        <v>351828</v>
      </c>
      <c r="S7558" t="s">
        <v>23698</v>
      </c>
      <c r="T7558" s="6">
        <v>36982</v>
      </c>
      <c r="U7558" s="4">
        <v>160000</v>
      </c>
      <c r="V7558" t="s">
        <v>23739</v>
      </c>
      <c r="W7558" t="s">
        <v>27843</v>
      </c>
      <c r="X7558" t="s">
        <v>3</v>
      </c>
      <c r="AA7558" s="5" t="str">
        <f>HYPERLINK("https://www.zillow.com/homes/7-PLOVER-CT-WOODRIDGE-IL-60517_rb/","check listing")</f>
        <v>check listing</v>
      </c>
      <c r="AB7558" s="5" t="str">
        <f>HYPERLINK("https://propertylookup.dupagecounty.gov/Datalets/Datalet.aspx?UseSearch=no&amp;mode=sales&amp;pin=0824403002","sales record")</f>
        <v>sales record</v>
      </c>
      <c r="AC7558" t="s">
        <v>3</v>
      </c>
      <c r="AD7558">
        <v>41.763193</v>
      </c>
      <c r="AE7558">
        <v>-88.04115400000001</v>
      </c>
      <c r="AF7558" s="5" t="str">
        <f>HYPERLINK("https://www.google.com/maps/search/?api=1&amp;query=41.763193,-88.041154","map")</f>
        <v>map</v>
      </c>
    </row>
    <row r="7559" spans="1:32">
      <c r="A7559" t="s">
        <v>7609</v>
      </c>
      <c r="B7559" t="s">
        <v>15060</v>
      </c>
      <c r="C7559" t="s">
        <v>15323</v>
      </c>
      <c r="D7559" t="s">
        <v>16215</v>
      </c>
      <c r="E7559" t="s">
        <v>16218</v>
      </c>
      <c r="F7559" t="s">
        <v>16220</v>
      </c>
      <c r="G7559" t="s">
        <v>16299</v>
      </c>
      <c r="H7559" t="s">
        <v>16299</v>
      </c>
      <c r="I7559" t="s">
        <v>16382</v>
      </c>
      <c r="J7559" t="s">
        <v>16385</v>
      </c>
      <c r="K7559">
        <v>0.1</v>
      </c>
      <c r="L7559">
        <v>4347</v>
      </c>
      <c r="M7559">
        <v>1831</v>
      </c>
      <c r="N7559" t="s">
        <v>16393</v>
      </c>
      <c r="O7559" s="4">
        <v>54797</v>
      </c>
      <c r="P7559" s="4">
        <v>56330</v>
      </c>
      <c r="Q7559" s="4">
        <v>111127</v>
      </c>
      <c r="R7559" s="4">
        <v>333381</v>
      </c>
      <c r="S7559" t="s">
        <v>23699</v>
      </c>
      <c r="T7559" s="6">
        <v>40299</v>
      </c>
      <c r="U7559" s="4">
        <v>57859</v>
      </c>
      <c r="V7559" t="s">
        <v>23742</v>
      </c>
      <c r="W7559" t="s">
        <v>23699</v>
      </c>
      <c r="X7559" t="s">
        <v>3</v>
      </c>
      <c r="AA7559" s="5" t="str">
        <f>HYPERLINK("https://www.zillow.com/homes/9-BLUE-JAY-CT-WOODRIDGE-IL-60517_rb/","check listing")</f>
        <v>check listing</v>
      </c>
      <c r="AB7559" s="5" t="str">
        <f>HYPERLINK("https://propertylookup.dupagecounty.gov/Datalets/Datalet.aspx?UseSearch=no&amp;mode=sales&amp;pin=0824319009","sales record")</f>
        <v>sales record</v>
      </c>
      <c r="AC7559" t="s">
        <v>3</v>
      </c>
      <c r="AD7559">
        <v>41.762856</v>
      </c>
      <c r="AE7559">
        <v>-88.04320800000001</v>
      </c>
      <c r="AF7559" s="5" t="str">
        <f>HYPERLINK("https://www.google.com/maps/search/?api=1&amp;query=41.762856,-88.043208","map")</f>
        <v>map</v>
      </c>
    </row>
    <row r="7560" spans="1:32">
      <c r="A7560" t="s">
        <v>7610</v>
      </c>
      <c r="B7560" t="s">
        <v>15061</v>
      </c>
      <c r="C7560" t="s">
        <v>15323</v>
      </c>
      <c r="D7560" t="s">
        <v>16215</v>
      </c>
      <c r="E7560" t="s">
        <v>16218</v>
      </c>
      <c r="F7560" t="s">
        <v>16220</v>
      </c>
      <c r="G7560" t="s">
        <v>16299</v>
      </c>
      <c r="H7560" t="s">
        <v>16299</v>
      </c>
      <c r="I7560" t="s">
        <v>16382</v>
      </c>
      <c r="J7560" t="s">
        <v>16385</v>
      </c>
      <c r="K7560">
        <v>0.098</v>
      </c>
      <c r="L7560">
        <v>4285</v>
      </c>
      <c r="M7560">
        <v>1703</v>
      </c>
      <c r="N7560" t="s">
        <v>16393</v>
      </c>
      <c r="O7560" s="4">
        <v>54797</v>
      </c>
      <c r="P7560" s="4">
        <v>55915</v>
      </c>
      <c r="Q7560" s="4">
        <v>110712</v>
      </c>
      <c r="R7560" s="4">
        <v>332136</v>
      </c>
      <c r="S7560" t="s">
        <v>23700</v>
      </c>
      <c r="T7560" s="6">
        <v>37104</v>
      </c>
      <c r="U7560" s="4">
        <v>142371</v>
      </c>
      <c r="V7560" t="s">
        <v>23739</v>
      </c>
      <c r="W7560" t="s">
        <v>27844</v>
      </c>
      <c r="X7560" t="s">
        <v>3</v>
      </c>
      <c r="AA7560" s="5" t="str">
        <f>HYPERLINK("https://www.zillow.com/homes/4-PLOVER-CT-WOODRIDGE-IL-60517_rb/","check listing")</f>
        <v>check listing</v>
      </c>
      <c r="AB7560" s="5" t="str">
        <f>HYPERLINK("https://propertylookup.dupagecounty.gov/Datalets/Datalet.aspx?UseSearch=no&amp;mode=sales&amp;pin=0824320009","sales record")</f>
        <v>sales record</v>
      </c>
      <c r="AC7560" t="s">
        <v>3</v>
      </c>
      <c r="AD7560">
        <v>41.762906</v>
      </c>
      <c r="AE7560">
        <v>-88.041498</v>
      </c>
      <c r="AF7560" s="5" t="str">
        <f>HYPERLINK("https://www.google.com/maps/search/?api=1&amp;query=41.762906,-88.041498","map")</f>
        <v>map</v>
      </c>
    </row>
    <row r="7561" spans="1:32">
      <c r="A7561" t="s">
        <v>7611</v>
      </c>
      <c r="B7561" t="s">
        <v>15062</v>
      </c>
      <c r="C7561" t="s">
        <v>15323</v>
      </c>
      <c r="D7561" t="s">
        <v>16215</v>
      </c>
      <c r="E7561" t="s">
        <v>16218</v>
      </c>
      <c r="F7561" t="s">
        <v>16220</v>
      </c>
      <c r="G7561" t="s">
        <v>16299</v>
      </c>
      <c r="H7561" t="s">
        <v>16299</v>
      </c>
      <c r="I7561" t="s">
        <v>16382</v>
      </c>
      <c r="J7561" t="s">
        <v>16385</v>
      </c>
      <c r="K7561">
        <v>0.098</v>
      </c>
      <c r="L7561">
        <v>4279</v>
      </c>
      <c r="M7561">
        <v>2165</v>
      </c>
      <c r="N7561" t="s">
        <v>16393</v>
      </c>
      <c r="O7561" s="4">
        <v>25626</v>
      </c>
      <c r="P7561" s="4">
        <v>69400</v>
      </c>
      <c r="Q7561" s="4">
        <v>95026</v>
      </c>
      <c r="R7561" s="4">
        <v>285078</v>
      </c>
      <c r="S7561" t="s">
        <v>23701</v>
      </c>
      <c r="T7561" s="6">
        <v>41548</v>
      </c>
      <c r="U7561" s="4">
        <v>156500</v>
      </c>
      <c r="V7561" t="s">
        <v>16232</v>
      </c>
      <c r="W7561" t="s">
        <v>23701</v>
      </c>
      <c r="X7561" t="s">
        <v>3</v>
      </c>
      <c r="AA7561" s="5" t="str">
        <f>HYPERLINK("https://www.zillow.com/homes/2669-SUMAC-ST-WOODRIDGE-IL-60517_rb/","check listing")</f>
        <v>check listing</v>
      </c>
      <c r="AB7561" s="5" t="str">
        <f>HYPERLINK("https://propertylookup.dupagecounty.gov/Datalets/Datalet.aspx?UseSearch=no&amp;mode=sales&amp;pin=0824304001","sales record")</f>
        <v>sales record</v>
      </c>
      <c r="AC7561" t="s">
        <v>27873</v>
      </c>
      <c r="AD7561">
        <v>41.762146</v>
      </c>
      <c r="AE7561">
        <v>-88.049074</v>
      </c>
      <c r="AF7561" s="5" t="str">
        <f>HYPERLINK("https://www.google.com/maps/search/?api=1&amp;query=41.762146,-88.049074","map")</f>
        <v>map</v>
      </c>
    </row>
    <row r="7562" spans="1:32">
      <c r="A7562" t="s">
        <v>7612</v>
      </c>
      <c r="B7562" t="s">
        <v>15063</v>
      </c>
      <c r="C7562" t="s">
        <v>16179</v>
      </c>
      <c r="D7562" t="s">
        <v>16215</v>
      </c>
      <c r="E7562" t="s">
        <v>16218</v>
      </c>
      <c r="F7562" t="s">
        <v>16220</v>
      </c>
      <c r="G7562" t="s">
        <v>16299</v>
      </c>
      <c r="H7562" t="s">
        <v>16299</v>
      </c>
      <c r="I7562" t="s">
        <v>16382</v>
      </c>
      <c r="J7562" t="s">
        <v>16385</v>
      </c>
      <c r="K7562">
        <v>0.096</v>
      </c>
      <c r="L7562">
        <v>4198</v>
      </c>
      <c r="M7562">
        <v>1769</v>
      </c>
      <c r="N7562" t="s">
        <v>16393</v>
      </c>
      <c r="O7562" s="4">
        <v>54797</v>
      </c>
      <c r="P7562" s="4">
        <v>54809</v>
      </c>
      <c r="Q7562" s="4">
        <v>109606</v>
      </c>
      <c r="R7562" s="4">
        <v>328818</v>
      </c>
      <c r="S7562" t="s">
        <v>23702</v>
      </c>
      <c r="T7562" s="6">
        <v>43617</v>
      </c>
      <c r="U7562" s="4">
        <v>232500</v>
      </c>
      <c r="V7562" t="s">
        <v>23739</v>
      </c>
      <c r="W7562" t="s">
        <v>23702</v>
      </c>
      <c r="X7562" t="s">
        <v>3</v>
      </c>
      <c r="AA7562" s="5" t="str">
        <f>HYPERLINK("https://www.zillow.com/homes/4-BLUE-JAY-CT-WOODRIDGE-IL-605171735_rb/","check listing")</f>
        <v>check listing</v>
      </c>
      <c r="AB7562" s="5" t="str">
        <f>HYPERLINK("https://propertylookup.dupagecounty.gov/Datalets/Datalet.aspx?UseSearch=no&amp;mode=sales&amp;pin=0824319003","sales record")</f>
        <v>sales record</v>
      </c>
      <c r="AC7562" t="s">
        <v>27873</v>
      </c>
      <c r="AD7562">
        <v>41.763412</v>
      </c>
      <c r="AE7562">
        <v>-88.04303299999999</v>
      </c>
      <c r="AF7562" s="5" t="str">
        <f>HYPERLINK("https://www.google.com/maps/search/?api=1&amp;query=41.763412,-88.043033","map")</f>
        <v>map</v>
      </c>
    </row>
    <row r="7563" spans="1:32">
      <c r="A7563" t="s">
        <v>7613</v>
      </c>
      <c r="B7563" t="s">
        <v>15064</v>
      </c>
      <c r="C7563" t="s">
        <v>16179</v>
      </c>
      <c r="D7563" t="s">
        <v>16215</v>
      </c>
      <c r="E7563" t="s">
        <v>16218</v>
      </c>
      <c r="F7563" t="s">
        <v>16220</v>
      </c>
      <c r="G7563" t="s">
        <v>16299</v>
      </c>
      <c r="H7563" t="s">
        <v>16299</v>
      </c>
      <c r="I7563" t="s">
        <v>16382</v>
      </c>
      <c r="J7563" t="s">
        <v>16385</v>
      </c>
      <c r="K7563">
        <v>0.095</v>
      </c>
      <c r="L7563">
        <v>4138</v>
      </c>
      <c r="M7563">
        <v>1743</v>
      </c>
      <c r="N7563" t="s">
        <v>16393</v>
      </c>
      <c r="O7563" s="4">
        <v>54797</v>
      </c>
      <c r="P7563" s="4">
        <v>64976</v>
      </c>
      <c r="Q7563" s="4">
        <v>119773</v>
      </c>
      <c r="R7563" s="4">
        <v>359319</v>
      </c>
      <c r="S7563" t="s">
        <v>23703</v>
      </c>
      <c r="T7563" s="6">
        <v>41214</v>
      </c>
      <c r="U7563" s="4">
        <v>182500</v>
      </c>
      <c r="V7563" t="s">
        <v>23739</v>
      </c>
      <c r="W7563" t="s">
        <v>27845</v>
      </c>
      <c r="X7563" t="s">
        <v>3</v>
      </c>
      <c r="AA7563" s="5" t="str">
        <f>HYPERLINK("https://www.zillow.com/homes/5-BLUE-JAY-CT-WOODRIDGE-IL-605171735_rb/","check listing")</f>
        <v>check listing</v>
      </c>
      <c r="AB7563" s="5" t="str">
        <f>HYPERLINK("https://propertylookup.dupagecounty.gov/Datalets/Datalet.aspx?UseSearch=no&amp;mode=sales&amp;pin=0824319002","sales record")</f>
        <v>sales record</v>
      </c>
      <c r="AC7563" t="s">
        <v>3</v>
      </c>
      <c r="AD7563">
        <v>41.76341</v>
      </c>
      <c r="AE7563">
        <v>-88.043218</v>
      </c>
      <c r="AF7563" s="5" t="str">
        <f>HYPERLINK("https://www.google.com/maps/search/?api=1&amp;query=41.76341,-88.043218","map")</f>
        <v>map</v>
      </c>
    </row>
    <row r="7564" spans="1:32">
      <c r="A7564" t="s">
        <v>7614</v>
      </c>
      <c r="B7564" t="s">
        <v>15065</v>
      </c>
      <c r="C7564" t="s">
        <v>15323</v>
      </c>
      <c r="D7564" t="s">
        <v>16215</v>
      </c>
      <c r="E7564" t="s">
        <v>16218</v>
      </c>
      <c r="F7564" t="s">
        <v>16220</v>
      </c>
      <c r="G7564" t="s">
        <v>16299</v>
      </c>
      <c r="H7564" t="s">
        <v>16299</v>
      </c>
      <c r="I7564" t="s">
        <v>16382</v>
      </c>
      <c r="J7564" t="s">
        <v>16385</v>
      </c>
      <c r="K7564">
        <v>0.094</v>
      </c>
      <c r="L7564">
        <v>4105</v>
      </c>
      <c r="M7564">
        <v>1569</v>
      </c>
      <c r="N7564" t="s">
        <v>16393</v>
      </c>
      <c r="O7564" s="4">
        <v>54797</v>
      </c>
      <c r="P7564" s="4">
        <v>56378</v>
      </c>
      <c r="Q7564" s="4">
        <v>111175</v>
      </c>
      <c r="R7564" s="4">
        <v>333525</v>
      </c>
      <c r="S7564" t="s">
        <v>23704</v>
      </c>
      <c r="T7564" s="6">
        <v>32994</v>
      </c>
      <c r="U7564" s="4">
        <v>102000</v>
      </c>
      <c r="X7564" t="s">
        <v>3</v>
      </c>
      <c r="AA7564" s="5" t="str">
        <f>HYPERLINK("https://www.zillow.com/homes/9-PLOVER-CT-WOODRIDGE-IL-60517_rb/","check listing")</f>
        <v>check listing</v>
      </c>
      <c r="AB7564" s="5" t="str">
        <f>HYPERLINK("https://propertylookup.dupagecounty.gov/Datalets/Datalet.aspx?UseSearch=no&amp;mode=sales&amp;pin=0824320005","sales record")</f>
        <v>sales record</v>
      </c>
      <c r="AC7564" t="s">
        <v>3</v>
      </c>
      <c r="AD7564">
        <v>41.763437</v>
      </c>
      <c r="AE7564">
        <v>-88.04133</v>
      </c>
      <c r="AF7564" s="5" t="str">
        <f>HYPERLINK("https://www.google.com/maps/search/?api=1&amp;query=41.763437,-88.04133","map")</f>
        <v>map</v>
      </c>
    </row>
    <row r="7565" spans="1:32">
      <c r="A7565" t="s">
        <v>7615</v>
      </c>
      <c r="B7565" t="s">
        <v>15066</v>
      </c>
      <c r="C7565" t="s">
        <v>16187</v>
      </c>
      <c r="D7565" t="s">
        <v>16215</v>
      </c>
      <c r="E7565" t="s">
        <v>16218</v>
      </c>
      <c r="F7565" t="s">
        <v>16220</v>
      </c>
      <c r="G7565" t="s">
        <v>16299</v>
      </c>
      <c r="H7565" t="s">
        <v>16299</v>
      </c>
      <c r="I7565" t="s">
        <v>16382</v>
      </c>
      <c r="J7565" t="s">
        <v>16385</v>
      </c>
      <c r="K7565">
        <v>0.09</v>
      </c>
      <c r="L7565">
        <v>3903</v>
      </c>
      <c r="M7565">
        <v>1352</v>
      </c>
      <c r="N7565" t="s">
        <v>16393</v>
      </c>
      <c r="O7565" s="4">
        <v>54797</v>
      </c>
      <c r="P7565" s="4">
        <v>54809</v>
      </c>
      <c r="Q7565" s="4">
        <v>109606</v>
      </c>
      <c r="R7565" s="4">
        <v>328818</v>
      </c>
      <c r="S7565" t="s">
        <v>23705</v>
      </c>
      <c r="T7565" s="6">
        <v>43922</v>
      </c>
      <c r="U7565" s="4">
        <v>229000</v>
      </c>
      <c r="V7565" t="s">
        <v>23740</v>
      </c>
      <c r="W7565" t="s">
        <v>27846</v>
      </c>
      <c r="X7565" t="s">
        <v>3</v>
      </c>
      <c r="AA7565" s="5" t="str">
        <f>HYPERLINK("https://www.zillow.com/homes/5-PLOVER-CT-WOODRIDGE-IL-605171722_rb/","check listing")</f>
        <v>check listing</v>
      </c>
      <c r="AB7565" s="5" t="str">
        <f>HYPERLINK("https://propertylookup.dupagecounty.gov/Datalets/Datalet.aspx?UseSearch=no&amp;mode=sales&amp;pin=0824320010","sales record")</f>
        <v>sales record</v>
      </c>
      <c r="AC7565" t="s">
        <v>3</v>
      </c>
      <c r="AD7565">
        <v>41.762907</v>
      </c>
      <c r="AE7565">
        <v>-88.041321</v>
      </c>
      <c r="AF7565" s="5" t="str">
        <f>HYPERLINK("https://www.google.com/maps/search/?api=1&amp;query=41.762907,-88.041321","map")</f>
        <v>map</v>
      </c>
    </row>
    <row r="7566" spans="1:32">
      <c r="A7566" t="s">
        <v>7616</v>
      </c>
      <c r="B7566" t="s">
        <v>15067</v>
      </c>
      <c r="C7566" t="s">
        <v>15323</v>
      </c>
      <c r="D7566" t="s">
        <v>16215</v>
      </c>
      <c r="E7566" t="s">
        <v>16217</v>
      </c>
      <c r="F7566" t="s">
        <v>16220</v>
      </c>
      <c r="G7566" t="s">
        <v>16299</v>
      </c>
      <c r="H7566" t="s">
        <v>16299</v>
      </c>
      <c r="I7566" t="s">
        <v>16382</v>
      </c>
      <c r="J7566" t="s">
        <v>16385</v>
      </c>
      <c r="K7566">
        <v>21.159</v>
      </c>
      <c r="L7566">
        <v>921691</v>
      </c>
      <c r="N7566" t="s">
        <v>16395</v>
      </c>
      <c r="O7566" s="4">
        <v>8340</v>
      </c>
      <c r="P7566" s="4">
        <v>0</v>
      </c>
      <c r="Q7566" s="4">
        <v>8340</v>
      </c>
      <c r="R7566" s="4">
        <v>25020</v>
      </c>
      <c r="S7566" t="s">
        <v>23706</v>
      </c>
      <c r="X7566" t="s">
        <v>3</v>
      </c>
      <c r="AA7566" s="5" t="str">
        <f>HYPERLINK("https://www.zillow.com/homes/WOODWARD-AVE-WOODRIDGE-IL-60517_rb/","check listing")</f>
        <v>check listing</v>
      </c>
      <c r="AB7566" s="5" t="str">
        <f>HYPERLINK("https://propertylookup.dupagecounty.gov/Datalets/Datalet.aspx?UseSearch=no&amp;mode=sales&amp;pin=0836401038","sales record")</f>
        <v>sales record</v>
      </c>
      <c r="AC7566" t="s">
        <v>3</v>
      </c>
      <c r="AD7566">
        <v>41.731387</v>
      </c>
      <c r="AE7566">
        <v>-88.032228</v>
      </c>
      <c r="AF7566" s="5" t="str">
        <f>HYPERLINK("https://www.google.com/maps/search/?api=1&amp;query=41.731387,-88.032228","map")</f>
        <v>map</v>
      </c>
    </row>
    <row r="7567" spans="1:32">
      <c r="A7567" t="s">
        <v>7617</v>
      </c>
      <c r="B7567" t="s">
        <v>15067</v>
      </c>
      <c r="C7567" t="s">
        <v>15323</v>
      </c>
      <c r="D7567" t="s">
        <v>16215</v>
      </c>
      <c r="E7567" t="s">
        <v>16217</v>
      </c>
      <c r="F7567" t="s">
        <v>16220</v>
      </c>
      <c r="G7567" t="s">
        <v>16299</v>
      </c>
      <c r="H7567" t="s">
        <v>16299</v>
      </c>
      <c r="I7567" t="s">
        <v>16382</v>
      </c>
      <c r="J7567" t="s">
        <v>16385</v>
      </c>
      <c r="K7567">
        <v>19.123</v>
      </c>
      <c r="L7567">
        <v>832996</v>
      </c>
      <c r="N7567" t="s">
        <v>16395</v>
      </c>
      <c r="O7567" s="4">
        <v>7333</v>
      </c>
      <c r="P7567" s="4">
        <v>0</v>
      </c>
      <c r="Q7567" s="4">
        <v>7333</v>
      </c>
      <c r="R7567" s="4">
        <v>21999</v>
      </c>
      <c r="S7567" t="s">
        <v>23707</v>
      </c>
      <c r="X7567" t="s">
        <v>3</v>
      </c>
      <c r="AA7567" s="5" t="str">
        <f>HYPERLINK("https://www.zillow.com/homes/WOODWARD-AVE-WOODRIDGE-IL-60517_rb/","check listing")</f>
        <v>check listing</v>
      </c>
      <c r="AB7567" s="5" t="str">
        <f>HYPERLINK("https://propertylookup.dupagecounty.gov/Datalets/Datalet.aspx?UseSearch=no&amp;mode=sales&amp;pin=0836401034","sales record")</f>
        <v>sales record</v>
      </c>
      <c r="AC7567" t="s">
        <v>3</v>
      </c>
      <c r="AD7567">
        <v>41.73434</v>
      </c>
      <c r="AE7567">
        <v>-88.032596</v>
      </c>
      <c r="AF7567" s="5" t="str">
        <f>HYPERLINK("https://www.google.com/maps/search/?api=1&amp;query=41.73434,-88.032596","map")</f>
        <v>map</v>
      </c>
    </row>
    <row r="7568" spans="1:32">
      <c r="A7568" t="s">
        <v>7618</v>
      </c>
      <c r="B7568" t="s">
        <v>15068</v>
      </c>
      <c r="C7568" t="s">
        <v>15323</v>
      </c>
      <c r="D7568" t="s">
        <v>16215</v>
      </c>
      <c r="E7568" t="s">
        <v>16217</v>
      </c>
      <c r="F7568" t="s">
        <v>16220</v>
      </c>
      <c r="G7568" t="s">
        <v>16299</v>
      </c>
      <c r="H7568" t="s">
        <v>16299</v>
      </c>
      <c r="I7568" t="s">
        <v>16382</v>
      </c>
      <c r="J7568" t="s">
        <v>16385</v>
      </c>
      <c r="K7568">
        <v>0.962</v>
      </c>
      <c r="L7568">
        <v>41924</v>
      </c>
      <c r="N7568" t="s">
        <v>16393</v>
      </c>
      <c r="O7568" s="4">
        <v>56687</v>
      </c>
      <c r="P7568" s="4">
        <v>0</v>
      </c>
      <c r="Q7568" s="4">
        <v>56687</v>
      </c>
      <c r="R7568" s="4">
        <v>170061</v>
      </c>
      <c r="S7568" t="s">
        <v>23707</v>
      </c>
      <c r="X7568" t="s">
        <v>3</v>
      </c>
      <c r="AA7568" s="5" t="str">
        <f>HYPERLINK("https://www.zillow.com/homes/WOODWARD-WOODRIDGE-IL-60517_rb/","check listing")</f>
        <v>check listing</v>
      </c>
      <c r="AB7568" s="5" t="str">
        <f>HYPERLINK("https://propertylookup.dupagecounty.gov/Datalets/Datalet.aspx?UseSearch=no&amp;mode=sales&amp;pin=0836401008","sales record")</f>
        <v>sales record</v>
      </c>
      <c r="AC7568" t="s">
        <v>3</v>
      </c>
      <c r="AD7568">
        <v>41.732768</v>
      </c>
      <c r="AE7568">
        <v>-88.031087</v>
      </c>
      <c r="AF7568" s="5" t="str">
        <f>HYPERLINK("https://www.google.com/maps/search/?api=1&amp;query=41.732768,-88.031087","map")</f>
        <v>map</v>
      </c>
    </row>
    <row r="7569" spans="1:32">
      <c r="A7569" t="s">
        <v>7619</v>
      </c>
      <c r="B7569" t="s">
        <v>15067</v>
      </c>
      <c r="C7569" t="s">
        <v>15323</v>
      </c>
      <c r="D7569" t="s">
        <v>16215</v>
      </c>
      <c r="E7569" t="s">
        <v>16217</v>
      </c>
      <c r="F7569" t="s">
        <v>16220</v>
      </c>
      <c r="G7569" t="s">
        <v>16299</v>
      </c>
      <c r="H7569" t="s">
        <v>16299</v>
      </c>
      <c r="I7569" t="s">
        <v>16382</v>
      </c>
      <c r="J7569" t="s">
        <v>16385</v>
      </c>
      <c r="K7569">
        <v>0.921</v>
      </c>
      <c r="L7569">
        <v>40108</v>
      </c>
      <c r="N7569" t="s">
        <v>16393</v>
      </c>
      <c r="O7569" s="4">
        <v>56687</v>
      </c>
      <c r="P7569" s="4">
        <v>0</v>
      </c>
      <c r="Q7569" s="4">
        <v>56687</v>
      </c>
      <c r="R7569" s="4">
        <v>170061</v>
      </c>
      <c r="S7569" t="s">
        <v>23707</v>
      </c>
      <c r="X7569" t="s">
        <v>3</v>
      </c>
      <c r="AA7569" s="5" t="str">
        <f>HYPERLINK("https://www.zillow.com/homes/WOODWARD-AVE-WOODRIDGE-IL-60517_rb/","check listing")</f>
        <v>check listing</v>
      </c>
      <c r="AB7569" s="5" t="str">
        <f>HYPERLINK("https://propertylookup.dupagecounty.gov/Datalets/Datalet.aspx?UseSearch=no&amp;mode=sales&amp;pin=0836401031","sales record")</f>
        <v>sales record</v>
      </c>
      <c r="AC7569" t="s">
        <v>3</v>
      </c>
      <c r="AD7569">
        <v>41.734343</v>
      </c>
      <c r="AE7569">
        <v>-88.031007</v>
      </c>
      <c r="AF7569" s="5" t="str">
        <f>HYPERLINK("https://www.google.com/maps/search/?api=1&amp;query=41.734343,-88.031007","map")</f>
        <v>map</v>
      </c>
    </row>
    <row r="7570" spans="1:32">
      <c r="A7570" t="s">
        <v>7620</v>
      </c>
      <c r="B7570" t="s">
        <v>15069</v>
      </c>
      <c r="C7570" t="s">
        <v>15323</v>
      </c>
      <c r="D7570" t="s">
        <v>16215</v>
      </c>
      <c r="E7570" t="s">
        <v>16218</v>
      </c>
      <c r="F7570" t="s">
        <v>16221</v>
      </c>
      <c r="G7570" t="s">
        <v>16300</v>
      </c>
      <c r="H7570" t="s">
        <v>16300</v>
      </c>
      <c r="I7570" t="s">
        <v>16383</v>
      </c>
      <c r="J7570" t="s">
        <v>16385</v>
      </c>
      <c r="K7570">
        <v>0.18</v>
      </c>
      <c r="L7570">
        <v>7822</v>
      </c>
      <c r="N7570" t="s">
        <v>16393</v>
      </c>
      <c r="O7570" s="4">
        <v>31063</v>
      </c>
      <c r="P7570" s="4">
        <v>61330</v>
      </c>
      <c r="Q7570" s="4">
        <v>92393</v>
      </c>
      <c r="R7570" s="4">
        <v>277179</v>
      </c>
      <c r="S7570" t="s">
        <v>23708</v>
      </c>
      <c r="T7570" s="6">
        <v>45916</v>
      </c>
      <c r="U7570" s="4">
        <v>856198</v>
      </c>
      <c r="V7570" t="s">
        <v>16232</v>
      </c>
      <c r="W7570" t="s">
        <v>27847</v>
      </c>
      <c r="X7570" t="s">
        <v>3</v>
      </c>
      <c r="AA7570" s="5" t="str">
        <f>HYPERLINK("https://www.zillow.com/homes/6245-LINKS-DR-WOODRIDGE-IL-60517_rb/","check listing")</f>
        <v>check listing</v>
      </c>
      <c r="AB7570" s="5" t="str">
        <f>HYPERLINK("https://propertylookup.dupagecounty.gov/Datalets/Datalet.aspx?UseSearch=no&amp;mode=sales&amp;pin=0815406147","sales record")</f>
        <v>sales record</v>
      </c>
      <c r="AC7570" t="s">
        <v>3</v>
      </c>
      <c r="AD7570">
        <v>41.772291</v>
      </c>
      <c r="AE7570">
        <v>-88.07286499999999</v>
      </c>
      <c r="AF7570" s="5" t="str">
        <f>HYPERLINK("https://www.google.com/maps/search/?api=1&amp;query=41.772291,-88.072865","map")</f>
        <v>map</v>
      </c>
    </row>
    <row r="7571" spans="1:32">
      <c r="A7571" t="s">
        <v>7621</v>
      </c>
      <c r="B7571" t="s">
        <v>15070</v>
      </c>
      <c r="C7571" t="s">
        <v>15323</v>
      </c>
      <c r="D7571" t="s">
        <v>16215</v>
      </c>
      <c r="E7571" t="s">
        <v>16218</v>
      </c>
      <c r="F7571" t="s">
        <v>16221</v>
      </c>
      <c r="G7571" t="s">
        <v>16300</v>
      </c>
      <c r="H7571" t="s">
        <v>16300</v>
      </c>
      <c r="I7571" t="s">
        <v>16383</v>
      </c>
      <c r="J7571" t="s">
        <v>16385</v>
      </c>
      <c r="K7571">
        <v>0.143</v>
      </c>
      <c r="L7571">
        <v>6226</v>
      </c>
      <c r="N7571" t="s">
        <v>16393</v>
      </c>
      <c r="O7571" s="4">
        <v>31063</v>
      </c>
      <c r="P7571" s="4">
        <v>63025</v>
      </c>
      <c r="Q7571" s="4">
        <v>94088</v>
      </c>
      <c r="R7571" s="4">
        <v>282264</v>
      </c>
      <c r="S7571" t="s">
        <v>23709</v>
      </c>
      <c r="T7571" s="6">
        <v>45909</v>
      </c>
      <c r="U7571" s="4">
        <v>846571</v>
      </c>
      <c r="V7571" t="s">
        <v>16232</v>
      </c>
      <c r="W7571" t="s">
        <v>27848</v>
      </c>
      <c r="X7571" t="s">
        <v>3</v>
      </c>
      <c r="AA7571" s="5" t="str">
        <f>HYPERLINK("https://www.zillow.com/homes/6243-LINKS-DR-WOODRIDGE-IL-60517_rb/","check listing")</f>
        <v>check listing</v>
      </c>
      <c r="AB7571" s="5" t="str">
        <f>HYPERLINK("https://propertylookup.dupagecounty.gov/Datalets/Datalet.aspx?UseSearch=no&amp;mode=sales&amp;pin=0815406146","sales record")</f>
        <v>sales record</v>
      </c>
      <c r="AC7571" t="s">
        <v>3</v>
      </c>
      <c r="AD7571">
        <v>41.772413</v>
      </c>
      <c r="AE7571">
        <v>-88.07289400000001</v>
      </c>
      <c r="AF7571" s="5" t="str">
        <f>HYPERLINK("https://www.google.com/maps/search/?api=1&amp;query=41.772413,-88.072894","map")</f>
        <v>map</v>
      </c>
    </row>
    <row r="7572" spans="1:32">
      <c r="A7572" t="s">
        <v>7622</v>
      </c>
      <c r="B7572" t="s">
        <v>15071</v>
      </c>
      <c r="C7572" t="s">
        <v>15323</v>
      </c>
      <c r="D7572" t="s">
        <v>16215</v>
      </c>
      <c r="E7572" t="s">
        <v>16218</v>
      </c>
      <c r="F7572" t="s">
        <v>16221</v>
      </c>
      <c r="G7572" t="s">
        <v>16300</v>
      </c>
      <c r="H7572" t="s">
        <v>16300</v>
      </c>
      <c r="I7572" t="s">
        <v>16383</v>
      </c>
      <c r="J7572" t="s">
        <v>16385</v>
      </c>
      <c r="K7572">
        <v>0.142</v>
      </c>
      <c r="L7572">
        <v>6176</v>
      </c>
      <c r="N7572" t="s">
        <v>16393</v>
      </c>
      <c r="O7572" s="4">
        <v>29652</v>
      </c>
      <c r="P7572" s="4">
        <v>43022</v>
      </c>
      <c r="Q7572" s="4">
        <v>72674</v>
      </c>
      <c r="R7572" s="4">
        <v>218022</v>
      </c>
      <c r="S7572" t="s">
        <v>23710</v>
      </c>
      <c r="T7572" s="6">
        <v>45944</v>
      </c>
      <c r="U7572" s="4">
        <v>775289</v>
      </c>
      <c r="V7572" t="s">
        <v>16232</v>
      </c>
      <c r="W7572" t="s">
        <v>27849</v>
      </c>
      <c r="X7572" t="s">
        <v>3</v>
      </c>
      <c r="AA7572" s="5" t="str">
        <f>HYPERLINK("https://www.zillow.com/homes/6250-SANDBELT-DR-WOODRIDGE-IL-60517_rb/","check listing")</f>
        <v>check listing</v>
      </c>
      <c r="AB7572" s="5" t="str">
        <f>HYPERLINK("https://propertylookup.dupagecounty.gov/Datalets/Datalet.aspx?UseSearch=no&amp;mode=sales&amp;pin=0815406149","sales record")</f>
        <v>sales record</v>
      </c>
      <c r="AC7572" t="s">
        <v>3</v>
      </c>
      <c r="AD7572">
        <v>41.773171</v>
      </c>
      <c r="AE7572">
        <v>-88.072615</v>
      </c>
      <c r="AF7572" s="5" t="str">
        <f>HYPERLINK("https://www.google.com/maps/search/?api=1&amp;query=41.773171,-88.072615","map")</f>
        <v>map</v>
      </c>
    </row>
    <row r="7573" spans="1:32">
      <c r="A7573" t="s">
        <v>7623</v>
      </c>
      <c r="B7573" t="s">
        <v>15072</v>
      </c>
      <c r="C7573" t="s">
        <v>15323</v>
      </c>
      <c r="D7573" t="s">
        <v>16215</v>
      </c>
      <c r="E7573" t="s">
        <v>16218</v>
      </c>
      <c r="F7573" t="s">
        <v>16221</v>
      </c>
      <c r="G7573" t="s">
        <v>16300</v>
      </c>
      <c r="H7573" t="s">
        <v>16300</v>
      </c>
      <c r="I7573" t="s">
        <v>16383</v>
      </c>
      <c r="J7573" t="s">
        <v>16385</v>
      </c>
      <c r="K7573">
        <v>0.141</v>
      </c>
      <c r="L7573">
        <v>6130</v>
      </c>
      <c r="N7573" t="s">
        <v>16393</v>
      </c>
      <c r="O7573" s="4">
        <v>29652</v>
      </c>
      <c r="P7573" s="4">
        <v>44942</v>
      </c>
      <c r="Q7573" s="4">
        <v>74594</v>
      </c>
      <c r="R7573" s="4">
        <v>223782</v>
      </c>
      <c r="S7573" t="s">
        <v>23711</v>
      </c>
      <c r="T7573" s="6">
        <v>45950</v>
      </c>
      <c r="U7573" s="4">
        <v>815677</v>
      </c>
      <c r="V7573" t="s">
        <v>16232</v>
      </c>
      <c r="W7573" t="s">
        <v>27850</v>
      </c>
      <c r="X7573" t="s">
        <v>3</v>
      </c>
      <c r="AA7573" s="5" t="str">
        <f>HYPERLINK("https://www.zillow.com/homes/6248-SANDBELT-DR-WOODRIDGE-IL-60517_rb/","check listing")</f>
        <v>check listing</v>
      </c>
      <c r="AB7573" s="5" t="str">
        <f>HYPERLINK("https://propertylookup.dupagecounty.gov/Datalets/Datalet.aspx?UseSearch=no&amp;mode=sales&amp;pin=0815406148","sales record")</f>
        <v>sales record</v>
      </c>
      <c r="AC7573" t="s">
        <v>3</v>
      </c>
      <c r="AD7573">
        <v>41.773301</v>
      </c>
      <c r="AE7573">
        <v>-88.07265200000001</v>
      </c>
      <c r="AF7573" s="5" t="str">
        <f>HYPERLINK("https://www.google.com/maps/search/?api=1&amp;query=41.773301,-88.072652","map")</f>
        <v>map</v>
      </c>
    </row>
    <row r="7574" spans="1:32">
      <c r="A7574" t="s">
        <v>7624</v>
      </c>
      <c r="B7574" t="s">
        <v>15073</v>
      </c>
      <c r="C7574" t="s">
        <v>15323</v>
      </c>
      <c r="D7574" t="s">
        <v>16215</v>
      </c>
      <c r="E7574" t="s">
        <v>16218</v>
      </c>
      <c r="F7574" t="s">
        <v>16221</v>
      </c>
      <c r="G7574" t="s">
        <v>16300</v>
      </c>
      <c r="H7574" t="s">
        <v>16300</v>
      </c>
      <c r="I7574" t="s">
        <v>16383</v>
      </c>
      <c r="J7574" t="s">
        <v>16385</v>
      </c>
      <c r="K7574">
        <v>0.129</v>
      </c>
      <c r="L7574">
        <v>5621</v>
      </c>
      <c r="N7574" t="s">
        <v>16393</v>
      </c>
      <c r="O7574" s="4">
        <v>30549</v>
      </c>
      <c r="P7574" s="4">
        <v>51570</v>
      </c>
      <c r="Q7574" s="4">
        <v>82119</v>
      </c>
      <c r="R7574" s="4">
        <v>246357</v>
      </c>
      <c r="S7574" t="s">
        <v>23712</v>
      </c>
      <c r="T7574" s="6">
        <v>45918</v>
      </c>
      <c r="U7574" s="4">
        <v>763521</v>
      </c>
      <c r="V7574" t="s">
        <v>16232</v>
      </c>
      <c r="W7574" t="s">
        <v>27851</v>
      </c>
      <c r="X7574" t="s">
        <v>3</v>
      </c>
      <c r="AA7574" s="5" t="str">
        <f>HYPERLINK("https://www.zillow.com/homes/6239-LINKS-DR-WOODRIDGE-IL-60517_rb/","check listing")</f>
        <v>check listing</v>
      </c>
      <c r="AB7574" s="5" t="str">
        <f>HYPERLINK("https://propertylookup.dupagecounty.gov/Datalets/Datalet.aspx?UseSearch=no&amp;mode=sales&amp;pin=0815406145","sales record")</f>
        <v>sales record</v>
      </c>
      <c r="AC7574" t="s">
        <v>3</v>
      </c>
      <c r="AD7574">
        <v>41.772531</v>
      </c>
      <c r="AE7574">
        <v>-88.07292200000001</v>
      </c>
      <c r="AF7574" s="5" t="str">
        <f>HYPERLINK("https://www.google.com/maps/search/?api=1&amp;query=41.772531,-88.072922","map")</f>
        <v>map</v>
      </c>
    </row>
    <row r="7575" spans="1:32">
      <c r="A7575" t="s">
        <v>7625</v>
      </c>
      <c r="B7575" t="s">
        <v>15074</v>
      </c>
      <c r="C7575" t="s">
        <v>15323</v>
      </c>
      <c r="D7575" t="s">
        <v>16215</v>
      </c>
      <c r="E7575" t="s">
        <v>16218</v>
      </c>
      <c r="F7575" t="s">
        <v>16221</v>
      </c>
      <c r="G7575" t="s">
        <v>16300</v>
      </c>
      <c r="H7575" t="s">
        <v>16300</v>
      </c>
      <c r="I7575" t="s">
        <v>16383</v>
      </c>
      <c r="J7575" t="s">
        <v>16385</v>
      </c>
      <c r="K7575">
        <v>0.128</v>
      </c>
      <c r="L7575">
        <v>5587</v>
      </c>
      <c r="N7575" t="s">
        <v>16393</v>
      </c>
      <c r="O7575" s="4">
        <v>30805</v>
      </c>
      <c r="P7575" s="4">
        <v>56312</v>
      </c>
      <c r="Q7575" s="4">
        <v>87117</v>
      </c>
      <c r="R7575" s="4">
        <v>261351</v>
      </c>
      <c r="S7575" t="s">
        <v>23713</v>
      </c>
      <c r="T7575" s="6">
        <v>45917</v>
      </c>
      <c r="U7575" s="4">
        <v>753527</v>
      </c>
      <c r="V7575" t="s">
        <v>16232</v>
      </c>
      <c r="W7575" t="s">
        <v>27852</v>
      </c>
      <c r="X7575" t="s">
        <v>3</v>
      </c>
      <c r="AA7575" s="5" t="str">
        <f>HYPERLINK("https://www.zillow.com/homes/6237-LINKS-DR-WOODRIDGE-IL-60517_rb/","check listing")</f>
        <v>check listing</v>
      </c>
      <c r="AB7575" s="5" t="str">
        <f>HYPERLINK("https://propertylookup.dupagecounty.gov/Datalets/Datalet.aspx?UseSearch=no&amp;mode=sales&amp;pin=0815406144","sales record")</f>
        <v>sales record</v>
      </c>
      <c r="AC7575" t="s">
        <v>3</v>
      </c>
      <c r="AD7575">
        <v>41.772645</v>
      </c>
      <c r="AE7575">
        <v>-88.07295000000001</v>
      </c>
      <c r="AF7575" s="5" t="str">
        <f>HYPERLINK("https://www.google.com/maps/search/?api=1&amp;query=41.772645,-88.07295","map")</f>
        <v>map</v>
      </c>
    </row>
    <row r="7576" spans="1:32">
      <c r="A7576" t="s">
        <v>7626</v>
      </c>
      <c r="B7576" t="s">
        <v>15075</v>
      </c>
      <c r="C7576" t="s">
        <v>15323</v>
      </c>
      <c r="D7576" t="s">
        <v>16215</v>
      </c>
      <c r="E7576" t="s">
        <v>16218</v>
      </c>
      <c r="F7576" t="s">
        <v>16221</v>
      </c>
      <c r="G7576" t="s">
        <v>16300</v>
      </c>
      <c r="H7576" t="s">
        <v>16300</v>
      </c>
      <c r="I7576" t="s">
        <v>16383</v>
      </c>
      <c r="J7576" t="s">
        <v>16385</v>
      </c>
      <c r="K7576">
        <v>0.125</v>
      </c>
      <c r="L7576">
        <v>5452</v>
      </c>
      <c r="N7576" t="s">
        <v>16393</v>
      </c>
      <c r="O7576" s="4">
        <v>34524</v>
      </c>
      <c r="P7576" s="4">
        <v>76378</v>
      </c>
      <c r="Q7576" s="4">
        <v>110902</v>
      </c>
      <c r="R7576" s="4">
        <v>332706</v>
      </c>
      <c r="S7576" t="s">
        <v>23714</v>
      </c>
      <c r="T7576" s="6">
        <v>45847</v>
      </c>
      <c r="U7576" s="4">
        <v>589990</v>
      </c>
      <c r="V7576" t="s">
        <v>16232</v>
      </c>
      <c r="W7576" t="s">
        <v>27853</v>
      </c>
      <c r="X7576" t="s">
        <v>3</v>
      </c>
      <c r="AA7576" s="5" t="str">
        <f>HYPERLINK("https://www.zillow.com/homes/6234-SANDBELT-DR-WOODRIDGE-IL-60517_rb/","check listing")</f>
        <v>check listing</v>
      </c>
      <c r="AB7576" s="5" t="str">
        <f>HYPERLINK("https://propertylookup.dupagecounty.gov/Datalets/Datalet.aspx?UseSearch=no&amp;mode=sales&amp;pin=0815406139","sales record")</f>
        <v>sales record</v>
      </c>
      <c r="AC7576" t="s">
        <v>3</v>
      </c>
      <c r="AD7576">
        <v>41.773437</v>
      </c>
      <c r="AE7576">
        <v>-88.07268500000001</v>
      </c>
      <c r="AF7576" s="5" t="str">
        <f>HYPERLINK("https://www.google.com/maps/search/?api=1&amp;query=41.773437,-88.072685","map")</f>
        <v>map</v>
      </c>
    </row>
    <row r="7577" spans="1:32">
      <c r="A7577" t="s">
        <v>7627</v>
      </c>
      <c r="B7577" t="s">
        <v>15076</v>
      </c>
      <c r="C7577" t="s">
        <v>15323</v>
      </c>
      <c r="D7577" t="s">
        <v>16215</v>
      </c>
      <c r="E7577" t="s">
        <v>16218</v>
      </c>
      <c r="F7577" t="s">
        <v>16221</v>
      </c>
      <c r="G7577" t="s">
        <v>16300</v>
      </c>
      <c r="H7577" t="s">
        <v>16300</v>
      </c>
      <c r="I7577" t="s">
        <v>16383</v>
      </c>
      <c r="J7577" t="s">
        <v>16385</v>
      </c>
      <c r="K7577">
        <v>0.122</v>
      </c>
      <c r="L7577">
        <v>5311</v>
      </c>
      <c r="N7577" t="s">
        <v>16393</v>
      </c>
      <c r="O7577" s="4">
        <v>30336</v>
      </c>
      <c r="P7577" s="4">
        <v>53562</v>
      </c>
      <c r="Q7577" s="4">
        <v>83898</v>
      </c>
      <c r="R7577" s="4">
        <v>251694</v>
      </c>
      <c r="S7577" t="s">
        <v>23715</v>
      </c>
      <c r="T7577" s="6">
        <v>45930</v>
      </c>
      <c r="U7577" s="4">
        <v>868139</v>
      </c>
      <c r="V7577" t="s">
        <v>16232</v>
      </c>
      <c r="W7577" t="s">
        <v>27854</v>
      </c>
      <c r="X7577" t="s">
        <v>3</v>
      </c>
      <c r="AA7577" s="5" t="str">
        <f>HYPERLINK("https://www.zillow.com/homes/3611-KENNEDY-LN-WOODRIDGE-IL-60517_rb/","check listing")</f>
        <v>check listing</v>
      </c>
      <c r="AB7577" s="5" t="str">
        <f>HYPERLINK("https://propertylookup.dupagecounty.gov/Datalets/Datalet.aspx?UseSearch=no&amp;mode=sales&amp;pin=0815406141","sales record")</f>
        <v>sales record</v>
      </c>
      <c r="AC7577" t="s">
        <v>27873</v>
      </c>
      <c r="AD7577">
        <v>41.771904</v>
      </c>
      <c r="AE7577">
        <v>-88.073284</v>
      </c>
      <c r="AF7577" s="5" t="str">
        <f>HYPERLINK("https://www.google.com/maps/search/?api=1&amp;query=41.771904,-88.073284","map")</f>
        <v>map</v>
      </c>
    </row>
    <row r="7578" spans="1:32">
      <c r="A7578" t="s">
        <v>7628</v>
      </c>
      <c r="B7578" t="s">
        <v>15077</v>
      </c>
      <c r="C7578" t="s">
        <v>15323</v>
      </c>
      <c r="D7578" t="s">
        <v>16215</v>
      </c>
      <c r="E7578" t="s">
        <v>16218</v>
      </c>
      <c r="F7578" t="s">
        <v>16221</v>
      </c>
      <c r="G7578" t="s">
        <v>16300</v>
      </c>
      <c r="H7578" t="s">
        <v>16300</v>
      </c>
      <c r="I7578" t="s">
        <v>16383</v>
      </c>
      <c r="J7578" t="s">
        <v>16385</v>
      </c>
      <c r="K7578">
        <v>0.121</v>
      </c>
      <c r="L7578">
        <v>5270</v>
      </c>
      <c r="N7578" t="s">
        <v>16393</v>
      </c>
      <c r="O7578" s="4">
        <v>29652</v>
      </c>
      <c r="P7578" s="4">
        <v>45083</v>
      </c>
      <c r="Q7578" s="4">
        <v>74735</v>
      </c>
      <c r="R7578" s="4">
        <v>224205</v>
      </c>
      <c r="S7578" t="s">
        <v>23716</v>
      </c>
      <c r="T7578" s="6">
        <v>45946</v>
      </c>
      <c r="U7578" s="4">
        <v>888021</v>
      </c>
      <c r="V7578" t="s">
        <v>16232</v>
      </c>
      <c r="W7578" t="s">
        <v>27855</v>
      </c>
      <c r="X7578" t="s">
        <v>3</v>
      </c>
      <c r="AA7578" s="5" t="str">
        <f>HYPERLINK("https://www.zillow.com/homes/3613-KENNEDY-LN-WOODRIDGE-IL-60517_rb/","check listing")</f>
        <v>check listing</v>
      </c>
      <c r="AB7578" s="5" t="str">
        <f>HYPERLINK("https://propertylookup.dupagecounty.gov/Datalets/Datalet.aspx?UseSearch=no&amp;mode=sales&amp;pin=0815406140","sales record")</f>
        <v>sales record</v>
      </c>
      <c r="AC7578" t="s">
        <v>3</v>
      </c>
      <c r="AD7578">
        <v>41.77189</v>
      </c>
      <c r="AE7578">
        <v>-88.07343899999999</v>
      </c>
      <c r="AF7578" s="5" t="str">
        <f>HYPERLINK("https://www.google.com/maps/search/?api=1&amp;query=41.77189,-88.073439","map")</f>
        <v>map</v>
      </c>
    </row>
    <row r="7579" spans="1:32">
      <c r="A7579" t="s">
        <v>7629</v>
      </c>
      <c r="B7579" t="s">
        <v>15078</v>
      </c>
      <c r="C7579" t="s">
        <v>15323</v>
      </c>
      <c r="D7579" t="s">
        <v>16215</v>
      </c>
      <c r="E7579" t="s">
        <v>16218</v>
      </c>
      <c r="F7579" t="s">
        <v>16221</v>
      </c>
      <c r="G7579" t="s">
        <v>16300</v>
      </c>
      <c r="H7579" t="s">
        <v>16300</v>
      </c>
      <c r="I7579" t="s">
        <v>16383</v>
      </c>
      <c r="J7579" t="s">
        <v>16385</v>
      </c>
      <c r="K7579">
        <v>0.12</v>
      </c>
      <c r="L7579">
        <v>5232</v>
      </c>
      <c r="N7579" t="s">
        <v>16393</v>
      </c>
      <c r="O7579" s="4">
        <v>29267</v>
      </c>
      <c r="P7579" s="4">
        <v>40460</v>
      </c>
      <c r="Q7579" s="4">
        <v>69727</v>
      </c>
      <c r="R7579" s="4">
        <v>209181</v>
      </c>
      <c r="S7579" t="s">
        <v>23717</v>
      </c>
      <c r="T7579" s="6">
        <v>45957</v>
      </c>
      <c r="U7579" s="4">
        <v>972466</v>
      </c>
      <c r="V7579" t="s">
        <v>16232</v>
      </c>
      <c r="W7579" t="s">
        <v>27856</v>
      </c>
      <c r="X7579" t="s">
        <v>3</v>
      </c>
      <c r="AA7579" s="5" t="str">
        <f>HYPERLINK("https://www.zillow.com/homes/6225-LINKS-DR-WOODRIDGE-IL-60517_rb/","check listing")</f>
        <v>check listing</v>
      </c>
      <c r="AB7579" s="5" t="str">
        <f>HYPERLINK("https://propertylookup.dupagecounty.gov/Datalets/Datalet.aspx?UseSearch=no&amp;mode=sales&amp;pin=0815406142","sales record")</f>
        <v>sales record</v>
      </c>
      <c r="AC7579" t="s">
        <v>3</v>
      </c>
      <c r="AD7579">
        <v>41.773107</v>
      </c>
      <c r="AE7579">
        <v>-88.07307</v>
      </c>
      <c r="AF7579" s="5" t="str">
        <f>HYPERLINK("https://www.google.com/maps/search/?api=1&amp;query=41.773107,-88.07307","map")</f>
        <v>map</v>
      </c>
    </row>
    <row r="7580" spans="1:32">
      <c r="A7580" t="s">
        <v>7630</v>
      </c>
      <c r="B7580" t="s">
        <v>15079</v>
      </c>
      <c r="C7580" t="s">
        <v>15323</v>
      </c>
      <c r="D7580" t="s">
        <v>16215</v>
      </c>
      <c r="E7580" t="s">
        <v>16218</v>
      </c>
      <c r="F7580" t="s">
        <v>16221</v>
      </c>
      <c r="G7580" t="s">
        <v>16300</v>
      </c>
      <c r="H7580" t="s">
        <v>16300</v>
      </c>
      <c r="I7580" t="s">
        <v>16383</v>
      </c>
      <c r="J7580" t="s">
        <v>16385</v>
      </c>
      <c r="K7580">
        <v>0.12</v>
      </c>
      <c r="L7580">
        <v>5223</v>
      </c>
      <c r="N7580" t="s">
        <v>16393</v>
      </c>
      <c r="O7580" s="4">
        <v>29267</v>
      </c>
      <c r="P7580" s="4">
        <v>40176</v>
      </c>
      <c r="Q7580" s="4">
        <v>69443</v>
      </c>
      <c r="R7580" s="4">
        <v>208329</v>
      </c>
      <c r="S7580" t="s">
        <v>23718</v>
      </c>
      <c r="T7580" s="6">
        <v>45954</v>
      </c>
      <c r="U7580" s="4">
        <v>845524</v>
      </c>
      <c r="V7580" t="s">
        <v>16232</v>
      </c>
      <c r="W7580" t="s">
        <v>27857</v>
      </c>
      <c r="X7580" t="s">
        <v>3</v>
      </c>
      <c r="AA7580" s="5" t="str">
        <f>HYPERLINK("https://www.zillow.com/homes/6227-LINKS-DR-WOODRIDGE-IL-60517_rb/","check listing")</f>
        <v>check listing</v>
      </c>
      <c r="AB7580" s="5" t="str">
        <f>HYPERLINK("https://propertylookup.dupagecounty.gov/Datalets/Datalet.aspx?UseSearch=no&amp;mode=sales&amp;pin=0815406143","sales record")</f>
        <v>sales record</v>
      </c>
      <c r="AC7580" t="s">
        <v>3</v>
      </c>
      <c r="AD7580">
        <v>41.772993</v>
      </c>
      <c r="AE7580">
        <v>-88.073041</v>
      </c>
      <c r="AF7580" s="5" t="str">
        <f>HYPERLINK("https://www.google.com/maps/search/?api=1&amp;query=41.772993,-88.073041","map")</f>
        <v>map</v>
      </c>
    </row>
    <row r="7581" spans="1:32">
      <c r="A7581" t="s">
        <v>7631</v>
      </c>
      <c r="B7581" t="s">
        <v>15080</v>
      </c>
      <c r="C7581" t="s">
        <v>15323</v>
      </c>
      <c r="D7581" t="s">
        <v>16215</v>
      </c>
      <c r="E7581" t="s">
        <v>16218</v>
      </c>
      <c r="F7581" t="s">
        <v>16221</v>
      </c>
      <c r="G7581" t="s">
        <v>16300</v>
      </c>
      <c r="H7581" t="s">
        <v>16300</v>
      </c>
      <c r="I7581" t="s">
        <v>16383</v>
      </c>
      <c r="J7581" t="s">
        <v>16385</v>
      </c>
      <c r="K7581">
        <v>0.112</v>
      </c>
      <c r="L7581">
        <v>4869</v>
      </c>
      <c r="N7581" t="s">
        <v>16393</v>
      </c>
      <c r="O7581" s="4">
        <v>37186</v>
      </c>
      <c r="P7581" s="4">
        <v>126277</v>
      </c>
      <c r="Q7581" s="4">
        <v>163463</v>
      </c>
      <c r="R7581" s="4">
        <v>490389</v>
      </c>
      <c r="S7581" t="s">
        <v>23719</v>
      </c>
      <c r="T7581" s="6">
        <v>45058</v>
      </c>
      <c r="U7581" s="4">
        <v>310000</v>
      </c>
      <c r="V7581" t="s">
        <v>23738</v>
      </c>
      <c r="W7581" t="s">
        <v>27858</v>
      </c>
      <c r="X7581" t="s">
        <v>3</v>
      </c>
      <c r="AA7581" s="5" t="str">
        <f>HYPERLINK("https://www.zillow.com/homes/2529-CEDAR-HILL-LN-WOODRIDGE-IL-60517_rb/","check listing")</f>
        <v>check listing</v>
      </c>
      <c r="AB7581" s="5" t="str">
        <f>HYPERLINK("https://propertylookup.dupagecounty.gov/Datalets/Datalet.aspx?UseSearch=no&amp;mode=sales&amp;pin=0824108059","sales record")</f>
        <v>sales record</v>
      </c>
      <c r="AC7581" t="s">
        <v>3</v>
      </c>
      <c r="AD7581">
        <v>41.768833</v>
      </c>
      <c r="AE7581">
        <v>-88.04490199999999</v>
      </c>
      <c r="AF7581" s="5" t="str">
        <f>HYPERLINK("https://www.google.com/maps/search/?api=1&amp;query=41.768833,-88.044902","map")</f>
        <v>map</v>
      </c>
    </row>
    <row r="7582" spans="1:32">
      <c r="A7582" t="s">
        <v>7632</v>
      </c>
      <c r="B7582" t="s">
        <v>15081</v>
      </c>
      <c r="C7582" t="s">
        <v>15323</v>
      </c>
      <c r="D7582" t="s">
        <v>16215</v>
      </c>
      <c r="E7582" t="s">
        <v>16218</v>
      </c>
      <c r="F7582" t="s">
        <v>16221</v>
      </c>
      <c r="G7582" t="s">
        <v>16300</v>
      </c>
      <c r="H7582" t="s">
        <v>16300</v>
      </c>
      <c r="I7582" t="s">
        <v>16383</v>
      </c>
      <c r="J7582" t="s">
        <v>16385</v>
      </c>
      <c r="K7582">
        <v>0.107</v>
      </c>
      <c r="L7582">
        <v>4652</v>
      </c>
      <c r="N7582" t="s">
        <v>16393</v>
      </c>
      <c r="O7582" s="4">
        <v>37186</v>
      </c>
      <c r="P7582" s="4">
        <v>128905</v>
      </c>
      <c r="Q7582" s="4">
        <v>166091</v>
      </c>
      <c r="R7582" s="4">
        <v>498273</v>
      </c>
      <c r="S7582" t="s">
        <v>23720</v>
      </c>
      <c r="T7582" s="6">
        <v>42552</v>
      </c>
      <c r="U7582" s="4">
        <v>370942</v>
      </c>
      <c r="V7582" t="s">
        <v>23739</v>
      </c>
      <c r="W7582" t="s">
        <v>27859</v>
      </c>
      <c r="X7582" t="s">
        <v>3</v>
      </c>
      <c r="AA7582" s="5" t="str">
        <f>HYPERLINK("https://www.zillow.com/homes/2531-CEDAR-HILL-LN-WOODRIDGE-IL-60517_rb/","check listing")</f>
        <v>check listing</v>
      </c>
      <c r="AB7582" s="5" t="str">
        <f>HYPERLINK("https://propertylookup.dupagecounty.gov/Datalets/Datalet.aspx?UseSearch=no&amp;mode=sales&amp;pin=0824108060","sales record")</f>
        <v>sales record</v>
      </c>
      <c r="AC7582" t="s">
        <v>3</v>
      </c>
      <c r="AD7582">
        <v>41.768837</v>
      </c>
      <c r="AE7582">
        <v>-88.044746</v>
      </c>
      <c r="AF7582" s="5" t="str">
        <f>HYPERLINK("https://www.google.com/maps/search/?api=1&amp;query=41.768837,-88.044746","map")</f>
        <v>map</v>
      </c>
    </row>
    <row r="7583" spans="1:32">
      <c r="A7583" t="s">
        <v>7633</v>
      </c>
      <c r="B7583" t="s">
        <v>15082</v>
      </c>
      <c r="C7583" t="s">
        <v>15323</v>
      </c>
      <c r="D7583" t="s">
        <v>16215</v>
      </c>
      <c r="E7583" t="s">
        <v>16218</v>
      </c>
      <c r="F7583" t="s">
        <v>16221</v>
      </c>
      <c r="G7583" t="s">
        <v>16300</v>
      </c>
      <c r="H7583" t="s">
        <v>16300</v>
      </c>
      <c r="I7583" t="s">
        <v>16383</v>
      </c>
      <c r="J7583" t="s">
        <v>16385</v>
      </c>
      <c r="K7583">
        <v>0.06900000000000001</v>
      </c>
      <c r="L7583">
        <v>3004</v>
      </c>
      <c r="N7583" t="s">
        <v>16393</v>
      </c>
      <c r="O7583" s="4">
        <v>6468</v>
      </c>
      <c r="P7583" s="4">
        <v>177116</v>
      </c>
      <c r="Q7583" s="4">
        <v>183584</v>
      </c>
      <c r="R7583" s="4">
        <v>550752</v>
      </c>
      <c r="S7583" t="s">
        <v>23721</v>
      </c>
      <c r="T7583" s="6">
        <v>45687</v>
      </c>
      <c r="U7583" s="4">
        <v>559720</v>
      </c>
      <c r="V7583" t="s">
        <v>16232</v>
      </c>
      <c r="W7583" t="s">
        <v>23721</v>
      </c>
      <c r="X7583" t="s">
        <v>3</v>
      </c>
      <c r="AA7583" s="5" t="str">
        <f>HYPERLINK("https://www.zillow.com/homes/8485-LIBERTY-LN-WOODRIDGE-IL-60517_rb/","check listing")</f>
        <v>check listing</v>
      </c>
      <c r="AB7583" s="5" t="str">
        <f>HYPERLINK("https://propertylookup.dupagecounty.gov/Datalets/Datalet.aspx?UseSearch=no&amp;mode=sales&amp;pin=0931312078","sales record")</f>
        <v>sales record</v>
      </c>
      <c r="AC7583" t="s">
        <v>3</v>
      </c>
      <c r="AD7583">
        <v>41.731327</v>
      </c>
      <c r="AE7583">
        <v>-88.028597</v>
      </c>
      <c r="AF7583" s="5" t="str">
        <f>HYPERLINK("https://www.google.com/maps/search/?api=1&amp;query=41.731327,-88.028597","map")</f>
        <v>map</v>
      </c>
    </row>
    <row r="7584" spans="1:32">
      <c r="A7584" t="s">
        <v>7634</v>
      </c>
      <c r="B7584" t="s">
        <v>15083</v>
      </c>
      <c r="C7584" t="s">
        <v>15323</v>
      </c>
      <c r="D7584" t="s">
        <v>16215</v>
      </c>
      <c r="E7584" t="s">
        <v>16217</v>
      </c>
      <c r="F7584" t="s">
        <v>16221</v>
      </c>
      <c r="G7584" t="s">
        <v>16300</v>
      </c>
      <c r="H7584" t="s">
        <v>16300</v>
      </c>
      <c r="I7584" t="s">
        <v>16383</v>
      </c>
      <c r="J7584" t="s">
        <v>16385</v>
      </c>
      <c r="K7584">
        <v>2.285</v>
      </c>
      <c r="L7584">
        <v>99544</v>
      </c>
      <c r="N7584" t="s">
        <v>16394</v>
      </c>
      <c r="O7584" s="4">
        <v>229817</v>
      </c>
      <c r="P7584" s="4">
        <v>0</v>
      </c>
      <c r="Q7584" s="4">
        <v>229817</v>
      </c>
      <c r="R7584" s="4">
        <v>689451</v>
      </c>
      <c r="S7584" t="s">
        <v>23722</v>
      </c>
      <c r="X7584" t="s">
        <v>3</v>
      </c>
      <c r="AA7584" s="5" t="str">
        <f>HYPERLINK("https://www.zillow.com/homes/9033-MURPHY-RD-WOODRIDGE-IL-60517_rb/","check listing")</f>
        <v>check listing</v>
      </c>
      <c r="AB7584" s="5" t="str">
        <f>HYPERLINK("https://propertylookup.dupagecounty.gov/Datalets/Datalet.aspx?UseSearch=no&amp;mode=sales&amp;pin=1006308049","sales record")</f>
        <v>sales record</v>
      </c>
      <c r="AC7584" t="s">
        <v>27872</v>
      </c>
      <c r="AD7584">
        <v>41.718791</v>
      </c>
      <c r="AE7584">
        <v>-88.027916</v>
      </c>
      <c r="AF7584" s="5" t="str">
        <f>HYPERLINK("https://www.google.com/maps/search/?api=1&amp;query=41.718791,-88.027916","map")</f>
        <v>map</v>
      </c>
    </row>
    <row r="7585" spans="1:32">
      <c r="A7585" t="s">
        <v>7635</v>
      </c>
      <c r="B7585" t="s">
        <v>15084</v>
      </c>
      <c r="C7585" t="s">
        <v>15323</v>
      </c>
      <c r="D7585" t="s">
        <v>16215</v>
      </c>
      <c r="E7585" t="s">
        <v>16217</v>
      </c>
      <c r="F7585" t="s">
        <v>16221</v>
      </c>
      <c r="G7585" t="s">
        <v>16300</v>
      </c>
      <c r="H7585" t="s">
        <v>16300</v>
      </c>
      <c r="I7585" t="s">
        <v>16383</v>
      </c>
      <c r="J7585" t="s">
        <v>16385</v>
      </c>
      <c r="K7585">
        <v>0.154</v>
      </c>
      <c r="L7585">
        <v>6696</v>
      </c>
      <c r="N7585" t="s">
        <v>16396</v>
      </c>
      <c r="O7585" s="4">
        <v>38349</v>
      </c>
      <c r="P7585" s="4">
        <v>0</v>
      </c>
      <c r="Q7585" s="4">
        <v>38349</v>
      </c>
      <c r="R7585" s="4">
        <v>115047</v>
      </c>
      <c r="S7585" t="s">
        <v>23723</v>
      </c>
      <c r="X7585" t="s">
        <v>3</v>
      </c>
      <c r="AA7585" s="5" t="str">
        <f>HYPERLINK("https://www.zillow.com/homes/6232-SANDBELT-DR-WOODRIDGE-IL-60517_rb/","check listing")</f>
        <v>check listing</v>
      </c>
      <c r="AB7585" s="5" t="str">
        <f>HYPERLINK("https://propertylookup.dupagecounty.gov/Datalets/Datalet.aspx?UseSearch=no&amp;mode=sales&amp;pin=0815406138","sales record")</f>
        <v>sales record</v>
      </c>
      <c r="AC7585" t="s">
        <v>3</v>
      </c>
      <c r="AD7585">
        <v>41.773558</v>
      </c>
      <c r="AE7585">
        <v>-88.072703</v>
      </c>
      <c r="AF7585" s="5" t="str">
        <f>HYPERLINK("https://www.google.com/maps/search/?api=1&amp;query=41.773558,-88.072703","map")</f>
        <v>map</v>
      </c>
    </row>
    <row r="7586" spans="1:32">
      <c r="A7586" t="s">
        <v>7636</v>
      </c>
      <c r="B7586" t="s">
        <v>15085</v>
      </c>
      <c r="C7586" t="s">
        <v>15323</v>
      </c>
      <c r="D7586" t="s">
        <v>16215</v>
      </c>
      <c r="E7586" t="s">
        <v>16217</v>
      </c>
      <c r="F7586" t="s">
        <v>16221</v>
      </c>
      <c r="G7586" t="s">
        <v>16300</v>
      </c>
      <c r="H7586" t="s">
        <v>16300</v>
      </c>
      <c r="I7586" t="s">
        <v>16383</v>
      </c>
      <c r="J7586" t="s">
        <v>16385</v>
      </c>
      <c r="K7586">
        <v>0.06900000000000001</v>
      </c>
      <c r="L7586">
        <v>3005</v>
      </c>
      <c r="N7586" t="s">
        <v>16393</v>
      </c>
      <c r="O7586" s="4">
        <v>6468</v>
      </c>
      <c r="P7586" s="4">
        <v>0</v>
      </c>
      <c r="Q7586" s="4">
        <v>6468</v>
      </c>
      <c r="R7586" s="4">
        <v>19404</v>
      </c>
      <c r="S7586" t="s">
        <v>23724</v>
      </c>
      <c r="X7586" t="s">
        <v>3</v>
      </c>
      <c r="AA7586" s="5" t="str">
        <f>HYPERLINK("https://www.zillow.com/homes/8533-CHADWICK-CT-WOODRIDGE-IL-60517_rb/","check listing")</f>
        <v>check listing</v>
      </c>
      <c r="AB7586" s="5" t="str">
        <f>HYPERLINK("https://propertylookup.dupagecounty.gov/Datalets/Datalet.aspx?UseSearch=no&amp;mode=sales&amp;pin=0931312062","sales record")</f>
        <v>sales record</v>
      </c>
      <c r="AC7586" t="s">
        <v>3</v>
      </c>
      <c r="AD7586">
        <v>41.730702</v>
      </c>
      <c r="AE7586">
        <v>-88.02806</v>
      </c>
      <c r="AF7586" s="5" t="str">
        <f>HYPERLINK("https://www.google.com/maps/search/?api=1&amp;query=41.730702,-88.02806","map")</f>
        <v>map</v>
      </c>
    </row>
    <row r="7587" spans="1:32">
      <c r="A7587" t="s">
        <v>7637</v>
      </c>
      <c r="B7587" t="s">
        <v>15086</v>
      </c>
      <c r="C7587" t="s">
        <v>15323</v>
      </c>
      <c r="D7587" t="s">
        <v>16215</v>
      </c>
      <c r="E7587" t="s">
        <v>16217</v>
      </c>
      <c r="F7587" t="s">
        <v>16221</v>
      </c>
      <c r="G7587" t="s">
        <v>16300</v>
      </c>
      <c r="H7587" t="s">
        <v>16300</v>
      </c>
      <c r="I7587" t="s">
        <v>16383</v>
      </c>
      <c r="J7587" t="s">
        <v>16385</v>
      </c>
      <c r="K7587">
        <v>0.06900000000000001</v>
      </c>
      <c r="L7587">
        <v>3005</v>
      </c>
      <c r="N7587" t="s">
        <v>16393</v>
      </c>
      <c r="O7587" s="4">
        <v>6468</v>
      </c>
      <c r="P7587" s="4">
        <v>0</v>
      </c>
      <c r="Q7587" s="4">
        <v>6468</v>
      </c>
      <c r="R7587" s="4">
        <v>19404</v>
      </c>
      <c r="S7587" t="s">
        <v>23725</v>
      </c>
      <c r="T7587" s="6">
        <v>45992</v>
      </c>
      <c r="U7587" s="4">
        <v>611445</v>
      </c>
      <c r="V7587" t="s">
        <v>16232</v>
      </c>
      <c r="W7587" t="s">
        <v>27860</v>
      </c>
      <c r="X7587" t="s">
        <v>3</v>
      </c>
      <c r="AA7587" s="5" t="str">
        <f>HYPERLINK("https://www.zillow.com/homes/1862-FULTON-ST-WOODRIDGE-IL-60517_rb/","check listing")</f>
        <v>check listing</v>
      </c>
      <c r="AB7587" s="5" t="str">
        <f>HYPERLINK("https://propertylookup.dupagecounty.gov/Datalets/Datalet.aspx?UseSearch=no&amp;mode=sales&amp;pin=0931312096","sales record")</f>
        <v>sales record</v>
      </c>
      <c r="AC7587" t="s">
        <v>3</v>
      </c>
      <c r="AD7587">
        <v>41.731074</v>
      </c>
      <c r="AE7587">
        <v>-88.027652</v>
      </c>
      <c r="AF7587" s="5" t="str">
        <f>HYPERLINK("https://www.google.com/maps/search/?api=1&amp;query=41.731074,-88.027652","map")</f>
        <v>map</v>
      </c>
    </row>
    <row r="7588" spans="1:32">
      <c r="A7588" t="s">
        <v>7638</v>
      </c>
      <c r="B7588" t="s">
        <v>15087</v>
      </c>
      <c r="C7588" t="s">
        <v>15323</v>
      </c>
      <c r="D7588" t="s">
        <v>16215</v>
      </c>
      <c r="E7588" t="s">
        <v>16217</v>
      </c>
      <c r="F7588" t="s">
        <v>16221</v>
      </c>
      <c r="G7588" t="s">
        <v>16300</v>
      </c>
      <c r="H7588" t="s">
        <v>16300</v>
      </c>
      <c r="I7588" t="s">
        <v>16383</v>
      </c>
      <c r="J7588" t="s">
        <v>16385</v>
      </c>
      <c r="K7588">
        <v>0.06900000000000001</v>
      </c>
      <c r="L7588">
        <v>3003</v>
      </c>
      <c r="N7588" t="s">
        <v>16393</v>
      </c>
      <c r="O7588" s="4">
        <v>6468</v>
      </c>
      <c r="P7588" s="4">
        <v>0</v>
      </c>
      <c r="Q7588" s="4">
        <v>6468</v>
      </c>
      <c r="R7588" s="4">
        <v>19404</v>
      </c>
      <c r="S7588" t="s">
        <v>23726</v>
      </c>
      <c r="X7588" t="s">
        <v>3</v>
      </c>
      <c r="AA7588" s="5" t="str">
        <f>HYPERLINK("https://www.zillow.com/homes/1866-FULTON-ST-WOODRIDGE-IL-60517_rb/","check listing")</f>
        <v>check listing</v>
      </c>
      <c r="AB7588" s="5" t="str">
        <f>HYPERLINK("https://propertylookup.dupagecounty.gov/Datalets/Datalet.aspx?UseSearch=no&amp;mode=sales&amp;pin=0931312097","sales record")</f>
        <v>sales record</v>
      </c>
      <c r="AC7588" t="s">
        <v>3</v>
      </c>
      <c r="AD7588">
        <v>41.731071</v>
      </c>
      <c r="AE7588">
        <v>-88.027835</v>
      </c>
      <c r="AF7588" s="5" t="str">
        <f>HYPERLINK("https://www.google.com/maps/search/?api=1&amp;query=41.731071,-88.027835","map")</f>
        <v>map</v>
      </c>
    </row>
    <row r="7589" spans="1:32">
      <c r="A7589" t="s">
        <v>7639</v>
      </c>
      <c r="B7589" t="s">
        <v>15088</v>
      </c>
      <c r="C7589" t="s">
        <v>15323</v>
      </c>
      <c r="D7589" t="s">
        <v>16215</v>
      </c>
      <c r="E7589" t="s">
        <v>16217</v>
      </c>
      <c r="F7589" t="s">
        <v>16221</v>
      </c>
      <c r="G7589" t="s">
        <v>16300</v>
      </c>
      <c r="H7589" t="s">
        <v>16300</v>
      </c>
      <c r="I7589" t="s">
        <v>16383</v>
      </c>
      <c r="J7589" t="s">
        <v>16385</v>
      </c>
      <c r="K7589">
        <v>0.06900000000000001</v>
      </c>
      <c r="L7589">
        <v>3003</v>
      </c>
      <c r="N7589" t="s">
        <v>16393</v>
      </c>
      <c r="O7589" s="4">
        <v>6468</v>
      </c>
      <c r="P7589" s="4">
        <v>0</v>
      </c>
      <c r="Q7589" s="4">
        <v>6468</v>
      </c>
      <c r="R7589" s="4">
        <v>19404</v>
      </c>
      <c r="S7589" t="s">
        <v>23727</v>
      </c>
      <c r="X7589" t="s">
        <v>3</v>
      </c>
      <c r="AA7589" s="5" t="str">
        <f>HYPERLINK("https://www.zillow.com/homes/8530-SPERRY-CT-WOODRIDGE-IL-60517_rb/","check listing")</f>
        <v>check listing</v>
      </c>
      <c r="AB7589" s="5" t="str">
        <f>HYPERLINK("https://propertylookup.dupagecounty.gov/Datalets/Datalet.aspx?UseSearch=no&amp;mode=sales&amp;pin=0931312061","sales record")</f>
        <v>sales record</v>
      </c>
      <c r="AC7589" t="s">
        <v>3</v>
      </c>
      <c r="AD7589">
        <v>41.730743</v>
      </c>
      <c r="AE7589">
        <v>-88.027568</v>
      </c>
      <c r="AF7589" s="5" t="str">
        <f>HYPERLINK("https://www.google.com/maps/search/?api=1&amp;query=41.730743,-88.027568","map")</f>
        <v>map</v>
      </c>
    </row>
    <row r="7590" spans="1:32">
      <c r="A7590" t="s">
        <v>7640</v>
      </c>
      <c r="B7590" t="s">
        <v>15089</v>
      </c>
      <c r="C7590" t="s">
        <v>15323</v>
      </c>
      <c r="D7590" t="s">
        <v>16215</v>
      </c>
      <c r="E7590" t="s">
        <v>16217</v>
      </c>
      <c r="F7590" t="s">
        <v>16221</v>
      </c>
      <c r="G7590" t="s">
        <v>16300</v>
      </c>
      <c r="H7590" t="s">
        <v>16300</v>
      </c>
      <c r="I7590" t="s">
        <v>16383</v>
      </c>
      <c r="J7590" t="s">
        <v>16385</v>
      </c>
      <c r="K7590">
        <v>0.06900000000000001</v>
      </c>
      <c r="L7590">
        <v>3003</v>
      </c>
      <c r="N7590" t="s">
        <v>16393</v>
      </c>
      <c r="O7590" s="4">
        <v>6468</v>
      </c>
      <c r="P7590" s="4">
        <v>0</v>
      </c>
      <c r="Q7590" s="4">
        <v>6468</v>
      </c>
      <c r="R7590" s="4">
        <v>19404</v>
      </c>
      <c r="S7590" t="s">
        <v>23728</v>
      </c>
      <c r="T7590" s="6">
        <v>46027</v>
      </c>
      <c r="U7590" s="4">
        <v>641500</v>
      </c>
      <c r="V7590" t="s">
        <v>16232</v>
      </c>
      <c r="W7590" t="s">
        <v>27861</v>
      </c>
      <c r="X7590" t="s">
        <v>3</v>
      </c>
      <c r="AA7590" s="5" t="str">
        <f>HYPERLINK("https://www.zillow.com/homes/8531-SPERRY-CT-WOODRIDGE-IL-60517_rb/","check listing")</f>
        <v>check listing</v>
      </c>
      <c r="AB7590" s="5" t="str">
        <f>HYPERLINK("https://propertylookup.dupagecounty.gov/Datalets/Datalet.aspx?UseSearch=no&amp;mode=sales&amp;pin=0931312051","sales record")</f>
        <v>sales record</v>
      </c>
      <c r="AC7590" t="s">
        <v>3</v>
      </c>
      <c r="AD7590">
        <v>41.73075</v>
      </c>
      <c r="AE7590">
        <v>-88.027085</v>
      </c>
      <c r="AF7590" s="5" t="str">
        <f>HYPERLINK("https://www.google.com/maps/search/?api=1&amp;query=41.73075,-88.027085","map")</f>
        <v>map</v>
      </c>
    </row>
    <row r="7591" spans="1:32">
      <c r="A7591" t="s">
        <v>7641</v>
      </c>
      <c r="B7591" t="s">
        <v>15090</v>
      </c>
      <c r="C7591" t="s">
        <v>15323</v>
      </c>
      <c r="D7591" t="s">
        <v>16215</v>
      </c>
      <c r="E7591" t="s">
        <v>16217</v>
      </c>
      <c r="F7591" t="s">
        <v>16221</v>
      </c>
      <c r="G7591" t="s">
        <v>16300</v>
      </c>
      <c r="H7591" t="s">
        <v>16300</v>
      </c>
      <c r="I7591" t="s">
        <v>16383</v>
      </c>
      <c r="J7591" t="s">
        <v>16385</v>
      </c>
      <c r="K7591">
        <v>0.06900000000000001</v>
      </c>
      <c r="L7591">
        <v>2996</v>
      </c>
      <c r="N7591" t="s">
        <v>16393</v>
      </c>
      <c r="O7591" s="4">
        <v>6444</v>
      </c>
      <c r="P7591" s="4">
        <v>0</v>
      </c>
      <c r="Q7591" s="4">
        <v>6444</v>
      </c>
      <c r="R7591" s="4">
        <v>19332</v>
      </c>
      <c r="S7591" t="s">
        <v>23729</v>
      </c>
      <c r="X7591" t="s">
        <v>3</v>
      </c>
      <c r="AA7591" s="5" t="str">
        <f>HYPERLINK("https://www.zillow.com/homes/1886-FULTON-ST-WOODRIDGE-IL-60517_rb/","check listing")</f>
        <v>check listing</v>
      </c>
      <c r="AB7591" s="5" t="str">
        <f>HYPERLINK("https://propertylookup.dupagecounty.gov/Datalets/Datalet.aspx?UseSearch=no&amp;mode=sales&amp;pin=0931312102","sales record")</f>
        <v>sales record</v>
      </c>
      <c r="AC7591" t="s">
        <v>3</v>
      </c>
      <c r="AD7591">
        <v>41.731053</v>
      </c>
      <c r="AE7591">
        <v>-88.028329</v>
      </c>
      <c r="AF7591" s="5" t="str">
        <f>HYPERLINK("https://www.google.com/maps/search/?api=1&amp;query=41.731053,-88.028329","map")</f>
        <v>map</v>
      </c>
    </row>
    <row r="7592" spans="1:32">
      <c r="A7592" t="s">
        <v>7642</v>
      </c>
      <c r="B7592" t="s">
        <v>15091</v>
      </c>
      <c r="C7592" t="s">
        <v>15323</v>
      </c>
      <c r="D7592" t="s">
        <v>16215</v>
      </c>
      <c r="E7592" t="s">
        <v>16217</v>
      </c>
      <c r="F7592" t="s">
        <v>16221</v>
      </c>
      <c r="G7592" t="s">
        <v>16300</v>
      </c>
      <c r="H7592" t="s">
        <v>16300</v>
      </c>
      <c r="I7592" t="s">
        <v>16383</v>
      </c>
      <c r="J7592" t="s">
        <v>16385</v>
      </c>
      <c r="K7592">
        <v>0.068</v>
      </c>
      <c r="L7592">
        <v>2978</v>
      </c>
      <c r="N7592" t="s">
        <v>16393</v>
      </c>
      <c r="O7592" s="4">
        <v>6408</v>
      </c>
      <c r="P7592" s="4">
        <v>0</v>
      </c>
      <c r="Q7592" s="4">
        <v>6408</v>
      </c>
      <c r="R7592" s="4">
        <v>19224</v>
      </c>
      <c r="S7592" t="s">
        <v>23730</v>
      </c>
      <c r="T7592" s="6">
        <v>46003</v>
      </c>
      <c r="U7592" s="4">
        <v>600885</v>
      </c>
      <c r="V7592" t="s">
        <v>16232</v>
      </c>
      <c r="W7592" t="s">
        <v>27862</v>
      </c>
      <c r="X7592" t="s">
        <v>3</v>
      </c>
      <c r="AA7592" s="5" t="str">
        <f>HYPERLINK("https://www.zillow.com/homes/1842-FULTON-ST-WOODRIDGE-IL-60517_rb/","check listing")</f>
        <v>check listing</v>
      </c>
      <c r="AB7592" s="5" t="str">
        <f>HYPERLINK("https://propertylookup.dupagecounty.gov/Datalets/Datalet.aspx?UseSearch=no&amp;mode=sales&amp;pin=0931312091","sales record")</f>
        <v>sales record</v>
      </c>
      <c r="AC7592" t="s">
        <v>3</v>
      </c>
      <c r="AD7592">
        <v>41.731094</v>
      </c>
      <c r="AE7592">
        <v>-88.027158</v>
      </c>
      <c r="AF7592" s="5" t="str">
        <f>HYPERLINK("https://www.google.com/maps/search/?api=1&amp;query=41.731094,-88.027158","map")</f>
        <v>map</v>
      </c>
    </row>
    <row r="7593" spans="1:32">
      <c r="A7593" t="s">
        <v>7643</v>
      </c>
      <c r="B7593" t="s">
        <v>15092</v>
      </c>
      <c r="C7593" t="s">
        <v>15323</v>
      </c>
      <c r="D7593" t="s">
        <v>16215</v>
      </c>
      <c r="E7593" t="s">
        <v>16217</v>
      </c>
      <c r="F7593" t="s">
        <v>16221</v>
      </c>
      <c r="G7593" t="s">
        <v>16300</v>
      </c>
      <c r="H7593" t="s">
        <v>16300</v>
      </c>
      <c r="I7593" t="s">
        <v>16383</v>
      </c>
      <c r="J7593" t="s">
        <v>16385</v>
      </c>
      <c r="K7593">
        <v>0.062</v>
      </c>
      <c r="L7593">
        <v>2685</v>
      </c>
      <c r="N7593" t="s">
        <v>16393</v>
      </c>
      <c r="O7593" s="4">
        <v>5775</v>
      </c>
      <c r="P7593" s="4">
        <v>0</v>
      </c>
      <c r="Q7593" s="4">
        <v>5775</v>
      </c>
      <c r="R7593" s="4">
        <v>17325</v>
      </c>
      <c r="S7593" t="s">
        <v>23731</v>
      </c>
      <c r="T7593" s="6">
        <v>46078</v>
      </c>
      <c r="U7593" s="4">
        <v>611250</v>
      </c>
      <c r="V7593" t="s">
        <v>16232</v>
      </c>
      <c r="W7593" t="s">
        <v>27863</v>
      </c>
      <c r="X7593" t="s">
        <v>3</v>
      </c>
      <c r="AA7593" s="5" t="str">
        <f>HYPERLINK("https://www.zillow.com/homes/8542-SPERRY-CT-WOODRIDGE-IL-60517_rb/","check listing")</f>
        <v>check listing</v>
      </c>
      <c r="AB7593" s="5" t="str">
        <f>HYPERLINK("https://propertylookup.dupagecounty.gov/Datalets/Datalet.aspx?UseSearch=no&amp;mode=sales&amp;pin=0931312058","sales record")</f>
        <v>sales record</v>
      </c>
      <c r="AC7593" t="s">
        <v>3</v>
      </c>
      <c r="AD7593">
        <v>41.730512</v>
      </c>
      <c r="AE7593">
        <v>-88.027559</v>
      </c>
      <c r="AF7593" s="5" t="str">
        <f>HYPERLINK("https://www.google.com/maps/search/?api=1&amp;query=41.730512,-88.027559","map")</f>
        <v>map</v>
      </c>
    </row>
    <row r="7594" spans="1:32">
      <c r="A7594" t="s">
        <v>7644</v>
      </c>
      <c r="B7594" t="s">
        <v>15093</v>
      </c>
      <c r="C7594" t="s">
        <v>15323</v>
      </c>
      <c r="D7594" t="s">
        <v>16215</v>
      </c>
      <c r="E7594" t="s">
        <v>16217</v>
      </c>
      <c r="F7594" t="s">
        <v>16221</v>
      </c>
      <c r="G7594" t="s">
        <v>16300</v>
      </c>
      <c r="H7594" t="s">
        <v>16300</v>
      </c>
      <c r="I7594" t="s">
        <v>16383</v>
      </c>
      <c r="J7594" t="s">
        <v>16385</v>
      </c>
      <c r="K7594">
        <v>0.062</v>
      </c>
      <c r="L7594">
        <v>2684</v>
      </c>
      <c r="N7594" t="s">
        <v>16393</v>
      </c>
      <c r="O7594" s="4">
        <v>5775</v>
      </c>
      <c r="P7594" s="4">
        <v>0</v>
      </c>
      <c r="Q7594" s="4">
        <v>5775</v>
      </c>
      <c r="R7594" s="4">
        <v>17325</v>
      </c>
      <c r="S7594" t="s">
        <v>23732</v>
      </c>
      <c r="T7594" s="6">
        <v>46056</v>
      </c>
      <c r="U7594" s="4">
        <v>620385</v>
      </c>
      <c r="V7594" t="s">
        <v>16232</v>
      </c>
      <c r="W7594" t="s">
        <v>27864</v>
      </c>
      <c r="X7594" t="s">
        <v>3</v>
      </c>
      <c r="AA7594" s="5" t="str">
        <f>HYPERLINK("https://www.zillow.com/homes/8551-SPERRY-CT-WOODRIDGE-IL-60517_rb/","check listing")</f>
        <v>check listing</v>
      </c>
      <c r="AB7594" s="5" t="str">
        <f>HYPERLINK("https://propertylookup.dupagecounty.gov/Datalets/Datalet.aspx?UseSearch=no&amp;mode=sales&amp;pin=0931312056","sales record")</f>
        <v>sales record</v>
      </c>
      <c r="AC7594" t="s">
        <v>3</v>
      </c>
      <c r="AD7594">
        <v>41.730385</v>
      </c>
      <c r="AE7594">
        <v>-88.027072</v>
      </c>
      <c r="AF7594" s="5" t="str">
        <f>HYPERLINK("https://www.google.com/maps/search/?api=1&amp;query=41.730385,-88.027072","map")</f>
        <v>map</v>
      </c>
    </row>
    <row r="7595" spans="1:32">
      <c r="A7595" t="s">
        <v>7645</v>
      </c>
      <c r="B7595" t="s">
        <v>15094</v>
      </c>
      <c r="C7595" t="s">
        <v>15323</v>
      </c>
      <c r="D7595" t="s">
        <v>16215</v>
      </c>
      <c r="E7595" t="s">
        <v>16217</v>
      </c>
      <c r="F7595" t="s">
        <v>16221</v>
      </c>
      <c r="G7595" t="s">
        <v>16300</v>
      </c>
      <c r="H7595" t="s">
        <v>16300</v>
      </c>
      <c r="I7595" t="s">
        <v>16383</v>
      </c>
      <c r="J7595" t="s">
        <v>16385</v>
      </c>
      <c r="K7595">
        <v>0.062</v>
      </c>
      <c r="L7595">
        <v>2683</v>
      </c>
      <c r="N7595" t="s">
        <v>16393</v>
      </c>
      <c r="O7595" s="4">
        <v>5775</v>
      </c>
      <c r="P7595" s="4">
        <v>0</v>
      </c>
      <c r="Q7595" s="4">
        <v>5775</v>
      </c>
      <c r="R7595" s="4">
        <v>17325</v>
      </c>
      <c r="S7595" t="s">
        <v>23733</v>
      </c>
      <c r="X7595" t="s">
        <v>3</v>
      </c>
      <c r="AA7595" s="5" t="str">
        <f>HYPERLINK("https://www.zillow.com/homes/8553-CHADWICK-CT-WOODRIDGE-IL-60517_rb/","check listing")</f>
        <v>check listing</v>
      </c>
      <c r="AB7595" s="5" t="str">
        <f>HYPERLINK("https://propertylookup.dupagecounty.gov/Datalets/Datalet.aspx?UseSearch=no&amp;mode=sales&amp;pin=0931312067","sales record")</f>
        <v>sales record</v>
      </c>
      <c r="AC7595" t="s">
        <v>3</v>
      </c>
      <c r="AD7595">
        <v>41.73034</v>
      </c>
      <c r="AE7595">
        <v>-88.02799899999999</v>
      </c>
      <c r="AF7595" s="5" t="str">
        <f>HYPERLINK("https://www.google.com/maps/search/?api=1&amp;query=41.73034,-88.027999","map")</f>
        <v>map</v>
      </c>
    </row>
    <row r="7596" spans="1:32">
      <c r="A7596" t="s">
        <v>7646</v>
      </c>
      <c r="B7596" t="s">
        <v>15095</v>
      </c>
      <c r="C7596" t="s">
        <v>15323</v>
      </c>
      <c r="D7596" t="s">
        <v>16215</v>
      </c>
      <c r="E7596" t="s">
        <v>16217</v>
      </c>
      <c r="F7596" t="s">
        <v>16221</v>
      </c>
      <c r="G7596" t="s">
        <v>16300</v>
      </c>
      <c r="H7596" t="s">
        <v>16300</v>
      </c>
      <c r="I7596" t="s">
        <v>16383</v>
      </c>
      <c r="J7596" t="s">
        <v>16385</v>
      </c>
      <c r="K7596">
        <v>0.061</v>
      </c>
      <c r="L7596">
        <v>2658</v>
      </c>
      <c r="N7596" t="s">
        <v>16396</v>
      </c>
      <c r="O7596" s="4">
        <v>4890</v>
      </c>
      <c r="P7596" s="4">
        <v>0</v>
      </c>
      <c r="Q7596" s="4">
        <v>4890</v>
      </c>
      <c r="R7596" s="4">
        <v>14670</v>
      </c>
      <c r="S7596" t="s">
        <v>23734</v>
      </c>
      <c r="X7596" t="s">
        <v>3</v>
      </c>
      <c r="AA7596" s="5" t="str">
        <f>HYPERLINK("https://www.zillow.com/homes/8497-LIBERTY-LN-WOODRIDGE-IL-60517_rb/","check listing")</f>
        <v>check listing</v>
      </c>
      <c r="AB7596" s="5" t="str">
        <f>HYPERLINK("https://propertylookup.dupagecounty.gov/Datalets/Datalet.aspx?UseSearch=no&amp;mode=sales&amp;pin=0931312075","sales record")</f>
        <v>sales record</v>
      </c>
      <c r="AC7596" t="s">
        <v>3</v>
      </c>
      <c r="AD7596">
        <v>41.731107</v>
      </c>
      <c r="AE7596">
        <v>-88.02864599999999</v>
      </c>
      <c r="AF7596" s="5" t="str">
        <f>HYPERLINK("https://www.google.com/maps/search/?api=1&amp;query=41.731107,-88.028646","map")</f>
        <v>map</v>
      </c>
    </row>
  </sheetData>
  <autoFilter ref="A1:AF759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6"/>
  <sheetViews>
    <sheetView workbookViewId="0">
      <pane ySplit="1" topLeftCell="A2" activePane="bottomLeft" state="frozen"/>
      <selection pane="bottomLeft"/>
    </sheetView>
  </sheetViews>
  <sheetFormatPr defaultRowHeight="15"/>
  <cols>
    <col min="1" max="1" width="18.7109375" customWidth="1"/>
    <col min="2" max="2" width="23.7109375" customWidth="1"/>
    <col min="3" max="3" width="21.7109375" customWidth="1"/>
    <col min="4" max="4" width="30.7109375" customWidth="1"/>
    <col min="5" max="5" width="28.7109375" customWidth="1"/>
    <col min="6" max="6" width="37.7109375" customWidth="1"/>
    <col min="7" max="7" width="45.7109375" customWidth="1"/>
    <col min="8" max="8" width="52.7109375" customWidth="1"/>
  </cols>
  <sheetData>
    <row r="1" spans="1:8">
      <c r="A1" s="1" t="s">
        <v>16192</v>
      </c>
      <c r="B1" s="1" t="s">
        <v>27878</v>
      </c>
      <c r="C1" s="1" t="s">
        <v>27879</v>
      </c>
      <c r="D1" s="1" t="s">
        <v>27880</v>
      </c>
      <c r="E1" s="1" t="s">
        <v>27881</v>
      </c>
      <c r="F1" s="1" t="s">
        <v>27882</v>
      </c>
      <c r="G1" s="1" t="s">
        <v>27883</v>
      </c>
      <c r="H1" s="1" t="s">
        <v>27884</v>
      </c>
    </row>
    <row r="2" spans="1:8">
      <c r="A2" t="s">
        <v>16193</v>
      </c>
      <c r="B2">
        <v>2</v>
      </c>
      <c r="C2">
        <v>7.31</v>
      </c>
      <c r="D2">
        <v>0</v>
      </c>
      <c r="E2">
        <v>0</v>
      </c>
      <c r="F2">
        <v>2</v>
      </c>
      <c r="G2">
        <v>0</v>
      </c>
      <c r="H2">
        <v>0</v>
      </c>
    </row>
    <row r="3" spans="1:8">
      <c r="A3" t="s">
        <v>16194</v>
      </c>
      <c r="B3">
        <v>0</v>
      </c>
      <c r="C3">
        <v>0</v>
      </c>
      <c r="D3">
        <v>87</v>
      </c>
      <c r="E3">
        <v>16.12</v>
      </c>
      <c r="F3">
        <v>0</v>
      </c>
      <c r="G3">
        <v>87</v>
      </c>
      <c r="H3">
        <v>0</v>
      </c>
    </row>
    <row r="4" spans="1:8">
      <c r="A4" t="s">
        <v>16195</v>
      </c>
      <c r="B4">
        <v>65</v>
      </c>
      <c r="C4">
        <v>34.54</v>
      </c>
      <c r="D4">
        <v>18</v>
      </c>
      <c r="E4">
        <v>5.05</v>
      </c>
      <c r="F4">
        <v>25</v>
      </c>
      <c r="G4">
        <v>0</v>
      </c>
      <c r="H4">
        <v>58</v>
      </c>
    </row>
    <row r="5" spans="1:8">
      <c r="A5" t="s">
        <v>16196</v>
      </c>
      <c r="B5">
        <v>18</v>
      </c>
      <c r="C5">
        <v>9.93</v>
      </c>
      <c r="D5">
        <v>317</v>
      </c>
      <c r="E5">
        <v>66.5</v>
      </c>
      <c r="F5">
        <v>4</v>
      </c>
      <c r="G5">
        <v>288</v>
      </c>
      <c r="H5">
        <v>43</v>
      </c>
    </row>
    <row r="6" spans="1:8">
      <c r="A6" t="s">
        <v>16197</v>
      </c>
      <c r="B6">
        <v>8</v>
      </c>
      <c r="C6">
        <v>14.71</v>
      </c>
      <c r="D6">
        <v>281</v>
      </c>
      <c r="E6">
        <v>57.19</v>
      </c>
      <c r="F6">
        <v>289</v>
      </c>
      <c r="G6">
        <v>0</v>
      </c>
      <c r="H6">
        <v>0</v>
      </c>
    </row>
    <row r="7" spans="1:8">
      <c r="A7" t="s">
        <v>26</v>
      </c>
      <c r="B7">
        <v>8</v>
      </c>
      <c r="C7">
        <v>5.47</v>
      </c>
      <c r="D7">
        <v>2</v>
      </c>
      <c r="E7">
        <v>0.48</v>
      </c>
      <c r="F7">
        <v>1</v>
      </c>
      <c r="G7">
        <v>0</v>
      </c>
      <c r="H7">
        <v>9</v>
      </c>
    </row>
    <row r="8" spans="1:8">
      <c r="A8" t="s">
        <v>16198</v>
      </c>
      <c r="B8">
        <v>4</v>
      </c>
      <c r="C8">
        <v>2.29</v>
      </c>
      <c r="D8">
        <v>487</v>
      </c>
      <c r="E8">
        <v>142.65</v>
      </c>
      <c r="F8">
        <v>0</v>
      </c>
      <c r="G8">
        <v>491</v>
      </c>
      <c r="H8">
        <v>0</v>
      </c>
    </row>
    <row r="9" spans="1:8">
      <c r="A9" t="s">
        <v>16199</v>
      </c>
      <c r="B9">
        <v>56</v>
      </c>
      <c r="C9">
        <v>14.36</v>
      </c>
      <c r="D9">
        <v>597</v>
      </c>
      <c r="E9">
        <v>134.79</v>
      </c>
      <c r="F9">
        <v>19</v>
      </c>
      <c r="G9">
        <v>501</v>
      </c>
      <c r="H9">
        <v>133</v>
      </c>
    </row>
    <row r="10" spans="1:8">
      <c r="A10" t="s">
        <v>16200</v>
      </c>
      <c r="B10">
        <v>18</v>
      </c>
      <c r="C10">
        <v>5.88</v>
      </c>
      <c r="D10">
        <v>34</v>
      </c>
      <c r="E10">
        <v>5.26</v>
      </c>
      <c r="F10">
        <v>39</v>
      </c>
      <c r="G10">
        <v>0</v>
      </c>
      <c r="H10">
        <v>13</v>
      </c>
    </row>
    <row r="11" spans="1:8">
      <c r="A11" t="s">
        <v>16201</v>
      </c>
      <c r="B11">
        <v>22</v>
      </c>
      <c r="C11">
        <v>4.44</v>
      </c>
      <c r="D11">
        <v>11</v>
      </c>
      <c r="E11">
        <v>2.4</v>
      </c>
      <c r="F11">
        <v>9</v>
      </c>
      <c r="G11">
        <v>0</v>
      </c>
      <c r="H11">
        <v>24</v>
      </c>
    </row>
    <row r="12" spans="1:8">
      <c r="A12" t="s">
        <v>16202</v>
      </c>
      <c r="B12">
        <v>2</v>
      </c>
      <c r="C12">
        <v>2.1</v>
      </c>
      <c r="D12">
        <v>85</v>
      </c>
      <c r="E12">
        <v>13.2</v>
      </c>
      <c r="F12">
        <v>28</v>
      </c>
      <c r="G12">
        <v>59</v>
      </c>
      <c r="H12">
        <v>0</v>
      </c>
    </row>
    <row r="13" spans="1:8">
      <c r="A13" t="s">
        <v>16203</v>
      </c>
      <c r="B13">
        <v>18</v>
      </c>
      <c r="C13">
        <v>141.21</v>
      </c>
      <c r="D13">
        <v>144</v>
      </c>
      <c r="E13">
        <v>28.77</v>
      </c>
      <c r="F13">
        <v>152</v>
      </c>
      <c r="G13">
        <v>4</v>
      </c>
      <c r="H13">
        <v>6</v>
      </c>
    </row>
    <row r="14" spans="1:8">
      <c r="A14" t="s">
        <v>16204</v>
      </c>
      <c r="B14">
        <v>16</v>
      </c>
      <c r="C14">
        <v>10.54</v>
      </c>
      <c r="D14">
        <v>41</v>
      </c>
      <c r="E14">
        <v>9.17</v>
      </c>
      <c r="F14">
        <v>17</v>
      </c>
      <c r="G14">
        <v>8</v>
      </c>
      <c r="H14">
        <v>32</v>
      </c>
    </row>
    <row r="15" spans="1:8">
      <c r="A15" t="s">
        <v>16205</v>
      </c>
      <c r="B15">
        <v>24</v>
      </c>
      <c r="C15">
        <v>5.31</v>
      </c>
      <c r="D15">
        <v>262</v>
      </c>
      <c r="E15">
        <v>46.53</v>
      </c>
      <c r="F15">
        <v>260</v>
      </c>
      <c r="G15">
        <v>15</v>
      </c>
      <c r="H15">
        <v>11</v>
      </c>
    </row>
    <row r="16" spans="1:8">
      <c r="A16" t="s">
        <v>16206</v>
      </c>
      <c r="B16">
        <v>55</v>
      </c>
      <c r="C16">
        <v>11.3</v>
      </c>
      <c r="D16">
        <v>2438</v>
      </c>
      <c r="E16">
        <v>487.81</v>
      </c>
      <c r="F16">
        <v>1186</v>
      </c>
      <c r="G16">
        <v>1255</v>
      </c>
      <c r="H16">
        <v>52</v>
      </c>
    </row>
    <row r="17" spans="1:8">
      <c r="A17" t="s">
        <v>16207</v>
      </c>
      <c r="B17">
        <v>8</v>
      </c>
      <c r="C17">
        <v>3.69</v>
      </c>
      <c r="D17">
        <v>1061</v>
      </c>
      <c r="E17">
        <v>179.05</v>
      </c>
      <c r="F17">
        <v>0</v>
      </c>
      <c r="G17">
        <v>1063</v>
      </c>
      <c r="H17">
        <v>6</v>
      </c>
    </row>
    <row r="18" spans="1:8">
      <c r="A18" t="s">
        <v>16208</v>
      </c>
      <c r="B18">
        <v>42</v>
      </c>
      <c r="C18">
        <v>16.23</v>
      </c>
      <c r="D18">
        <v>28</v>
      </c>
      <c r="E18">
        <v>6.3</v>
      </c>
      <c r="F18">
        <v>55</v>
      </c>
      <c r="G18">
        <v>15</v>
      </c>
      <c r="H18">
        <v>0</v>
      </c>
    </row>
    <row r="19" spans="1:8">
      <c r="A19" t="s">
        <v>16209</v>
      </c>
      <c r="B19">
        <v>53</v>
      </c>
      <c r="C19">
        <v>13.54</v>
      </c>
      <c r="D19">
        <v>32</v>
      </c>
      <c r="E19">
        <v>6.67</v>
      </c>
      <c r="F19">
        <v>16</v>
      </c>
      <c r="G19">
        <v>13</v>
      </c>
      <c r="H19">
        <v>56</v>
      </c>
    </row>
    <row r="20" spans="1:8">
      <c r="A20" t="s">
        <v>16210</v>
      </c>
      <c r="B20">
        <v>24</v>
      </c>
      <c r="C20">
        <v>31.86</v>
      </c>
      <c r="D20">
        <v>29</v>
      </c>
      <c r="E20">
        <v>6.1</v>
      </c>
      <c r="F20">
        <v>38</v>
      </c>
      <c r="G20">
        <v>0</v>
      </c>
      <c r="H20">
        <v>15</v>
      </c>
    </row>
    <row r="21" spans="1:8">
      <c r="A21" t="s">
        <v>16211</v>
      </c>
      <c r="B21">
        <v>38</v>
      </c>
      <c r="C21">
        <v>8.09</v>
      </c>
      <c r="D21">
        <v>104</v>
      </c>
      <c r="E21">
        <v>22.84</v>
      </c>
      <c r="F21">
        <v>115</v>
      </c>
      <c r="G21">
        <v>0</v>
      </c>
      <c r="H21">
        <v>27</v>
      </c>
    </row>
    <row r="22" spans="1:8">
      <c r="A22" t="s">
        <v>16212</v>
      </c>
      <c r="B22">
        <v>67</v>
      </c>
      <c r="C22">
        <v>16.93</v>
      </c>
      <c r="D22">
        <v>151</v>
      </c>
      <c r="E22">
        <v>26.9</v>
      </c>
      <c r="F22">
        <v>35</v>
      </c>
      <c r="G22">
        <v>107</v>
      </c>
      <c r="H22">
        <v>76</v>
      </c>
    </row>
    <row r="23" spans="1:8">
      <c r="A23" t="s">
        <v>16213</v>
      </c>
      <c r="B23">
        <v>2</v>
      </c>
      <c r="C23">
        <v>2.45</v>
      </c>
      <c r="D23">
        <v>54</v>
      </c>
      <c r="E23">
        <v>6.73</v>
      </c>
      <c r="F23">
        <v>1</v>
      </c>
      <c r="G23">
        <v>55</v>
      </c>
      <c r="H23">
        <v>0</v>
      </c>
    </row>
    <row r="24" spans="1:8">
      <c r="A24" t="s">
        <v>16214</v>
      </c>
      <c r="B24">
        <v>13</v>
      </c>
      <c r="C24">
        <v>2.34</v>
      </c>
      <c r="D24">
        <v>13</v>
      </c>
      <c r="E24">
        <v>3.22</v>
      </c>
      <c r="F24">
        <v>13</v>
      </c>
      <c r="G24">
        <v>0</v>
      </c>
      <c r="H24">
        <v>13</v>
      </c>
    </row>
    <row r="25" spans="1:8">
      <c r="A25" t="s">
        <v>16215</v>
      </c>
      <c r="B25">
        <v>17</v>
      </c>
      <c r="C25">
        <v>45.33</v>
      </c>
      <c r="D25">
        <v>739</v>
      </c>
      <c r="E25">
        <v>120.15</v>
      </c>
      <c r="F25">
        <v>729</v>
      </c>
      <c r="G25">
        <v>27</v>
      </c>
      <c r="H25">
        <v>0</v>
      </c>
    </row>
    <row r="26" spans="1:8">
      <c r="A26" t="s">
        <v>27877</v>
      </c>
      <c r="B26">
        <v>580</v>
      </c>
      <c r="C26">
        <v>409.86</v>
      </c>
      <c r="D26">
        <v>7015</v>
      </c>
      <c r="E26">
        <v>1393.91</v>
      </c>
      <c r="F26">
        <v>3033</v>
      </c>
      <c r="G26">
        <v>3988</v>
      </c>
      <c r="H26">
        <v>574</v>
      </c>
    </row>
  </sheetData>
  <autoFilter ref="A1:H2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5"/>
  <sheetViews>
    <sheetView workbookViewId="0">
      <pane ySplit="1" topLeftCell="A2" activePane="bottomLeft" state="frozen"/>
      <selection pane="bottomLeft"/>
    </sheetView>
  </sheetViews>
  <sheetFormatPr defaultRowHeight="15"/>
  <cols>
    <col min="1" max="1" width="38.7109375" customWidth="1"/>
    <col min="2" max="2" width="15.7109375" customWidth="1"/>
    <col min="3" max="3" width="16.7109375" customWidth="1"/>
    <col min="4" max="4" width="17.7109375" customWidth="1"/>
    <col min="5" max="5" width="60.7109375" customWidth="1"/>
    <col min="6" max="6" width="50.7109375" customWidth="1"/>
    <col min="7" max="7" width="24.7109375" customWidth="1"/>
  </cols>
  <sheetData>
    <row r="1" spans="1:7">
      <c r="A1" s="1" t="s">
        <v>27885</v>
      </c>
      <c r="B1" s="1" t="s">
        <v>27960</v>
      </c>
      <c r="C1" s="1" t="s">
        <v>27961</v>
      </c>
      <c r="D1" s="1" t="s">
        <v>27962</v>
      </c>
      <c r="E1" s="1" t="s">
        <v>27963</v>
      </c>
      <c r="F1" s="1" t="s">
        <v>28029</v>
      </c>
      <c r="G1" s="1" t="s">
        <v>28088</v>
      </c>
    </row>
    <row r="2" spans="1:7">
      <c r="A2" t="s">
        <v>27886</v>
      </c>
      <c r="B2" t="s">
        <v>16210</v>
      </c>
      <c r="D2">
        <v>11.11</v>
      </c>
      <c r="E2" t="s">
        <v>27964</v>
      </c>
      <c r="F2" t="s">
        <v>28030</v>
      </c>
      <c r="G2" t="s">
        <v>6438</v>
      </c>
    </row>
    <row r="3" spans="1:7">
      <c r="A3" t="s">
        <v>27887</v>
      </c>
      <c r="B3" t="s">
        <v>16203</v>
      </c>
      <c r="C3" s="4">
        <v>475000</v>
      </c>
      <c r="D3">
        <v>7.9</v>
      </c>
      <c r="E3" t="s">
        <v>27965</v>
      </c>
      <c r="F3" t="s">
        <v>28031</v>
      </c>
      <c r="G3" t="s">
        <v>28089</v>
      </c>
    </row>
    <row r="4" spans="1:7">
      <c r="A4" t="s">
        <v>27888</v>
      </c>
      <c r="B4" t="s">
        <v>16203</v>
      </c>
      <c r="D4">
        <v>7.46</v>
      </c>
      <c r="E4" t="s">
        <v>27966</v>
      </c>
      <c r="F4" t="s">
        <v>28032</v>
      </c>
      <c r="G4" t="s">
        <v>3</v>
      </c>
    </row>
    <row r="5" spans="1:7">
      <c r="A5" t="s">
        <v>27889</v>
      </c>
      <c r="B5" t="s">
        <v>16203</v>
      </c>
      <c r="C5" s="4">
        <v>199999</v>
      </c>
      <c r="D5">
        <v>0.5</v>
      </c>
      <c r="E5" t="s">
        <v>27967</v>
      </c>
      <c r="F5" t="s">
        <v>28033</v>
      </c>
      <c r="G5" t="s">
        <v>3</v>
      </c>
    </row>
    <row r="6" spans="1:7">
      <c r="A6" t="s">
        <v>27890</v>
      </c>
      <c r="B6" t="s">
        <v>16203</v>
      </c>
      <c r="D6">
        <v>0.66</v>
      </c>
      <c r="E6" t="s">
        <v>27968</v>
      </c>
      <c r="F6" t="s">
        <v>28034</v>
      </c>
      <c r="G6" t="s">
        <v>3</v>
      </c>
    </row>
    <row r="7" spans="1:7">
      <c r="A7" t="s">
        <v>27891</v>
      </c>
      <c r="B7" t="s">
        <v>16215</v>
      </c>
      <c r="D7">
        <v>0.66</v>
      </c>
      <c r="E7" t="s">
        <v>27969</v>
      </c>
      <c r="F7" t="s">
        <v>28035</v>
      </c>
      <c r="G7" t="s">
        <v>3</v>
      </c>
    </row>
    <row r="8" spans="1:7">
      <c r="A8" t="s">
        <v>27892</v>
      </c>
      <c r="B8" t="s">
        <v>16195</v>
      </c>
      <c r="C8" s="4">
        <v>1200000</v>
      </c>
      <c r="D8">
        <v>1.07</v>
      </c>
      <c r="E8" t="s">
        <v>27970</v>
      </c>
      <c r="F8" t="s">
        <v>28036</v>
      </c>
      <c r="G8" t="s">
        <v>3</v>
      </c>
    </row>
    <row r="9" spans="1:7">
      <c r="A9" t="s">
        <v>27893</v>
      </c>
      <c r="B9" t="s">
        <v>16195</v>
      </c>
      <c r="C9" s="4">
        <v>1650000</v>
      </c>
      <c r="D9">
        <v>2.5</v>
      </c>
      <c r="E9" t="s">
        <v>27970</v>
      </c>
      <c r="F9" t="s">
        <v>28037</v>
      </c>
      <c r="G9" t="s">
        <v>3</v>
      </c>
    </row>
    <row r="10" spans="1:7">
      <c r="A10" t="s">
        <v>27894</v>
      </c>
      <c r="B10" t="s">
        <v>16195</v>
      </c>
      <c r="C10" s="4">
        <v>105000</v>
      </c>
      <c r="E10" t="s">
        <v>27971</v>
      </c>
      <c r="F10" t="s">
        <v>28038</v>
      </c>
      <c r="G10" t="s">
        <v>3</v>
      </c>
    </row>
    <row r="11" spans="1:7">
      <c r="A11" t="s">
        <v>27895</v>
      </c>
      <c r="B11" t="s">
        <v>16195</v>
      </c>
      <c r="C11" s="4">
        <v>160000</v>
      </c>
      <c r="D11">
        <v>0.39</v>
      </c>
      <c r="E11" t="s">
        <v>27972</v>
      </c>
      <c r="F11" t="s">
        <v>28039</v>
      </c>
      <c r="G11" t="s">
        <v>3</v>
      </c>
    </row>
    <row r="12" spans="1:7">
      <c r="A12" t="s">
        <v>27896</v>
      </c>
      <c r="B12" t="s">
        <v>16210</v>
      </c>
      <c r="C12" s="4">
        <v>1900000</v>
      </c>
      <c r="D12">
        <v>18</v>
      </c>
      <c r="E12" t="s">
        <v>27973</v>
      </c>
      <c r="F12" t="s">
        <v>28040</v>
      </c>
      <c r="G12" t="s">
        <v>3</v>
      </c>
    </row>
    <row r="13" spans="1:7">
      <c r="A13" t="s">
        <v>27897</v>
      </c>
      <c r="B13" t="s">
        <v>16210</v>
      </c>
      <c r="C13" s="4">
        <v>750000</v>
      </c>
      <c r="D13">
        <v>2.45</v>
      </c>
      <c r="E13" t="s">
        <v>27974</v>
      </c>
      <c r="F13" t="s">
        <v>28041</v>
      </c>
      <c r="G13" t="s">
        <v>3</v>
      </c>
    </row>
    <row r="14" spans="1:7">
      <c r="A14" t="s">
        <v>27898</v>
      </c>
      <c r="B14" t="s">
        <v>16210</v>
      </c>
      <c r="C14" s="4">
        <v>69000</v>
      </c>
      <c r="D14">
        <v>0.25</v>
      </c>
      <c r="E14" t="s">
        <v>27975</v>
      </c>
      <c r="F14" t="s">
        <v>28042</v>
      </c>
      <c r="G14" t="s">
        <v>3</v>
      </c>
    </row>
    <row r="15" spans="1:7">
      <c r="A15" t="s">
        <v>27899</v>
      </c>
      <c r="B15" t="s">
        <v>16212</v>
      </c>
      <c r="C15" s="4">
        <v>500000</v>
      </c>
      <c r="D15">
        <v>0.88</v>
      </c>
      <c r="E15" t="s">
        <v>27976</v>
      </c>
      <c r="F15" t="s">
        <v>28043</v>
      </c>
      <c r="G15" t="s">
        <v>3</v>
      </c>
    </row>
    <row r="16" spans="1:7">
      <c r="A16" t="s">
        <v>27900</v>
      </c>
      <c r="B16" t="s">
        <v>16212</v>
      </c>
      <c r="C16" s="4">
        <v>28000</v>
      </c>
      <c r="D16">
        <v>0.13</v>
      </c>
      <c r="E16" t="s">
        <v>27977</v>
      </c>
      <c r="F16" t="s">
        <v>28044</v>
      </c>
      <c r="G16" t="s">
        <v>3</v>
      </c>
    </row>
    <row r="17" spans="1:7">
      <c r="A17" t="s">
        <v>27901</v>
      </c>
      <c r="B17" t="s">
        <v>16212</v>
      </c>
      <c r="C17" s="4">
        <v>350000</v>
      </c>
      <c r="D17">
        <v>0.25</v>
      </c>
      <c r="E17" t="s">
        <v>27978</v>
      </c>
      <c r="F17" t="s">
        <v>28045</v>
      </c>
      <c r="G17" t="s">
        <v>3</v>
      </c>
    </row>
    <row r="18" spans="1:7">
      <c r="A18" t="s">
        <v>27902</v>
      </c>
      <c r="B18" t="s">
        <v>16212</v>
      </c>
      <c r="C18" s="4">
        <v>179995</v>
      </c>
      <c r="D18">
        <v>0.24</v>
      </c>
      <c r="E18" t="s">
        <v>27979</v>
      </c>
      <c r="F18" t="s">
        <v>28046</v>
      </c>
      <c r="G18" t="s">
        <v>3</v>
      </c>
    </row>
    <row r="19" spans="1:7">
      <c r="A19" t="s">
        <v>27903</v>
      </c>
      <c r="B19" t="s">
        <v>16212</v>
      </c>
      <c r="C19" s="4">
        <v>450000</v>
      </c>
      <c r="D19">
        <v>1.4</v>
      </c>
      <c r="E19" t="s">
        <v>27980</v>
      </c>
      <c r="F19" t="s">
        <v>28042</v>
      </c>
      <c r="G19" t="s">
        <v>3</v>
      </c>
    </row>
    <row r="20" spans="1:7">
      <c r="A20" t="s">
        <v>27904</v>
      </c>
      <c r="B20" t="s">
        <v>16212</v>
      </c>
      <c r="D20">
        <v>1.15</v>
      </c>
      <c r="E20" t="s">
        <v>27981</v>
      </c>
      <c r="F20" t="s">
        <v>28047</v>
      </c>
      <c r="G20" t="s">
        <v>3</v>
      </c>
    </row>
    <row r="21" spans="1:7">
      <c r="A21" t="s">
        <v>27905</v>
      </c>
      <c r="B21" t="s">
        <v>16212</v>
      </c>
      <c r="D21">
        <v>0.5</v>
      </c>
      <c r="E21" t="s">
        <v>27982</v>
      </c>
      <c r="F21" t="s">
        <v>28033</v>
      </c>
      <c r="G21" t="s">
        <v>3</v>
      </c>
    </row>
    <row r="22" spans="1:7">
      <c r="A22" t="s">
        <v>27906</v>
      </c>
      <c r="B22" t="s">
        <v>16199</v>
      </c>
      <c r="D22">
        <v>0.96</v>
      </c>
      <c r="E22" t="s">
        <v>27983</v>
      </c>
      <c r="F22" t="s">
        <v>28048</v>
      </c>
      <c r="G22" t="s">
        <v>3</v>
      </c>
    </row>
    <row r="23" spans="1:7">
      <c r="A23" t="s">
        <v>27907</v>
      </c>
      <c r="B23" t="s">
        <v>16199</v>
      </c>
      <c r="D23">
        <v>2.64</v>
      </c>
      <c r="E23" t="s">
        <v>27984</v>
      </c>
      <c r="F23" t="s">
        <v>28049</v>
      </c>
      <c r="G23" t="s">
        <v>3</v>
      </c>
    </row>
    <row r="24" spans="1:7">
      <c r="A24" t="s">
        <v>27908</v>
      </c>
      <c r="B24" t="s">
        <v>16199</v>
      </c>
      <c r="C24" s="4">
        <v>399900</v>
      </c>
      <c r="D24">
        <v>0.42</v>
      </c>
      <c r="E24" t="s">
        <v>27985</v>
      </c>
      <c r="F24" t="s">
        <v>28050</v>
      </c>
      <c r="G24" t="s">
        <v>3</v>
      </c>
    </row>
    <row r="25" spans="1:7">
      <c r="A25" t="s">
        <v>27909</v>
      </c>
      <c r="B25" t="s">
        <v>16199</v>
      </c>
      <c r="C25" s="4">
        <v>399900</v>
      </c>
      <c r="D25">
        <v>0.82</v>
      </c>
      <c r="E25" t="s">
        <v>27986</v>
      </c>
      <c r="F25" t="s">
        <v>28051</v>
      </c>
      <c r="G25" t="s">
        <v>3</v>
      </c>
    </row>
    <row r="26" spans="1:7">
      <c r="A26" t="s">
        <v>27910</v>
      </c>
      <c r="B26" t="s">
        <v>16199</v>
      </c>
      <c r="C26" s="4">
        <v>175000</v>
      </c>
      <c r="D26">
        <v>0.47</v>
      </c>
      <c r="E26" t="s">
        <v>27987</v>
      </c>
      <c r="F26" t="s">
        <v>28033</v>
      </c>
      <c r="G26" t="s">
        <v>3</v>
      </c>
    </row>
    <row r="27" spans="1:7">
      <c r="A27" t="s">
        <v>27911</v>
      </c>
      <c r="B27" t="s">
        <v>16199</v>
      </c>
      <c r="C27" s="4">
        <v>365000</v>
      </c>
      <c r="D27">
        <v>0.16</v>
      </c>
      <c r="E27" t="s">
        <v>27988</v>
      </c>
      <c r="F27" t="s">
        <v>28052</v>
      </c>
      <c r="G27" t="s">
        <v>3</v>
      </c>
    </row>
    <row r="28" spans="1:7">
      <c r="A28" t="s">
        <v>27912</v>
      </c>
      <c r="B28" t="s">
        <v>16199</v>
      </c>
      <c r="C28" s="4">
        <v>385000</v>
      </c>
      <c r="D28">
        <v>0.19</v>
      </c>
      <c r="E28" t="s">
        <v>27989</v>
      </c>
      <c r="F28" t="s">
        <v>28052</v>
      </c>
      <c r="G28" t="s">
        <v>3</v>
      </c>
    </row>
    <row r="29" spans="1:7">
      <c r="A29" t="s">
        <v>27913</v>
      </c>
      <c r="B29" t="s">
        <v>16209</v>
      </c>
      <c r="C29" s="4">
        <v>499000</v>
      </c>
      <c r="D29">
        <v>0.41</v>
      </c>
      <c r="E29" t="s">
        <v>27990</v>
      </c>
      <c r="F29" t="s">
        <v>28053</v>
      </c>
      <c r="G29" t="s">
        <v>3</v>
      </c>
    </row>
    <row r="30" spans="1:7">
      <c r="A30" t="s">
        <v>27914</v>
      </c>
      <c r="B30" t="s">
        <v>16209</v>
      </c>
      <c r="C30" s="4">
        <v>300000</v>
      </c>
      <c r="D30">
        <v>0.46</v>
      </c>
      <c r="E30" t="s">
        <v>27991</v>
      </c>
      <c r="F30" t="s">
        <v>28054</v>
      </c>
      <c r="G30" t="s">
        <v>3</v>
      </c>
    </row>
    <row r="31" spans="1:7">
      <c r="A31" t="s">
        <v>27915</v>
      </c>
      <c r="B31" t="s">
        <v>16209</v>
      </c>
      <c r="C31" s="4">
        <v>80000</v>
      </c>
      <c r="D31">
        <v>0.15</v>
      </c>
      <c r="E31" t="s">
        <v>27991</v>
      </c>
      <c r="F31" t="s">
        <v>28055</v>
      </c>
      <c r="G31" t="s">
        <v>3</v>
      </c>
    </row>
    <row r="32" spans="1:7">
      <c r="A32" t="s">
        <v>27916</v>
      </c>
      <c r="B32" t="s">
        <v>16206</v>
      </c>
      <c r="C32" s="4">
        <v>3995034</v>
      </c>
      <c r="D32">
        <v>6.5</v>
      </c>
      <c r="E32" t="s">
        <v>27992</v>
      </c>
      <c r="F32" t="s">
        <v>28056</v>
      </c>
      <c r="G32" t="s">
        <v>3</v>
      </c>
    </row>
    <row r="33" spans="1:7">
      <c r="A33" t="s">
        <v>27917</v>
      </c>
      <c r="B33" t="s">
        <v>16206</v>
      </c>
      <c r="C33" s="4">
        <v>1490000</v>
      </c>
      <c r="D33">
        <v>3.3</v>
      </c>
      <c r="E33" t="s">
        <v>27993</v>
      </c>
      <c r="F33" t="s">
        <v>28057</v>
      </c>
      <c r="G33" t="s">
        <v>3</v>
      </c>
    </row>
    <row r="34" spans="1:7">
      <c r="A34" t="s">
        <v>27918</v>
      </c>
      <c r="B34" t="s">
        <v>16206</v>
      </c>
      <c r="C34" s="4">
        <v>3750000</v>
      </c>
      <c r="D34">
        <v>5.25</v>
      </c>
      <c r="E34" t="s">
        <v>27994</v>
      </c>
      <c r="F34" t="s">
        <v>28058</v>
      </c>
      <c r="G34" t="s">
        <v>3</v>
      </c>
    </row>
    <row r="35" spans="1:7">
      <c r="A35" t="s">
        <v>27919</v>
      </c>
      <c r="B35" t="s">
        <v>16206</v>
      </c>
      <c r="C35" s="4">
        <v>275000</v>
      </c>
      <c r="D35">
        <v>1.23</v>
      </c>
      <c r="E35" t="s">
        <v>27995</v>
      </c>
      <c r="F35" t="s">
        <v>28059</v>
      </c>
      <c r="G35" t="s">
        <v>3</v>
      </c>
    </row>
    <row r="36" spans="1:7">
      <c r="A36" t="s">
        <v>27920</v>
      </c>
      <c r="B36" t="s">
        <v>16206</v>
      </c>
      <c r="C36" s="4">
        <v>290000</v>
      </c>
      <c r="D36">
        <v>0.27</v>
      </c>
      <c r="E36" t="s">
        <v>27996</v>
      </c>
      <c r="F36" t="s">
        <v>28060</v>
      </c>
      <c r="G36" t="s">
        <v>3</v>
      </c>
    </row>
    <row r="37" spans="1:7">
      <c r="A37" t="s">
        <v>27921</v>
      </c>
      <c r="B37" t="s">
        <v>16206</v>
      </c>
      <c r="C37" s="4">
        <v>290000</v>
      </c>
      <c r="D37">
        <v>0.27</v>
      </c>
      <c r="E37" t="s">
        <v>27996</v>
      </c>
      <c r="F37" t="s">
        <v>28060</v>
      </c>
      <c r="G37" t="s">
        <v>3</v>
      </c>
    </row>
    <row r="38" spans="1:7">
      <c r="A38" t="s">
        <v>27922</v>
      </c>
      <c r="B38" t="s">
        <v>16204</v>
      </c>
      <c r="C38" s="4">
        <v>49900</v>
      </c>
      <c r="D38">
        <v>0.3</v>
      </c>
      <c r="E38" t="s">
        <v>27997</v>
      </c>
      <c r="F38" t="s">
        <v>28061</v>
      </c>
      <c r="G38" t="s">
        <v>3</v>
      </c>
    </row>
    <row r="39" spans="1:7">
      <c r="A39" t="s">
        <v>27923</v>
      </c>
      <c r="B39" t="s">
        <v>16204</v>
      </c>
      <c r="C39" s="4">
        <v>65000</v>
      </c>
      <c r="E39" t="s">
        <v>27997</v>
      </c>
      <c r="F39" t="s">
        <v>28062</v>
      </c>
      <c r="G39" t="s">
        <v>3</v>
      </c>
    </row>
    <row r="40" spans="1:7">
      <c r="A40" t="s">
        <v>27924</v>
      </c>
      <c r="B40" t="s">
        <v>16204</v>
      </c>
      <c r="D40">
        <v>0.46</v>
      </c>
      <c r="E40" t="s">
        <v>27998</v>
      </c>
      <c r="F40" t="s">
        <v>28063</v>
      </c>
      <c r="G40" t="s">
        <v>3</v>
      </c>
    </row>
    <row r="41" spans="1:7">
      <c r="A41" t="s">
        <v>27925</v>
      </c>
      <c r="B41" t="s">
        <v>16196</v>
      </c>
      <c r="C41" s="4">
        <v>345000</v>
      </c>
      <c r="D41">
        <v>2.3</v>
      </c>
      <c r="E41" t="s">
        <v>27999</v>
      </c>
      <c r="F41" t="s">
        <v>28033</v>
      </c>
      <c r="G41" t="s">
        <v>3</v>
      </c>
    </row>
    <row r="42" spans="1:7">
      <c r="A42" t="s">
        <v>27926</v>
      </c>
      <c r="B42" t="s">
        <v>16196</v>
      </c>
      <c r="C42" s="4">
        <v>2500000</v>
      </c>
      <c r="D42">
        <v>4.7</v>
      </c>
      <c r="E42" t="s">
        <v>28000</v>
      </c>
      <c r="F42" t="s">
        <v>28064</v>
      </c>
      <c r="G42" t="s">
        <v>556</v>
      </c>
    </row>
    <row r="43" spans="1:7">
      <c r="A43" t="s">
        <v>27927</v>
      </c>
      <c r="B43" t="s">
        <v>16196</v>
      </c>
      <c r="C43" s="4">
        <v>220000</v>
      </c>
      <c r="D43">
        <v>0.75</v>
      </c>
      <c r="E43" t="s">
        <v>28001</v>
      </c>
      <c r="F43" t="s">
        <v>28041</v>
      </c>
      <c r="G43" t="s">
        <v>260</v>
      </c>
    </row>
    <row r="44" spans="1:7">
      <c r="A44" t="s">
        <v>27928</v>
      </c>
      <c r="B44" t="s">
        <v>16211</v>
      </c>
      <c r="D44">
        <v>1.79</v>
      </c>
      <c r="E44" t="s">
        <v>28002</v>
      </c>
      <c r="F44" t="s">
        <v>28065</v>
      </c>
      <c r="G44" t="s">
        <v>3</v>
      </c>
    </row>
    <row r="45" spans="1:7">
      <c r="A45" t="s">
        <v>27929</v>
      </c>
      <c r="B45" t="s">
        <v>16211</v>
      </c>
      <c r="C45" s="4">
        <v>399500</v>
      </c>
      <c r="D45">
        <v>0.17</v>
      </c>
      <c r="E45" t="s">
        <v>28003</v>
      </c>
      <c r="F45" t="s">
        <v>28066</v>
      </c>
      <c r="G45" t="s">
        <v>3</v>
      </c>
    </row>
    <row r="46" spans="1:7">
      <c r="A46" t="s">
        <v>27930</v>
      </c>
      <c r="B46" t="s">
        <v>16211</v>
      </c>
      <c r="C46" s="4">
        <v>399500</v>
      </c>
      <c r="D46">
        <v>0.17</v>
      </c>
      <c r="E46" t="s">
        <v>28004</v>
      </c>
      <c r="F46" t="s">
        <v>28066</v>
      </c>
      <c r="G46" t="s">
        <v>3</v>
      </c>
    </row>
    <row r="47" spans="1:7">
      <c r="A47" t="s">
        <v>27931</v>
      </c>
      <c r="B47" t="s">
        <v>16211</v>
      </c>
      <c r="C47" s="4">
        <v>299000</v>
      </c>
      <c r="D47">
        <v>0.21</v>
      </c>
      <c r="E47" t="s">
        <v>28005</v>
      </c>
      <c r="F47" t="s">
        <v>28067</v>
      </c>
      <c r="G47" t="s">
        <v>3</v>
      </c>
    </row>
    <row r="48" spans="1:7">
      <c r="A48" t="s">
        <v>27932</v>
      </c>
      <c r="B48" t="s">
        <v>16211</v>
      </c>
      <c r="C48" s="4">
        <v>150000</v>
      </c>
      <c r="E48" t="s">
        <v>28006</v>
      </c>
      <c r="F48" t="s">
        <v>28066</v>
      </c>
      <c r="G48" t="s">
        <v>3</v>
      </c>
    </row>
    <row r="49" spans="1:7">
      <c r="A49" t="s">
        <v>27933</v>
      </c>
      <c r="B49" t="s">
        <v>16211</v>
      </c>
      <c r="C49" s="4">
        <v>235000</v>
      </c>
      <c r="D49">
        <v>0.2</v>
      </c>
      <c r="E49" t="s">
        <v>28007</v>
      </c>
      <c r="F49" t="s">
        <v>28062</v>
      </c>
      <c r="G49" t="s">
        <v>3</v>
      </c>
    </row>
    <row r="50" spans="1:7">
      <c r="A50" t="s">
        <v>27934</v>
      </c>
      <c r="B50" t="s">
        <v>16211</v>
      </c>
      <c r="C50" s="4">
        <v>825000</v>
      </c>
      <c r="D50">
        <v>2.13</v>
      </c>
      <c r="E50" t="s">
        <v>28008</v>
      </c>
      <c r="F50" t="s">
        <v>28068</v>
      </c>
      <c r="G50" t="s">
        <v>3</v>
      </c>
    </row>
    <row r="51" spans="1:7">
      <c r="A51" t="s">
        <v>27935</v>
      </c>
      <c r="B51" t="s">
        <v>16197</v>
      </c>
      <c r="C51" s="4">
        <v>2000000</v>
      </c>
      <c r="D51">
        <v>4.47</v>
      </c>
      <c r="E51" t="s">
        <v>28009</v>
      </c>
      <c r="F51" t="s">
        <v>28069</v>
      </c>
      <c r="G51" t="s">
        <v>3</v>
      </c>
    </row>
    <row r="52" spans="1:7">
      <c r="A52" t="s">
        <v>27936</v>
      </c>
      <c r="B52" t="s">
        <v>16200</v>
      </c>
      <c r="C52" s="4">
        <v>259900</v>
      </c>
      <c r="D52">
        <v>0.33</v>
      </c>
      <c r="E52" t="s">
        <v>28010</v>
      </c>
      <c r="F52" t="s">
        <v>28070</v>
      </c>
      <c r="G52" t="s">
        <v>3</v>
      </c>
    </row>
    <row r="53" spans="1:7">
      <c r="A53" t="s">
        <v>27937</v>
      </c>
      <c r="B53" t="s">
        <v>16200</v>
      </c>
      <c r="C53" s="4">
        <v>524900</v>
      </c>
      <c r="D53">
        <v>0.19</v>
      </c>
      <c r="E53" t="s">
        <v>28011</v>
      </c>
      <c r="F53" t="s">
        <v>28071</v>
      </c>
      <c r="G53" t="s">
        <v>3</v>
      </c>
    </row>
    <row r="54" spans="1:7">
      <c r="A54" t="s">
        <v>27938</v>
      </c>
      <c r="B54" t="s">
        <v>16200</v>
      </c>
      <c r="C54" s="4">
        <v>749900</v>
      </c>
      <c r="D54">
        <v>0.26</v>
      </c>
      <c r="E54" t="s">
        <v>28012</v>
      </c>
      <c r="F54" t="s">
        <v>28033</v>
      </c>
      <c r="G54" t="s">
        <v>3</v>
      </c>
    </row>
    <row r="55" spans="1:7">
      <c r="A55" t="s">
        <v>27939</v>
      </c>
      <c r="B55" t="s">
        <v>16200</v>
      </c>
      <c r="C55" s="4">
        <v>375000</v>
      </c>
      <c r="E55" t="s">
        <v>28010</v>
      </c>
      <c r="F55" t="s">
        <v>28072</v>
      </c>
      <c r="G55" t="s">
        <v>3</v>
      </c>
    </row>
    <row r="56" spans="1:7">
      <c r="A56" t="s">
        <v>27940</v>
      </c>
      <c r="B56" t="s">
        <v>16200</v>
      </c>
      <c r="C56" s="4">
        <v>475000</v>
      </c>
      <c r="E56" t="s">
        <v>28010</v>
      </c>
      <c r="F56" t="s">
        <v>28073</v>
      </c>
      <c r="G56" t="s">
        <v>3</v>
      </c>
    </row>
    <row r="57" spans="1:7">
      <c r="A57" t="s">
        <v>27941</v>
      </c>
      <c r="B57" t="s">
        <v>16200</v>
      </c>
      <c r="C57" s="4">
        <v>520000</v>
      </c>
      <c r="E57" t="s">
        <v>28010</v>
      </c>
      <c r="F57" t="s">
        <v>28074</v>
      </c>
      <c r="G57" t="s">
        <v>3</v>
      </c>
    </row>
    <row r="58" spans="1:7">
      <c r="A58" t="s">
        <v>27942</v>
      </c>
      <c r="B58" t="s">
        <v>16200</v>
      </c>
      <c r="E58" t="s">
        <v>28013</v>
      </c>
      <c r="F58" t="s">
        <v>28049</v>
      </c>
      <c r="G58" t="s">
        <v>3</v>
      </c>
    </row>
    <row r="59" spans="1:7">
      <c r="A59" t="s">
        <v>27943</v>
      </c>
      <c r="B59" t="s">
        <v>16205</v>
      </c>
      <c r="C59" s="4">
        <v>229000</v>
      </c>
      <c r="D59">
        <v>0.24</v>
      </c>
      <c r="E59" t="s">
        <v>28014</v>
      </c>
      <c r="F59" t="s">
        <v>28075</v>
      </c>
      <c r="G59" t="s">
        <v>3</v>
      </c>
    </row>
    <row r="60" spans="1:7">
      <c r="A60" t="s">
        <v>27944</v>
      </c>
      <c r="B60" t="s">
        <v>16205</v>
      </c>
      <c r="C60" s="4">
        <v>259000</v>
      </c>
      <c r="D60">
        <v>0.18</v>
      </c>
      <c r="E60" t="s">
        <v>28015</v>
      </c>
      <c r="F60" t="s">
        <v>28062</v>
      </c>
      <c r="G60" t="s">
        <v>3</v>
      </c>
    </row>
    <row r="61" spans="1:7">
      <c r="A61" t="s">
        <v>27945</v>
      </c>
      <c r="B61" t="s">
        <v>16205</v>
      </c>
      <c r="C61" s="4">
        <v>180000</v>
      </c>
      <c r="D61">
        <v>0.38</v>
      </c>
      <c r="E61" t="s">
        <v>28015</v>
      </c>
      <c r="F61" t="s">
        <v>28076</v>
      </c>
      <c r="G61" t="s">
        <v>3</v>
      </c>
    </row>
    <row r="62" spans="1:7">
      <c r="A62" t="s">
        <v>27946</v>
      </c>
      <c r="B62" t="s">
        <v>16205</v>
      </c>
      <c r="C62" s="4">
        <v>250000</v>
      </c>
      <c r="D62">
        <v>0.45</v>
      </c>
      <c r="E62" t="s">
        <v>28016</v>
      </c>
      <c r="F62" t="s">
        <v>28067</v>
      </c>
      <c r="G62" t="s">
        <v>3</v>
      </c>
    </row>
    <row r="63" spans="1:7">
      <c r="A63" t="s">
        <v>27947</v>
      </c>
      <c r="B63" t="s">
        <v>16205</v>
      </c>
      <c r="C63" s="4">
        <v>995000</v>
      </c>
      <c r="D63">
        <v>1.3</v>
      </c>
      <c r="E63" t="s">
        <v>28017</v>
      </c>
      <c r="F63" t="s">
        <v>28077</v>
      </c>
      <c r="G63" t="s">
        <v>3</v>
      </c>
    </row>
    <row r="64" spans="1:7">
      <c r="A64" t="s">
        <v>27948</v>
      </c>
      <c r="B64" t="s">
        <v>16201</v>
      </c>
      <c r="C64" s="4">
        <v>500000</v>
      </c>
      <c r="D64">
        <v>1.52</v>
      </c>
      <c r="E64" t="s">
        <v>28018</v>
      </c>
      <c r="F64" t="s">
        <v>28078</v>
      </c>
      <c r="G64" t="s">
        <v>3</v>
      </c>
    </row>
    <row r="65" spans="1:7">
      <c r="A65" t="s">
        <v>27949</v>
      </c>
      <c r="B65" t="s">
        <v>16201</v>
      </c>
      <c r="C65" s="4">
        <v>530000</v>
      </c>
      <c r="D65">
        <v>0.48</v>
      </c>
      <c r="E65" t="s">
        <v>28019</v>
      </c>
      <c r="F65" t="s">
        <v>28079</v>
      </c>
      <c r="G65" t="s">
        <v>3</v>
      </c>
    </row>
    <row r="66" spans="1:7">
      <c r="A66" t="s">
        <v>27950</v>
      </c>
      <c r="B66" t="s">
        <v>16201</v>
      </c>
      <c r="C66" s="4">
        <v>2000000</v>
      </c>
      <c r="D66">
        <v>0.93</v>
      </c>
      <c r="E66" t="s">
        <v>28020</v>
      </c>
      <c r="F66" t="s">
        <v>28080</v>
      </c>
      <c r="G66" t="s">
        <v>3</v>
      </c>
    </row>
    <row r="67" spans="1:7">
      <c r="A67" t="s">
        <v>27951</v>
      </c>
      <c r="B67" t="s">
        <v>16201</v>
      </c>
      <c r="C67" s="4">
        <v>1600000</v>
      </c>
      <c r="D67">
        <v>3</v>
      </c>
      <c r="E67" t="s">
        <v>28021</v>
      </c>
      <c r="F67" t="s">
        <v>28081</v>
      </c>
      <c r="G67" t="s">
        <v>3</v>
      </c>
    </row>
    <row r="68" spans="1:7">
      <c r="A68" t="s">
        <v>27952</v>
      </c>
      <c r="B68" t="s">
        <v>16201</v>
      </c>
      <c r="D68">
        <v>2.32</v>
      </c>
      <c r="E68" t="s">
        <v>28022</v>
      </c>
      <c r="F68" t="s">
        <v>28082</v>
      </c>
      <c r="G68" t="s">
        <v>3</v>
      </c>
    </row>
    <row r="69" spans="1:7">
      <c r="A69" t="s">
        <v>27953</v>
      </c>
      <c r="B69" t="s">
        <v>16207</v>
      </c>
      <c r="C69" s="4">
        <v>785000</v>
      </c>
      <c r="D69">
        <v>3.85</v>
      </c>
      <c r="E69" t="s">
        <v>28023</v>
      </c>
      <c r="F69" t="s">
        <v>28083</v>
      </c>
      <c r="G69" t="s">
        <v>3</v>
      </c>
    </row>
    <row r="70" spans="1:7">
      <c r="A70" t="s">
        <v>27954</v>
      </c>
      <c r="B70" t="s">
        <v>16207</v>
      </c>
      <c r="C70" s="4">
        <v>495000</v>
      </c>
      <c r="D70">
        <v>1.2</v>
      </c>
      <c r="E70" t="s">
        <v>28024</v>
      </c>
      <c r="F70" t="s">
        <v>16272</v>
      </c>
      <c r="G70" t="s">
        <v>3</v>
      </c>
    </row>
    <row r="71" spans="1:7">
      <c r="A71" t="s">
        <v>27955</v>
      </c>
      <c r="B71" t="s">
        <v>16207</v>
      </c>
      <c r="C71" s="4">
        <v>2025000</v>
      </c>
      <c r="D71">
        <v>3</v>
      </c>
      <c r="E71" t="s">
        <v>28024</v>
      </c>
      <c r="F71" t="s">
        <v>28084</v>
      </c>
      <c r="G71" t="s">
        <v>3</v>
      </c>
    </row>
    <row r="72" spans="1:7">
      <c r="A72" t="s">
        <v>27956</v>
      </c>
      <c r="B72" t="s">
        <v>16207</v>
      </c>
      <c r="C72" s="4">
        <v>99500</v>
      </c>
      <c r="D72">
        <v>0.16</v>
      </c>
      <c r="E72" t="s">
        <v>28025</v>
      </c>
      <c r="F72" t="s">
        <v>28062</v>
      </c>
      <c r="G72" t="s">
        <v>3</v>
      </c>
    </row>
    <row r="73" spans="1:7">
      <c r="A73" t="s">
        <v>27957</v>
      </c>
      <c r="B73" t="s">
        <v>16207</v>
      </c>
      <c r="C73" s="4">
        <v>439000</v>
      </c>
      <c r="E73" t="s">
        <v>28026</v>
      </c>
      <c r="F73" t="s">
        <v>28085</v>
      </c>
      <c r="G73" t="s">
        <v>3</v>
      </c>
    </row>
    <row r="74" spans="1:7">
      <c r="A74" t="s">
        <v>27958</v>
      </c>
      <c r="B74" t="s">
        <v>16213</v>
      </c>
      <c r="C74" s="4">
        <v>245000</v>
      </c>
      <c r="D74">
        <v>0.27</v>
      </c>
      <c r="E74" t="s">
        <v>28027</v>
      </c>
      <c r="F74" t="s">
        <v>28086</v>
      </c>
      <c r="G74" t="s">
        <v>3</v>
      </c>
    </row>
    <row r="75" spans="1:7">
      <c r="A75" t="s">
        <v>27959</v>
      </c>
      <c r="B75" t="s">
        <v>16198</v>
      </c>
      <c r="C75" s="4">
        <v>509000</v>
      </c>
      <c r="D75">
        <v>0.3</v>
      </c>
      <c r="E75" t="s">
        <v>28028</v>
      </c>
      <c r="F75" t="s">
        <v>28087</v>
      </c>
      <c r="G75" t="s">
        <v>3</v>
      </c>
    </row>
  </sheetData>
  <autoFilter ref="A1:G75"/>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3"/>
  <sheetViews>
    <sheetView workbookViewId="0">
      <pane ySplit="1" topLeftCell="A2" activePane="bottomLeft" state="frozen"/>
      <selection pane="bottomLeft"/>
    </sheetView>
  </sheetViews>
  <sheetFormatPr defaultRowHeight="15"/>
  <cols>
    <col min="1" max="1" width="18.7109375" customWidth="1"/>
    <col min="2" max="2" width="25.7109375" customWidth="1"/>
    <col min="3" max="3" width="42.7109375" customWidth="1"/>
    <col min="4" max="4" width="10.7109375" customWidth="1"/>
    <col min="5" max="5" width="60.7109375" customWidth="1"/>
  </cols>
  <sheetData>
    <row r="1" spans="1:5">
      <c r="A1" s="1" t="s">
        <v>16192</v>
      </c>
      <c r="B1" s="1" t="s">
        <v>28093</v>
      </c>
      <c r="C1" s="1" t="s">
        <v>28098</v>
      </c>
      <c r="D1" s="1" t="s">
        <v>28099</v>
      </c>
      <c r="E1" s="1" t="s">
        <v>28100</v>
      </c>
    </row>
    <row r="2" spans="1:5">
      <c r="A2" t="s">
        <v>16208</v>
      </c>
      <c r="B2" t="s">
        <v>16230</v>
      </c>
      <c r="C2" t="s">
        <v>16221</v>
      </c>
      <c r="D2" t="s">
        <v>16386</v>
      </c>
      <c r="E2" t="s">
        <v>16357</v>
      </c>
    </row>
    <row r="3" spans="1:5">
      <c r="A3" t="s">
        <v>16208</v>
      </c>
      <c r="B3" t="s">
        <v>16231</v>
      </c>
      <c r="C3" t="s">
        <v>16220</v>
      </c>
      <c r="D3" t="s">
        <v>16386</v>
      </c>
      <c r="E3" t="s">
        <v>16356</v>
      </c>
    </row>
    <row r="4" spans="1:5">
      <c r="A4" t="s">
        <v>16208</v>
      </c>
      <c r="B4" t="s">
        <v>16289</v>
      </c>
      <c r="C4" t="s">
        <v>16220</v>
      </c>
      <c r="D4" t="s">
        <v>16386</v>
      </c>
      <c r="E4" t="s">
        <v>16356</v>
      </c>
    </row>
    <row r="5" spans="1:5">
      <c r="A5" t="s">
        <v>16193</v>
      </c>
      <c r="B5" t="s">
        <v>16250</v>
      </c>
      <c r="C5" t="s">
        <v>16220</v>
      </c>
      <c r="D5" t="s">
        <v>16385</v>
      </c>
      <c r="E5" t="s">
        <v>16305</v>
      </c>
    </row>
    <row r="6" spans="1:5">
      <c r="A6" t="s">
        <v>16193</v>
      </c>
      <c r="B6" t="s">
        <v>16249</v>
      </c>
      <c r="C6" t="s">
        <v>16220</v>
      </c>
      <c r="D6" t="s">
        <v>16385</v>
      </c>
      <c r="E6" t="s">
        <v>16306</v>
      </c>
    </row>
    <row r="7" spans="1:5">
      <c r="A7" t="s">
        <v>16194</v>
      </c>
      <c r="B7" t="s">
        <v>16226</v>
      </c>
      <c r="C7" t="s">
        <v>16221</v>
      </c>
      <c r="D7" t="s">
        <v>16386</v>
      </c>
      <c r="E7" t="s">
        <v>16307</v>
      </c>
    </row>
    <row r="8" spans="1:5">
      <c r="A8" t="s">
        <v>16194</v>
      </c>
      <c r="B8" t="s">
        <v>28094</v>
      </c>
      <c r="C8" t="s">
        <v>16220</v>
      </c>
      <c r="D8" t="s">
        <v>16386</v>
      </c>
      <c r="E8" t="s">
        <v>28101</v>
      </c>
    </row>
    <row r="9" spans="1:5">
      <c r="A9" t="s">
        <v>16194</v>
      </c>
      <c r="B9" t="s">
        <v>16287</v>
      </c>
      <c r="C9" t="s">
        <v>16222</v>
      </c>
      <c r="D9" t="s">
        <v>16387</v>
      </c>
      <c r="E9" t="s">
        <v>28102</v>
      </c>
    </row>
    <row r="10" spans="1:5">
      <c r="A10" t="s">
        <v>16195</v>
      </c>
      <c r="B10" t="s">
        <v>16230</v>
      </c>
      <c r="C10" t="s">
        <v>16220</v>
      </c>
      <c r="D10" t="s">
        <v>16385</v>
      </c>
      <c r="E10" t="s">
        <v>16310</v>
      </c>
    </row>
    <row r="11" spans="1:5">
      <c r="A11" t="s">
        <v>16195</v>
      </c>
      <c r="B11" t="s">
        <v>16231</v>
      </c>
      <c r="C11" t="s">
        <v>16220</v>
      </c>
      <c r="D11" t="s">
        <v>16385</v>
      </c>
      <c r="E11" t="s">
        <v>16310</v>
      </c>
    </row>
    <row r="12" spans="1:5">
      <c r="A12" t="s">
        <v>16195</v>
      </c>
      <c r="B12" t="s">
        <v>16229</v>
      </c>
      <c r="C12" t="s">
        <v>16222</v>
      </c>
      <c r="D12" t="s">
        <v>16385</v>
      </c>
      <c r="E12" t="s">
        <v>16309</v>
      </c>
    </row>
    <row r="13" spans="1:5">
      <c r="A13" t="s">
        <v>16195</v>
      </c>
      <c r="B13" t="s">
        <v>16228</v>
      </c>
      <c r="C13" t="s">
        <v>16222</v>
      </c>
      <c r="D13" t="s">
        <v>16385</v>
      </c>
      <c r="E13" t="s">
        <v>16308</v>
      </c>
    </row>
    <row r="14" spans="1:5">
      <c r="A14" t="s">
        <v>16196</v>
      </c>
      <c r="B14" t="s">
        <v>16241</v>
      </c>
      <c r="C14" t="s">
        <v>16221</v>
      </c>
      <c r="D14" t="s">
        <v>16385</v>
      </c>
      <c r="E14" t="s">
        <v>16313</v>
      </c>
    </row>
    <row r="15" spans="1:5">
      <c r="A15" t="s">
        <v>16196</v>
      </c>
      <c r="B15" t="s">
        <v>16238</v>
      </c>
      <c r="C15" t="s">
        <v>16220</v>
      </c>
      <c r="D15" t="s">
        <v>16385</v>
      </c>
      <c r="E15" t="s">
        <v>16312</v>
      </c>
    </row>
    <row r="16" spans="1:5">
      <c r="A16" t="s">
        <v>16196</v>
      </c>
      <c r="B16" t="s">
        <v>16230</v>
      </c>
      <c r="C16" t="s">
        <v>16220</v>
      </c>
      <c r="D16" t="s">
        <v>16385</v>
      </c>
      <c r="E16" t="s">
        <v>28103</v>
      </c>
    </row>
    <row r="17" spans="1:5">
      <c r="A17" t="s">
        <v>16196</v>
      </c>
      <c r="B17" t="s">
        <v>16232</v>
      </c>
      <c r="C17" t="s">
        <v>16222</v>
      </c>
      <c r="D17" t="s">
        <v>16387</v>
      </c>
      <c r="E17" t="s">
        <v>16311</v>
      </c>
    </row>
    <row r="18" spans="1:5">
      <c r="A18" t="s">
        <v>28090</v>
      </c>
      <c r="B18" t="s">
        <v>16230</v>
      </c>
      <c r="C18" t="s">
        <v>16221</v>
      </c>
      <c r="D18" t="s">
        <v>16385</v>
      </c>
      <c r="E18" t="s">
        <v>28104</v>
      </c>
    </row>
    <row r="19" spans="1:5">
      <c r="A19" t="s">
        <v>28090</v>
      </c>
      <c r="B19" t="s">
        <v>16231</v>
      </c>
      <c r="C19" t="s">
        <v>16220</v>
      </c>
      <c r="D19" t="s">
        <v>16385</v>
      </c>
      <c r="E19" t="s">
        <v>28105</v>
      </c>
    </row>
    <row r="20" spans="1:5">
      <c r="A20" t="s">
        <v>16197</v>
      </c>
      <c r="B20" t="s">
        <v>16238</v>
      </c>
      <c r="C20" t="s">
        <v>16220</v>
      </c>
      <c r="D20" t="s">
        <v>16385</v>
      </c>
      <c r="E20" t="s">
        <v>16314</v>
      </c>
    </row>
    <row r="21" spans="1:5">
      <c r="A21" t="s">
        <v>16197</v>
      </c>
      <c r="B21" t="s">
        <v>16287</v>
      </c>
      <c r="C21" t="s">
        <v>16222</v>
      </c>
      <c r="D21" t="s">
        <v>16385</v>
      </c>
      <c r="E21" t="s">
        <v>28106</v>
      </c>
    </row>
    <row r="22" spans="1:5">
      <c r="A22" t="s">
        <v>26</v>
      </c>
      <c r="B22" t="s">
        <v>16303</v>
      </c>
      <c r="C22" t="s">
        <v>16220</v>
      </c>
      <c r="D22" t="s">
        <v>16385</v>
      </c>
      <c r="E22" t="s">
        <v>16316</v>
      </c>
    </row>
    <row r="23" spans="1:5">
      <c r="A23" t="s">
        <v>26</v>
      </c>
      <c r="B23" t="s">
        <v>28095</v>
      </c>
      <c r="C23" t="s">
        <v>16222</v>
      </c>
      <c r="D23" t="s">
        <v>16385</v>
      </c>
      <c r="E23" t="s">
        <v>28107</v>
      </c>
    </row>
    <row r="24" spans="1:5">
      <c r="A24" t="s">
        <v>26</v>
      </c>
      <c r="B24" t="s">
        <v>28096</v>
      </c>
      <c r="C24" t="s">
        <v>16222</v>
      </c>
      <c r="D24" t="s">
        <v>16385</v>
      </c>
      <c r="E24" t="s">
        <v>28108</v>
      </c>
    </row>
    <row r="25" spans="1:5">
      <c r="A25" t="s">
        <v>26</v>
      </c>
      <c r="B25" t="s">
        <v>16302</v>
      </c>
      <c r="C25" t="s">
        <v>16222</v>
      </c>
      <c r="D25" t="s">
        <v>16387</v>
      </c>
      <c r="E25" t="s">
        <v>16315</v>
      </c>
    </row>
    <row r="26" spans="1:5">
      <c r="A26" t="s">
        <v>16198</v>
      </c>
      <c r="B26" t="s">
        <v>16241</v>
      </c>
      <c r="C26" t="s">
        <v>16221</v>
      </c>
      <c r="D26" t="s">
        <v>16385</v>
      </c>
      <c r="E26" t="s">
        <v>16317</v>
      </c>
    </row>
    <row r="27" spans="1:5">
      <c r="A27" t="s">
        <v>16199</v>
      </c>
      <c r="B27" t="s">
        <v>16250</v>
      </c>
      <c r="C27" t="s">
        <v>16221</v>
      </c>
      <c r="D27" t="s">
        <v>16385</v>
      </c>
      <c r="E27" t="s">
        <v>16326</v>
      </c>
    </row>
    <row r="28" spans="1:5">
      <c r="A28" t="s">
        <v>16199</v>
      </c>
      <c r="B28" t="s">
        <v>16249</v>
      </c>
      <c r="C28" t="s">
        <v>16221</v>
      </c>
      <c r="D28" t="s">
        <v>16385</v>
      </c>
      <c r="E28" t="s">
        <v>16325</v>
      </c>
    </row>
    <row r="29" spans="1:5">
      <c r="A29" t="s">
        <v>16199</v>
      </c>
      <c r="B29" t="s">
        <v>16248</v>
      </c>
      <c r="C29" t="s">
        <v>16220</v>
      </c>
      <c r="D29" t="s">
        <v>16387</v>
      </c>
      <c r="E29" t="s">
        <v>16324</v>
      </c>
    </row>
    <row r="30" spans="1:5">
      <c r="A30" t="s">
        <v>16199</v>
      </c>
      <c r="B30" t="s">
        <v>16243</v>
      </c>
      <c r="C30" t="s">
        <v>16222</v>
      </c>
      <c r="D30" t="s">
        <v>16387</v>
      </c>
      <c r="E30" t="s">
        <v>16319</v>
      </c>
    </row>
    <row r="31" spans="1:5">
      <c r="A31" t="s">
        <v>16199</v>
      </c>
      <c r="B31" t="s">
        <v>16246</v>
      </c>
      <c r="C31" t="s">
        <v>16222</v>
      </c>
      <c r="D31" t="s">
        <v>16387</v>
      </c>
      <c r="E31" t="s">
        <v>16322</v>
      </c>
    </row>
    <row r="32" spans="1:5">
      <c r="A32" t="s">
        <v>16199</v>
      </c>
      <c r="B32" t="s">
        <v>16242</v>
      </c>
      <c r="C32" t="s">
        <v>16222</v>
      </c>
      <c r="D32" t="s">
        <v>16387</v>
      </c>
      <c r="E32" t="s">
        <v>16318</v>
      </c>
    </row>
    <row r="33" spans="1:5">
      <c r="A33" t="s">
        <v>16199</v>
      </c>
      <c r="B33" t="s">
        <v>16247</v>
      </c>
      <c r="C33" t="s">
        <v>16222</v>
      </c>
      <c r="D33" t="s">
        <v>16387</v>
      </c>
      <c r="E33" t="s">
        <v>16323</v>
      </c>
    </row>
    <row r="34" spans="1:5">
      <c r="A34" t="s">
        <v>16199</v>
      </c>
      <c r="B34" t="s">
        <v>16245</v>
      </c>
      <c r="C34" t="s">
        <v>16222</v>
      </c>
      <c r="D34" t="s">
        <v>16387</v>
      </c>
      <c r="E34" t="s">
        <v>16321</v>
      </c>
    </row>
    <row r="35" spans="1:5">
      <c r="A35" t="s">
        <v>16199</v>
      </c>
      <c r="B35" t="s">
        <v>16244</v>
      </c>
      <c r="C35" t="s">
        <v>16222</v>
      </c>
      <c r="D35" t="s">
        <v>16387</v>
      </c>
      <c r="E35" t="s">
        <v>16320</v>
      </c>
    </row>
    <row r="36" spans="1:5">
      <c r="A36" t="s">
        <v>16200</v>
      </c>
      <c r="B36" t="s">
        <v>16254</v>
      </c>
      <c r="C36" t="s">
        <v>16220</v>
      </c>
      <c r="D36" t="s">
        <v>16386</v>
      </c>
      <c r="E36" t="s">
        <v>16330</v>
      </c>
    </row>
    <row r="37" spans="1:5">
      <c r="A37" t="s">
        <v>16200</v>
      </c>
      <c r="B37" t="s">
        <v>16250</v>
      </c>
      <c r="C37" t="s">
        <v>16220</v>
      </c>
      <c r="D37" t="s">
        <v>16386</v>
      </c>
      <c r="E37" t="s">
        <v>16331</v>
      </c>
    </row>
    <row r="38" spans="1:5">
      <c r="A38" t="s">
        <v>16200</v>
      </c>
      <c r="B38" t="s">
        <v>16253</v>
      </c>
      <c r="C38" t="s">
        <v>16222</v>
      </c>
      <c r="D38" t="s">
        <v>16386</v>
      </c>
      <c r="E38" t="s">
        <v>16329</v>
      </c>
    </row>
    <row r="39" spans="1:5">
      <c r="A39" t="s">
        <v>16200</v>
      </c>
      <c r="B39" t="s">
        <v>16252</v>
      </c>
      <c r="C39" t="s">
        <v>16222</v>
      </c>
      <c r="D39" t="s">
        <v>16386</v>
      </c>
      <c r="E39" t="s">
        <v>16328</v>
      </c>
    </row>
    <row r="40" spans="1:5">
      <c r="A40" t="s">
        <v>16200</v>
      </c>
      <c r="B40" t="s">
        <v>16251</v>
      </c>
      <c r="C40" t="s">
        <v>16222</v>
      </c>
      <c r="D40" t="s">
        <v>16386</v>
      </c>
      <c r="E40" t="s">
        <v>16327</v>
      </c>
    </row>
    <row r="41" spans="1:5">
      <c r="A41" t="s">
        <v>16201</v>
      </c>
      <c r="B41" t="s">
        <v>16269</v>
      </c>
      <c r="C41" t="s">
        <v>16220</v>
      </c>
      <c r="D41" t="s">
        <v>16386</v>
      </c>
      <c r="E41" t="s">
        <v>16334</v>
      </c>
    </row>
    <row r="42" spans="1:5">
      <c r="A42" t="s">
        <v>16201</v>
      </c>
      <c r="B42" t="s">
        <v>16254</v>
      </c>
      <c r="C42" t="s">
        <v>16220</v>
      </c>
      <c r="D42" t="s">
        <v>16386</v>
      </c>
      <c r="E42" t="s">
        <v>16334</v>
      </c>
    </row>
    <row r="43" spans="1:5">
      <c r="A43" t="s">
        <v>16201</v>
      </c>
      <c r="B43" t="s">
        <v>16250</v>
      </c>
      <c r="C43" t="s">
        <v>16221</v>
      </c>
      <c r="D43" t="s">
        <v>16385</v>
      </c>
      <c r="E43" t="s">
        <v>28109</v>
      </c>
    </row>
    <row r="44" spans="1:5">
      <c r="A44" t="s">
        <v>16201</v>
      </c>
      <c r="B44" t="s">
        <v>16256</v>
      </c>
      <c r="C44" t="s">
        <v>16222</v>
      </c>
      <c r="D44" t="s">
        <v>16386</v>
      </c>
      <c r="E44" t="s">
        <v>16333</v>
      </c>
    </row>
    <row r="45" spans="1:5">
      <c r="A45" t="s">
        <v>16201</v>
      </c>
      <c r="B45" t="s">
        <v>16255</v>
      </c>
      <c r="C45" t="s">
        <v>16222</v>
      </c>
      <c r="D45" t="s">
        <v>16386</v>
      </c>
      <c r="E45" t="s">
        <v>16332</v>
      </c>
    </row>
    <row r="46" spans="1:5">
      <c r="A46" t="s">
        <v>16201</v>
      </c>
      <c r="B46" t="s">
        <v>28097</v>
      </c>
      <c r="C46" t="s">
        <v>16222</v>
      </c>
      <c r="D46" t="s">
        <v>16386</v>
      </c>
      <c r="E46" t="s">
        <v>28110</v>
      </c>
    </row>
    <row r="47" spans="1:5">
      <c r="A47" t="s">
        <v>16202</v>
      </c>
      <c r="B47" t="s">
        <v>16238</v>
      </c>
      <c r="C47" t="s">
        <v>16221</v>
      </c>
      <c r="D47" t="s">
        <v>16386</v>
      </c>
      <c r="E47" t="s">
        <v>16335</v>
      </c>
    </row>
    <row r="48" spans="1:5">
      <c r="A48" t="s">
        <v>16202</v>
      </c>
      <c r="B48" t="s">
        <v>16230</v>
      </c>
      <c r="C48" t="s">
        <v>16220</v>
      </c>
      <c r="D48" t="s">
        <v>16386</v>
      </c>
      <c r="E48" t="s">
        <v>16334</v>
      </c>
    </row>
    <row r="49" spans="1:5">
      <c r="A49" t="s">
        <v>16203</v>
      </c>
      <c r="B49" t="s">
        <v>16238</v>
      </c>
      <c r="C49" t="s">
        <v>16220</v>
      </c>
      <c r="D49" t="s">
        <v>16385</v>
      </c>
      <c r="E49" t="s">
        <v>16338</v>
      </c>
    </row>
    <row r="50" spans="1:5">
      <c r="A50" t="s">
        <v>16203</v>
      </c>
      <c r="B50" t="s">
        <v>16259</v>
      </c>
      <c r="C50" t="s">
        <v>16221</v>
      </c>
      <c r="D50" t="s">
        <v>16386</v>
      </c>
      <c r="E50" t="s">
        <v>16339</v>
      </c>
    </row>
    <row r="51" spans="1:5">
      <c r="A51" t="s">
        <v>16203</v>
      </c>
      <c r="B51" t="s">
        <v>16258</v>
      </c>
      <c r="C51" t="s">
        <v>16222</v>
      </c>
      <c r="D51" t="s">
        <v>16386</v>
      </c>
      <c r="E51" t="s">
        <v>16337</v>
      </c>
    </row>
    <row r="52" spans="1:5">
      <c r="A52" t="s">
        <v>16203</v>
      </c>
      <c r="B52" t="s">
        <v>16257</v>
      </c>
      <c r="C52" t="s">
        <v>16222</v>
      </c>
      <c r="D52" t="s">
        <v>16386</v>
      </c>
      <c r="E52" t="s">
        <v>16336</v>
      </c>
    </row>
    <row r="53" spans="1:5">
      <c r="A53" t="s">
        <v>16204</v>
      </c>
      <c r="B53" t="s">
        <v>16241</v>
      </c>
      <c r="C53" t="s">
        <v>16221</v>
      </c>
      <c r="D53" t="s">
        <v>16385</v>
      </c>
      <c r="E53" t="s">
        <v>16343</v>
      </c>
    </row>
    <row r="54" spans="1:5">
      <c r="A54" t="s">
        <v>16204</v>
      </c>
      <c r="B54" t="s">
        <v>16238</v>
      </c>
      <c r="C54" t="s">
        <v>16220</v>
      </c>
      <c r="D54" t="s">
        <v>16385</v>
      </c>
      <c r="E54" t="s">
        <v>16342</v>
      </c>
    </row>
    <row r="55" spans="1:5">
      <c r="A55" t="s">
        <v>16204</v>
      </c>
      <c r="B55" t="s">
        <v>16261</v>
      </c>
      <c r="C55" t="s">
        <v>16222</v>
      </c>
      <c r="D55" t="s">
        <v>16385</v>
      </c>
      <c r="E55" t="s">
        <v>16341</v>
      </c>
    </row>
    <row r="56" spans="1:5">
      <c r="A56" t="s">
        <v>16204</v>
      </c>
      <c r="B56" t="s">
        <v>16260</v>
      </c>
      <c r="C56" t="s">
        <v>16222</v>
      </c>
      <c r="D56" t="s">
        <v>16385</v>
      </c>
      <c r="E56" t="s">
        <v>16340</v>
      </c>
    </row>
    <row r="57" spans="1:5">
      <c r="A57" t="s">
        <v>16205</v>
      </c>
      <c r="B57" t="s">
        <v>16269</v>
      </c>
      <c r="C57" t="s">
        <v>16221</v>
      </c>
      <c r="D57" t="s">
        <v>16386</v>
      </c>
      <c r="E57" t="s">
        <v>16347</v>
      </c>
    </row>
    <row r="58" spans="1:5">
      <c r="A58" t="s">
        <v>16205</v>
      </c>
      <c r="B58" t="s">
        <v>16254</v>
      </c>
      <c r="C58" t="s">
        <v>16220</v>
      </c>
      <c r="D58" t="s">
        <v>16385</v>
      </c>
      <c r="E58" t="s">
        <v>16346</v>
      </c>
    </row>
    <row r="59" spans="1:5">
      <c r="A59" t="s">
        <v>16205</v>
      </c>
      <c r="B59" t="s">
        <v>16250</v>
      </c>
      <c r="C59" t="s">
        <v>16220</v>
      </c>
      <c r="D59" t="s">
        <v>16385</v>
      </c>
      <c r="E59" t="s">
        <v>16346</v>
      </c>
    </row>
    <row r="60" spans="1:5">
      <c r="A60" t="s">
        <v>16205</v>
      </c>
      <c r="B60" t="s">
        <v>16248</v>
      </c>
      <c r="C60" t="s">
        <v>16220</v>
      </c>
      <c r="D60" t="s">
        <v>16385</v>
      </c>
      <c r="E60" t="s">
        <v>16346</v>
      </c>
    </row>
    <row r="61" spans="1:5">
      <c r="A61" t="s">
        <v>16205</v>
      </c>
      <c r="B61" t="s">
        <v>16262</v>
      </c>
      <c r="C61" t="s">
        <v>16222</v>
      </c>
      <c r="D61" t="s">
        <v>16387</v>
      </c>
      <c r="E61" t="s">
        <v>16344</v>
      </c>
    </row>
    <row r="62" spans="1:5">
      <c r="A62" t="s">
        <v>16205</v>
      </c>
      <c r="B62" t="s">
        <v>16264</v>
      </c>
      <c r="C62" t="s">
        <v>16222</v>
      </c>
      <c r="D62" t="s">
        <v>16387</v>
      </c>
      <c r="E62" t="s">
        <v>16345</v>
      </c>
    </row>
    <row r="63" spans="1:5">
      <c r="A63" t="s">
        <v>16206</v>
      </c>
      <c r="B63" t="s">
        <v>16277</v>
      </c>
      <c r="C63" t="s">
        <v>16221</v>
      </c>
      <c r="D63" t="s">
        <v>16386</v>
      </c>
      <c r="E63" t="s">
        <v>16353</v>
      </c>
    </row>
    <row r="64" spans="1:5">
      <c r="A64" t="s">
        <v>16206</v>
      </c>
      <c r="B64" t="s">
        <v>16269</v>
      </c>
      <c r="C64" t="s">
        <v>16220</v>
      </c>
      <c r="D64" t="s">
        <v>16386</v>
      </c>
      <c r="E64" t="s">
        <v>16352</v>
      </c>
    </row>
    <row r="65" spans="1:5">
      <c r="A65" t="s">
        <v>16206</v>
      </c>
      <c r="B65" t="s">
        <v>16276</v>
      </c>
      <c r="C65" t="s">
        <v>16220</v>
      </c>
      <c r="D65" t="s">
        <v>16386</v>
      </c>
      <c r="E65" t="s">
        <v>16352</v>
      </c>
    </row>
    <row r="66" spans="1:5">
      <c r="A66" t="s">
        <v>16206</v>
      </c>
      <c r="B66" t="s">
        <v>16254</v>
      </c>
      <c r="C66" t="s">
        <v>16220</v>
      </c>
      <c r="D66" t="s">
        <v>16386</v>
      </c>
      <c r="E66" t="s">
        <v>16351</v>
      </c>
    </row>
    <row r="67" spans="1:5">
      <c r="A67" t="s">
        <v>16206</v>
      </c>
      <c r="B67" t="s">
        <v>16272</v>
      </c>
      <c r="C67" t="s">
        <v>16222</v>
      </c>
      <c r="D67" t="s">
        <v>16385</v>
      </c>
      <c r="E67" t="s">
        <v>16350</v>
      </c>
    </row>
    <row r="68" spans="1:5">
      <c r="A68" t="s">
        <v>16206</v>
      </c>
      <c r="B68" t="s">
        <v>16262</v>
      </c>
      <c r="C68" t="s">
        <v>16222</v>
      </c>
      <c r="D68" t="s">
        <v>16385</v>
      </c>
      <c r="E68" t="s">
        <v>16349</v>
      </c>
    </row>
    <row r="69" spans="1:5">
      <c r="A69" t="s">
        <v>16206</v>
      </c>
      <c r="B69" t="s">
        <v>16270</v>
      </c>
      <c r="C69" t="s">
        <v>16222</v>
      </c>
      <c r="D69" t="s">
        <v>16385</v>
      </c>
      <c r="E69" t="s">
        <v>16348</v>
      </c>
    </row>
    <row r="70" spans="1:5">
      <c r="A70" t="s">
        <v>28091</v>
      </c>
      <c r="B70" t="s">
        <v>16230</v>
      </c>
      <c r="C70" t="s">
        <v>16221</v>
      </c>
      <c r="D70" t="s">
        <v>16387</v>
      </c>
      <c r="E70" t="s">
        <v>28111</v>
      </c>
    </row>
    <row r="71" spans="1:5">
      <c r="A71" t="s">
        <v>16207</v>
      </c>
      <c r="B71" t="s">
        <v>16241</v>
      </c>
      <c r="C71" t="s">
        <v>16221</v>
      </c>
      <c r="D71" t="s">
        <v>16385</v>
      </c>
      <c r="E71" t="s">
        <v>16355</v>
      </c>
    </row>
    <row r="72" spans="1:5">
      <c r="A72" t="s">
        <v>16207</v>
      </c>
      <c r="B72" t="s">
        <v>16238</v>
      </c>
      <c r="C72" t="s">
        <v>16220</v>
      </c>
      <c r="D72" t="s">
        <v>16385</v>
      </c>
      <c r="E72" t="s">
        <v>28112</v>
      </c>
    </row>
    <row r="73" spans="1:5">
      <c r="A73" t="s">
        <v>16207</v>
      </c>
      <c r="B73" t="s">
        <v>16279</v>
      </c>
      <c r="C73" t="s">
        <v>16222</v>
      </c>
      <c r="D73" t="s">
        <v>16385</v>
      </c>
      <c r="E73" t="s">
        <v>16354</v>
      </c>
    </row>
    <row r="74" spans="1:5">
      <c r="A74" t="s">
        <v>16209</v>
      </c>
      <c r="B74" t="s">
        <v>16284</v>
      </c>
      <c r="C74" t="s">
        <v>16220</v>
      </c>
      <c r="D74" t="s">
        <v>16385</v>
      </c>
      <c r="E74" t="s">
        <v>16362</v>
      </c>
    </row>
    <row r="75" spans="1:5">
      <c r="A75" t="s">
        <v>16209</v>
      </c>
      <c r="B75" t="s">
        <v>16285</v>
      </c>
      <c r="C75" t="s">
        <v>16221</v>
      </c>
      <c r="D75" t="s">
        <v>16386</v>
      </c>
      <c r="E75" t="s">
        <v>16363</v>
      </c>
    </row>
    <row r="76" spans="1:5">
      <c r="A76" t="s">
        <v>16209</v>
      </c>
      <c r="B76" t="s">
        <v>16286</v>
      </c>
      <c r="C76" t="s">
        <v>16221</v>
      </c>
      <c r="D76" t="s">
        <v>16386</v>
      </c>
      <c r="E76" t="s">
        <v>16364</v>
      </c>
    </row>
    <row r="77" spans="1:5">
      <c r="A77" t="s">
        <v>16209</v>
      </c>
      <c r="B77" t="s">
        <v>16281</v>
      </c>
      <c r="C77" t="s">
        <v>16222</v>
      </c>
      <c r="D77" t="s">
        <v>16386</v>
      </c>
      <c r="E77" t="s">
        <v>16359</v>
      </c>
    </row>
    <row r="78" spans="1:5">
      <c r="A78" t="s">
        <v>16209</v>
      </c>
      <c r="B78" t="s">
        <v>16283</v>
      </c>
      <c r="C78" t="s">
        <v>16222</v>
      </c>
      <c r="D78" t="s">
        <v>16386</v>
      </c>
      <c r="E78" t="s">
        <v>16361</v>
      </c>
    </row>
    <row r="79" spans="1:5">
      <c r="A79" t="s">
        <v>16209</v>
      </c>
      <c r="B79" t="s">
        <v>16282</v>
      </c>
      <c r="C79" t="s">
        <v>16222</v>
      </c>
      <c r="D79" t="s">
        <v>16386</v>
      </c>
      <c r="E79" t="s">
        <v>16360</v>
      </c>
    </row>
    <row r="80" spans="1:5">
      <c r="A80" t="s">
        <v>16209</v>
      </c>
      <c r="B80" t="s">
        <v>16280</v>
      </c>
      <c r="C80" t="s">
        <v>16222</v>
      </c>
      <c r="D80" t="s">
        <v>16386</v>
      </c>
      <c r="E80" t="s">
        <v>16358</v>
      </c>
    </row>
    <row r="81" spans="1:5">
      <c r="A81" t="s">
        <v>28092</v>
      </c>
      <c r="B81" t="s">
        <v>16231</v>
      </c>
      <c r="C81" t="s">
        <v>16220</v>
      </c>
      <c r="D81" t="s">
        <v>16385</v>
      </c>
      <c r="E81" t="s">
        <v>28113</v>
      </c>
    </row>
    <row r="82" spans="1:5">
      <c r="A82" t="s">
        <v>16210</v>
      </c>
      <c r="B82" t="s">
        <v>16231</v>
      </c>
      <c r="C82" t="s">
        <v>16220</v>
      </c>
      <c r="D82" t="s">
        <v>16385</v>
      </c>
      <c r="E82" t="s">
        <v>16366</v>
      </c>
    </row>
    <row r="83" spans="1:5">
      <c r="A83" t="s">
        <v>16210</v>
      </c>
      <c r="B83" t="s">
        <v>16287</v>
      </c>
      <c r="C83" t="s">
        <v>16222</v>
      </c>
      <c r="D83" t="s">
        <v>16387</v>
      </c>
      <c r="E83" t="s">
        <v>16365</v>
      </c>
    </row>
    <row r="84" spans="1:5">
      <c r="A84" t="s">
        <v>16211</v>
      </c>
      <c r="B84" t="s">
        <v>16238</v>
      </c>
      <c r="C84" t="s">
        <v>16220</v>
      </c>
      <c r="D84" t="s">
        <v>16385</v>
      </c>
      <c r="E84" t="s">
        <v>16369</v>
      </c>
    </row>
    <row r="85" spans="1:5">
      <c r="A85" t="s">
        <v>16211</v>
      </c>
      <c r="B85" t="s">
        <v>16230</v>
      </c>
      <c r="C85" t="s">
        <v>16220</v>
      </c>
      <c r="D85" t="s">
        <v>16385</v>
      </c>
      <c r="E85" t="s">
        <v>16369</v>
      </c>
    </row>
    <row r="86" spans="1:5">
      <c r="A86" t="s">
        <v>16211</v>
      </c>
      <c r="B86" t="s">
        <v>16289</v>
      </c>
      <c r="C86" t="s">
        <v>16220</v>
      </c>
      <c r="D86" t="s">
        <v>16385</v>
      </c>
      <c r="E86" t="s">
        <v>16370</v>
      </c>
    </row>
    <row r="87" spans="1:5">
      <c r="A87" t="s">
        <v>16211</v>
      </c>
      <c r="B87" t="s">
        <v>16287</v>
      </c>
      <c r="C87" t="s">
        <v>16222</v>
      </c>
      <c r="D87" t="s">
        <v>16385</v>
      </c>
      <c r="E87" t="s">
        <v>16367</v>
      </c>
    </row>
    <row r="88" spans="1:5">
      <c r="A88" t="s">
        <v>16211</v>
      </c>
      <c r="B88" t="s">
        <v>16288</v>
      </c>
      <c r="C88" t="s">
        <v>16222</v>
      </c>
      <c r="D88" t="s">
        <v>16385</v>
      </c>
      <c r="E88" t="s">
        <v>16368</v>
      </c>
    </row>
    <row r="89" spans="1:5">
      <c r="A89" t="s">
        <v>16212</v>
      </c>
      <c r="B89" t="s">
        <v>16250</v>
      </c>
      <c r="C89" t="s">
        <v>16221</v>
      </c>
      <c r="D89" t="s">
        <v>16385</v>
      </c>
      <c r="E89" t="s">
        <v>16377</v>
      </c>
    </row>
    <row r="90" spans="1:5">
      <c r="A90" t="s">
        <v>16212</v>
      </c>
      <c r="B90" t="s">
        <v>16248</v>
      </c>
      <c r="C90" t="s">
        <v>16220</v>
      </c>
      <c r="D90" t="s">
        <v>16385</v>
      </c>
      <c r="E90" t="s">
        <v>16375</v>
      </c>
    </row>
    <row r="91" spans="1:5">
      <c r="A91" t="s">
        <v>16212</v>
      </c>
      <c r="B91" t="s">
        <v>16296</v>
      </c>
      <c r="C91" t="s">
        <v>16220</v>
      </c>
      <c r="D91" t="s">
        <v>16385</v>
      </c>
      <c r="E91" t="s">
        <v>16376</v>
      </c>
    </row>
    <row r="92" spans="1:5">
      <c r="A92" t="s">
        <v>16212</v>
      </c>
      <c r="B92" t="s">
        <v>16295</v>
      </c>
      <c r="C92" t="s">
        <v>16222</v>
      </c>
      <c r="D92" t="s">
        <v>16387</v>
      </c>
      <c r="E92" t="s">
        <v>16374</v>
      </c>
    </row>
    <row r="93" spans="1:5">
      <c r="A93" t="s">
        <v>16212</v>
      </c>
      <c r="B93" t="s">
        <v>16292</v>
      </c>
      <c r="C93" t="s">
        <v>16222</v>
      </c>
      <c r="D93" t="s">
        <v>16385</v>
      </c>
      <c r="E93" t="s">
        <v>16373</v>
      </c>
    </row>
    <row r="94" spans="1:5">
      <c r="A94" t="s">
        <v>16212</v>
      </c>
      <c r="B94" t="s">
        <v>16291</v>
      </c>
      <c r="C94" t="s">
        <v>16222</v>
      </c>
      <c r="D94" t="s">
        <v>16385</v>
      </c>
      <c r="E94" t="s">
        <v>16372</v>
      </c>
    </row>
    <row r="95" spans="1:5">
      <c r="A95" t="s">
        <v>16212</v>
      </c>
      <c r="B95" t="s">
        <v>16290</v>
      </c>
      <c r="C95" t="s">
        <v>16222</v>
      </c>
      <c r="D95" t="s">
        <v>16385</v>
      </c>
      <c r="E95" t="s">
        <v>16371</v>
      </c>
    </row>
    <row r="96" spans="1:5">
      <c r="A96" t="s">
        <v>16212</v>
      </c>
      <c r="B96" t="s">
        <v>16293</v>
      </c>
      <c r="C96" t="s">
        <v>16222</v>
      </c>
      <c r="D96" t="s">
        <v>16385</v>
      </c>
      <c r="E96" t="s">
        <v>16371</v>
      </c>
    </row>
    <row r="97" spans="1:5">
      <c r="A97" t="s">
        <v>16212</v>
      </c>
      <c r="B97" t="s">
        <v>16294</v>
      </c>
      <c r="C97" t="s">
        <v>16222</v>
      </c>
      <c r="D97" t="s">
        <v>16385</v>
      </c>
      <c r="E97" t="s">
        <v>16371</v>
      </c>
    </row>
    <row r="98" spans="1:5">
      <c r="A98" t="s">
        <v>16213</v>
      </c>
      <c r="B98" t="s">
        <v>16254</v>
      </c>
      <c r="C98" t="s">
        <v>16221</v>
      </c>
      <c r="D98" t="s">
        <v>16386</v>
      </c>
      <c r="E98" t="s">
        <v>16379</v>
      </c>
    </row>
    <row r="99" spans="1:5">
      <c r="A99" t="s">
        <v>16213</v>
      </c>
      <c r="B99" t="s">
        <v>16250</v>
      </c>
      <c r="C99" t="s">
        <v>16220</v>
      </c>
      <c r="D99" t="s">
        <v>16386</v>
      </c>
      <c r="E99" t="s">
        <v>16378</v>
      </c>
    </row>
    <row r="100" spans="1:5">
      <c r="A100" t="s">
        <v>16214</v>
      </c>
      <c r="B100" t="s">
        <v>16298</v>
      </c>
      <c r="C100" t="s">
        <v>16220</v>
      </c>
      <c r="D100" t="s">
        <v>16385</v>
      </c>
      <c r="E100" t="s">
        <v>16381</v>
      </c>
    </row>
    <row r="101" spans="1:5">
      <c r="A101" t="s">
        <v>16214</v>
      </c>
      <c r="B101" t="s">
        <v>16297</v>
      </c>
      <c r="C101" t="s">
        <v>16222</v>
      </c>
      <c r="D101" t="s">
        <v>16385</v>
      </c>
      <c r="E101" t="s">
        <v>16380</v>
      </c>
    </row>
    <row r="102" spans="1:5">
      <c r="A102" t="s">
        <v>16215</v>
      </c>
      <c r="B102" t="s">
        <v>16300</v>
      </c>
      <c r="C102" t="s">
        <v>16221</v>
      </c>
      <c r="D102" t="s">
        <v>16385</v>
      </c>
      <c r="E102" t="s">
        <v>16383</v>
      </c>
    </row>
    <row r="103" spans="1:5">
      <c r="A103" t="s">
        <v>16215</v>
      </c>
      <c r="B103" t="s">
        <v>16299</v>
      </c>
      <c r="C103" t="s">
        <v>16220</v>
      </c>
      <c r="D103" t="s">
        <v>16385</v>
      </c>
      <c r="E103" t="s">
        <v>16382</v>
      </c>
    </row>
  </sheetData>
  <autoFilter ref="A1:E10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2"/>
  <sheetViews>
    <sheetView workbookViewId="0">
      <pane ySplit="1" topLeftCell="A2" activePane="bottomLeft" state="frozen"/>
      <selection pane="bottomLeft"/>
    </sheetView>
  </sheetViews>
  <sheetFormatPr defaultRowHeight="15"/>
  <cols>
    <col min="1" max="1" width="23.7109375" customWidth="1"/>
    <col min="2" max="2" width="25.7109375" customWidth="1"/>
    <col min="3" max="3" width="38.7109375" customWidth="1"/>
    <col min="4" max="4" width="43.7109375" customWidth="1"/>
    <col min="5" max="5" width="60.7109375" customWidth="1"/>
  </cols>
  <sheetData>
    <row r="1" spans="1:5">
      <c r="A1" s="1" t="s">
        <v>16192</v>
      </c>
      <c r="B1" s="1" t="s">
        <v>28129</v>
      </c>
      <c r="C1" s="1" t="s">
        <v>28130</v>
      </c>
      <c r="D1" s="1" t="s">
        <v>28131</v>
      </c>
      <c r="E1" s="1" t="s">
        <v>28132</v>
      </c>
    </row>
    <row r="2" spans="1:5">
      <c r="A2" t="s">
        <v>28114</v>
      </c>
      <c r="B2">
        <v>522</v>
      </c>
      <c r="C2">
        <v>0</v>
      </c>
      <c r="D2">
        <v>0</v>
      </c>
      <c r="E2" t="s">
        <v>3</v>
      </c>
    </row>
    <row r="3" spans="1:5">
      <c r="A3" t="s">
        <v>28115</v>
      </c>
      <c r="B3">
        <v>11680</v>
      </c>
      <c r="C3">
        <v>0</v>
      </c>
      <c r="D3">
        <v>0</v>
      </c>
      <c r="E3" t="s">
        <v>28133</v>
      </c>
    </row>
    <row r="4" spans="1:5">
      <c r="A4" t="s">
        <v>16193</v>
      </c>
      <c r="B4">
        <v>17350</v>
      </c>
      <c r="C4">
        <v>17052</v>
      </c>
      <c r="D4">
        <v>9</v>
      </c>
      <c r="E4" t="s">
        <v>28134</v>
      </c>
    </row>
    <row r="5" spans="1:5">
      <c r="A5" t="s">
        <v>16194</v>
      </c>
      <c r="B5">
        <v>8714</v>
      </c>
      <c r="C5">
        <v>8702</v>
      </c>
      <c r="D5">
        <v>533</v>
      </c>
      <c r="E5" t="s">
        <v>28135</v>
      </c>
    </row>
    <row r="6" spans="1:5">
      <c r="A6" t="s">
        <v>28116</v>
      </c>
      <c r="B6">
        <v>1</v>
      </c>
      <c r="C6">
        <v>0</v>
      </c>
      <c r="D6">
        <v>0</v>
      </c>
      <c r="E6" t="s">
        <v>28133</v>
      </c>
    </row>
    <row r="7" spans="1:5">
      <c r="A7" t="s">
        <v>16195</v>
      </c>
      <c r="B7">
        <v>5265</v>
      </c>
      <c r="C7">
        <v>5263</v>
      </c>
      <c r="D7">
        <v>1273</v>
      </c>
      <c r="E7" t="s">
        <v>28136</v>
      </c>
    </row>
    <row r="8" spans="1:5">
      <c r="A8" t="s">
        <v>16196</v>
      </c>
      <c r="B8">
        <v>8426</v>
      </c>
      <c r="C8">
        <v>8420</v>
      </c>
      <c r="D8">
        <v>3476</v>
      </c>
      <c r="E8" t="s">
        <v>28137</v>
      </c>
    </row>
    <row r="9" spans="1:5">
      <c r="A9" t="s">
        <v>28117</v>
      </c>
      <c r="B9">
        <v>521</v>
      </c>
      <c r="C9">
        <v>0</v>
      </c>
      <c r="D9">
        <v>0</v>
      </c>
      <c r="E9" t="s">
        <v>28133</v>
      </c>
    </row>
    <row r="10" spans="1:5">
      <c r="A10" t="s">
        <v>28090</v>
      </c>
      <c r="B10">
        <v>3063</v>
      </c>
      <c r="C10">
        <v>3050</v>
      </c>
      <c r="D10">
        <v>74</v>
      </c>
      <c r="E10" t="s">
        <v>28138</v>
      </c>
    </row>
    <row r="11" spans="1:5">
      <c r="A11" t="s">
        <v>16197</v>
      </c>
      <c r="B11">
        <v>11884</v>
      </c>
      <c r="C11">
        <v>11879</v>
      </c>
      <c r="D11">
        <v>3900</v>
      </c>
      <c r="E11" t="s">
        <v>28139</v>
      </c>
    </row>
    <row r="12" spans="1:5">
      <c r="A12" t="s">
        <v>28118</v>
      </c>
      <c r="B12">
        <v>504</v>
      </c>
      <c r="C12">
        <v>0</v>
      </c>
      <c r="D12">
        <v>0</v>
      </c>
      <c r="E12" t="s">
        <v>28133</v>
      </c>
    </row>
    <row r="13" spans="1:5">
      <c r="A13" t="s">
        <v>26</v>
      </c>
      <c r="B13">
        <v>3339</v>
      </c>
      <c r="C13">
        <v>3334</v>
      </c>
      <c r="D13">
        <v>925</v>
      </c>
      <c r="E13" t="s">
        <v>28140</v>
      </c>
    </row>
    <row r="14" spans="1:5">
      <c r="A14" t="s">
        <v>16198</v>
      </c>
      <c r="B14">
        <v>8852</v>
      </c>
      <c r="C14">
        <v>8850</v>
      </c>
      <c r="D14">
        <v>3317</v>
      </c>
      <c r="E14" t="s">
        <v>28141</v>
      </c>
    </row>
    <row r="15" spans="1:5">
      <c r="A15" t="s">
        <v>16199</v>
      </c>
      <c r="B15">
        <v>20317</v>
      </c>
      <c r="C15">
        <v>20309</v>
      </c>
      <c r="D15">
        <v>3806</v>
      </c>
      <c r="E15" t="s">
        <v>28142</v>
      </c>
    </row>
    <row r="16" spans="1:5">
      <c r="A16" t="s">
        <v>28119</v>
      </c>
      <c r="B16">
        <v>161</v>
      </c>
      <c r="C16">
        <v>0</v>
      </c>
      <c r="D16">
        <v>0</v>
      </c>
      <c r="E16" t="s">
        <v>28133</v>
      </c>
    </row>
    <row r="17" spans="1:5">
      <c r="A17" t="s">
        <v>16200</v>
      </c>
      <c r="B17">
        <v>16423</v>
      </c>
      <c r="C17">
        <v>16422</v>
      </c>
      <c r="D17">
        <v>2231</v>
      </c>
      <c r="E17" t="s">
        <v>28143</v>
      </c>
    </row>
    <row r="18" spans="1:5">
      <c r="A18" t="s">
        <v>16201</v>
      </c>
      <c r="B18">
        <v>10878</v>
      </c>
      <c r="C18">
        <v>10878</v>
      </c>
      <c r="D18">
        <v>2915</v>
      </c>
      <c r="E18" t="s">
        <v>28144</v>
      </c>
    </row>
    <row r="19" spans="1:5">
      <c r="A19" t="s">
        <v>16202</v>
      </c>
      <c r="B19">
        <v>9822</v>
      </c>
      <c r="C19">
        <v>9807</v>
      </c>
      <c r="D19">
        <v>4228</v>
      </c>
      <c r="E19" t="s">
        <v>28145</v>
      </c>
    </row>
    <row r="20" spans="1:5">
      <c r="A20" t="s">
        <v>16203</v>
      </c>
      <c r="B20">
        <v>5850</v>
      </c>
      <c r="C20">
        <v>5847</v>
      </c>
      <c r="D20">
        <v>2121</v>
      </c>
      <c r="E20" t="s">
        <v>28146</v>
      </c>
    </row>
    <row r="21" spans="1:5">
      <c r="A21" t="s">
        <v>28120</v>
      </c>
      <c r="B21">
        <v>5721</v>
      </c>
      <c r="C21">
        <v>0</v>
      </c>
      <c r="D21">
        <v>0</v>
      </c>
      <c r="E21" t="s">
        <v>28133</v>
      </c>
    </row>
    <row r="22" spans="1:5">
      <c r="A22" t="s">
        <v>28121</v>
      </c>
      <c r="B22">
        <v>3433</v>
      </c>
      <c r="C22">
        <v>0</v>
      </c>
      <c r="D22">
        <v>0</v>
      </c>
      <c r="E22" t="s">
        <v>28133</v>
      </c>
    </row>
    <row r="23" spans="1:5">
      <c r="A23" t="s">
        <v>28122</v>
      </c>
      <c r="B23">
        <v>24</v>
      </c>
      <c r="C23">
        <v>0</v>
      </c>
      <c r="D23">
        <v>0</v>
      </c>
      <c r="E23" t="s">
        <v>28133</v>
      </c>
    </row>
    <row r="24" spans="1:5">
      <c r="A24" t="s">
        <v>16204</v>
      </c>
      <c r="B24">
        <v>7720</v>
      </c>
      <c r="C24">
        <v>7676</v>
      </c>
      <c r="D24">
        <v>2051</v>
      </c>
      <c r="E24" t="s">
        <v>28147</v>
      </c>
    </row>
    <row r="25" spans="1:5">
      <c r="A25" t="s">
        <v>16205</v>
      </c>
      <c r="B25">
        <v>16053</v>
      </c>
      <c r="C25">
        <v>16049</v>
      </c>
      <c r="D25">
        <v>4549</v>
      </c>
      <c r="E25" t="s">
        <v>28148</v>
      </c>
    </row>
    <row r="26" spans="1:5">
      <c r="A26" t="s">
        <v>16206</v>
      </c>
      <c r="B26">
        <v>32887</v>
      </c>
      <c r="C26">
        <v>32866</v>
      </c>
      <c r="D26">
        <v>9523</v>
      </c>
      <c r="E26" t="s">
        <v>28149</v>
      </c>
    </row>
    <row r="27" spans="1:5">
      <c r="A27" t="s">
        <v>28091</v>
      </c>
      <c r="B27">
        <v>3815</v>
      </c>
      <c r="C27">
        <v>3815</v>
      </c>
      <c r="D27">
        <v>316</v>
      </c>
      <c r="E27" t="s">
        <v>28150</v>
      </c>
    </row>
    <row r="28" spans="1:5">
      <c r="A28" t="s">
        <v>28123</v>
      </c>
      <c r="B28">
        <v>908</v>
      </c>
      <c r="C28">
        <v>0</v>
      </c>
      <c r="D28">
        <v>0</v>
      </c>
      <c r="E28" t="s">
        <v>28133</v>
      </c>
    </row>
    <row r="29" spans="1:5">
      <c r="A29" t="s">
        <v>16207</v>
      </c>
      <c r="B29">
        <v>8273</v>
      </c>
      <c r="C29">
        <v>8266</v>
      </c>
      <c r="D29">
        <v>4072</v>
      </c>
      <c r="E29" t="s">
        <v>28151</v>
      </c>
    </row>
    <row r="30" spans="1:5">
      <c r="A30" t="s">
        <v>28124</v>
      </c>
      <c r="B30">
        <v>8</v>
      </c>
      <c r="C30">
        <v>0</v>
      </c>
      <c r="D30">
        <v>0</v>
      </c>
      <c r="E30" t="s">
        <v>28133</v>
      </c>
    </row>
    <row r="31" spans="1:5">
      <c r="A31" t="s">
        <v>28125</v>
      </c>
      <c r="B31">
        <v>321</v>
      </c>
      <c r="C31">
        <v>0</v>
      </c>
      <c r="D31">
        <v>0</v>
      </c>
      <c r="E31" t="s">
        <v>28133</v>
      </c>
    </row>
    <row r="32" spans="1:5">
      <c r="A32" t="s">
        <v>28126</v>
      </c>
      <c r="B32">
        <v>40676</v>
      </c>
      <c r="C32">
        <v>40603</v>
      </c>
      <c r="D32">
        <v>5077</v>
      </c>
      <c r="E32" t="s">
        <v>28152</v>
      </c>
    </row>
    <row r="33" spans="1:5">
      <c r="A33" t="s">
        <v>16209</v>
      </c>
      <c r="B33">
        <v>7816</v>
      </c>
      <c r="C33">
        <v>7816</v>
      </c>
      <c r="D33">
        <v>815</v>
      </c>
      <c r="E33" t="s">
        <v>28153</v>
      </c>
    </row>
    <row r="34" spans="1:5">
      <c r="A34" t="s">
        <v>28092</v>
      </c>
      <c r="B34">
        <v>5932</v>
      </c>
      <c r="C34">
        <v>5923</v>
      </c>
      <c r="D34">
        <v>211</v>
      </c>
      <c r="E34" t="s">
        <v>28154</v>
      </c>
    </row>
    <row r="35" spans="1:5">
      <c r="A35" t="s">
        <v>28127</v>
      </c>
      <c r="B35">
        <v>734</v>
      </c>
      <c r="C35">
        <v>0</v>
      </c>
      <c r="D35">
        <v>0</v>
      </c>
      <c r="E35" t="s">
        <v>28133</v>
      </c>
    </row>
    <row r="36" spans="1:5">
      <c r="A36" t="s">
        <v>16210</v>
      </c>
      <c r="B36">
        <v>7611</v>
      </c>
      <c r="C36">
        <v>7594</v>
      </c>
      <c r="D36">
        <v>920</v>
      </c>
      <c r="E36" t="s">
        <v>28155</v>
      </c>
    </row>
    <row r="37" spans="1:5">
      <c r="A37" t="s">
        <v>16211</v>
      </c>
      <c r="B37">
        <v>7657</v>
      </c>
      <c r="C37">
        <v>7656</v>
      </c>
      <c r="D37">
        <v>2570</v>
      </c>
      <c r="E37" t="s">
        <v>28156</v>
      </c>
    </row>
    <row r="38" spans="1:5">
      <c r="A38" t="s">
        <v>16212</v>
      </c>
      <c r="B38">
        <v>17986</v>
      </c>
      <c r="C38">
        <v>17982</v>
      </c>
      <c r="D38">
        <v>4716</v>
      </c>
      <c r="E38" t="s">
        <v>28157</v>
      </c>
    </row>
    <row r="39" spans="1:5">
      <c r="A39" t="s">
        <v>16213</v>
      </c>
      <c r="B39">
        <v>4188</v>
      </c>
      <c r="C39">
        <v>4186</v>
      </c>
      <c r="D39">
        <v>2447</v>
      </c>
      <c r="E39" t="s">
        <v>28158</v>
      </c>
    </row>
    <row r="40" spans="1:5">
      <c r="A40" t="s">
        <v>28128</v>
      </c>
      <c r="B40">
        <v>4259</v>
      </c>
      <c r="C40">
        <v>0</v>
      </c>
      <c r="D40">
        <v>0</v>
      </c>
      <c r="E40" t="s">
        <v>28133</v>
      </c>
    </row>
    <row r="41" spans="1:5">
      <c r="A41" t="s">
        <v>16214</v>
      </c>
      <c r="B41">
        <v>5938</v>
      </c>
      <c r="C41">
        <v>5826</v>
      </c>
      <c r="D41">
        <v>1948</v>
      </c>
      <c r="E41" t="s">
        <v>28159</v>
      </c>
    </row>
    <row r="42" spans="1:5">
      <c r="A42" t="s">
        <v>16215</v>
      </c>
      <c r="B42">
        <v>11271</v>
      </c>
      <c r="C42">
        <v>11268</v>
      </c>
      <c r="D42">
        <v>4023</v>
      </c>
      <c r="E42" t="s">
        <v>28160</v>
      </c>
    </row>
  </sheetData>
  <autoFilter ref="A1:E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Parcels</vt:lpstr>
      <vt:lpstr>Summary by town</vt:lpstr>
      <vt:lpstr>Listings found</vt:lpstr>
      <vt:lpstr>Zoning districts</vt:lpstr>
      <vt:lpstr>Coverage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2026-10-15T14:17:00Z</dcterms:created>
  <dcterms:modified xsi:type="dcterms:W3CDTF">2026-10-15T14:17:00Z</dcterms:modified>
</cp:coreProperties>
</file>